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hmadalipour/AA-TSE-Engine/excel/"/>
    </mc:Choice>
  </mc:AlternateContent>
  <xr:revisionPtr revIDLastSave="0" documentId="8_{014D28BB-8262-8E47-A15B-3373B669DC5A}" xr6:coauthVersionLast="47" xr6:coauthVersionMax="47" xr10:uidLastSave="{00000000-0000-0000-0000-000000000000}"/>
  <bookViews>
    <workbookView xWindow="0" yWindow="660" windowWidth="30240" windowHeight="18980" tabRatio="894" activeTab="7" xr2:uid="{5B8E7053-8706-DA40-84C3-147664D7ABEF}"/>
  </bookViews>
  <sheets>
    <sheet name="Price Record" sheetId="51" r:id="rId1"/>
    <sheet name="Cement" sheetId="1" r:id="rId2"/>
    <sheet name="MOPFRA" sheetId="31" r:id="rId3"/>
    <sheet name="Sales Rec" sheetId="40" r:id="rId4"/>
    <sheet name="Last M. Sales" sheetId="58" r:id="rId5"/>
    <sheet name="Sales History" sheetId="57" r:id="rId6"/>
    <sheet name="Cement Portfolio" sheetId="26" r:id="rId7"/>
    <sheet name="MOPFRA Portfolio" sheetId="33" r:id="rId8"/>
    <sheet name="In &amp; Out" sheetId="45" r:id="rId9"/>
    <sheet name="Cem Sales" sheetId="25" r:id="rId10"/>
    <sheet name="Cem_Export" sheetId="55" r:id="rId11"/>
    <sheet name="Cem-Domestic" sheetId="56" r:id="rId12"/>
    <sheet name="History Records" sheetId="20" r:id="rId13"/>
    <sheet name="Definitions" sheetId="53" r:id="rId14"/>
    <sheet name="Sales Record Entry" sheetId="49" r:id="rId15"/>
    <sheet name="Cement SUMMARY" sheetId="54" r:id="rId16"/>
    <sheet name="MOPFRA Summary" sheetId="36" r:id="rId17"/>
    <sheet name="Cement Ranking" sheetId="15" r:id="rId18"/>
    <sheet name="MOPFRA Ranking" sheetId="32" r:id="rId19"/>
    <sheet name="PE Move" sheetId="35" r:id="rId20"/>
    <sheet name="Data Entry Form" sheetId="24" r:id="rId21"/>
    <sheet name="دیده بان بازار" sheetId="21" r:id="rId22"/>
    <sheet name="Analyze" sheetId="52" r:id="rId23"/>
    <sheet name="اسامی و کدها" sheetId="37" r:id="rId24"/>
  </sheets>
  <externalReferences>
    <externalReference r:id="rId25"/>
  </externalReferences>
  <definedNames>
    <definedName name="_xlnm._FilterDatabase" localSheetId="9" hidden="1">'Cem Sales'!$A$4:$HZ$4</definedName>
    <definedName name="_xlnm._FilterDatabase" localSheetId="1" hidden="1">Cement!$A$6:$EZ$40</definedName>
    <definedName name="_xlnm._FilterDatabase" localSheetId="6" hidden="1">'Cement Portfolio'!$A$7:$DF$7</definedName>
    <definedName name="_xlnm._FilterDatabase" localSheetId="17" hidden="1">'Cement Ranking'!$A$6:$AQ$6</definedName>
    <definedName name="_xlnm._FilterDatabase" localSheetId="15" hidden="1">'Cement SUMMARY'!$A$6:$EG$34</definedName>
    <definedName name="_xlnm._FilterDatabase" localSheetId="20">'Data Entry Form'!$B$4:$AC$121</definedName>
    <definedName name="_xlnm._FilterDatabase" localSheetId="12" hidden="1">'History Records'!$A$6:$S$6</definedName>
    <definedName name="_xlnm._FilterDatabase" localSheetId="8" hidden="1">'In &amp; Out'!$A$2:$L$549</definedName>
    <definedName name="_xlnm._FilterDatabase" localSheetId="4" hidden="1">'Last M. Sales'!$A$32:$V$32</definedName>
    <definedName name="_xlnm._FilterDatabase" localSheetId="2" hidden="1">MOPFRA!$A$6:$EY$56</definedName>
    <definedName name="_xlnm._FilterDatabase" localSheetId="7" hidden="1">'MOPFRA Portfolio'!$A$7:$DD$7</definedName>
    <definedName name="_xlnm._FilterDatabase" localSheetId="18" hidden="1">'MOPFRA Ranking'!$A$5:$AG$5</definedName>
    <definedName name="_xlnm._FilterDatabase" localSheetId="16" hidden="1">'MOPFRA Summary'!$C$5:$CG$21</definedName>
    <definedName name="_xlnm._FilterDatabase" localSheetId="19" hidden="1">'PE Move'!$A$3:$F$3</definedName>
    <definedName name="_xlnm._FilterDatabase" localSheetId="0" hidden="1">'Price Record'!$A$35:$AE$35</definedName>
    <definedName name="_xlnm._FilterDatabase" localSheetId="5" hidden="1">'Sales History'!$A$3:$AX$3</definedName>
    <definedName name="_xlnm._FilterDatabase" localSheetId="3" hidden="1">'Sales Rec'!$B$36:$EA$36</definedName>
    <definedName name="_xlnm._FilterDatabase" localSheetId="14" hidden="1">'Sales Record Entry'!$A$32:$BN$32</definedName>
    <definedName name="_xlnm._FilterDatabase" localSheetId="23" hidden="1">'اسامی و کدها'!$A$4:$E$4</definedName>
    <definedName name="ExternalData_1" localSheetId="1" hidden="1">Cement!#REF!</definedName>
    <definedName name="ExternalData_1" localSheetId="15" hidden="1">'Cement SUMMARY'!#REF!</definedName>
    <definedName name="ExternalData_1" localSheetId="21" hidden="1">'دیده بان بازار'!$A$1:$W$2989</definedName>
    <definedName name="mycementtable">'Cement Portfolio'!$B$1:$CI$79</definedName>
    <definedName name="_xlnm.Print_Area" localSheetId="9">'Cem Sales'!$A$1:$DZ$81</definedName>
    <definedName name="_xlnm.Print_Area" localSheetId="6">'Cement Portfolio'!$AG$1:$BJ$50</definedName>
    <definedName name="_xlnm.Print_Area" localSheetId="15">'Cement SUMMARY'!$A$2:$EE$35</definedName>
    <definedName name="_xlnm.Print_Area" localSheetId="20">'Data Entry Form'!$A$1:$AC$349</definedName>
    <definedName name="_xlnm.Print_Area" localSheetId="13">Definitions!$K$2:$M$33</definedName>
    <definedName name="_xlnm.Print_Area" localSheetId="4">'Last M. Sales'!$A$1:$T$83</definedName>
    <definedName name="_xlnm.Print_Area" localSheetId="7">'MOPFRA Portfolio'!$AK$1:$BN$88</definedName>
    <definedName name="_xlnm.Print_Area" localSheetId="16">'MOPFRA Summary'!$A$1:$EA$57</definedName>
    <definedName name="_xlnm.Print_Area" localSheetId="0">'Price Record'!$A$3:$U$110</definedName>
    <definedName name="_xlnm.Print_Area" localSheetId="14">'Sales Record Entry'!$A$1:$U$88</definedName>
    <definedName name="_xlnm.Print_Titles" localSheetId="9">'Cem Sales'!$1:$3</definedName>
    <definedName name="_xlnm.Print_Titles" localSheetId="20">'Data Entry Form'!$1:$4</definedName>
    <definedName name="_xlnm.Print_Titles" localSheetId="4">'Last M. Sales'!$1:$1</definedName>
    <definedName name="_xlnm.Print_Titles" localSheetId="16">'MOPFRA Summary'!$2:$5</definedName>
    <definedName name="_xlnm.Print_Titles" localSheetId="14">'Sales Record Entry'!$1:$1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61" i="33" l="1"/>
  <c r="A314" i="24"/>
  <c r="H569" i="45" l="1"/>
  <c r="AS20" i="33"/>
  <c r="F567" i="45" l="1"/>
  <c r="E567" i="45" s="1"/>
  <c r="H567" i="45"/>
  <c r="I567" i="45"/>
  <c r="H568" i="45"/>
  <c r="F2" i="36"/>
  <c r="G2" i="36"/>
  <c r="H2" i="36"/>
  <c r="I2" i="36"/>
  <c r="J2" i="36"/>
  <c r="F3" i="36"/>
  <c r="G3" i="36"/>
  <c r="H3" i="36"/>
  <c r="I3" i="36"/>
  <c r="J3" i="36"/>
  <c r="F4" i="36"/>
  <c r="G4" i="36"/>
  <c r="H4" i="36"/>
  <c r="I4" i="36"/>
  <c r="J4" i="36"/>
  <c r="F5" i="36"/>
  <c r="G5" i="36"/>
  <c r="H5" i="36"/>
  <c r="I5" i="36"/>
  <c r="J5" i="36"/>
  <c r="J4" i="54"/>
  <c r="H4" i="54"/>
  <c r="I4" i="54"/>
  <c r="G4" i="54"/>
  <c r="F4" i="54"/>
  <c r="E4" i="54"/>
  <c r="D4" i="54"/>
  <c r="C4" i="54"/>
  <c r="B4" i="54"/>
  <c r="F59" i="40"/>
  <c r="D64" i="57" s="1"/>
  <c r="V64" i="57" s="1"/>
  <c r="F74" i="40"/>
  <c r="D67" i="57" s="1"/>
  <c r="F77" i="40"/>
  <c r="D69" i="57" s="1"/>
  <c r="F75" i="40"/>
  <c r="D66" i="57" s="1"/>
  <c r="F65" i="40"/>
  <c r="D71" i="57" s="1"/>
  <c r="R71" i="57" s="1"/>
  <c r="F52" i="40"/>
  <c r="D74" i="57" s="1"/>
  <c r="V74" i="57" s="1"/>
  <c r="F57" i="40"/>
  <c r="D72" i="57" s="1"/>
  <c r="F80" i="40"/>
  <c r="D76" i="57" s="1"/>
  <c r="T76" i="57" s="1"/>
  <c r="F84" i="40"/>
  <c r="D77" i="57" s="1"/>
  <c r="R77" i="57" s="1"/>
  <c r="F76" i="40"/>
  <c r="D78" i="57" s="1"/>
  <c r="F71" i="40"/>
  <c r="D79" i="57" s="1"/>
  <c r="F81" i="40"/>
  <c r="D80" i="57" s="1"/>
  <c r="F83" i="40"/>
  <c r="D81" i="57" s="1"/>
  <c r="R81" i="57" s="1"/>
  <c r="F86" i="40"/>
  <c r="D82" i="57" s="1"/>
  <c r="AB82" i="57" s="1"/>
  <c r="F85" i="40"/>
  <c r="D83" i="57" s="1"/>
  <c r="V83" i="57" s="1"/>
  <c r="F68" i="40"/>
  <c r="D60" i="57" s="1"/>
  <c r="F73" i="40"/>
  <c r="D63" i="57" s="1"/>
  <c r="T63" i="57" s="1"/>
  <c r="F82" i="40"/>
  <c r="D70" i="57" s="1"/>
  <c r="F79" i="40"/>
  <c r="D75" i="57" s="1"/>
  <c r="F58" i="40"/>
  <c r="D65" i="57" s="1"/>
  <c r="F70" i="40"/>
  <c r="D57" i="57" s="1"/>
  <c r="F72" i="40"/>
  <c r="D54" i="57" s="1"/>
  <c r="V54" i="57" s="1"/>
  <c r="F69" i="40"/>
  <c r="D61" i="57" s="1"/>
  <c r="F66" i="40"/>
  <c r="D59" i="57" s="1"/>
  <c r="F61" i="40"/>
  <c r="D73" i="57" s="1"/>
  <c r="F55" i="40"/>
  <c r="D48" i="57" s="1"/>
  <c r="F62" i="40"/>
  <c r="D68" i="57" s="1"/>
  <c r="F63" i="40"/>
  <c r="D55" i="57" s="1"/>
  <c r="F67" i="40"/>
  <c r="D62" i="57" s="1"/>
  <c r="AB62" i="57" s="1"/>
  <c r="F54" i="40"/>
  <c r="D49" i="57" s="1"/>
  <c r="F64" i="40"/>
  <c r="D58" i="57" s="1"/>
  <c r="F56" i="40"/>
  <c r="D51" i="57" s="1"/>
  <c r="F60" i="40"/>
  <c r="D53" i="57" s="1"/>
  <c r="T53" i="57" s="1"/>
  <c r="F50" i="40"/>
  <c r="D37" i="57" s="1"/>
  <c r="F46" i="40"/>
  <c r="D44" i="57" s="1"/>
  <c r="F51" i="40"/>
  <c r="D46" i="57" s="1"/>
  <c r="F53" i="40"/>
  <c r="D47" i="57" s="1"/>
  <c r="F47" i="40"/>
  <c r="D50" i="57" s="1"/>
  <c r="F45" i="40"/>
  <c r="D38" i="57" s="1"/>
  <c r="F48" i="40"/>
  <c r="D43" i="57" s="1"/>
  <c r="F78" i="40"/>
  <c r="D42" i="57" s="1"/>
  <c r="AB42" i="57" s="1"/>
  <c r="F41" i="40"/>
  <c r="D56" i="57" s="1"/>
  <c r="F44" i="40"/>
  <c r="D45" i="57" s="1"/>
  <c r="F43" i="40"/>
  <c r="D40" i="57" s="1"/>
  <c r="F49" i="40"/>
  <c r="D41" i="57" s="1"/>
  <c r="F38" i="40"/>
  <c r="D52" i="57" s="1"/>
  <c r="F39" i="40"/>
  <c r="D35" i="57" s="1"/>
  <c r="F40" i="40"/>
  <c r="D36" i="57" s="1"/>
  <c r="F42" i="40"/>
  <c r="D39" i="57" s="1"/>
  <c r="F37" i="40"/>
  <c r="D34" i="57" s="1"/>
  <c r="F29" i="40"/>
  <c r="D30" i="57" s="1"/>
  <c r="V30" i="57" s="1"/>
  <c r="F31" i="40"/>
  <c r="D27" i="57" s="1"/>
  <c r="V27" i="57" s="1"/>
  <c r="F30" i="40"/>
  <c r="D31" i="57" s="1"/>
  <c r="X31" i="57" s="1"/>
  <c r="F32" i="40"/>
  <c r="D32" i="57" s="1"/>
  <c r="F23" i="40"/>
  <c r="D24" i="57" s="1"/>
  <c r="AB24" i="57" s="1"/>
  <c r="F25" i="40"/>
  <c r="D26" i="57" s="1"/>
  <c r="F24" i="40"/>
  <c r="D25" i="57" s="1"/>
  <c r="V25" i="57" s="1"/>
  <c r="F26" i="40"/>
  <c r="D29" i="57" s="1"/>
  <c r="T29" i="57" s="1"/>
  <c r="F21" i="40"/>
  <c r="D28" i="57" s="1"/>
  <c r="V28" i="57" s="1"/>
  <c r="F18" i="40"/>
  <c r="D20" i="57" s="1"/>
  <c r="F27" i="40"/>
  <c r="D22" i="57" s="1"/>
  <c r="F22" i="40"/>
  <c r="D21" i="57" s="1"/>
  <c r="AB21" i="57" s="1"/>
  <c r="F28" i="40"/>
  <c r="D23" i="57" s="1"/>
  <c r="AB23" i="57" s="1"/>
  <c r="F20" i="40"/>
  <c r="D14" i="57" s="1"/>
  <c r="F19" i="40"/>
  <c r="D17" i="57" s="1"/>
  <c r="V17" i="57" s="1"/>
  <c r="F17" i="40"/>
  <c r="D19" i="57" s="1"/>
  <c r="X19" i="57" s="1"/>
  <c r="F15" i="40"/>
  <c r="D18" i="57" s="1"/>
  <c r="F10" i="40"/>
  <c r="D13" i="57" s="1"/>
  <c r="F16" i="40"/>
  <c r="BX16" i="40" s="1"/>
  <c r="F11" i="40"/>
  <c r="D9" i="57" s="1"/>
  <c r="Z9" i="57" s="1"/>
  <c r="F12" i="40"/>
  <c r="D16" i="57" s="1"/>
  <c r="F14" i="40"/>
  <c r="D15" i="57" s="1"/>
  <c r="AB15" i="57" s="1"/>
  <c r="F8" i="40"/>
  <c r="D7" i="57" s="1"/>
  <c r="F7" i="40"/>
  <c r="D11" i="57" s="1"/>
  <c r="AB11" i="57" s="1"/>
  <c r="F9" i="40"/>
  <c r="D8" i="57" s="1"/>
  <c r="V8" i="57" s="1"/>
  <c r="F13" i="40"/>
  <c r="D10" i="57" s="1"/>
  <c r="X10" i="57" s="1"/>
  <c r="F5" i="40"/>
  <c r="D6" i="57" s="1"/>
  <c r="F6" i="40"/>
  <c r="D5" i="57" s="1"/>
  <c r="T5" i="57" s="1"/>
  <c r="F4" i="40"/>
  <c r="D4" i="57" s="1"/>
  <c r="AC14" i="57"/>
  <c r="AE14" i="57" s="1"/>
  <c r="AC15" i="57"/>
  <c r="AE15" i="57" s="1"/>
  <c r="AC16" i="57"/>
  <c r="AE16" i="57" s="1"/>
  <c r="AC17" i="57"/>
  <c r="AE17" i="57" s="1"/>
  <c r="AC18" i="57"/>
  <c r="AC19" i="57"/>
  <c r="AC20" i="57"/>
  <c r="AE20" i="57" s="1"/>
  <c r="AC21" i="57"/>
  <c r="AC22" i="57"/>
  <c r="AE22" i="57" s="1"/>
  <c r="AC23" i="57"/>
  <c r="AE23" i="57" s="1"/>
  <c r="AC24" i="57"/>
  <c r="AE24" i="57" s="1"/>
  <c r="AC25" i="57"/>
  <c r="AE25" i="57" s="1"/>
  <c r="AC26" i="57"/>
  <c r="AE26" i="57" s="1"/>
  <c r="AC27" i="57"/>
  <c r="AE27" i="57" s="1"/>
  <c r="AC28" i="57"/>
  <c r="AE28" i="57" s="1"/>
  <c r="AC29" i="57"/>
  <c r="AC30" i="57"/>
  <c r="AC31" i="57"/>
  <c r="AE31" i="57" s="1"/>
  <c r="AC32" i="57"/>
  <c r="AE32" i="57" s="1"/>
  <c r="AC34" i="57"/>
  <c r="AE34" i="57" s="1"/>
  <c r="AC35" i="57"/>
  <c r="AE35" i="57" s="1"/>
  <c r="AC36" i="57"/>
  <c r="AE36" i="57" s="1"/>
  <c r="AC37" i="57"/>
  <c r="AE37" i="57" s="1"/>
  <c r="AC38" i="57"/>
  <c r="AC39" i="57"/>
  <c r="AC40" i="57"/>
  <c r="AE40" i="57" s="1"/>
  <c r="AC41" i="57"/>
  <c r="AE41" i="57" s="1"/>
  <c r="AC42" i="57"/>
  <c r="AC43" i="57"/>
  <c r="AE43" i="57" s="1"/>
  <c r="AC44" i="57"/>
  <c r="AE44" i="57" s="1"/>
  <c r="AC45" i="57"/>
  <c r="AE45" i="57" s="1"/>
  <c r="AC46" i="57"/>
  <c r="AE46" i="57" s="1"/>
  <c r="AC47" i="57"/>
  <c r="AE47" i="57" s="1"/>
  <c r="AC48" i="57"/>
  <c r="AE48" i="57" s="1"/>
  <c r="AC49" i="57"/>
  <c r="AC50" i="57"/>
  <c r="AC51" i="57"/>
  <c r="AC52" i="57"/>
  <c r="AC53" i="57"/>
  <c r="AE53" i="57" s="1"/>
  <c r="AC54" i="57"/>
  <c r="AE54" i="57" s="1"/>
  <c r="AC55" i="57"/>
  <c r="AE55" i="57" s="1"/>
  <c r="AC56" i="57"/>
  <c r="AE56" i="57" s="1"/>
  <c r="AC57" i="57"/>
  <c r="AC58" i="57"/>
  <c r="AC59" i="57"/>
  <c r="AE59" i="57" s="1"/>
  <c r="AC60" i="57"/>
  <c r="AC61" i="57"/>
  <c r="AE61" i="57" s="1"/>
  <c r="AC62" i="57"/>
  <c r="AC63" i="57"/>
  <c r="AE63" i="57" s="1"/>
  <c r="AC64" i="57"/>
  <c r="AE64" i="57" s="1"/>
  <c r="AC65" i="57"/>
  <c r="AE65" i="57" s="1"/>
  <c r="AC66" i="57"/>
  <c r="AE66" i="57" s="1"/>
  <c r="AC67" i="57"/>
  <c r="AE67" i="57" s="1"/>
  <c r="AC68" i="57"/>
  <c r="AE68" i="57" s="1"/>
  <c r="AC69" i="57"/>
  <c r="AE69" i="57" s="1"/>
  <c r="AC70" i="57"/>
  <c r="AE70" i="57" s="1"/>
  <c r="AC71" i="57"/>
  <c r="AC72" i="57"/>
  <c r="AE72" i="57" s="1"/>
  <c r="AC73" i="57"/>
  <c r="AE73" i="57" s="1"/>
  <c r="AC74" i="57"/>
  <c r="AE74" i="57" s="1"/>
  <c r="AC75" i="57"/>
  <c r="AE75" i="57" s="1"/>
  <c r="AC76" i="57"/>
  <c r="AE76" i="57" s="1"/>
  <c r="AC77" i="57"/>
  <c r="AE77" i="57" s="1"/>
  <c r="AC78" i="57"/>
  <c r="AE78" i="57" s="1"/>
  <c r="AC79" i="57"/>
  <c r="AC80" i="57"/>
  <c r="AE80" i="57" s="1"/>
  <c r="AC81" i="57"/>
  <c r="AC82" i="57"/>
  <c r="AE82" i="57" s="1"/>
  <c r="AC83" i="57"/>
  <c r="AC5" i="57"/>
  <c r="AC6" i="57"/>
  <c r="AE6" i="57" s="1"/>
  <c r="AC7" i="57"/>
  <c r="AE7" i="57" s="1"/>
  <c r="AC8" i="57"/>
  <c r="AE8" i="57" s="1"/>
  <c r="AC9" i="57"/>
  <c r="AC10" i="57"/>
  <c r="AC11" i="57"/>
  <c r="AE11" i="57" s="1"/>
  <c r="AC12" i="57"/>
  <c r="AE12" i="57" s="1"/>
  <c r="AC13" i="57"/>
  <c r="AE13" i="57" s="1"/>
  <c r="AC4" i="57"/>
  <c r="P9" i="57"/>
  <c r="P10" i="57"/>
  <c r="P11" i="57"/>
  <c r="P12" i="57"/>
  <c r="P13" i="57"/>
  <c r="P14" i="57"/>
  <c r="P15" i="57"/>
  <c r="P16" i="57"/>
  <c r="P17" i="57"/>
  <c r="P18" i="57"/>
  <c r="P19" i="57"/>
  <c r="P20" i="57"/>
  <c r="P21" i="57"/>
  <c r="P22" i="57"/>
  <c r="P23" i="57"/>
  <c r="P24" i="57"/>
  <c r="P25" i="57"/>
  <c r="P26" i="57"/>
  <c r="P27" i="57"/>
  <c r="P28" i="57"/>
  <c r="P29" i="57"/>
  <c r="P30" i="57"/>
  <c r="P31" i="57"/>
  <c r="P32" i="57"/>
  <c r="P34" i="57"/>
  <c r="P35" i="57"/>
  <c r="P36" i="57"/>
  <c r="P37" i="57"/>
  <c r="P38" i="57"/>
  <c r="P39" i="57"/>
  <c r="P40" i="57"/>
  <c r="P41" i="57"/>
  <c r="P42" i="57"/>
  <c r="P43" i="57"/>
  <c r="P44" i="57"/>
  <c r="P45" i="57"/>
  <c r="P46" i="57"/>
  <c r="P47" i="57"/>
  <c r="P48" i="57"/>
  <c r="P49" i="57"/>
  <c r="P50" i="57"/>
  <c r="P51" i="57"/>
  <c r="P52" i="57"/>
  <c r="P53" i="57"/>
  <c r="P54" i="57"/>
  <c r="P55" i="57"/>
  <c r="P56" i="57"/>
  <c r="P57" i="57"/>
  <c r="P58" i="57"/>
  <c r="P59" i="57"/>
  <c r="P60" i="57"/>
  <c r="P61" i="57"/>
  <c r="P62" i="57"/>
  <c r="P63" i="57"/>
  <c r="P64" i="57"/>
  <c r="P65" i="57"/>
  <c r="P66" i="57"/>
  <c r="P67" i="57"/>
  <c r="P68" i="57"/>
  <c r="P69" i="57"/>
  <c r="P70" i="57"/>
  <c r="P71" i="57"/>
  <c r="P72" i="57"/>
  <c r="P73" i="57"/>
  <c r="P74" i="57"/>
  <c r="P75" i="57"/>
  <c r="P76" i="57"/>
  <c r="P77" i="57"/>
  <c r="P78" i="57"/>
  <c r="P79" i="57"/>
  <c r="P80" i="57"/>
  <c r="P81" i="57"/>
  <c r="P82" i="57"/>
  <c r="P83" i="57"/>
  <c r="P5" i="57"/>
  <c r="P6" i="57"/>
  <c r="P7" i="57"/>
  <c r="P8" i="57"/>
  <c r="P4" i="57"/>
  <c r="N12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5" i="57"/>
  <c r="N26" i="57"/>
  <c r="N27" i="57"/>
  <c r="N28" i="57"/>
  <c r="N29" i="57"/>
  <c r="N30" i="57"/>
  <c r="N31" i="57"/>
  <c r="N32" i="57"/>
  <c r="N34" i="57"/>
  <c r="N35" i="57"/>
  <c r="N36" i="57"/>
  <c r="N37" i="57"/>
  <c r="N38" i="57"/>
  <c r="N39" i="57"/>
  <c r="N40" i="57"/>
  <c r="N41" i="57"/>
  <c r="N42" i="57"/>
  <c r="N43" i="57"/>
  <c r="N44" i="57"/>
  <c r="N45" i="57"/>
  <c r="N46" i="57"/>
  <c r="N47" i="57"/>
  <c r="N48" i="57"/>
  <c r="N49" i="57"/>
  <c r="N50" i="57"/>
  <c r="N51" i="57"/>
  <c r="N52" i="57"/>
  <c r="N53" i="57"/>
  <c r="N54" i="57"/>
  <c r="N55" i="57"/>
  <c r="N56" i="57"/>
  <c r="N57" i="57"/>
  <c r="N58" i="57"/>
  <c r="N59" i="57"/>
  <c r="N60" i="57"/>
  <c r="N61" i="57"/>
  <c r="N62" i="57"/>
  <c r="N63" i="57"/>
  <c r="N64" i="57"/>
  <c r="N65" i="57"/>
  <c r="N66" i="57"/>
  <c r="N67" i="57"/>
  <c r="N68" i="57"/>
  <c r="N69" i="57"/>
  <c r="N70" i="57"/>
  <c r="N71" i="57"/>
  <c r="N72" i="57"/>
  <c r="N73" i="57"/>
  <c r="N74" i="57"/>
  <c r="N75" i="57"/>
  <c r="N76" i="57"/>
  <c r="N77" i="57"/>
  <c r="N78" i="57"/>
  <c r="N79" i="57"/>
  <c r="N80" i="57"/>
  <c r="N81" i="57"/>
  <c r="N82" i="57"/>
  <c r="N83" i="57"/>
  <c r="N5" i="57"/>
  <c r="N6" i="57"/>
  <c r="N7" i="57"/>
  <c r="N8" i="57"/>
  <c r="N9" i="57"/>
  <c r="N10" i="57"/>
  <c r="N11" i="57"/>
  <c r="N4" i="57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4" i="57"/>
  <c r="L35" i="57"/>
  <c r="L36" i="57"/>
  <c r="L37" i="57"/>
  <c r="L38" i="57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5" i="57"/>
  <c r="L66" i="57"/>
  <c r="L67" i="57"/>
  <c r="L68" i="57"/>
  <c r="L69" i="57"/>
  <c r="L70" i="57"/>
  <c r="L71" i="57"/>
  <c r="L72" i="57"/>
  <c r="L73" i="57"/>
  <c r="L74" i="57"/>
  <c r="L75" i="57"/>
  <c r="L76" i="57"/>
  <c r="L77" i="57"/>
  <c r="L78" i="57"/>
  <c r="L79" i="57"/>
  <c r="L80" i="57"/>
  <c r="L81" i="57"/>
  <c r="L82" i="57"/>
  <c r="L83" i="57"/>
  <c r="L4" i="57"/>
  <c r="J5" i="57"/>
  <c r="J6" i="57"/>
  <c r="J7" i="57"/>
  <c r="J8" i="57"/>
  <c r="J9" i="57"/>
  <c r="J10" i="57"/>
  <c r="J11" i="57"/>
  <c r="J12" i="57"/>
  <c r="J13" i="57"/>
  <c r="J14" i="57"/>
  <c r="J15" i="57"/>
  <c r="J16" i="57"/>
  <c r="J17" i="57"/>
  <c r="J18" i="57"/>
  <c r="J19" i="57"/>
  <c r="J20" i="57"/>
  <c r="J21" i="57"/>
  <c r="J22" i="57"/>
  <c r="J23" i="57"/>
  <c r="J24" i="57"/>
  <c r="J25" i="57"/>
  <c r="J26" i="57"/>
  <c r="J27" i="57"/>
  <c r="J28" i="57"/>
  <c r="J29" i="57"/>
  <c r="J30" i="57"/>
  <c r="J31" i="57"/>
  <c r="J32" i="57"/>
  <c r="J34" i="57"/>
  <c r="J35" i="57"/>
  <c r="J36" i="57"/>
  <c r="J37" i="57"/>
  <c r="J38" i="57"/>
  <c r="J39" i="57"/>
  <c r="J40" i="57"/>
  <c r="J41" i="57"/>
  <c r="J42" i="57"/>
  <c r="J43" i="57"/>
  <c r="J44" i="57"/>
  <c r="J45" i="57"/>
  <c r="J46" i="57"/>
  <c r="J47" i="57"/>
  <c r="J48" i="57"/>
  <c r="J49" i="57"/>
  <c r="J50" i="57"/>
  <c r="J51" i="57"/>
  <c r="J52" i="57"/>
  <c r="J53" i="57"/>
  <c r="J54" i="57"/>
  <c r="J55" i="57"/>
  <c r="J56" i="57"/>
  <c r="J57" i="57"/>
  <c r="J58" i="57"/>
  <c r="J59" i="57"/>
  <c r="J60" i="57"/>
  <c r="J61" i="57"/>
  <c r="J62" i="57"/>
  <c r="J63" i="57"/>
  <c r="J64" i="57"/>
  <c r="J65" i="57"/>
  <c r="J66" i="57"/>
  <c r="J67" i="57"/>
  <c r="J68" i="57"/>
  <c r="J69" i="57"/>
  <c r="J70" i="57"/>
  <c r="J71" i="57"/>
  <c r="J72" i="57"/>
  <c r="J73" i="57"/>
  <c r="J74" i="57"/>
  <c r="J75" i="57"/>
  <c r="J76" i="57"/>
  <c r="J77" i="57"/>
  <c r="J78" i="57"/>
  <c r="J79" i="57"/>
  <c r="J80" i="57"/>
  <c r="J81" i="57"/>
  <c r="J82" i="57"/>
  <c r="J83" i="57"/>
  <c r="J4" i="57"/>
  <c r="H5" i="57"/>
  <c r="H6" i="57"/>
  <c r="H7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48" i="57"/>
  <c r="H49" i="57"/>
  <c r="H50" i="57"/>
  <c r="H51" i="57"/>
  <c r="H52" i="57"/>
  <c r="H53" i="57"/>
  <c r="H54" i="57"/>
  <c r="H55" i="57"/>
  <c r="H56" i="57"/>
  <c r="H57" i="57"/>
  <c r="H58" i="57"/>
  <c r="H59" i="57"/>
  <c r="H60" i="57"/>
  <c r="H61" i="57"/>
  <c r="H62" i="57"/>
  <c r="H63" i="57"/>
  <c r="H64" i="57"/>
  <c r="H65" i="57"/>
  <c r="H66" i="57"/>
  <c r="H67" i="57"/>
  <c r="H68" i="57"/>
  <c r="H69" i="57"/>
  <c r="H70" i="57"/>
  <c r="H71" i="57"/>
  <c r="H72" i="57"/>
  <c r="H73" i="57"/>
  <c r="H74" i="57"/>
  <c r="H75" i="57"/>
  <c r="H76" i="57"/>
  <c r="H77" i="57"/>
  <c r="H78" i="57"/>
  <c r="H79" i="57"/>
  <c r="H80" i="57"/>
  <c r="H81" i="57"/>
  <c r="H82" i="57"/>
  <c r="H83" i="57"/>
  <c r="H4" i="57"/>
  <c r="AK35" i="33"/>
  <c r="AO6" i="57"/>
  <c r="AO5" i="57"/>
  <c r="AO9" i="57"/>
  <c r="AO10" i="57"/>
  <c r="AQ10" i="57" s="1"/>
  <c r="S7" i="58" s="1"/>
  <c r="AO4" i="57"/>
  <c r="AQ4" i="57" s="1"/>
  <c r="S8" i="58" s="1"/>
  <c r="AO14" i="57"/>
  <c r="AO27" i="57"/>
  <c r="AQ27" i="57" s="1"/>
  <c r="S10" i="58" s="1"/>
  <c r="AO12" i="57"/>
  <c r="AO15" i="57"/>
  <c r="AQ15" i="57" s="1"/>
  <c r="S12" i="58" s="1"/>
  <c r="AO16" i="57"/>
  <c r="AO13" i="57"/>
  <c r="AO8" i="57"/>
  <c r="AO18" i="57"/>
  <c r="AO17" i="57"/>
  <c r="AO21" i="57"/>
  <c r="AQ21" i="57" s="1"/>
  <c r="S18" i="58" s="1"/>
  <c r="AO32" i="57"/>
  <c r="AO19" i="57"/>
  <c r="AO22" i="57"/>
  <c r="AQ22" i="57" s="1"/>
  <c r="S21" i="58" s="1"/>
  <c r="AO20" i="57"/>
  <c r="AQ20" i="57" s="1"/>
  <c r="S22" i="58" s="1"/>
  <c r="AO23" i="57"/>
  <c r="AO25" i="57"/>
  <c r="AO26" i="57"/>
  <c r="AO29" i="57"/>
  <c r="AO28" i="57"/>
  <c r="AQ28" i="57" s="1"/>
  <c r="S27" i="58" s="1"/>
  <c r="AO24" i="57"/>
  <c r="AQ24" i="57" s="1"/>
  <c r="S28" i="58" s="1"/>
  <c r="AO30" i="57"/>
  <c r="AO11" i="57"/>
  <c r="AO31" i="57"/>
  <c r="AQ31" i="57" s="1"/>
  <c r="S31" i="58" s="1"/>
  <c r="AO34" i="57"/>
  <c r="AQ34" i="57" s="1"/>
  <c r="S33" i="58" s="1"/>
  <c r="AO38" i="57"/>
  <c r="AO40" i="57"/>
  <c r="AO50" i="57"/>
  <c r="AO44" i="57"/>
  <c r="AO36" i="57"/>
  <c r="AO55" i="57"/>
  <c r="AQ55" i="57" s="1"/>
  <c r="S39" i="58" s="1"/>
  <c r="AO41" i="57"/>
  <c r="AO49" i="57"/>
  <c r="AO59" i="57"/>
  <c r="AQ59" i="57" s="1"/>
  <c r="S42" i="58" s="1"/>
  <c r="AO47" i="57"/>
  <c r="AO54" i="57"/>
  <c r="AO57" i="57"/>
  <c r="AO37" i="57"/>
  <c r="AO52" i="57"/>
  <c r="AO35" i="57"/>
  <c r="AO46" i="57"/>
  <c r="AO42" i="57"/>
  <c r="AO48" i="57"/>
  <c r="AO56" i="57"/>
  <c r="AO39" i="57"/>
  <c r="AO64" i="57"/>
  <c r="AO60" i="57"/>
  <c r="AO58" i="57"/>
  <c r="AQ58" i="57" s="1"/>
  <c r="S56" i="58" s="1"/>
  <c r="AO53" i="57"/>
  <c r="AO62" i="57"/>
  <c r="AO51" i="57"/>
  <c r="AQ51" i="57" s="1"/>
  <c r="S59" i="58" s="1"/>
  <c r="AO61" i="57"/>
  <c r="AO63" i="57"/>
  <c r="AO68" i="57"/>
  <c r="AQ68" i="57" s="1"/>
  <c r="S62" i="58" s="1"/>
  <c r="AO45" i="57"/>
  <c r="AO67" i="57"/>
  <c r="AQ67" i="57" s="1"/>
  <c r="S64" i="58" s="1"/>
  <c r="AO66" i="57"/>
  <c r="AO43" i="57"/>
  <c r="AO69" i="57"/>
  <c r="AO70" i="57"/>
  <c r="AO72" i="57"/>
  <c r="AO71" i="57"/>
  <c r="AO74" i="57"/>
  <c r="AO65" i="57"/>
  <c r="AO75" i="57"/>
  <c r="AO76" i="57"/>
  <c r="AO77" i="57"/>
  <c r="AO73" i="57"/>
  <c r="AO78" i="57"/>
  <c r="AO80" i="57"/>
  <c r="AO79" i="57"/>
  <c r="AQ79" i="57" s="1"/>
  <c r="S79" i="58" s="1"/>
  <c r="AO82" i="57"/>
  <c r="AQ82" i="57" s="1"/>
  <c r="S80" i="58" s="1"/>
  <c r="AO81" i="57"/>
  <c r="AO83" i="57"/>
  <c r="AO7" i="57"/>
  <c r="G82" i="58"/>
  <c r="G81" i="58"/>
  <c r="G80" i="58"/>
  <c r="G79" i="58"/>
  <c r="G78" i="58"/>
  <c r="G77" i="58"/>
  <c r="G76" i="58"/>
  <c r="G75" i="58"/>
  <c r="G74" i="58"/>
  <c r="G73" i="58"/>
  <c r="G72" i="58"/>
  <c r="G71" i="58"/>
  <c r="G70" i="58"/>
  <c r="G69" i="58"/>
  <c r="G68" i="58"/>
  <c r="G67" i="58"/>
  <c r="G66" i="58"/>
  <c r="G65" i="58"/>
  <c r="G64" i="58"/>
  <c r="G63" i="58"/>
  <c r="G62" i="58"/>
  <c r="G61" i="58"/>
  <c r="G60" i="58"/>
  <c r="G59" i="58"/>
  <c r="G58" i="58"/>
  <c r="G57" i="58"/>
  <c r="G56" i="58"/>
  <c r="G55" i="58"/>
  <c r="G54" i="58"/>
  <c r="G53" i="58"/>
  <c r="G52" i="58"/>
  <c r="G51" i="58"/>
  <c r="G50" i="58"/>
  <c r="G49" i="58"/>
  <c r="G48" i="58"/>
  <c r="G47" i="58"/>
  <c r="G46" i="58"/>
  <c r="G45" i="58"/>
  <c r="G44" i="58"/>
  <c r="G43" i="58"/>
  <c r="G42" i="58"/>
  <c r="G41" i="58"/>
  <c r="G40" i="58"/>
  <c r="G39" i="58"/>
  <c r="G38" i="58"/>
  <c r="G37" i="58"/>
  <c r="G36" i="58"/>
  <c r="G35" i="58"/>
  <c r="G34" i="58"/>
  <c r="G33" i="58"/>
  <c r="G31" i="58"/>
  <c r="G30" i="58"/>
  <c r="G29" i="58"/>
  <c r="G28" i="58"/>
  <c r="G27" i="58"/>
  <c r="G26" i="58"/>
  <c r="G25" i="58"/>
  <c r="G24" i="58"/>
  <c r="G23" i="58"/>
  <c r="G22" i="58"/>
  <c r="G21" i="58"/>
  <c r="G20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G7" i="58"/>
  <c r="G6" i="58"/>
  <c r="G5" i="58"/>
  <c r="G4" i="58"/>
  <c r="G3" i="58"/>
  <c r="AM83" i="57"/>
  <c r="R82" i="58" s="1"/>
  <c r="AI83" i="57"/>
  <c r="AM81" i="57"/>
  <c r="R81" i="58" s="1"/>
  <c r="AI81" i="57"/>
  <c r="AM82" i="57"/>
  <c r="R80" i="58" s="1"/>
  <c r="AI82" i="57"/>
  <c r="AM79" i="57"/>
  <c r="R79" i="58" s="1"/>
  <c r="AI79" i="57"/>
  <c r="AM80" i="57"/>
  <c r="R78" i="58" s="1"/>
  <c r="AI80" i="57"/>
  <c r="AM78" i="57"/>
  <c r="R77" i="58" s="1"/>
  <c r="AI78" i="57"/>
  <c r="AM73" i="57"/>
  <c r="R76" i="58" s="1"/>
  <c r="AI73" i="57"/>
  <c r="AM77" i="57"/>
  <c r="R75" i="58" s="1"/>
  <c r="AI77" i="57"/>
  <c r="AM76" i="57"/>
  <c r="R74" i="58" s="1"/>
  <c r="AI76" i="57"/>
  <c r="AM75" i="57"/>
  <c r="R73" i="58" s="1"/>
  <c r="AI75" i="57"/>
  <c r="AM65" i="57"/>
  <c r="R72" i="58" s="1"/>
  <c r="AI65" i="57"/>
  <c r="AM74" i="57"/>
  <c r="R71" i="58" s="1"/>
  <c r="AI74" i="57"/>
  <c r="AM71" i="57"/>
  <c r="R70" i="58" s="1"/>
  <c r="AI71" i="57"/>
  <c r="AM72" i="57"/>
  <c r="R69" i="58" s="1"/>
  <c r="AI72" i="57"/>
  <c r="AM70" i="57"/>
  <c r="R68" i="58" s="1"/>
  <c r="AI70" i="57"/>
  <c r="AM69" i="57"/>
  <c r="R67" i="58" s="1"/>
  <c r="AI69" i="57"/>
  <c r="AM43" i="57"/>
  <c r="R66" i="58" s="1"/>
  <c r="AI43" i="57"/>
  <c r="AM66" i="57"/>
  <c r="R65" i="58" s="1"/>
  <c r="AI66" i="57"/>
  <c r="AM67" i="57"/>
  <c r="R64" i="58" s="1"/>
  <c r="AI67" i="57"/>
  <c r="AM45" i="57"/>
  <c r="R63" i="58" s="1"/>
  <c r="AI45" i="57"/>
  <c r="AM68" i="57"/>
  <c r="R62" i="58" s="1"/>
  <c r="AI68" i="57"/>
  <c r="AM63" i="57"/>
  <c r="R61" i="58" s="1"/>
  <c r="AI63" i="57"/>
  <c r="AM61" i="57"/>
  <c r="R60" i="58" s="1"/>
  <c r="AI61" i="57"/>
  <c r="AM51" i="57"/>
  <c r="R59" i="58" s="1"/>
  <c r="AI51" i="57"/>
  <c r="AM62" i="57"/>
  <c r="R58" i="58" s="1"/>
  <c r="AI62" i="57"/>
  <c r="AM53" i="57"/>
  <c r="R57" i="58" s="1"/>
  <c r="AI53" i="57"/>
  <c r="AM58" i="57"/>
  <c r="R56" i="58" s="1"/>
  <c r="AI58" i="57"/>
  <c r="AM60" i="57"/>
  <c r="R55" i="58" s="1"/>
  <c r="AI60" i="57"/>
  <c r="AM64" i="57"/>
  <c r="R54" i="58" s="1"/>
  <c r="AI64" i="57"/>
  <c r="AM39" i="57"/>
  <c r="R53" i="58" s="1"/>
  <c r="AI39" i="57"/>
  <c r="AM56" i="57"/>
  <c r="R52" i="58" s="1"/>
  <c r="AI56" i="57"/>
  <c r="AM48" i="57"/>
  <c r="R51" i="58" s="1"/>
  <c r="AI48" i="57"/>
  <c r="AM42" i="57"/>
  <c r="R50" i="58" s="1"/>
  <c r="AI42" i="57"/>
  <c r="AM46" i="57"/>
  <c r="R49" i="58" s="1"/>
  <c r="AI46" i="57"/>
  <c r="AM35" i="57"/>
  <c r="R48" i="58" s="1"/>
  <c r="AI35" i="57"/>
  <c r="AM52" i="57"/>
  <c r="R47" i="58" s="1"/>
  <c r="AI52" i="57"/>
  <c r="AM37" i="57"/>
  <c r="R46" i="58" s="1"/>
  <c r="AI37" i="57"/>
  <c r="AM57" i="57"/>
  <c r="R45" i="58" s="1"/>
  <c r="AI57" i="57"/>
  <c r="AM54" i="57"/>
  <c r="R44" i="58" s="1"/>
  <c r="AI54" i="57"/>
  <c r="AM47" i="57"/>
  <c r="R43" i="58" s="1"/>
  <c r="AI47" i="57"/>
  <c r="AM59" i="57"/>
  <c r="R42" i="58" s="1"/>
  <c r="AI59" i="57"/>
  <c r="AM49" i="57"/>
  <c r="R41" i="58" s="1"/>
  <c r="AI49" i="57"/>
  <c r="AM41" i="57"/>
  <c r="R40" i="58" s="1"/>
  <c r="AI41" i="57"/>
  <c r="AM55" i="57"/>
  <c r="R39" i="58" s="1"/>
  <c r="AI55" i="57"/>
  <c r="AM36" i="57"/>
  <c r="R38" i="58" s="1"/>
  <c r="AI36" i="57"/>
  <c r="AM44" i="57"/>
  <c r="R37" i="58" s="1"/>
  <c r="AI44" i="57"/>
  <c r="AM50" i="57"/>
  <c r="R36" i="58" s="1"/>
  <c r="AI50" i="57"/>
  <c r="AM40" i="57"/>
  <c r="R35" i="58" s="1"/>
  <c r="AI40" i="57"/>
  <c r="AM38" i="57"/>
  <c r="R34" i="58" s="1"/>
  <c r="AI38" i="57"/>
  <c r="AM34" i="57"/>
  <c r="R33" i="58" s="1"/>
  <c r="AI34" i="57"/>
  <c r="AM31" i="57"/>
  <c r="R31" i="58" s="1"/>
  <c r="AI31" i="57"/>
  <c r="AM11" i="57"/>
  <c r="R30" i="58" s="1"/>
  <c r="AI11" i="57"/>
  <c r="AM30" i="57"/>
  <c r="R29" i="58" s="1"/>
  <c r="AI30" i="57"/>
  <c r="AM24" i="57"/>
  <c r="R28" i="58" s="1"/>
  <c r="AI24" i="57"/>
  <c r="AM28" i="57"/>
  <c r="R27" i="58" s="1"/>
  <c r="AI28" i="57"/>
  <c r="AM29" i="57"/>
  <c r="R26" i="58" s="1"/>
  <c r="AI29" i="57"/>
  <c r="AM26" i="57"/>
  <c r="R25" i="58" s="1"/>
  <c r="AI26" i="57"/>
  <c r="AM25" i="57"/>
  <c r="R24" i="58" s="1"/>
  <c r="AI25" i="57"/>
  <c r="AM23" i="57"/>
  <c r="R23" i="58" s="1"/>
  <c r="AI23" i="57"/>
  <c r="AM20" i="57"/>
  <c r="R22" i="58" s="1"/>
  <c r="AI20" i="57"/>
  <c r="AM22" i="57"/>
  <c r="R21" i="58" s="1"/>
  <c r="AI22" i="57"/>
  <c r="AM19" i="57"/>
  <c r="R20" i="58" s="1"/>
  <c r="AI19" i="57"/>
  <c r="AM32" i="57"/>
  <c r="R19" i="58" s="1"/>
  <c r="AI32" i="57"/>
  <c r="AM21" i="57"/>
  <c r="R18" i="58" s="1"/>
  <c r="AI21" i="57"/>
  <c r="AM17" i="57"/>
  <c r="R17" i="58" s="1"/>
  <c r="AI17" i="57"/>
  <c r="AM18" i="57"/>
  <c r="R16" i="58" s="1"/>
  <c r="AI18" i="57"/>
  <c r="AM8" i="57"/>
  <c r="R15" i="58" s="1"/>
  <c r="AI8" i="57"/>
  <c r="AM13" i="57"/>
  <c r="R14" i="58" s="1"/>
  <c r="AI13" i="57"/>
  <c r="AM16" i="57"/>
  <c r="R13" i="58" s="1"/>
  <c r="AI16" i="57"/>
  <c r="AM15" i="57"/>
  <c r="R12" i="58" s="1"/>
  <c r="AI15" i="57"/>
  <c r="AM12" i="57"/>
  <c r="R11" i="58" s="1"/>
  <c r="AI12" i="57"/>
  <c r="AM27" i="57"/>
  <c r="R10" i="58" s="1"/>
  <c r="AI27" i="57"/>
  <c r="AM14" i="57"/>
  <c r="R9" i="58" s="1"/>
  <c r="AI14" i="57"/>
  <c r="AM4" i="57"/>
  <c r="R8" i="58" s="1"/>
  <c r="AI4" i="57"/>
  <c r="AM10" i="57"/>
  <c r="R7" i="58" s="1"/>
  <c r="AI10" i="57"/>
  <c r="AM9" i="57"/>
  <c r="R6" i="58" s="1"/>
  <c r="AI9" i="57"/>
  <c r="AM5" i="57"/>
  <c r="R5" i="58" s="1"/>
  <c r="AI5" i="57"/>
  <c r="AM6" i="57"/>
  <c r="R4" i="58" s="1"/>
  <c r="AI6" i="57"/>
  <c r="AM7" i="57"/>
  <c r="R3" i="58" s="1"/>
  <c r="AI7" i="57"/>
  <c r="AB32" i="57" l="1"/>
  <c r="Z32" i="57"/>
  <c r="D12" i="57"/>
  <c r="AP46" i="57"/>
  <c r="AP61" i="57"/>
  <c r="AP77" i="57"/>
  <c r="AP74" i="57"/>
  <c r="AP69" i="57"/>
  <c r="AP67" i="57"/>
  <c r="AP50" i="57"/>
  <c r="AP43" i="57"/>
  <c r="AL69" i="57"/>
  <c r="P67" i="58" s="1"/>
  <c r="Q67" i="58" s="1"/>
  <c r="T69" i="57"/>
  <c r="R69" i="57"/>
  <c r="AB69" i="57"/>
  <c r="Z69" i="57"/>
  <c r="AB80" i="57"/>
  <c r="X80" i="57"/>
  <c r="V80" i="57"/>
  <c r="Z27" i="57"/>
  <c r="AP42" i="57"/>
  <c r="AP64" i="57"/>
  <c r="AP82" i="57"/>
  <c r="AP80" i="57"/>
  <c r="AP60" i="57"/>
  <c r="AP79" i="57"/>
  <c r="AP54" i="57"/>
  <c r="AP78" i="57"/>
  <c r="AP51" i="57"/>
  <c r="AP76" i="57"/>
  <c r="AP48" i="57"/>
  <c r="AD38" i="57"/>
  <c r="Z38" i="57"/>
  <c r="AB38" i="57"/>
  <c r="AD78" i="57"/>
  <c r="V78" i="57"/>
  <c r="X78" i="57"/>
  <c r="AP39" i="57"/>
  <c r="T39" i="57"/>
  <c r="Z39" i="57"/>
  <c r="Z51" i="57"/>
  <c r="R51" i="57"/>
  <c r="V51" i="57"/>
  <c r="AB79" i="57"/>
  <c r="R79" i="57"/>
  <c r="X79" i="57"/>
  <c r="V79" i="57"/>
  <c r="AD58" i="57"/>
  <c r="AB58" i="57"/>
  <c r="X58" i="57"/>
  <c r="V58" i="57"/>
  <c r="R58" i="57"/>
  <c r="R61" i="57"/>
  <c r="Z61" i="57"/>
  <c r="T28" i="57"/>
  <c r="V38" i="57"/>
  <c r="X38" i="57"/>
  <c r="Z10" i="57"/>
  <c r="AB39" i="57"/>
  <c r="R78" i="57"/>
  <c r="T38" i="57"/>
  <c r="R38" i="57"/>
  <c r="X39" i="57"/>
  <c r="AB78" i="57"/>
  <c r="R39" i="57"/>
  <c r="T71" i="57"/>
  <c r="X32" i="57"/>
  <c r="AB41" i="57"/>
  <c r="T41" i="57"/>
  <c r="X41" i="57"/>
  <c r="AD41" i="57"/>
  <c r="AP59" i="57"/>
  <c r="X59" i="57"/>
  <c r="R59" i="57"/>
  <c r="AD59" i="57"/>
  <c r="Z59" i="57"/>
  <c r="T59" i="57"/>
  <c r="AB59" i="57"/>
  <c r="AH59" i="57"/>
  <c r="AL59" i="57"/>
  <c r="P42" i="58" s="1"/>
  <c r="Q42" i="58" s="1"/>
  <c r="V59" i="57"/>
  <c r="X37" i="57"/>
  <c r="Z37" i="57"/>
  <c r="R37" i="57"/>
  <c r="AB37" i="57"/>
  <c r="V37" i="57"/>
  <c r="AB66" i="57"/>
  <c r="AP66" i="57"/>
  <c r="R66" i="57"/>
  <c r="AL40" i="57"/>
  <c r="P35" i="58" s="1"/>
  <c r="Q35" i="58" s="1"/>
  <c r="Z40" i="57"/>
  <c r="X40" i="57"/>
  <c r="R40" i="57"/>
  <c r="T40" i="57"/>
  <c r="AP40" i="57"/>
  <c r="AD40" i="57"/>
  <c r="AH40" i="57"/>
  <c r="V40" i="57"/>
  <c r="AB40" i="57"/>
  <c r="V45" i="57"/>
  <c r="R45" i="57"/>
  <c r="Z45" i="57"/>
  <c r="X45" i="57"/>
  <c r="AD45" i="57"/>
  <c r="V56" i="57"/>
  <c r="T56" i="57"/>
  <c r="AB56" i="57"/>
  <c r="AP56" i="57"/>
  <c r="X56" i="57"/>
  <c r="R56" i="57"/>
  <c r="V44" i="57"/>
  <c r="AL44" i="57"/>
  <c r="P37" i="58" s="1"/>
  <c r="Q37" i="58" s="1"/>
  <c r="Z44" i="57"/>
  <c r="AH44" i="57"/>
  <c r="R57" i="57"/>
  <c r="T57" i="57"/>
  <c r="V57" i="57"/>
  <c r="R67" i="57"/>
  <c r="Z67" i="57"/>
  <c r="T67" i="57"/>
  <c r="AB34" i="57"/>
  <c r="T34" i="57"/>
  <c r="R34" i="57"/>
  <c r="AH34" i="57"/>
  <c r="AL34" i="57"/>
  <c r="P33" i="58" s="1"/>
  <c r="Q33" i="58" s="1"/>
  <c r="Z34" i="57"/>
  <c r="X34" i="57"/>
  <c r="AP49" i="57"/>
  <c r="AH49" i="57"/>
  <c r="R49" i="57"/>
  <c r="V49" i="57"/>
  <c r="AL49" i="57"/>
  <c r="P41" i="58" s="1"/>
  <c r="Q41" i="58" s="1"/>
  <c r="AD49" i="57"/>
  <c r="T49" i="57"/>
  <c r="AB49" i="57"/>
  <c r="Z49" i="57"/>
  <c r="X49" i="57"/>
  <c r="X65" i="57"/>
  <c r="Z65" i="57"/>
  <c r="AD65" i="57"/>
  <c r="R75" i="57"/>
  <c r="Z75" i="57"/>
  <c r="X70" i="57"/>
  <c r="AL70" i="57"/>
  <c r="P68" i="58" s="1"/>
  <c r="Q68" i="58" s="1"/>
  <c r="V70" i="57"/>
  <c r="R70" i="57"/>
  <c r="AP70" i="57"/>
  <c r="AD70" i="57"/>
  <c r="AB70" i="57"/>
  <c r="Z70" i="57"/>
  <c r="T70" i="57"/>
  <c r="AH70" i="57"/>
  <c r="V36" i="57"/>
  <c r="X36" i="57"/>
  <c r="T36" i="57"/>
  <c r="AB36" i="57"/>
  <c r="R36" i="57"/>
  <c r="AB50" i="57"/>
  <c r="Z50" i="57"/>
  <c r="AH50" i="57"/>
  <c r="V50" i="57"/>
  <c r="AL50" i="57"/>
  <c r="P36" i="58" s="1"/>
  <c r="Q36" i="58" s="1"/>
  <c r="X50" i="57"/>
  <c r="T50" i="57"/>
  <c r="R50" i="57"/>
  <c r="AD50" i="57"/>
  <c r="AL35" i="57"/>
  <c r="P48" i="58" s="1"/>
  <c r="Q48" i="58" s="1"/>
  <c r="V35" i="57"/>
  <c r="R35" i="57"/>
  <c r="AB35" i="57"/>
  <c r="AD35" i="57"/>
  <c r="Z35" i="57"/>
  <c r="V47" i="57"/>
  <c r="X47" i="57"/>
  <c r="Z47" i="57"/>
  <c r="R47" i="57"/>
  <c r="AD68" i="57"/>
  <c r="V68" i="57"/>
  <c r="R68" i="57"/>
  <c r="AP68" i="57"/>
  <c r="X68" i="57"/>
  <c r="AH68" i="57"/>
  <c r="AB68" i="57"/>
  <c r="Z68" i="57"/>
  <c r="T68" i="57"/>
  <c r="AL68" i="57"/>
  <c r="P62" i="58" s="1"/>
  <c r="Q62" i="58" s="1"/>
  <c r="T43" i="57"/>
  <c r="Z43" i="57"/>
  <c r="V55" i="57"/>
  <c r="AD55" i="57"/>
  <c r="Z55" i="57"/>
  <c r="AB52" i="57"/>
  <c r="V52" i="57"/>
  <c r="V46" i="57"/>
  <c r="X46" i="57"/>
  <c r="R46" i="57"/>
  <c r="AB46" i="57"/>
  <c r="T46" i="57"/>
  <c r="AD48" i="57"/>
  <c r="AH48" i="57"/>
  <c r="Z48" i="57"/>
  <c r="T48" i="57"/>
  <c r="V48" i="57"/>
  <c r="X48" i="57"/>
  <c r="AL48" i="57"/>
  <c r="P51" i="58" s="1"/>
  <c r="Q51" i="58" s="1"/>
  <c r="R48" i="57"/>
  <c r="AB48" i="57"/>
  <c r="AB60" i="57"/>
  <c r="X60" i="57"/>
  <c r="R60" i="57"/>
  <c r="AD60" i="57"/>
  <c r="Z60" i="57"/>
  <c r="T60" i="57"/>
  <c r="AH60" i="57"/>
  <c r="AL60" i="57"/>
  <c r="P55" i="58" s="1"/>
  <c r="Q55" i="58" s="1"/>
  <c r="V60" i="57"/>
  <c r="AB72" i="57"/>
  <c r="V72" i="57"/>
  <c r="AL39" i="57"/>
  <c r="P53" i="58" s="1"/>
  <c r="Q53" i="58" s="1"/>
  <c r="R5" i="57"/>
  <c r="AB9" i="57"/>
  <c r="R80" i="57"/>
  <c r="T80" i="57"/>
  <c r="V39" i="57"/>
  <c r="X17" i="57"/>
  <c r="Z54" i="57"/>
  <c r="AH69" i="57"/>
  <c r="AL38" i="57"/>
  <c r="P34" i="58" s="1"/>
  <c r="Q34" i="58" s="1"/>
  <c r="AD80" i="57"/>
  <c r="AH39" i="57"/>
  <c r="AD79" i="57"/>
  <c r="AH38" i="57"/>
  <c r="AL58" i="57"/>
  <c r="P56" i="58" s="1"/>
  <c r="Q56" i="58" s="1"/>
  <c r="AP58" i="57"/>
  <c r="AL54" i="57"/>
  <c r="P44" i="58" s="1"/>
  <c r="Q44" i="58" s="1"/>
  <c r="AD69" i="57"/>
  <c r="AD39" i="57"/>
  <c r="AH58" i="57"/>
  <c r="AL80" i="57"/>
  <c r="P78" i="58" s="1"/>
  <c r="Q78" i="58" s="1"/>
  <c r="AH54" i="57"/>
  <c r="AL79" i="57"/>
  <c r="P79" i="58" s="1"/>
  <c r="Q79" i="58" s="1"/>
  <c r="AP38" i="57"/>
  <c r="T58" i="57"/>
  <c r="Z80" i="57"/>
  <c r="Z24" i="57"/>
  <c r="AH80" i="57"/>
  <c r="AL78" i="57"/>
  <c r="P77" i="58" s="1"/>
  <c r="Q77" i="58" s="1"/>
  <c r="V71" i="57"/>
  <c r="X69" i="57"/>
  <c r="Z8" i="57"/>
  <c r="T79" i="57"/>
  <c r="V69" i="57"/>
  <c r="V9" i="57"/>
  <c r="Z79" i="57"/>
  <c r="AB51" i="57"/>
  <c r="AH79" i="57"/>
  <c r="T78" i="57"/>
  <c r="V42" i="57"/>
  <c r="Z78" i="57"/>
  <c r="Z58" i="57"/>
  <c r="AH78" i="57"/>
  <c r="AP16" i="57"/>
  <c r="AD16" i="57"/>
  <c r="AB16" i="57"/>
  <c r="T16" i="57"/>
  <c r="AL16" i="57"/>
  <c r="P13" i="58" s="1"/>
  <c r="Q13" i="58" s="1"/>
  <c r="Z16" i="57"/>
  <c r="AH16" i="57"/>
  <c r="V16" i="57"/>
  <c r="X16" i="57"/>
  <c r="R15" i="57"/>
  <c r="AL5" i="57"/>
  <c r="P5" i="58" s="1"/>
  <c r="Q5" i="58" s="1"/>
  <c r="X5" i="57"/>
  <c r="AB5" i="57"/>
  <c r="Z5" i="57"/>
  <c r="AH5" i="57"/>
  <c r="AP5" i="57"/>
  <c r="AD5" i="57"/>
  <c r="AB29" i="57"/>
  <c r="Z29" i="57"/>
  <c r="X29" i="57"/>
  <c r="AD29" i="57"/>
  <c r="AL29" i="57"/>
  <c r="P26" i="58" s="1"/>
  <c r="Q26" i="58" s="1"/>
  <c r="AH29" i="57"/>
  <c r="AP29" i="57"/>
  <c r="V29" i="57"/>
  <c r="Z14" i="57"/>
  <c r="AH14" i="57"/>
  <c r="AP14" i="57"/>
  <c r="AD14" i="57"/>
  <c r="AL14" i="57"/>
  <c r="P9" i="58" s="1"/>
  <c r="Q9" i="58" s="1"/>
  <c r="T73" i="57"/>
  <c r="AP73" i="57"/>
  <c r="AD73" i="57"/>
  <c r="AL73" i="57"/>
  <c r="P76" i="58" s="1"/>
  <c r="Q76" i="58" s="1"/>
  <c r="AH73" i="57"/>
  <c r="V15" i="57"/>
  <c r="AB27" i="57"/>
  <c r="AD18" i="57"/>
  <c r="Z18" i="57"/>
  <c r="R18" i="57"/>
  <c r="V18" i="57"/>
  <c r="AB18" i="57"/>
  <c r="AL18" i="57"/>
  <c r="P16" i="58" s="1"/>
  <c r="Q16" i="58" s="1"/>
  <c r="AP18" i="57"/>
  <c r="AH18" i="57"/>
  <c r="X18" i="57"/>
  <c r="AB13" i="57"/>
  <c r="AH13" i="57"/>
  <c r="AP13" i="57"/>
  <c r="AD13" i="57"/>
  <c r="AL13" i="57"/>
  <c r="P14" i="58" s="1"/>
  <c r="Q14" i="58" s="1"/>
  <c r="T27" i="57"/>
  <c r="Z15" i="57"/>
  <c r="AB12" i="57"/>
  <c r="AH12" i="57"/>
  <c r="AP12" i="57"/>
  <c r="AD12" i="57"/>
  <c r="AL12" i="57"/>
  <c r="P11" i="58" s="1"/>
  <c r="Q11" i="58" s="1"/>
  <c r="T15" i="57"/>
  <c r="AH8" i="57"/>
  <c r="X8" i="57"/>
  <c r="AP8" i="57"/>
  <c r="AD8" i="57"/>
  <c r="AL8" i="57"/>
  <c r="P15" i="58" s="1"/>
  <c r="Q15" i="58" s="1"/>
  <c r="T17" i="57"/>
  <c r="R17" i="57"/>
  <c r="AB17" i="57"/>
  <c r="Z17" i="57"/>
  <c r="AL17" i="57"/>
  <c r="P17" i="58" s="1"/>
  <c r="Q17" i="58" s="1"/>
  <c r="AP17" i="57"/>
  <c r="AH17" i="57"/>
  <c r="AD17" i="57"/>
  <c r="T24" i="57"/>
  <c r="AL24" i="57"/>
  <c r="P28" i="58" s="1"/>
  <c r="Q28" i="58" s="1"/>
  <c r="AP24" i="57"/>
  <c r="AH24" i="57"/>
  <c r="AD24" i="57"/>
  <c r="T8" i="57"/>
  <c r="V5" i="57"/>
  <c r="V7" i="57"/>
  <c r="AP7" i="57"/>
  <c r="AD7" i="57"/>
  <c r="AL7" i="57"/>
  <c r="P3" i="58" s="1"/>
  <c r="Q3" i="58" s="1"/>
  <c r="AH7" i="57"/>
  <c r="T23" i="57"/>
  <c r="AP23" i="57"/>
  <c r="V23" i="57"/>
  <c r="AH23" i="57"/>
  <c r="AD23" i="57"/>
  <c r="AL23" i="57"/>
  <c r="P23" i="58" s="1"/>
  <c r="Q23" i="58" s="1"/>
  <c r="V31" i="57"/>
  <c r="R31" i="57"/>
  <c r="AB31" i="57"/>
  <c r="Z31" i="57"/>
  <c r="AD31" i="57"/>
  <c r="AL31" i="57"/>
  <c r="P31" i="58" s="1"/>
  <c r="Q31" i="58" s="1"/>
  <c r="AH31" i="57"/>
  <c r="AP31" i="57"/>
  <c r="AP6" i="57"/>
  <c r="AD6" i="57"/>
  <c r="AL6" i="57"/>
  <c r="P4" i="58" s="1"/>
  <c r="Q4" i="58" s="1"/>
  <c r="R6" i="57"/>
  <c r="AH6" i="57"/>
  <c r="T21" i="57"/>
  <c r="AH21" i="57"/>
  <c r="V21" i="57"/>
  <c r="AD21" i="57"/>
  <c r="AL21" i="57"/>
  <c r="P18" i="58" s="1"/>
  <c r="Q18" i="58" s="1"/>
  <c r="AP21" i="57"/>
  <c r="Z77" i="57"/>
  <c r="AD77" i="57"/>
  <c r="AL77" i="57"/>
  <c r="P75" i="58" s="1"/>
  <c r="Q75" i="58" s="1"/>
  <c r="AH77" i="57"/>
  <c r="X77" i="57"/>
  <c r="AB77" i="57"/>
  <c r="V77" i="57"/>
  <c r="AB57" i="57"/>
  <c r="X57" i="57"/>
  <c r="AD57" i="57"/>
  <c r="AL57" i="57"/>
  <c r="P45" i="58" s="1"/>
  <c r="Q45" i="58" s="1"/>
  <c r="AH57" i="57"/>
  <c r="AP57" i="57"/>
  <c r="R8" i="57"/>
  <c r="T77" i="57"/>
  <c r="AB8" i="57"/>
  <c r="T22" i="57"/>
  <c r="AH22" i="57"/>
  <c r="AD22" i="57"/>
  <c r="AL22" i="57"/>
  <c r="P21" i="58" s="1"/>
  <c r="Q21" i="58" s="1"/>
  <c r="AP22" i="57"/>
  <c r="R30" i="57"/>
  <c r="X30" i="57"/>
  <c r="AB30" i="57"/>
  <c r="Z30" i="57"/>
  <c r="AD30" i="57"/>
  <c r="AL30" i="57"/>
  <c r="P29" i="58" s="1"/>
  <c r="Q29" i="58" s="1"/>
  <c r="AH30" i="57"/>
  <c r="AP30" i="57"/>
  <c r="X25" i="57"/>
  <c r="AL25" i="57"/>
  <c r="P24" i="58" s="1"/>
  <c r="Q24" i="58" s="1"/>
  <c r="AP25" i="57"/>
  <c r="T25" i="57"/>
  <c r="AH25" i="57"/>
  <c r="AD25" i="57"/>
  <c r="AB25" i="57"/>
  <c r="Z25" i="57"/>
  <c r="AL15" i="57"/>
  <c r="P12" i="58" s="1"/>
  <c r="Q12" i="58" s="1"/>
  <c r="X15" i="57"/>
  <c r="AH15" i="57"/>
  <c r="AP15" i="57"/>
  <c r="AD15" i="57"/>
  <c r="R27" i="57"/>
  <c r="AD27" i="57"/>
  <c r="AL27" i="57"/>
  <c r="P10" i="58" s="1"/>
  <c r="Q10" i="58" s="1"/>
  <c r="AH27" i="57"/>
  <c r="AP27" i="57"/>
  <c r="R26" i="57"/>
  <c r="X26" i="57"/>
  <c r="AL26" i="57"/>
  <c r="P25" i="58" s="1"/>
  <c r="Q25" i="58" s="1"/>
  <c r="AH26" i="57"/>
  <c r="AP26" i="57"/>
  <c r="AD26" i="57"/>
  <c r="R22" i="57"/>
  <c r="R29" i="57"/>
  <c r="T31" i="57"/>
  <c r="Z21" i="57"/>
  <c r="AB7" i="57"/>
  <c r="X9" i="57"/>
  <c r="AP9" i="57"/>
  <c r="AD9" i="57"/>
  <c r="AL9" i="57"/>
  <c r="P6" i="58" s="1"/>
  <c r="Q6" i="58" s="1"/>
  <c r="AH9" i="57"/>
  <c r="T9" i="57"/>
  <c r="R9" i="57"/>
  <c r="X20" i="57"/>
  <c r="R20" i="57"/>
  <c r="AH20" i="57"/>
  <c r="V20" i="57"/>
  <c r="AD20" i="57"/>
  <c r="T20" i="57"/>
  <c r="AB20" i="57"/>
  <c r="AL20" i="57"/>
  <c r="P22" i="58" s="1"/>
  <c r="Q22" i="58" s="1"/>
  <c r="AP20" i="57"/>
  <c r="AH19" i="57"/>
  <c r="V19" i="57"/>
  <c r="AD19" i="57"/>
  <c r="T19" i="57"/>
  <c r="R19" i="57"/>
  <c r="AB19" i="57"/>
  <c r="AL19" i="57"/>
  <c r="P20" i="58" s="1"/>
  <c r="Q20" i="58" s="1"/>
  <c r="AP19" i="57"/>
  <c r="R21" i="57"/>
  <c r="R25" i="57"/>
  <c r="T30" i="57"/>
  <c r="V24" i="57"/>
  <c r="Z57" i="57"/>
  <c r="Z19" i="57"/>
  <c r="AP4" i="57"/>
  <c r="AL4" i="57"/>
  <c r="P8" i="58" s="1"/>
  <c r="Q8" i="58" s="1"/>
  <c r="AH4" i="57"/>
  <c r="AB28" i="57"/>
  <c r="Z28" i="57"/>
  <c r="X28" i="57"/>
  <c r="AD28" i="57"/>
  <c r="AL28" i="57"/>
  <c r="P27" i="58" s="1"/>
  <c r="Q27" i="58" s="1"/>
  <c r="AH28" i="57"/>
  <c r="AP28" i="57"/>
  <c r="R28" i="57"/>
  <c r="AD75" i="57"/>
  <c r="AH11" i="57"/>
  <c r="AH83" i="57"/>
  <c r="AH74" i="57"/>
  <c r="AH64" i="57"/>
  <c r="AL83" i="57"/>
  <c r="P82" i="58" s="1"/>
  <c r="Q82" i="58" s="1"/>
  <c r="AL74" i="57"/>
  <c r="P71" i="58" s="1"/>
  <c r="Q71" i="58" s="1"/>
  <c r="AL64" i="57"/>
  <c r="P54" i="58" s="1"/>
  <c r="Q54" i="58" s="1"/>
  <c r="AP32" i="57"/>
  <c r="R65" i="57"/>
  <c r="T61" i="57"/>
  <c r="T47" i="57"/>
  <c r="T32" i="57"/>
  <c r="V41" i="57"/>
  <c r="X67" i="57"/>
  <c r="X35" i="57"/>
  <c r="Z11" i="57"/>
  <c r="Z71" i="57"/>
  <c r="AB55" i="57"/>
  <c r="AB10" i="57"/>
  <c r="AD83" i="57"/>
  <c r="AD74" i="57"/>
  <c r="AD64" i="57"/>
  <c r="AD54" i="57"/>
  <c r="AD44" i="57"/>
  <c r="AD34" i="57"/>
  <c r="AH10" i="57"/>
  <c r="AH63" i="57"/>
  <c r="AH53" i="57"/>
  <c r="AH43" i="57"/>
  <c r="AH32" i="57"/>
  <c r="AL63" i="57"/>
  <c r="P61" i="58" s="1"/>
  <c r="Q61" i="58" s="1"/>
  <c r="AL53" i="57"/>
  <c r="P57" i="58" s="1"/>
  <c r="Q57" i="58" s="1"/>
  <c r="AL43" i="57"/>
  <c r="P66" i="58" s="1"/>
  <c r="Q66" i="58" s="1"/>
  <c r="AL32" i="57"/>
  <c r="P19" i="58" s="1"/>
  <c r="Q19" i="58" s="1"/>
  <c r="AD63" i="57"/>
  <c r="AD53" i="57"/>
  <c r="AD43" i="57"/>
  <c r="AD32" i="57"/>
  <c r="AH82" i="57"/>
  <c r="AH72" i="57"/>
  <c r="AH62" i="57"/>
  <c r="AH52" i="57"/>
  <c r="AH42" i="57"/>
  <c r="AL82" i="57"/>
  <c r="P80" i="58" s="1"/>
  <c r="Q80" i="58" s="1"/>
  <c r="AL72" i="57"/>
  <c r="P69" i="58" s="1"/>
  <c r="Q69" i="58" s="1"/>
  <c r="AL62" i="57"/>
  <c r="P58" i="58" s="1"/>
  <c r="Q58" i="58" s="1"/>
  <c r="AL52" i="57"/>
  <c r="P47" i="58" s="1"/>
  <c r="Q47" i="58" s="1"/>
  <c r="AL42" i="57"/>
  <c r="P50" i="58" s="1"/>
  <c r="Q50" i="58" s="1"/>
  <c r="AP41" i="57"/>
  <c r="AD82" i="57"/>
  <c r="AD72" i="57"/>
  <c r="AD62" i="57"/>
  <c r="AD52" i="57"/>
  <c r="AD42" i="57"/>
  <c r="AH81" i="57"/>
  <c r="AH71" i="57"/>
  <c r="AH61" i="57"/>
  <c r="AH51" i="57"/>
  <c r="AH41" i="57"/>
  <c r="AL11" i="57"/>
  <c r="P30" i="58" s="1"/>
  <c r="Q30" i="58" s="1"/>
  <c r="AL81" i="57"/>
  <c r="P81" i="58" s="1"/>
  <c r="Q81" i="58" s="1"/>
  <c r="AL71" i="57"/>
  <c r="P70" i="58" s="1"/>
  <c r="Q70" i="58" s="1"/>
  <c r="AL61" i="57"/>
  <c r="P60" i="58" s="1"/>
  <c r="Q60" i="58" s="1"/>
  <c r="AL51" i="57"/>
  <c r="P59" i="58" s="1"/>
  <c r="Q59" i="58" s="1"/>
  <c r="AL41" i="57"/>
  <c r="P40" i="58" s="1"/>
  <c r="Q40" i="58" s="1"/>
  <c r="AP47" i="57"/>
  <c r="AD11" i="57"/>
  <c r="AD81" i="57"/>
  <c r="AD71" i="57"/>
  <c r="AD61" i="57"/>
  <c r="AD51" i="57"/>
  <c r="AL10" i="57"/>
  <c r="P7" i="58" s="1"/>
  <c r="Q7" i="58" s="1"/>
  <c r="AP11" i="57"/>
  <c r="AD10" i="57"/>
  <c r="AP10" i="57"/>
  <c r="AP75" i="57"/>
  <c r="AP65" i="57"/>
  <c r="AP55" i="57"/>
  <c r="AP45" i="57"/>
  <c r="AP37" i="57"/>
  <c r="AP83" i="57"/>
  <c r="AP44" i="57"/>
  <c r="AB67" i="57"/>
  <c r="V82" i="57"/>
  <c r="AB47" i="57"/>
  <c r="R55" i="57"/>
  <c r="R44" i="57"/>
  <c r="R32" i="57"/>
  <c r="T51" i="57"/>
  <c r="T37" i="57"/>
  <c r="V81" i="57"/>
  <c r="V67" i="57"/>
  <c r="V34" i="57"/>
  <c r="X55" i="57"/>
  <c r="Z64" i="57"/>
  <c r="Z53" i="57"/>
  <c r="Z42" i="57"/>
  <c r="AH67" i="57"/>
  <c r="AH47" i="57"/>
  <c r="AH37" i="57"/>
  <c r="AL67" i="57"/>
  <c r="P64" i="58" s="1"/>
  <c r="Q64" i="58" s="1"/>
  <c r="AL47" i="57"/>
  <c r="P43" i="58" s="1"/>
  <c r="Q43" i="58" s="1"/>
  <c r="AL37" i="57"/>
  <c r="P46" i="58" s="1"/>
  <c r="Q46" i="58" s="1"/>
  <c r="AP36" i="57"/>
  <c r="AP63" i="57"/>
  <c r="AP53" i="57"/>
  <c r="R54" i="57"/>
  <c r="R43" i="57"/>
  <c r="V62" i="57"/>
  <c r="V32" i="57"/>
  <c r="X51" i="57"/>
  <c r="Z63" i="57"/>
  <c r="Z52" i="57"/>
  <c r="Z41" i="57"/>
  <c r="AB45" i="57"/>
  <c r="AD67" i="57"/>
  <c r="AD47" i="57"/>
  <c r="AD37" i="57"/>
  <c r="AH76" i="57"/>
  <c r="AH66" i="57"/>
  <c r="AH56" i="57"/>
  <c r="AH46" i="57"/>
  <c r="AH36" i="57"/>
  <c r="AL76" i="57"/>
  <c r="P74" i="58" s="1"/>
  <c r="Q74" i="58" s="1"/>
  <c r="AL66" i="57"/>
  <c r="P65" i="58" s="1"/>
  <c r="Q65" i="58" s="1"/>
  <c r="AL56" i="57"/>
  <c r="P52" i="58" s="1"/>
  <c r="Q52" i="58" s="1"/>
  <c r="AL46" i="57"/>
  <c r="P49" i="58" s="1"/>
  <c r="Q49" i="58" s="1"/>
  <c r="AL36" i="57"/>
  <c r="P38" i="58" s="1"/>
  <c r="Q38" i="58" s="1"/>
  <c r="AP35" i="57"/>
  <c r="AP72" i="57"/>
  <c r="AP62" i="57"/>
  <c r="AP52" i="57"/>
  <c r="R53" i="57"/>
  <c r="R41" i="57"/>
  <c r="T35" i="57"/>
  <c r="V61" i="57"/>
  <c r="Z62" i="57"/>
  <c r="AD76" i="57"/>
  <c r="AD66" i="57"/>
  <c r="AD56" i="57"/>
  <c r="AD46" i="57"/>
  <c r="AD36" i="57"/>
  <c r="AH75" i="57"/>
  <c r="AH65" i="57"/>
  <c r="AH55" i="57"/>
  <c r="AH45" i="57"/>
  <c r="AH35" i="57"/>
  <c r="AL75" i="57"/>
  <c r="P73" i="58" s="1"/>
  <c r="Q73" i="58" s="1"/>
  <c r="AL65" i="57"/>
  <c r="P72" i="58" s="1"/>
  <c r="Q72" i="58" s="1"/>
  <c r="AL55" i="57"/>
  <c r="P39" i="58" s="1"/>
  <c r="Q39" i="58" s="1"/>
  <c r="AL45" i="57"/>
  <c r="P63" i="58" s="1"/>
  <c r="Q63" i="58" s="1"/>
  <c r="AP34" i="57"/>
  <c r="AR34" i="57" s="1"/>
  <c r="AP81" i="57"/>
  <c r="AP71" i="57"/>
  <c r="Z74" i="57"/>
  <c r="R73" i="57"/>
  <c r="X75" i="57"/>
  <c r="T72" i="57"/>
  <c r="T62" i="57"/>
  <c r="T52" i="57"/>
  <c r="T42" i="57"/>
  <c r="V73" i="57"/>
  <c r="V63" i="57"/>
  <c r="V53" i="57"/>
  <c r="V43" i="57"/>
  <c r="X81" i="57"/>
  <c r="X71" i="57"/>
  <c r="X61" i="57"/>
  <c r="Z76" i="57"/>
  <c r="Z66" i="57"/>
  <c r="Z56" i="57"/>
  <c r="Z46" i="57"/>
  <c r="Z36" i="57"/>
  <c r="AB81" i="57"/>
  <c r="AB71" i="57"/>
  <c r="AB61" i="57"/>
  <c r="R83" i="57"/>
  <c r="AB65" i="57"/>
  <c r="R82" i="57"/>
  <c r="R72" i="57"/>
  <c r="R62" i="57"/>
  <c r="R52" i="57"/>
  <c r="R42" i="57"/>
  <c r="T75" i="57"/>
  <c r="T65" i="57"/>
  <c r="T55" i="57"/>
  <c r="T45" i="57"/>
  <c r="T81" i="57"/>
  <c r="V76" i="57"/>
  <c r="V66" i="57"/>
  <c r="X83" i="57"/>
  <c r="X74" i="57"/>
  <c r="X64" i="57"/>
  <c r="X54" i="57"/>
  <c r="X44" i="57"/>
  <c r="AB83" i="57"/>
  <c r="AB74" i="57"/>
  <c r="AB64" i="57"/>
  <c r="AB54" i="57"/>
  <c r="AB44" i="57"/>
  <c r="Z83" i="57"/>
  <c r="R76" i="57"/>
  <c r="Z73" i="57"/>
  <c r="Z82" i="57"/>
  <c r="R74" i="57"/>
  <c r="X76" i="57"/>
  <c r="X66" i="57"/>
  <c r="Z81" i="57"/>
  <c r="AB76" i="57"/>
  <c r="T66" i="57"/>
  <c r="T82" i="57"/>
  <c r="AB75" i="57"/>
  <c r="T74" i="57"/>
  <c r="T64" i="57"/>
  <c r="T54" i="57"/>
  <c r="T44" i="57"/>
  <c r="V75" i="57"/>
  <c r="V65" i="57"/>
  <c r="X73" i="57"/>
  <c r="X63" i="57"/>
  <c r="X53" i="57"/>
  <c r="X43" i="57"/>
  <c r="AB73" i="57"/>
  <c r="AB63" i="57"/>
  <c r="AB53" i="57"/>
  <c r="AB43" i="57"/>
  <c r="T83" i="57"/>
  <c r="Z72" i="57"/>
  <c r="R64" i="57"/>
  <c r="R63" i="57"/>
  <c r="X82" i="57"/>
  <c r="X72" i="57"/>
  <c r="X62" i="57"/>
  <c r="X52" i="57"/>
  <c r="X42" i="57"/>
  <c r="Z23" i="57"/>
  <c r="R24" i="57"/>
  <c r="V26" i="57"/>
  <c r="AB26" i="57"/>
  <c r="R23" i="57"/>
  <c r="X27" i="57"/>
  <c r="Z26" i="57"/>
  <c r="X23" i="57"/>
  <c r="Z22" i="57"/>
  <c r="T26" i="57"/>
  <c r="V22" i="57"/>
  <c r="AB22" i="57"/>
  <c r="Z20" i="57"/>
  <c r="X22" i="57"/>
  <c r="X21" i="57"/>
  <c r="X24" i="57"/>
  <c r="T14" i="57"/>
  <c r="V14" i="57"/>
  <c r="X13" i="57"/>
  <c r="R14" i="57"/>
  <c r="T12" i="57"/>
  <c r="V13" i="57"/>
  <c r="X12" i="57"/>
  <c r="Z12" i="57"/>
  <c r="R7" i="57"/>
  <c r="R12" i="57"/>
  <c r="T10" i="57"/>
  <c r="V12" i="57"/>
  <c r="X11" i="57"/>
  <c r="R10" i="57"/>
  <c r="V10" i="57"/>
  <c r="T13" i="57"/>
  <c r="AB14" i="57"/>
  <c r="Z13" i="57"/>
  <c r="X14" i="57"/>
  <c r="T7" i="57"/>
  <c r="R16" i="57"/>
  <c r="T18" i="57"/>
  <c r="R13" i="57"/>
  <c r="V6" i="57"/>
  <c r="X7" i="57"/>
  <c r="Z7" i="57"/>
  <c r="AB6" i="57"/>
  <c r="X6" i="57"/>
  <c r="Z6" i="57"/>
  <c r="T11" i="57"/>
  <c r="R11" i="57"/>
  <c r="T6" i="57"/>
  <c r="V11" i="57"/>
  <c r="X4" i="57"/>
  <c r="Z4" i="57"/>
  <c r="T4" i="57"/>
  <c r="R4" i="57"/>
  <c r="AB4" i="57"/>
  <c r="AD4" i="57"/>
  <c r="V4" i="57"/>
  <c r="AE21" i="57"/>
  <c r="AE42" i="57"/>
  <c r="AE39" i="57"/>
  <c r="AE19" i="57"/>
  <c r="AE10" i="57"/>
  <c r="AE50" i="57"/>
  <c r="AE30" i="57"/>
  <c r="AE62" i="57"/>
  <c r="AE60" i="57"/>
  <c r="AE51" i="57"/>
  <c r="AE18" i="57"/>
  <c r="AE29" i="57"/>
  <c r="AE38" i="57"/>
  <c r="AE49" i="57"/>
  <c r="AE57" i="57"/>
  <c r="AE58" i="57"/>
  <c r="AE83" i="57"/>
  <c r="AE4" i="57"/>
  <c r="AE79" i="57"/>
  <c r="AE5" i="57"/>
  <c r="AE9" i="57"/>
  <c r="AE71" i="57"/>
  <c r="AE52" i="57"/>
  <c r="AE81" i="57"/>
  <c r="T7" i="58"/>
  <c r="T8" i="58"/>
  <c r="T10" i="58"/>
  <c r="T12" i="58"/>
  <c r="T18" i="58"/>
  <c r="T21" i="58"/>
  <c r="T22" i="58"/>
  <c r="T27" i="58"/>
  <c r="T28" i="58"/>
  <c r="T31" i="58"/>
  <c r="T33" i="58"/>
  <c r="T39" i="58"/>
  <c r="T42" i="58"/>
  <c r="T56" i="58"/>
  <c r="T59" i="58"/>
  <c r="T62" i="58"/>
  <c r="T64" i="58"/>
  <c r="T79" i="58"/>
  <c r="T80" i="58"/>
  <c r="AQ17" i="57"/>
  <c r="S17" i="58" s="1"/>
  <c r="T17" i="58" s="1"/>
  <c r="AQ46" i="57"/>
  <c r="S49" i="58" s="1"/>
  <c r="T49" i="58" s="1"/>
  <c r="AQ41" i="57"/>
  <c r="S40" i="58" s="1"/>
  <c r="T40" i="58" s="1"/>
  <c r="AQ42" i="57"/>
  <c r="S50" i="58" s="1"/>
  <c r="T50" i="58" s="1"/>
  <c r="AQ69" i="57"/>
  <c r="S67" i="58" s="1"/>
  <c r="T67" i="58" s="1"/>
  <c r="AQ73" i="57"/>
  <c r="S76" i="58" s="1"/>
  <c r="T76" i="58" s="1"/>
  <c r="AQ50" i="57"/>
  <c r="S36" i="58" s="1"/>
  <c r="T36" i="58" s="1"/>
  <c r="AQ13" i="57"/>
  <c r="S14" i="58" s="1"/>
  <c r="T14" i="58" s="1"/>
  <c r="AQ6" i="57"/>
  <c r="S4" i="58" s="1"/>
  <c r="T4" i="58" s="1"/>
  <c r="AQ25" i="57"/>
  <c r="S24" i="58" s="1"/>
  <c r="T24" i="58" s="1"/>
  <c r="AQ40" i="57"/>
  <c r="S35" i="58" s="1"/>
  <c r="T35" i="58" s="1"/>
  <c r="AQ57" i="57"/>
  <c r="S45" i="58" s="1"/>
  <c r="T45" i="58" s="1"/>
  <c r="AQ60" i="57"/>
  <c r="S55" i="58" s="1"/>
  <c r="T55" i="58" s="1"/>
  <c r="AQ37" i="57"/>
  <c r="S46" i="58" s="1"/>
  <c r="T46" i="58" s="1"/>
  <c r="AQ43" i="57"/>
  <c r="S66" i="58" s="1"/>
  <c r="T66" i="58" s="1"/>
  <c r="AQ23" i="57"/>
  <c r="S23" i="58" s="1"/>
  <c r="T23" i="58" s="1"/>
  <c r="AQ16" i="57"/>
  <c r="S13" i="58" s="1"/>
  <c r="T13" i="58" s="1"/>
  <c r="AQ71" i="57"/>
  <c r="S70" i="58" s="1"/>
  <c r="T70" i="58" s="1"/>
  <c r="AQ77" i="57"/>
  <c r="S75" i="58" s="1"/>
  <c r="T75" i="58" s="1"/>
  <c r="AQ66" i="57"/>
  <c r="S65" i="58" s="1"/>
  <c r="T65" i="58" s="1"/>
  <c r="AQ72" i="57"/>
  <c r="S69" i="58" s="1"/>
  <c r="T69" i="58" s="1"/>
  <c r="AQ61" i="57"/>
  <c r="S60" i="58" s="1"/>
  <c r="T60" i="58" s="1"/>
  <c r="AQ78" i="57"/>
  <c r="S77" i="58" s="1"/>
  <c r="T77" i="58" s="1"/>
  <c r="AQ7" i="57"/>
  <c r="S3" i="58" s="1"/>
  <c r="T3" i="58" s="1"/>
  <c r="AQ9" i="57"/>
  <c r="S6" i="58" s="1"/>
  <c r="T6" i="58" s="1"/>
  <c r="AQ18" i="57"/>
  <c r="S16" i="58" s="1"/>
  <c r="T16" i="58" s="1"/>
  <c r="AQ29" i="57"/>
  <c r="S26" i="58" s="1"/>
  <c r="T26" i="58" s="1"/>
  <c r="AQ36" i="57"/>
  <c r="S38" i="58" s="1"/>
  <c r="T38" i="58" s="1"/>
  <c r="AQ35" i="57"/>
  <c r="S48" i="58" s="1"/>
  <c r="T48" i="58" s="1"/>
  <c r="AQ62" i="57"/>
  <c r="S58" i="58" s="1"/>
  <c r="T58" i="58" s="1"/>
  <c r="AQ70" i="57"/>
  <c r="S68" i="58" s="1"/>
  <c r="T68" i="58" s="1"/>
  <c r="AQ80" i="57"/>
  <c r="S78" i="58" s="1"/>
  <c r="T78" i="58" s="1"/>
  <c r="AR82" i="57"/>
  <c r="AQ5" i="57"/>
  <c r="S5" i="58" s="1"/>
  <c r="T5" i="58" s="1"/>
  <c r="AQ8" i="57"/>
  <c r="S15" i="58" s="1"/>
  <c r="T15" i="58" s="1"/>
  <c r="AQ26" i="57"/>
  <c r="S25" i="58" s="1"/>
  <c r="T25" i="58" s="1"/>
  <c r="AQ44" i="57"/>
  <c r="S37" i="58" s="1"/>
  <c r="T37" i="58" s="1"/>
  <c r="AQ52" i="57"/>
  <c r="S47" i="58" s="1"/>
  <c r="T47" i="58" s="1"/>
  <c r="AQ53" i="57"/>
  <c r="S57" i="58" s="1"/>
  <c r="T57" i="58" s="1"/>
  <c r="AQ76" i="57"/>
  <c r="S74" i="58" s="1"/>
  <c r="T74" i="58" s="1"/>
  <c r="AQ64" i="57"/>
  <c r="S54" i="58" s="1"/>
  <c r="T54" i="58" s="1"/>
  <c r="AQ75" i="57"/>
  <c r="S73" i="58" s="1"/>
  <c r="T73" i="58" s="1"/>
  <c r="AQ83" i="57"/>
  <c r="S82" i="58" s="1"/>
  <c r="T82" i="58" s="1"/>
  <c r="AQ38" i="57"/>
  <c r="S34" i="58" s="1"/>
  <c r="T34" i="58" s="1"/>
  <c r="AQ12" i="57"/>
  <c r="S11" i="58" s="1"/>
  <c r="T11" i="58" s="1"/>
  <c r="AQ39" i="57"/>
  <c r="S53" i="58" s="1"/>
  <c r="T53" i="58" s="1"/>
  <c r="AQ19" i="57"/>
  <c r="S20" i="58" s="1"/>
  <c r="T20" i="58" s="1"/>
  <c r="AQ11" i="57"/>
  <c r="S30" i="58" s="1"/>
  <c r="T30" i="58" s="1"/>
  <c r="AQ81" i="57"/>
  <c r="S81" i="58" s="1"/>
  <c r="T81" i="58" s="1"/>
  <c r="AQ45" i="57"/>
  <c r="S63" i="58" s="1"/>
  <c r="T63" i="58" s="1"/>
  <c r="AQ56" i="57"/>
  <c r="S52" i="58" s="1"/>
  <c r="T52" i="58" s="1"/>
  <c r="AQ65" i="57"/>
  <c r="S72" i="58" s="1"/>
  <c r="T72" i="58" s="1"/>
  <c r="AQ14" i="57"/>
  <c r="S9" i="58" s="1"/>
  <c r="T9" i="58" s="1"/>
  <c r="AQ32" i="57"/>
  <c r="S19" i="58" s="1"/>
  <c r="T19" i="58" s="1"/>
  <c r="AQ30" i="57"/>
  <c r="S29" i="58" s="1"/>
  <c r="T29" i="58" s="1"/>
  <c r="AQ49" i="57"/>
  <c r="S41" i="58" s="1"/>
  <c r="T41" i="58" s="1"/>
  <c r="AQ48" i="57"/>
  <c r="S51" i="58" s="1"/>
  <c r="T51" i="58" s="1"/>
  <c r="AQ63" i="57"/>
  <c r="S61" i="58" s="1"/>
  <c r="T61" i="58" s="1"/>
  <c r="AQ74" i="57"/>
  <c r="S71" i="58" s="1"/>
  <c r="T71" i="58" s="1"/>
  <c r="AQ54" i="57"/>
  <c r="S44" i="58" s="1"/>
  <c r="T44" i="58" s="1"/>
  <c r="AQ47" i="57"/>
  <c r="S43" i="58" s="1"/>
  <c r="T43" i="58" s="1"/>
  <c r="AL53" i="33"/>
  <c r="AJ53" i="33"/>
  <c r="AX48" i="26"/>
  <c r="AR80" i="57" l="1"/>
  <c r="AR78" i="57"/>
  <c r="AR77" i="57"/>
  <c r="AR76" i="57"/>
  <c r="AR79" i="57"/>
  <c r="AS34" i="57"/>
  <c r="I7" i="31" s="1"/>
  <c r="I7" i="36" s="1"/>
  <c r="AR4" i="57"/>
  <c r="AR71" i="57"/>
  <c r="AR11" i="57"/>
  <c r="AR74" i="57"/>
  <c r="AR64" i="57"/>
  <c r="AS40" i="57"/>
  <c r="I13" i="31" s="1"/>
  <c r="I13" i="36" s="1"/>
  <c r="AR60" i="57"/>
  <c r="AR48" i="57"/>
  <c r="AS49" i="57"/>
  <c r="I24" i="31" s="1"/>
  <c r="AR54" i="57"/>
  <c r="AS29" i="57"/>
  <c r="I29" i="1" s="1"/>
  <c r="AR51" i="57"/>
  <c r="AS39" i="57"/>
  <c r="I12" i="31" s="1"/>
  <c r="I12" i="36" s="1"/>
  <c r="AR22" i="57"/>
  <c r="AR17" i="57"/>
  <c r="AS32" i="57"/>
  <c r="I35" i="1" s="1"/>
  <c r="AR32" i="57"/>
  <c r="AR50" i="57"/>
  <c r="AR46" i="57"/>
  <c r="AR6" i="57"/>
  <c r="AR59" i="57"/>
  <c r="AR12" i="57"/>
  <c r="AS18" i="57"/>
  <c r="I21" i="1" s="1"/>
  <c r="AR43" i="57"/>
  <c r="AR42" i="57"/>
  <c r="AS21" i="57"/>
  <c r="I25" i="1" s="1"/>
  <c r="AR14" i="57"/>
  <c r="AR73" i="57"/>
  <c r="AS8" i="57"/>
  <c r="I13" i="1" s="1"/>
  <c r="AR37" i="57"/>
  <c r="AR21" i="57"/>
  <c r="AR58" i="57"/>
  <c r="AR39" i="57"/>
  <c r="AR57" i="57"/>
  <c r="AR70" i="57"/>
  <c r="AR69" i="57"/>
  <c r="AR36" i="57"/>
  <c r="AR44" i="57"/>
  <c r="AR26" i="57"/>
  <c r="AW79" i="57"/>
  <c r="J41" i="31" s="1"/>
  <c r="J42" i="33" s="1"/>
  <c r="AW29" i="57"/>
  <c r="J29" i="1" s="1"/>
  <c r="I30" i="26" s="1"/>
  <c r="AR67" i="57"/>
  <c r="AW9" i="57"/>
  <c r="J12" i="1" s="1"/>
  <c r="I13" i="26" s="1"/>
  <c r="AS14" i="57"/>
  <c r="I23" i="1" s="1"/>
  <c r="AR10" i="57"/>
  <c r="AR18" i="57"/>
  <c r="AW25" i="57"/>
  <c r="J27" i="1" s="1"/>
  <c r="AS5" i="57"/>
  <c r="I9" i="1" s="1"/>
  <c r="I9" i="54" s="1"/>
  <c r="AW40" i="57"/>
  <c r="J13" i="31" s="1"/>
  <c r="AR61" i="57"/>
  <c r="AR29" i="57"/>
  <c r="AR65" i="57"/>
  <c r="AS24" i="57"/>
  <c r="I26" i="1" s="1"/>
  <c r="AR53" i="57"/>
  <c r="AW27" i="57"/>
  <c r="J34" i="1" s="1"/>
  <c r="I35" i="26" s="1"/>
  <c r="AR68" i="57"/>
  <c r="AW50" i="57"/>
  <c r="J17" i="31" s="1"/>
  <c r="J18" i="33" s="1"/>
  <c r="AW5" i="57"/>
  <c r="J9" i="1" s="1"/>
  <c r="AR27" i="57"/>
  <c r="AR72" i="57"/>
  <c r="AR13" i="57"/>
  <c r="AS16" i="57"/>
  <c r="I15" i="1" s="1"/>
  <c r="AW26" i="57"/>
  <c r="J28" i="1" s="1"/>
  <c r="I29" i="26" s="1"/>
  <c r="AS83" i="57"/>
  <c r="I56" i="31" s="1"/>
  <c r="I55" i="36" s="1"/>
  <c r="AS35" i="57"/>
  <c r="I9" i="31" s="1"/>
  <c r="I9" i="36" s="1"/>
  <c r="AS28" i="57"/>
  <c r="I24" i="1" s="1"/>
  <c r="I25" i="54" s="1"/>
  <c r="AS79" i="57"/>
  <c r="I41" i="31" s="1"/>
  <c r="AS30" i="57"/>
  <c r="I32" i="1" s="1"/>
  <c r="I32" i="54" s="1"/>
  <c r="AS31" i="57"/>
  <c r="I33" i="1" s="1"/>
  <c r="I33" i="54" s="1"/>
  <c r="AR24" i="57"/>
  <c r="AW18" i="57"/>
  <c r="J21" i="1" s="1"/>
  <c r="I22" i="26" s="1"/>
  <c r="AR20" i="57"/>
  <c r="AS58" i="57"/>
  <c r="I34" i="31" s="1"/>
  <c r="AR83" i="57"/>
  <c r="AR9" i="57"/>
  <c r="AR35" i="57"/>
  <c r="AW28" i="57"/>
  <c r="J24" i="1" s="1"/>
  <c r="I25" i="26" s="1"/>
  <c r="AR55" i="57"/>
  <c r="AR28" i="57"/>
  <c r="AW30" i="57"/>
  <c r="J32" i="1" s="1"/>
  <c r="AR16" i="57"/>
  <c r="AR38" i="57"/>
  <c r="AW38" i="57"/>
  <c r="J15" i="31" s="1"/>
  <c r="J16" i="33" s="1"/>
  <c r="AW60" i="57"/>
  <c r="J38" i="31" s="1"/>
  <c r="J39" i="33" s="1"/>
  <c r="AS68" i="57"/>
  <c r="I32" i="31" s="1"/>
  <c r="AS75" i="57"/>
  <c r="I49" i="31" s="1"/>
  <c r="AR8" i="57"/>
  <c r="AS38" i="57"/>
  <c r="I15" i="31" s="1"/>
  <c r="AW51" i="57"/>
  <c r="J26" i="31" s="1"/>
  <c r="J27" i="33" s="1"/>
  <c r="AR30" i="57"/>
  <c r="AR7" i="57"/>
  <c r="AR40" i="57"/>
  <c r="AW54" i="57"/>
  <c r="J42" i="31" s="1"/>
  <c r="J43" i="33" s="1"/>
  <c r="AS71" i="57"/>
  <c r="I35" i="31" s="1"/>
  <c r="AR75" i="57"/>
  <c r="AS10" i="57"/>
  <c r="I16" i="1" s="1"/>
  <c r="AS55" i="57"/>
  <c r="I33" i="31" s="1"/>
  <c r="AW64" i="57"/>
  <c r="J29" i="31" s="1"/>
  <c r="J30" i="33" s="1"/>
  <c r="AW16" i="57"/>
  <c r="J15" i="1" s="1"/>
  <c r="I16" i="26" s="1"/>
  <c r="AR41" i="57"/>
  <c r="AR49" i="57"/>
  <c r="AR5" i="57"/>
  <c r="AS15" i="57"/>
  <c r="I17" i="1" s="1"/>
  <c r="AR15" i="57"/>
  <c r="AS60" i="57"/>
  <c r="I38" i="31" s="1"/>
  <c r="AS50" i="57"/>
  <c r="I17" i="31" s="1"/>
  <c r="AW49" i="57"/>
  <c r="J24" i="31" s="1"/>
  <c r="J25" i="33" s="1"/>
  <c r="AS46" i="57"/>
  <c r="I21" i="31" s="1"/>
  <c r="AR62" i="57"/>
  <c r="AS56" i="57"/>
  <c r="I11" i="31" s="1"/>
  <c r="I11" i="36" s="1"/>
  <c r="AW8" i="57"/>
  <c r="J13" i="1" s="1"/>
  <c r="AW14" i="57"/>
  <c r="J23" i="1" s="1"/>
  <c r="AW76" i="57"/>
  <c r="J50" i="31" s="1"/>
  <c r="J51" i="33" s="1"/>
  <c r="AW32" i="57"/>
  <c r="J35" i="1" s="1"/>
  <c r="AW45" i="57"/>
  <c r="J14" i="31" s="1"/>
  <c r="AR63" i="57"/>
  <c r="AW81" i="57"/>
  <c r="J53" i="31" s="1"/>
  <c r="AR47" i="57"/>
  <c r="AR23" i="57"/>
  <c r="AS42" i="57"/>
  <c r="I48" i="31" s="1"/>
  <c r="AS20" i="57"/>
  <c r="I20" i="1" s="1"/>
  <c r="AR81" i="57"/>
  <c r="AW42" i="57"/>
  <c r="J48" i="31" s="1"/>
  <c r="J49" i="33" s="1"/>
  <c r="AW74" i="57"/>
  <c r="J22" i="31" s="1"/>
  <c r="J23" i="33" s="1"/>
  <c r="AR45" i="57"/>
  <c r="AS74" i="57"/>
  <c r="I22" i="31" s="1"/>
  <c r="AS52" i="57"/>
  <c r="I8" i="31" s="1"/>
  <c r="I8" i="36" s="1"/>
  <c r="AW19" i="57"/>
  <c r="J19" i="1" s="1"/>
  <c r="AW56" i="57"/>
  <c r="J11" i="31" s="1"/>
  <c r="AR52" i="57"/>
  <c r="AS62" i="57"/>
  <c r="I37" i="31" s="1"/>
  <c r="AW52" i="57"/>
  <c r="J8" i="31" s="1"/>
  <c r="AS64" i="57"/>
  <c r="I29" i="31" s="1"/>
  <c r="AW57" i="57"/>
  <c r="J40" i="31" s="1"/>
  <c r="J41" i="33" s="1"/>
  <c r="AW17" i="57"/>
  <c r="J22" i="1" s="1"/>
  <c r="AR19" i="57"/>
  <c r="AW35" i="57"/>
  <c r="J9" i="31" s="1"/>
  <c r="AW62" i="57"/>
  <c r="J37" i="31" s="1"/>
  <c r="J38" i="33" s="1"/>
  <c r="AR25" i="57"/>
  <c r="AS19" i="57"/>
  <c r="I19" i="1" s="1"/>
  <c r="AS25" i="57"/>
  <c r="I27" i="1" s="1"/>
  <c r="AW65" i="57"/>
  <c r="J28" i="31" s="1"/>
  <c r="J29" i="33" s="1"/>
  <c r="AS43" i="57"/>
  <c r="I18" i="31" s="1"/>
  <c r="AW23" i="57"/>
  <c r="J31" i="1" s="1"/>
  <c r="AW24" i="57"/>
  <c r="J26" i="1" s="1"/>
  <c r="I27" i="26" s="1"/>
  <c r="AS51" i="57"/>
  <c r="I26" i="31" s="1"/>
  <c r="AW75" i="57"/>
  <c r="J49" i="31" s="1"/>
  <c r="J50" i="33" s="1"/>
  <c r="AW36" i="57"/>
  <c r="J10" i="31" s="1"/>
  <c r="AS65" i="57"/>
  <c r="I28" i="31" s="1"/>
  <c r="AS45" i="57"/>
  <c r="I14" i="31" s="1"/>
  <c r="I14" i="36" s="1"/>
  <c r="AR66" i="57"/>
  <c r="AW71" i="57"/>
  <c r="J35" i="31" s="1"/>
  <c r="J36" i="33" s="1"/>
  <c r="AW66" i="57"/>
  <c r="J45" i="31" s="1"/>
  <c r="J46" i="33" s="1"/>
  <c r="AS54" i="57"/>
  <c r="I42" i="31" s="1"/>
  <c r="AS81" i="57"/>
  <c r="I53" i="31" s="1"/>
  <c r="AS57" i="57"/>
  <c r="I40" i="31" s="1"/>
  <c r="AS76" i="57"/>
  <c r="I50" i="31" s="1"/>
  <c r="AR31" i="57"/>
  <c r="AS17" i="57"/>
  <c r="I22" i="1" s="1"/>
  <c r="AS27" i="57"/>
  <c r="I34" i="1" s="1"/>
  <c r="AS22" i="57"/>
  <c r="I30" i="1" s="1"/>
  <c r="AS66" i="57"/>
  <c r="I45" i="31" s="1"/>
  <c r="AW46" i="57"/>
  <c r="J21" i="31" s="1"/>
  <c r="J22" i="33" s="1"/>
  <c r="AW83" i="57"/>
  <c r="J56" i="31" s="1"/>
  <c r="AW44" i="57"/>
  <c r="J16" i="31" s="1"/>
  <c r="J17" i="33" s="1"/>
  <c r="AR56" i="57"/>
  <c r="AS9" i="57"/>
  <c r="I12" i="1" s="1"/>
  <c r="AS23" i="57"/>
  <c r="I31" i="1" s="1"/>
  <c r="AS36" i="57"/>
  <c r="I10" i="31" s="1"/>
  <c r="I10" i="36" s="1"/>
  <c r="AS44" i="57"/>
  <c r="I16" i="31" s="1"/>
  <c r="AW43" i="57"/>
  <c r="J18" i="31" s="1"/>
  <c r="J19" i="33" s="1"/>
  <c r="AS26" i="57"/>
  <c r="I28" i="1" s="1"/>
  <c r="AS4" i="57"/>
  <c r="I7" i="1" s="1"/>
  <c r="I7" i="54" s="1"/>
  <c r="AW4" i="57"/>
  <c r="J7" i="1" s="1"/>
  <c r="AW55" i="57"/>
  <c r="J33" i="31" s="1"/>
  <c r="J34" i="33" s="1"/>
  <c r="AW31" i="57"/>
  <c r="J33" i="1" s="1"/>
  <c r="AW58" i="57"/>
  <c r="J34" i="31" s="1"/>
  <c r="J35" i="33" s="1"/>
  <c r="AS82" i="57"/>
  <c r="I55" i="31" s="1"/>
  <c r="AW82" i="57"/>
  <c r="J55" i="31" s="1"/>
  <c r="J56" i="33" s="1"/>
  <c r="AS53" i="57"/>
  <c r="I30" i="31" s="1"/>
  <c r="AW53" i="57"/>
  <c r="J30" i="31" s="1"/>
  <c r="J31" i="33" s="1"/>
  <c r="AS6" i="57"/>
  <c r="I8" i="1" s="1"/>
  <c r="I8" i="54" s="1"/>
  <c r="AW6" i="57"/>
  <c r="J8" i="1" s="1"/>
  <c r="AS70" i="57"/>
  <c r="I52" i="31" s="1"/>
  <c r="AW70" i="57"/>
  <c r="J52" i="31" s="1"/>
  <c r="J53" i="33" s="1"/>
  <c r="AS63" i="57"/>
  <c r="I43" i="31" s="1"/>
  <c r="AW63" i="57"/>
  <c r="J43" i="31" s="1"/>
  <c r="J44" i="33" s="1"/>
  <c r="AS37" i="57"/>
  <c r="I20" i="31" s="1"/>
  <c r="AW37" i="57"/>
  <c r="J20" i="31" s="1"/>
  <c r="J21" i="33" s="1"/>
  <c r="AS80" i="57"/>
  <c r="I51" i="31" s="1"/>
  <c r="AW80" i="57"/>
  <c r="J51" i="31" s="1"/>
  <c r="AW68" i="57"/>
  <c r="J32" i="31" s="1"/>
  <c r="J33" i="33" s="1"/>
  <c r="AS73" i="57"/>
  <c r="I31" i="31" s="1"/>
  <c r="AW73" i="57"/>
  <c r="J31" i="31" s="1"/>
  <c r="J32" i="33" s="1"/>
  <c r="AS47" i="57"/>
  <c r="I23" i="31" s="1"/>
  <c r="AW47" i="57"/>
  <c r="J23" i="31" s="1"/>
  <c r="J24" i="33" s="1"/>
  <c r="AW20" i="57"/>
  <c r="J20" i="1" s="1"/>
  <c r="AS67" i="57"/>
  <c r="I44" i="31" s="1"/>
  <c r="AW67" i="57"/>
  <c r="J44" i="31" s="1"/>
  <c r="J45" i="33" s="1"/>
  <c r="AS77" i="57"/>
  <c r="I54" i="31" s="1"/>
  <c r="AW77" i="57"/>
  <c r="J54" i="31" s="1"/>
  <c r="AW34" i="57"/>
  <c r="J7" i="31" s="1"/>
  <c r="AW21" i="57"/>
  <c r="J25" i="1" s="1"/>
  <c r="AS7" i="57"/>
  <c r="I11" i="1" s="1"/>
  <c r="I11" i="54" s="1"/>
  <c r="AW7" i="57"/>
  <c r="J11" i="1" s="1"/>
  <c r="AS41" i="57"/>
  <c r="I19" i="31" s="1"/>
  <c r="AW41" i="57"/>
  <c r="J19" i="31" s="1"/>
  <c r="J20" i="33" s="1"/>
  <c r="AS13" i="57"/>
  <c r="I14" i="1" s="1"/>
  <c r="AW13" i="57"/>
  <c r="J14" i="1" s="1"/>
  <c r="AS48" i="57"/>
  <c r="I25" i="31" s="1"/>
  <c r="AW48" i="57"/>
  <c r="J25" i="31" s="1"/>
  <c r="J26" i="33" s="1"/>
  <c r="AS61" i="57"/>
  <c r="I39" i="31" s="1"/>
  <c r="AW61" i="57"/>
  <c r="J39" i="31" s="1"/>
  <c r="J40" i="33" s="1"/>
  <c r="AS78" i="57"/>
  <c r="I46" i="31" s="1"/>
  <c r="AW78" i="57"/>
  <c r="J46" i="31" s="1"/>
  <c r="AS11" i="57"/>
  <c r="I10" i="1" s="1"/>
  <c r="I10" i="54" s="1"/>
  <c r="AW11" i="57"/>
  <c r="J10" i="1" s="1"/>
  <c r="AS59" i="57"/>
  <c r="I36" i="31" s="1"/>
  <c r="AW59" i="57"/>
  <c r="J36" i="31" s="1"/>
  <c r="J37" i="33" s="1"/>
  <c r="AW22" i="57"/>
  <c r="J30" i="1" s="1"/>
  <c r="AW39" i="57"/>
  <c r="J12" i="31" s="1"/>
  <c r="AS72" i="57"/>
  <c r="I27" i="31" s="1"/>
  <c r="AW72" i="57"/>
  <c r="J27" i="31" s="1"/>
  <c r="J28" i="33" s="1"/>
  <c r="AS12" i="57"/>
  <c r="I18" i="1" s="1"/>
  <c r="I20" i="54" s="1"/>
  <c r="AW12" i="57"/>
  <c r="J18" i="1" s="1"/>
  <c r="AS69" i="57"/>
  <c r="I47" i="31" s="1"/>
  <c r="AW69" i="57"/>
  <c r="J47" i="31" s="1"/>
  <c r="J48" i="33" s="1"/>
  <c r="AW15" i="57"/>
  <c r="J17" i="1" s="1"/>
  <c r="AW10" i="57"/>
  <c r="J16" i="1" s="1"/>
  <c r="H566" i="45"/>
  <c r="I50" i="36" l="1"/>
  <c r="I53" i="36"/>
  <c r="I51" i="36"/>
  <c r="I54" i="36"/>
  <c r="I49" i="36"/>
  <c r="I26" i="54"/>
  <c r="I21" i="54"/>
  <c r="I23" i="54"/>
  <c r="I18" i="54"/>
  <c r="I12" i="54"/>
  <c r="I15" i="36"/>
  <c r="I25" i="36"/>
  <c r="I34" i="54"/>
  <c r="I22" i="54"/>
  <c r="I15" i="54"/>
  <c r="I28" i="54"/>
  <c r="J12" i="36"/>
  <c r="J13" i="33"/>
  <c r="J53" i="36"/>
  <c r="J52" i="33"/>
  <c r="J50" i="36"/>
  <c r="J55" i="33"/>
  <c r="I19" i="54"/>
  <c r="J11" i="36"/>
  <c r="J12" i="33"/>
  <c r="J13" i="36"/>
  <c r="J14" i="33"/>
  <c r="J10" i="36"/>
  <c r="J11" i="33"/>
  <c r="J9" i="36"/>
  <c r="J10" i="33"/>
  <c r="J54" i="36"/>
  <c r="J54" i="33"/>
  <c r="J14" i="36"/>
  <c r="J15" i="33"/>
  <c r="J7" i="36"/>
  <c r="J8" i="33"/>
  <c r="J55" i="36"/>
  <c r="J57" i="33"/>
  <c r="J51" i="36"/>
  <c r="J47" i="33"/>
  <c r="I30" i="54"/>
  <c r="J8" i="36"/>
  <c r="J9" i="33"/>
  <c r="J8" i="54"/>
  <c r="I9" i="26"/>
  <c r="J22" i="54"/>
  <c r="I24" i="26"/>
  <c r="J15" i="54"/>
  <c r="I15" i="26"/>
  <c r="I27" i="54"/>
  <c r="J12" i="54"/>
  <c r="I14" i="26"/>
  <c r="J27" i="54"/>
  <c r="I31" i="26"/>
  <c r="J32" i="54"/>
  <c r="I33" i="26"/>
  <c r="J7" i="54"/>
  <c r="I8" i="26"/>
  <c r="J18" i="54"/>
  <c r="I18" i="26"/>
  <c r="J10" i="54"/>
  <c r="I11" i="26"/>
  <c r="J14" i="54"/>
  <c r="I17" i="26"/>
  <c r="J19" i="54"/>
  <c r="I20" i="26"/>
  <c r="J9" i="54"/>
  <c r="I10" i="26"/>
  <c r="J11" i="54"/>
  <c r="I12" i="26"/>
  <c r="I13" i="54"/>
  <c r="J28" i="54"/>
  <c r="I28" i="26"/>
  <c r="J21" i="54"/>
  <c r="I21" i="26"/>
  <c r="J20" i="54"/>
  <c r="I19" i="26"/>
  <c r="J33" i="54"/>
  <c r="I34" i="26"/>
  <c r="J24" i="54"/>
  <c r="I26" i="26"/>
  <c r="J23" i="54"/>
  <c r="I23" i="26"/>
  <c r="J26" i="54"/>
  <c r="I32" i="26"/>
  <c r="J34" i="54"/>
  <c r="I36" i="26"/>
  <c r="J30" i="54"/>
  <c r="I29" i="54"/>
  <c r="J13" i="54"/>
  <c r="I17" i="54"/>
  <c r="I16" i="54"/>
  <c r="J17" i="54"/>
  <c r="J31" i="54"/>
  <c r="I31" i="54"/>
  <c r="J16" i="54"/>
  <c r="J25" i="54"/>
  <c r="I14" i="54"/>
  <c r="I24" i="54"/>
  <c r="J29" i="54"/>
  <c r="J49" i="36"/>
  <c r="J39" i="36"/>
  <c r="I29" i="36"/>
  <c r="J40" i="36"/>
  <c r="I48" i="36"/>
  <c r="J48" i="36"/>
  <c r="I31" i="36"/>
  <c r="J31" i="36"/>
  <c r="I27" i="36"/>
  <c r="I23" i="36"/>
  <c r="I33" i="36"/>
  <c r="J33" i="36"/>
  <c r="I40" i="36"/>
  <c r="J23" i="36"/>
  <c r="J15" i="36"/>
  <c r="J29" i="36"/>
  <c r="I32" i="36"/>
  <c r="J28" i="36"/>
  <c r="I16" i="36"/>
  <c r="J32" i="36"/>
  <c r="J30" i="36"/>
  <c r="J17" i="36"/>
  <c r="J16" i="36"/>
  <c r="I17" i="36"/>
  <c r="J52" i="36"/>
  <c r="I30" i="36"/>
  <c r="I52" i="36"/>
  <c r="I39" i="36"/>
  <c r="I44" i="36"/>
  <c r="I37" i="36"/>
  <c r="I28" i="36"/>
  <c r="I19" i="36"/>
  <c r="J26" i="36"/>
  <c r="I26" i="36"/>
  <c r="J27" i="36"/>
  <c r="I38" i="36"/>
  <c r="J24" i="36"/>
  <c r="J38" i="36"/>
  <c r="J25" i="36"/>
  <c r="I24" i="36"/>
  <c r="J20" i="36"/>
  <c r="J21" i="36"/>
  <c r="I21" i="36"/>
  <c r="J22" i="36"/>
  <c r="I22" i="36"/>
  <c r="J37" i="36"/>
  <c r="I20" i="36"/>
  <c r="J19" i="36"/>
  <c r="I18" i="36"/>
  <c r="J18" i="36"/>
  <c r="J43" i="36"/>
  <c r="J44" i="36"/>
  <c r="I42" i="36"/>
  <c r="I41" i="36"/>
  <c r="I45" i="36"/>
  <c r="J35" i="36"/>
  <c r="J41" i="36"/>
  <c r="J45" i="36"/>
  <c r="I34" i="36"/>
  <c r="J47" i="36"/>
  <c r="I46" i="36"/>
  <c r="J34" i="36"/>
  <c r="J46" i="36"/>
  <c r="I36" i="36"/>
  <c r="I43" i="36"/>
  <c r="J36" i="36"/>
  <c r="J42" i="36"/>
  <c r="I35" i="36"/>
  <c r="I47" i="36"/>
  <c r="AX57" i="57"/>
  <c r="AX23" i="57"/>
  <c r="AX39" i="57"/>
  <c r="AX48" i="57"/>
  <c r="AX77" i="57"/>
  <c r="AX25" i="57"/>
  <c r="AX37" i="57"/>
  <c r="AX22" i="57"/>
  <c r="AX56" i="57"/>
  <c r="AX28" i="57"/>
  <c r="AX49" i="57"/>
  <c r="AX59" i="57"/>
  <c r="AX60" i="57"/>
  <c r="AX42" i="57"/>
  <c r="AX26" i="57"/>
  <c r="AX80" i="57"/>
  <c r="AX16" i="57"/>
  <c r="AX43" i="57"/>
  <c r="AX18" i="57"/>
  <c r="AX68" i="57"/>
  <c r="AX29" i="57"/>
  <c r="AX14" i="57"/>
  <c r="AX13" i="57"/>
  <c r="AX67" i="57"/>
  <c r="AX53" i="57"/>
  <c r="AX83" i="57"/>
  <c r="AX35" i="57"/>
  <c r="AX45" i="57"/>
  <c r="AX15" i="57"/>
  <c r="AX54" i="57"/>
  <c r="AX40" i="57"/>
  <c r="AX66" i="57"/>
  <c r="AX62" i="57"/>
  <c r="AX69" i="57"/>
  <c r="AX41" i="57"/>
  <c r="AX82" i="57"/>
  <c r="AX71" i="57"/>
  <c r="AX17" i="57"/>
  <c r="AX32" i="57"/>
  <c r="AX65" i="57"/>
  <c r="AX12" i="57"/>
  <c r="AX20" i="57"/>
  <c r="AX58" i="57"/>
  <c r="AX19" i="57"/>
  <c r="AX81" i="57"/>
  <c r="AX47" i="57"/>
  <c r="AX51" i="57"/>
  <c r="AX76" i="57"/>
  <c r="AX61" i="57"/>
  <c r="AX70" i="57"/>
  <c r="AX55" i="57"/>
  <c r="AX27" i="57"/>
  <c r="AX75" i="57"/>
  <c r="AX24" i="57"/>
  <c r="AX46" i="57"/>
  <c r="AX79" i="57"/>
  <c r="AX74" i="57"/>
  <c r="AX78" i="57"/>
  <c r="AX63" i="57"/>
  <c r="AX38" i="57"/>
  <c r="AX36" i="57"/>
  <c r="AX50" i="57"/>
  <c r="AX31" i="57"/>
  <c r="AX64" i="57"/>
  <c r="AX72" i="57"/>
  <c r="AX21" i="57"/>
  <c r="AX34" i="57"/>
  <c r="AX73" i="57"/>
  <c r="AX44" i="57"/>
  <c r="AX30" i="57"/>
  <c r="AX52" i="57"/>
  <c r="AT16" i="57"/>
  <c r="AT72" i="57"/>
  <c r="AT13" i="57"/>
  <c r="AT7" i="57"/>
  <c r="AT24" i="57"/>
  <c r="AT11" i="57"/>
  <c r="AT65" i="57"/>
  <c r="AT70" i="57"/>
  <c r="AT69" i="57"/>
  <c r="AT60" i="57"/>
  <c r="AT41" i="57"/>
  <c r="AT55" i="57"/>
  <c r="AT50" i="57"/>
  <c r="AT59" i="57"/>
  <c r="AT74" i="57"/>
  <c r="AT17" i="57"/>
  <c r="AT10" i="57"/>
  <c r="AT26" i="57"/>
  <c r="AT29" i="57"/>
  <c r="AT18" i="57"/>
  <c r="AT8" i="57"/>
  <c r="AT12" i="57"/>
  <c r="AT15" i="57"/>
  <c r="AT79" i="57"/>
  <c r="AT49" i="57"/>
  <c r="AT57" i="57"/>
  <c r="AT58" i="57"/>
  <c r="AT76" i="57"/>
  <c r="AT63" i="57"/>
  <c r="AT61" i="57"/>
  <c r="AT44" i="57"/>
  <c r="AT32" i="57"/>
  <c r="AT34" i="57"/>
  <c r="AT51" i="57"/>
  <c r="AT54" i="57"/>
  <c r="AT78" i="57"/>
  <c r="AT14" i="57"/>
  <c r="AT68" i="57"/>
  <c r="AT82" i="57"/>
  <c r="AT47" i="57"/>
  <c r="AT46" i="57"/>
  <c r="AT71" i="57"/>
  <c r="AT25" i="57"/>
  <c r="AT81" i="57"/>
  <c r="AT20" i="57"/>
  <c r="AT35" i="57"/>
  <c r="AT5" i="57"/>
  <c r="AT27" i="57"/>
  <c r="AT38" i="57"/>
  <c r="AT66" i="57"/>
  <c r="AT36" i="57"/>
  <c r="AT80" i="57"/>
  <c r="AT52" i="57"/>
  <c r="AT6" i="57"/>
  <c r="AT45" i="57"/>
  <c r="AT43" i="57"/>
  <c r="AT4" i="57"/>
  <c r="AT9" i="57"/>
  <c r="AT42" i="57"/>
  <c r="AT39" i="57"/>
  <c r="AT53" i="57"/>
  <c r="AT21" i="57"/>
  <c r="AT19" i="57"/>
  <c r="AT40" i="57"/>
  <c r="AT73" i="57"/>
  <c r="AT64" i="57"/>
  <c r="AT67" i="57"/>
  <c r="AT75" i="57"/>
  <c r="AT77" i="57"/>
  <c r="AT37" i="57"/>
  <c r="AT23" i="57"/>
  <c r="AT62" i="57"/>
  <c r="AT56" i="57"/>
  <c r="AT48" i="57"/>
  <c r="AT83" i="57"/>
  <c r="AT30" i="57"/>
  <c r="AT22" i="57"/>
  <c r="AT28" i="57"/>
  <c r="AT31" i="57"/>
  <c r="DR10" i="1"/>
  <c r="CV87" i="40"/>
  <c r="CV91" i="40"/>
  <c r="CV92" i="40"/>
  <c r="CQ1" i="40"/>
  <c r="CS8" i="40"/>
  <c r="DQ8" i="40" s="1"/>
  <c r="H11" i="1" s="1"/>
  <c r="CS5" i="40"/>
  <c r="CS20" i="40"/>
  <c r="DQ20" i="40" s="1"/>
  <c r="H23" i="1" s="1"/>
  <c r="CR13" i="40"/>
  <c r="CS13" i="40"/>
  <c r="CS31" i="40"/>
  <c r="DQ31" i="40" s="1"/>
  <c r="H34" i="1" s="1"/>
  <c r="H35" i="26" s="1"/>
  <c r="CS4" i="40"/>
  <c r="CS14" i="40"/>
  <c r="CS16" i="40"/>
  <c r="CS11" i="40"/>
  <c r="DQ11" i="40" s="1"/>
  <c r="H12" i="1" s="1"/>
  <c r="CS12" i="40"/>
  <c r="DQ12" i="40" s="1"/>
  <c r="H15" i="1" s="1"/>
  <c r="CS9" i="40"/>
  <c r="CS6" i="40"/>
  <c r="CS22" i="40"/>
  <c r="CS32" i="40"/>
  <c r="CS17" i="40"/>
  <c r="DQ17" i="40" s="1"/>
  <c r="H19" i="1" s="1"/>
  <c r="CS19" i="40"/>
  <c r="CS10" i="40"/>
  <c r="CS27" i="40"/>
  <c r="CS24" i="40"/>
  <c r="DQ24" i="40" s="1"/>
  <c r="H27" i="1" s="1"/>
  <c r="CS18" i="40"/>
  <c r="DQ18" i="40" s="1"/>
  <c r="H20" i="1" s="1"/>
  <c r="CR28" i="40"/>
  <c r="CS28" i="40"/>
  <c r="CS23" i="40"/>
  <c r="CS26" i="40"/>
  <c r="CS15" i="40"/>
  <c r="CS25" i="40"/>
  <c r="CS21" i="40"/>
  <c r="DQ21" i="40" s="1"/>
  <c r="H24" i="1" s="1"/>
  <c r="CS29" i="40"/>
  <c r="CS7" i="40"/>
  <c r="CS30" i="40"/>
  <c r="DQ30" i="40" s="1"/>
  <c r="H33" i="1" s="1"/>
  <c r="CR33" i="40"/>
  <c r="CS33" i="40"/>
  <c r="DQ33" i="40" s="1"/>
  <c r="CS37" i="40"/>
  <c r="CS47" i="40"/>
  <c r="CR46" i="40"/>
  <c r="CS46" i="40"/>
  <c r="CR40" i="40"/>
  <c r="CS40" i="40"/>
  <c r="CS63" i="40"/>
  <c r="CR49" i="40"/>
  <c r="CS49" i="40"/>
  <c r="CR75" i="40"/>
  <c r="CS75" i="40"/>
  <c r="CR53" i="40"/>
  <c r="CS53" i="40"/>
  <c r="CR72" i="40"/>
  <c r="CS72" i="40"/>
  <c r="CS66" i="40"/>
  <c r="CS54" i="40"/>
  <c r="CR67" i="40"/>
  <c r="CS67" i="40"/>
  <c r="CS38" i="40"/>
  <c r="CS39" i="40"/>
  <c r="CR70" i="40"/>
  <c r="CS70" i="40"/>
  <c r="CR43" i="40"/>
  <c r="CS43" i="40"/>
  <c r="CS51" i="40"/>
  <c r="CR45" i="40"/>
  <c r="CS45" i="40"/>
  <c r="CS41" i="40"/>
  <c r="CR50" i="40"/>
  <c r="CS50" i="40"/>
  <c r="CR64" i="40"/>
  <c r="CS64" i="40"/>
  <c r="CR68" i="40"/>
  <c r="CS68" i="40"/>
  <c r="CR73" i="40"/>
  <c r="CS73" i="40"/>
  <c r="CR42" i="40"/>
  <c r="CS42" i="40"/>
  <c r="CR62" i="40"/>
  <c r="CS62" i="40"/>
  <c r="CR69" i="40"/>
  <c r="CS69" i="40"/>
  <c r="CR78" i="40"/>
  <c r="CS78" i="40"/>
  <c r="CR56" i="40"/>
  <c r="CS56" i="40"/>
  <c r="CR77" i="40"/>
  <c r="CS77" i="40"/>
  <c r="CS55" i="40"/>
  <c r="CR74" i="40"/>
  <c r="CS74" i="40"/>
  <c r="CR60" i="40"/>
  <c r="CS60" i="40"/>
  <c r="CS82" i="40"/>
  <c r="CS44" i="40"/>
  <c r="CR65" i="40"/>
  <c r="CS65" i="40"/>
  <c r="CR58" i="40"/>
  <c r="CS58" i="40"/>
  <c r="CS79" i="40"/>
  <c r="CR48" i="40"/>
  <c r="CS48" i="40"/>
  <c r="CS80" i="40"/>
  <c r="CR52" i="40"/>
  <c r="CS52" i="40"/>
  <c r="CR84" i="40"/>
  <c r="CS84" i="40"/>
  <c r="CR59" i="40"/>
  <c r="CS59" i="40"/>
  <c r="CR61" i="40"/>
  <c r="CS61" i="40"/>
  <c r="CR57" i="40"/>
  <c r="CS57" i="40"/>
  <c r="CR76" i="40"/>
  <c r="CS76" i="40"/>
  <c r="CS71" i="40"/>
  <c r="CR81" i="40"/>
  <c r="CS81" i="40"/>
  <c r="CS86" i="40"/>
  <c r="CS83" i="40"/>
  <c r="CR85" i="40"/>
  <c r="CS85" i="40"/>
  <c r="CR87" i="40"/>
  <c r="CS87" i="40"/>
  <c r="DQ87" i="40" s="1"/>
  <c r="CR91" i="40"/>
  <c r="CS91" i="40"/>
  <c r="CR92" i="40"/>
  <c r="CS92" i="40"/>
  <c r="CR93" i="40"/>
  <c r="CS93" i="40"/>
  <c r="CV93" i="40" s="1"/>
  <c r="CR95" i="40"/>
  <c r="CS95" i="40"/>
  <c r="CV95" i="40" s="1"/>
  <c r="CR96" i="40"/>
  <c r="CS96" i="40"/>
  <c r="CV96" i="40" s="1"/>
  <c r="CR97" i="40"/>
  <c r="CS97" i="40"/>
  <c r="CV97" i="40" s="1"/>
  <c r="CR99" i="40"/>
  <c r="CS99" i="40"/>
  <c r="DQ99" i="40" s="1"/>
  <c r="CR100" i="40"/>
  <c r="CS100" i="40"/>
  <c r="AH32" i="49"/>
  <c r="AI32" i="49" s="1"/>
  <c r="AJ32" i="49"/>
  <c r="AL32" i="49"/>
  <c r="AN32" i="49"/>
  <c r="AP32" i="49"/>
  <c r="AH83" i="49"/>
  <c r="AI83" i="49" s="1"/>
  <c r="AJ83" i="49"/>
  <c r="AL83" i="49"/>
  <c r="AN83" i="49"/>
  <c r="AP83" i="49"/>
  <c r="AH87" i="49"/>
  <c r="AI87" i="49" s="1"/>
  <c r="AJ87" i="49"/>
  <c r="AL87" i="49"/>
  <c r="AN87" i="49"/>
  <c r="AP87" i="49"/>
  <c r="AH88" i="49"/>
  <c r="AI88" i="49" s="1"/>
  <c r="AJ88" i="49"/>
  <c r="AL88" i="49"/>
  <c r="AN88" i="49"/>
  <c r="AP88" i="49"/>
  <c r="CV86" i="40" l="1"/>
  <c r="CV33" i="40"/>
  <c r="CV99" i="40"/>
  <c r="CV100" i="40"/>
  <c r="DQ100" i="40"/>
  <c r="CV81" i="40"/>
  <c r="CV80" i="40"/>
  <c r="H20" i="26"/>
  <c r="H33" i="54"/>
  <c r="H34" i="26"/>
  <c r="H11" i="54"/>
  <c r="H12" i="26"/>
  <c r="H24" i="54"/>
  <c r="H25" i="26"/>
  <c r="H24" i="26"/>
  <c r="H21" i="26"/>
  <c r="H15" i="54"/>
  <c r="H16" i="26"/>
  <c r="H28" i="26"/>
  <c r="H13" i="26"/>
  <c r="CV72" i="40"/>
  <c r="CV56" i="40"/>
  <c r="CV78" i="40"/>
  <c r="CV77" i="40"/>
  <c r="CV79" i="40"/>
  <c r="CV75" i="40"/>
  <c r="CV28" i="40"/>
  <c r="CV5" i="40"/>
  <c r="CV45" i="40"/>
  <c r="CV6" i="40"/>
  <c r="CV57" i="40"/>
  <c r="DQ82" i="40"/>
  <c r="H52" i="31" s="1"/>
  <c r="I53" i="33" s="1"/>
  <c r="CV82" i="40"/>
  <c r="DQ68" i="40"/>
  <c r="H38" i="31" s="1"/>
  <c r="I39" i="33" s="1"/>
  <c r="CV68" i="40"/>
  <c r="CV43" i="40"/>
  <c r="DQ64" i="40"/>
  <c r="H34" i="31" s="1"/>
  <c r="I35" i="33" s="1"/>
  <c r="CV64" i="40"/>
  <c r="DQ74" i="40"/>
  <c r="H44" i="31" s="1"/>
  <c r="I45" i="33" s="1"/>
  <c r="CV74" i="40"/>
  <c r="DQ47" i="40"/>
  <c r="H17" i="31" s="1"/>
  <c r="I18" i="33" s="1"/>
  <c r="CV47" i="40"/>
  <c r="DQ62" i="40"/>
  <c r="H32" i="31" s="1"/>
  <c r="I33" i="33" s="1"/>
  <c r="CV62" i="40"/>
  <c r="DQ50" i="40"/>
  <c r="H20" i="31" s="1"/>
  <c r="I21" i="33" s="1"/>
  <c r="CV50" i="40"/>
  <c r="DQ39" i="40"/>
  <c r="H9" i="31" s="1"/>
  <c r="I10" i="33" s="1"/>
  <c r="CV39" i="40"/>
  <c r="DQ59" i="40"/>
  <c r="H29" i="31" s="1"/>
  <c r="I30" i="33" s="1"/>
  <c r="CV59" i="40"/>
  <c r="DQ55" i="40"/>
  <c r="H25" i="31" s="1"/>
  <c r="I26" i="33" s="1"/>
  <c r="CV55" i="40"/>
  <c r="DQ42" i="40"/>
  <c r="H12" i="31" s="1"/>
  <c r="I13" i="33" s="1"/>
  <c r="CV42" i="40"/>
  <c r="DQ49" i="40"/>
  <c r="H19" i="31" s="1"/>
  <c r="I20" i="33" s="1"/>
  <c r="CV49" i="40"/>
  <c r="DQ48" i="40"/>
  <c r="H18" i="31" s="1"/>
  <c r="I19" i="33" s="1"/>
  <c r="CV48" i="40"/>
  <c r="DQ84" i="40"/>
  <c r="H54" i="31" s="1"/>
  <c r="CV84" i="40"/>
  <c r="DQ71" i="40"/>
  <c r="H41" i="31" s="1"/>
  <c r="I42" i="33" s="1"/>
  <c r="CV71" i="40"/>
  <c r="DQ54" i="40"/>
  <c r="H24" i="31" s="1"/>
  <c r="I25" i="33" s="1"/>
  <c r="CV54" i="40"/>
  <c r="DQ63" i="40"/>
  <c r="H33" i="31" s="1"/>
  <c r="I34" i="33" s="1"/>
  <c r="CV63" i="40"/>
  <c r="DQ69" i="40"/>
  <c r="H39" i="31" s="1"/>
  <c r="I40" i="33" s="1"/>
  <c r="CV69" i="40"/>
  <c r="DQ76" i="40"/>
  <c r="H46" i="31" s="1"/>
  <c r="CV76" i="40"/>
  <c r="DQ52" i="40"/>
  <c r="H22" i="31" s="1"/>
  <c r="I23" i="33" s="1"/>
  <c r="CV52" i="40"/>
  <c r="DQ44" i="40"/>
  <c r="H14" i="31" s="1"/>
  <c r="CV44" i="40"/>
  <c r="DQ51" i="40"/>
  <c r="H21" i="31" s="1"/>
  <c r="I22" i="33" s="1"/>
  <c r="CV51" i="40"/>
  <c r="DQ40" i="40"/>
  <c r="H10" i="31" s="1"/>
  <c r="I11" i="33" s="1"/>
  <c r="CV40" i="40"/>
  <c r="CV22" i="40"/>
  <c r="DQ67" i="40"/>
  <c r="H37" i="31" s="1"/>
  <c r="I38" i="33" s="1"/>
  <c r="CV67" i="40"/>
  <c r="DQ65" i="40"/>
  <c r="H35" i="31" s="1"/>
  <c r="I36" i="33" s="1"/>
  <c r="CV65" i="40"/>
  <c r="CV9" i="40"/>
  <c r="DQ85" i="40"/>
  <c r="H56" i="31" s="1"/>
  <c r="CV85" i="40"/>
  <c r="CV26" i="40"/>
  <c r="CV23" i="40"/>
  <c r="DQ58" i="40"/>
  <c r="H28" i="31" s="1"/>
  <c r="I29" i="33" s="1"/>
  <c r="CV58" i="40"/>
  <c r="DQ38" i="40"/>
  <c r="H8" i="31" s="1"/>
  <c r="I9" i="33" s="1"/>
  <c r="CV38" i="40"/>
  <c r="CV61" i="40"/>
  <c r="CV70" i="40"/>
  <c r="DQ60" i="40"/>
  <c r="H30" i="31" s="1"/>
  <c r="I31" i="33" s="1"/>
  <c r="CV60" i="40"/>
  <c r="CV8" i="40"/>
  <c r="CV15" i="40"/>
  <c r="CV32" i="40"/>
  <c r="CV13" i="40"/>
  <c r="DQ37" i="40"/>
  <c r="H7" i="31" s="1"/>
  <c r="I8" i="33" s="1"/>
  <c r="CV37" i="40"/>
  <c r="CV41" i="40"/>
  <c r="DQ66" i="40"/>
  <c r="H36" i="31" s="1"/>
  <c r="I37" i="33" s="1"/>
  <c r="CV66" i="40"/>
  <c r="DQ83" i="40"/>
  <c r="H53" i="31" s="1"/>
  <c r="CV83" i="40"/>
  <c r="DQ53" i="40"/>
  <c r="H23" i="31" s="1"/>
  <c r="CV53" i="40"/>
  <c r="DQ73" i="40"/>
  <c r="H43" i="31" s="1"/>
  <c r="I44" i="33" s="1"/>
  <c r="CV73" i="40"/>
  <c r="CV46" i="40"/>
  <c r="DQ61" i="40"/>
  <c r="H31" i="31" s="1"/>
  <c r="I32" i="33" s="1"/>
  <c r="DQ43" i="40"/>
  <c r="H13" i="31" s="1"/>
  <c r="DQ70" i="40"/>
  <c r="H40" i="31" s="1"/>
  <c r="I41" i="33" s="1"/>
  <c r="DQ57" i="40"/>
  <c r="H27" i="31" s="1"/>
  <c r="I28" i="33" s="1"/>
  <c r="DQ75" i="40"/>
  <c r="H45" i="31" s="1"/>
  <c r="I46" i="33" s="1"/>
  <c r="DQ79" i="40"/>
  <c r="H49" i="31" s="1"/>
  <c r="I50" i="33" s="1"/>
  <c r="DQ46" i="40"/>
  <c r="H16" i="31" s="1"/>
  <c r="I17" i="33" s="1"/>
  <c r="DQ78" i="40"/>
  <c r="H48" i="31" s="1"/>
  <c r="I49" i="33" s="1"/>
  <c r="DQ80" i="40"/>
  <c r="H50" i="31" s="1"/>
  <c r="I51" i="33" s="1"/>
  <c r="DQ77" i="40"/>
  <c r="H47" i="31" s="1"/>
  <c r="I48" i="33" s="1"/>
  <c r="DQ41" i="40"/>
  <c r="H11" i="31" s="1"/>
  <c r="I12" i="33" s="1"/>
  <c r="DQ72" i="40"/>
  <c r="H42" i="31" s="1"/>
  <c r="I43" i="33" s="1"/>
  <c r="DQ86" i="40"/>
  <c r="H55" i="31" s="1"/>
  <c r="I56" i="33" s="1"/>
  <c r="DQ56" i="40"/>
  <c r="H26" i="31" s="1"/>
  <c r="DQ45" i="40"/>
  <c r="H15" i="31" s="1"/>
  <c r="I16" i="33" s="1"/>
  <c r="DQ81" i="40"/>
  <c r="H51" i="31" s="1"/>
  <c r="AK83" i="49"/>
  <c r="DQ28" i="40"/>
  <c r="H31" i="1" s="1"/>
  <c r="DQ6" i="40"/>
  <c r="H9" i="1" s="1"/>
  <c r="DQ9" i="40"/>
  <c r="H13" i="1" s="1"/>
  <c r="CV20" i="40"/>
  <c r="DQ22" i="40"/>
  <c r="H25" i="1" s="1"/>
  <c r="DQ15" i="40"/>
  <c r="H21" i="1" s="1"/>
  <c r="H21" i="54" s="1"/>
  <c r="DQ5" i="40"/>
  <c r="H8" i="1" s="1"/>
  <c r="DQ26" i="40"/>
  <c r="H29" i="1" s="1"/>
  <c r="AO87" i="49"/>
  <c r="DQ23" i="40"/>
  <c r="H26" i="1" s="1"/>
  <c r="DQ7" i="40"/>
  <c r="H10" i="1" s="1"/>
  <c r="DQ27" i="40"/>
  <c r="H30" i="1" s="1"/>
  <c r="DQ16" i="40"/>
  <c r="H18" i="1" s="1"/>
  <c r="CV94" i="40"/>
  <c r="CV18" i="40"/>
  <c r="CV12" i="40"/>
  <c r="DQ29" i="40"/>
  <c r="H32" i="1" s="1"/>
  <c r="DQ10" i="40"/>
  <c r="H14" i="1" s="1"/>
  <c r="DQ14" i="40"/>
  <c r="H17" i="1" s="1"/>
  <c r="CV30" i="40"/>
  <c r="CV24" i="40"/>
  <c r="CV11" i="40"/>
  <c r="DQ19" i="40"/>
  <c r="H22" i="1" s="1"/>
  <c r="H22" i="54" s="1"/>
  <c r="DQ4" i="40"/>
  <c r="H7" i="1" s="1"/>
  <c r="CV7" i="40"/>
  <c r="CV27" i="40"/>
  <c r="CV16" i="40"/>
  <c r="DQ25" i="40"/>
  <c r="H28" i="1" s="1"/>
  <c r="CV29" i="40"/>
  <c r="CV10" i="40"/>
  <c r="CV14" i="40"/>
  <c r="DQ32" i="40"/>
  <c r="H35" i="1" s="1"/>
  <c r="DQ13" i="40"/>
  <c r="H16" i="1" s="1"/>
  <c r="CV90" i="40"/>
  <c r="CV21" i="40"/>
  <c r="CV19" i="40"/>
  <c r="CV4" i="40"/>
  <c r="CV25" i="40"/>
  <c r="CV17" i="40"/>
  <c r="CV31" i="40"/>
  <c r="CV98" i="40"/>
  <c r="CV36" i="40"/>
  <c r="CS1" i="40"/>
  <c r="AM88" i="49"/>
  <c r="AM83" i="49"/>
  <c r="AM87" i="49"/>
  <c r="AQ83" i="49"/>
  <c r="AK87" i="49"/>
  <c r="AO88" i="49"/>
  <c r="AQ88" i="49"/>
  <c r="AQ87" i="49"/>
  <c r="AQ32" i="49"/>
  <c r="AO32" i="49"/>
  <c r="AM32" i="49"/>
  <c r="AO83" i="49"/>
  <c r="AK32" i="49"/>
  <c r="AK88" i="49"/>
  <c r="H14" i="54" l="1"/>
  <c r="H51" i="36"/>
  <c r="I47" i="33"/>
  <c r="H13" i="36"/>
  <c r="I14" i="33"/>
  <c r="H14" i="36"/>
  <c r="I15" i="33"/>
  <c r="H23" i="36"/>
  <c r="I24" i="33"/>
  <c r="H53" i="36"/>
  <c r="I52" i="33"/>
  <c r="H50" i="36"/>
  <c r="I55" i="33"/>
  <c r="H25" i="36"/>
  <c r="I27" i="33"/>
  <c r="H54" i="36"/>
  <c r="I54" i="33"/>
  <c r="H55" i="36"/>
  <c r="I57" i="33"/>
  <c r="H34" i="54"/>
  <c r="H36" i="26"/>
  <c r="H29" i="54"/>
  <c r="H32" i="26"/>
  <c r="H31" i="54"/>
  <c r="H31" i="26"/>
  <c r="H9" i="54"/>
  <c r="H10" i="26"/>
  <c r="H10" i="54"/>
  <c r="H11" i="26"/>
  <c r="H26" i="54"/>
  <c r="H27" i="26"/>
  <c r="H8" i="54"/>
  <c r="H9" i="26"/>
  <c r="H25" i="54"/>
  <c r="H26" i="26"/>
  <c r="H17" i="54"/>
  <c r="H18" i="26"/>
  <c r="H30" i="54"/>
  <c r="H30" i="26"/>
  <c r="H32" i="54"/>
  <c r="H33" i="26"/>
  <c r="H18" i="54"/>
  <c r="H22" i="26"/>
  <c r="H7" i="54"/>
  <c r="H8" i="26"/>
  <c r="H27" i="54"/>
  <c r="H29" i="26"/>
  <c r="H13" i="54"/>
  <c r="H15" i="26"/>
  <c r="H28" i="54"/>
  <c r="H16" i="54"/>
  <c r="H17" i="26"/>
  <c r="H23" i="54"/>
  <c r="H23" i="26"/>
  <c r="H20" i="54"/>
  <c r="H19" i="26"/>
  <c r="H12" i="54"/>
  <c r="H14" i="26"/>
  <c r="H19" i="54"/>
  <c r="H11" i="36"/>
  <c r="H9" i="36"/>
  <c r="H12" i="36"/>
  <c r="H10" i="36"/>
  <c r="H7" i="36"/>
  <c r="H8" i="36"/>
  <c r="H49" i="36"/>
  <c r="H48" i="36"/>
  <c r="H31" i="36"/>
  <c r="H40" i="36"/>
  <c r="H52" i="36"/>
  <c r="H33" i="36"/>
  <c r="H16" i="36"/>
  <c r="H30" i="36"/>
  <c r="H17" i="36"/>
  <c r="H39" i="36"/>
  <c r="H26" i="36"/>
  <c r="H18" i="36"/>
  <c r="H15" i="36"/>
  <c r="H29" i="36"/>
  <c r="H32" i="36"/>
  <c r="H27" i="36"/>
  <c r="H28" i="36"/>
  <c r="H21" i="36"/>
  <c r="H38" i="36"/>
  <c r="H24" i="36"/>
  <c r="H20" i="36"/>
  <c r="H22" i="36"/>
  <c r="H34" i="36"/>
  <c r="H19" i="36"/>
  <c r="H44" i="36"/>
  <c r="H46" i="36"/>
  <c r="H36" i="36"/>
  <c r="H42" i="36"/>
  <c r="H43" i="36"/>
  <c r="H47" i="36"/>
  <c r="H35" i="36"/>
  <c r="H45" i="36"/>
  <c r="H41" i="36"/>
  <c r="H37" i="36"/>
  <c r="AS83" i="49"/>
  <c r="S76" i="33" l="1"/>
  <c r="T76" i="33"/>
  <c r="V76" i="33"/>
  <c r="S77" i="33"/>
  <c r="T77" i="33"/>
  <c r="V77" i="33"/>
  <c r="F101" i="51"/>
  <c r="G101" i="51"/>
  <c r="U77" i="33" s="1"/>
  <c r="CP77" i="33" s="1"/>
  <c r="H101" i="51"/>
  <c r="R77" i="33" s="1"/>
  <c r="I101" i="51"/>
  <c r="J101" i="51"/>
  <c r="K101" i="51"/>
  <c r="L101" i="51"/>
  <c r="M101" i="51"/>
  <c r="A101" i="51"/>
  <c r="H565" i="45"/>
  <c r="BP7" i="31"/>
  <c r="CQ7" i="31" s="1"/>
  <c r="BO13" i="1"/>
  <c r="CP13" i="1" s="1"/>
  <c r="EO38" i="31"/>
  <c r="EO56" i="31"/>
  <c r="H564" i="45" l="1"/>
  <c r="H561" i="45" l="1"/>
  <c r="H563" i="45"/>
  <c r="H562" i="45"/>
  <c r="H560" i="45"/>
  <c r="DB62" i="33"/>
  <c r="DB63" i="33"/>
  <c r="DB64" i="33"/>
  <c r="DB65" i="33"/>
  <c r="DB66" i="33"/>
  <c r="DB67" i="33"/>
  <c r="DB69" i="33"/>
  <c r="DB70" i="33"/>
  <c r="DB71" i="33"/>
  <c r="DB72" i="33"/>
  <c r="DB73" i="33"/>
  <c r="DB74" i="33"/>
  <c r="DB75" i="33"/>
  <c r="CS62" i="33"/>
  <c r="CS63" i="33"/>
  <c r="CS64" i="33"/>
  <c r="CS65" i="33"/>
  <c r="CS66" i="33"/>
  <c r="CS67" i="33"/>
  <c r="CS69" i="33"/>
  <c r="CS70" i="33"/>
  <c r="CS71" i="33"/>
  <c r="CS72" i="33"/>
  <c r="CS73" i="33"/>
  <c r="CS74" i="33"/>
  <c r="CS75" i="33"/>
  <c r="CL62" i="33"/>
  <c r="CL63" i="33"/>
  <c r="CL64" i="33"/>
  <c r="CL65" i="33"/>
  <c r="CL66" i="33"/>
  <c r="CL67" i="33"/>
  <c r="CL69" i="33"/>
  <c r="CL70" i="33"/>
  <c r="CL71" i="33"/>
  <c r="CL72" i="33"/>
  <c r="CL73" i="33"/>
  <c r="CL74" i="33"/>
  <c r="CE62" i="33"/>
  <c r="CE63" i="33"/>
  <c r="CE64" i="33"/>
  <c r="CE65" i="33"/>
  <c r="CE66" i="33"/>
  <c r="CE67" i="33"/>
  <c r="CE69" i="33"/>
  <c r="CE70" i="33"/>
  <c r="CE71" i="33"/>
  <c r="CE72" i="33"/>
  <c r="CE73" i="33"/>
  <c r="CE74" i="33"/>
  <c r="BX62" i="33"/>
  <c r="BX63" i="33"/>
  <c r="BX64" i="33"/>
  <c r="BX65" i="33"/>
  <c r="BX66" i="33"/>
  <c r="BX67" i="33"/>
  <c r="BX69" i="33"/>
  <c r="BX70" i="33"/>
  <c r="BX71" i="33"/>
  <c r="BX72" i="33"/>
  <c r="BX73" i="33"/>
  <c r="BX74" i="33"/>
  <c r="BX75" i="33"/>
  <c r="BX76" i="33"/>
  <c r="AX61" i="33"/>
  <c r="AX62" i="33"/>
  <c r="AX63" i="33"/>
  <c r="AX66" i="33"/>
  <c r="AX67" i="33"/>
  <c r="AX69" i="33"/>
  <c r="AX70" i="33"/>
  <c r="AX71" i="33"/>
  <c r="AX72" i="33"/>
  <c r="AX73" i="33"/>
  <c r="BE62" i="33"/>
  <c r="BE63" i="33"/>
  <c r="BE64" i="33"/>
  <c r="BE65" i="33"/>
  <c r="BE66" i="33"/>
  <c r="BE67" i="33"/>
  <c r="BE69" i="33"/>
  <c r="BE70" i="33"/>
  <c r="BE71" i="33"/>
  <c r="BE72" i="33"/>
  <c r="BE73" i="33"/>
  <c r="BE74" i="33"/>
  <c r="BE75" i="33"/>
  <c r="BL72" i="33"/>
  <c r="BL73" i="33"/>
  <c r="BL62" i="33"/>
  <c r="BL63" i="33"/>
  <c r="BL64" i="33"/>
  <c r="BL65" i="33"/>
  <c r="BL66" i="33"/>
  <c r="BL67" i="33"/>
  <c r="BL69" i="33"/>
  <c r="BL70" i="33"/>
  <c r="BL71" i="33"/>
  <c r="C85" i="49"/>
  <c r="D85" i="49"/>
  <c r="H85" i="49"/>
  <c r="C86" i="49"/>
  <c r="D86" i="49"/>
  <c r="H86" i="49"/>
  <c r="AR87" i="49"/>
  <c r="AS87" i="49" s="1"/>
  <c r="AT87" i="49"/>
  <c r="AV87" i="49"/>
  <c r="AX87" i="49"/>
  <c r="AZ87" i="49"/>
  <c r="BB87" i="49"/>
  <c r="BD87" i="49"/>
  <c r="BF87" i="49"/>
  <c r="BI87" i="49"/>
  <c r="BL87" i="49"/>
  <c r="AR88" i="49"/>
  <c r="AS88" i="49" s="1"/>
  <c r="AT88" i="49"/>
  <c r="AV88" i="49"/>
  <c r="AX88" i="49"/>
  <c r="AZ88" i="49"/>
  <c r="BB88" i="49"/>
  <c r="BD88" i="49"/>
  <c r="BF88" i="49"/>
  <c r="BI88" i="49"/>
  <c r="BL88" i="49"/>
  <c r="AU83" i="49"/>
  <c r="AW83" i="49"/>
  <c r="AY83" i="49"/>
  <c r="AZ83" i="49"/>
  <c r="BA83" i="49" s="1"/>
  <c r="BB83" i="49"/>
  <c r="BD83" i="49"/>
  <c r="BF83" i="49"/>
  <c r="BI83" i="49"/>
  <c r="BL83" i="49"/>
  <c r="C84" i="49"/>
  <c r="D84" i="49"/>
  <c r="H84" i="49"/>
  <c r="B1" i="24"/>
  <c r="C1" i="24"/>
  <c r="D1" i="24"/>
  <c r="E1" i="24"/>
  <c r="J1" i="24"/>
  <c r="K1" i="24"/>
  <c r="L1" i="24"/>
  <c r="M1" i="24"/>
  <c r="N1" i="24"/>
  <c r="O1" i="24"/>
  <c r="P1" i="24"/>
  <c r="R1" i="24"/>
  <c r="S1" i="24"/>
  <c r="T1" i="24"/>
  <c r="U1" i="24"/>
  <c r="V1" i="24"/>
  <c r="W1" i="24"/>
  <c r="X1" i="24"/>
  <c r="Y1" i="24"/>
  <c r="Z1" i="24"/>
  <c r="AA1" i="24"/>
  <c r="AB1" i="24"/>
  <c r="AC1" i="24"/>
  <c r="B2" i="24"/>
  <c r="C2" i="24"/>
  <c r="D2" i="24"/>
  <c r="E2" i="24"/>
  <c r="J2" i="24"/>
  <c r="K2" i="24"/>
  <c r="L2" i="24"/>
  <c r="O2" i="24"/>
  <c r="P2" i="24"/>
  <c r="R2" i="24"/>
  <c r="S2" i="24"/>
  <c r="T2" i="24"/>
  <c r="U2" i="24"/>
  <c r="V2" i="24"/>
  <c r="W2" i="24"/>
  <c r="X2" i="24"/>
  <c r="Y2" i="24"/>
  <c r="Z2" i="24"/>
  <c r="AA2" i="24"/>
  <c r="AB2" i="24"/>
  <c r="AC2" i="24"/>
  <c r="B3" i="24"/>
  <c r="C3" i="24"/>
  <c r="D3" i="24"/>
  <c r="E3" i="24"/>
  <c r="F3" i="24"/>
  <c r="G3" i="24"/>
  <c r="K3" i="24"/>
  <c r="L3" i="24"/>
  <c r="M3" i="24"/>
  <c r="O3" i="24"/>
  <c r="P3" i="24"/>
  <c r="R3" i="24"/>
  <c r="S3" i="24"/>
  <c r="T3" i="24"/>
  <c r="U3" i="24"/>
  <c r="V3" i="24"/>
  <c r="W3" i="24"/>
  <c r="X3" i="24"/>
  <c r="Y3" i="24"/>
  <c r="Z3" i="24"/>
  <c r="AA3" i="24"/>
  <c r="AB3" i="24"/>
  <c r="AC3" i="24"/>
  <c r="B4" i="24"/>
  <c r="C4" i="24"/>
  <c r="D4" i="24"/>
  <c r="K4" i="24"/>
  <c r="L4" i="24"/>
  <c r="O4" i="24"/>
  <c r="P4" i="24"/>
  <c r="S4" i="24"/>
  <c r="T4" i="24"/>
  <c r="U4" i="24"/>
  <c r="V4" i="24"/>
  <c r="W4" i="24"/>
  <c r="X4" i="24"/>
  <c r="Y4" i="24"/>
  <c r="Z4" i="24"/>
  <c r="AA4" i="24"/>
  <c r="AB4" i="24"/>
  <c r="AC4" i="24"/>
  <c r="B6" i="24"/>
  <c r="C6" i="24"/>
  <c r="D6" i="24"/>
  <c r="E6" i="24"/>
  <c r="F6" i="24"/>
  <c r="G6" i="24"/>
  <c r="J6" i="24"/>
  <c r="K6" i="24"/>
  <c r="L6" i="24"/>
  <c r="M6" i="24"/>
  <c r="N6" i="24"/>
  <c r="O6" i="24"/>
  <c r="P6" i="24"/>
  <c r="R6" i="24"/>
  <c r="S6" i="24"/>
  <c r="T6" i="24"/>
  <c r="U6" i="24"/>
  <c r="V6" i="24"/>
  <c r="W6" i="24"/>
  <c r="X6" i="24"/>
  <c r="Y6" i="24"/>
  <c r="Z6" i="24"/>
  <c r="AA6" i="24"/>
  <c r="AB6" i="24"/>
  <c r="A10" i="24"/>
  <c r="B10" i="24"/>
  <c r="C10" i="24"/>
  <c r="D10" i="24"/>
  <c r="E10" i="24"/>
  <c r="F10" i="24"/>
  <c r="G10" i="24"/>
  <c r="J10" i="24"/>
  <c r="K10" i="24"/>
  <c r="L10" i="24"/>
  <c r="M10" i="24"/>
  <c r="N10" i="24"/>
  <c r="O10" i="24"/>
  <c r="P10" i="24"/>
  <c r="R10" i="24"/>
  <c r="S10" i="24"/>
  <c r="T10" i="24"/>
  <c r="U10" i="24"/>
  <c r="V10" i="24"/>
  <c r="W10" i="24"/>
  <c r="X10" i="24"/>
  <c r="Y10" i="24"/>
  <c r="Z10" i="24"/>
  <c r="AA10" i="24"/>
  <c r="AB10" i="24"/>
  <c r="A11" i="24"/>
  <c r="A15" i="24" s="1"/>
  <c r="A19" i="24" s="1"/>
  <c r="A23" i="24" s="1"/>
  <c r="A27" i="24" s="1"/>
  <c r="A31" i="24" s="1"/>
  <c r="A35" i="24" s="1"/>
  <c r="A39" i="24" s="1"/>
  <c r="A43" i="24" s="1"/>
  <c r="A47" i="24" s="1"/>
  <c r="A51" i="24" s="1"/>
  <c r="A55" i="24" s="1"/>
  <c r="A59" i="24" s="1"/>
  <c r="A63" i="24" s="1"/>
  <c r="A67" i="24" s="1"/>
  <c r="A71" i="24" s="1"/>
  <c r="A75" i="24" s="1"/>
  <c r="A79" i="24" s="1"/>
  <c r="A83" i="24" s="1"/>
  <c r="A87" i="24" s="1"/>
  <c r="A91" i="24" s="1"/>
  <c r="A95" i="24" s="1"/>
  <c r="A99" i="24" s="1"/>
  <c r="A103" i="24" s="1"/>
  <c r="A107" i="24" s="1"/>
  <c r="A111" i="24" s="1"/>
  <c r="A115" i="24" s="1"/>
  <c r="A119" i="24" s="1"/>
  <c r="A123" i="24" s="1"/>
  <c r="A127" i="24" s="1"/>
  <c r="A131" i="24" s="1"/>
  <c r="A135" i="24" s="1"/>
  <c r="A139" i="24" s="1"/>
  <c r="A143" i="24" s="1"/>
  <c r="A147" i="24" s="1"/>
  <c r="A151" i="24" s="1"/>
  <c r="A155" i="24" s="1"/>
  <c r="A159" i="24" s="1"/>
  <c r="A163" i="24" s="1"/>
  <c r="A167" i="24" s="1"/>
  <c r="A171" i="24" s="1"/>
  <c r="A175" i="24" s="1"/>
  <c r="A179" i="24" s="1"/>
  <c r="A183" i="24" s="1"/>
  <c r="A187" i="24" s="1"/>
  <c r="A191" i="24" s="1"/>
  <c r="A195" i="24" s="1"/>
  <c r="A199" i="24" s="1"/>
  <c r="A203" i="24" s="1"/>
  <c r="A207" i="24" s="1"/>
  <c r="A211" i="24" s="1"/>
  <c r="A215" i="24" s="1"/>
  <c r="A219" i="24" s="1"/>
  <c r="A223" i="24" s="1"/>
  <c r="A227" i="24" s="1"/>
  <c r="A231" i="24" s="1"/>
  <c r="A235" i="24" s="1"/>
  <c r="A239" i="24" s="1"/>
  <c r="A243" i="24" s="1"/>
  <c r="A247" i="24" s="1"/>
  <c r="A251" i="24" s="1"/>
  <c r="A255" i="24" s="1"/>
  <c r="A259" i="24" s="1"/>
  <c r="A263" i="24" s="1"/>
  <c r="A267" i="24" s="1"/>
  <c r="A271" i="24" s="1"/>
  <c r="A275" i="24" s="1"/>
  <c r="A279" i="24" s="1"/>
  <c r="A283" i="24" s="1"/>
  <c r="A287" i="24" s="1"/>
  <c r="A291" i="24" s="1"/>
  <c r="A295" i="24" s="1"/>
  <c r="A299" i="24" s="1"/>
  <c r="A303" i="24" s="1"/>
  <c r="A307" i="24" s="1"/>
  <c r="A311" i="24" s="1"/>
  <c r="A315" i="24" s="1"/>
  <c r="A319" i="24" s="1"/>
  <c r="A323" i="24" s="1"/>
  <c r="A327" i="24" s="1"/>
  <c r="A331" i="24" s="1"/>
  <c r="A335" i="24" s="1"/>
  <c r="A339" i="24" s="1"/>
  <c r="A343" i="24" s="1"/>
  <c r="A347" i="24" s="1"/>
  <c r="A351" i="24" s="1"/>
  <c r="A355" i="24" s="1"/>
  <c r="A359" i="24" s="1"/>
  <c r="A363" i="24" s="1"/>
  <c r="A367" i="24" s="1"/>
  <c r="A371" i="24" s="1"/>
  <c r="A375" i="24" s="1"/>
  <c r="A379" i="24" s="1"/>
  <c r="A383" i="24" s="1"/>
  <c r="A387" i="24" s="1"/>
  <c r="A391" i="24" s="1"/>
  <c r="A395" i="24" s="1"/>
  <c r="A399" i="24" s="1"/>
  <c r="A403" i="24" s="1"/>
  <c r="A407" i="24" s="1"/>
  <c r="A411" i="24" s="1"/>
  <c r="A415" i="24" s="1"/>
  <c r="A419" i="24" s="1"/>
  <c r="A423" i="24" s="1"/>
  <c r="A427" i="24" s="1"/>
  <c r="A431" i="24" s="1"/>
  <c r="A435" i="24" s="1"/>
  <c r="A12" i="24"/>
  <c r="A16" i="24" s="1"/>
  <c r="A20" i="24" s="1"/>
  <c r="A24" i="24" s="1"/>
  <c r="A28" i="24" s="1"/>
  <c r="A32" i="24" s="1"/>
  <c r="A36" i="24" s="1"/>
  <c r="A40" i="24" s="1"/>
  <c r="A44" i="24" s="1"/>
  <c r="A48" i="24" s="1"/>
  <c r="A52" i="24" s="1"/>
  <c r="A56" i="24" s="1"/>
  <c r="A60" i="24" s="1"/>
  <c r="A64" i="24" s="1"/>
  <c r="A68" i="24" s="1"/>
  <c r="A72" i="24" s="1"/>
  <c r="A76" i="24" s="1"/>
  <c r="A80" i="24" s="1"/>
  <c r="A84" i="24" s="1"/>
  <c r="A88" i="24" s="1"/>
  <c r="A92" i="24" s="1"/>
  <c r="A96" i="24" s="1"/>
  <c r="A100" i="24" s="1"/>
  <c r="A104" i="24" s="1"/>
  <c r="A108" i="24" s="1"/>
  <c r="A112" i="24" s="1"/>
  <c r="A116" i="24" s="1"/>
  <c r="A120" i="24" s="1"/>
  <c r="A124" i="24" s="1"/>
  <c r="A128" i="24" s="1"/>
  <c r="A132" i="24" s="1"/>
  <c r="A136" i="24" s="1"/>
  <c r="A140" i="24" s="1"/>
  <c r="A144" i="24" s="1"/>
  <c r="A148" i="24" s="1"/>
  <c r="A152" i="24" s="1"/>
  <c r="A156" i="24" s="1"/>
  <c r="A160" i="24" s="1"/>
  <c r="A164" i="24" s="1"/>
  <c r="A168" i="24" s="1"/>
  <c r="A172" i="24" s="1"/>
  <c r="A176" i="24" s="1"/>
  <c r="A180" i="24" s="1"/>
  <c r="A184" i="24" s="1"/>
  <c r="A188" i="24" s="1"/>
  <c r="A192" i="24" s="1"/>
  <c r="A196" i="24" s="1"/>
  <c r="A200" i="24" s="1"/>
  <c r="A204" i="24" s="1"/>
  <c r="A208" i="24" s="1"/>
  <c r="A212" i="24" s="1"/>
  <c r="A216" i="24" s="1"/>
  <c r="A220" i="24" s="1"/>
  <c r="A224" i="24" s="1"/>
  <c r="A228" i="24" s="1"/>
  <c r="A232" i="24" s="1"/>
  <c r="A236" i="24" s="1"/>
  <c r="A240" i="24" s="1"/>
  <c r="A244" i="24" s="1"/>
  <c r="A248" i="24" s="1"/>
  <c r="A252" i="24" s="1"/>
  <c r="A256" i="24" s="1"/>
  <c r="A260" i="24" s="1"/>
  <c r="A264" i="24" s="1"/>
  <c r="A268" i="24" s="1"/>
  <c r="A272" i="24" s="1"/>
  <c r="A276" i="24" s="1"/>
  <c r="A280" i="24" s="1"/>
  <c r="A284" i="24" s="1"/>
  <c r="A288" i="24" s="1"/>
  <c r="A292" i="24" s="1"/>
  <c r="A296" i="24" s="1"/>
  <c r="A300" i="24" s="1"/>
  <c r="A304" i="24" s="1"/>
  <c r="A308" i="24" s="1"/>
  <c r="A312" i="24" s="1"/>
  <c r="A316" i="24" s="1"/>
  <c r="A320" i="24" s="1"/>
  <c r="A324" i="24" s="1"/>
  <c r="A328" i="24" s="1"/>
  <c r="A332" i="24" s="1"/>
  <c r="A336" i="24" s="1"/>
  <c r="A340" i="24" s="1"/>
  <c r="A344" i="24" s="1"/>
  <c r="A348" i="24" s="1"/>
  <c r="A352" i="24" s="1"/>
  <c r="A356" i="24" s="1"/>
  <c r="A360" i="24" s="1"/>
  <c r="A364" i="24" s="1"/>
  <c r="A368" i="24" s="1"/>
  <c r="A372" i="24" s="1"/>
  <c r="A376" i="24" s="1"/>
  <c r="A380" i="24" s="1"/>
  <c r="A384" i="24" s="1"/>
  <c r="A388" i="24" s="1"/>
  <c r="A392" i="24" s="1"/>
  <c r="A396" i="24" s="1"/>
  <c r="A400" i="24" s="1"/>
  <c r="A404" i="24" s="1"/>
  <c r="A408" i="24" s="1"/>
  <c r="A412" i="24" s="1"/>
  <c r="A416" i="24" s="1"/>
  <c r="A420" i="24" s="1"/>
  <c r="A424" i="24" s="1"/>
  <c r="A428" i="24" s="1"/>
  <c r="A432" i="24" s="1"/>
  <c r="A436" i="24" s="1"/>
  <c r="A13" i="24"/>
  <c r="A17" i="24" s="1"/>
  <c r="A21" i="24" s="1"/>
  <c r="A25" i="24" s="1"/>
  <c r="A29" i="24" s="1"/>
  <c r="A33" i="24" s="1"/>
  <c r="A37" i="24" s="1"/>
  <c r="A41" i="24" s="1"/>
  <c r="A45" i="24" s="1"/>
  <c r="A49" i="24" s="1"/>
  <c r="A53" i="24" s="1"/>
  <c r="A57" i="24" s="1"/>
  <c r="A61" i="24" s="1"/>
  <c r="A65" i="24" s="1"/>
  <c r="A69" i="24" s="1"/>
  <c r="A73" i="24" s="1"/>
  <c r="A77" i="24" s="1"/>
  <c r="A81" i="24" s="1"/>
  <c r="A85" i="24" s="1"/>
  <c r="A89" i="24" s="1"/>
  <c r="A93" i="24" s="1"/>
  <c r="A97" i="24" s="1"/>
  <c r="A101" i="24" s="1"/>
  <c r="A105" i="24" s="1"/>
  <c r="A109" i="24" s="1"/>
  <c r="A113" i="24" s="1"/>
  <c r="A117" i="24" s="1"/>
  <c r="A121" i="24" s="1"/>
  <c r="A125" i="24" s="1"/>
  <c r="A129" i="24" s="1"/>
  <c r="A133" i="24" s="1"/>
  <c r="A137" i="24" s="1"/>
  <c r="A141" i="24" s="1"/>
  <c r="A145" i="24" s="1"/>
  <c r="A149" i="24" s="1"/>
  <c r="A153" i="24" s="1"/>
  <c r="A157" i="24" s="1"/>
  <c r="A161" i="24" s="1"/>
  <c r="A165" i="24" s="1"/>
  <c r="A169" i="24" s="1"/>
  <c r="A173" i="24" s="1"/>
  <c r="A177" i="24" s="1"/>
  <c r="A181" i="24" s="1"/>
  <c r="A185" i="24" s="1"/>
  <c r="A189" i="24" s="1"/>
  <c r="A193" i="24" s="1"/>
  <c r="A197" i="24" s="1"/>
  <c r="A201" i="24" s="1"/>
  <c r="A205" i="24" s="1"/>
  <c r="A209" i="24" s="1"/>
  <c r="A213" i="24" s="1"/>
  <c r="A217" i="24" s="1"/>
  <c r="A221" i="24" s="1"/>
  <c r="A225" i="24" s="1"/>
  <c r="A229" i="24" s="1"/>
  <c r="A233" i="24" s="1"/>
  <c r="A237" i="24" s="1"/>
  <c r="A241" i="24" s="1"/>
  <c r="A245" i="24" s="1"/>
  <c r="A249" i="24" s="1"/>
  <c r="A253" i="24" s="1"/>
  <c r="A257" i="24" s="1"/>
  <c r="A261" i="24" s="1"/>
  <c r="A265" i="24" s="1"/>
  <c r="A269" i="24" s="1"/>
  <c r="A273" i="24" s="1"/>
  <c r="A277" i="24" s="1"/>
  <c r="A281" i="24" s="1"/>
  <c r="A285" i="24" s="1"/>
  <c r="A289" i="24" s="1"/>
  <c r="A293" i="24" s="1"/>
  <c r="A297" i="24" s="1"/>
  <c r="A301" i="24" s="1"/>
  <c r="A305" i="24" s="1"/>
  <c r="A309" i="24" s="1"/>
  <c r="A313" i="24" s="1"/>
  <c r="A317" i="24" s="1"/>
  <c r="A321" i="24" s="1"/>
  <c r="A325" i="24" s="1"/>
  <c r="A329" i="24" s="1"/>
  <c r="A333" i="24" s="1"/>
  <c r="A337" i="24" s="1"/>
  <c r="A341" i="24" s="1"/>
  <c r="A345" i="24" s="1"/>
  <c r="A349" i="24" s="1"/>
  <c r="A353" i="24" s="1"/>
  <c r="A357" i="24" s="1"/>
  <c r="A361" i="24" s="1"/>
  <c r="A365" i="24" s="1"/>
  <c r="A369" i="24" s="1"/>
  <c r="A373" i="24" s="1"/>
  <c r="A377" i="24" s="1"/>
  <c r="A381" i="24" s="1"/>
  <c r="A385" i="24" s="1"/>
  <c r="A389" i="24" s="1"/>
  <c r="A393" i="24" s="1"/>
  <c r="A397" i="24" s="1"/>
  <c r="A401" i="24" s="1"/>
  <c r="A405" i="24" s="1"/>
  <c r="A409" i="24" s="1"/>
  <c r="A413" i="24" s="1"/>
  <c r="A417" i="24" s="1"/>
  <c r="A421" i="24" s="1"/>
  <c r="A425" i="24" s="1"/>
  <c r="A429" i="24" s="1"/>
  <c r="A433" i="24" s="1"/>
  <c r="A437" i="24" s="1"/>
  <c r="A14" i="24"/>
  <c r="A18" i="24" s="1"/>
  <c r="A22" i="24" s="1"/>
  <c r="A26" i="24" s="1"/>
  <c r="A30" i="24" s="1"/>
  <c r="A34" i="24" s="1"/>
  <c r="A38" i="24" s="1"/>
  <c r="A42" i="24" s="1"/>
  <c r="A46" i="24" s="1"/>
  <c r="A50" i="24" s="1"/>
  <c r="A54" i="24" s="1"/>
  <c r="A58" i="24" s="1"/>
  <c r="A62" i="24" s="1"/>
  <c r="A66" i="24" s="1"/>
  <c r="A70" i="24" s="1"/>
  <c r="A74" i="24" s="1"/>
  <c r="A78" i="24" s="1"/>
  <c r="A82" i="24" s="1"/>
  <c r="A86" i="24" s="1"/>
  <c r="A90" i="24" s="1"/>
  <c r="A94" i="24" s="1"/>
  <c r="A98" i="24" s="1"/>
  <c r="A102" i="24" s="1"/>
  <c r="A106" i="24" s="1"/>
  <c r="A110" i="24" s="1"/>
  <c r="A114" i="24" s="1"/>
  <c r="A118" i="24" s="1"/>
  <c r="A122" i="24" s="1"/>
  <c r="A126" i="24" s="1"/>
  <c r="A130" i="24" s="1"/>
  <c r="A134" i="24" s="1"/>
  <c r="A138" i="24" s="1"/>
  <c r="A142" i="24" s="1"/>
  <c r="A146" i="24" s="1"/>
  <c r="A150" i="24" s="1"/>
  <c r="A154" i="24" s="1"/>
  <c r="A158" i="24" s="1"/>
  <c r="A162" i="24" s="1"/>
  <c r="A166" i="24" s="1"/>
  <c r="A170" i="24" s="1"/>
  <c r="A174" i="24" s="1"/>
  <c r="A178" i="24" s="1"/>
  <c r="A182" i="24" s="1"/>
  <c r="A186" i="24" s="1"/>
  <c r="A190" i="24" s="1"/>
  <c r="A194" i="24" s="1"/>
  <c r="A198" i="24" s="1"/>
  <c r="A202" i="24" s="1"/>
  <c r="A206" i="24" s="1"/>
  <c r="A210" i="24" s="1"/>
  <c r="A214" i="24" s="1"/>
  <c r="A218" i="24" s="1"/>
  <c r="A222" i="24" s="1"/>
  <c r="A226" i="24" s="1"/>
  <c r="A230" i="24" s="1"/>
  <c r="A234" i="24" s="1"/>
  <c r="A238" i="24" s="1"/>
  <c r="A242" i="24" s="1"/>
  <c r="A246" i="24" s="1"/>
  <c r="A250" i="24" s="1"/>
  <c r="A254" i="24" s="1"/>
  <c r="A258" i="24" s="1"/>
  <c r="A262" i="24" s="1"/>
  <c r="A266" i="24" s="1"/>
  <c r="A270" i="24" s="1"/>
  <c r="A274" i="24" s="1"/>
  <c r="A278" i="24" s="1"/>
  <c r="A282" i="24" s="1"/>
  <c r="A286" i="24" s="1"/>
  <c r="A290" i="24" s="1"/>
  <c r="A294" i="24" s="1"/>
  <c r="A298" i="24" s="1"/>
  <c r="A302" i="24" s="1"/>
  <c r="A306" i="24" s="1"/>
  <c r="A310" i="24" s="1"/>
  <c r="A318" i="24" s="1"/>
  <c r="A322" i="24" s="1"/>
  <c r="A326" i="24" s="1"/>
  <c r="A330" i="24" s="1"/>
  <c r="A334" i="24" s="1"/>
  <c r="A338" i="24" s="1"/>
  <c r="A342" i="24" s="1"/>
  <c r="A346" i="24" s="1"/>
  <c r="A350" i="24" s="1"/>
  <c r="A354" i="24" s="1"/>
  <c r="A358" i="24" s="1"/>
  <c r="A362" i="24" s="1"/>
  <c r="A366" i="24" s="1"/>
  <c r="A370" i="24" s="1"/>
  <c r="A374" i="24" s="1"/>
  <c r="A378" i="24" s="1"/>
  <c r="A382" i="24" s="1"/>
  <c r="A386" i="24" s="1"/>
  <c r="A390" i="24" s="1"/>
  <c r="A394" i="24" s="1"/>
  <c r="A398" i="24" s="1"/>
  <c r="A402" i="24" s="1"/>
  <c r="A406" i="24" s="1"/>
  <c r="A410" i="24" s="1"/>
  <c r="A414" i="24" s="1"/>
  <c r="A418" i="24" s="1"/>
  <c r="A422" i="24" s="1"/>
  <c r="A426" i="24" s="1"/>
  <c r="A430" i="24" s="1"/>
  <c r="A434" i="24" s="1"/>
  <c r="B14" i="24"/>
  <c r="C14" i="24"/>
  <c r="D14" i="24"/>
  <c r="E14" i="24"/>
  <c r="F14" i="24"/>
  <c r="G14" i="24"/>
  <c r="J14" i="24"/>
  <c r="K14" i="24"/>
  <c r="L14" i="24"/>
  <c r="M14" i="24"/>
  <c r="N14" i="24"/>
  <c r="O14" i="24"/>
  <c r="P14" i="24"/>
  <c r="R14" i="24"/>
  <c r="S14" i="24"/>
  <c r="T14" i="24"/>
  <c r="U14" i="24"/>
  <c r="V14" i="24"/>
  <c r="W14" i="24"/>
  <c r="X14" i="24"/>
  <c r="Y14" i="24"/>
  <c r="Z14" i="24"/>
  <c r="AA14" i="24"/>
  <c r="AB14" i="24"/>
  <c r="B18" i="24"/>
  <c r="C18" i="24"/>
  <c r="D18" i="24"/>
  <c r="E18" i="24"/>
  <c r="F18" i="24"/>
  <c r="G18" i="24"/>
  <c r="J18" i="24"/>
  <c r="K18" i="24"/>
  <c r="L18" i="24"/>
  <c r="M18" i="24"/>
  <c r="N18" i="24"/>
  <c r="O18" i="24"/>
  <c r="P18" i="24"/>
  <c r="R18" i="24"/>
  <c r="S18" i="24"/>
  <c r="T18" i="24"/>
  <c r="U18" i="24"/>
  <c r="V18" i="24"/>
  <c r="W18" i="24"/>
  <c r="X18" i="24"/>
  <c r="Y18" i="24"/>
  <c r="Z18" i="24"/>
  <c r="AA18" i="24"/>
  <c r="AB18" i="24"/>
  <c r="B22" i="24"/>
  <c r="C22" i="24"/>
  <c r="D22" i="24"/>
  <c r="E22" i="24"/>
  <c r="F22" i="24"/>
  <c r="G22" i="24"/>
  <c r="J22" i="24"/>
  <c r="K22" i="24"/>
  <c r="L22" i="24"/>
  <c r="M22" i="24"/>
  <c r="N22" i="24"/>
  <c r="O22" i="24"/>
  <c r="P22" i="24"/>
  <c r="R22" i="24"/>
  <c r="S22" i="24"/>
  <c r="T22" i="24"/>
  <c r="U22" i="24"/>
  <c r="V22" i="24"/>
  <c r="W22" i="24"/>
  <c r="X22" i="24"/>
  <c r="Y22" i="24"/>
  <c r="Z22" i="24"/>
  <c r="AA22" i="24"/>
  <c r="AB22" i="24"/>
  <c r="B26" i="24"/>
  <c r="C26" i="24"/>
  <c r="D26" i="24"/>
  <c r="E26" i="24"/>
  <c r="F26" i="24"/>
  <c r="G26" i="24"/>
  <c r="J26" i="24"/>
  <c r="K26" i="24"/>
  <c r="L26" i="24"/>
  <c r="M26" i="24"/>
  <c r="N26" i="24"/>
  <c r="O26" i="24"/>
  <c r="P26" i="24"/>
  <c r="R26" i="24"/>
  <c r="S26" i="24"/>
  <c r="T26" i="24"/>
  <c r="U26" i="24"/>
  <c r="V26" i="24"/>
  <c r="W26" i="24"/>
  <c r="X26" i="24"/>
  <c r="Y26" i="24"/>
  <c r="Z26" i="24"/>
  <c r="AA26" i="24"/>
  <c r="AB26" i="24"/>
  <c r="B30" i="24"/>
  <c r="C30" i="24"/>
  <c r="D30" i="24"/>
  <c r="E30" i="24"/>
  <c r="F30" i="24"/>
  <c r="G30" i="24"/>
  <c r="J30" i="24"/>
  <c r="K30" i="24"/>
  <c r="L30" i="24"/>
  <c r="M30" i="24"/>
  <c r="N30" i="24"/>
  <c r="O30" i="24"/>
  <c r="P30" i="24"/>
  <c r="R30" i="24"/>
  <c r="S30" i="24"/>
  <c r="T30" i="24"/>
  <c r="U30" i="24"/>
  <c r="V30" i="24"/>
  <c r="W30" i="24"/>
  <c r="X30" i="24"/>
  <c r="Y30" i="24"/>
  <c r="Z30" i="24"/>
  <c r="AA30" i="24"/>
  <c r="AB30" i="24"/>
  <c r="B34" i="24"/>
  <c r="C34" i="24"/>
  <c r="D34" i="24"/>
  <c r="E34" i="24"/>
  <c r="F34" i="24"/>
  <c r="G34" i="24"/>
  <c r="J34" i="24"/>
  <c r="K34" i="24"/>
  <c r="L34" i="24"/>
  <c r="M34" i="24"/>
  <c r="N34" i="24"/>
  <c r="O34" i="24"/>
  <c r="P34" i="24"/>
  <c r="R34" i="24"/>
  <c r="S34" i="24"/>
  <c r="T34" i="24"/>
  <c r="U34" i="24"/>
  <c r="V34" i="24"/>
  <c r="W34" i="24"/>
  <c r="X34" i="24"/>
  <c r="Y34" i="24"/>
  <c r="Z34" i="24"/>
  <c r="AA34" i="24"/>
  <c r="AB34" i="24"/>
  <c r="B38" i="24"/>
  <c r="C38" i="24"/>
  <c r="D38" i="24"/>
  <c r="E38" i="24"/>
  <c r="F38" i="24"/>
  <c r="G38" i="24"/>
  <c r="J38" i="24"/>
  <c r="K38" i="24"/>
  <c r="L38" i="24"/>
  <c r="M38" i="24"/>
  <c r="N38" i="24"/>
  <c r="O38" i="24"/>
  <c r="P38" i="24"/>
  <c r="R38" i="24"/>
  <c r="S38" i="24"/>
  <c r="T38" i="24"/>
  <c r="U38" i="24"/>
  <c r="V38" i="24"/>
  <c r="W38" i="24"/>
  <c r="X38" i="24"/>
  <c r="Y38" i="24"/>
  <c r="Z38" i="24"/>
  <c r="AA38" i="24"/>
  <c r="AB38" i="24"/>
  <c r="B42" i="24"/>
  <c r="C42" i="24"/>
  <c r="D42" i="24"/>
  <c r="E42" i="24"/>
  <c r="F42" i="24"/>
  <c r="G42" i="24"/>
  <c r="J42" i="24"/>
  <c r="K42" i="24"/>
  <c r="L42" i="24"/>
  <c r="M42" i="24"/>
  <c r="N42" i="24"/>
  <c r="O42" i="24"/>
  <c r="P42" i="24"/>
  <c r="R42" i="24"/>
  <c r="S42" i="24"/>
  <c r="T42" i="24"/>
  <c r="U42" i="24"/>
  <c r="V42" i="24"/>
  <c r="W42" i="24"/>
  <c r="X42" i="24"/>
  <c r="Y42" i="24"/>
  <c r="Z42" i="24"/>
  <c r="AA42" i="24"/>
  <c r="AB42" i="24"/>
  <c r="B46" i="24"/>
  <c r="C46" i="24"/>
  <c r="D46" i="24"/>
  <c r="E46" i="24"/>
  <c r="F46" i="24"/>
  <c r="G46" i="24"/>
  <c r="J46" i="24"/>
  <c r="K46" i="24"/>
  <c r="L46" i="24"/>
  <c r="M46" i="24"/>
  <c r="N46" i="24"/>
  <c r="O46" i="24"/>
  <c r="P46" i="24"/>
  <c r="R46" i="24"/>
  <c r="S46" i="24"/>
  <c r="T46" i="24"/>
  <c r="U46" i="24"/>
  <c r="V46" i="24"/>
  <c r="W46" i="24"/>
  <c r="X46" i="24"/>
  <c r="Y46" i="24"/>
  <c r="Z46" i="24"/>
  <c r="AA46" i="24"/>
  <c r="AB46" i="24"/>
  <c r="B50" i="24"/>
  <c r="C50" i="24"/>
  <c r="D50" i="24"/>
  <c r="E50" i="24"/>
  <c r="F50" i="24"/>
  <c r="G50" i="24"/>
  <c r="J50" i="24"/>
  <c r="K50" i="24"/>
  <c r="L50" i="24"/>
  <c r="M50" i="24"/>
  <c r="N50" i="24"/>
  <c r="O50" i="24"/>
  <c r="P50" i="24"/>
  <c r="R50" i="24"/>
  <c r="S50" i="24"/>
  <c r="T50" i="24"/>
  <c r="U50" i="24"/>
  <c r="V50" i="24"/>
  <c r="W50" i="24"/>
  <c r="X50" i="24"/>
  <c r="Y50" i="24"/>
  <c r="Z50" i="24"/>
  <c r="AA50" i="24"/>
  <c r="AB50" i="24"/>
  <c r="B54" i="24"/>
  <c r="C54" i="24"/>
  <c r="D54" i="24"/>
  <c r="E54" i="24"/>
  <c r="F54" i="24"/>
  <c r="G54" i="24"/>
  <c r="J54" i="24"/>
  <c r="K54" i="24"/>
  <c r="L54" i="24"/>
  <c r="M54" i="24"/>
  <c r="N54" i="24"/>
  <c r="O54" i="24"/>
  <c r="P54" i="24"/>
  <c r="R54" i="24"/>
  <c r="S54" i="24"/>
  <c r="T54" i="24"/>
  <c r="U54" i="24"/>
  <c r="V54" i="24"/>
  <c r="W54" i="24"/>
  <c r="X54" i="24"/>
  <c r="Y54" i="24"/>
  <c r="Z54" i="24"/>
  <c r="AA54" i="24"/>
  <c r="AB54" i="24"/>
  <c r="B58" i="24"/>
  <c r="C58" i="24"/>
  <c r="D58" i="24"/>
  <c r="E58" i="24"/>
  <c r="F58" i="24"/>
  <c r="G58" i="24"/>
  <c r="J58" i="24"/>
  <c r="K58" i="24"/>
  <c r="L58" i="24"/>
  <c r="M58" i="24"/>
  <c r="N58" i="24"/>
  <c r="O58" i="24"/>
  <c r="P58" i="24"/>
  <c r="R58" i="24"/>
  <c r="S58" i="24"/>
  <c r="T58" i="24"/>
  <c r="U58" i="24"/>
  <c r="V58" i="24"/>
  <c r="W58" i="24"/>
  <c r="X58" i="24"/>
  <c r="Y58" i="24"/>
  <c r="Z58" i="24"/>
  <c r="AA58" i="24"/>
  <c r="AB58" i="24"/>
  <c r="B62" i="24"/>
  <c r="C62" i="24"/>
  <c r="D62" i="24"/>
  <c r="E62" i="24"/>
  <c r="F62" i="24"/>
  <c r="G62" i="24"/>
  <c r="J62" i="24"/>
  <c r="K62" i="24"/>
  <c r="L62" i="24"/>
  <c r="M62" i="24"/>
  <c r="N62" i="24"/>
  <c r="O62" i="24"/>
  <c r="P62" i="24"/>
  <c r="R62" i="24"/>
  <c r="S62" i="24"/>
  <c r="T62" i="24"/>
  <c r="U62" i="24"/>
  <c r="V62" i="24"/>
  <c r="W62" i="24"/>
  <c r="X62" i="24"/>
  <c r="Y62" i="24"/>
  <c r="Z62" i="24"/>
  <c r="AA62" i="24"/>
  <c r="AB62" i="24"/>
  <c r="B66" i="24"/>
  <c r="C66" i="24"/>
  <c r="D66" i="24"/>
  <c r="E66" i="24"/>
  <c r="F66" i="24"/>
  <c r="G66" i="24"/>
  <c r="J66" i="24"/>
  <c r="K66" i="24"/>
  <c r="L66" i="24"/>
  <c r="M66" i="24"/>
  <c r="N66" i="24"/>
  <c r="O66" i="24"/>
  <c r="P66" i="24"/>
  <c r="R66" i="24"/>
  <c r="S66" i="24"/>
  <c r="T66" i="24"/>
  <c r="U66" i="24"/>
  <c r="V66" i="24"/>
  <c r="W66" i="24"/>
  <c r="X66" i="24"/>
  <c r="Y66" i="24"/>
  <c r="Z66" i="24"/>
  <c r="AA66" i="24"/>
  <c r="AB66" i="24"/>
  <c r="B70" i="24"/>
  <c r="C70" i="24"/>
  <c r="D70" i="24"/>
  <c r="E70" i="24"/>
  <c r="F70" i="24"/>
  <c r="G70" i="24"/>
  <c r="J70" i="24"/>
  <c r="K70" i="24"/>
  <c r="L70" i="24"/>
  <c r="M70" i="24"/>
  <c r="N70" i="24"/>
  <c r="O70" i="24"/>
  <c r="P70" i="24"/>
  <c r="R70" i="24"/>
  <c r="S70" i="24"/>
  <c r="T70" i="24"/>
  <c r="U70" i="24"/>
  <c r="V70" i="24"/>
  <c r="W70" i="24"/>
  <c r="X70" i="24"/>
  <c r="Y70" i="24"/>
  <c r="Z70" i="24"/>
  <c r="AA70" i="24"/>
  <c r="AB70" i="24"/>
  <c r="B74" i="24"/>
  <c r="C74" i="24"/>
  <c r="D74" i="24"/>
  <c r="E74" i="24"/>
  <c r="F74" i="24"/>
  <c r="G74" i="24"/>
  <c r="J74" i="24"/>
  <c r="K74" i="24"/>
  <c r="L74" i="24"/>
  <c r="M74" i="24"/>
  <c r="N74" i="24"/>
  <c r="O74" i="24"/>
  <c r="P74" i="24"/>
  <c r="R74" i="24"/>
  <c r="S74" i="24"/>
  <c r="T74" i="24"/>
  <c r="U74" i="24"/>
  <c r="V74" i="24"/>
  <c r="W74" i="24"/>
  <c r="X74" i="24"/>
  <c r="Y74" i="24"/>
  <c r="Z74" i="24"/>
  <c r="AA74" i="24"/>
  <c r="AB74" i="24"/>
  <c r="B78" i="24"/>
  <c r="C78" i="24"/>
  <c r="D78" i="24"/>
  <c r="E78" i="24"/>
  <c r="F78" i="24"/>
  <c r="G78" i="24"/>
  <c r="J78" i="24"/>
  <c r="K78" i="24"/>
  <c r="L78" i="24"/>
  <c r="M78" i="24"/>
  <c r="N78" i="24"/>
  <c r="O78" i="24"/>
  <c r="P78" i="24"/>
  <c r="R78" i="24"/>
  <c r="S78" i="24"/>
  <c r="T78" i="24"/>
  <c r="U78" i="24"/>
  <c r="V78" i="24"/>
  <c r="W78" i="24"/>
  <c r="X78" i="24"/>
  <c r="Y78" i="24"/>
  <c r="Z78" i="24"/>
  <c r="AA78" i="24"/>
  <c r="AB78" i="24"/>
  <c r="B82" i="24"/>
  <c r="C82" i="24"/>
  <c r="D82" i="24"/>
  <c r="E82" i="24"/>
  <c r="F82" i="24"/>
  <c r="G82" i="24"/>
  <c r="J82" i="24"/>
  <c r="K82" i="24"/>
  <c r="L82" i="24"/>
  <c r="M82" i="24"/>
  <c r="N82" i="24"/>
  <c r="O82" i="24"/>
  <c r="P82" i="24"/>
  <c r="R82" i="24"/>
  <c r="S82" i="24"/>
  <c r="T82" i="24"/>
  <c r="U82" i="24"/>
  <c r="V82" i="24"/>
  <c r="W82" i="24"/>
  <c r="X82" i="24"/>
  <c r="Y82" i="24"/>
  <c r="Z82" i="24"/>
  <c r="AA82" i="24"/>
  <c r="AB82" i="24"/>
  <c r="B86" i="24"/>
  <c r="C86" i="24"/>
  <c r="D86" i="24"/>
  <c r="E86" i="24"/>
  <c r="F86" i="24"/>
  <c r="G86" i="24"/>
  <c r="J86" i="24"/>
  <c r="K86" i="24"/>
  <c r="L86" i="24"/>
  <c r="M86" i="24"/>
  <c r="N86" i="24"/>
  <c r="O86" i="24"/>
  <c r="P86" i="24"/>
  <c r="R86" i="24"/>
  <c r="S86" i="24"/>
  <c r="T86" i="24"/>
  <c r="U86" i="24"/>
  <c r="V86" i="24"/>
  <c r="W86" i="24"/>
  <c r="X86" i="24"/>
  <c r="Y86" i="24"/>
  <c r="Z86" i="24"/>
  <c r="AA86" i="24"/>
  <c r="AB86" i="24"/>
  <c r="B90" i="24"/>
  <c r="C90" i="24"/>
  <c r="D90" i="24"/>
  <c r="E90" i="24"/>
  <c r="F90" i="24"/>
  <c r="G90" i="24"/>
  <c r="J90" i="24"/>
  <c r="K90" i="24"/>
  <c r="L90" i="24"/>
  <c r="M90" i="24"/>
  <c r="N90" i="24"/>
  <c r="O90" i="24"/>
  <c r="P90" i="24"/>
  <c r="R90" i="24"/>
  <c r="S90" i="24"/>
  <c r="T90" i="24"/>
  <c r="U90" i="24"/>
  <c r="V90" i="24"/>
  <c r="W90" i="24"/>
  <c r="X90" i="24"/>
  <c r="Y90" i="24"/>
  <c r="Z90" i="24"/>
  <c r="AA90" i="24"/>
  <c r="AB90" i="24"/>
  <c r="B94" i="24"/>
  <c r="C94" i="24"/>
  <c r="D94" i="24"/>
  <c r="E94" i="24"/>
  <c r="F94" i="24"/>
  <c r="G94" i="24"/>
  <c r="J94" i="24"/>
  <c r="K94" i="24"/>
  <c r="L94" i="24"/>
  <c r="M94" i="24"/>
  <c r="N94" i="24"/>
  <c r="O94" i="24"/>
  <c r="P94" i="24"/>
  <c r="R94" i="24"/>
  <c r="S94" i="24"/>
  <c r="T94" i="24"/>
  <c r="U94" i="24"/>
  <c r="V94" i="24"/>
  <c r="W94" i="24"/>
  <c r="X94" i="24"/>
  <c r="Y94" i="24"/>
  <c r="Z94" i="24"/>
  <c r="AA94" i="24"/>
  <c r="AB94" i="24"/>
  <c r="B98" i="24"/>
  <c r="C98" i="24"/>
  <c r="D98" i="24"/>
  <c r="E98" i="24"/>
  <c r="F98" i="24"/>
  <c r="G98" i="24"/>
  <c r="J98" i="24"/>
  <c r="K98" i="24"/>
  <c r="L98" i="24"/>
  <c r="M98" i="24"/>
  <c r="N98" i="24"/>
  <c r="O98" i="24"/>
  <c r="P98" i="24"/>
  <c r="R98" i="24"/>
  <c r="S98" i="24"/>
  <c r="T98" i="24"/>
  <c r="U98" i="24"/>
  <c r="V98" i="24"/>
  <c r="W98" i="24"/>
  <c r="X98" i="24"/>
  <c r="Y98" i="24"/>
  <c r="Z98" i="24"/>
  <c r="AA98" i="24"/>
  <c r="AB98" i="24"/>
  <c r="B102" i="24"/>
  <c r="C102" i="24"/>
  <c r="D102" i="24"/>
  <c r="E102" i="24"/>
  <c r="F102" i="24"/>
  <c r="G102" i="24"/>
  <c r="J102" i="24"/>
  <c r="K102" i="24"/>
  <c r="L102" i="24"/>
  <c r="M102" i="24"/>
  <c r="N102" i="24"/>
  <c r="O102" i="24"/>
  <c r="P102" i="24"/>
  <c r="R102" i="24"/>
  <c r="S102" i="24"/>
  <c r="T102" i="24"/>
  <c r="U102" i="24"/>
  <c r="V102" i="24"/>
  <c r="W102" i="24"/>
  <c r="X102" i="24"/>
  <c r="Y102" i="24"/>
  <c r="Z102" i="24"/>
  <c r="AA102" i="24"/>
  <c r="AB102" i="24"/>
  <c r="B106" i="24"/>
  <c r="C106" i="24"/>
  <c r="D106" i="24"/>
  <c r="E106" i="24"/>
  <c r="F106" i="24"/>
  <c r="G106" i="24"/>
  <c r="J106" i="24"/>
  <c r="K106" i="24"/>
  <c r="L106" i="24"/>
  <c r="M106" i="24"/>
  <c r="N106" i="24"/>
  <c r="O106" i="24"/>
  <c r="P106" i="24"/>
  <c r="R106" i="24"/>
  <c r="S106" i="24"/>
  <c r="T106" i="24"/>
  <c r="U106" i="24"/>
  <c r="V106" i="24"/>
  <c r="W106" i="24"/>
  <c r="X106" i="24"/>
  <c r="Y106" i="24"/>
  <c r="Z106" i="24"/>
  <c r="AA106" i="24"/>
  <c r="AB106" i="24"/>
  <c r="B110" i="24"/>
  <c r="C110" i="24"/>
  <c r="D110" i="24"/>
  <c r="E110" i="24"/>
  <c r="F110" i="24"/>
  <c r="G110" i="24"/>
  <c r="J110" i="24"/>
  <c r="K110" i="24"/>
  <c r="L110" i="24"/>
  <c r="M110" i="24"/>
  <c r="N110" i="24"/>
  <c r="O110" i="24"/>
  <c r="P110" i="24"/>
  <c r="R110" i="24"/>
  <c r="S110" i="24"/>
  <c r="T110" i="24"/>
  <c r="U110" i="24"/>
  <c r="V110" i="24"/>
  <c r="W110" i="24"/>
  <c r="X110" i="24"/>
  <c r="Y110" i="24"/>
  <c r="Z110" i="24"/>
  <c r="AA110" i="24"/>
  <c r="AB110" i="24"/>
  <c r="B114" i="24"/>
  <c r="C114" i="24"/>
  <c r="D114" i="24"/>
  <c r="E114" i="24"/>
  <c r="F114" i="24"/>
  <c r="G114" i="24"/>
  <c r="J114" i="24"/>
  <c r="K114" i="24"/>
  <c r="L114" i="24"/>
  <c r="M114" i="24"/>
  <c r="N114" i="24"/>
  <c r="O114" i="24"/>
  <c r="P114" i="24"/>
  <c r="R114" i="24"/>
  <c r="S114" i="24"/>
  <c r="T114" i="24"/>
  <c r="U114" i="24"/>
  <c r="V114" i="24"/>
  <c r="W114" i="24"/>
  <c r="X114" i="24"/>
  <c r="Y114" i="24"/>
  <c r="Z114" i="24"/>
  <c r="AA114" i="24"/>
  <c r="AB114" i="24"/>
  <c r="B118" i="24"/>
  <c r="C118" i="24"/>
  <c r="D118" i="24"/>
  <c r="E118" i="24"/>
  <c r="F118" i="24"/>
  <c r="G118" i="24"/>
  <c r="J118" i="24"/>
  <c r="K118" i="24"/>
  <c r="L118" i="24"/>
  <c r="M118" i="24"/>
  <c r="N118" i="24"/>
  <c r="O118" i="24"/>
  <c r="P118" i="24"/>
  <c r="R118" i="24"/>
  <c r="S118" i="24"/>
  <c r="T118" i="24"/>
  <c r="U118" i="24"/>
  <c r="V118" i="24"/>
  <c r="W118" i="24"/>
  <c r="X118" i="24"/>
  <c r="Y118" i="24"/>
  <c r="Z118" i="24"/>
  <c r="AA118" i="24"/>
  <c r="AB118" i="24"/>
  <c r="B122" i="24"/>
  <c r="C122" i="24"/>
  <c r="D122" i="24"/>
  <c r="E122" i="24"/>
  <c r="F122" i="24"/>
  <c r="G122" i="24"/>
  <c r="J122" i="24"/>
  <c r="K122" i="24"/>
  <c r="L122" i="24"/>
  <c r="M122" i="24"/>
  <c r="N122" i="24"/>
  <c r="O122" i="24"/>
  <c r="P122" i="24"/>
  <c r="R122" i="24"/>
  <c r="S122" i="24"/>
  <c r="T122" i="24"/>
  <c r="U122" i="24"/>
  <c r="V122" i="24"/>
  <c r="W122" i="24"/>
  <c r="X122" i="24"/>
  <c r="Y122" i="24"/>
  <c r="Z122" i="24"/>
  <c r="AA122" i="24"/>
  <c r="AB122" i="24"/>
  <c r="B126" i="24"/>
  <c r="C126" i="24"/>
  <c r="D126" i="24"/>
  <c r="E126" i="24"/>
  <c r="F126" i="24"/>
  <c r="G126" i="24"/>
  <c r="J126" i="24"/>
  <c r="K126" i="24"/>
  <c r="L126" i="24"/>
  <c r="M126" i="24"/>
  <c r="N126" i="24"/>
  <c r="O126" i="24"/>
  <c r="P126" i="24"/>
  <c r="R126" i="24"/>
  <c r="S126" i="24"/>
  <c r="T126" i="24"/>
  <c r="U126" i="24"/>
  <c r="V126" i="24"/>
  <c r="W126" i="24"/>
  <c r="X126" i="24"/>
  <c r="Y126" i="24"/>
  <c r="Z126" i="24"/>
  <c r="AA126" i="24"/>
  <c r="AB126" i="24"/>
  <c r="B130" i="24"/>
  <c r="C130" i="24"/>
  <c r="D130" i="24"/>
  <c r="E130" i="24"/>
  <c r="F130" i="24"/>
  <c r="G130" i="24"/>
  <c r="J130" i="24"/>
  <c r="K130" i="24"/>
  <c r="L130" i="24"/>
  <c r="M130" i="24"/>
  <c r="N130" i="24"/>
  <c r="O130" i="24"/>
  <c r="P130" i="24"/>
  <c r="R130" i="24"/>
  <c r="S130" i="24"/>
  <c r="T130" i="24"/>
  <c r="U130" i="24"/>
  <c r="V130" i="24"/>
  <c r="W130" i="24"/>
  <c r="X130" i="24"/>
  <c r="Y130" i="24"/>
  <c r="Z130" i="24"/>
  <c r="AA130" i="24"/>
  <c r="AB130" i="24"/>
  <c r="B134" i="24"/>
  <c r="C134" i="24"/>
  <c r="D134" i="24"/>
  <c r="E134" i="24"/>
  <c r="F134" i="24"/>
  <c r="G134" i="24"/>
  <c r="J134" i="24"/>
  <c r="K134" i="24"/>
  <c r="L134" i="24"/>
  <c r="M134" i="24"/>
  <c r="N134" i="24"/>
  <c r="O134" i="24"/>
  <c r="P134" i="24"/>
  <c r="R134" i="24"/>
  <c r="S134" i="24"/>
  <c r="T134" i="24"/>
  <c r="U134" i="24"/>
  <c r="V134" i="24"/>
  <c r="W134" i="24"/>
  <c r="X134" i="24"/>
  <c r="Y134" i="24"/>
  <c r="Z134" i="24"/>
  <c r="AA134" i="24"/>
  <c r="AB134" i="24"/>
  <c r="B138" i="24"/>
  <c r="C138" i="24"/>
  <c r="D138" i="24"/>
  <c r="E138" i="24"/>
  <c r="F138" i="24"/>
  <c r="G138" i="24"/>
  <c r="J138" i="24"/>
  <c r="K138" i="24"/>
  <c r="L138" i="24"/>
  <c r="M138" i="24"/>
  <c r="N138" i="24"/>
  <c r="O138" i="24"/>
  <c r="P138" i="24"/>
  <c r="R138" i="24"/>
  <c r="S138" i="24"/>
  <c r="T138" i="24"/>
  <c r="U138" i="24"/>
  <c r="V138" i="24"/>
  <c r="W138" i="24"/>
  <c r="X138" i="24"/>
  <c r="Y138" i="24"/>
  <c r="Z138" i="24"/>
  <c r="AA138" i="24"/>
  <c r="AB138" i="24"/>
  <c r="B142" i="24"/>
  <c r="C142" i="24"/>
  <c r="D142" i="24"/>
  <c r="E142" i="24"/>
  <c r="F142" i="24"/>
  <c r="G142" i="24"/>
  <c r="J142" i="24"/>
  <c r="K142" i="24"/>
  <c r="L142" i="24"/>
  <c r="M142" i="24"/>
  <c r="N142" i="24"/>
  <c r="O142" i="24"/>
  <c r="P142" i="24"/>
  <c r="R142" i="24"/>
  <c r="S142" i="24"/>
  <c r="T142" i="24"/>
  <c r="U142" i="24"/>
  <c r="V142" i="24"/>
  <c r="W142" i="24"/>
  <c r="X142" i="24"/>
  <c r="Y142" i="24"/>
  <c r="Z142" i="24"/>
  <c r="AA142" i="24"/>
  <c r="AB142" i="24"/>
  <c r="B146" i="24"/>
  <c r="C146" i="24"/>
  <c r="D146" i="24"/>
  <c r="E146" i="24"/>
  <c r="F146" i="24"/>
  <c r="G146" i="24"/>
  <c r="J146" i="24"/>
  <c r="K146" i="24"/>
  <c r="L146" i="24"/>
  <c r="M146" i="24"/>
  <c r="N146" i="24"/>
  <c r="O146" i="24"/>
  <c r="P146" i="24"/>
  <c r="R146" i="24"/>
  <c r="S146" i="24"/>
  <c r="T146" i="24"/>
  <c r="U146" i="24"/>
  <c r="V146" i="24"/>
  <c r="W146" i="24"/>
  <c r="X146" i="24"/>
  <c r="Y146" i="24"/>
  <c r="Z146" i="24"/>
  <c r="AA146" i="24"/>
  <c r="AB146" i="24"/>
  <c r="B150" i="24"/>
  <c r="C150" i="24"/>
  <c r="D150" i="24"/>
  <c r="E150" i="24"/>
  <c r="F150" i="24"/>
  <c r="G150" i="24"/>
  <c r="J150" i="24"/>
  <c r="K150" i="24"/>
  <c r="L150" i="24"/>
  <c r="M150" i="24"/>
  <c r="N150" i="24"/>
  <c r="O150" i="24"/>
  <c r="P150" i="24"/>
  <c r="R150" i="24"/>
  <c r="S150" i="24"/>
  <c r="T150" i="24"/>
  <c r="U150" i="24"/>
  <c r="V150" i="24"/>
  <c r="W150" i="24"/>
  <c r="X150" i="24"/>
  <c r="Y150" i="24"/>
  <c r="Z150" i="24"/>
  <c r="AA150" i="24"/>
  <c r="AB150" i="24"/>
  <c r="B154" i="24"/>
  <c r="C154" i="24"/>
  <c r="D154" i="24"/>
  <c r="E154" i="24"/>
  <c r="F154" i="24"/>
  <c r="G154" i="24"/>
  <c r="J154" i="24"/>
  <c r="K154" i="24"/>
  <c r="L154" i="24"/>
  <c r="M154" i="24"/>
  <c r="N154" i="24"/>
  <c r="O154" i="24"/>
  <c r="P154" i="24"/>
  <c r="R154" i="24"/>
  <c r="S154" i="24"/>
  <c r="T154" i="24"/>
  <c r="U154" i="24"/>
  <c r="V154" i="24"/>
  <c r="W154" i="24"/>
  <c r="X154" i="24"/>
  <c r="Y154" i="24"/>
  <c r="Z154" i="24"/>
  <c r="AA154" i="24"/>
  <c r="AB154" i="24"/>
  <c r="B158" i="24"/>
  <c r="C158" i="24"/>
  <c r="D158" i="24"/>
  <c r="E158" i="24"/>
  <c r="F158" i="24"/>
  <c r="G158" i="24"/>
  <c r="J158" i="24"/>
  <c r="K158" i="24"/>
  <c r="L158" i="24"/>
  <c r="M158" i="24"/>
  <c r="N158" i="24"/>
  <c r="O158" i="24"/>
  <c r="P158" i="24"/>
  <c r="R158" i="24"/>
  <c r="S158" i="24"/>
  <c r="T158" i="24"/>
  <c r="U158" i="24"/>
  <c r="V158" i="24"/>
  <c r="W158" i="24"/>
  <c r="X158" i="24"/>
  <c r="Y158" i="24"/>
  <c r="Z158" i="24"/>
  <c r="AA158" i="24"/>
  <c r="AB158" i="24"/>
  <c r="B162" i="24"/>
  <c r="C162" i="24"/>
  <c r="D162" i="24"/>
  <c r="E162" i="24"/>
  <c r="F162" i="24"/>
  <c r="G162" i="24"/>
  <c r="J162" i="24"/>
  <c r="K162" i="24"/>
  <c r="L162" i="24"/>
  <c r="M162" i="24"/>
  <c r="N162" i="24"/>
  <c r="O162" i="24"/>
  <c r="P162" i="24"/>
  <c r="R162" i="24"/>
  <c r="S162" i="24"/>
  <c r="T162" i="24"/>
  <c r="U162" i="24"/>
  <c r="V162" i="24"/>
  <c r="W162" i="24"/>
  <c r="X162" i="24"/>
  <c r="Y162" i="24"/>
  <c r="Z162" i="24"/>
  <c r="AA162" i="24"/>
  <c r="AB162" i="24"/>
  <c r="B166" i="24"/>
  <c r="C166" i="24"/>
  <c r="D166" i="24"/>
  <c r="E166" i="24"/>
  <c r="F166" i="24"/>
  <c r="G166" i="24"/>
  <c r="J166" i="24"/>
  <c r="K166" i="24"/>
  <c r="L166" i="24"/>
  <c r="M166" i="24"/>
  <c r="N166" i="24"/>
  <c r="O166" i="24"/>
  <c r="P166" i="24"/>
  <c r="R166" i="24"/>
  <c r="S166" i="24"/>
  <c r="T166" i="24"/>
  <c r="U166" i="24"/>
  <c r="V166" i="24"/>
  <c r="W166" i="24"/>
  <c r="X166" i="24"/>
  <c r="Y166" i="24"/>
  <c r="Z166" i="24"/>
  <c r="AA166" i="24"/>
  <c r="AB166" i="24"/>
  <c r="B170" i="24"/>
  <c r="C170" i="24"/>
  <c r="D170" i="24"/>
  <c r="E170" i="24"/>
  <c r="F170" i="24"/>
  <c r="G170" i="24"/>
  <c r="J170" i="24"/>
  <c r="K170" i="24"/>
  <c r="L170" i="24"/>
  <c r="M170" i="24"/>
  <c r="N170" i="24"/>
  <c r="O170" i="24"/>
  <c r="P170" i="24"/>
  <c r="R170" i="24"/>
  <c r="S170" i="24"/>
  <c r="T170" i="24"/>
  <c r="U170" i="24"/>
  <c r="V170" i="24"/>
  <c r="W170" i="24"/>
  <c r="X170" i="24"/>
  <c r="Y170" i="24"/>
  <c r="Z170" i="24"/>
  <c r="AA170" i="24"/>
  <c r="AB170" i="24"/>
  <c r="B174" i="24"/>
  <c r="C174" i="24"/>
  <c r="D174" i="24"/>
  <c r="E174" i="24"/>
  <c r="F174" i="24"/>
  <c r="G174" i="24"/>
  <c r="J174" i="24"/>
  <c r="K174" i="24"/>
  <c r="L174" i="24"/>
  <c r="M174" i="24"/>
  <c r="N174" i="24"/>
  <c r="O174" i="24"/>
  <c r="P174" i="24"/>
  <c r="R174" i="24"/>
  <c r="S174" i="24"/>
  <c r="T174" i="24"/>
  <c r="U174" i="24"/>
  <c r="V174" i="24"/>
  <c r="W174" i="24"/>
  <c r="X174" i="24"/>
  <c r="Y174" i="24"/>
  <c r="Z174" i="24"/>
  <c r="AA174" i="24"/>
  <c r="AB174" i="24"/>
  <c r="B178" i="24"/>
  <c r="C178" i="24"/>
  <c r="D178" i="24"/>
  <c r="E178" i="24"/>
  <c r="F178" i="24"/>
  <c r="G178" i="24"/>
  <c r="J178" i="24"/>
  <c r="K178" i="24"/>
  <c r="L178" i="24"/>
  <c r="M178" i="24"/>
  <c r="N178" i="24"/>
  <c r="O178" i="24"/>
  <c r="P178" i="24"/>
  <c r="R178" i="24"/>
  <c r="S178" i="24"/>
  <c r="T178" i="24"/>
  <c r="U178" i="24"/>
  <c r="V178" i="24"/>
  <c r="W178" i="24"/>
  <c r="X178" i="24"/>
  <c r="Y178" i="24"/>
  <c r="Z178" i="24"/>
  <c r="AA178" i="24"/>
  <c r="AB178" i="24"/>
  <c r="B182" i="24"/>
  <c r="C182" i="24"/>
  <c r="D182" i="24"/>
  <c r="E182" i="24"/>
  <c r="F182" i="24"/>
  <c r="G182" i="24"/>
  <c r="J182" i="24"/>
  <c r="K182" i="24"/>
  <c r="L182" i="24"/>
  <c r="M182" i="24"/>
  <c r="N182" i="24"/>
  <c r="O182" i="24"/>
  <c r="P182" i="24"/>
  <c r="R182" i="24"/>
  <c r="S182" i="24"/>
  <c r="T182" i="24"/>
  <c r="U182" i="24"/>
  <c r="V182" i="24"/>
  <c r="W182" i="24"/>
  <c r="X182" i="24"/>
  <c r="Y182" i="24"/>
  <c r="Z182" i="24"/>
  <c r="AA182" i="24"/>
  <c r="AB182" i="24"/>
  <c r="B186" i="24"/>
  <c r="C186" i="24"/>
  <c r="D186" i="24"/>
  <c r="E186" i="24"/>
  <c r="F186" i="24"/>
  <c r="G186" i="24"/>
  <c r="J186" i="24"/>
  <c r="K186" i="24"/>
  <c r="L186" i="24"/>
  <c r="M186" i="24"/>
  <c r="N186" i="24"/>
  <c r="O186" i="24"/>
  <c r="P186" i="24"/>
  <c r="R186" i="24"/>
  <c r="S186" i="24"/>
  <c r="T186" i="24"/>
  <c r="U186" i="24"/>
  <c r="V186" i="24"/>
  <c r="W186" i="24"/>
  <c r="X186" i="24"/>
  <c r="Y186" i="24"/>
  <c r="Z186" i="24"/>
  <c r="AA186" i="24"/>
  <c r="AB186" i="24"/>
  <c r="B190" i="24"/>
  <c r="C190" i="24"/>
  <c r="D190" i="24"/>
  <c r="E190" i="24"/>
  <c r="F190" i="24"/>
  <c r="G190" i="24"/>
  <c r="J190" i="24"/>
  <c r="K190" i="24"/>
  <c r="L190" i="24"/>
  <c r="M190" i="24"/>
  <c r="N190" i="24"/>
  <c r="O190" i="24"/>
  <c r="P190" i="24"/>
  <c r="R190" i="24"/>
  <c r="S190" i="24"/>
  <c r="T190" i="24"/>
  <c r="U190" i="24"/>
  <c r="V190" i="24"/>
  <c r="W190" i="24"/>
  <c r="X190" i="24"/>
  <c r="Y190" i="24"/>
  <c r="Z190" i="24"/>
  <c r="AA190" i="24"/>
  <c r="AB190" i="24"/>
  <c r="B194" i="24"/>
  <c r="C194" i="24"/>
  <c r="D194" i="24"/>
  <c r="E194" i="24"/>
  <c r="F194" i="24"/>
  <c r="G194" i="24"/>
  <c r="J194" i="24"/>
  <c r="K194" i="24"/>
  <c r="L194" i="24"/>
  <c r="M194" i="24"/>
  <c r="N194" i="24"/>
  <c r="O194" i="24"/>
  <c r="P194" i="24"/>
  <c r="R194" i="24"/>
  <c r="S194" i="24"/>
  <c r="T194" i="24"/>
  <c r="U194" i="24"/>
  <c r="V194" i="24"/>
  <c r="W194" i="24"/>
  <c r="X194" i="24"/>
  <c r="Y194" i="24"/>
  <c r="Z194" i="24"/>
  <c r="AA194" i="24"/>
  <c r="AB194" i="24"/>
  <c r="B198" i="24"/>
  <c r="C198" i="24"/>
  <c r="D198" i="24"/>
  <c r="E198" i="24"/>
  <c r="F198" i="24"/>
  <c r="G198" i="24"/>
  <c r="J198" i="24"/>
  <c r="K198" i="24"/>
  <c r="L198" i="24"/>
  <c r="M198" i="24"/>
  <c r="N198" i="24"/>
  <c r="O198" i="24"/>
  <c r="P198" i="24"/>
  <c r="R198" i="24"/>
  <c r="S198" i="24"/>
  <c r="T198" i="24"/>
  <c r="U198" i="24"/>
  <c r="V198" i="24"/>
  <c r="W198" i="24"/>
  <c r="X198" i="24"/>
  <c r="Y198" i="24"/>
  <c r="Z198" i="24"/>
  <c r="AA198" i="24"/>
  <c r="AB198" i="24"/>
  <c r="B202" i="24"/>
  <c r="C202" i="24"/>
  <c r="D202" i="24"/>
  <c r="E202" i="24"/>
  <c r="F202" i="24"/>
  <c r="G202" i="24"/>
  <c r="J202" i="24"/>
  <c r="K202" i="24"/>
  <c r="L202" i="24"/>
  <c r="M202" i="24"/>
  <c r="N202" i="24"/>
  <c r="O202" i="24"/>
  <c r="P202" i="24"/>
  <c r="R202" i="24"/>
  <c r="S202" i="24"/>
  <c r="T202" i="24"/>
  <c r="U202" i="24"/>
  <c r="V202" i="24"/>
  <c r="W202" i="24"/>
  <c r="X202" i="24"/>
  <c r="Y202" i="24"/>
  <c r="Z202" i="24"/>
  <c r="AA202" i="24"/>
  <c r="AB202" i="24"/>
  <c r="B206" i="24"/>
  <c r="C206" i="24"/>
  <c r="D206" i="24"/>
  <c r="E206" i="24"/>
  <c r="F206" i="24"/>
  <c r="G206" i="24"/>
  <c r="J206" i="24"/>
  <c r="K206" i="24"/>
  <c r="L206" i="24"/>
  <c r="M206" i="24"/>
  <c r="N206" i="24"/>
  <c r="O206" i="24"/>
  <c r="P206" i="24"/>
  <c r="R206" i="24"/>
  <c r="S206" i="24"/>
  <c r="T206" i="24"/>
  <c r="U206" i="24"/>
  <c r="V206" i="24"/>
  <c r="W206" i="24"/>
  <c r="X206" i="24"/>
  <c r="Y206" i="24"/>
  <c r="Z206" i="24"/>
  <c r="AA206" i="24"/>
  <c r="AB206" i="24"/>
  <c r="B210" i="24"/>
  <c r="C210" i="24"/>
  <c r="D210" i="24"/>
  <c r="E210" i="24"/>
  <c r="F210" i="24"/>
  <c r="G210" i="24"/>
  <c r="J210" i="24"/>
  <c r="K210" i="24"/>
  <c r="L210" i="24"/>
  <c r="M210" i="24"/>
  <c r="N210" i="24"/>
  <c r="O210" i="24"/>
  <c r="P210" i="24"/>
  <c r="R210" i="24"/>
  <c r="S210" i="24"/>
  <c r="T210" i="24"/>
  <c r="U210" i="24"/>
  <c r="V210" i="24"/>
  <c r="W210" i="24"/>
  <c r="X210" i="24"/>
  <c r="Y210" i="24"/>
  <c r="Z210" i="24"/>
  <c r="AA210" i="24"/>
  <c r="AB210" i="24"/>
  <c r="B214" i="24"/>
  <c r="C214" i="24"/>
  <c r="D214" i="24"/>
  <c r="E214" i="24"/>
  <c r="F214" i="24"/>
  <c r="G214" i="24"/>
  <c r="J214" i="24"/>
  <c r="K214" i="24"/>
  <c r="L214" i="24"/>
  <c r="M214" i="24"/>
  <c r="N214" i="24"/>
  <c r="O214" i="24"/>
  <c r="P214" i="24"/>
  <c r="R214" i="24"/>
  <c r="S214" i="24"/>
  <c r="T214" i="24"/>
  <c r="U214" i="24"/>
  <c r="V214" i="24"/>
  <c r="W214" i="24"/>
  <c r="X214" i="24"/>
  <c r="Y214" i="24"/>
  <c r="Z214" i="24"/>
  <c r="AA214" i="24"/>
  <c r="AB214" i="24"/>
  <c r="B218" i="24"/>
  <c r="C218" i="24"/>
  <c r="D218" i="24"/>
  <c r="E218" i="24"/>
  <c r="F218" i="24"/>
  <c r="G218" i="24"/>
  <c r="J218" i="24"/>
  <c r="K218" i="24"/>
  <c r="L218" i="24"/>
  <c r="M218" i="24"/>
  <c r="N218" i="24"/>
  <c r="O218" i="24"/>
  <c r="P218" i="24"/>
  <c r="R218" i="24"/>
  <c r="S218" i="24"/>
  <c r="T218" i="24"/>
  <c r="U218" i="24"/>
  <c r="V218" i="24"/>
  <c r="W218" i="24"/>
  <c r="X218" i="24"/>
  <c r="Y218" i="24"/>
  <c r="Z218" i="24"/>
  <c r="AA218" i="24"/>
  <c r="AB218" i="24"/>
  <c r="B222" i="24"/>
  <c r="C222" i="24"/>
  <c r="D222" i="24"/>
  <c r="E222" i="24"/>
  <c r="F222" i="24"/>
  <c r="G222" i="24"/>
  <c r="J222" i="24"/>
  <c r="K222" i="24"/>
  <c r="L222" i="24"/>
  <c r="M222" i="24"/>
  <c r="N222" i="24"/>
  <c r="O222" i="24"/>
  <c r="P222" i="24"/>
  <c r="R222" i="24"/>
  <c r="S222" i="24"/>
  <c r="T222" i="24"/>
  <c r="U222" i="24"/>
  <c r="V222" i="24"/>
  <c r="W222" i="24"/>
  <c r="X222" i="24"/>
  <c r="Y222" i="24"/>
  <c r="Z222" i="24"/>
  <c r="AA222" i="24"/>
  <c r="AB222" i="24"/>
  <c r="B226" i="24"/>
  <c r="C226" i="24"/>
  <c r="D226" i="24"/>
  <c r="E226" i="24"/>
  <c r="F226" i="24"/>
  <c r="G226" i="24"/>
  <c r="J226" i="24"/>
  <c r="K226" i="24"/>
  <c r="L226" i="24"/>
  <c r="M226" i="24"/>
  <c r="N226" i="24"/>
  <c r="O226" i="24"/>
  <c r="P226" i="24"/>
  <c r="R226" i="24"/>
  <c r="S226" i="24"/>
  <c r="T226" i="24"/>
  <c r="U226" i="24"/>
  <c r="V226" i="24"/>
  <c r="W226" i="24"/>
  <c r="X226" i="24"/>
  <c r="Y226" i="24"/>
  <c r="Z226" i="24"/>
  <c r="AA226" i="24"/>
  <c r="AB226" i="24"/>
  <c r="B230" i="24"/>
  <c r="C230" i="24"/>
  <c r="D230" i="24"/>
  <c r="E230" i="24"/>
  <c r="F230" i="24"/>
  <c r="G230" i="24"/>
  <c r="J230" i="24"/>
  <c r="K230" i="24"/>
  <c r="L230" i="24"/>
  <c r="M230" i="24"/>
  <c r="N230" i="24"/>
  <c r="O230" i="24"/>
  <c r="P230" i="24"/>
  <c r="R230" i="24"/>
  <c r="S230" i="24"/>
  <c r="T230" i="24"/>
  <c r="U230" i="24"/>
  <c r="V230" i="24"/>
  <c r="W230" i="24"/>
  <c r="X230" i="24"/>
  <c r="Y230" i="24"/>
  <c r="Z230" i="24"/>
  <c r="AA230" i="24"/>
  <c r="AB230" i="24"/>
  <c r="B234" i="24"/>
  <c r="C234" i="24"/>
  <c r="D234" i="24"/>
  <c r="E234" i="24"/>
  <c r="F234" i="24"/>
  <c r="G234" i="24"/>
  <c r="J234" i="24"/>
  <c r="K234" i="24"/>
  <c r="L234" i="24"/>
  <c r="M234" i="24"/>
  <c r="N234" i="24"/>
  <c r="O234" i="24"/>
  <c r="P234" i="24"/>
  <c r="R234" i="24"/>
  <c r="S234" i="24"/>
  <c r="T234" i="24"/>
  <c r="U234" i="24"/>
  <c r="V234" i="24"/>
  <c r="W234" i="24"/>
  <c r="X234" i="24"/>
  <c r="Y234" i="24"/>
  <c r="Z234" i="24"/>
  <c r="AA234" i="24"/>
  <c r="AB234" i="24"/>
  <c r="B238" i="24"/>
  <c r="C238" i="24"/>
  <c r="D238" i="24"/>
  <c r="E238" i="24"/>
  <c r="F238" i="24"/>
  <c r="G238" i="24"/>
  <c r="J238" i="24"/>
  <c r="K238" i="24"/>
  <c r="L238" i="24"/>
  <c r="M238" i="24"/>
  <c r="N238" i="24"/>
  <c r="O238" i="24"/>
  <c r="P238" i="24"/>
  <c r="R238" i="24"/>
  <c r="S238" i="24"/>
  <c r="T238" i="24"/>
  <c r="U238" i="24"/>
  <c r="V238" i="24"/>
  <c r="W238" i="24"/>
  <c r="X238" i="24"/>
  <c r="Y238" i="24"/>
  <c r="Z238" i="24"/>
  <c r="AA238" i="24"/>
  <c r="AB238" i="24"/>
  <c r="B242" i="24"/>
  <c r="C242" i="24"/>
  <c r="D242" i="24"/>
  <c r="E242" i="24"/>
  <c r="F242" i="24"/>
  <c r="G242" i="24"/>
  <c r="J242" i="24"/>
  <c r="K242" i="24"/>
  <c r="L242" i="24"/>
  <c r="M242" i="24"/>
  <c r="N242" i="24"/>
  <c r="O242" i="24"/>
  <c r="P242" i="24"/>
  <c r="R242" i="24"/>
  <c r="S242" i="24"/>
  <c r="T242" i="24"/>
  <c r="U242" i="24"/>
  <c r="V242" i="24"/>
  <c r="W242" i="24"/>
  <c r="X242" i="24"/>
  <c r="Y242" i="24"/>
  <c r="Z242" i="24"/>
  <c r="AA242" i="24"/>
  <c r="AB242" i="24"/>
  <c r="B246" i="24"/>
  <c r="C246" i="24"/>
  <c r="D246" i="24"/>
  <c r="E246" i="24"/>
  <c r="F246" i="24"/>
  <c r="G246" i="24"/>
  <c r="J246" i="24"/>
  <c r="K246" i="24"/>
  <c r="L246" i="24"/>
  <c r="M246" i="24"/>
  <c r="N246" i="24"/>
  <c r="O246" i="24"/>
  <c r="P246" i="24"/>
  <c r="R246" i="24"/>
  <c r="S246" i="24"/>
  <c r="T246" i="24"/>
  <c r="U246" i="24"/>
  <c r="V246" i="24"/>
  <c r="W246" i="24"/>
  <c r="X246" i="24"/>
  <c r="Y246" i="24"/>
  <c r="Z246" i="24"/>
  <c r="AA246" i="24"/>
  <c r="AB246" i="24"/>
  <c r="B250" i="24"/>
  <c r="C250" i="24"/>
  <c r="D250" i="24"/>
  <c r="E250" i="24"/>
  <c r="F250" i="24"/>
  <c r="G250" i="24"/>
  <c r="J250" i="24"/>
  <c r="K250" i="24"/>
  <c r="L250" i="24"/>
  <c r="M250" i="24"/>
  <c r="N250" i="24"/>
  <c r="O250" i="24"/>
  <c r="P250" i="24"/>
  <c r="R250" i="24"/>
  <c r="S250" i="24"/>
  <c r="T250" i="24"/>
  <c r="U250" i="24"/>
  <c r="V250" i="24"/>
  <c r="W250" i="24"/>
  <c r="X250" i="24"/>
  <c r="Y250" i="24"/>
  <c r="Z250" i="24"/>
  <c r="AA250" i="24"/>
  <c r="AB250" i="24"/>
  <c r="B254" i="24"/>
  <c r="C254" i="24"/>
  <c r="D254" i="24"/>
  <c r="E254" i="24"/>
  <c r="F254" i="24"/>
  <c r="G254" i="24"/>
  <c r="J254" i="24"/>
  <c r="K254" i="24"/>
  <c r="L254" i="24"/>
  <c r="M254" i="24"/>
  <c r="N254" i="24"/>
  <c r="O254" i="24"/>
  <c r="P254" i="24"/>
  <c r="R254" i="24"/>
  <c r="S254" i="24"/>
  <c r="T254" i="24"/>
  <c r="U254" i="24"/>
  <c r="V254" i="24"/>
  <c r="W254" i="24"/>
  <c r="X254" i="24"/>
  <c r="Y254" i="24"/>
  <c r="Z254" i="24"/>
  <c r="AA254" i="24"/>
  <c r="AB254" i="24"/>
  <c r="B258" i="24"/>
  <c r="C258" i="24"/>
  <c r="D258" i="24"/>
  <c r="E258" i="24"/>
  <c r="F258" i="24"/>
  <c r="G258" i="24"/>
  <c r="J258" i="24"/>
  <c r="K258" i="24"/>
  <c r="L258" i="24"/>
  <c r="M258" i="24"/>
  <c r="N258" i="24"/>
  <c r="O258" i="24"/>
  <c r="P258" i="24"/>
  <c r="R258" i="24"/>
  <c r="S258" i="24"/>
  <c r="T258" i="24"/>
  <c r="U258" i="24"/>
  <c r="V258" i="24"/>
  <c r="W258" i="24"/>
  <c r="X258" i="24"/>
  <c r="Y258" i="24"/>
  <c r="Z258" i="24"/>
  <c r="AA258" i="24"/>
  <c r="AB258" i="24"/>
  <c r="B262" i="24"/>
  <c r="C262" i="24"/>
  <c r="D262" i="24"/>
  <c r="E262" i="24"/>
  <c r="F262" i="24"/>
  <c r="G262" i="24"/>
  <c r="J262" i="24"/>
  <c r="K262" i="24"/>
  <c r="L262" i="24"/>
  <c r="M262" i="24"/>
  <c r="N262" i="24"/>
  <c r="O262" i="24"/>
  <c r="P262" i="24"/>
  <c r="R262" i="24"/>
  <c r="S262" i="24"/>
  <c r="T262" i="24"/>
  <c r="U262" i="24"/>
  <c r="V262" i="24"/>
  <c r="W262" i="24"/>
  <c r="X262" i="24"/>
  <c r="Y262" i="24"/>
  <c r="Z262" i="24"/>
  <c r="AA262" i="24"/>
  <c r="AB262" i="24"/>
  <c r="B266" i="24"/>
  <c r="C266" i="24"/>
  <c r="D266" i="24"/>
  <c r="E266" i="24"/>
  <c r="F266" i="24"/>
  <c r="G266" i="24"/>
  <c r="J266" i="24"/>
  <c r="K266" i="24"/>
  <c r="L266" i="24"/>
  <c r="M266" i="24"/>
  <c r="N266" i="24"/>
  <c r="O266" i="24"/>
  <c r="P266" i="24"/>
  <c r="R266" i="24"/>
  <c r="S266" i="24"/>
  <c r="T266" i="24"/>
  <c r="U266" i="24"/>
  <c r="V266" i="24"/>
  <c r="W266" i="24"/>
  <c r="X266" i="24"/>
  <c r="Y266" i="24"/>
  <c r="Z266" i="24"/>
  <c r="AA266" i="24"/>
  <c r="AB266" i="24"/>
  <c r="B270" i="24"/>
  <c r="C270" i="24"/>
  <c r="D270" i="24"/>
  <c r="E270" i="24"/>
  <c r="F270" i="24"/>
  <c r="G270" i="24"/>
  <c r="J270" i="24"/>
  <c r="K270" i="24"/>
  <c r="L270" i="24"/>
  <c r="M270" i="24"/>
  <c r="N270" i="24"/>
  <c r="O270" i="24"/>
  <c r="P270" i="24"/>
  <c r="R270" i="24"/>
  <c r="S270" i="24"/>
  <c r="T270" i="24"/>
  <c r="U270" i="24"/>
  <c r="V270" i="24"/>
  <c r="W270" i="24"/>
  <c r="X270" i="24"/>
  <c r="Y270" i="24"/>
  <c r="Z270" i="24"/>
  <c r="AA270" i="24"/>
  <c r="AB270" i="24"/>
  <c r="B274" i="24"/>
  <c r="C274" i="24"/>
  <c r="D274" i="24"/>
  <c r="E274" i="24"/>
  <c r="F274" i="24"/>
  <c r="G274" i="24"/>
  <c r="J274" i="24"/>
  <c r="K274" i="24"/>
  <c r="L274" i="24"/>
  <c r="M274" i="24"/>
  <c r="N274" i="24"/>
  <c r="O274" i="24"/>
  <c r="P274" i="24"/>
  <c r="R274" i="24"/>
  <c r="S274" i="24"/>
  <c r="T274" i="24"/>
  <c r="U274" i="24"/>
  <c r="V274" i="24"/>
  <c r="W274" i="24"/>
  <c r="X274" i="24"/>
  <c r="Y274" i="24"/>
  <c r="Z274" i="24"/>
  <c r="AA274" i="24"/>
  <c r="AB274" i="24"/>
  <c r="B278" i="24"/>
  <c r="C278" i="24"/>
  <c r="D278" i="24"/>
  <c r="E278" i="24"/>
  <c r="F278" i="24"/>
  <c r="G278" i="24"/>
  <c r="J278" i="24"/>
  <c r="K278" i="24"/>
  <c r="L278" i="24"/>
  <c r="M278" i="24"/>
  <c r="N278" i="24"/>
  <c r="O278" i="24"/>
  <c r="P278" i="24"/>
  <c r="R278" i="24"/>
  <c r="S278" i="24"/>
  <c r="T278" i="24"/>
  <c r="U278" i="24"/>
  <c r="V278" i="24"/>
  <c r="W278" i="24"/>
  <c r="X278" i="24"/>
  <c r="Y278" i="24"/>
  <c r="Z278" i="24"/>
  <c r="AA278" i="24"/>
  <c r="AB278" i="24"/>
  <c r="B282" i="24"/>
  <c r="C282" i="24"/>
  <c r="D282" i="24"/>
  <c r="E282" i="24"/>
  <c r="F282" i="24"/>
  <c r="G282" i="24"/>
  <c r="J282" i="24"/>
  <c r="K282" i="24"/>
  <c r="L282" i="24"/>
  <c r="M282" i="24"/>
  <c r="N282" i="24"/>
  <c r="O282" i="24"/>
  <c r="P282" i="24"/>
  <c r="R282" i="24"/>
  <c r="S282" i="24"/>
  <c r="T282" i="24"/>
  <c r="U282" i="24"/>
  <c r="V282" i="24"/>
  <c r="W282" i="24"/>
  <c r="X282" i="24"/>
  <c r="Y282" i="24"/>
  <c r="Z282" i="24"/>
  <c r="AA282" i="24"/>
  <c r="AB282" i="24"/>
  <c r="B286" i="24"/>
  <c r="C286" i="24"/>
  <c r="D286" i="24"/>
  <c r="E286" i="24"/>
  <c r="F286" i="24"/>
  <c r="G286" i="24"/>
  <c r="J286" i="24"/>
  <c r="K286" i="24"/>
  <c r="L286" i="24"/>
  <c r="M286" i="24"/>
  <c r="N286" i="24"/>
  <c r="O286" i="24"/>
  <c r="P286" i="24"/>
  <c r="R286" i="24"/>
  <c r="S286" i="24"/>
  <c r="T286" i="24"/>
  <c r="U286" i="24"/>
  <c r="V286" i="24"/>
  <c r="W286" i="24"/>
  <c r="X286" i="24"/>
  <c r="Y286" i="24"/>
  <c r="Z286" i="24"/>
  <c r="AA286" i="24"/>
  <c r="AB286" i="24"/>
  <c r="B290" i="24"/>
  <c r="C290" i="24"/>
  <c r="D290" i="24"/>
  <c r="E290" i="24"/>
  <c r="F290" i="24"/>
  <c r="G290" i="24"/>
  <c r="J290" i="24"/>
  <c r="K290" i="24"/>
  <c r="L290" i="24"/>
  <c r="M290" i="24"/>
  <c r="N290" i="24"/>
  <c r="O290" i="24"/>
  <c r="P290" i="24"/>
  <c r="R290" i="24"/>
  <c r="S290" i="24"/>
  <c r="T290" i="24"/>
  <c r="U290" i="24"/>
  <c r="V290" i="24"/>
  <c r="W290" i="24"/>
  <c r="X290" i="24"/>
  <c r="Y290" i="24"/>
  <c r="Z290" i="24"/>
  <c r="AA290" i="24"/>
  <c r="AB290" i="24"/>
  <c r="B294" i="24"/>
  <c r="C294" i="24"/>
  <c r="D294" i="24"/>
  <c r="E294" i="24"/>
  <c r="F294" i="24"/>
  <c r="G294" i="24"/>
  <c r="J294" i="24"/>
  <c r="K294" i="24"/>
  <c r="L294" i="24"/>
  <c r="M294" i="24"/>
  <c r="N294" i="24"/>
  <c r="O294" i="24"/>
  <c r="P294" i="24"/>
  <c r="R294" i="24"/>
  <c r="S294" i="24"/>
  <c r="T294" i="24"/>
  <c r="U294" i="24"/>
  <c r="V294" i="24"/>
  <c r="W294" i="24"/>
  <c r="X294" i="24"/>
  <c r="Y294" i="24"/>
  <c r="Z294" i="24"/>
  <c r="AA294" i="24"/>
  <c r="AB294" i="24"/>
  <c r="B298" i="24"/>
  <c r="C298" i="24"/>
  <c r="D298" i="24"/>
  <c r="E298" i="24"/>
  <c r="F298" i="24"/>
  <c r="G298" i="24"/>
  <c r="J298" i="24"/>
  <c r="K298" i="24"/>
  <c r="L298" i="24"/>
  <c r="M298" i="24"/>
  <c r="N298" i="24"/>
  <c r="O298" i="24"/>
  <c r="P298" i="24"/>
  <c r="R298" i="24"/>
  <c r="S298" i="24"/>
  <c r="T298" i="24"/>
  <c r="U298" i="24"/>
  <c r="V298" i="24"/>
  <c r="W298" i="24"/>
  <c r="X298" i="24"/>
  <c r="Y298" i="24"/>
  <c r="Z298" i="24"/>
  <c r="AA298" i="24"/>
  <c r="AB298" i="24"/>
  <c r="B302" i="24"/>
  <c r="C302" i="24"/>
  <c r="D302" i="24"/>
  <c r="E302" i="24"/>
  <c r="F302" i="24"/>
  <c r="G302" i="24"/>
  <c r="J302" i="24"/>
  <c r="K302" i="24"/>
  <c r="L302" i="24"/>
  <c r="M302" i="24"/>
  <c r="N302" i="24"/>
  <c r="O302" i="24"/>
  <c r="P302" i="24"/>
  <c r="R302" i="24"/>
  <c r="S302" i="24"/>
  <c r="T302" i="24"/>
  <c r="U302" i="24"/>
  <c r="V302" i="24"/>
  <c r="W302" i="24"/>
  <c r="X302" i="24"/>
  <c r="Y302" i="24"/>
  <c r="Z302" i="24"/>
  <c r="AA302" i="24"/>
  <c r="AB302" i="24"/>
  <c r="B306" i="24"/>
  <c r="C306" i="24"/>
  <c r="D306" i="24"/>
  <c r="E306" i="24"/>
  <c r="F306" i="24"/>
  <c r="G306" i="24"/>
  <c r="J306" i="24"/>
  <c r="K306" i="24"/>
  <c r="L306" i="24"/>
  <c r="M306" i="24"/>
  <c r="N306" i="24"/>
  <c r="O306" i="24"/>
  <c r="P306" i="24"/>
  <c r="R306" i="24"/>
  <c r="S306" i="24"/>
  <c r="T306" i="24"/>
  <c r="U306" i="24"/>
  <c r="V306" i="24"/>
  <c r="W306" i="24"/>
  <c r="X306" i="24"/>
  <c r="Y306" i="24"/>
  <c r="Z306" i="24"/>
  <c r="AA306" i="24"/>
  <c r="AB306" i="24"/>
  <c r="B310" i="24"/>
  <c r="C310" i="24"/>
  <c r="D310" i="24"/>
  <c r="E310" i="24"/>
  <c r="F310" i="24"/>
  <c r="G310" i="24"/>
  <c r="J310" i="24"/>
  <c r="K310" i="24"/>
  <c r="L310" i="24"/>
  <c r="M310" i="24"/>
  <c r="N310" i="24"/>
  <c r="O310" i="24"/>
  <c r="P310" i="24"/>
  <c r="R310" i="24"/>
  <c r="S310" i="24"/>
  <c r="T310" i="24"/>
  <c r="U310" i="24"/>
  <c r="V310" i="24"/>
  <c r="W310" i="24"/>
  <c r="X310" i="24"/>
  <c r="Y310" i="24"/>
  <c r="Z310" i="24"/>
  <c r="AA310" i="24"/>
  <c r="AB310" i="24"/>
  <c r="B314" i="24"/>
  <c r="C314" i="24"/>
  <c r="D314" i="24"/>
  <c r="E314" i="24"/>
  <c r="F314" i="24"/>
  <c r="G314" i="24"/>
  <c r="J314" i="24"/>
  <c r="K314" i="24"/>
  <c r="L314" i="24"/>
  <c r="M314" i="24"/>
  <c r="N314" i="24"/>
  <c r="O314" i="24"/>
  <c r="P314" i="24"/>
  <c r="R314" i="24"/>
  <c r="S314" i="24"/>
  <c r="T314" i="24"/>
  <c r="U314" i="24"/>
  <c r="V314" i="24"/>
  <c r="W314" i="24"/>
  <c r="X314" i="24"/>
  <c r="Y314" i="24"/>
  <c r="Z314" i="24"/>
  <c r="AA314" i="24"/>
  <c r="AB314" i="24"/>
  <c r="B318" i="24"/>
  <c r="C318" i="24"/>
  <c r="D318" i="24"/>
  <c r="E318" i="24"/>
  <c r="F318" i="24"/>
  <c r="G318" i="24"/>
  <c r="J318" i="24"/>
  <c r="K318" i="24"/>
  <c r="L318" i="24"/>
  <c r="M318" i="24"/>
  <c r="N318" i="24"/>
  <c r="O318" i="24"/>
  <c r="P318" i="24"/>
  <c r="R318" i="24"/>
  <c r="S318" i="24"/>
  <c r="T318" i="24"/>
  <c r="U318" i="24"/>
  <c r="V318" i="24"/>
  <c r="W318" i="24"/>
  <c r="X318" i="24"/>
  <c r="Y318" i="24"/>
  <c r="Z318" i="24"/>
  <c r="AA318" i="24"/>
  <c r="AB318" i="24"/>
  <c r="AH70" i="33"/>
  <c r="AH71" i="33"/>
  <c r="AH72" i="33"/>
  <c r="AH73" i="33"/>
  <c r="S72" i="33"/>
  <c r="T72" i="33"/>
  <c r="V72" i="33"/>
  <c r="AA72" i="33"/>
  <c r="S73" i="33"/>
  <c r="T73" i="33"/>
  <c r="V73" i="33"/>
  <c r="AA73" i="33"/>
  <c r="F97" i="51"/>
  <c r="G97" i="51"/>
  <c r="U73" i="33" s="1"/>
  <c r="H97" i="51"/>
  <c r="R73" i="33" s="1"/>
  <c r="I97" i="51"/>
  <c r="AM73" i="33" s="1"/>
  <c r="J97" i="51"/>
  <c r="AO73" i="33" s="1"/>
  <c r="L97" i="51"/>
  <c r="F96" i="51"/>
  <c r="G96" i="51"/>
  <c r="U72" i="33" s="1"/>
  <c r="H96" i="51"/>
  <c r="R72" i="33" s="1"/>
  <c r="I96" i="51"/>
  <c r="AM72" i="33" s="1"/>
  <c r="J96" i="51"/>
  <c r="AO72" i="33" s="1"/>
  <c r="L96" i="51"/>
  <c r="A95" i="51"/>
  <c r="A96" i="51"/>
  <c r="A97" i="51"/>
  <c r="AF8" i="26"/>
  <c r="AA69" i="33"/>
  <c r="AA70" i="33"/>
  <c r="AA71" i="33"/>
  <c r="S71" i="33"/>
  <c r="T71" i="33"/>
  <c r="V71" i="33"/>
  <c r="F95" i="51"/>
  <c r="G95" i="51"/>
  <c r="U71" i="33" s="1"/>
  <c r="H95" i="51"/>
  <c r="R71" i="33" s="1"/>
  <c r="I95" i="51"/>
  <c r="AM71" i="33" s="1"/>
  <c r="J95" i="51"/>
  <c r="AO71" i="33" s="1"/>
  <c r="L95" i="51"/>
  <c r="F94" i="51"/>
  <c r="G94" i="51"/>
  <c r="U70" i="33" s="1"/>
  <c r="AU70" i="33" s="1"/>
  <c r="M94" i="51" s="1"/>
  <c r="H94" i="51"/>
  <c r="R70" i="33" s="1"/>
  <c r="I94" i="51"/>
  <c r="AM70" i="33" s="1"/>
  <c r="J94" i="51"/>
  <c r="AO70" i="33" s="1"/>
  <c r="L94" i="51"/>
  <c r="A94" i="51"/>
  <c r="S70" i="33"/>
  <c r="T70" i="33"/>
  <c r="V70" i="33"/>
  <c r="CB24" i="25"/>
  <c r="AJ33" i="33"/>
  <c r="AL16" i="33"/>
  <c r="AF13" i="26"/>
  <c r="AJ86" i="49" l="1"/>
  <c r="AL86" i="49"/>
  <c r="AN86" i="49"/>
  <c r="AP86" i="49"/>
  <c r="AH86" i="49"/>
  <c r="AX85" i="49"/>
  <c r="AJ85" i="49"/>
  <c r="AL85" i="49"/>
  <c r="AH85" i="49"/>
  <c r="AN85" i="49"/>
  <c r="AP85" i="49"/>
  <c r="B84" i="49"/>
  <c r="AL84" i="49"/>
  <c r="AP84" i="49"/>
  <c r="AN84" i="49"/>
  <c r="AJ84" i="49"/>
  <c r="AH84" i="49"/>
  <c r="BM87" i="49"/>
  <c r="Q87" i="49" s="1"/>
  <c r="AV86" i="49"/>
  <c r="BA87" i="49"/>
  <c r="BL85" i="49"/>
  <c r="BI85" i="49"/>
  <c r="BF85" i="49"/>
  <c r="BD85" i="49"/>
  <c r="BB85" i="49"/>
  <c r="AZ85" i="49"/>
  <c r="AV85" i="49"/>
  <c r="AY85" i="49" s="1"/>
  <c r="AT85" i="49"/>
  <c r="AR85" i="49"/>
  <c r="AS85" i="49" s="1"/>
  <c r="BG88" i="49"/>
  <c r="BC87" i="49"/>
  <c r="AY88" i="49"/>
  <c r="AY87" i="49"/>
  <c r="BE87" i="49"/>
  <c r="AU88" i="49"/>
  <c r="AW87" i="49"/>
  <c r="AW88" i="49"/>
  <c r="BJ88" i="49"/>
  <c r="BE88" i="49"/>
  <c r="AU87" i="49"/>
  <c r="BG87" i="49"/>
  <c r="BC88" i="49"/>
  <c r="BJ87" i="49"/>
  <c r="BA88" i="49"/>
  <c r="BM88" i="49"/>
  <c r="Q88" i="49" s="1"/>
  <c r="BM83" i="49"/>
  <c r="BF86" i="49"/>
  <c r="AZ86" i="49"/>
  <c r="BJ83" i="49"/>
  <c r="BI86" i="49"/>
  <c r="AT84" i="49"/>
  <c r="BG83" i="49"/>
  <c r="AV84" i="49"/>
  <c r="BC83" i="49"/>
  <c r="AX86" i="49"/>
  <c r="BD84" i="49"/>
  <c r="BD86" i="49"/>
  <c r="AT86" i="49"/>
  <c r="BB84" i="49"/>
  <c r="AR86" i="49"/>
  <c r="AS86" i="49" s="1"/>
  <c r="AZ84" i="49"/>
  <c r="BL86" i="49"/>
  <c r="BB86" i="49"/>
  <c r="AX84" i="49"/>
  <c r="BE83" i="49"/>
  <c r="BL84" i="49"/>
  <c r="AR84" i="49"/>
  <c r="BI84" i="49"/>
  <c r="BF84" i="49"/>
  <c r="AS73" i="33"/>
  <c r="AU73" i="33"/>
  <c r="AF73" i="33"/>
  <c r="Z73" i="33"/>
  <c r="K97" i="51" s="1"/>
  <c r="AU72" i="33"/>
  <c r="AS72" i="33"/>
  <c r="AF72" i="33"/>
  <c r="Z72" i="33"/>
  <c r="K96" i="51" s="1"/>
  <c r="AS71" i="33"/>
  <c r="AU71" i="33"/>
  <c r="M95" i="51" s="1"/>
  <c r="AF71" i="33"/>
  <c r="Z71" i="33"/>
  <c r="K95" i="51" s="1"/>
  <c r="Z70" i="33"/>
  <c r="K94" i="51" s="1"/>
  <c r="AF70" i="33"/>
  <c r="AS70" i="33"/>
  <c r="H559" i="45"/>
  <c r="H558" i="45"/>
  <c r="H557" i="45"/>
  <c r="H556" i="45"/>
  <c r="EO44" i="31"/>
  <c r="C10" i="49"/>
  <c r="D10" i="49"/>
  <c r="C11" i="49"/>
  <c r="D11" i="49"/>
  <c r="C12" i="49"/>
  <c r="D12" i="49"/>
  <c r="C13" i="49"/>
  <c r="D13" i="49"/>
  <c r="C14" i="49"/>
  <c r="D14" i="49"/>
  <c r="C15" i="49"/>
  <c r="D15" i="49"/>
  <c r="C16" i="49"/>
  <c r="D16" i="49"/>
  <c r="C17" i="49"/>
  <c r="D17" i="49"/>
  <c r="C18" i="49"/>
  <c r="D18" i="49"/>
  <c r="C19" i="49"/>
  <c r="D19" i="49"/>
  <c r="C20" i="49"/>
  <c r="D20" i="49"/>
  <c r="C21" i="49"/>
  <c r="D21" i="49"/>
  <c r="C22" i="49"/>
  <c r="D22" i="49"/>
  <c r="C23" i="49"/>
  <c r="D23" i="49"/>
  <c r="C24" i="49"/>
  <c r="D24" i="49"/>
  <c r="C25" i="49"/>
  <c r="D25" i="49"/>
  <c r="C26" i="49"/>
  <c r="D26" i="49"/>
  <c r="C27" i="49"/>
  <c r="D27" i="49"/>
  <c r="C28" i="49"/>
  <c r="D28" i="49"/>
  <c r="C29" i="49"/>
  <c r="D29" i="49"/>
  <c r="C30" i="49"/>
  <c r="D30" i="49"/>
  <c r="C31" i="49"/>
  <c r="D31" i="49"/>
  <c r="C4" i="49"/>
  <c r="D4" i="49"/>
  <c r="C5" i="49"/>
  <c r="D5" i="49"/>
  <c r="C6" i="49"/>
  <c r="D6" i="49"/>
  <c r="C7" i="49"/>
  <c r="D7" i="49"/>
  <c r="C8" i="49"/>
  <c r="D8" i="49"/>
  <c r="C9" i="49"/>
  <c r="D9" i="49"/>
  <c r="E31" i="15"/>
  <c r="F31" i="15"/>
  <c r="G31" i="15"/>
  <c r="E32" i="15"/>
  <c r="F32" i="15"/>
  <c r="G32" i="15"/>
  <c r="E33" i="15"/>
  <c r="F33" i="15"/>
  <c r="N33" i="15" s="1"/>
  <c r="G33" i="15"/>
  <c r="E34" i="15"/>
  <c r="F34" i="15"/>
  <c r="G34" i="15"/>
  <c r="E35" i="15"/>
  <c r="F35" i="15"/>
  <c r="G35" i="15"/>
  <c r="E26" i="15"/>
  <c r="F26" i="15"/>
  <c r="G26" i="15"/>
  <c r="E27" i="15"/>
  <c r="F27" i="15"/>
  <c r="G27" i="15"/>
  <c r="E28" i="15"/>
  <c r="F28" i="15"/>
  <c r="N28" i="15" s="1"/>
  <c r="G28" i="15"/>
  <c r="E29" i="15"/>
  <c r="F29" i="15"/>
  <c r="G29" i="15"/>
  <c r="E30" i="15"/>
  <c r="F30" i="15"/>
  <c r="G30" i="15"/>
  <c r="E20" i="15"/>
  <c r="F20" i="15"/>
  <c r="G20" i="15"/>
  <c r="E21" i="15"/>
  <c r="F21" i="15"/>
  <c r="N21" i="15" s="1"/>
  <c r="G21" i="15"/>
  <c r="E22" i="15"/>
  <c r="F22" i="15"/>
  <c r="G22" i="15"/>
  <c r="E23" i="15"/>
  <c r="F23" i="15"/>
  <c r="G23" i="15"/>
  <c r="E24" i="15"/>
  <c r="F24" i="15"/>
  <c r="G24" i="15"/>
  <c r="E25" i="15"/>
  <c r="F25" i="15"/>
  <c r="N25" i="15" s="1"/>
  <c r="G25" i="15"/>
  <c r="E14" i="15"/>
  <c r="F14" i="15"/>
  <c r="G14" i="15"/>
  <c r="E15" i="15"/>
  <c r="F15" i="15"/>
  <c r="N15" i="15" s="1"/>
  <c r="G15" i="15"/>
  <c r="E16" i="15"/>
  <c r="F16" i="15"/>
  <c r="G16" i="15"/>
  <c r="E17" i="15"/>
  <c r="F17" i="15"/>
  <c r="G17" i="15"/>
  <c r="E18" i="15"/>
  <c r="F18" i="15"/>
  <c r="G18" i="15"/>
  <c r="E19" i="15"/>
  <c r="F19" i="15"/>
  <c r="N19" i="15" s="1"/>
  <c r="G19" i="15"/>
  <c r="E9" i="15"/>
  <c r="F9" i="15"/>
  <c r="G9" i="15"/>
  <c r="E10" i="15"/>
  <c r="F10" i="15"/>
  <c r="G10" i="15"/>
  <c r="E11" i="15"/>
  <c r="F11" i="15"/>
  <c r="N11" i="15" s="1"/>
  <c r="G11" i="15"/>
  <c r="E12" i="15"/>
  <c r="F12" i="15"/>
  <c r="G12" i="15"/>
  <c r="E13" i="15"/>
  <c r="F13" i="15"/>
  <c r="G13" i="15"/>
  <c r="E8" i="15"/>
  <c r="F8" i="15"/>
  <c r="G8" i="15"/>
  <c r="X24" i="25"/>
  <c r="CA24" i="25"/>
  <c r="DI24" i="25"/>
  <c r="R24" i="25"/>
  <c r="CT24" i="25"/>
  <c r="AD24" i="25"/>
  <c r="T24" i="25"/>
  <c r="AJ24" i="25"/>
  <c r="AP24" i="25"/>
  <c r="AV24" i="25"/>
  <c r="V24" i="25"/>
  <c r="BJ24" i="25"/>
  <c r="BB24" i="25"/>
  <c r="BH24" i="25"/>
  <c r="BR24" i="25"/>
  <c r="P24" i="25"/>
  <c r="CI24" i="25"/>
  <c r="BX24" i="25"/>
  <c r="DM24" i="25"/>
  <c r="DQ24" i="25"/>
  <c r="DS24" i="25"/>
  <c r="DU24" i="25"/>
  <c r="DV24" i="25"/>
  <c r="DW24" i="25"/>
  <c r="CG24" i="25"/>
  <c r="BL32" i="26"/>
  <c r="EY31" i="1"/>
  <c r="F37" i="20"/>
  <c r="I37" i="20"/>
  <c r="G37" i="20" s="1"/>
  <c r="H37" i="20" s="1"/>
  <c r="J37" i="20"/>
  <c r="K37" i="20"/>
  <c r="L37" i="20"/>
  <c r="K87" i="20"/>
  <c r="J85" i="20"/>
  <c r="J87" i="20"/>
  <c r="F87" i="20"/>
  <c r="I87" i="20"/>
  <c r="G87" i="20" s="1"/>
  <c r="H87" i="20" s="1"/>
  <c r="EH31" i="1"/>
  <c r="DU31" i="1"/>
  <c r="DR31" i="1"/>
  <c r="DH31" i="1"/>
  <c r="CZ31" i="1"/>
  <c r="DA31" i="1" s="1"/>
  <c r="DB31" i="1"/>
  <c r="CY31" i="1"/>
  <c r="BC31" i="1"/>
  <c r="AX31" i="1"/>
  <c r="EJ31" i="1"/>
  <c r="BO31" i="1"/>
  <c r="AO28" i="40"/>
  <c r="CD28" i="40"/>
  <c r="CI28" i="40"/>
  <c r="CJ28" i="40"/>
  <c r="DN28" i="40" s="1"/>
  <c r="CL28" i="40"/>
  <c r="CM28" i="40"/>
  <c r="CO28" i="40"/>
  <c r="CP28" i="40"/>
  <c r="AT28" i="40"/>
  <c r="AU28" i="40"/>
  <c r="DB28" i="40" s="1"/>
  <c r="AW28" i="40"/>
  <c r="AX28" i="40"/>
  <c r="DC28" i="40" s="1"/>
  <c r="AZ28" i="40"/>
  <c r="BA28" i="40"/>
  <c r="DD28" i="40" s="1"/>
  <c r="BC28" i="40"/>
  <c r="BD28" i="40"/>
  <c r="DE28" i="40" s="1"/>
  <c r="BF28" i="40"/>
  <c r="BG28" i="40"/>
  <c r="DF28" i="40" s="1"/>
  <c r="BI28" i="40"/>
  <c r="BJ28" i="40"/>
  <c r="DG28" i="40" s="1"/>
  <c r="BL28" i="40"/>
  <c r="BM28" i="40"/>
  <c r="DH28" i="40" s="1"/>
  <c r="BO28" i="40"/>
  <c r="BP28" i="40"/>
  <c r="DI28" i="40" s="1"/>
  <c r="BR28" i="40"/>
  <c r="BS28" i="40"/>
  <c r="DJ28" i="40" s="1"/>
  <c r="BU28" i="40"/>
  <c r="BV28" i="40"/>
  <c r="DK28" i="40" s="1"/>
  <c r="BX28" i="40"/>
  <c r="BY28" i="40"/>
  <c r="DL28" i="40" s="1"/>
  <c r="CA28" i="40"/>
  <c r="CB28" i="40"/>
  <c r="DM28" i="40" s="1"/>
  <c r="Q28" i="40"/>
  <c r="P28" i="40"/>
  <c r="DL24" i="25" s="1"/>
  <c r="S28" i="40"/>
  <c r="V28" i="40"/>
  <c r="G28" i="40"/>
  <c r="T28" i="40" s="1"/>
  <c r="BI31" i="1"/>
  <c r="AM31" i="1"/>
  <c r="AD32" i="26" s="1"/>
  <c r="AS31" i="1"/>
  <c r="AH31" i="1"/>
  <c r="AA31" i="1" s="1"/>
  <c r="L28" i="40"/>
  <c r="EO24" i="25"/>
  <c r="EP24" i="25"/>
  <c r="ET32" i="25"/>
  <c r="EU32" i="25"/>
  <c r="EY32" i="25"/>
  <c r="EZ32" i="25"/>
  <c r="FD32" i="25"/>
  <c r="FE32" i="25"/>
  <c r="EI24" i="25"/>
  <c r="EJ24" i="25"/>
  <c r="EK24" i="25"/>
  <c r="EB24" i="25"/>
  <c r="EC24" i="25"/>
  <c r="EE24" i="25"/>
  <c r="EF24" i="25"/>
  <c r="H30" i="49"/>
  <c r="AF32" i="26"/>
  <c r="AG32" i="26"/>
  <c r="CW32" i="26" s="1"/>
  <c r="AH32" i="26"/>
  <c r="S32" i="26"/>
  <c r="L32" i="26"/>
  <c r="M32" i="26"/>
  <c r="U31" i="1"/>
  <c r="R32" i="26" s="1"/>
  <c r="W31" i="1"/>
  <c r="U32" i="26" s="1"/>
  <c r="M31" i="1"/>
  <c r="N31" i="1"/>
  <c r="F33" i="51"/>
  <c r="G33" i="51"/>
  <c r="V31" i="1" s="1"/>
  <c r="H33" i="51"/>
  <c r="T31" i="1" s="1"/>
  <c r="Q32" i="26" s="1"/>
  <c r="I33" i="51"/>
  <c r="CB31" i="1" s="1"/>
  <c r="AI32" i="26" s="1"/>
  <c r="J33" i="51"/>
  <c r="CC31" i="1" s="1"/>
  <c r="AK32" i="26" s="1"/>
  <c r="L33" i="51"/>
  <c r="A33" i="51"/>
  <c r="C108" i="51"/>
  <c r="AM84" i="49" l="1"/>
  <c r="AO85" i="49"/>
  <c r="AQ85" i="49"/>
  <c r="AS84" i="49"/>
  <c r="AI85" i="49"/>
  <c r="AK85" i="49"/>
  <c r="AM85" i="49"/>
  <c r="AI86" i="49"/>
  <c r="AK86" i="49"/>
  <c r="AQ86" i="49"/>
  <c r="AO86" i="49"/>
  <c r="AM86" i="49"/>
  <c r="DC24" i="25"/>
  <c r="DB24" i="25"/>
  <c r="AQ84" i="49"/>
  <c r="AW86" i="49"/>
  <c r="AI84" i="49"/>
  <c r="AK84" i="49"/>
  <c r="AO84" i="49"/>
  <c r="DP28" i="40"/>
  <c r="CU28" i="40"/>
  <c r="AP10" i="49"/>
  <c r="AH10" i="49"/>
  <c r="AI10" i="49" s="1"/>
  <c r="AL10" i="49"/>
  <c r="AJ10" i="49"/>
  <c r="AN10" i="49"/>
  <c r="AH11" i="49"/>
  <c r="AL11" i="49"/>
  <c r="AN11" i="49"/>
  <c r="AJ11" i="49"/>
  <c r="AP11" i="49"/>
  <c r="AH12" i="49"/>
  <c r="AN12" i="49"/>
  <c r="AL12" i="49"/>
  <c r="AJ12" i="49"/>
  <c r="AP12" i="49"/>
  <c r="AJ13" i="49"/>
  <c r="AP13" i="49"/>
  <c r="AH13" i="49"/>
  <c r="AL13" i="49"/>
  <c r="AN13" i="49"/>
  <c r="AP14" i="49"/>
  <c r="AL14" i="49"/>
  <c r="AJ14" i="49"/>
  <c r="AN14" i="49"/>
  <c r="AH14" i="49"/>
  <c r="AN15" i="49"/>
  <c r="AJ15" i="49"/>
  <c r="AH15" i="49"/>
  <c r="AL15" i="49"/>
  <c r="AP15" i="49"/>
  <c r="AP16" i="49"/>
  <c r="AH16" i="49"/>
  <c r="AI16" i="49" s="1"/>
  <c r="AL16" i="49"/>
  <c r="AN16" i="49"/>
  <c r="AJ16" i="49"/>
  <c r="AH17" i="49"/>
  <c r="AL17" i="49"/>
  <c r="AN17" i="49"/>
  <c r="AP17" i="49"/>
  <c r="AJ17" i="49"/>
  <c r="AH18" i="49"/>
  <c r="AI18" i="49" s="1"/>
  <c r="AL18" i="49"/>
  <c r="AP18" i="49"/>
  <c r="AN18" i="49"/>
  <c r="AJ18" i="49"/>
  <c r="AH19" i="49"/>
  <c r="AP19" i="49"/>
  <c r="AN19" i="49"/>
  <c r="AJ19" i="49"/>
  <c r="AL19" i="49"/>
  <c r="AL20" i="49"/>
  <c r="AP20" i="49"/>
  <c r="AN20" i="49"/>
  <c r="AJ20" i="49"/>
  <c r="AH20" i="49"/>
  <c r="AL21" i="49"/>
  <c r="AJ21" i="49"/>
  <c r="AP21" i="49"/>
  <c r="AH21" i="49"/>
  <c r="AN21" i="49"/>
  <c r="AH22" i="49"/>
  <c r="AN22" i="49"/>
  <c r="AP22" i="49"/>
  <c r="AJ22" i="49"/>
  <c r="AL22" i="49"/>
  <c r="AN23" i="49"/>
  <c r="AJ23" i="49"/>
  <c r="AH23" i="49"/>
  <c r="AP23" i="49"/>
  <c r="AL23" i="49"/>
  <c r="AP24" i="49"/>
  <c r="AN24" i="49"/>
  <c r="AL24" i="49"/>
  <c r="AJ24" i="49"/>
  <c r="AH24" i="49"/>
  <c r="AJ25" i="49"/>
  <c r="AP25" i="49"/>
  <c r="AH25" i="49"/>
  <c r="AN25" i="49"/>
  <c r="AL25" i="49"/>
  <c r="AL26" i="49"/>
  <c r="AJ26" i="49"/>
  <c r="AN26" i="49"/>
  <c r="AH26" i="49"/>
  <c r="AP26" i="49"/>
  <c r="AL27" i="49"/>
  <c r="AJ27" i="49"/>
  <c r="AH27" i="49"/>
  <c r="AP27" i="49"/>
  <c r="AN27" i="49"/>
  <c r="AL28" i="49"/>
  <c r="AJ28" i="49"/>
  <c r="AN28" i="49"/>
  <c r="AH28" i="49"/>
  <c r="AP28" i="49"/>
  <c r="AJ29" i="49"/>
  <c r="AH29" i="49"/>
  <c r="AN29" i="49"/>
  <c r="AP29" i="49"/>
  <c r="AL29" i="49"/>
  <c r="AJ30" i="49"/>
  <c r="AL30" i="49"/>
  <c r="AN30" i="49"/>
  <c r="AP30" i="49"/>
  <c r="AH30" i="49"/>
  <c r="AL31" i="49"/>
  <c r="AP31" i="49"/>
  <c r="AJ31" i="49"/>
  <c r="AH31" i="49"/>
  <c r="AN31" i="49"/>
  <c r="AL4" i="49"/>
  <c r="AP4" i="49"/>
  <c r="AN4" i="49"/>
  <c r="AH4" i="49"/>
  <c r="AJ4" i="49"/>
  <c r="AH5" i="49"/>
  <c r="AL5" i="49"/>
  <c r="AJ5" i="49"/>
  <c r="AP5" i="49"/>
  <c r="AN5" i="49"/>
  <c r="AP6" i="49"/>
  <c r="AN6" i="49"/>
  <c r="AJ6" i="49"/>
  <c r="AH6" i="49"/>
  <c r="AL6" i="49"/>
  <c r="AP7" i="49"/>
  <c r="AN7" i="49"/>
  <c r="AL7" i="49"/>
  <c r="AJ7" i="49"/>
  <c r="AH7" i="49"/>
  <c r="AN8" i="49"/>
  <c r="AP8" i="49"/>
  <c r="AL8" i="49"/>
  <c r="AJ8" i="49"/>
  <c r="AH8" i="49"/>
  <c r="AH9" i="49"/>
  <c r="AP9" i="49"/>
  <c r="AN9" i="49"/>
  <c r="AL9" i="49"/>
  <c r="AJ9" i="49"/>
  <c r="BG85" i="49"/>
  <c r="BJ85" i="49"/>
  <c r="BM85" i="49"/>
  <c r="Q85" i="49" s="1"/>
  <c r="BK87" i="49"/>
  <c r="BH88" i="49"/>
  <c r="BK88" i="49"/>
  <c r="AU85" i="49"/>
  <c r="BE85" i="49"/>
  <c r="AW85" i="49"/>
  <c r="BC85" i="49"/>
  <c r="BA85" i="49"/>
  <c r="BE84" i="49"/>
  <c r="BN88" i="49"/>
  <c r="BE86" i="49"/>
  <c r="AW84" i="49"/>
  <c r="BG86" i="49"/>
  <c r="BK83" i="49"/>
  <c r="AU84" i="49"/>
  <c r="BA86" i="49"/>
  <c r="BH87" i="49"/>
  <c r="BN87" i="49"/>
  <c r="BG84" i="49"/>
  <c r="BH84" i="49" s="1"/>
  <c r="CP31" i="1"/>
  <c r="BT31" i="1" s="1"/>
  <c r="EE31" i="1" s="1"/>
  <c r="BM86" i="49"/>
  <c r="Q86" i="49" s="1"/>
  <c r="AY84" i="49"/>
  <c r="BH83" i="49"/>
  <c r="BJ86" i="49"/>
  <c r="AY86" i="49"/>
  <c r="BA84" i="49"/>
  <c r="BC84" i="49"/>
  <c r="AU86" i="49"/>
  <c r="BC86" i="49"/>
  <c r="BM84" i="49"/>
  <c r="BJ84" i="49"/>
  <c r="M97" i="51"/>
  <c r="M96" i="51"/>
  <c r="AR30" i="49"/>
  <c r="F30" i="49"/>
  <c r="BL30" i="49"/>
  <c r="BI30" i="49"/>
  <c r="BB30" i="49"/>
  <c r="AZ30" i="49"/>
  <c r="AX30" i="49"/>
  <c r="BF30" i="49"/>
  <c r="AV30" i="49"/>
  <c r="BD30" i="49"/>
  <c r="AT30" i="49"/>
  <c r="EQ24" i="25"/>
  <c r="O24" i="25"/>
  <c r="AO31" i="1"/>
  <c r="R28" i="40"/>
  <c r="M24" i="25"/>
  <c r="N24" i="25" s="1"/>
  <c r="ED24" i="25"/>
  <c r="CJ24" i="25"/>
  <c r="W24" i="25"/>
  <c r="J28" i="40"/>
  <c r="DX28" i="40" s="1"/>
  <c r="EG24" i="25"/>
  <c r="W28" i="40"/>
  <c r="S24" i="25"/>
  <c r="Q24" i="25"/>
  <c r="DO24" i="25"/>
  <c r="DN24" i="25" s="1"/>
  <c r="FA32" i="25"/>
  <c r="EV32" i="25"/>
  <c r="O31" i="1"/>
  <c r="FF32" i="25"/>
  <c r="N22" i="15"/>
  <c r="DM31" i="1"/>
  <c r="N16" i="15"/>
  <c r="N35" i="15"/>
  <c r="N32" i="15"/>
  <c r="N31" i="15"/>
  <c r="N34" i="15"/>
  <c r="N27" i="15"/>
  <c r="N30" i="15"/>
  <c r="N26" i="15"/>
  <c r="N29" i="15"/>
  <c r="N24" i="15"/>
  <c r="N20" i="15"/>
  <c r="N23" i="15"/>
  <c r="N18" i="15"/>
  <c r="N14" i="15"/>
  <c r="N17" i="15"/>
  <c r="N10" i="15"/>
  <c r="N9" i="15"/>
  <c r="N12" i="15"/>
  <c r="N13" i="15"/>
  <c r="N8" i="15"/>
  <c r="I28" i="40"/>
  <c r="DP24" i="25" s="1"/>
  <c r="DT24" i="25" s="1"/>
  <c r="BG31" i="1"/>
  <c r="BH31" i="1" s="1"/>
  <c r="ED31" i="1"/>
  <c r="CD31" i="1"/>
  <c r="U28" i="40"/>
  <c r="DR24" i="25"/>
  <c r="U24" i="25"/>
  <c r="CN32" i="26"/>
  <c r="BH32" i="26"/>
  <c r="CG32" i="26"/>
  <c r="BA32" i="26"/>
  <c r="BZ32" i="26"/>
  <c r="AT32" i="26"/>
  <c r="BS32" i="26"/>
  <c r="E31" i="1"/>
  <c r="E32" i="26" s="1"/>
  <c r="S31" i="1"/>
  <c r="AG31" i="1" s="1"/>
  <c r="AB32" i="26" s="1"/>
  <c r="EF31" i="1"/>
  <c r="T32" i="26"/>
  <c r="F31" i="1"/>
  <c r="F32" i="26" s="1"/>
  <c r="DC31" i="1"/>
  <c r="CU31" i="1"/>
  <c r="CT31" i="1" s="1"/>
  <c r="BB31" i="1"/>
  <c r="CE28" i="40"/>
  <c r="DO28" i="40"/>
  <c r="AE32" i="26"/>
  <c r="EL24" i="25"/>
  <c r="EM24" i="25"/>
  <c r="CZ24" i="25" s="1"/>
  <c r="CX24" i="25" s="1"/>
  <c r="CW24" i="25" s="1"/>
  <c r="Y31" i="1"/>
  <c r="C31" i="1"/>
  <c r="C32" i="26" s="1"/>
  <c r="AQ4" i="49" l="1"/>
  <c r="AO8" i="49"/>
  <c r="BK85" i="49"/>
  <c r="AQ10" i="49"/>
  <c r="BH85" i="49"/>
  <c r="BN85" i="49"/>
  <c r="AO22" i="49"/>
  <c r="AO24" i="49"/>
  <c r="AQ20" i="49"/>
  <c r="AM14" i="49"/>
  <c r="AO12" i="49"/>
  <c r="AM8" i="49"/>
  <c r="AM24" i="49"/>
  <c r="AM20" i="49"/>
  <c r="AQ14" i="49"/>
  <c r="AM12" i="49"/>
  <c r="AQ7" i="49"/>
  <c r="AM27" i="49"/>
  <c r="AQ18" i="49"/>
  <c r="AQ9" i="49"/>
  <c r="AO7" i="49"/>
  <c r="AM5" i="49"/>
  <c r="AM31" i="49"/>
  <c r="AQ19" i="49"/>
  <c r="AM9" i="49"/>
  <c r="AQ5" i="49"/>
  <c r="AO29" i="49"/>
  <c r="AQ27" i="49"/>
  <c r="AO25" i="49"/>
  <c r="AO23" i="49"/>
  <c r="AQ21" i="49"/>
  <c r="AO19" i="49"/>
  <c r="AM17" i="49"/>
  <c r="AQ13" i="49"/>
  <c r="AO9" i="49"/>
  <c r="AM7" i="49"/>
  <c r="AQ25" i="49"/>
  <c r="AO15" i="49"/>
  <c r="AM11" i="49"/>
  <c r="AM26" i="49"/>
  <c r="AQ24" i="49"/>
  <c r="AO21" i="49"/>
  <c r="AQ16" i="49"/>
  <c r="AQ17" i="49"/>
  <c r="AM19" i="49"/>
  <c r="AQ31" i="49"/>
  <c r="AQ28" i="49"/>
  <c r="AQ29" i="49"/>
  <c r="AM30" i="49"/>
  <c r="AM10" i="49"/>
  <c r="AK10" i="49"/>
  <c r="AK11" i="49"/>
  <c r="AI11" i="49"/>
  <c r="AK12" i="49"/>
  <c r="AI12" i="49"/>
  <c r="AK13" i="49"/>
  <c r="AI13" i="49"/>
  <c r="AK14" i="49"/>
  <c r="AI14" i="49"/>
  <c r="AK15" i="49"/>
  <c r="AI15" i="49"/>
  <c r="AM16" i="49"/>
  <c r="AK16" i="49"/>
  <c r="AK17" i="49"/>
  <c r="AI17" i="49"/>
  <c r="AM18" i="49"/>
  <c r="AK18" i="49"/>
  <c r="AK19" i="49"/>
  <c r="AI19" i="49"/>
  <c r="AK20" i="49"/>
  <c r="AI20" i="49"/>
  <c r="AK21" i="49"/>
  <c r="AI21" i="49"/>
  <c r="AK22" i="49"/>
  <c r="AI22" i="49"/>
  <c r="AK23" i="49"/>
  <c r="AI23" i="49"/>
  <c r="AK24" i="49"/>
  <c r="AI24" i="49"/>
  <c r="AK25" i="49"/>
  <c r="AI25" i="49"/>
  <c r="AK26" i="49"/>
  <c r="AI26" i="49"/>
  <c r="AK27" i="49"/>
  <c r="AI27" i="49"/>
  <c r="AK28" i="49"/>
  <c r="AI28" i="49"/>
  <c r="AK29" i="49"/>
  <c r="AI29" i="49"/>
  <c r="AK30" i="49"/>
  <c r="AI30" i="49"/>
  <c r="AK31" i="49"/>
  <c r="AI31" i="49"/>
  <c r="AK4" i="49"/>
  <c r="AI4" i="49"/>
  <c r="AK5" i="49"/>
  <c r="AI5" i="49"/>
  <c r="AQ6" i="49"/>
  <c r="AO6" i="49"/>
  <c r="AK6" i="49"/>
  <c r="AI6" i="49"/>
  <c r="AK7" i="49"/>
  <c r="AI7" i="49"/>
  <c r="AK8" i="49"/>
  <c r="AI8" i="49"/>
  <c r="AK9" i="49"/>
  <c r="AI9" i="49"/>
  <c r="AO10" i="49"/>
  <c r="AO11" i="49"/>
  <c r="AQ11" i="49"/>
  <c r="AQ12" i="49"/>
  <c r="AM13" i="49"/>
  <c r="AO13" i="49"/>
  <c r="AO14" i="49"/>
  <c r="AQ15" i="49"/>
  <c r="AM15" i="49"/>
  <c r="AQ26" i="49"/>
  <c r="AO28" i="49"/>
  <c r="AM21" i="49"/>
  <c r="AQ22" i="49"/>
  <c r="AM22" i="49"/>
  <c r="AQ23" i="49"/>
  <c r="AM23" i="49"/>
  <c r="AM25" i="49"/>
  <c r="AO26" i="49"/>
  <c r="AO27" i="49"/>
  <c r="AM28" i="49"/>
  <c r="AM29" i="49"/>
  <c r="AO30" i="49"/>
  <c r="AO31" i="49"/>
  <c r="AO4" i="49"/>
  <c r="AM4" i="49"/>
  <c r="AO5" i="49"/>
  <c r="AM6" i="49"/>
  <c r="AQ8" i="49"/>
  <c r="AQ30" i="49"/>
  <c r="AS30" i="49"/>
  <c r="AO20" i="49"/>
  <c r="AO17" i="49"/>
  <c r="AO18" i="49"/>
  <c r="AO16" i="49"/>
  <c r="BH86" i="49"/>
  <c r="BK86" i="49"/>
  <c r="BN86" i="49"/>
  <c r="BK84" i="49"/>
  <c r="CO24" i="25"/>
  <c r="CN24" i="25" s="1"/>
  <c r="BN84" i="49"/>
  <c r="Q84" i="49"/>
  <c r="AO32" i="26"/>
  <c r="AC32" i="26"/>
  <c r="BA30" i="49"/>
  <c r="BM30" i="49"/>
  <c r="Q30" i="49" s="1"/>
  <c r="AY30" i="49"/>
  <c r="BJ30" i="49"/>
  <c r="AW30" i="49"/>
  <c r="BG30" i="49"/>
  <c r="BC30" i="49"/>
  <c r="BE30" i="49"/>
  <c r="AU30" i="49"/>
  <c r="X28" i="40"/>
  <c r="AF31" i="1"/>
  <c r="CY28" i="40"/>
  <c r="DW28" i="40" s="1"/>
  <c r="X32" i="26" s="1"/>
  <c r="EB31" i="1"/>
  <c r="EC31" i="1" s="1"/>
  <c r="G24" i="25"/>
  <c r="EG31" i="1"/>
  <c r="C28" i="40"/>
  <c r="AE31" i="1"/>
  <c r="W32" i="26"/>
  <c r="K33" i="51"/>
  <c r="Z31" i="1"/>
  <c r="X31" i="1"/>
  <c r="AD31" i="1"/>
  <c r="DT31" i="1"/>
  <c r="AC31" i="1"/>
  <c r="BK32" i="26"/>
  <c r="CT32" i="26"/>
  <c r="BW32" i="26"/>
  <c r="BP32" i="26"/>
  <c r="AQ32" i="26"/>
  <c r="M33" i="51" s="1"/>
  <c r="AX32" i="26"/>
  <c r="CD32" i="26"/>
  <c r="BE32" i="26"/>
  <c r="CK32" i="26"/>
  <c r="BY31" i="1"/>
  <c r="DV31" i="1"/>
  <c r="DW31" i="1" s="1"/>
  <c r="X39" i="33"/>
  <c r="AK39" i="33"/>
  <c r="AL39" i="33"/>
  <c r="AJ39" i="33"/>
  <c r="DZ38" i="31"/>
  <c r="DX38" i="31"/>
  <c r="DQ38" i="31"/>
  <c r="DI38" i="31"/>
  <c r="DA38" i="31"/>
  <c r="DB38" i="31" s="1"/>
  <c r="DC38" i="31"/>
  <c r="CZ38" i="31"/>
  <c r="BP38" i="31"/>
  <c r="CQ38" i="31" s="1"/>
  <c r="BD38" i="31"/>
  <c r="BC38" i="31" s="1"/>
  <c r="BJ38" i="31"/>
  <c r="BC68" i="40"/>
  <c r="BD68" i="40"/>
  <c r="DE68" i="40" s="1"/>
  <c r="AZ68" i="40"/>
  <c r="BA68" i="40"/>
  <c r="DD68" i="40" s="1"/>
  <c r="BF68" i="40"/>
  <c r="BG68" i="40"/>
  <c r="DF68" i="40" s="1"/>
  <c r="BI68" i="40"/>
  <c r="BJ68" i="40"/>
  <c r="DG68" i="40" s="1"/>
  <c r="BL68" i="40"/>
  <c r="BM68" i="40"/>
  <c r="DH68" i="40" s="1"/>
  <c r="BO68" i="40"/>
  <c r="BP68" i="40"/>
  <c r="DI68" i="40" s="1"/>
  <c r="BR68" i="40"/>
  <c r="BS68" i="40"/>
  <c r="DJ68" i="40" s="1"/>
  <c r="BU68" i="40"/>
  <c r="BV68" i="40"/>
  <c r="DK68" i="40" s="1"/>
  <c r="BY68" i="40"/>
  <c r="DL68" i="40" s="1"/>
  <c r="BX68" i="40"/>
  <c r="CA68" i="40"/>
  <c r="CB68" i="40"/>
  <c r="DM68" i="40" s="1"/>
  <c r="CD68" i="40"/>
  <c r="AO68" i="40"/>
  <c r="CI68" i="40"/>
  <c r="CJ68" i="40"/>
  <c r="DN68" i="40" s="1"/>
  <c r="CL68" i="40"/>
  <c r="CM68" i="40"/>
  <c r="DO68" i="40" s="1"/>
  <c r="CO68" i="40"/>
  <c r="CP68" i="40"/>
  <c r="AT68" i="40"/>
  <c r="AU68" i="40"/>
  <c r="DB68" i="40" s="1"/>
  <c r="AW68" i="40"/>
  <c r="AX68" i="40"/>
  <c r="DC68" i="40" s="1"/>
  <c r="C81" i="49"/>
  <c r="D81" i="49"/>
  <c r="AF35" i="26"/>
  <c r="AH35" i="26"/>
  <c r="Y28" i="40" l="1"/>
  <c r="BK31" i="1" s="1"/>
  <c r="BL31" i="1" s="1"/>
  <c r="BS31" i="1"/>
  <c r="BV31" i="1" s="1"/>
  <c r="D31" i="1" s="1"/>
  <c r="D32" i="26" s="1"/>
  <c r="DP68" i="40"/>
  <c r="CU68" i="40"/>
  <c r="H39" i="33" s="1" a="1"/>
  <c r="AH81" i="49"/>
  <c r="AJ81" i="49"/>
  <c r="AN81" i="49"/>
  <c r="AP81" i="49"/>
  <c r="AL81" i="49"/>
  <c r="BD81" i="49"/>
  <c r="BK30" i="49"/>
  <c r="BN30" i="49"/>
  <c r="BH30" i="49"/>
  <c r="BO30" i="49"/>
  <c r="AR31" i="1"/>
  <c r="DI31" i="1" s="1"/>
  <c r="E81" i="49"/>
  <c r="H81" i="49" s="1"/>
  <c r="BL81" i="49"/>
  <c r="Y32" i="26"/>
  <c r="Z32" i="26" s="1"/>
  <c r="AB31" i="1"/>
  <c r="AA32" i="26" s="1"/>
  <c r="E24" i="25"/>
  <c r="DN38" i="31"/>
  <c r="F81" i="49"/>
  <c r="DD38" i="31"/>
  <c r="CV38" i="31"/>
  <c r="CU38" i="31" s="1"/>
  <c r="BB81" i="49"/>
  <c r="AX81" i="49"/>
  <c r="AT81" i="49"/>
  <c r="AR81" i="49"/>
  <c r="CE68" i="40"/>
  <c r="BI81" i="49"/>
  <c r="AZ81" i="49"/>
  <c r="BF81" i="49"/>
  <c r="AV81" i="49"/>
  <c r="DA87" i="33"/>
  <c r="DA85" i="33"/>
  <c r="CY85" i="33"/>
  <c r="DA84" i="33"/>
  <c r="CY84" i="33"/>
  <c r="DA83" i="33"/>
  <c r="CY83" i="33"/>
  <c r="DC81" i="33"/>
  <c r="CX80" i="33"/>
  <c r="CY78" i="33"/>
  <c r="DB76" i="33"/>
  <c r="DB61" i="33"/>
  <c r="DB39" i="33"/>
  <c r="DD2" i="33"/>
  <c r="DC2" i="33"/>
  <c r="DA2" i="33"/>
  <c r="CX2" i="33"/>
  <c r="CX38" i="26"/>
  <c r="CY2" i="26"/>
  <c r="CX2" i="26"/>
  <c r="CS2" i="26"/>
  <c r="BL32" i="49"/>
  <c r="BJ6" i="25"/>
  <c r="BJ9" i="25"/>
  <c r="BJ7" i="25"/>
  <c r="BJ8" i="25"/>
  <c r="BJ12" i="25"/>
  <c r="BJ11" i="25"/>
  <c r="BJ10" i="25"/>
  <c r="BJ13" i="25"/>
  <c r="BJ18" i="25"/>
  <c r="BJ16" i="25"/>
  <c r="BJ14" i="25"/>
  <c r="BJ15" i="25"/>
  <c r="BJ17" i="25"/>
  <c r="BJ19" i="25"/>
  <c r="BJ20" i="25"/>
  <c r="BJ22" i="25"/>
  <c r="BJ21" i="25"/>
  <c r="BJ23" i="25"/>
  <c r="BJ26" i="25"/>
  <c r="BJ25" i="25"/>
  <c r="BJ27" i="25"/>
  <c r="BJ28" i="25"/>
  <c r="BJ30" i="25"/>
  <c r="BJ29" i="25"/>
  <c r="BJ31" i="25"/>
  <c r="BJ33" i="25"/>
  <c r="BJ32" i="25"/>
  <c r="BJ5" i="25"/>
  <c r="CI6" i="25"/>
  <c r="CI9" i="25"/>
  <c r="CI7" i="25"/>
  <c r="CI8" i="25"/>
  <c r="CI12" i="25"/>
  <c r="CI11" i="25"/>
  <c r="CI10" i="25"/>
  <c r="CI13" i="25"/>
  <c r="CI18" i="25"/>
  <c r="CI16" i="25"/>
  <c r="CI14" i="25"/>
  <c r="CI15" i="25"/>
  <c r="CI17" i="25"/>
  <c r="CI19" i="25"/>
  <c r="CI20" i="25"/>
  <c r="CI22" i="25"/>
  <c r="CI21" i="25"/>
  <c r="CI23" i="25"/>
  <c r="CI26" i="25"/>
  <c r="CI25" i="25"/>
  <c r="CI27" i="25"/>
  <c r="CI28" i="25"/>
  <c r="CI30" i="25"/>
  <c r="CI29" i="25"/>
  <c r="CI31" i="25"/>
  <c r="CI33" i="25"/>
  <c r="CI32" i="25"/>
  <c r="CI5" i="25"/>
  <c r="AS81" i="49" l="1"/>
  <c r="AQ81" i="49"/>
  <c r="AO81" i="49"/>
  <c r="AM81" i="49"/>
  <c r="AI81" i="49"/>
  <c r="AK81" i="49"/>
  <c r="BE81" i="49"/>
  <c r="DY28" i="40"/>
  <c r="BX31" i="1"/>
  <c r="CG31" i="1" s="1"/>
  <c r="CH31" i="1" s="1"/>
  <c r="CQ31" i="1"/>
  <c r="BW31" i="1"/>
  <c r="BZ31" i="1"/>
  <c r="CA31" i="1" s="1"/>
  <c r="DZ31" i="1"/>
  <c r="DX31" i="1"/>
  <c r="AJ32" i="26"/>
  <c r="AT31" i="1"/>
  <c r="DX24" i="25"/>
  <c r="BM81" i="49"/>
  <c r="Q81" i="49" s="1"/>
  <c r="G38" i="31" a="1"/>
  <c r="CJ31" i="25"/>
  <c r="CJ20" i="25"/>
  <c r="CJ12" i="25"/>
  <c r="CX3" i="33"/>
  <c r="CJ25" i="25"/>
  <c r="CJ26" i="25"/>
  <c r="CJ16" i="25"/>
  <c r="CJ33" i="25"/>
  <c r="CJ22" i="25"/>
  <c r="CJ23" i="25"/>
  <c r="CJ13" i="25"/>
  <c r="CJ32" i="25"/>
  <c r="CJ21" i="25"/>
  <c r="CJ10" i="25"/>
  <c r="AU81" i="49"/>
  <c r="BC81" i="49"/>
  <c r="AY81" i="49"/>
  <c r="BA81" i="49"/>
  <c r="BJ81" i="49"/>
  <c r="BG81" i="49"/>
  <c r="AW81" i="49"/>
  <c r="CS3" i="26"/>
  <c r="CY3" i="26" s="1"/>
  <c r="CJ18" i="25"/>
  <c r="CJ11" i="25"/>
  <c r="CJ5" i="25"/>
  <c r="CJ8" i="25"/>
  <c r="CJ30" i="25"/>
  <c r="CJ7" i="25"/>
  <c r="CJ15" i="25"/>
  <c r="CJ14" i="25"/>
  <c r="CJ29" i="25"/>
  <c r="CJ19" i="25"/>
  <c r="CJ17" i="25"/>
  <c r="CJ28" i="25"/>
  <c r="CJ9" i="25"/>
  <c r="CJ27" i="25"/>
  <c r="CJ6" i="25"/>
  <c r="BH81" i="49" l="1"/>
  <c r="CE31" i="1"/>
  <c r="CF31" i="1" s="1"/>
  <c r="DO31" i="1"/>
  <c r="DP31" i="1" s="1"/>
  <c r="DY24" i="25"/>
  <c r="D24" i="25"/>
  <c r="F24" i="25" s="1"/>
  <c r="CK24" i="25"/>
  <c r="CK15" i="25"/>
  <c r="CK32" i="25"/>
  <c r="BK81" i="49"/>
  <c r="CK10" i="25"/>
  <c r="CK21" i="25"/>
  <c r="CK5" i="25"/>
  <c r="CK30" i="25"/>
  <c r="CK27" i="25"/>
  <c r="CK13" i="25"/>
  <c r="CK20" i="25"/>
  <c r="CK19" i="25"/>
  <c r="CK12" i="25"/>
  <c r="CK7" i="25"/>
  <c r="CK6" i="25"/>
  <c r="CK11" i="25"/>
  <c r="CK8" i="25"/>
  <c r="CK9" i="25"/>
  <c r="CK23" i="25"/>
  <c r="CK28" i="25"/>
  <c r="CK25" i="25"/>
  <c r="CK26" i="25"/>
  <c r="CK17" i="25"/>
  <c r="CK16" i="25"/>
  <c r="CK29" i="25"/>
  <c r="CK31" i="25"/>
  <c r="CK18" i="25"/>
  <c r="CK14" i="25"/>
  <c r="CK33" i="25"/>
  <c r="CK22" i="25"/>
  <c r="H555" i="45" l="1"/>
  <c r="CS78" i="33"/>
  <c r="CS76" i="33"/>
  <c r="CP78" i="33"/>
  <c r="CO2" i="33"/>
  <c r="CR2" i="33"/>
  <c r="CT2" i="33"/>
  <c r="CU2" i="33"/>
  <c r="CS61" i="33"/>
  <c r="CO80" i="33"/>
  <c r="CT81" i="33"/>
  <c r="CP83" i="33"/>
  <c r="CL39" i="33"/>
  <c r="CL61" i="33"/>
  <c r="CL75" i="33"/>
  <c r="CL76" i="33"/>
  <c r="CI60" i="33"/>
  <c r="CJ2" i="26"/>
  <c r="CO2" i="26"/>
  <c r="CP2" i="26"/>
  <c r="CO38" i="26"/>
  <c r="CN2" i="26" s="1"/>
  <c r="L48" i="40"/>
  <c r="CJ33" i="40"/>
  <c r="G1" i="54"/>
  <c r="G3" i="54"/>
  <c r="G5" i="54"/>
  <c r="CO3" i="33" l="1"/>
  <c r="CJ3" i="26"/>
  <c r="CP3" i="26" s="1"/>
  <c r="CO39" i="26"/>
  <c r="AY38" i="31"/>
  <c r="BH38" i="31" s="1"/>
  <c r="BI38" i="31" s="1"/>
  <c r="AT38" i="31"/>
  <c r="P68" i="40"/>
  <c r="Q68" i="40"/>
  <c r="S68" i="40"/>
  <c r="V68" i="40"/>
  <c r="L68" i="40"/>
  <c r="R68" i="40" s="1"/>
  <c r="G68" i="40"/>
  <c r="U68" i="40" l="1"/>
  <c r="J68" i="40"/>
  <c r="DX68" i="40" s="1"/>
  <c r="I68" i="40"/>
  <c r="T68" i="40"/>
  <c r="W68" i="40"/>
  <c r="X68" i="40" l="1"/>
  <c r="BT38" i="31" s="1"/>
  <c r="AS38" i="31" l="1"/>
  <c r="CR38" i="31" s="1"/>
  <c r="Y68" i="40"/>
  <c r="BL38" i="31" s="1"/>
  <c r="D12" i="32"/>
  <c r="E12" i="32"/>
  <c r="D13" i="32"/>
  <c r="E13" i="32"/>
  <c r="D14" i="32"/>
  <c r="E14" i="32"/>
  <c r="D15" i="32"/>
  <c r="E15" i="32"/>
  <c r="D16" i="32"/>
  <c r="E16" i="32"/>
  <c r="D17" i="32"/>
  <c r="E17" i="32"/>
  <c r="D18" i="32"/>
  <c r="E18" i="32"/>
  <c r="D19" i="32"/>
  <c r="E19" i="32"/>
  <c r="D20" i="32"/>
  <c r="E20" i="32"/>
  <c r="D21" i="32"/>
  <c r="E21" i="32"/>
  <c r="D22" i="32"/>
  <c r="E22" i="32"/>
  <c r="D23" i="32"/>
  <c r="E23" i="32"/>
  <c r="D24" i="32"/>
  <c r="E24" i="32"/>
  <c r="D25" i="32"/>
  <c r="E25" i="32"/>
  <c r="D26" i="32"/>
  <c r="E26" i="32"/>
  <c r="D27" i="32"/>
  <c r="E27" i="32"/>
  <c r="D28" i="32"/>
  <c r="E28" i="32"/>
  <c r="D29" i="32"/>
  <c r="E29" i="32"/>
  <c r="D30" i="32"/>
  <c r="E30" i="32"/>
  <c r="D31" i="32"/>
  <c r="E31" i="32"/>
  <c r="D32" i="32"/>
  <c r="E32" i="32"/>
  <c r="D33" i="32"/>
  <c r="E33" i="32"/>
  <c r="D34" i="32"/>
  <c r="E34" i="32"/>
  <c r="D35" i="32"/>
  <c r="E35" i="32"/>
  <c r="D36" i="32"/>
  <c r="E36" i="32"/>
  <c r="D37" i="32"/>
  <c r="E37" i="32"/>
  <c r="D38" i="32"/>
  <c r="E38" i="32"/>
  <c r="D39" i="32"/>
  <c r="E39" i="32"/>
  <c r="D40" i="32"/>
  <c r="E40" i="32"/>
  <c r="D41" i="32"/>
  <c r="E41" i="32"/>
  <c r="D42" i="32"/>
  <c r="E42" i="32"/>
  <c r="D43" i="32"/>
  <c r="E43" i="32"/>
  <c r="D44" i="32"/>
  <c r="E44" i="32"/>
  <c r="D45" i="32"/>
  <c r="E45" i="32"/>
  <c r="D46" i="32"/>
  <c r="E46" i="32"/>
  <c r="D47" i="32"/>
  <c r="E47" i="32"/>
  <c r="D48" i="32"/>
  <c r="E48" i="32"/>
  <c r="D49" i="32"/>
  <c r="E49" i="32"/>
  <c r="D50" i="32"/>
  <c r="E50" i="32"/>
  <c r="D51" i="32"/>
  <c r="E51" i="32"/>
  <c r="D52" i="32"/>
  <c r="E52" i="32"/>
  <c r="D53" i="32"/>
  <c r="E53" i="32"/>
  <c r="D54" i="32"/>
  <c r="E54" i="32"/>
  <c r="D55" i="32"/>
  <c r="E55" i="32"/>
  <c r="D7" i="32"/>
  <c r="E7" i="32"/>
  <c r="D8" i="32"/>
  <c r="E8" i="32"/>
  <c r="D9" i="32"/>
  <c r="E9" i="32"/>
  <c r="D10" i="32"/>
  <c r="E10" i="32"/>
  <c r="D11" i="32"/>
  <c r="E11" i="32"/>
  <c r="AL38" i="31"/>
  <c r="DV38" i="31" s="1"/>
  <c r="CE39" i="33"/>
  <c r="BX39" i="33"/>
  <c r="BQ39" i="33"/>
  <c r="BL39" i="33"/>
  <c r="BE39" i="33"/>
  <c r="AX39" i="33"/>
  <c r="T39" i="33"/>
  <c r="W39" i="33"/>
  <c r="AG39" i="33"/>
  <c r="M39" i="33"/>
  <c r="N39" i="33"/>
  <c r="AI38" i="31"/>
  <c r="AB38" i="31" s="1"/>
  <c r="E38" i="31"/>
  <c r="F38" i="31"/>
  <c r="M38" i="31"/>
  <c r="N38" i="31"/>
  <c r="O38" i="31"/>
  <c r="V38" i="31"/>
  <c r="S39" i="33" s="1"/>
  <c r="X38" i="31"/>
  <c r="V39" i="33" s="1"/>
  <c r="D46" i="51"/>
  <c r="A316" i="35" s="1"/>
  <c r="F46" i="51"/>
  <c r="G46" i="51"/>
  <c r="W38" i="31" s="1"/>
  <c r="H46" i="51"/>
  <c r="U38" i="31" s="1"/>
  <c r="R39" i="33" s="1"/>
  <c r="I46" i="51"/>
  <c r="CC38" i="31" s="1"/>
  <c r="J46" i="51"/>
  <c r="CD38" i="31" s="1"/>
  <c r="CE38" i="31" s="1"/>
  <c r="L46" i="51"/>
  <c r="A46" i="51"/>
  <c r="S69" i="33"/>
  <c r="T69" i="33"/>
  <c r="V69" i="33"/>
  <c r="F93" i="51"/>
  <c r="G93" i="51"/>
  <c r="U69" i="33" s="1"/>
  <c r="H93" i="51"/>
  <c r="R69" i="33" s="1"/>
  <c r="I93" i="51"/>
  <c r="AM69" i="33" s="1"/>
  <c r="J93" i="51"/>
  <c r="AO69" i="33" s="1"/>
  <c r="L93" i="51"/>
  <c r="A93" i="51"/>
  <c r="A5" i="35"/>
  <c r="A6" i="35"/>
  <c r="A7" i="35"/>
  <c r="A8" i="35"/>
  <c r="A9" i="35"/>
  <c r="A10" i="35"/>
  <c r="A11" i="35"/>
  <c r="A12" i="35"/>
  <c r="A13" i="35"/>
  <c r="A14" i="35"/>
  <c r="A15" i="35"/>
  <c r="A17" i="35"/>
  <c r="A18" i="35"/>
  <c r="A19" i="35"/>
  <c r="A20" i="35"/>
  <c r="A21" i="35"/>
  <c r="A22" i="35"/>
  <c r="A23" i="35"/>
  <c r="A25" i="35"/>
  <c r="A26" i="35"/>
  <c r="A27" i="35"/>
  <c r="A28" i="35"/>
  <c r="A29" i="35"/>
  <c r="A30" i="35"/>
  <c r="A31" i="35"/>
  <c r="A32" i="35"/>
  <c r="A33" i="35"/>
  <c r="A34" i="35"/>
  <c r="A35" i="35"/>
  <c r="A37" i="35"/>
  <c r="A38" i="35"/>
  <c r="A39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56" i="35"/>
  <c r="A57" i="35"/>
  <c r="A58" i="35"/>
  <c r="A59" i="35"/>
  <c r="A60" i="35"/>
  <c r="A61" i="35"/>
  <c r="A62" i="35"/>
  <c r="A63" i="35"/>
  <c r="A64" i="35"/>
  <c r="A65" i="35"/>
  <c r="A66" i="35"/>
  <c r="A67" i="35"/>
  <c r="A68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A88" i="35"/>
  <c r="A89" i="35"/>
  <c r="A90" i="35"/>
  <c r="A91" i="35"/>
  <c r="A93" i="35"/>
  <c r="A95" i="35"/>
  <c r="A96" i="35"/>
  <c r="A97" i="35"/>
  <c r="A98" i="35"/>
  <c r="A99" i="35"/>
  <c r="A100" i="35"/>
  <c r="A101" i="35"/>
  <c r="A102" i="35"/>
  <c r="A103" i="35"/>
  <c r="A105" i="35"/>
  <c r="A107" i="35"/>
  <c r="A108" i="35"/>
  <c r="A109" i="35"/>
  <c r="A110" i="35"/>
  <c r="A111" i="35"/>
  <c r="A112" i="35"/>
  <c r="A113" i="35"/>
  <c r="A114" i="35"/>
  <c r="A115" i="35"/>
  <c r="A116" i="35"/>
  <c r="A117" i="35"/>
  <c r="A118" i="35"/>
  <c r="A119" i="35"/>
  <c r="A120" i="35"/>
  <c r="A121" i="35"/>
  <c r="A122" i="35"/>
  <c r="A123" i="35"/>
  <c r="A124" i="35"/>
  <c r="A125" i="35"/>
  <c r="A126" i="35"/>
  <c r="A127" i="35"/>
  <c r="A128" i="35"/>
  <c r="A129" i="35"/>
  <c r="A130" i="35"/>
  <c r="A131" i="35"/>
  <c r="A132" i="35"/>
  <c r="A133" i="35"/>
  <c r="A134" i="35"/>
  <c r="A135" i="35"/>
  <c r="A136" i="35"/>
  <c r="A137" i="35"/>
  <c r="A138" i="35"/>
  <c r="A139" i="35"/>
  <c r="A140" i="35"/>
  <c r="A141" i="35"/>
  <c r="A142" i="35"/>
  <c r="A143" i="35"/>
  <c r="A144" i="35"/>
  <c r="A145" i="35"/>
  <c r="A146" i="35"/>
  <c r="A147" i="35"/>
  <c r="A148" i="35"/>
  <c r="A149" i="35"/>
  <c r="A150" i="35"/>
  <c r="A151" i="35"/>
  <c r="A152" i="35"/>
  <c r="A153" i="35"/>
  <c r="A154" i="35"/>
  <c r="A155" i="35"/>
  <c r="A156" i="35"/>
  <c r="A157" i="35"/>
  <c r="A158" i="35"/>
  <c r="A159" i="35"/>
  <c r="A160" i="35"/>
  <c r="A161" i="35"/>
  <c r="A162" i="35"/>
  <c r="A163" i="35"/>
  <c r="A164" i="35"/>
  <c r="A165" i="35"/>
  <c r="A166" i="35"/>
  <c r="A167" i="35"/>
  <c r="A168" i="35"/>
  <c r="A169" i="35"/>
  <c r="A170" i="35"/>
  <c r="A171" i="35"/>
  <c r="A172" i="35"/>
  <c r="A173" i="35"/>
  <c r="A174" i="35"/>
  <c r="A175" i="35"/>
  <c r="A176" i="35"/>
  <c r="A177" i="35"/>
  <c r="A178" i="35"/>
  <c r="A179" i="35"/>
  <c r="A180" i="35"/>
  <c r="A181" i="35"/>
  <c r="A182" i="35"/>
  <c r="A183" i="35"/>
  <c r="A184" i="35"/>
  <c r="A185" i="35"/>
  <c r="A186" i="35"/>
  <c r="A187" i="35"/>
  <c r="A188" i="35"/>
  <c r="A189" i="35"/>
  <c r="A190" i="35"/>
  <c r="A191" i="35"/>
  <c r="A192" i="35"/>
  <c r="A193" i="35"/>
  <c r="A194" i="35"/>
  <c r="A195" i="35"/>
  <c r="A196" i="35"/>
  <c r="A197" i="35"/>
  <c r="A198" i="35"/>
  <c r="A199" i="35"/>
  <c r="A200" i="35"/>
  <c r="A201" i="35"/>
  <c r="A202" i="35"/>
  <c r="A203" i="35"/>
  <c r="A204" i="35"/>
  <c r="A205" i="35"/>
  <c r="A206" i="35"/>
  <c r="A207" i="35"/>
  <c r="A208" i="35"/>
  <c r="A209" i="35"/>
  <c r="A211" i="35"/>
  <c r="A212" i="35"/>
  <c r="A213" i="35"/>
  <c r="A214" i="35"/>
  <c r="A215" i="35"/>
  <c r="A216" i="35"/>
  <c r="A217" i="35"/>
  <c r="A218" i="35"/>
  <c r="A219" i="35"/>
  <c r="A220" i="35"/>
  <c r="A221" i="35"/>
  <c r="A222" i="35"/>
  <c r="A223" i="35"/>
  <c r="A224" i="35"/>
  <c r="A225" i="35"/>
  <c r="A226" i="35"/>
  <c r="A227" i="35"/>
  <c r="A228" i="35"/>
  <c r="A229" i="35"/>
  <c r="A230" i="35"/>
  <c r="A231" i="35"/>
  <c r="A232" i="35"/>
  <c r="A233" i="35"/>
  <c r="A234" i="35"/>
  <c r="A235" i="35"/>
  <c r="A236" i="35"/>
  <c r="A237" i="35"/>
  <c r="A238" i="35"/>
  <c r="A239" i="35"/>
  <c r="A240" i="35"/>
  <c r="A241" i="35"/>
  <c r="A242" i="35"/>
  <c r="A243" i="35"/>
  <c r="A244" i="35"/>
  <c r="A245" i="35"/>
  <c r="A246" i="35"/>
  <c r="A247" i="35"/>
  <c r="A248" i="35"/>
  <c r="A249" i="35"/>
  <c r="A250" i="35"/>
  <c r="A251" i="35"/>
  <c r="A252" i="35"/>
  <c r="A253" i="35"/>
  <c r="A254" i="35"/>
  <c r="A255" i="35"/>
  <c r="A256" i="35"/>
  <c r="A257" i="35"/>
  <c r="A258" i="35"/>
  <c r="A260" i="35"/>
  <c r="A261" i="35"/>
  <c r="A262" i="35"/>
  <c r="A263" i="35"/>
  <c r="A264" i="35"/>
  <c r="A265" i="35"/>
  <c r="A266" i="35"/>
  <c r="A268" i="35"/>
  <c r="A269" i="35"/>
  <c r="A270" i="35"/>
  <c r="A271" i="35"/>
  <c r="A272" i="35"/>
  <c r="A273" i="35"/>
  <c r="A274" i="35"/>
  <c r="A275" i="35"/>
  <c r="A276" i="35"/>
  <c r="A277" i="35"/>
  <c r="A278" i="35"/>
  <c r="A280" i="35"/>
  <c r="A281" i="35"/>
  <c r="A282" i="35"/>
  <c r="A283" i="35"/>
  <c r="A284" i="35"/>
  <c r="A285" i="35"/>
  <c r="A287" i="35"/>
  <c r="A288" i="35"/>
  <c r="A289" i="35"/>
  <c r="A290" i="35"/>
  <c r="A291" i="35"/>
  <c r="A292" i="35"/>
  <c r="A293" i="35"/>
  <c r="A294" i="35"/>
  <c r="A295" i="35"/>
  <c r="A296" i="35"/>
  <c r="A297" i="35"/>
  <c r="A298" i="35"/>
  <c r="A299" i="35"/>
  <c r="A300" i="35"/>
  <c r="A301" i="35"/>
  <c r="A302" i="35"/>
  <c r="A303" i="35"/>
  <c r="A304" i="35"/>
  <c r="A305" i="35"/>
  <c r="A306" i="35"/>
  <c r="A307" i="35"/>
  <c r="A308" i="35"/>
  <c r="A309" i="35"/>
  <c r="A310" i="35"/>
  <c r="A311" i="35"/>
  <c r="A312" i="35"/>
  <c r="A313" i="35"/>
  <c r="A314" i="35"/>
  <c r="A315" i="35"/>
  <c r="A317" i="35"/>
  <c r="A318" i="35"/>
  <c r="A319" i="35"/>
  <c r="A320" i="35"/>
  <c r="A321" i="35"/>
  <c r="A322" i="35"/>
  <c r="A323" i="35"/>
  <c r="A324" i="35"/>
  <c r="A325" i="35"/>
  <c r="A326" i="35"/>
  <c r="A327" i="35"/>
  <c r="A328" i="35"/>
  <c r="A329" i="35"/>
  <c r="A330" i="35"/>
  <c r="A331" i="35"/>
  <c r="A332" i="35"/>
  <c r="A333" i="35"/>
  <c r="A334" i="35"/>
  <c r="A335" i="35"/>
  <c r="A336" i="35"/>
  <c r="A337" i="35"/>
  <c r="A338" i="35"/>
  <c r="A339" i="35"/>
  <c r="A340" i="35"/>
  <c r="A342" i="35"/>
  <c r="A343" i="35"/>
  <c r="A344" i="35"/>
  <c r="A345" i="35"/>
  <c r="A346" i="35"/>
  <c r="A347" i="35"/>
  <c r="A348" i="35"/>
  <c r="A349" i="35"/>
  <c r="A350" i="35"/>
  <c r="A351" i="35"/>
  <c r="A352" i="35"/>
  <c r="A353" i="35"/>
  <c r="A354" i="35"/>
  <c r="A355" i="35"/>
  <c r="A356" i="35"/>
  <c r="A357" i="35"/>
  <c r="A358" i="35"/>
  <c r="A359" i="35"/>
  <c r="A360" i="35"/>
  <c r="A361" i="35"/>
  <c r="A362" i="35"/>
  <c r="A363" i="35"/>
  <c r="A364" i="35"/>
  <c r="A365" i="35"/>
  <c r="A366" i="35"/>
  <c r="A367" i="35"/>
  <c r="A368" i="35"/>
  <c r="A369" i="35"/>
  <c r="A370" i="35"/>
  <c r="A371" i="35"/>
  <c r="A372" i="35"/>
  <c r="A373" i="35"/>
  <c r="A374" i="35"/>
  <c r="A375" i="35"/>
  <c r="A376" i="35"/>
  <c r="A377" i="35"/>
  <c r="A378" i="35"/>
  <c r="A379" i="35"/>
  <c r="A380" i="35"/>
  <c r="A381" i="35"/>
  <c r="A382" i="35"/>
  <c r="A383" i="35"/>
  <c r="A384" i="35"/>
  <c r="A385" i="35"/>
  <c r="A386" i="35"/>
  <c r="A387" i="35"/>
  <c r="A388" i="35"/>
  <c r="A389" i="35"/>
  <c r="A390" i="35"/>
  <c r="A391" i="35"/>
  <c r="A392" i="35"/>
  <c r="A393" i="35"/>
  <c r="A394" i="35"/>
  <c r="A395" i="35"/>
  <c r="A396" i="35"/>
  <c r="A397" i="35"/>
  <c r="A398" i="35"/>
  <c r="A399" i="35"/>
  <c r="A401" i="35"/>
  <c r="A402" i="35"/>
  <c r="A403" i="35"/>
  <c r="A404" i="35"/>
  <c r="A405" i="35"/>
  <c r="A407" i="35"/>
  <c r="A408" i="35"/>
  <c r="A409" i="35"/>
  <c r="A413" i="35"/>
  <c r="A414" i="35"/>
  <c r="A415" i="35"/>
  <c r="A417" i="35"/>
  <c r="A419" i="35"/>
  <c r="A422" i="35"/>
  <c r="A423" i="35"/>
  <c r="A424" i="35"/>
  <c r="A425" i="35"/>
  <c r="A427" i="35"/>
  <c r="A428" i="35"/>
  <c r="A429" i="35"/>
  <c r="A430" i="35"/>
  <c r="A431" i="35"/>
  <c r="A432" i="35"/>
  <c r="A433" i="35"/>
  <c r="A434" i="35"/>
  <c r="A435" i="35"/>
  <c r="A436" i="35"/>
  <c r="A437" i="35"/>
  <c r="A438" i="35"/>
  <c r="A439" i="35"/>
  <c r="A440" i="35"/>
  <c r="A441" i="35"/>
  <c r="A442" i="35"/>
  <c r="A443" i="35"/>
  <c r="A444" i="35"/>
  <c r="A445" i="35"/>
  <c r="A446" i="35"/>
  <c r="A447" i="35"/>
  <c r="A450" i="35"/>
  <c r="A451" i="35"/>
  <c r="A452" i="35"/>
  <c r="A453" i="35"/>
  <c r="A454" i="35"/>
  <c r="A455" i="35"/>
  <c r="A456" i="35"/>
  <c r="A457" i="35"/>
  <c r="A458" i="35"/>
  <c r="A459" i="35"/>
  <c r="A460" i="35"/>
  <c r="A461" i="35"/>
  <c r="A462" i="35"/>
  <c r="A464" i="35"/>
  <c r="A465" i="35"/>
  <c r="A466" i="35"/>
  <c r="A467" i="35"/>
  <c r="A468" i="35"/>
  <c r="A469" i="35"/>
  <c r="A470" i="35"/>
  <c r="A471" i="35"/>
  <c r="A472" i="35"/>
  <c r="A473" i="35"/>
  <c r="A474" i="35"/>
  <c r="A475" i="35"/>
  <c r="A476" i="35"/>
  <c r="A477" i="35"/>
  <c r="A478" i="35"/>
  <c r="A479" i="35"/>
  <c r="A480" i="35"/>
  <c r="A481" i="35"/>
  <c r="A483" i="35"/>
  <c r="A485" i="35"/>
  <c r="A486" i="35"/>
  <c r="A487" i="35"/>
  <c r="A488" i="35"/>
  <c r="A489" i="35"/>
  <c r="A490" i="35"/>
  <c r="A491" i="35"/>
  <c r="A492" i="35"/>
  <c r="A493" i="35"/>
  <c r="A495" i="35"/>
  <c r="A496" i="35"/>
  <c r="A497" i="35"/>
  <c r="A498" i="35"/>
  <c r="A499" i="35"/>
  <c r="A500" i="35"/>
  <c r="A501" i="35"/>
  <c r="A502" i="35"/>
  <c r="A503" i="35"/>
  <c r="A506" i="35"/>
  <c r="A507" i="35"/>
  <c r="A508" i="35"/>
  <c r="A509" i="35"/>
  <c r="A510" i="35"/>
  <c r="A511" i="35"/>
  <c r="A512" i="35"/>
  <c r="A513" i="35"/>
  <c r="A514" i="35"/>
  <c r="A515" i="35"/>
  <c r="A516" i="35"/>
  <c r="A517" i="35"/>
  <c r="A518" i="35"/>
  <c r="A519" i="35"/>
  <c r="A521" i="35"/>
  <c r="A522" i="35"/>
  <c r="A523" i="35"/>
  <c r="A524" i="35"/>
  <c r="A525" i="35"/>
  <c r="A526" i="35"/>
  <c r="A528" i="35"/>
  <c r="A529" i="35"/>
  <c r="A530" i="35"/>
  <c r="A531" i="35"/>
  <c r="A532" i="35"/>
  <c r="A533" i="35"/>
  <c r="A534" i="35"/>
  <c r="A535" i="35"/>
  <c r="A536" i="35"/>
  <c r="A537" i="35"/>
  <c r="A538" i="35"/>
  <c r="A539" i="35"/>
  <c r="A540" i="35"/>
  <c r="A541" i="35"/>
  <c r="A542" i="35"/>
  <c r="A543" i="35"/>
  <c r="A544" i="35"/>
  <c r="A547" i="35"/>
  <c r="A548" i="35"/>
  <c r="A549" i="35"/>
  <c r="A550" i="35"/>
  <c r="A551" i="35"/>
  <c r="A552" i="35"/>
  <c r="A554" i="35"/>
  <c r="A555" i="35"/>
  <c r="A556" i="35"/>
  <c r="A557" i="35"/>
  <c r="A558" i="35"/>
  <c r="A559" i="35"/>
  <c r="A560" i="35"/>
  <c r="A561" i="35"/>
  <c r="A562" i="35"/>
  <c r="A564" i="35"/>
  <c r="A566" i="35"/>
  <c r="A567" i="35"/>
  <c r="A568" i="35"/>
  <c r="A569" i="35"/>
  <c r="A570" i="35"/>
  <c r="A571" i="35"/>
  <c r="A572" i="35"/>
  <c r="A573" i="35"/>
  <c r="A574" i="35"/>
  <c r="A575" i="35"/>
  <c r="A576" i="35"/>
  <c r="A577" i="35"/>
  <c r="A578" i="35"/>
  <c r="A579" i="35"/>
  <c r="A580" i="35"/>
  <c r="A581" i="35"/>
  <c r="A582" i="35"/>
  <c r="A583" i="35"/>
  <c r="A584" i="35"/>
  <c r="A585" i="35"/>
  <c r="A586" i="35"/>
  <c r="A587" i="35"/>
  <c r="A588" i="35"/>
  <c r="A589" i="35"/>
  <c r="A590" i="35"/>
  <c r="A591" i="35"/>
  <c r="A592" i="35"/>
  <c r="A593" i="35"/>
  <c r="A594" i="35"/>
  <c r="A595" i="35"/>
  <c r="A596" i="35"/>
  <c r="A597" i="35"/>
  <c r="A598" i="35"/>
  <c r="A599" i="35"/>
  <c r="A600" i="35"/>
  <c r="A601" i="35"/>
  <c r="A602" i="35"/>
  <c r="A603" i="35"/>
  <c r="A604" i="35"/>
  <c r="A606" i="35"/>
  <c r="A607" i="35"/>
  <c r="A608" i="35"/>
  <c r="A610" i="35"/>
  <c r="A611" i="35"/>
  <c r="A613" i="35"/>
  <c r="A614" i="35"/>
  <c r="A615" i="35"/>
  <c r="A616" i="35"/>
  <c r="A617" i="35"/>
  <c r="A618" i="35"/>
  <c r="A619" i="35"/>
  <c r="A620" i="35"/>
  <c r="A621" i="35"/>
  <c r="A622" i="35"/>
  <c r="A623" i="35"/>
  <c r="A624" i="35"/>
  <c r="A625" i="35"/>
  <c r="A626" i="35"/>
  <c r="A627" i="35"/>
  <c r="A628" i="35"/>
  <c r="A630" i="35"/>
  <c r="A631" i="35"/>
  <c r="A632" i="35"/>
  <c r="A633" i="35"/>
  <c r="A634" i="35"/>
  <c r="A635" i="35"/>
  <c r="A636" i="35"/>
  <c r="A637" i="35"/>
  <c r="A638" i="35"/>
  <c r="A639" i="35"/>
  <c r="A640" i="35"/>
  <c r="A641" i="35"/>
  <c r="A642" i="35"/>
  <c r="A643" i="35"/>
  <c r="A644" i="35"/>
  <c r="A645" i="35"/>
  <c r="A646" i="35"/>
  <c r="A647" i="35"/>
  <c r="A648" i="35"/>
  <c r="A649" i="35"/>
  <c r="A650" i="35"/>
  <c r="A651" i="35"/>
  <c r="A652" i="35"/>
  <c r="A653" i="35"/>
  <c r="A654" i="35"/>
  <c r="A655" i="35"/>
  <c r="A656" i="35"/>
  <c r="A657" i="35"/>
  <c r="A658" i="35"/>
  <c r="A659" i="35"/>
  <c r="A660" i="35"/>
  <c r="A661" i="35"/>
  <c r="A662" i="35"/>
  <c r="A663" i="35"/>
  <c r="A664" i="35"/>
  <c r="A665" i="35"/>
  <c r="A666" i="35"/>
  <c r="A667" i="35"/>
  <c r="A669" i="35"/>
  <c r="A670" i="35"/>
  <c r="A671" i="35"/>
  <c r="A672" i="35"/>
  <c r="A673" i="35"/>
  <c r="A674" i="35"/>
  <c r="A675" i="35"/>
  <c r="A676" i="35"/>
  <c r="A677" i="35"/>
  <c r="A678" i="35"/>
  <c r="A679" i="35"/>
  <c r="A680" i="35"/>
  <c r="A681" i="35"/>
  <c r="A682" i="35"/>
  <c r="A683" i="35"/>
  <c r="A684" i="35"/>
  <c r="A685" i="35"/>
  <c r="A686" i="35"/>
  <c r="A687" i="35"/>
  <c r="A688" i="35"/>
  <c r="A689" i="35"/>
  <c r="A690" i="35"/>
  <c r="A691" i="35"/>
  <c r="A692" i="35"/>
  <c r="A693" i="35"/>
  <c r="A694" i="35"/>
  <c r="A695" i="35"/>
  <c r="A696" i="35"/>
  <c r="A697" i="35"/>
  <c r="A698" i="35"/>
  <c r="A699" i="35"/>
  <c r="A701" i="35"/>
  <c r="A702" i="35"/>
  <c r="A703" i="35"/>
  <c r="A704" i="35"/>
  <c r="A705" i="35"/>
  <c r="A706" i="35"/>
  <c r="A707" i="35"/>
  <c r="A708" i="35"/>
  <c r="A710" i="35"/>
  <c r="A711" i="35"/>
  <c r="A712" i="35"/>
  <c r="A713" i="35"/>
  <c r="A714" i="35"/>
  <c r="A715" i="35"/>
  <c r="A716" i="35"/>
  <c r="A717" i="35"/>
  <c r="A718" i="35"/>
  <c r="A719" i="35"/>
  <c r="A720" i="35"/>
  <c r="A721" i="35"/>
  <c r="A722" i="35"/>
  <c r="A723" i="35"/>
  <c r="A724" i="35"/>
  <c r="A725" i="35"/>
  <c r="A726" i="35"/>
  <c r="A727" i="35"/>
  <c r="A728" i="35"/>
  <c r="A729" i="35"/>
  <c r="A730" i="35"/>
  <c r="A731" i="35"/>
  <c r="A732" i="35"/>
  <c r="A733" i="35"/>
  <c r="A734" i="35"/>
  <c r="A735" i="35"/>
  <c r="A736" i="35"/>
  <c r="A737" i="35"/>
  <c r="A739" i="35"/>
  <c r="A740" i="35"/>
  <c r="A741" i="35"/>
  <c r="A742" i="35"/>
  <c r="A743" i="35"/>
  <c r="A744" i="35"/>
  <c r="A745" i="35"/>
  <c r="A746" i="35"/>
  <c r="A747" i="35"/>
  <c r="A748" i="35"/>
  <c r="A749" i="35"/>
  <c r="A750" i="35"/>
  <c r="A751" i="35"/>
  <c r="A752" i="35"/>
  <c r="A753" i="35"/>
  <c r="A754" i="35"/>
  <c r="A755" i="35"/>
  <c r="A756" i="35"/>
  <c r="A757" i="35"/>
  <c r="A758" i="35"/>
  <c r="A759" i="35"/>
  <c r="A760" i="35"/>
  <c r="A761" i="35"/>
  <c r="A762" i="35"/>
  <c r="A763" i="35"/>
  <c r="A764" i="35"/>
  <c r="A765" i="35"/>
  <c r="A766" i="35"/>
  <c r="A767" i="35"/>
  <c r="A768" i="35"/>
  <c r="A769" i="35"/>
  <c r="A770" i="35"/>
  <c r="A771" i="35"/>
  <c r="A772" i="35"/>
  <c r="A773" i="35"/>
  <c r="A774" i="35"/>
  <c r="A775" i="35"/>
  <c r="A776" i="35"/>
  <c r="A777" i="35"/>
  <c r="A778" i="35"/>
  <c r="A779" i="35"/>
  <c r="A780" i="35"/>
  <c r="A781" i="35"/>
  <c r="A782" i="35"/>
  <c r="A783" i="35"/>
  <c r="A784" i="35"/>
  <c r="A785" i="35"/>
  <c r="A786" i="35"/>
  <c r="A787" i="35"/>
  <c r="A788" i="35"/>
  <c r="A789" i="35"/>
  <c r="A790" i="35"/>
  <c r="A791" i="35"/>
  <c r="A792" i="35"/>
  <c r="A793" i="35"/>
  <c r="A794" i="35"/>
  <c r="A795" i="35"/>
  <c r="A796" i="35"/>
  <c r="A797" i="35"/>
  <c r="A798" i="35"/>
  <c r="A799" i="35"/>
  <c r="A800" i="35"/>
  <c r="A801" i="35"/>
  <c r="A802" i="35"/>
  <c r="A803" i="35"/>
  <c r="A804" i="35"/>
  <c r="A805" i="35"/>
  <c r="A806" i="35"/>
  <c r="A807" i="35"/>
  <c r="A808" i="35"/>
  <c r="A809" i="35"/>
  <c r="A810" i="35"/>
  <c r="A811" i="35"/>
  <c r="A812" i="35"/>
  <c r="A813" i="35"/>
  <c r="A814" i="35"/>
  <c r="A815" i="35"/>
  <c r="A816" i="35"/>
  <c r="A817" i="35"/>
  <c r="A818" i="35"/>
  <c r="A819" i="35"/>
  <c r="A820" i="35"/>
  <c r="A821" i="35"/>
  <c r="A822" i="35"/>
  <c r="A823" i="35"/>
  <c r="A824" i="35"/>
  <c r="A825" i="35"/>
  <c r="A826" i="35"/>
  <c r="A827" i="35"/>
  <c r="A828" i="35"/>
  <c r="A829" i="35"/>
  <c r="A830" i="35"/>
  <c r="A831" i="35"/>
  <c r="A832" i="35"/>
  <c r="A833" i="35"/>
  <c r="A834" i="35"/>
  <c r="A835" i="35"/>
  <c r="A836" i="35"/>
  <c r="A837" i="35"/>
  <c r="A838" i="35"/>
  <c r="A839" i="35"/>
  <c r="A840" i="35"/>
  <c r="A841" i="35"/>
  <c r="A842" i="35"/>
  <c r="A843" i="35"/>
  <c r="A844" i="35"/>
  <c r="A845" i="35"/>
  <c r="A846" i="35"/>
  <c r="A847" i="35"/>
  <c r="A848" i="35"/>
  <c r="A849" i="35"/>
  <c r="A850" i="35"/>
  <c r="A851" i="35"/>
  <c r="A852" i="35"/>
  <c r="A853" i="35"/>
  <c r="A854" i="35"/>
  <c r="A855" i="35"/>
  <c r="A856" i="35"/>
  <c r="A857" i="35"/>
  <c r="A858" i="35"/>
  <c r="A859" i="35"/>
  <c r="A860" i="35"/>
  <c r="A861" i="35"/>
  <c r="A862" i="35"/>
  <c r="A863" i="35"/>
  <c r="A864" i="35"/>
  <c r="A865" i="35"/>
  <c r="A866" i="35"/>
  <c r="A867" i="35"/>
  <c r="A868" i="35"/>
  <c r="A869" i="35"/>
  <c r="A870" i="35"/>
  <c r="A871" i="35"/>
  <c r="A872" i="35"/>
  <c r="A873" i="35"/>
  <c r="A874" i="35"/>
  <c r="A875" i="35"/>
  <c r="A876" i="35"/>
  <c r="A877" i="35"/>
  <c r="A878" i="35"/>
  <c r="A879" i="35"/>
  <c r="A880" i="35"/>
  <c r="A881" i="35"/>
  <c r="A882" i="35"/>
  <c r="A4" i="35"/>
  <c r="E17" i="35"/>
  <c r="E21" i="35"/>
  <c r="F21" i="35" s="1"/>
  <c r="E177" i="35"/>
  <c r="E252" i="35"/>
  <c r="E261" i="35"/>
  <c r="E272" i="35"/>
  <c r="E228" i="35"/>
  <c r="F228" i="35" s="1"/>
  <c r="E18" i="35"/>
  <c r="E615" i="35"/>
  <c r="F615" i="35" s="1"/>
  <c r="E713" i="35"/>
  <c r="F713" i="35" s="1"/>
  <c r="E94" i="35"/>
  <c r="E55" i="35"/>
  <c r="E250" i="35"/>
  <c r="F250" i="35" s="1"/>
  <c r="E251" i="35"/>
  <c r="F251" i="35" s="1"/>
  <c r="E208" i="35"/>
  <c r="F208" i="35" s="1"/>
  <c r="E737" i="35"/>
  <c r="E296" i="35"/>
  <c r="F296" i="35" s="1"/>
  <c r="E92" i="35"/>
  <c r="F92" i="35" s="1"/>
  <c r="E233" i="35"/>
  <c r="F233" i="35" s="1"/>
  <c r="E254" i="35"/>
  <c r="F254" i="35" s="1"/>
  <c r="E30" i="35"/>
  <c r="E694" i="35"/>
  <c r="F694" i="35" s="1"/>
  <c r="E6" i="35"/>
  <c r="F6" i="35" s="1"/>
  <c r="E333" i="35"/>
  <c r="F333" i="35" s="1"/>
  <c r="E685" i="35"/>
  <c r="F685" i="35" s="1"/>
  <c r="E33" i="35"/>
  <c r="F33" i="35" s="1"/>
  <c r="E186" i="35"/>
  <c r="F186" i="35" s="1"/>
  <c r="E516" i="35"/>
  <c r="F516" i="35" s="1"/>
  <c r="E562" i="35"/>
  <c r="F562" i="35" s="1"/>
  <c r="E40" i="35"/>
  <c r="E519" i="35"/>
  <c r="E572" i="35"/>
  <c r="E85" i="35"/>
  <c r="F85" i="35" s="1"/>
  <c r="E556" i="35"/>
  <c r="F556" i="35" s="1"/>
  <c r="E209" i="35"/>
  <c r="E44" i="35"/>
  <c r="F44" i="35" s="1"/>
  <c r="E662" i="35"/>
  <c r="F662" i="35" s="1"/>
  <c r="E611" i="35"/>
  <c r="F611" i="35" s="1"/>
  <c r="E767" i="35"/>
  <c r="F767" i="35" s="1"/>
  <c r="E779" i="35"/>
  <c r="E786" i="35"/>
  <c r="E802" i="35"/>
  <c r="E295" i="35"/>
  <c r="F295" i="35" s="1"/>
  <c r="E339" i="35"/>
  <c r="E390" i="35"/>
  <c r="F390" i="35" s="1"/>
  <c r="E822" i="35"/>
  <c r="F822" i="35" s="1"/>
  <c r="E824" i="35"/>
  <c r="F824" i="35" s="1"/>
  <c r="E772" i="35"/>
  <c r="F772" i="35" s="1"/>
  <c r="E811" i="35"/>
  <c r="F811" i="35" s="1"/>
  <c r="E837" i="35"/>
  <c r="F837" i="35" s="1"/>
  <c r="E841" i="35"/>
  <c r="E773" i="35"/>
  <c r="F773" i="35" s="1"/>
  <c r="E873" i="35"/>
  <c r="F873" i="35" s="1"/>
  <c r="E778" i="35"/>
  <c r="E54" i="35"/>
  <c r="F54" i="35" s="1"/>
  <c r="E523" i="35"/>
  <c r="F523" i="35" s="1"/>
  <c r="E211" i="35"/>
  <c r="F211" i="35" s="1"/>
  <c r="E99" i="35"/>
  <c r="E466" i="35"/>
  <c r="F466" i="35" s="1"/>
  <c r="E148" i="35"/>
  <c r="E28" i="35"/>
  <c r="F28" i="35" s="1"/>
  <c r="E83" i="35"/>
  <c r="F83" i="35" s="1"/>
  <c r="E610" i="35"/>
  <c r="E804" i="35"/>
  <c r="F804" i="35" s="1"/>
  <c r="E818" i="35"/>
  <c r="E706" i="35"/>
  <c r="F706" i="35" s="1"/>
  <c r="E8" i="35"/>
  <c r="F8" i="35" s="1"/>
  <c r="E9" i="35"/>
  <c r="F9" i="35" s="1"/>
  <c r="E41" i="35"/>
  <c r="F41" i="35" s="1"/>
  <c r="E57" i="35"/>
  <c r="F57" i="35" s="1"/>
  <c r="E7" i="35"/>
  <c r="E23" i="35"/>
  <c r="F23" i="35" s="1"/>
  <c r="E715" i="35"/>
  <c r="F715" i="35" s="1"/>
  <c r="E35" i="35"/>
  <c r="F35" i="35" s="1"/>
  <c r="E39" i="35"/>
  <c r="E90" i="35"/>
  <c r="F90" i="35" s="1"/>
  <c r="E52" i="35"/>
  <c r="F52" i="35" s="1"/>
  <c r="E77" i="35"/>
  <c r="F77" i="35" s="1"/>
  <c r="E787" i="35"/>
  <c r="F787" i="35" s="1"/>
  <c r="E788" i="35"/>
  <c r="F788" i="35" s="1"/>
  <c r="E799" i="35"/>
  <c r="E800" i="35"/>
  <c r="E263" i="35"/>
  <c r="F263" i="35" s="1"/>
  <c r="E805" i="35"/>
  <c r="F805" i="35" s="1"/>
  <c r="E58" i="35"/>
  <c r="E64" i="35"/>
  <c r="F64" i="35" s="1"/>
  <c r="E45" i="35"/>
  <c r="F45" i="35" s="1"/>
  <c r="E60" i="35"/>
  <c r="F60" i="35" s="1"/>
  <c r="E607" i="35"/>
  <c r="F607" i="35" s="1"/>
  <c r="E205" i="35"/>
  <c r="F205" i="35" s="1"/>
  <c r="E206" i="35"/>
  <c r="E79" i="35"/>
  <c r="E65" i="35"/>
  <c r="F65" i="35" s="1"/>
  <c r="E821" i="35"/>
  <c r="F821" i="35" s="1"/>
  <c r="E765" i="35"/>
  <c r="F765" i="35" s="1"/>
  <c r="E670" i="35"/>
  <c r="F670" i="35" s="1"/>
  <c r="E867" i="35"/>
  <c r="F867" i="35" s="1"/>
  <c r="E717" i="35"/>
  <c r="F717" i="35" s="1"/>
  <c r="E725" i="35"/>
  <c r="F725" i="35" s="1"/>
  <c r="E740" i="35"/>
  <c r="E834" i="35"/>
  <c r="F834" i="35" s="1"/>
  <c r="E840" i="35"/>
  <c r="E337" i="35"/>
  <c r="F337" i="35" s="1"/>
  <c r="E414" i="35"/>
  <c r="F414" i="35" s="1"/>
  <c r="E141" i="35"/>
  <c r="E697" i="35"/>
  <c r="F697" i="35" s="1"/>
  <c r="E700" i="35"/>
  <c r="F700" i="35" s="1"/>
  <c r="E214" i="35"/>
  <c r="F214" i="35" s="1"/>
  <c r="E267" i="35"/>
  <c r="F267" i="35" s="1"/>
  <c r="E643" i="35"/>
  <c r="F643" i="35" s="1"/>
  <c r="E567" i="35"/>
  <c r="E545" i="35"/>
  <c r="F545" i="35" s="1"/>
  <c r="E475" i="35"/>
  <c r="F475" i="35" s="1"/>
  <c r="E66" i="35"/>
  <c r="F66" i="35" s="1"/>
  <c r="E91" i="35"/>
  <c r="F91" i="35" s="1"/>
  <c r="E481" i="35"/>
  <c r="F481" i="35" s="1"/>
  <c r="E416" i="35"/>
  <c r="F416" i="35" s="1"/>
  <c r="E420" i="35"/>
  <c r="F420" i="35" s="1"/>
  <c r="E411" i="35"/>
  <c r="F411" i="35" s="1"/>
  <c r="E409" i="35"/>
  <c r="E421" i="35"/>
  <c r="E425" i="35"/>
  <c r="F425" i="35" s="1"/>
  <c r="E407" i="35"/>
  <c r="F407" i="35" s="1"/>
  <c r="E16" i="35"/>
  <c r="F16" i="35" s="1"/>
  <c r="E443" i="35"/>
  <c r="F443" i="35" s="1"/>
  <c r="E417" i="35"/>
  <c r="F417" i="35" s="1"/>
  <c r="E84" i="35"/>
  <c r="F84" i="35" s="1"/>
  <c r="E87" i="35"/>
  <c r="F87" i="35" s="1"/>
  <c r="E418" i="35"/>
  <c r="E449" i="35"/>
  <c r="E171" i="35"/>
  <c r="E172" i="35"/>
  <c r="E173" i="35"/>
  <c r="F173" i="35" s="1"/>
  <c r="E221" i="35"/>
  <c r="E258" i="35"/>
  <c r="E309" i="35"/>
  <c r="E406" i="35"/>
  <c r="F406" i="35" s="1"/>
  <c r="E431" i="35"/>
  <c r="F431" i="35" s="1"/>
  <c r="E435" i="35"/>
  <c r="F435" i="35" s="1"/>
  <c r="E437" i="35"/>
  <c r="F437" i="35" s="1"/>
  <c r="E542" i="35"/>
  <c r="F542" i="35" s="1"/>
  <c r="E441" i="35"/>
  <c r="E608" i="35"/>
  <c r="F608" i="35" s="1"/>
  <c r="E709" i="35"/>
  <c r="E718" i="35"/>
  <c r="F718" i="35" s="1"/>
  <c r="E738" i="35"/>
  <c r="F738" i="35" s="1"/>
  <c r="E739" i="35"/>
  <c r="F739" i="35" s="1"/>
  <c r="E463" i="35"/>
  <c r="F463" i="35" s="1"/>
  <c r="E97" i="35"/>
  <c r="F97" i="35" s="1"/>
  <c r="E586" i="35"/>
  <c r="F586" i="35" s="1"/>
  <c r="E587" i="35"/>
  <c r="E588" i="35"/>
  <c r="E190" i="35"/>
  <c r="E110" i="35"/>
  <c r="E348" i="35"/>
  <c r="E101" i="35"/>
  <c r="F101" i="35" s="1"/>
  <c r="E784" i="35"/>
  <c r="F784" i="35" s="1"/>
  <c r="E46" i="35"/>
  <c r="F46" i="35" s="1"/>
  <c r="E732" i="35"/>
  <c r="F732" i="35" s="1"/>
  <c r="E625" i="35"/>
  <c r="F625" i="35" s="1"/>
  <c r="E485" i="35"/>
  <c r="E109" i="35"/>
  <c r="F109" i="35" s="1"/>
  <c r="E419" i="35"/>
  <c r="F419" i="35" s="1"/>
  <c r="E36" i="35"/>
  <c r="F36" i="35" s="1"/>
  <c r="E37" i="35"/>
  <c r="F37" i="35" s="1"/>
  <c r="E120" i="35"/>
  <c r="F120" i="35" s="1"/>
  <c r="E121" i="35"/>
  <c r="F121" i="35" s="1"/>
  <c r="E479" i="35"/>
  <c r="E301" i="35"/>
  <c r="F301" i="35" s="1"/>
  <c r="E540" i="35"/>
  <c r="F540" i="35" s="1"/>
  <c r="E25" i="35"/>
  <c r="E26" i="35"/>
  <c r="F26" i="35" s="1"/>
  <c r="E135" i="35"/>
  <c r="F135" i="35" s="1"/>
  <c r="E123" i="35"/>
  <c r="F123" i="35" s="1"/>
  <c r="E133" i="35"/>
  <c r="F133" i="35" s="1"/>
  <c r="E125" i="35"/>
  <c r="F125" i="35" s="1"/>
  <c r="E131" i="35"/>
  <c r="F131" i="35" s="1"/>
  <c r="E705" i="35"/>
  <c r="F705" i="35" s="1"/>
  <c r="E136" i="35"/>
  <c r="F136" i="35" s="1"/>
  <c r="E661" i="35"/>
  <c r="F661" i="35" s="1"/>
  <c r="E154" i="35"/>
  <c r="E191" i="35"/>
  <c r="E302" i="35"/>
  <c r="E112" i="35"/>
  <c r="F112" i="35" s="1"/>
  <c r="E122" i="35"/>
  <c r="F122" i="35" s="1"/>
  <c r="E117" i="35"/>
  <c r="F117" i="35" s="1"/>
  <c r="E836" i="35"/>
  <c r="F836" i="35" s="1"/>
  <c r="E130" i="35"/>
  <c r="F130" i="35" s="1"/>
  <c r="E686" i="35"/>
  <c r="F686" i="35" s="1"/>
  <c r="E31" i="35"/>
  <c r="F31" i="35" s="1"/>
  <c r="E690" i="35"/>
  <c r="F690" i="35" s="1"/>
  <c r="E269" i="35"/>
  <c r="E687" i="35"/>
  <c r="F687" i="35" s="1"/>
  <c r="E188" i="35"/>
  <c r="E197" i="35"/>
  <c r="F197" i="35" s="1"/>
  <c r="E150" i="35"/>
  <c r="F150" i="35" s="1"/>
  <c r="E139" i="35"/>
  <c r="F139" i="35" s="1"/>
  <c r="E76" i="35"/>
  <c r="F76" i="35" s="1"/>
  <c r="E376" i="35"/>
  <c r="F376" i="35" s="1"/>
  <c r="E771" i="35"/>
  <c r="F771" i="35" s="1"/>
  <c r="E627" i="35"/>
  <c r="E565" i="35"/>
  <c r="F565" i="35" s="1"/>
  <c r="E716" i="35"/>
  <c r="F716" i="35" s="1"/>
  <c r="E638" i="35"/>
  <c r="E724" i="35"/>
  <c r="F724" i="35" s="1"/>
  <c r="E666" i="35"/>
  <c r="F666" i="35" s="1"/>
  <c r="E59" i="35"/>
  <c r="F59" i="35" s="1"/>
  <c r="E746" i="35"/>
  <c r="F746" i="35" s="1"/>
  <c r="E146" i="35"/>
  <c r="F146" i="35" s="1"/>
  <c r="E229" i="35"/>
  <c r="E789" i="35"/>
  <c r="E866" i="35"/>
  <c r="E422" i="35"/>
  <c r="E137" i="35"/>
  <c r="F137" i="35" s="1"/>
  <c r="E138" i="35"/>
  <c r="E453" i="35"/>
  <c r="F453" i="35" s="1"/>
  <c r="E72" i="35"/>
  <c r="F72" i="35" s="1"/>
  <c r="E71" i="35"/>
  <c r="F71" i="35" s="1"/>
  <c r="E617" i="35"/>
  <c r="F617" i="35" s="1"/>
  <c r="E288" i="35"/>
  <c r="E181" i="35"/>
  <c r="F181" i="35" s="1"/>
  <c r="E456" i="35"/>
  <c r="F456" i="35" s="1"/>
  <c r="E293" i="35"/>
  <c r="F293" i="35" s="1"/>
  <c r="E525" i="35"/>
  <c r="F525" i="35" s="1"/>
  <c r="E308" i="35"/>
  <c r="E410" i="35"/>
  <c r="F410" i="35" s="1"/>
  <c r="E119" i="35"/>
  <c r="F119" i="35" s="1"/>
  <c r="E244" i="35"/>
  <c r="F244" i="35" s="1"/>
  <c r="E268" i="35"/>
  <c r="E210" i="35"/>
  <c r="F210" i="35" s="1"/>
  <c r="E103" i="35"/>
  <c r="F103" i="35" s="1"/>
  <c r="E180" i="35"/>
  <c r="E675" i="35"/>
  <c r="F675" i="35" s="1"/>
  <c r="E626" i="35"/>
  <c r="F626" i="35" s="1"/>
  <c r="E671" i="35"/>
  <c r="E667" i="35"/>
  <c r="F667" i="35" s="1"/>
  <c r="E726" i="35"/>
  <c r="F726" i="35" s="1"/>
  <c r="E628" i="35"/>
  <c r="E604" i="35"/>
  <c r="F604" i="35" s="1"/>
  <c r="E440" i="35"/>
  <c r="F440" i="35" s="1"/>
  <c r="E504" i="35"/>
  <c r="E526" i="35"/>
  <c r="F526" i="35" s="1"/>
  <c r="E307" i="35"/>
  <c r="F307" i="35" s="1"/>
  <c r="E529" i="35"/>
  <c r="E530" i="35"/>
  <c r="E220" i="35"/>
  <c r="F220" i="35" s="1"/>
  <c r="E200" i="35"/>
  <c r="F200" i="35" s="1"/>
  <c r="E201" i="35"/>
  <c r="F201" i="35" s="1"/>
  <c r="E199" i="35"/>
  <c r="F199" i="35" s="1"/>
  <c r="E189" i="35"/>
  <c r="F189" i="35" s="1"/>
  <c r="E204" i="35"/>
  <c r="E192" i="35"/>
  <c r="E232" i="35"/>
  <c r="F232" i="35" s="1"/>
  <c r="E300" i="35"/>
  <c r="F300" i="35" s="1"/>
  <c r="E478" i="35"/>
  <c r="F478" i="35" s="1"/>
  <c r="E747" i="35"/>
  <c r="F747" i="35" s="1"/>
  <c r="E711" i="35"/>
  <c r="F711" i="35" s="1"/>
  <c r="E782" i="35"/>
  <c r="F782" i="35" s="1"/>
  <c r="E255" i="35"/>
  <c r="F255" i="35" s="1"/>
  <c r="E260" i="35"/>
  <c r="F260" i="35" s="1"/>
  <c r="E291" i="35"/>
  <c r="E262" i="35"/>
  <c r="F262" i="35" s="1"/>
  <c r="E264" i="35"/>
  <c r="F264" i="35" s="1"/>
  <c r="E270" i="35"/>
  <c r="F270" i="35" s="1"/>
  <c r="E271" i="35"/>
  <c r="E273" i="35"/>
  <c r="F273" i="35" s="1"/>
  <c r="E278" i="35"/>
  <c r="F278" i="35" s="1"/>
  <c r="E281" i="35"/>
  <c r="F281" i="35" s="1"/>
  <c r="E283" i="35"/>
  <c r="F283" i="35" s="1"/>
  <c r="E287" i="35"/>
  <c r="F287" i="35" s="1"/>
  <c r="E286" i="35"/>
  <c r="F286" i="35" s="1"/>
  <c r="E609" i="35"/>
  <c r="E289" i="35"/>
  <c r="F289" i="35" s="1"/>
  <c r="E280" i="35"/>
  <c r="E274" i="35"/>
  <c r="F274" i="35" s="1"/>
  <c r="E277" i="35"/>
  <c r="F277" i="35" s="1"/>
  <c r="E292" i="35"/>
  <c r="F292" i="35" s="1"/>
  <c r="E279" i="35"/>
  <c r="E132" i="35"/>
  <c r="F132" i="35" s="1"/>
  <c r="E53" i="35"/>
  <c r="F53" i="35" s="1"/>
  <c r="E98" i="35"/>
  <c r="E480" i="35"/>
  <c r="E198" i="35"/>
  <c r="F198" i="35" s="1"/>
  <c r="E424" i="35"/>
  <c r="F424" i="35" s="1"/>
  <c r="E647" i="35"/>
  <c r="F647" i="35" s="1"/>
  <c r="E298" i="35"/>
  <c r="F298" i="35" s="1"/>
  <c r="E217" i="35"/>
  <c r="F217" i="35" s="1"/>
  <c r="E299" i="35"/>
  <c r="E194" i="35"/>
  <c r="F194" i="35" s="1"/>
  <c r="E506" i="35"/>
  <c r="F506" i="35" s="1"/>
  <c r="E216" i="35"/>
  <c r="F216" i="35" s="1"/>
  <c r="E187" i="35"/>
  <c r="F187" i="35" s="1"/>
  <c r="E195" i="35"/>
  <c r="F195" i="35" s="1"/>
  <c r="E196" i="35"/>
  <c r="F196" i="35" s="1"/>
  <c r="E203" i="35"/>
  <c r="F203" i="35" s="1"/>
  <c r="E223" i="35"/>
  <c r="F223" i="35" s="1"/>
  <c r="E224" i="35"/>
  <c r="F224" i="35" s="1"/>
  <c r="E297" i="35"/>
  <c r="F297" i="35" s="1"/>
  <c r="E541" i="35"/>
  <c r="F541" i="35" s="1"/>
  <c r="E639" i="35"/>
  <c r="F639" i="35" s="1"/>
  <c r="E166" i="35"/>
  <c r="F166" i="35" s="1"/>
  <c r="E757" i="35"/>
  <c r="F757" i="35" s="1"/>
  <c r="E364" i="35"/>
  <c r="F364" i="35" s="1"/>
  <c r="E82" i="35"/>
  <c r="E823" i="35"/>
  <c r="F823" i="35" s="1"/>
  <c r="E159" i="35"/>
  <c r="F159" i="35" s="1"/>
  <c r="E167" i="35"/>
  <c r="F167" i="35" s="1"/>
  <c r="E464" i="35"/>
  <c r="F464" i="35" s="1"/>
  <c r="E113" i="35"/>
  <c r="F113" i="35" s="1"/>
  <c r="E96" i="35"/>
  <c r="F96" i="35" s="1"/>
  <c r="E712" i="35"/>
  <c r="E152" i="35"/>
  <c r="F152" i="35" s="1"/>
  <c r="E819" i="35"/>
  <c r="E115" i="35"/>
  <c r="F115" i="35" s="1"/>
  <c r="E770" i="35"/>
  <c r="E215" i="35"/>
  <c r="F215" i="35" s="1"/>
  <c r="E484" i="35"/>
  <c r="F484" i="35" s="1"/>
  <c r="E145" i="35"/>
  <c r="F145" i="35" s="1"/>
  <c r="E227" i="35"/>
  <c r="F227" i="35" s="1"/>
  <c r="E234" i="35"/>
  <c r="F234" i="35" s="1"/>
  <c r="E207" i="35"/>
  <c r="F207" i="35" s="1"/>
  <c r="E640" i="35"/>
  <c r="F640" i="35" s="1"/>
  <c r="E282" i="35"/>
  <c r="E524" i="35"/>
  <c r="F524" i="35" s="1"/>
  <c r="E351" i="35"/>
  <c r="E352" i="35"/>
  <c r="F352" i="35" s="1"/>
  <c r="E642" i="35"/>
  <c r="F642" i="35" s="1"/>
  <c r="E701" i="35"/>
  <c r="F701" i="35" s="1"/>
  <c r="E754" i="35"/>
  <c r="F754" i="35" s="1"/>
  <c r="E755" i="35"/>
  <c r="F755" i="35" s="1"/>
  <c r="E833" i="35"/>
  <c r="F833" i="35" s="1"/>
  <c r="E830" i="35"/>
  <c r="E393" i="35"/>
  <c r="F393" i="35" s="1"/>
  <c r="E756" i="35"/>
  <c r="F756" i="35" s="1"/>
  <c r="E882" i="35"/>
  <c r="E752" i="35"/>
  <c r="F752" i="35" s="1"/>
  <c r="E766" i="35"/>
  <c r="F766" i="35" s="1"/>
  <c r="E38" i="35"/>
  <c r="E792" i="35"/>
  <c r="F792" i="35" s="1"/>
  <c r="E780" i="35"/>
  <c r="F780" i="35" s="1"/>
  <c r="E100" i="35"/>
  <c r="E785" i="35"/>
  <c r="F785" i="35" s="1"/>
  <c r="E430" i="35"/>
  <c r="E790" i="35"/>
  <c r="E398" i="35"/>
  <c r="E829" i="35"/>
  <c r="E693" i="35"/>
  <c r="F693" i="35" s="1"/>
  <c r="E798" i="35"/>
  <c r="E801" i="35"/>
  <c r="F801" i="35" s="1"/>
  <c r="E140" i="35"/>
  <c r="F140" i="35" s="1"/>
  <c r="E803" i="35"/>
  <c r="F803" i="35" s="1"/>
  <c r="E810" i="35"/>
  <c r="E797" i="35"/>
  <c r="F797" i="35" s="1"/>
  <c r="E812" i="35"/>
  <c r="E397" i="35"/>
  <c r="F397" i="35" s="1"/>
  <c r="E156" i="35"/>
  <c r="F156" i="35" s="1"/>
  <c r="E436" i="35"/>
  <c r="F436" i="35" s="1"/>
  <c r="E116" i="35"/>
  <c r="F116" i="35" s="1"/>
  <c r="E761" i="35"/>
  <c r="F761" i="35" s="1"/>
  <c r="E777" i="35"/>
  <c r="F777" i="35" s="1"/>
  <c r="E321" i="35"/>
  <c r="E168" i="35"/>
  <c r="F168" i="35" s="1"/>
  <c r="E768" i="35"/>
  <c r="E769" i="35"/>
  <c r="E368" i="35"/>
  <c r="E369" i="35"/>
  <c r="E143" i="35"/>
  <c r="F143" i="35" s="1"/>
  <c r="E144" i="35"/>
  <c r="F144" i="35" s="1"/>
  <c r="E149" i="35"/>
  <c r="E151" i="35"/>
  <c r="F151" i="35" s="1"/>
  <c r="E153" i="35"/>
  <c r="F153" i="35" s="1"/>
  <c r="E157" i="35"/>
  <c r="F157" i="35" s="1"/>
  <c r="E158" i="35"/>
  <c r="E865" i="35"/>
  <c r="F865" i="35" s="1"/>
  <c r="E714" i="35"/>
  <c r="F714" i="35" s="1"/>
  <c r="E868" i="35"/>
  <c r="F868" i="35" s="1"/>
  <c r="E719" i="35"/>
  <c r="F719" i="35" s="1"/>
  <c r="E720" i="35"/>
  <c r="F720" i="35" s="1"/>
  <c r="E820" i="35"/>
  <c r="F820" i="35" s="1"/>
  <c r="E878" i="35"/>
  <c r="E879" i="35"/>
  <c r="E796" i="35"/>
  <c r="F796" i="35" s="1"/>
  <c r="E806" i="35"/>
  <c r="F806" i="35" s="1"/>
  <c r="E807" i="35"/>
  <c r="F807" i="35" s="1"/>
  <c r="E808" i="35"/>
  <c r="E809" i="35"/>
  <c r="E813" i="35"/>
  <c r="F813" i="35" s="1"/>
  <c r="E814" i="35"/>
  <c r="F814" i="35" s="1"/>
  <c r="E781" i="35"/>
  <c r="F781" i="35" s="1"/>
  <c r="E872" i="35"/>
  <c r="F872" i="35" s="1"/>
  <c r="E165" i="35"/>
  <c r="F165" i="35" s="1"/>
  <c r="E155" i="35"/>
  <c r="F155" i="35" s="1"/>
  <c r="E876" i="35"/>
  <c r="F876" i="35" s="1"/>
  <c r="E877" i="35"/>
  <c r="F877" i="35" s="1"/>
  <c r="E774" i="35"/>
  <c r="F774" i="35" s="1"/>
  <c r="E775" i="35"/>
  <c r="F775" i="35" s="1"/>
  <c r="E776" i="35"/>
  <c r="F776" i="35" s="1"/>
  <c r="E763" i="35"/>
  <c r="F763" i="35" s="1"/>
  <c r="E791" i="35"/>
  <c r="F791" i="35" s="1"/>
  <c r="E795" i="35"/>
  <c r="F795" i="35" s="1"/>
  <c r="E826" i="35"/>
  <c r="F826" i="35" s="1"/>
  <c r="E827" i="35"/>
  <c r="F827" i="35" s="1"/>
  <c r="E828" i="35"/>
  <c r="E831" i="35"/>
  <c r="E832" i="35"/>
  <c r="E874" i="35"/>
  <c r="F874" i="35" s="1"/>
  <c r="E875" i="35"/>
  <c r="F875" i="35" s="1"/>
  <c r="E551" i="35"/>
  <c r="F551" i="35" s="1"/>
  <c r="E552" i="35"/>
  <c r="F552" i="35" s="1"/>
  <c r="E69" i="35"/>
  <c r="E13" i="35"/>
  <c r="E14" i="35"/>
  <c r="F14" i="35" s="1"/>
  <c r="E402" i="35"/>
  <c r="F402" i="35" s="1"/>
  <c r="E342" i="35"/>
  <c r="E343" i="35"/>
  <c r="F343" i="35" s="1"/>
  <c r="E335" i="35"/>
  <c r="F335" i="35" s="1"/>
  <c r="E336" i="35"/>
  <c r="F336" i="35" s="1"/>
  <c r="E344" i="35"/>
  <c r="F344" i="35" s="1"/>
  <c r="E345" i="35"/>
  <c r="F345" i="35" s="1"/>
  <c r="E347" i="35"/>
  <c r="F347" i="35" s="1"/>
  <c r="E353" i="35"/>
  <c r="F353" i="35" s="1"/>
  <c r="E354" i="35"/>
  <c r="F354" i="35" s="1"/>
  <c r="E359" i="35"/>
  <c r="E362" i="35"/>
  <c r="E363" i="35"/>
  <c r="F363" i="35" s="1"/>
  <c r="E334" i="35"/>
  <c r="F334" i="35" s="1"/>
  <c r="E367" i="35"/>
  <c r="F367" i="35" s="1"/>
  <c r="E340" i="35"/>
  <c r="F340" i="35" s="1"/>
  <c r="E394" i="35"/>
  <c r="F394" i="35" s="1"/>
  <c r="E371" i="35"/>
  <c r="F371" i="35" s="1"/>
  <c r="E372" i="35"/>
  <c r="E375" i="35"/>
  <c r="F375" i="35" s="1"/>
  <c r="E383" i="35"/>
  <c r="F383" i="35" s="1"/>
  <c r="E379" i="35"/>
  <c r="E380" i="35"/>
  <c r="E384" i="35"/>
  <c r="F384" i="35" s="1"/>
  <c r="E385" i="35"/>
  <c r="F385" i="35" s="1"/>
  <c r="E386" i="35"/>
  <c r="F386" i="35" s="1"/>
  <c r="E387" i="35"/>
  <c r="F387" i="35" s="1"/>
  <c r="E388" i="35"/>
  <c r="E346" i="35"/>
  <c r="F346" i="35" s="1"/>
  <c r="E361" i="35"/>
  <c r="F361" i="35" s="1"/>
  <c r="E391" i="35"/>
  <c r="E338" i="35"/>
  <c r="E373" i="35"/>
  <c r="F373" i="35" s="1"/>
  <c r="E374" i="35"/>
  <c r="F374" i="35" s="1"/>
  <c r="E357" i="35"/>
  <c r="F357" i="35" s="1"/>
  <c r="E358" i="35"/>
  <c r="E349" i="35"/>
  <c r="E350" i="35"/>
  <c r="F350" i="35" s="1"/>
  <c r="E370" i="35"/>
  <c r="E377" i="35"/>
  <c r="F377" i="35" s="1"/>
  <c r="E378" i="35"/>
  <c r="E389" i="35"/>
  <c r="E395" i="35"/>
  <c r="F395" i="35" s="1"/>
  <c r="E396" i="35"/>
  <c r="F396" i="35" s="1"/>
  <c r="E403" i="35"/>
  <c r="F403" i="35" s="1"/>
  <c r="E404" i="35"/>
  <c r="F404" i="35" s="1"/>
  <c r="E405" i="35"/>
  <c r="F405" i="35" s="1"/>
  <c r="E750" i="35"/>
  <c r="F750" i="35" s="1"/>
  <c r="E751" i="35"/>
  <c r="E15" i="35"/>
  <c r="F15" i="35" s="1"/>
  <c r="E844" i="35"/>
  <c r="F844" i="35" s="1"/>
  <c r="E503" i="35"/>
  <c r="F503" i="35" s="1"/>
  <c r="E142" i="35"/>
  <c r="F142" i="35" s="1"/>
  <c r="E20" i="35"/>
  <c r="F20" i="35" s="1"/>
  <c r="E161" i="35"/>
  <c r="F161" i="35" s="1"/>
  <c r="E505" i="35"/>
  <c r="F505" i="35" s="1"/>
  <c r="E164" i="35"/>
  <c r="F164" i="35" s="1"/>
  <c r="E382" i="35"/>
  <c r="F382" i="35" s="1"/>
  <c r="E603" i="35"/>
  <c r="F603" i="35" s="1"/>
  <c r="E676" i="35"/>
  <c r="F676" i="35" s="1"/>
  <c r="E677" i="35"/>
  <c r="F677" i="35" s="1"/>
  <c r="E681" i="35"/>
  <c r="E682" i="35"/>
  <c r="E843" i="35"/>
  <c r="F843" i="35" s="1"/>
  <c r="E591" i="35"/>
  <c r="F591" i="35" s="1"/>
  <c r="E592" i="35"/>
  <c r="F592" i="35" s="1"/>
  <c r="E593" i="35"/>
  <c r="F593" i="35" s="1"/>
  <c r="E488" i="35"/>
  <c r="E147" i="35"/>
  <c r="F147" i="35" s="1"/>
  <c r="E490" i="35"/>
  <c r="E493" i="35"/>
  <c r="F493" i="35" s="1"/>
  <c r="E497" i="35"/>
  <c r="F497" i="35" s="1"/>
  <c r="E498" i="35"/>
  <c r="E499" i="35"/>
  <c r="E473" i="35"/>
  <c r="F473" i="35" s="1"/>
  <c r="E313" i="35"/>
  <c r="F313" i="35" s="1"/>
  <c r="E314" i="35"/>
  <c r="F314" i="35" s="1"/>
  <c r="E500" i="35"/>
  <c r="F500" i="35" s="1"/>
  <c r="E501" i="35"/>
  <c r="E487" i="35"/>
  <c r="F487" i="35" s="1"/>
  <c r="E486" i="35"/>
  <c r="F486" i="35" s="1"/>
  <c r="E665" i="35"/>
  <c r="F665" i="35" s="1"/>
  <c r="E668" i="35"/>
  <c r="E669" i="35"/>
  <c r="E653" i="35"/>
  <c r="F653" i="35" s="1"/>
  <c r="E284" i="35"/>
  <c r="F284" i="35" s="1"/>
  <c r="E427" i="35"/>
  <c r="F427" i="35" s="1"/>
  <c r="E684" i="35"/>
  <c r="F684" i="35" s="1"/>
  <c r="E175" i="35"/>
  <c r="F175" i="35" s="1"/>
  <c r="E176" i="35"/>
  <c r="F176" i="35" s="1"/>
  <c r="E553" i="35"/>
  <c r="F553" i="35" s="1"/>
  <c r="E554" i="35"/>
  <c r="F554" i="35" s="1"/>
  <c r="E42" i="35"/>
  <c r="E24" i="35"/>
  <c r="F24" i="35" s="1"/>
  <c r="E522" i="35"/>
  <c r="F522" i="35" s="1"/>
  <c r="E341" i="35"/>
  <c r="F341" i="35" s="1"/>
  <c r="E423" i="35"/>
  <c r="F423" i="35" s="1"/>
  <c r="E512" i="35"/>
  <c r="F512" i="35" s="1"/>
  <c r="E513" i="35"/>
  <c r="F513" i="35" s="1"/>
  <c r="E294" i="35"/>
  <c r="F294" i="35" s="1"/>
  <c r="E568" i="35"/>
  <c r="E569" i="35"/>
  <c r="E178" i="35"/>
  <c r="E179" i="35"/>
  <c r="E606" i="35"/>
  <c r="F606" i="35" s="1"/>
  <c r="E365" i="35"/>
  <c r="F365" i="35" s="1"/>
  <c r="E366" i="35"/>
  <c r="F366" i="35" s="1"/>
  <c r="E438" i="35"/>
  <c r="E439" i="35"/>
  <c r="E442" i="35"/>
  <c r="E727" i="35"/>
  <c r="F727" i="35" s="1"/>
  <c r="E728" i="35"/>
  <c r="E729" i="35"/>
  <c r="E495" i="35"/>
  <c r="F495" i="35" s="1"/>
  <c r="E536" i="35"/>
  <c r="F536" i="35" s="1"/>
  <c r="E537" i="35"/>
  <c r="F537" i="35" s="1"/>
  <c r="E641" i="35"/>
  <c r="F641" i="35" s="1"/>
  <c r="E329" i="35"/>
  <c r="F329" i="35" s="1"/>
  <c r="E102" i="35"/>
  <c r="E707" i="35"/>
  <c r="F707" i="35" s="1"/>
  <c r="E708" i="35"/>
  <c r="E515" i="35"/>
  <c r="F515" i="35" s="1"/>
  <c r="E68" i="35"/>
  <c r="E632" i="35"/>
  <c r="F632" i="35" s="1"/>
  <c r="E222" i="35"/>
  <c r="F222" i="35" s="1"/>
  <c r="E432" i="35"/>
  <c r="F432" i="35" s="1"/>
  <c r="E433" i="35"/>
  <c r="F433" i="35" s="1"/>
  <c r="E184" i="35"/>
  <c r="F184" i="35" s="1"/>
  <c r="E43" i="35"/>
  <c r="F43" i="35" s="1"/>
  <c r="E19" i="35"/>
  <c r="F19" i="35" s="1"/>
  <c r="E360" i="35"/>
  <c r="F360" i="35" s="1"/>
  <c r="E330" i="35"/>
  <c r="E331" i="35"/>
  <c r="E494" i="35"/>
  <c r="F494" i="35" s="1"/>
  <c r="E517" i="35"/>
  <c r="F517" i="35" s="1"/>
  <c r="E80" i="35"/>
  <c r="F80" i="35" s="1"/>
  <c r="E81" i="35"/>
  <c r="F81" i="35" s="1"/>
  <c r="E470" i="35"/>
  <c r="F470" i="35" s="1"/>
  <c r="E434" i="35"/>
  <c r="F434" i="35" s="1"/>
  <c r="E482" i="35"/>
  <c r="E483" i="35"/>
  <c r="F483" i="35" s="1"/>
  <c r="E491" i="35"/>
  <c r="E492" i="35"/>
  <c r="E645" i="35"/>
  <c r="F645" i="35" s="1"/>
  <c r="E555" i="35"/>
  <c r="F555" i="35" s="1"/>
  <c r="E734" i="35"/>
  <c r="F734" i="35" s="1"/>
  <c r="E160" i="35"/>
  <c r="F160" i="35" s="1"/>
  <c r="E162" i="35"/>
  <c r="F162" i="35" s="1"/>
  <c r="E163" i="35"/>
  <c r="F163" i="35" s="1"/>
  <c r="E543" i="35"/>
  <c r="F543" i="35" s="1"/>
  <c r="E544" i="35"/>
  <c r="F544" i="35" s="1"/>
  <c r="E533" i="35"/>
  <c r="F533" i="35" s="1"/>
  <c r="E616" i="35"/>
  <c r="F616" i="35" s="1"/>
  <c r="E650" i="35"/>
  <c r="F650" i="35" s="1"/>
  <c r="E651" i="35"/>
  <c r="F651" i="35" s="1"/>
  <c r="E584" i="35"/>
  <c r="F584" i="35" s="1"/>
  <c r="E585" i="35"/>
  <c r="F585" i="35" s="1"/>
  <c r="E469" i="35"/>
  <c r="E652" i="35"/>
  <c r="E583" i="35"/>
  <c r="F583" i="35" s="1"/>
  <c r="E648" i="35"/>
  <c r="E649" i="35"/>
  <c r="E580" i="35"/>
  <c r="E605" i="35"/>
  <c r="F605" i="35" s="1"/>
  <c r="E624" i="35"/>
  <c r="F624" i="35" s="1"/>
  <c r="E4" i="35"/>
  <c r="F4" i="35" s="1"/>
  <c r="E5" i="35"/>
  <c r="F5" i="35" s="1"/>
  <c r="E534" i="35"/>
  <c r="F534" i="35" s="1"/>
  <c r="E538" i="35"/>
  <c r="E539" i="35"/>
  <c r="E304" i="35"/>
  <c r="F304" i="35" s="1"/>
  <c r="E22" i="35"/>
  <c r="F22" i="35" s="1"/>
  <c r="E231" i="35"/>
  <c r="F231" i="35" s="1"/>
  <c r="E225" i="35"/>
  <c r="F225" i="35" s="1"/>
  <c r="E226" i="35"/>
  <c r="F226" i="35" s="1"/>
  <c r="E514" i="35"/>
  <c r="F514" i="35" s="1"/>
  <c r="E527" i="35"/>
  <c r="F527" i="35" s="1"/>
  <c r="E528" i="35"/>
  <c r="E575" i="35"/>
  <c r="F575" i="35" s="1"/>
  <c r="E576" i="35"/>
  <c r="F576" i="35" s="1"/>
  <c r="E531" i="35"/>
  <c r="E532" i="35"/>
  <c r="E400" i="35"/>
  <c r="E401" i="35"/>
  <c r="F401" i="35" s="1"/>
  <c r="E535" i="35"/>
  <c r="F535" i="35" s="1"/>
  <c r="E613" i="35"/>
  <c r="F613" i="35" s="1"/>
  <c r="E614" i="35"/>
  <c r="F614" i="35" s="1"/>
  <c r="E573" i="35"/>
  <c r="F573" i="35" s="1"/>
  <c r="E574" i="35"/>
  <c r="F574" i="35" s="1"/>
  <c r="E748" i="35"/>
  <c r="E749" i="35"/>
  <c r="E578" i="35"/>
  <c r="E579" i="35"/>
  <c r="E218" i="35"/>
  <c r="F218" i="35" s="1"/>
  <c r="E219" i="35"/>
  <c r="F219" i="35" s="1"/>
  <c r="E601" i="35"/>
  <c r="F601" i="35" s="1"/>
  <c r="E577" i="35"/>
  <c r="F577" i="35" s="1"/>
  <c r="E581" i="35"/>
  <c r="F581" i="35" s="1"/>
  <c r="E582" i="35"/>
  <c r="F582" i="35" s="1"/>
  <c r="E594" i="35"/>
  <c r="F594" i="35" s="1"/>
  <c r="E595" i="35"/>
  <c r="F595" i="35" s="1"/>
  <c r="E590" i="35"/>
  <c r="F590" i="35" s="1"/>
  <c r="E598" i="35"/>
  <c r="E599" i="35"/>
  <c r="E600" i="35"/>
  <c r="F600" i="35" s="1"/>
  <c r="E596" i="35"/>
  <c r="F596" i="35" s="1"/>
  <c r="E597" i="35"/>
  <c r="F597" i="35" s="1"/>
  <c r="E602" i="35"/>
  <c r="F602" i="35" s="1"/>
  <c r="E48" i="35"/>
  <c r="F48" i="35" s="1"/>
  <c r="E305" i="35"/>
  <c r="F305" i="35" s="1"/>
  <c r="E182" i="35"/>
  <c r="E183" i="35"/>
  <c r="F183" i="35" s="1"/>
  <c r="E108" i="35"/>
  <c r="F108" i="35" s="1"/>
  <c r="E70" i="35"/>
  <c r="F70" i="35" s="1"/>
  <c r="E114" i="35"/>
  <c r="F114" i="35" s="1"/>
  <c r="E589" i="35"/>
  <c r="E56" i="35"/>
  <c r="F56" i="35" s="1"/>
  <c r="E51" i="35"/>
  <c r="F51" i="35" s="1"/>
  <c r="E634" i="35"/>
  <c r="F634" i="35" s="1"/>
  <c r="E635" i="35"/>
  <c r="F635" i="35" s="1"/>
  <c r="E259" i="35"/>
  <c r="E704" i="35"/>
  <c r="F704" i="35" s="1"/>
  <c r="E381" i="35"/>
  <c r="F381" i="35" s="1"/>
  <c r="E695" i="35"/>
  <c r="F695" i="35" s="1"/>
  <c r="E658" i="35"/>
  <c r="F658" i="35" s="1"/>
  <c r="E659" i="35"/>
  <c r="E660" i="35"/>
  <c r="F660" i="35" s="1"/>
  <c r="E620" i="35"/>
  <c r="F620" i="35" s="1"/>
  <c r="E621" i="35"/>
  <c r="E644" i="35"/>
  <c r="F644" i="35" s="1"/>
  <c r="E646" i="35"/>
  <c r="F646" i="35" s="1"/>
  <c r="E631" i="35"/>
  <c r="E636" i="35"/>
  <c r="F636" i="35" s="1"/>
  <c r="E637" i="35"/>
  <c r="F637" i="35" s="1"/>
  <c r="E444" i="35"/>
  <c r="F444" i="35" s="1"/>
  <c r="E320" i="35"/>
  <c r="F320" i="35" s="1"/>
  <c r="E310" i="35"/>
  <c r="F310" i="35" s="1"/>
  <c r="E316" i="35"/>
  <c r="F316" i="35" s="1"/>
  <c r="E327" i="35"/>
  <c r="F327" i="35" s="1"/>
  <c r="E328" i="35"/>
  <c r="E325" i="35"/>
  <c r="F325" i="35" s="1"/>
  <c r="E326" i="35"/>
  <c r="F326" i="35" s="1"/>
  <c r="E319" i="35"/>
  <c r="E322" i="35"/>
  <c r="F322" i="35" s="1"/>
  <c r="E317" i="35"/>
  <c r="F317" i="35" s="1"/>
  <c r="E318" i="35"/>
  <c r="E32" i="35"/>
  <c r="F32" i="35" s="1"/>
  <c r="E174" i="35"/>
  <c r="F174" i="35" s="1"/>
  <c r="E476" i="35"/>
  <c r="F476" i="35" s="1"/>
  <c r="E477" i="35"/>
  <c r="F477" i="35" s="1"/>
  <c r="E311" i="35"/>
  <c r="E489" i="35"/>
  <c r="E332" i="35"/>
  <c r="E471" i="35"/>
  <c r="F471" i="35" s="1"/>
  <c r="E312" i="35"/>
  <c r="F312" i="35" s="1"/>
  <c r="E315" i="35"/>
  <c r="F315" i="35" s="1"/>
  <c r="E467" i="35"/>
  <c r="F467" i="35" s="1"/>
  <c r="E202" i="35"/>
  <c r="F202" i="35" s="1"/>
  <c r="E193" i="35"/>
  <c r="F193" i="35" s="1"/>
  <c r="E657" i="35"/>
  <c r="F657" i="35" s="1"/>
  <c r="E127" i="35"/>
  <c r="F127" i="35" s="1"/>
  <c r="E128" i="35"/>
  <c r="E235" i="35"/>
  <c r="F235" i="35" s="1"/>
  <c r="E236" i="35"/>
  <c r="F236" i="35" s="1"/>
  <c r="E303" i="35"/>
  <c r="F303" i="35" s="1"/>
  <c r="E450" i="35"/>
  <c r="F450" i="35" s="1"/>
  <c r="E673" i="35"/>
  <c r="F673" i="35" s="1"/>
  <c r="E674" i="35"/>
  <c r="F674" i="35" s="1"/>
  <c r="E106" i="35"/>
  <c r="F106" i="35" s="1"/>
  <c r="E107" i="35"/>
  <c r="F107" i="35" s="1"/>
  <c r="E678" i="35"/>
  <c r="F678" i="35" s="1"/>
  <c r="E683" i="35"/>
  <c r="F683" i="35" s="1"/>
  <c r="E290" i="35"/>
  <c r="E745" i="35"/>
  <c r="F745" i="35" s="1"/>
  <c r="E783" i="35"/>
  <c r="F783" i="35" s="1"/>
  <c r="E95" i="35"/>
  <c r="F95" i="35" s="1"/>
  <c r="E863" i="35"/>
  <c r="F863" i="35" s="1"/>
  <c r="E864" i="35"/>
  <c r="F864" i="35" s="1"/>
  <c r="E691" i="35"/>
  <c r="E692" i="35"/>
  <c r="E27" i="35"/>
  <c r="F27" i="35" s="1"/>
  <c r="E764" i="35"/>
  <c r="F764" i="35" s="1"/>
  <c r="E835" i="35"/>
  <c r="F835" i="35" s="1"/>
  <c r="E870" i="35"/>
  <c r="F870" i="35" s="1"/>
  <c r="E871" i="35"/>
  <c r="F871" i="35" s="1"/>
  <c r="E880" i="35"/>
  <c r="F880" i="35" s="1"/>
  <c r="E61" i="35"/>
  <c r="F61" i="35" s="1"/>
  <c r="E62" i="35"/>
  <c r="F62" i="35" s="1"/>
  <c r="E793" i="35"/>
  <c r="F793" i="35" s="1"/>
  <c r="E794" i="35"/>
  <c r="F794" i="35" s="1"/>
  <c r="E881" i="35"/>
  <c r="E815" i="35"/>
  <c r="F815" i="35" s="1"/>
  <c r="E816" i="35"/>
  <c r="F816" i="35" s="1"/>
  <c r="E854" i="35"/>
  <c r="F854" i="35" s="1"/>
  <c r="E392" i="35"/>
  <c r="F392" i="35" s="1"/>
  <c r="E559" i="35"/>
  <c r="F559" i="35" s="1"/>
  <c r="E104" i="35"/>
  <c r="F104" i="35" s="1"/>
  <c r="E105" i="35"/>
  <c r="F105" i="35" s="1"/>
  <c r="E93" i="35"/>
  <c r="F93" i="35" s="1"/>
  <c r="E275" i="35"/>
  <c r="F275" i="35" s="1"/>
  <c r="E276" i="35"/>
  <c r="F276" i="35" s="1"/>
  <c r="E869" i="35"/>
  <c r="F869" i="35" s="1"/>
  <c r="E760" i="35"/>
  <c r="E817" i="35"/>
  <c r="F817" i="35" s="1"/>
  <c r="E566" i="35"/>
  <c r="F566" i="35" s="1"/>
  <c r="E118" i="35"/>
  <c r="E256" i="35"/>
  <c r="F256" i="35" s="1"/>
  <c r="E257" i="35"/>
  <c r="F257" i="35" s="1"/>
  <c r="E459" i="35"/>
  <c r="E460" i="35"/>
  <c r="E461" i="35"/>
  <c r="E465" i="35"/>
  <c r="F465" i="35" s="1"/>
  <c r="E679" i="35"/>
  <c r="E680" i="35"/>
  <c r="F680" i="35" s="1"/>
  <c r="E721" i="35"/>
  <c r="F721" i="35" s="1"/>
  <c r="E722" i="35"/>
  <c r="F722" i="35" s="1"/>
  <c r="E735" i="35"/>
  <c r="F735" i="35" s="1"/>
  <c r="E736" i="35"/>
  <c r="F736" i="35" s="1"/>
  <c r="E306" i="35"/>
  <c r="F306" i="35" s="1"/>
  <c r="E758" i="35"/>
  <c r="E759" i="35"/>
  <c r="E212" i="35"/>
  <c r="F212" i="35" s="1"/>
  <c r="E213" i="35"/>
  <c r="F213" i="35" s="1"/>
  <c r="E825" i="35"/>
  <c r="F825" i="35" s="1"/>
  <c r="E696" i="35"/>
  <c r="F696" i="35" s="1"/>
  <c r="E546" i="35"/>
  <c r="F546" i="35" s="1"/>
  <c r="E547" i="35"/>
  <c r="F547" i="35" s="1"/>
  <c r="E842" i="35"/>
  <c r="F842" i="35" s="1"/>
  <c r="E447" i="35"/>
  <c r="F447" i="35" s="1"/>
  <c r="E698" i="35"/>
  <c r="F698" i="35" s="1"/>
  <c r="E558" i="35"/>
  <c r="E557" i="35"/>
  <c r="F557" i="35" s="1"/>
  <c r="E88" i="35"/>
  <c r="E89" i="35"/>
  <c r="E237" i="35"/>
  <c r="F237" i="35" s="1"/>
  <c r="E238" i="35"/>
  <c r="F238" i="35" s="1"/>
  <c r="E126" i="35"/>
  <c r="F126" i="35" s="1"/>
  <c r="E448" i="35"/>
  <c r="E496" i="35"/>
  <c r="F496" i="35" s="1"/>
  <c r="E285" i="35"/>
  <c r="F285" i="35" s="1"/>
  <c r="E67" i="35"/>
  <c r="F67" i="35" s="1"/>
  <c r="E560" i="35"/>
  <c r="E472" i="35"/>
  <c r="E468" i="35"/>
  <c r="F468" i="35" s="1"/>
  <c r="E451" i="35"/>
  <c r="F451" i="35" s="1"/>
  <c r="E452" i="35"/>
  <c r="F452" i="35" s="1"/>
  <c r="E239" i="35"/>
  <c r="E240" i="35"/>
  <c r="F240" i="35" s="1"/>
  <c r="E699" i="35"/>
  <c r="F699" i="35" s="1"/>
  <c r="E548" i="35"/>
  <c r="F548" i="35" s="1"/>
  <c r="E858" i="35"/>
  <c r="E859" i="35"/>
  <c r="E860" i="35"/>
  <c r="E850" i="35"/>
  <c r="F850" i="35" s="1"/>
  <c r="E762" i="35"/>
  <c r="F762" i="35" s="1"/>
  <c r="E845" i="35"/>
  <c r="F845" i="35" s="1"/>
  <c r="E847" i="35"/>
  <c r="F847" i="35" s="1"/>
  <c r="E848" i="35"/>
  <c r="E849" i="35"/>
  <c r="E855" i="35"/>
  <c r="F855" i="35" s="1"/>
  <c r="E856" i="35"/>
  <c r="F856" i="35" s="1"/>
  <c r="E853" i="35"/>
  <c r="F853" i="35" s="1"/>
  <c r="E851" i="35"/>
  <c r="E852" i="35"/>
  <c r="F852" i="35" s="1"/>
  <c r="E753" i="35"/>
  <c r="F753" i="35" s="1"/>
  <c r="E561" i="35"/>
  <c r="F561" i="35" s="1"/>
  <c r="E502" i="35"/>
  <c r="F502" i="35" s="1"/>
  <c r="E511" i="35"/>
  <c r="F511" i="35" s="1"/>
  <c r="E134" i="35"/>
  <c r="F134" i="35" s="1"/>
  <c r="E241" i="35"/>
  <c r="F241" i="35" s="1"/>
  <c r="E29" i="35"/>
  <c r="F29" i="35" s="1"/>
  <c r="E446" i="35"/>
  <c r="F446" i="35" s="1"/>
  <c r="E323" i="35"/>
  <c r="F323" i="35" s="1"/>
  <c r="E324" i="35"/>
  <c r="F324" i="35" s="1"/>
  <c r="E509" i="35"/>
  <c r="F509" i="35" s="1"/>
  <c r="E355" i="35"/>
  <c r="F355" i="35" s="1"/>
  <c r="E356" i="35"/>
  <c r="F356" i="35" s="1"/>
  <c r="E111" i="35"/>
  <c r="F111" i="35" s="1"/>
  <c r="E86" i="35"/>
  <c r="F86" i="35" s="1"/>
  <c r="E622" i="35"/>
  <c r="E623" i="35"/>
  <c r="F623" i="35" s="1"/>
  <c r="E129" i="35"/>
  <c r="F129" i="35" s="1"/>
  <c r="E702" i="35"/>
  <c r="E703" i="35"/>
  <c r="F703" i="35" s="1"/>
  <c r="E253" i="35"/>
  <c r="F253" i="35" s="1"/>
  <c r="E10" i="35"/>
  <c r="E11" i="35"/>
  <c r="E838" i="35"/>
  <c r="E839" i="35"/>
  <c r="E462" i="35"/>
  <c r="E861" i="35"/>
  <c r="E862" i="35"/>
  <c r="E520" i="35"/>
  <c r="E521" i="35"/>
  <c r="F521" i="35" s="1"/>
  <c r="E618" i="35"/>
  <c r="F618" i="35" s="1"/>
  <c r="E619" i="35"/>
  <c r="E663" i="35"/>
  <c r="F663" i="35" s="1"/>
  <c r="E664" i="35"/>
  <c r="F664" i="35" s="1"/>
  <c r="E612" i="35"/>
  <c r="E408" i="35"/>
  <c r="E633" i="35"/>
  <c r="F633" i="35" s="1"/>
  <c r="E654" i="35"/>
  <c r="F654" i="35" s="1"/>
  <c r="E655" i="35"/>
  <c r="F655" i="35" s="1"/>
  <c r="E656" i="35"/>
  <c r="F656" i="35" s="1"/>
  <c r="E629" i="35"/>
  <c r="F629" i="35" s="1"/>
  <c r="E630" i="35"/>
  <c r="F630" i="35" s="1"/>
  <c r="E549" i="35"/>
  <c r="F549" i="35" s="1"/>
  <c r="E550" i="35"/>
  <c r="F550" i="35" s="1"/>
  <c r="E454" i="35"/>
  <c r="F454" i="35" s="1"/>
  <c r="E455" i="35"/>
  <c r="F455" i="35" s="1"/>
  <c r="E563" i="35"/>
  <c r="F563" i="35" s="1"/>
  <c r="E564" i="35"/>
  <c r="F564" i="35" s="1"/>
  <c r="E245" i="35"/>
  <c r="F245" i="35" s="1"/>
  <c r="E723" i="35"/>
  <c r="F723" i="35" s="1"/>
  <c r="E47" i="35"/>
  <c r="F47" i="35" s="1"/>
  <c r="E230" i="35"/>
  <c r="F230" i="35" s="1"/>
  <c r="E124" i="35"/>
  <c r="F124" i="35" s="1"/>
  <c r="E428" i="35"/>
  <c r="E247" i="35"/>
  <c r="F247" i="35" s="1"/>
  <c r="E265" i="35"/>
  <c r="F265" i="35" s="1"/>
  <c r="E266" i="35"/>
  <c r="F266" i="35" s="1"/>
  <c r="E246" i="35"/>
  <c r="F246" i="35" s="1"/>
  <c r="E73" i="35"/>
  <c r="F73" i="35" s="1"/>
  <c r="E74" i="35"/>
  <c r="F74" i="35" s="1"/>
  <c r="E75" i="35"/>
  <c r="F75" i="35" s="1"/>
  <c r="E733" i="35"/>
  <c r="F733" i="35" s="1"/>
  <c r="E730" i="35"/>
  <c r="F730" i="35" s="1"/>
  <c r="E731" i="35"/>
  <c r="F731" i="35" s="1"/>
  <c r="E710" i="35"/>
  <c r="E34" i="35"/>
  <c r="F34" i="35" s="1"/>
  <c r="E426" i="35"/>
  <c r="F426" i="35" s="1"/>
  <c r="E412" i="35"/>
  <c r="E413" i="35"/>
  <c r="F413" i="35" s="1"/>
  <c r="E457" i="35"/>
  <c r="F457" i="35" s="1"/>
  <c r="E458" i="35"/>
  <c r="F458" i="35" s="1"/>
  <c r="E415" i="35"/>
  <c r="F415" i="35" s="1"/>
  <c r="E429" i="35"/>
  <c r="E248" i="35"/>
  <c r="E249" i="35"/>
  <c r="E570" i="35"/>
  <c r="E518" i="35"/>
  <c r="E571" i="35"/>
  <c r="E169" i="35"/>
  <c r="F169" i="35" s="1"/>
  <c r="E170" i="35"/>
  <c r="F170" i="35" s="1"/>
  <c r="E474" i="35"/>
  <c r="F474" i="35" s="1"/>
  <c r="E507" i="35"/>
  <c r="F507" i="35" s="1"/>
  <c r="E508" i="35"/>
  <c r="F508" i="35" s="1"/>
  <c r="E741" i="35"/>
  <c r="F741" i="35" s="1"/>
  <c r="E742" i="35"/>
  <c r="E743" i="35"/>
  <c r="F743" i="35" s="1"/>
  <c r="E49" i="35"/>
  <c r="E50" i="35"/>
  <c r="E744" i="35"/>
  <c r="F744" i="35" s="1"/>
  <c r="E242" i="35"/>
  <c r="F242" i="35" s="1"/>
  <c r="E243" i="35"/>
  <c r="F243" i="35" s="1"/>
  <c r="E78" i="35"/>
  <c r="E445" i="35"/>
  <c r="F445" i="35" s="1"/>
  <c r="E63" i="35"/>
  <c r="F63" i="35" s="1"/>
  <c r="E185" i="35"/>
  <c r="F185" i="35" s="1"/>
  <c r="E688" i="35"/>
  <c r="E689" i="35"/>
  <c r="E399" i="35"/>
  <c r="E846" i="35"/>
  <c r="F846" i="35" s="1"/>
  <c r="E857" i="35"/>
  <c r="F857" i="35" s="1"/>
  <c r="E672" i="35"/>
  <c r="F672" i="35" s="1"/>
  <c r="E510" i="35"/>
  <c r="F510" i="35" s="1"/>
  <c r="E12" i="35"/>
  <c r="F12" i="35" s="1"/>
  <c r="G39" i="33" l="1"/>
  <c r="DT38" i="31"/>
  <c r="BU38" i="31"/>
  <c r="DJ38" i="31"/>
  <c r="CA38" i="31"/>
  <c r="DR38" i="31" s="1"/>
  <c r="DS38" i="31" s="1"/>
  <c r="AO39" i="33"/>
  <c r="AM39" i="33"/>
  <c r="AU69" i="33"/>
  <c r="M93" i="51" s="1"/>
  <c r="CP69" i="33"/>
  <c r="F39" i="33"/>
  <c r="T38" i="31"/>
  <c r="U39" i="33"/>
  <c r="AH39" i="33"/>
  <c r="C38" i="31"/>
  <c r="C39" i="33" s="1"/>
  <c r="Z69" i="33"/>
  <c r="K93" i="51" s="1"/>
  <c r="AF69" i="33"/>
  <c r="AS69" i="33"/>
  <c r="F89" i="35"/>
  <c r="F599" i="35"/>
  <c r="F809" i="35"/>
  <c r="F179" i="35"/>
  <c r="F669" i="35"/>
  <c r="F499" i="35"/>
  <c r="F369" i="35"/>
  <c r="F829" i="35"/>
  <c r="F309" i="35"/>
  <c r="F520" i="35"/>
  <c r="F702" i="35"/>
  <c r="F399" i="35"/>
  <c r="F50" i="35"/>
  <c r="F571" i="35"/>
  <c r="F412" i="35"/>
  <c r="F862" i="35"/>
  <c r="F859" i="35"/>
  <c r="F560" i="35"/>
  <c r="F128" i="35"/>
  <c r="F489" i="35"/>
  <c r="F631" i="35"/>
  <c r="F578" i="35"/>
  <c r="F532" i="35"/>
  <c r="F649" i="35"/>
  <c r="F689" i="35"/>
  <c r="F49" i="35"/>
  <c r="F518" i="35"/>
  <c r="F742" i="35"/>
  <c r="F249" i="35"/>
  <c r="F710" i="35"/>
  <c r="F612" i="35"/>
  <c r="F839" i="35"/>
  <c r="F849" i="35"/>
  <c r="F459" i="35"/>
  <c r="F691" i="35"/>
  <c r="F621" i="35"/>
  <c r="F538" i="35"/>
  <c r="F652" i="35"/>
  <c r="F102" i="35"/>
  <c r="F439" i="35"/>
  <c r="F501" i="35"/>
  <c r="F751" i="35"/>
  <c r="F370" i="35"/>
  <c r="F372" i="35"/>
  <c r="F13" i="35"/>
  <c r="F879" i="35"/>
  <c r="F321" i="35"/>
  <c r="F100" i="35"/>
  <c r="F712" i="35"/>
  <c r="F98" i="35"/>
  <c r="F291" i="35"/>
  <c r="F248" i="35"/>
  <c r="F428" i="35"/>
  <c r="F838" i="35"/>
  <c r="F848" i="35"/>
  <c r="F448" i="35"/>
  <c r="F528" i="35"/>
  <c r="F469" i="35"/>
  <c r="F438" i="35"/>
  <c r="F488" i="35"/>
  <c r="F388" i="35"/>
  <c r="F69" i="35"/>
  <c r="F878" i="35"/>
  <c r="F288" i="35"/>
  <c r="F229" i="35"/>
  <c r="F449" i="35"/>
  <c r="F409" i="35"/>
  <c r="F740" i="35"/>
  <c r="F148" i="35"/>
  <c r="F779" i="35"/>
  <c r="F429" i="35"/>
  <c r="F11" i="35"/>
  <c r="F239" i="35"/>
  <c r="F349" i="35"/>
  <c r="F149" i="35"/>
  <c r="F268" i="35"/>
  <c r="F418" i="35"/>
  <c r="F78" i="35"/>
  <c r="F619" i="35"/>
  <c r="F10" i="35"/>
  <c r="F118" i="35"/>
  <c r="F318" i="35"/>
  <c r="F659" i="35"/>
  <c r="F589" i="35"/>
  <c r="F358" i="35"/>
  <c r="F798" i="35"/>
  <c r="F38" i="35"/>
  <c r="F299" i="35"/>
  <c r="F279" i="35"/>
  <c r="F628" i="35"/>
  <c r="F479" i="35"/>
  <c r="F99" i="35"/>
  <c r="F18" i="35"/>
  <c r="F688" i="35"/>
  <c r="F570" i="35"/>
  <c r="F408" i="35"/>
  <c r="F462" i="35"/>
  <c r="F622" i="35"/>
  <c r="F758" i="35"/>
  <c r="F460" i="35"/>
  <c r="F692" i="35"/>
  <c r="F328" i="35"/>
  <c r="F748" i="35"/>
  <c r="F539" i="35"/>
  <c r="F482" i="35"/>
  <c r="F442" i="35"/>
  <c r="F490" i="35"/>
  <c r="F810" i="35"/>
  <c r="F830" i="35"/>
  <c r="F480" i="35"/>
  <c r="F609" i="35"/>
  <c r="F192" i="35"/>
  <c r="F180" i="35"/>
  <c r="F866" i="35"/>
  <c r="F269" i="35"/>
  <c r="F191" i="35"/>
  <c r="F588" i="35"/>
  <c r="F441" i="35"/>
  <c r="F172" i="35"/>
  <c r="F840" i="35"/>
  <c r="F79" i="35"/>
  <c r="F800" i="35"/>
  <c r="F802" i="35"/>
  <c r="F851" i="35"/>
  <c r="F860" i="35"/>
  <c r="F472" i="35"/>
  <c r="F88" i="35"/>
  <c r="F679" i="35"/>
  <c r="F760" i="35"/>
  <c r="F290" i="35"/>
  <c r="F332" i="35"/>
  <c r="F319" i="35"/>
  <c r="F598" i="35"/>
  <c r="F579" i="35"/>
  <c r="F400" i="35"/>
  <c r="F580" i="35"/>
  <c r="F492" i="35"/>
  <c r="F331" i="35"/>
  <c r="F68" i="35"/>
  <c r="F729" i="35"/>
  <c r="F178" i="35"/>
  <c r="F42" i="35"/>
  <c r="F668" i="35"/>
  <c r="F498" i="35"/>
  <c r="F682" i="35"/>
  <c r="F380" i="35"/>
  <c r="F832" i="35"/>
  <c r="F808" i="35"/>
  <c r="F368" i="35"/>
  <c r="F398" i="35"/>
  <c r="F882" i="35"/>
  <c r="F351" i="35"/>
  <c r="F770" i="35"/>
  <c r="F271" i="35"/>
  <c r="F530" i="35"/>
  <c r="F671" i="35"/>
  <c r="F308" i="35"/>
  <c r="F138" i="35"/>
  <c r="F348" i="35"/>
  <c r="F258" i="35"/>
  <c r="F141" i="35"/>
  <c r="F58" i="35"/>
  <c r="F39" i="35"/>
  <c r="F818" i="35"/>
  <c r="F209" i="35"/>
  <c r="F491" i="35"/>
  <c r="F330" i="35"/>
  <c r="F728" i="35"/>
  <c r="F569" i="35"/>
  <c r="F681" i="35"/>
  <c r="F389" i="35"/>
  <c r="F338" i="35"/>
  <c r="F379" i="35"/>
  <c r="F362" i="35"/>
  <c r="F342" i="35"/>
  <c r="F831" i="35"/>
  <c r="F769" i="35"/>
  <c r="F812" i="35"/>
  <c r="F790" i="35"/>
  <c r="F82" i="35"/>
  <c r="F280" i="35"/>
  <c r="F529" i="35"/>
  <c r="F638" i="35"/>
  <c r="F188" i="35"/>
  <c r="F110" i="35"/>
  <c r="F709" i="35"/>
  <c r="F221" i="35"/>
  <c r="F778" i="35"/>
  <c r="F339" i="35"/>
  <c r="F861" i="35"/>
  <c r="F858" i="35"/>
  <c r="F558" i="35"/>
  <c r="F759" i="35"/>
  <c r="F461" i="35"/>
  <c r="F881" i="35"/>
  <c r="F311" i="35"/>
  <c r="F259" i="35"/>
  <c r="F182" i="35"/>
  <c r="F749" i="35"/>
  <c r="F531" i="35"/>
  <c r="F648" i="35"/>
  <c r="F708" i="35"/>
  <c r="F568" i="35"/>
  <c r="F378" i="35"/>
  <c r="F391" i="35"/>
  <c r="F359" i="35"/>
  <c r="F828" i="35"/>
  <c r="F158" i="35"/>
  <c r="F768" i="35"/>
  <c r="F430" i="35"/>
  <c r="F282" i="35"/>
  <c r="F819" i="35"/>
  <c r="F422" i="35"/>
  <c r="F302" i="35"/>
  <c r="F190" i="35"/>
  <c r="F610" i="35"/>
  <c r="F204" i="35"/>
  <c r="F504" i="35"/>
  <c r="F789" i="35"/>
  <c r="F627" i="35"/>
  <c r="F154" i="35"/>
  <c r="F25" i="35"/>
  <c r="F485" i="35"/>
  <c r="F587" i="35"/>
  <c r="F171" i="35"/>
  <c r="F421" i="35"/>
  <c r="F567" i="35"/>
  <c r="F206" i="35"/>
  <c r="F799" i="35"/>
  <c r="F7" i="35"/>
  <c r="F841" i="35"/>
  <c r="F786" i="35"/>
  <c r="F519" i="35"/>
  <c r="F94" i="35"/>
  <c r="F572" i="35"/>
  <c r="F737" i="35"/>
  <c r="F272" i="35"/>
  <c r="F261" i="35"/>
  <c r="F252" i="35"/>
  <c r="F55" i="35"/>
  <c r="F40" i="35"/>
  <c r="F177" i="35"/>
  <c r="F30" i="35"/>
  <c r="F17" i="35"/>
  <c r="DU38" i="31" l="1"/>
  <c r="DW38" i="31" s="1"/>
  <c r="BW38" i="31"/>
  <c r="BY38" i="31" s="1"/>
  <c r="CY39" i="33"/>
  <c r="AS39" i="33"/>
  <c r="AF39" i="33"/>
  <c r="BZ38" i="31"/>
  <c r="AA38" i="31"/>
  <c r="AC38" i="31" s="1"/>
  <c r="AD39" i="33" s="1"/>
  <c r="CY68" i="40"/>
  <c r="C68" i="40"/>
  <c r="K46" i="51"/>
  <c r="AG38" i="31"/>
  <c r="AF38" i="31"/>
  <c r="Y38" i="31"/>
  <c r="CB38" i="31" s="1"/>
  <c r="Z39" i="33"/>
  <c r="AH38" i="31"/>
  <c r="AE39" i="33" s="1"/>
  <c r="AU38" i="31"/>
  <c r="AE38" i="31"/>
  <c r="AD38" i="31"/>
  <c r="CI39" i="33"/>
  <c r="BB39" i="33"/>
  <c r="CB39" i="33"/>
  <c r="AU39" i="33"/>
  <c r="M46" i="51" s="1"/>
  <c r="BU39" i="33"/>
  <c r="BP39" i="33"/>
  <c r="BI39" i="33"/>
  <c r="F1" i="35"/>
  <c r="D38" i="31" l="1"/>
  <c r="AN39" i="33"/>
  <c r="BX38" i="31"/>
  <c r="CF38" i="31"/>
  <c r="CG38" i="31" s="1"/>
  <c r="CH38" i="31"/>
  <c r="CI38" i="31" s="1"/>
  <c r="DW68" i="40"/>
  <c r="AA39" i="33" s="1"/>
  <c r="AB39" i="33"/>
  <c r="AC39" i="33" s="1"/>
  <c r="BM38" i="31"/>
  <c r="F553" i="45"/>
  <c r="H553" i="45"/>
  <c r="I553" i="45"/>
  <c r="H554" i="45"/>
  <c r="H552" i="45"/>
  <c r="H551" i="45"/>
  <c r="AA62" i="33"/>
  <c r="AA63" i="33"/>
  <c r="AA61" i="33"/>
  <c r="DX94" i="40"/>
  <c r="DY94" i="40"/>
  <c r="CA94" i="40"/>
  <c r="BU94" i="40"/>
  <c r="BR94" i="40"/>
  <c r="BO94" i="40"/>
  <c r="BL94" i="40"/>
  <c r="BI94" i="40"/>
  <c r="BF94" i="40"/>
  <c r="BC94" i="40"/>
  <c r="AZ94" i="40"/>
  <c r="AW94" i="40"/>
  <c r="F91" i="51"/>
  <c r="G91" i="51"/>
  <c r="H91" i="51"/>
  <c r="I91" i="51"/>
  <c r="J91" i="51"/>
  <c r="L91" i="51"/>
  <c r="A91" i="51"/>
  <c r="AH67" i="33"/>
  <c r="S67" i="33"/>
  <c r="T67" i="33"/>
  <c r="V67" i="33"/>
  <c r="AL26" i="33"/>
  <c r="AJ26" i="33"/>
  <c r="AL40" i="33"/>
  <c r="CO13" i="40"/>
  <c r="CN1" i="40"/>
  <c r="CP4" i="40"/>
  <c r="CU4" i="40" s="1"/>
  <c r="CP14" i="40"/>
  <c r="CU14" i="40" s="1"/>
  <c r="CP11" i="40"/>
  <c r="CU11" i="40" s="1"/>
  <c r="CP16" i="40"/>
  <c r="CU16" i="40" s="1"/>
  <c r="CP26" i="40"/>
  <c r="CU26" i="40" s="1"/>
  <c r="CP13" i="40"/>
  <c r="CU13" i="40" s="1"/>
  <c r="CP31" i="40"/>
  <c r="CU31" i="40" s="1"/>
  <c r="CP12" i="40"/>
  <c r="CU12" i="40" s="1"/>
  <c r="CP5" i="40"/>
  <c r="CP17" i="40"/>
  <c r="CU17" i="40" s="1"/>
  <c r="CP8" i="40"/>
  <c r="CU8" i="40" s="1"/>
  <c r="CP9" i="40"/>
  <c r="CU9" i="40" s="1"/>
  <c r="CP24" i="40"/>
  <c r="CU24" i="40" s="1"/>
  <c r="CP22" i="40"/>
  <c r="CU22" i="40" s="1"/>
  <c r="CP18" i="40"/>
  <c r="CU18" i="40" s="1"/>
  <c r="CP20" i="40"/>
  <c r="CU20" i="40" s="1"/>
  <c r="CP10" i="40"/>
  <c r="CU10" i="40" s="1"/>
  <c r="CP30" i="40"/>
  <c r="CU30" i="40" s="1"/>
  <c r="CP6" i="40"/>
  <c r="CU6" i="40" s="1"/>
  <c r="CP32" i="40"/>
  <c r="CU32" i="40" s="1"/>
  <c r="CP7" i="40"/>
  <c r="CP25" i="40"/>
  <c r="CU25" i="40" s="1"/>
  <c r="CP21" i="40"/>
  <c r="CU21" i="40" s="1"/>
  <c r="CP19" i="40"/>
  <c r="CP23" i="40"/>
  <c r="CU23" i="40" s="1"/>
  <c r="CP29" i="40"/>
  <c r="CU29" i="40" s="1"/>
  <c r="CP27" i="40"/>
  <c r="CU27" i="40" s="1"/>
  <c r="CP15" i="40"/>
  <c r="CU15" i="40" s="1"/>
  <c r="CO33" i="40"/>
  <c r="CP33" i="40"/>
  <c r="CU33" i="40" s="1"/>
  <c r="CP51" i="40"/>
  <c r="CU51" i="40" s="1"/>
  <c r="CP54" i="40"/>
  <c r="CU54" i="40" s="1"/>
  <c r="CP38" i="40"/>
  <c r="CO75" i="40"/>
  <c r="CP75" i="40"/>
  <c r="CO40" i="40"/>
  <c r="CP40" i="40"/>
  <c r="CU40" i="40" s="1"/>
  <c r="CP66" i="40"/>
  <c r="CO53" i="40"/>
  <c r="CP53" i="40"/>
  <c r="CO72" i="40"/>
  <c r="CP72" i="40"/>
  <c r="CU72" i="40" s="1"/>
  <c r="CO81" i="40"/>
  <c r="CP81" i="40"/>
  <c r="CO60" i="40"/>
  <c r="CP60" i="40"/>
  <c r="CO67" i="40"/>
  <c r="CP67" i="40"/>
  <c r="CO65" i="40"/>
  <c r="CP65" i="40"/>
  <c r="CP37" i="40"/>
  <c r="CP47" i="40"/>
  <c r="CO70" i="40"/>
  <c r="CP70" i="40"/>
  <c r="CO78" i="40"/>
  <c r="CP78" i="40"/>
  <c r="CO48" i="40"/>
  <c r="CP48" i="40"/>
  <c r="CO58" i="40"/>
  <c r="CP58" i="40"/>
  <c r="CO49" i="40"/>
  <c r="CP49" i="40"/>
  <c r="CU49" i="40" s="1"/>
  <c r="CO42" i="40"/>
  <c r="CP42" i="40"/>
  <c r="CP63" i="40"/>
  <c r="CO50" i="40"/>
  <c r="CP50" i="40"/>
  <c r="CO43" i="40"/>
  <c r="CP43" i="40"/>
  <c r="CO61" i="40"/>
  <c r="CP61" i="40"/>
  <c r="CO73" i="40"/>
  <c r="CP73" i="40"/>
  <c r="CO77" i="40"/>
  <c r="CP77" i="40"/>
  <c r="CO69" i="40"/>
  <c r="CP69" i="40"/>
  <c r="CO62" i="40"/>
  <c r="CP62" i="40"/>
  <c r="CO56" i="40"/>
  <c r="CP56" i="40"/>
  <c r="CU56" i="40" s="1"/>
  <c r="CP55" i="40"/>
  <c r="CU55" i="40" s="1"/>
  <c r="CO64" i="40"/>
  <c r="CP64" i="40"/>
  <c r="CP41" i="40"/>
  <c r="CO46" i="40"/>
  <c r="CP46" i="40"/>
  <c r="CO59" i="40"/>
  <c r="CP59" i="40"/>
  <c r="CO45" i="40"/>
  <c r="CP45" i="40"/>
  <c r="CP44" i="40"/>
  <c r="CU44" i="40" s="1"/>
  <c r="CP82" i="40"/>
  <c r="CU82" i="40" s="1"/>
  <c r="CP80" i="40"/>
  <c r="CO52" i="40"/>
  <c r="CP52" i="40"/>
  <c r="CP39" i="40"/>
  <c r="CO84" i="40"/>
  <c r="CP84" i="40"/>
  <c r="CO76" i="40"/>
  <c r="CP76" i="40"/>
  <c r="CU76" i="40" s="1"/>
  <c r="CO57" i="40"/>
  <c r="CP57" i="40"/>
  <c r="CP71" i="40"/>
  <c r="CP83" i="40"/>
  <c r="CP86" i="40"/>
  <c r="CO74" i="40"/>
  <c r="CP74" i="40"/>
  <c r="CO85" i="40"/>
  <c r="CP85" i="40"/>
  <c r="CU85" i="40" s="1"/>
  <c r="CP79" i="40"/>
  <c r="CU79" i="40" s="1"/>
  <c r="CO87" i="40"/>
  <c r="CP87" i="40"/>
  <c r="CO91" i="40"/>
  <c r="CP91" i="40"/>
  <c r="CU91" i="40" s="1"/>
  <c r="CO92" i="40"/>
  <c r="CP92" i="40"/>
  <c r="CU92" i="40" s="1"/>
  <c r="CO93" i="40"/>
  <c r="CP93" i="40"/>
  <c r="CO95" i="40"/>
  <c r="CP95" i="40"/>
  <c r="DP95" i="40" s="1"/>
  <c r="CO96" i="40"/>
  <c r="CP96" i="40"/>
  <c r="DP96" i="40" s="1"/>
  <c r="CO97" i="40"/>
  <c r="CP97" i="40"/>
  <c r="DP97" i="40" s="1"/>
  <c r="CO99" i="40"/>
  <c r="CP99" i="40"/>
  <c r="CO100" i="40"/>
  <c r="CP100" i="40"/>
  <c r="CU100" i="40" s="1"/>
  <c r="CK1" i="40"/>
  <c r="AJ9" i="33"/>
  <c r="BP21" i="31"/>
  <c r="CQ21" i="31" s="1"/>
  <c r="AY14" i="31"/>
  <c r="DP87" i="40" l="1"/>
  <c r="CU87" i="40"/>
  <c r="DP99" i="40"/>
  <c r="CU99" i="40"/>
  <c r="DP57" i="40"/>
  <c r="CU57" i="40"/>
  <c r="DP73" i="40"/>
  <c r="CU73" i="40"/>
  <c r="DP38" i="40"/>
  <c r="CU38" i="40"/>
  <c r="DP47" i="40"/>
  <c r="CU47" i="40"/>
  <c r="DP80" i="40"/>
  <c r="CU80" i="40"/>
  <c r="DP64" i="40"/>
  <c r="CU64" i="40"/>
  <c r="DP42" i="40"/>
  <c r="CU42" i="40"/>
  <c r="DP70" i="40"/>
  <c r="CU70" i="40"/>
  <c r="DP81" i="40"/>
  <c r="CU81" i="40"/>
  <c r="DP45" i="40"/>
  <c r="CU45" i="40"/>
  <c r="DP61" i="40"/>
  <c r="CU61" i="40"/>
  <c r="DP37" i="40"/>
  <c r="CU37" i="40"/>
  <c r="DP66" i="40"/>
  <c r="CU66" i="40"/>
  <c r="DP84" i="40"/>
  <c r="CU84" i="40"/>
  <c r="DP43" i="40"/>
  <c r="CU43" i="40"/>
  <c r="DP58" i="40"/>
  <c r="CU58" i="40"/>
  <c r="DP65" i="40"/>
  <c r="CU65" i="40"/>
  <c r="DP53" i="40"/>
  <c r="CU53" i="40"/>
  <c r="DP74" i="40"/>
  <c r="CU74" i="40"/>
  <c r="DP59" i="40"/>
  <c r="CU59" i="40"/>
  <c r="DP62" i="40"/>
  <c r="CU62" i="40"/>
  <c r="DP48" i="40"/>
  <c r="CU48" i="40"/>
  <c r="DP67" i="40"/>
  <c r="CU67" i="40"/>
  <c r="DP86" i="40"/>
  <c r="CU86" i="40"/>
  <c r="DP39" i="40"/>
  <c r="CU39" i="40"/>
  <c r="DP46" i="40"/>
  <c r="CU46" i="40"/>
  <c r="DP69" i="40"/>
  <c r="CU69" i="40"/>
  <c r="DP50" i="40"/>
  <c r="CU50" i="40"/>
  <c r="S81" i="49"/>
  <c r="CU83" i="40"/>
  <c r="DP52" i="40"/>
  <c r="CU52" i="40"/>
  <c r="DP78" i="40"/>
  <c r="CU78" i="40"/>
  <c r="DP60" i="40"/>
  <c r="CU60" i="40"/>
  <c r="DP71" i="40"/>
  <c r="CU71" i="40"/>
  <c r="DP41" i="40"/>
  <c r="CU41" i="40"/>
  <c r="DP77" i="40"/>
  <c r="CU77" i="40"/>
  <c r="DP63" i="40"/>
  <c r="CU63" i="40"/>
  <c r="DP75" i="40"/>
  <c r="CU75" i="40"/>
  <c r="S28" i="49"/>
  <c r="CU7" i="40"/>
  <c r="S21" i="49"/>
  <c r="CU19" i="40"/>
  <c r="DP5" i="40"/>
  <c r="CU5" i="40"/>
  <c r="S87" i="49"/>
  <c r="S88" i="49"/>
  <c r="DP92" i="40"/>
  <c r="S85" i="49"/>
  <c r="DP93" i="40"/>
  <c r="S86" i="49"/>
  <c r="DP91" i="40"/>
  <c r="S84" i="49"/>
  <c r="S6" i="49"/>
  <c r="S8" i="49"/>
  <c r="DP32" i="40"/>
  <c r="S11" i="49"/>
  <c r="DP17" i="40"/>
  <c r="S12" i="49"/>
  <c r="DP19" i="40"/>
  <c r="S19" i="49"/>
  <c r="DP22" i="40"/>
  <c r="S13" i="49"/>
  <c r="DP24" i="40"/>
  <c r="S20" i="49"/>
  <c r="DP11" i="40"/>
  <c r="S9" i="49"/>
  <c r="DP25" i="40"/>
  <c r="S22" i="49"/>
  <c r="DP9" i="40"/>
  <c r="S16" i="49"/>
  <c r="DP14" i="40"/>
  <c r="S7" i="49"/>
  <c r="DP8" i="40"/>
  <c r="S23" i="49"/>
  <c r="DP6" i="40"/>
  <c r="S10" i="49"/>
  <c r="DP15" i="40"/>
  <c r="S27" i="49"/>
  <c r="DP30" i="40"/>
  <c r="S30" i="49"/>
  <c r="DP12" i="40"/>
  <c r="S14" i="49"/>
  <c r="DP27" i="40"/>
  <c r="S31" i="49"/>
  <c r="DP10" i="40"/>
  <c r="S17" i="49"/>
  <c r="DP31" i="40"/>
  <c r="S5" i="49"/>
  <c r="DP29" i="40"/>
  <c r="S26" i="49"/>
  <c r="DP20" i="40"/>
  <c r="S18" i="49"/>
  <c r="DP13" i="40"/>
  <c r="S4" i="49"/>
  <c r="DP21" i="40"/>
  <c r="S24" i="49"/>
  <c r="DP23" i="40"/>
  <c r="S29" i="49"/>
  <c r="DP18" i="40"/>
  <c r="S25" i="49"/>
  <c r="DP26" i="40"/>
  <c r="S15" i="49"/>
  <c r="DY68" i="40"/>
  <c r="E39" i="33"/>
  <c r="DP16" i="40"/>
  <c r="DP40" i="40"/>
  <c r="DP83" i="40"/>
  <c r="DP7" i="40"/>
  <c r="E553" i="45"/>
  <c r="AM67" i="33"/>
  <c r="AO67" i="33"/>
  <c r="B94" i="40" s="1"/>
  <c r="DP33" i="40"/>
  <c r="DP51" i="40"/>
  <c r="DP54" i="40"/>
  <c r="DP72" i="40"/>
  <c r="DP49" i="40"/>
  <c r="DP56" i="40"/>
  <c r="DP55" i="40"/>
  <c r="DP44" i="40"/>
  <c r="DP82" i="40"/>
  <c r="DP76" i="40"/>
  <c r="DP85" i="40"/>
  <c r="DP100" i="40"/>
  <c r="DP4" i="40"/>
  <c r="DP79" i="40"/>
  <c r="R67" i="33"/>
  <c r="U67" i="33"/>
  <c r="CP67" i="33" s="1"/>
  <c r="CP1" i="40"/>
  <c r="AO28" i="26"/>
  <c r="BQ21" i="33"/>
  <c r="BQ36" i="33"/>
  <c r="BQ49" i="33"/>
  <c r="BQ19" i="33"/>
  <c r="BQ41" i="33"/>
  <c r="BQ23" i="33"/>
  <c r="BQ20" i="33"/>
  <c r="BQ22" i="33"/>
  <c r="BQ13" i="33"/>
  <c r="BQ18" i="33"/>
  <c r="BQ14" i="33"/>
  <c r="BQ15" i="33"/>
  <c r="BQ32" i="33"/>
  <c r="BQ48" i="33"/>
  <c r="BQ44" i="33"/>
  <c r="BQ33" i="33"/>
  <c r="BQ40" i="33"/>
  <c r="BQ34" i="33"/>
  <c r="BQ30" i="33"/>
  <c r="BQ27" i="33"/>
  <c r="BQ29" i="33"/>
  <c r="BQ35" i="33"/>
  <c r="BQ26" i="33"/>
  <c r="BQ17" i="33"/>
  <c r="BQ12" i="33"/>
  <c r="BQ10" i="33"/>
  <c r="BQ51" i="33"/>
  <c r="BQ16" i="33"/>
  <c r="BQ55" i="33"/>
  <c r="BQ47" i="33"/>
  <c r="BQ57" i="33"/>
  <c r="BQ56" i="33"/>
  <c r="BQ28" i="33"/>
  <c r="BQ54" i="33"/>
  <c r="BQ42" i="33"/>
  <c r="BQ45" i="33"/>
  <c r="BQ53" i="33"/>
  <c r="BQ50" i="33"/>
  <c r="BQ58" i="33"/>
  <c r="BQ59" i="33"/>
  <c r="BQ60" i="33"/>
  <c r="BQ61" i="33"/>
  <c r="BQ62" i="33"/>
  <c r="BQ63" i="33"/>
  <c r="BQ64" i="33"/>
  <c r="BQ65" i="33"/>
  <c r="BQ66" i="33"/>
  <c r="BQ74" i="33"/>
  <c r="BQ75" i="33"/>
  <c r="BQ76" i="33"/>
  <c r="BQ78" i="33"/>
  <c r="BP78" i="33" s="1"/>
  <c r="BQ46" i="33"/>
  <c r="BQ11" i="33"/>
  <c r="BQ37" i="33"/>
  <c r="BQ24" i="33"/>
  <c r="BQ43" i="33"/>
  <c r="BQ31" i="33"/>
  <c r="BQ52" i="33"/>
  <c r="BQ38" i="33"/>
  <c r="BQ25" i="33"/>
  <c r="BQ8" i="33"/>
  <c r="CH80" i="33"/>
  <c r="CA80" i="33"/>
  <c r="BT80" i="33"/>
  <c r="BH80" i="33"/>
  <c r="BA80" i="33"/>
  <c r="A92" i="51"/>
  <c r="F92" i="51"/>
  <c r="G92" i="51"/>
  <c r="U63" i="33" s="1"/>
  <c r="H92" i="51"/>
  <c r="I92" i="51"/>
  <c r="J92" i="51"/>
  <c r="L92" i="51"/>
  <c r="S63" i="33"/>
  <c r="T63" i="33"/>
  <c r="V63" i="33"/>
  <c r="I95" i="40"/>
  <c r="J95" i="40"/>
  <c r="L95" i="40"/>
  <c r="R95" i="40" s="1"/>
  <c r="P95" i="40"/>
  <c r="Q95" i="40"/>
  <c r="S95" i="40"/>
  <c r="U95" i="40" s="1"/>
  <c r="T95" i="40"/>
  <c r="V95" i="40"/>
  <c r="W95" i="40" s="1"/>
  <c r="AT95" i="40"/>
  <c r="AU95" i="40"/>
  <c r="AW95" i="40"/>
  <c r="AX95" i="40"/>
  <c r="AZ95" i="40"/>
  <c r="BA95" i="40"/>
  <c r="BC95" i="40"/>
  <c r="BD95" i="40"/>
  <c r="BF95" i="40"/>
  <c r="BG95" i="40"/>
  <c r="BI95" i="40"/>
  <c r="BJ95" i="40"/>
  <c r="BL95" i="40"/>
  <c r="BM95" i="40"/>
  <c r="BO95" i="40"/>
  <c r="BP95" i="40"/>
  <c r="BR95" i="40"/>
  <c r="BS95" i="40"/>
  <c r="BU95" i="40"/>
  <c r="BV95" i="40"/>
  <c r="BX95" i="40"/>
  <c r="BY95" i="40"/>
  <c r="DL95" i="40" s="1"/>
  <c r="CA95" i="40"/>
  <c r="CB95" i="40"/>
  <c r="DM95" i="40" s="1"/>
  <c r="CD95" i="40"/>
  <c r="CE95" i="40" s="1"/>
  <c r="CI95" i="40"/>
  <c r="CJ95" i="40"/>
  <c r="DN95" i="40" s="1"/>
  <c r="CL95" i="40"/>
  <c r="CM95" i="40"/>
  <c r="DO95" i="40" s="1"/>
  <c r="DY95" i="40"/>
  <c r="I96" i="40"/>
  <c r="J96" i="40"/>
  <c r="L96" i="40"/>
  <c r="P96" i="40"/>
  <c r="Q96" i="40"/>
  <c r="S96" i="40"/>
  <c r="U96" i="40" s="1"/>
  <c r="T96" i="40"/>
  <c r="V96" i="40"/>
  <c r="W96" i="40" s="1"/>
  <c r="AT96" i="40"/>
  <c r="AU96" i="40"/>
  <c r="AW96" i="40"/>
  <c r="AX96" i="40"/>
  <c r="AZ96" i="40"/>
  <c r="BA96" i="40"/>
  <c r="BC96" i="40"/>
  <c r="BD96" i="40"/>
  <c r="BF96" i="40"/>
  <c r="BG96" i="40"/>
  <c r="BI96" i="40"/>
  <c r="BJ96" i="40"/>
  <c r="BL96" i="40"/>
  <c r="BM96" i="40"/>
  <c r="BO96" i="40"/>
  <c r="BP96" i="40"/>
  <c r="BR96" i="40"/>
  <c r="BS96" i="40"/>
  <c r="BU96" i="40"/>
  <c r="BV96" i="40"/>
  <c r="BX96" i="40"/>
  <c r="BY96" i="40"/>
  <c r="DL96" i="40" s="1"/>
  <c r="CA96" i="40"/>
  <c r="CB96" i="40"/>
  <c r="DM96" i="40" s="1"/>
  <c r="CD96" i="40"/>
  <c r="CE96" i="40" s="1"/>
  <c r="CI96" i="40"/>
  <c r="CJ96" i="40"/>
  <c r="DN96" i="40" s="1"/>
  <c r="CL96" i="40"/>
  <c r="CM96" i="40"/>
  <c r="DO96" i="40" s="1"/>
  <c r="DY96" i="40"/>
  <c r="I97" i="40"/>
  <c r="J97" i="40"/>
  <c r="L97" i="40"/>
  <c r="R97" i="40" s="1"/>
  <c r="P97" i="40"/>
  <c r="Q97" i="40"/>
  <c r="S97" i="40"/>
  <c r="U97" i="40" s="1"/>
  <c r="T97" i="40"/>
  <c r="V97" i="40"/>
  <c r="W97" i="40" s="1"/>
  <c r="AT97" i="40"/>
  <c r="AU97" i="40"/>
  <c r="AW97" i="40"/>
  <c r="AX97" i="40"/>
  <c r="AZ97" i="40"/>
  <c r="BA97" i="40"/>
  <c r="BC97" i="40"/>
  <c r="BD97" i="40"/>
  <c r="BF97" i="40"/>
  <c r="BG97" i="40"/>
  <c r="BI97" i="40"/>
  <c r="BJ97" i="40"/>
  <c r="BL97" i="40"/>
  <c r="BM97" i="40"/>
  <c r="BO97" i="40"/>
  <c r="BP97" i="40"/>
  <c r="BR97" i="40"/>
  <c r="BS97" i="40"/>
  <c r="BU97" i="40"/>
  <c r="BV97" i="40"/>
  <c r="BX97" i="40"/>
  <c r="BY97" i="40"/>
  <c r="DL97" i="40" s="1"/>
  <c r="CA97" i="40"/>
  <c r="CB97" i="40"/>
  <c r="DM97" i="40" s="1"/>
  <c r="CD97" i="40"/>
  <c r="CE97" i="40" s="1"/>
  <c r="CI97" i="40"/>
  <c r="CJ97" i="40"/>
  <c r="DN97" i="40" s="1"/>
  <c r="CL97" i="40"/>
  <c r="CM97" i="40"/>
  <c r="DO97" i="40" s="1"/>
  <c r="DY97" i="40"/>
  <c r="DX99" i="40"/>
  <c r="AT99" i="40"/>
  <c r="AU99" i="40"/>
  <c r="AW99" i="40"/>
  <c r="AX99" i="40"/>
  <c r="AZ99" i="40"/>
  <c r="BA99" i="40"/>
  <c r="BC99" i="40"/>
  <c r="BD99" i="40"/>
  <c r="BF99" i="40"/>
  <c r="BG99" i="40"/>
  <c r="BI99" i="40"/>
  <c r="BJ99" i="40"/>
  <c r="BL99" i="40"/>
  <c r="BM99" i="40"/>
  <c r="BO99" i="40"/>
  <c r="BP99" i="40"/>
  <c r="BR99" i="40"/>
  <c r="BS99" i="40"/>
  <c r="BU99" i="40"/>
  <c r="BV99" i="40"/>
  <c r="BX99" i="40"/>
  <c r="BY99" i="40"/>
  <c r="DL99" i="40" s="1"/>
  <c r="CA99" i="40"/>
  <c r="CB99" i="40"/>
  <c r="DM99" i="40" s="1"/>
  <c r="CD99" i="40"/>
  <c r="CE99" i="40" s="1"/>
  <c r="CI99" i="40"/>
  <c r="CJ99" i="40"/>
  <c r="DN99" i="40" s="1"/>
  <c r="CL99" i="40"/>
  <c r="CM99" i="40"/>
  <c r="DO99" i="40" s="1"/>
  <c r="DY99" i="40"/>
  <c r="DX100" i="40"/>
  <c r="AT100" i="40"/>
  <c r="AU100" i="40"/>
  <c r="AW100" i="40"/>
  <c r="AX100" i="40"/>
  <c r="AZ100" i="40"/>
  <c r="BA100" i="40"/>
  <c r="BC100" i="40"/>
  <c r="BD100" i="40"/>
  <c r="BF100" i="40"/>
  <c r="BG100" i="40"/>
  <c r="BI100" i="40"/>
  <c r="BJ100" i="40"/>
  <c r="BL100" i="40"/>
  <c r="BM100" i="40"/>
  <c r="BO100" i="40"/>
  <c r="BP100" i="40"/>
  <c r="BR100" i="40"/>
  <c r="BS100" i="40"/>
  <c r="BU100" i="40"/>
  <c r="BV100" i="40"/>
  <c r="BX100" i="40"/>
  <c r="BY100" i="40"/>
  <c r="DL100" i="40" s="1"/>
  <c r="CA100" i="40"/>
  <c r="CB100" i="40"/>
  <c r="DM100" i="40" s="1"/>
  <c r="CD100" i="40"/>
  <c r="CE100" i="40" s="1"/>
  <c r="CI100" i="40"/>
  <c r="CJ100" i="40"/>
  <c r="DN100" i="40" s="1"/>
  <c r="CL100" i="40"/>
  <c r="CM100" i="40"/>
  <c r="DO100" i="40" s="1"/>
  <c r="DW100" i="40"/>
  <c r="DY100" i="40"/>
  <c r="BU84" i="33"/>
  <c r="H550" i="45"/>
  <c r="F87" i="51"/>
  <c r="G87" i="51"/>
  <c r="H87" i="51"/>
  <c r="I87" i="51"/>
  <c r="J87" i="51"/>
  <c r="L87" i="51"/>
  <c r="A87" i="51"/>
  <c r="S62" i="33"/>
  <c r="T62" i="33"/>
  <c r="V62" i="33"/>
  <c r="AT80" i="33"/>
  <c r="AR80" i="33"/>
  <c r="AS59" i="33"/>
  <c r="AS60" i="33"/>
  <c r="J32" i="26" l="1"/>
  <c r="K31" i="1"/>
  <c r="DV28" i="40"/>
  <c r="DV68" i="40"/>
  <c r="K38" i="31"/>
  <c r="K39" i="33"/>
  <c r="BU63" i="33"/>
  <c r="CP63" i="33"/>
  <c r="DX95" i="40"/>
  <c r="DX96" i="40"/>
  <c r="DX97" i="40"/>
  <c r="AU67" i="33"/>
  <c r="M91" i="51" s="1"/>
  <c r="AF67" i="33"/>
  <c r="Z67" i="33"/>
  <c r="BQ80" i="33"/>
  <c r="AU63" i="33"/>
  <c r="M92" i="51" s="1"/>
  <c r="BP63" i="33"/>
  <c r="AS63" i="33"/>
  <c r="AF63" i="33"/>
  <c r="Z63" i="33"/>
  <c r="K92" i="51" s="1"/>
  <c r="R63" i="33"/>
  <c r="X97" i="40"/>
  <c r="Y97" i="40" s="1"/>
  <c r="R96" i="40"/>
  <c r="X96" i="40" s="1"/>
  <c r="Y96" i="40" s="1"/>
  <c r="DW99" i="40"/>
  <c r="X95" i="40"/>
  <c r="Y95" i="40" s="1"/>
  <c r="R62" i="33"/>
  <c r="U62" i="33"/>
  <c r="AH12" i="26"/>
  <c r="AJ36" i="33"/>
  <c r="H549" i="45"/>
  <c r="CP62" i="33" l="1"/>
  <c r="CY62" i="33"/>
  <c r="K91" i="51"/>
  <c r="C94" i="40"/>
  <c r="CY94" i="40"/>
  <c r="DW94" i="40" s="1"/>
  <c r="AA67" i="33" s="1"/>
  <c r="BU62" i="33"/>
  <c r="BP62" i="33"/>
  <c r="BI62" i="33"/>
  <c r="AU62" i="33"/>
  <c r="M87" i="51" s="1"/>
  <c r="AS62" i="33"/>
  <c r="Z62" i="33"/>
  <c r="K87" i="51" s="1"/>
  <c r="AF62" i="33"/>
  <c r="EO6" i="25"/>
  <c r="EP6" i="25"/>
  <c r="EO9" i="25"/>
  <c r="EP9" i="25"/>
  <c r="EO12" i="25"/>
  <c r="EP12" i="25"/>
  <c r="EO7" i="25"/>
  <c r="EP7" i="25"/>
  <c r="EO16" i="25"/>
  <c r="EP16" i="25"/>
  <c r="EO8" i="25"/>
  <c r="EP8" i="25"/>
  <c r="EO13" i="25"/>
  <c r="EP13" i="25"/>
  <c r="EO10" i="25"/>
  <c r="EP10" i="25"/>
  <c r="EO11" i="25"/>
  <c r="EP11" i="25"/>
  <c r="EO18" i="25"/>
  <c r="EP18" i="25"/>
  <c r="EO14" i="25"/>
  <c r="EP14" i="25"/>
  <c r="EO15" i="25"/>
  <c r="EP15" i="25"/>
  <c r="EO17" i="25"/>
  <c r="EP17" i="25"/>
  <c r="EO19" i="25"/>
  <c r="EP19" i="25"/>
  <c r="EO22" i="25"/>
  <c r="EP22" i="25"/>
  <c r="EO20" i="25"/>
  <c r="EP20" i="25"/>
  <c r="EO21" i="25"/>
  <c r="EP21" i="25"/>
  <c r="EO23" i="25"/>
  <c r="EP23" i="25"/>
  <c r="EO26" i="25"/>
  <c r="EP26" i="25"/>
  <c r="EO30" i="25"/>
  <c r="EP30" i="25"/>
  <c r="EO27" i="25"/>
  <c r="EP27" i="25"/>
  <c r="EO25" i="25"/>
  <c r="EP25" i="25"/>
  <c r="EO28" i="25"/>
  <c r="EP28" i="25"/>
  <c r="EO29" i="25"/>
  <c r="EP29" i="25"/>
  <c r="EO33" i="25"/>
  <c r="EP33" i="25"/>
  <c r="EO32" i="25"/>
  <c r="EP32" i="25"/>
  <c r="EO31" i="25"/>
  <c r="EP31" i="25"/>
  <c r="EO34" i="25"/>
  <c r="EP34" i="25"/>
  <c r="DB34" i="25" s="1"/>
  <c r="EO35" i="25"/>
  <c r="EP35" i="25"/>
  <c r="EO36" i="25"/>
  <c r="EP36" i="25"/>
  <c r="EO37" i="25"/>
  <c r="EP37" i="25"/>
  <c r="EO38" i="25"/>
  <c r="EP38" i="25"/>
  <c r="EO39" i="25"/>
  <c r="EP39" i="25"/>
  <c r="EO40" i="25"/>
  <c r="EP40" i="25"/>
  <c r="EO41" i="25"/>
  <c r="EP41" i="25"/>
  <c r="EO42" i="25"/>
  <c r="EP42" i="25"/>
  <c r="EO43" i="25"/>
  <c r="EP43" i="25"/>
  <c r="EO44" i="25"/>
  <c r="EP44" i="25"/>
  <c r="EO45" i="25"/>
  <c r="EP45" i="25"/>
  <c r="EO46" i="25"/>
  <c r="EP46" i="25"/>
  <c r="EO47" i="25"/>
  <c r="EP47" i="25"/>
  <c r="EO48" i="25"/>
  <c r="EP48" i="25"/>
  <c r="EO49" i="25"/>
  <c r="EP49" i="25"/>
  <c r="EO50" i="25"/>
  <c r="EP50" i="25"/>
  <c r="EO51" i="25"/>
  <c r="EP51" i="25"/>
  <c r="EO52" i="25"/>
  <c r="EP52" i="25"/>
  <c r="EO53" i="25"/>
  <c r="EP53" i="25"/>
  <c r="EO54" i="25"/>
  <c r="EP54" i="25"/>
  <c r="EO55" i="25"/>
  <c r="EP55" i="25"/>
  <c r="EO56" i="25"/>
  <c r="EP56" i="25"/>
  <c r="EO57" i="25"/>
  <c r="EP57" i="25"/>
  <c r="EO58" i="25"/>
  <c r="EP58" i="25"/>
  <c r="EO59" i="25"/>
  <c r="EP59" i="25"/>
  <c r="EO60" i="25"/>
  <c r="EP60" i="25"/>
  <c r="EO61" i="25"/>
  <c r="EP61" i="25"/>
  <c r="EO62" i="25"/>
  <c r="EP62" i="25"/>
  <c r="EO63" i="25"/>
  <c r="EP63" i="25"/>
  <c r="EO64" i="25"/>
  <c r="EP64" i="25"/>
  <c r="EO65" i="25"/>
  <c r="EP65" i="25"/>
  <c r="EO66" i="25"/>
  <c r="EP66" i="25"/>
  <c r="EO67" i="25"/>
  <c r="EP67" i="25"/>
  <c r="EO68" i="25"/>
  <c r="EP68" i="25"/>
  <c r="EO69" i="25"/>
  <c r="EP69" i="25"/>
  <c r="EO70" i="25"/>
  <c r="EP70" i="25"/>
  <c r="EO71" i="25"/>
  <c r="EP71" i="25"/>
  <c r="EO72" i="25"/>
  <c r="EP72" i="25"/>
  <c r="EO73" i="25"/>
  <c r="EP73" i="25"/>
  <c r="EO74" i="25"/>
  <c r="EP74" i="25"/>
  <c r="EO75" i="25"/>
  <c r="EP75" i="25"/>
  <c r="EO76" i="25"/>
  <c r="EP76" i="25"/>
  <c r="EO77" i="25"/>
  <c r="EP77" i="25"/>
  <c r="EO78" i="25"/>
  <c r="EP78" i="25"/>
  <c r="EO79" i="25"/>
  <c r="EP79" i="25"/>
  <c r="EP5" i="25"/>
  <c r="EO5" i="25"/>
  <c r="EI23" i="25"/>
  <c r="EJ23" i="25"/>
  <c r="EK23" i="25"/>
  <c r="EI26" i="25"/>
  <c r="EJ26" i="25"/>
  <c r="EK26" i="25"/>
  <c r="EI30" i="25"/>
  <c r="EJ30" i="25"/>
  <c r="EK30" i="25"/>
  <c r="EI27" i="25"/>
  <c r="EJ27" i="25"/>
  <c r="EK27" i="25"/>
  <c r="EI25" i="25"/>
  <c r="EJ25" i="25"/>
  <c r="EK25" i="25"/>
  <c r="EI28" i="25"/>
  <c r="EJ28" i="25"/>
  <c r="EK28" i="25"/>
  <c r="EI29" i="25"/>
  <c r="EJ29" i="25"/>
  <c r="EK29" i="25"/>
  <c r="EI33" i="25"/>
  <c r="EJ33" i="25"/>
  <c r="EK33" i="25"/>
  <c r="EI32" i="25"/>
  <c r="EJ32" i="25"/>
  <c r="EK32" i="25"/>
  <c r="EI31" i="25"/>
  <c r="EJ31" i="25"/>
  <c r="EK31" i="25"/>
  <c r="EI34" i="25"/>
  <c r="EJ34" i="25"/>
  <c r="EK34" i="25"/>
  <c r="EI35" i="25"/>
  <c r="EJ35" i="25"/>
  <c r="EK35" i="25"/>
  <c r="EI36" i="25"/>
  <c r="EJ36" i="25"/>
  <c r="EK36" i="25"/>
  <c r="EI37" i="25"/>
  <c r="EJ37" i="25"/>
  <c r="EK37" i="25"/>
  <c r="EI38" i="25"/>
  <c r="EJ38" i="25"/>
  <c r="EK38" i="25"/>
  <c r="EI39" i="25"/>
  <c r="EJ39" i="25"/>
  <c r="EK39" i="25"/>
  <c r="EI40" i="25"/>
  <c r="EJ40" i="25"/>
  <c r="EK40" i="25"/>
  <c r="EI41" i="25"/>
  <c r="EJ41" i="25"/>
  <c r="EK41" i="25"/>
  <c r="EI42" i="25"/>
  <c r="EJ42" i="25"/>
  <c r="EK42" i="25"/>
  <c r="EI43" i="25"/>
  <c r="EJ43" i="25"/>
  <c r="EK43" i="25"/>
  <c r="EI44" i="25"/>
  <c r="EJ44" i="25"/>
  <c r="EK44" i="25"/>
  <c r="EI45" i="25"/>
  <c r="EJ45" i="25"/>
  <c r="EK45" i="25"/>
  <c r="EI46" i="25"/>
  <c r="EJ46" i="25"/>
  <c r="EK46" i="25"/>
  <c r="EI47" i="25"/>
  <c r="EJ47" i="25"/>
  <c r="EK47" i="25"/>
  <c r="EI48" i="25"/>
  <c r="EJ48" i="25"/>
  <c r="EK48" i="25"/>
  <c r="EI49" i="25"/>
  <c r="EJ49" i="25"/>
  <c r="EK49" i="25"/>
  <c r="EI50" i="25"/>
  <c r="EJ50" i="25"/>
  <c r="EK50" i="25"/>
  <c r="EI51" i="25"/>
  <c r="EJ51" i="25"/>
  <c r="EK51" i="25"/>
  <c r="EI52" i="25"/>
  <c r="EJ52" i="25"/>
  <c r="EK52" i="25"/>
  <c r="EI53" i="25"/>
  <c r="EJ53" i="25"/>
  <c r="EK53" i="25"/>
  <c r="EI54" i="25"/>
  <c r="EJ54" i="25"/>
  <c r="EK54" i="25"/>
  <c r="EI55" i="25"/>
  <c r="EJ55" i="25"/>
  <c r="EK55" i="25"/>
  <c r="EI56" i="25"/>
  <c r="EJ56" i="25"/>
  <c r="EK56" i="25"/>
  <c r="EI57" i="25"/>
  <c r="EJ57" i="25"/>
  <c r="EK57" i="25"/>
  <c r="EI58" i="25"/>
  <c r="EJ58" i="25"/>
  <c r="EK58" i="25"/>
  <c r="EI59" i="25"/>
  <c r="EJ59" i="25"/>
  <c r="EK59" i="25"/>
  <c r="EI60" i="25"/>
  <c r="EJ60" i="25"/>
  <c r="EK60" i="25"/>
  <c r="EI61" i="25"/>
  <c r="EJ61" i="25"/>
  <c r="EK61" i="25"/>
  <c r="EI62" i="25"/>
  <c r="EJ62" i="25"/>
  <c r="EK62" i="25"/>
  <c r="EI63" i="25"/>
  <c r="EJ63" i="25"/>
  <c r="EK63" i="25"/>
  <c r="EI64" i="25"/>
  <c r="EJ64" i="25"/>
  <c r="EK64" i="25"/>
  <c r="EI65" i="25"/>
  <c r="EJ65" i="25"/>
  <c r="EK65" i="25"/>
  <c r="EI66" i="25"/>
  <c r="EJ66" i="25"/>
  <c r="EK66" i="25"/>
  <c r="EI67" i="25"/>
  <c r="EJ67" i="25"/>
  <c r="EK67" i="25"/>
  <c r="EI68" i="25"/>
  <c r="EJ68" i="25"/>
  <c r="EK68" i="25"/>
  <c r="EI69" i="25"/>
  <c r="EJ69" i="25"/>
  <c r="EK69" i="25"/>
  <c r="EI70" i="25"/>
  <c r="EJ70" i="25"/>
  <c r="EK70" i="25"/>
  <c r="EI71" i="25"/>
  <c r="EJ71" i="25"/>
  <c r="EK71" i="25"/>
  <c r="EI72" i="25"/>
  <c r="EJ72" i="25"/>
  <c r="EK72" i="25"/>
  <c r="EI73" i="25"/>
  <c r="EJ73" i="25"/>
  <c r="EK73" i="25"/>
  <c r="EI74" i="25"/>
  <c r="EJ74" i="25"/>
  <c r="EK74" i="25"/>
  <c r="EI75" i="25"/>
  <c r="EJ75" i="25"/>
  <c r="EK75" i="25"/>
  <c r="EI76" i="25"/>
  <c r="EJ76" i="25"/>
  <c r="EK76" i="25"/>
  <c r="EI77" i="25"/>
  <c r="EJ77" i="25"/>
  <c r="EK77" i="25"/>
  <c r="EI78" i="25"/>
  <c r="EJ78" i="25"/>
  <c r="EK78" i="25"/>
  <c r="EI79" i="25"/>
  <c r="EJ79" i="25"/>
  <c r="EK79" i="25"/>
  <c r="EI17" i="25"/>
  <c r="EJ17" i="25"/>
  <c r="EK17" i="25"/>
  <c r="EI19" i="25"/>
  <c r="EJ19" i="25"/>
  <c r="EK19" i="25"/>
  <c r="EI22" i="25"/>
  <c r="EJ22" i="25"/>
  <c r="EK22" i="25"/>
  <c r="EI20" i="25"/>
  <c r="EJ20" i="25"/>
  <c r="EK20" i="25"/>
  <c r="EI21" i="25"/>
  <c r="EJ21" i="25"/>
  <c r="EK21" i="25"/>
  <c r="EI11" i="25"/>
  <c r="EJ11" i="25"/>
  <c r="EK11" i="25"/>
  <c r="EI18" i="25"/>
  <c r="EJ18" i="25"/>
  <c r="EK18" i="25"/>
  <c r="EI14" i="25"/>
  <c r="EJ14" i="25"/>
  <c r="EK14" i="25"/>
  <c r="EI15" i="25"/>
  <c r="EJ15" i="25"/>
  <c r="EK15" i="25"/>
  <c r="EI10" i="25"/>
  <c r="EJ10" i="25"/>
  <c r="EK10" i="25"/>
  <c r="EI6" i="25"/>
  <c r="EJ6" i="25"/>
  <c r="EK6" i="25"/>
  <c r="EI9" i="25"/>
  <c r="EJ9" i="25"/>
  <c r="EK9" i="25"/>
  <c r="EI12" i="25"/>
  <c r="EJ12" i="25"/>
  <c r="EK12" i="25"/>
  <c r="EI7" i="25"/>
  <c r="EJ7" i="25"/>
  <c r="EK7" i="25"/>
  <c r="EI16" i="25"/>
  <c r="EJ16" i="25"/>
  <c r="EK16" i="25"/>
  <c r="EI8" i="25"/>
  <c r="EJ8" i="25"/>
  <c r="EK8" i="25"/>
  <c r="EI13" i="25"/>
  <c r="EJ13" i="25"/>
  <c r="EK13" i="25"/>
  <c r="EI5" i="25"/>
  <c r="EK5" i="25"/>
  <c r="EJ5" i="25"/>
  <c r="DC75" i="25" l="1"/>
  <c r="DB75" i="25"/>
  <c r="DC70" i="25"/>
  <c r="DB70" i="25"/>
  <c r="DC65" i="25"/>
  <c r="DB65" i="25"/>
  <c r="DC60" i="25"/>
  <c r="DB60" i="25"/>
  <c r="DC55" i="25"/>
  <c r="DB55" i="25"/>
  <c r="DC50" i="25"/>
  <c r="DB50" i="25"/>
  <c r="DC45" i="25"/>
  <c r="DB45" i="25"/>
  <c r="DC40" i="25"/>
  <c r="DB40" i="25"/>
  <c r="DC35" i="25"/>
  <c r="DB35" i="25"/>
  <c r="DC29" i="25"/>
  <c r="DB29" i="25"/>
  <c r="DC26" i="25"/>
  <c r="DB26" i="25"/>
  <c r="DC19" i="25"/>
  <c r="DB19" i="25"/>
  <c r="DC11" i="25"/>
  <c r="DB11" i="25"/>
  <c r="DC7" i="25"/>
  <c r="DB7" i="25"/>
  <c r="DC5" i="25"/>
  <c r="DB5" i="25"/>
  <c r="DC74" i="25"/>
  <c r="DB74" i="25"/>
  <c r="DC69" i="25"/>
  <c r="DB69" i="25"/>
  <c r="DC64" i="25"/>
  <c r="DB64" i="25"/>
  <c r="DC59" i="25"/>
  <c r="DB59" i="25"/>
  <c r="DC54" i="25"/>
  <c r="DB54" i="25"/>
  <c r="DC49" i="25"/>
  <c r="DB49" i="25"/>
  <c r="DC44" i="25"/>
  <c r="DB44" i="25"/>
  <c r="DC39" i="25"/>
  <c r="DB39" i="25"/>
  <c r="DC28" i="25"/>
  <c r="DB28" i="25"/>
  <c r="DC23" i="25"/>
  <c r="DB23" i="25"/>
  <c r="DC17" i="25"/>
  <c r="DB17" i="25"/>
  <c r="DC10" i="25"/>
  <c r="DB10" i="25"/>
  <c r="DC12" i="25"/>
  <c r="DB12" i="25"/>
  <c r="DC79" i="25"/>
  <c r="DB79" i="25"/>
  <c r="DC78" i="25"/>
  <c r="DB78" i="25"/>
  <c r="DC73" i="25"/>
  <c r="DB73" i="25"/>
  <c r="DC68" i="25"/>
  <c r="DB68" i="25"/>
  <c r="DC63" i="25"/>
  <c r="DB63" i="25"/>
  <c r="DC58" i="25"/>
  <c r="DB58" i="25"/>
  <c r="DC53" i="25"/>
  <c r="DB53" i="25"/>
  <c r="DC48" i="25"/>
  <c r="DB48" i="25"/>
  <c r="DC43" i="25"/>
  <c r="DB43" i="25"/>
  <c r="DC38" i="25"/>
  <c r="DB38" i="25"/>
  <c r="DC31" i="25"/>
  <c r="DB31" i="25"/>
  <c r="DC25" i="25"/>
  <c r="DB25" i="25"/>
  <c r="DC21" i="25"/>
  <c r="DB21" i="25"/>
  <c r="DC15" i="25"/>
  <c r="DB15" i="25"/>
  <c r="DC13" i="25"/>
  <c r="DB13" i="25"/>
  <c r="DC9" i="25"/>
  <c r="DB9" i="25"/>
  <c r="DC77" i="25"/>
  <c r="DB77" i="25"/>
  <c r="DC72" i="25"/>
  <c r="DB72" i="25"/>
  <c r="DC67" i="25"/>
  <c r="DB67" i="25"/>
  <c r="DC62" i="25"/>
  <c r="DB62" i="25"/>
  <c r="DC57" i="25"/>
  <c r="DB57" i="25"/>
  <c r="DC52" i="25"/>
  <c r="DB52" i="25"/>
  <c r="DC47" i="25"/>
  <c r="DB47" i="25"/>
  <c r="DC42" i="25"/>
  <c r="DB42" i="25"/>
  <c r="DC37" i="25"/>
  <c r="DB37" i="25"/>
  <c r="DC32" i="25"/>
  <c r="DB32" i="25"/>
  <c r="DC27" i="25"/>
  <c r="DB27" i="25"/>
  <c r="DC20" i="25"/>
  <c r="DB20" i="25"/>
  <c r="DC14" i="25"/>
  <c r="DB14" i="25"/>
  <c r="DC8" i="25"/>
  <c r="DB8" i="25"/>
  <c r="DC6" i="25"/>
  <c r="DB6" i="25"/>
  <c r="DC76" i="25"/>
  <c r="DB76" i="25"/>
  <c r="DC71" i="25"/>
  <c r="DB71" i="25"/>
  <c r="DC66" i="25"/>
  <c r="DB66" i="25"/>
  <c r="DC61" i="25"/>
  <c r="DB61" i="25"/>
  <c r="DC56" i="25"/>
  <c r="DB56" i="25"/>
  <c r="DC51" i="25"/>
  <c r="DB51" i="25"/>
  <c r="DC46" i="25"/>
  <c r="DB46" i="25"/>
  <c r="DC41" i="25"/>
  <c r="DB41" i="25"/>
  <c r="DC36" i="25"/>
  <c r="DB36" i="25"/>
  <c r="DC33" i="25"/>
  <c r="DB33" i="25"/>
  <c r="DC30" i="25"/>
  <c r="DB30" i="25"/>
  <c r="DC22" i="25"/>
  <c r="DB22" i="25"/>
  <c r="DC18" i="25"/>
  <c r="DB18" i="25"/>
  <c r="DC16" i="25"/>
  <c r="DB16" i="25"/>
  <c r="CS78" i="25"/>
  <c r="CS77" i="25"/>
  <c r="CS79" i="25"/>
  <c r="AF23" i="26"/>
  <c r="DC81" i="25" l="1"/>
  <c r="CS81" i="25"/>
  <c r="CF81" i="25"/>
  <c r="H548" i="45"/>
  <c r="BI32" i="49"/>
  <c r="BM32" i="49" s="1"/>
  <c r="AZ32" i="49"/>
  <c r="CM16" i="40" l="1"/>
  <c r="CM11" i="40"/>
  <c r="CM13" i="40"/>
  <c r="CM14" i="40"/>
  <c r="CM9" i="40"/>
  <c r="CM6" i="40"/>
  <c r="CM4" i="40"/>
  <c r="CM8" i="40"/>
  <c r="CM12" i="40"/>
  <c r="CM18" i="40"/>
  <c r="CM5" i="40"/>
  <c r="CM26" i="40"/>
  <c r="CM10" i="40"/>
  <c r="CM20" i="40"/>
  <c r="CM17" i="40"/>
  <c r="CM25" i="40"/>
  <c r="CM30" i="40"/>
  <c r="CM22" i="40"/>
  <c r="CM32" i="40"/>
  <c r="CM19" i="40"/>
  <c r="CM21" i="40"/>
  <c r="CM24" i="40"/>
  <c r="CM23" i="40"/>
  <c r="CM31" i="40"/>
  <c r="CM29" i="40"/>
  <c r="CM27" i="40"/>
  <c r="CM7" i="40"/>
  <c r="G7" i="1" l="1" a="1"/>
  <c r="DO16" i="40"/>
  <c r="DO11" i="40"/>
  <c r="G12" i="1" a="1"/>
  <c r="DO13" i="40"/>
  <c r="G16" i="1" a="1"/>
  <c r="DO14" i="40"/>
  <c r="G17" i="1" a="1"/>
  <c r="DO9" i="40"/>
  <c r="DO6" i="40"/>
  <c r="G9" i="1" a="1"/>
  <c r="DO8" i="40"/>
  <c r="G11" i="1" a="1"/>
  <c r="DO12" i="40"/>
  <c r="DO18" i="40"/>
  <c r="DO5" i="40"/>
  <c r="G8" i="1" a="1"/>
  <c r="DO26" i="40"/>
  <c r="G29" i="1" a="1"/>
  <c r="DO10" i="40"/>
  <c r="G14" i="1" a="1"/>
  <c r="DO20" i="40"/>
  <c r="G23" i="1" a="1"/>
  <c r="DO17" i="40"/>
  <c r="G19" i="1" a="1"/>
  <c r="DO25" i="40"/>
  <c r="DO30" i="40"/>
  <c r="G33" i="1" a="1"/>
  <c r="DO22" i="40"/>
  <c r="G25" i="1" a="1"/>
  <c r="DO32" i="40"/>
  <c r="DO19" i="40"/>
  <c r="G22" i="1" a="1"/>
  <c r="DO21" i="40"/>
  <c r="DO24" i="40"/>
  <c r="DO23" i="40"/>
  <c r="G26" i="1" a="1"/>
  <c r="DO31" i="40"/>
  <c r="DO29" i="40"/>
  <c r="G32" i="1" a="1"/>
  <c r="DO27" i="40"/>
  <c r="DO7" i="40"/>
  <c r="G10" i="1" a="1"/>
  <c r="DO4" i="40"/>
  <c r="H547" i="45"/>
  <c r="G31" i="1" l="1" a="1"/>
  <c r="G20" i="1" a="1"/>
  <c r="G35" i="1" a="1"/>
  <c r="G15" i="1" a="1"/>
  <c r="G13" i="1" a="1"/>
  <c r="G18" i="1" a="1"/>
  <c r="G30" i="1" a="1"/>
  <c r="G24" i="1" a="1"/>
  <c r="G27" i="1" a="1"/>
  <c r="G34" i="1" a="1"/>
  <c r="G28" i="1" a="1"/>
  <c r="AQ48" i="26"/>
  <c r="CD33" i="40"/>
  <c r="CE87" i="40"/>
  <c r="H546" i="45"/>
  <c r="I545" i="45"/>
  <c r="H545" i="45"/>
  <c r="F545" i="45"/>
  <c r="CL13" i="40"/>
  <c r="CL33" i="40"/>
  <c r="CL53" i="40"/>
  <c r="CL75" i="40"/>
  <c r="CL67" i="40"/>
  <c r="CL48" i="40"/>
  <c r="CL50" i="40"/>
  <c r="CL60" i="40"/>
  <c r="CL40" i="40"/>
  <c r="CL81" i="40"/>
  <c r="CL72" i="40"/>
  <c r="CL59" i="40"/>
  <c r="CL61" i="40"/>
  <c r="CL73" i="40"/>
  <c r="CL77" i="40"/>
  <c r="CL49" i="40"/>
  <c r="CL43" i="40"/>
  <c r="CL78" i="40"/>
  <c r="CL42" i="40"/>
  <c r="CL58" i="40"/>
  <c r="CL65" i="40"/>
  <c r="CL45" i="40"/>
  <c r="CL56" i="40"/>
  <c r="CL64" i="40"/>
  <c r="CL70" i="40"/>
  <c r="CL69" i="40"/>
  <c r="CL52" i="40"/>
  <c r="CL76" i="40"/>
  <c r="CL62" i="40"/>
  <c r="CL46" i="40"/>
  <c r="CL85" i="40"/>
  <c r="CL84" i="40"/>
  <c r="CL57" i="40"/>
  <c r="CL74" i="40"/>
  <c r="CL87" i="40"/>
  <c r="CL91" i="40"/>
  <c r="CL92" i="40"/>
  <c r="CL93" i="40"/>
  <c r="CM91" i="40"/>
  <c r="CM92" i="40"/>
  <c r="CM93" i="40"/>
  <c r="CM53" i="40"/>
  <c r="CM75" i="40"/>
  <c r="CM66" i="40"/>
  <c r="CM67" i="40"/>
  <c r="CM37" i="40"/>
  <c r="CM48" i="40"/>
  <c r="CM50" i="40"/>
  <c r="CM60" i="40"/>
  <c r="CM54" i="40"/>
  <c r="CM40" i="40"/>
  <c r="CM38" i="40"/>
  <c r="CM81" i="40"/>
  <c r="CM72" i="40"/>
  <c r="CM59" i="40"/>
  <c r="CM51" i="40"/>
  <c r="CM61" i="40"/>
  <c r="CM73" i="40"/>
  <c r="CM77" i="40"/>
  <c r="CM49" i="40"/>
  <c r="CM43" i="40"/>
  <c r="CM78" i="40"/>
  <c r="CM42" i="40"/>
  <c r="CM58" i="40"/>
  <c r="CM65" i="40"/>
  <c r="CM45" i="40"/>
  <c r="CM47" i="40"/>
  <c r="CM56" i="40"/>
  <c r="CM64" i="40"/>
  <c r="CM63" i="40"/>
  <c r="CM70" i="40"/>
  <c r="CM69" i="40"/>
  <c r="CM52" i="40"/>
  <c r="CM76" i="40"/>
  <c r="CM86" i="40"/>
  <c r="CM62" i="40"/>
  <c r="CM39" i="40"/>
  <c r="CM55" i="40"/>
  <c r="CM46" i="40"/>
  <c r="CM44" i="40"/>
  <c r="CM80" i="40"/>
  <c r="CM41" i="40"/>
  <c r="CM85" i="40"/>
  <c r="CM84" i="40"/>
  <c r="CM83" i="40"/>
  <c r="CM57" i="40"/>
  <c r="CM71" i="40"/>
  <c r="CM82" i="40"/>
  <c r="CM74" i="40"/>
  <c r="CM79" i="40"/>
  <c r="CM87" i="40"/>
  <c r="CM15" i="40"/>
  <c r="CM33" i="40"/>
  <c r="BF32" i="49"/>
  <c r="BJ32" i="49" s="1"/>
  <c r="BN32" i="49" s="1"/>
  <c r="AH18" i="26"/>
  <c r="AF18" i="26"/>
  <c r="J59" i="20"/>
  <c r="K59" i="20"/>
  <c r="H544" i="45"/>
  <c r="H543" i="45"/>
  <c r="L59" i="40"/>
  <c r="G21" i="1" l="1" a="1"/>
  <c r="G50" i="31" a="1"/>
  <c r="H51" i="33" a="1"/>
  <c r="H34" i="33" a="1"/>
  <c r="G33" i="31" a="1"/>
  <c r="H17" i="33" a="1"/>
  <c r="G16" i="31" a="1"/>
  <c r="H48" i="33" a="1"/>
  <c r="G47" i="31" a="1"/>
  <c r="G56" i="31" a="1"/>
  <c r="H57" i="33" a="1"/>
  <c r="H23" i="33" a="1"/>
  <c r="G22" i="31" a="1"/>
  <c r="G51" i="31" a="1"/>
  <c r="H52" i="33" a="1"/>
  <c r="G45" i="31" a="1"/>
  <c r="H46" i="33" a="1"/>
  <c r="G13" i="31" a="1"/>
  <c r="H14" i="33" a="1"/>
  <c r="H15" i="33" a="1"/>
  <c r="G14" i="31" a="1"/>
  <c r="G34" i="31" a="1"/>
  <c r="H35" i="33" a="1"/>
  <c r="G11" i="31" a="1"/>
  <c r="H12" i="33" a="1"/>
  <c r="G39" i="31" a="1"/>
  <c r="H40" i="33" a="1"/>
  <c r="G48" i="31" a="1"/>
  <c r="H49" i="33" a="1"/>
  <c r="H9" i="33" a="1"/>
  <c r="G8" i="31" a="1"/>
  <c r="H24" i="33" a="1"/>
  <c r="G23" i="31" a="1"/>
  <c r="H25" i="33" a="1"/>
  <c r="G24" i="31" a="1"/>
  <c r="G17" i="31" a="1"/>
  <c r="H18" i="33" a="1"/>
  <c r="G18" i="31" a="1"/>
  <c r="H19" i="33" a="1"/>
  <c r="H41" i="33" a="1"/>
  <c r="G40" i="31" a="1"/>
  <c r="G10" i="31" a="1"/>
  <c r="H11" i="33" a="1"/>
  <c r="H53" i="33" a="1"/>
  <c r="G52" i="31" a="1"/>
  <c r="G30" i="31" a="1"/>
  <c r="H31" i="33" a="1"/>
  <c r="H42" i="33" a="1"/>
  <c r="G41" i="31" a="1"/>
  <c r="G25" i="31" a="1"/>
  <c r="H26" i="33" a="1"/>
  <c r="H27" i="33" a="1"/>
  <c r="G26" i="31" a="1"/>
  <c r="G43" i="31" a="1"/>
  <c r="H44" i="33" a="1"/>
  <c r="G20" i="31" a="1"/>
  <c r="H21" i="33" a="1"/>
  <c r="G9" i="31" a="1"/>
  <c r="H10" i="33" a="1"/>
  <c r="G31" i="31" a="1"/>
  <c r="H32" i="33" a="1"/>
  <c r="H33" i="33" a="1"/>
  <c r="G32" i="31" a="1"/>
  <c r="G15" i="31" a="1"/>
  <c r="H16" i="33" a="1"/>
  <c r="H22" i="33" a="1"/>
  <c r="G21" i="31" a="1"/>
  <c r="H8" i="33" a="1"/>
  <c r="G7" i="31" a="1"/>
  <c r="G19" i="31" a="1"/>
  <c r="H20" i="33" a="1"/>
  <c r="H56" i="33" a="1"/>
  <c r="G55" i="31" a="1"/>
  <c r="H36" i="33" a="1"/>
  <c r="G35" i="31" a="1"/>
  <c r="G29" i="31" a="1"/>
  <c r="H30" i="33" a="1"/>
  <c r="G37" i="31" a="1"/>
  <c r="H38" i="33" a="1"/>
  <c r="G54" i="31" a="1"/>
  <c r="H55" i="33" a="1"/>
  <c r="H47" i="33" a="1"/>
  <c r="G46" i="31" a="1"/>
  <c r="G28" i="31" a="1"/>
  <c r="H29" i="33" a="1"/>
  <c r="G42" i="31" a="1"/>
  <c r="H43" i="33" a="1"/>
  <c r="G36" i="31" a="1"/>
  <c r="H37" i="33" a="1"/>
  <c r="G49" i="31" a="1"/>
  <c r="H50" i="33" a="1"/>
  <c r="G44" i="31" a="1"/>
  <c r="H45" i="33" a="1"/>
  <c r="G53" i="31" a="1"/>
  <c r="H54" i="33" a="1"/>
  <c r="G27" i="31" a="1"/>
  <c r="H28" i="33" a="1"/>
  <c r="DO42" i="40"/>
  <c r="K27" i="1"/>
  <c r="CM1" i="40"/>
  <c r="K30" i="1"/>
  <c r="J18" i="26"/>
  <c r="J16" i="26"/>
  <c r="DO85" i="40"/>
  <c r="DO52" i="40"/>
  <c r="DO75" i="40"/>
  <c r="DO82" i="40"/>
  <c r="DO46" i="40"/>
  <c r="DO64" i="40"/>
  <c r="DO77" i="40"/>
  <c r="DO60" i="40"/>
  <c r="DO91" i="40"/>
  <c r="DO69" i="40"/>
  <c r="DO63" i="40"/>
  <c r="DO47" i="40"/>
  <c r="DO41" i="40"/>
  <c r="DO53" i="40"/>
  <c r="DO79" i="40"/>
  <c r="DO93" i="40"/>
  <c r="DO44" i="40"/>
  <c r="DO92" i="40"/>
  <c r="DO39" i="40"/>
  <c r="J14" i="26"/>
  <c r="DO62" i="40"/>
  <c r="DO51" i="40"/>
  <c r="DO37" i="40"/>
  <c r="DO87" i="40"/>
  <c r="DO38" i="40"/>
  <c r="DO33" i="40"/>
  <c r="DO80" i="40"/>
  <c r="DO40" i="40"/>
  <c r="DO74" i="40"/>
  <c r="DO49" i="40"/>
  <c r="DO54" i="40"/>
  <c r="DO71" i="40"/>
  <c r="DO55" i="40"/>
  <c r="DO50" i="40"/>
  <c r="DO57" i="40"/>
  <c r="J17" i="26"/>
  <c r="DO83" i="40"/>
  <c r="DO59" i="40"/>
  <c r="K12" i="1"/>
  <c r="DO84" i="40"/>
  <c r="DO76" i="40"/>
  <c r="DO70" i="40"/>
  <c r="DO45" i="40"/>
  <c r="DO65" i="40"/>
  <c r="DO58" i="40"/>
  <c r="DO78" i="40"/>
  <c r="DO43" i="40"/>
  <c r="DO61" i="40"/>
  <c r="DO81" i="40"/>
  <c r="DO48" i="40"/>
  <c r="DO67" i="40"/>
  <c r="DO66" i="40"/>
  <c r="DO72" i="40"/>
  <c r="J23" i="26"/>
  <c r="J10" i="26"/>
  <c r="K11" i="1"/>
  <c r="J9" i="26"/>
  <c r="J19" i="26"/>
  <c r="K28" i="1"/>
  <c r="J20" i="26"/>
  <c r="K10" i="1"/>
  <c r="K14" i="1"/>
  <c r="J34" i="26"/>
  <c r="J26" i="26"/>
  <c r="J30" i="26"/>
  <c r="J33" i="26"/>
  <c r="K34" i="1"/>
  <c r="J21" i="26"/>
  <c r="DO56" i="40"/>
  <c r="J8" i="26"/>
  <c r="J36" i="26"/>
  <c r="DO15" i="40"/>
  <c r="DO86" i="40"/>
  <c r="DO73" i="40"/>
  <c r="K26" i="1"/>
  <c r="K23" i="1"/>
  <c r="K34" i="33"/>
  <c r="K53" i="33"/>
  <c r="K17" i="33"/>
  <c r="K20" i="33"/>
  <c r="K25" i="33"/>
  <c r="K11" i="33"/>
  <c r="K15" i="33"/>
  <c r="J22" i="26"/>
  <c r="K33" i="33"/>
  <c r="K18" i="33"/>
  <c r="K32" i="33"/>
  <c r="K19" i="33"/>
  <c r="K55" i="33"/>
  <c r="K47" i="33"/>
  <c r="K36" i="33"/>
  <c r="K30" i="33"/>
  <c r="K38" i="33"/>
  <c r="K57" i="33"/>
  <c r="K23" i="33"/>
  <c r="K29" i="33"/>
  <c r="K43" i="33"/>
  <c r="K37" i="33"/>
  <c r="K28" i="33"/>
  <c r="K27" i="33"/>
  <c r="K44" i="33"/>
  <c r="K21" i="33"/>
  <c r="K12" i="33"/>
  <c r="K40" i="33"/>
  <c r="K13" i="33"/>
  <c r="K52" i="33"/>
  <c r="K46" i="33"/>
  <c r="K45" i="33"/>
  <c r="K14" i="33"/>
  <c r="K42" i="33"/>
  <c r="K26" i="33"/>
  <c r="K35" i="33"/>
  <c r="K48" i="33"/>
  <c r="K31" i="33"/>
  <c r="K10" i="33"/>
  <c r="K54" i="33"/>
  <c r="K56" i="33"/>
  <c r="K16" i="33"/>
  <c r="K22" i="33"/>
  <c r="K8" i="33"/>
  <c r="DV79" i="40"/>
  <c r="K51" i="33"/>
  <c r="K41" i="33"/>
  <c r="K49" i="33"/>
  <c r="K9" i="33"/>
  <c r="K24" i="33"/>
  <c r="K8" i="1"/>
  <c r="K15" i="1"/>
  <c r="J11" i="26"/>
  <c r="J31" i="26"/>
  <c r="K22" i="1"/>
  <c r="J28" i="26"/>
  <c r="DV21" i="40"/>
  <c r="J13" i="26"/>
  <c r="AN53" i="26"/>
  <c r="DV13" i="40"/>
  <c r="DV9" i="40"/>
  <c r="DV14" i="40"/>
  <c r="DV6" i="40"/>
  <c r="DV12" i="40"/>
  <c r="DV24" i="40"/>
  <c r="DV27" i="40"/>
  <c r="K16" i="1"/>
  <c r="K17" i="1"/>
  <c r="K9" i="1"/>
  <c r="CE33" i="40"/>
  <c r="E545" i="45"/>
  <c r="G42" i="40"/>
  <c r="J42" i="40" s="1"/>
  <c r="G64" i="40"/>
  <c r="H542" i="45"/>
  <c r="H541" i="45"/>
  <c r="H539" i="45"/>
  <c r="I539" i="45"/>
  <c r="F539" i="45"/>
  <c r="E539" i="45" s="1"/>
  <c r="AX25" i="1"/>
  <c r="G12" i="31" l="1" a="1"/>
  <c r="H13" i="33" a="1"/>
  <c r="K13" i="1"/>
  <c r="DV11" i="40"/>
  <c r="J29" i="26"/>
  <c r="K29" i="1"/>
  <c r="J12" i="26"/>
  <c r="K32" i="1"/>
  <c r="J27" i="26"/>
  <c r="J35" i="26"/>
  <c r="K35" i="1"/>
  <c r="DV4" i="40"/>
  <c r="DV20" i="40"/>
  <c r="K25" i="1"/>
  <c r="K20" i="1"/>
  <c r="DV8" i="40"/>
  <c r="DV18" i="40"/>
  <c r="DV26" i="40"/>
  <c r="DV22" i="40"/>
  <c r="DV17" i="40"/>
  <c r="DV25" i="40"/>
  <c r="DV32" i="40"/>
  <c r="DV19" i="40"/>
  <c r="DV7" i="40"/>
  <c r="DV16" i="40"/>
  <c r="K7" i="1"/>
  <c r="K18" i="1"/>
  <c r="DV29" i="40"/>
  <c r="K33" i="1"/>
  <c r="DV10" i="40"/>
  <c r="J15" i="26"/>
  <c r="K19" i="1"/>
  <c r="DV30" i="40"/>
  <c r="J24" i="26"/>
  <c r="DV31" i="40"/>
  <c r="DV5" i="40"/>
  <c r="K21" i="31"/>
  <c r="K43" i="31"/>
  <c r="K10" i="31"/>
  <c r="DV65" i="40"/>
  <c r="K35" i="31"/>
  <c r="DV73" i="40"/>
  <c r="DV40" i="40"/>
  <c r="K37" i="31"/>
  <c r="K47" i="31"/>
  <c r="K19" i="31"/>
  <c r="DV49" i="40"/>
  <c r="K20" i="31"/>
  <c r="DV63" i="40"/>
  <c r="DV57" i="40"/>
  <c r="K24" i="31"/>
  <c r="DV84" i="40"/>
  <c r="K45" i="31"/>
  <c r="DV48" i="40"/>
  <c r="K46" i="31"/>
  <c r="K41" i="31"/>
  <c r="DV75" i="40"/>
  <c r="K27" i="31"/>
  <c r="DV56" i="40"/>
  <c r="DV46" i="40"/>
  <c r="DV54" i="40"/>
  <c r="K16" i="31"/>
  <c r="K31" i="31"/>
  <c r="K54" i="31"/>
  <c r="DV43" i="40"/>
  <c r="K18" i="31"/>
  <c r="K36" i="31"/>
  <c r="K55" i="31"/>
  <c r="K29" i="31"/>
  <c r="K44" i="31"/>
  <c r="DV44" i="40"/>
  <c r="DV64" i="40"/>
  <c r="DV67" i="40"/>
  <c r="DV66" i="40"/>
  <c r="DV82" i="40"/>
  <c r="K33" i="31"/>
  <c r="K11" i="31"/>
  <c r="DV59" i="40"/>
  <c r="K28" i="31"/>
  <c r="K50" i="31"/>
  <c r="DV41" i="40"/>
  <c r="DV78" i="40"/>
  <c r="K56" i="31"/>
  <c r="DV47" i="40"/>
  <c r="K22" i="31"/>
  <c r="K34" i="31"/>
  <c r="DV80" i="40"/>
  <c r="K39" i="31"/>
  <c r="K40" i="31"/>
  <c r="DV50" i="40"/>
  <c r="DV85" i="40"/>
  <c r="K12" i="31"/>
  <c r="K52" i="31"/>
  <c r="K30" i="31"/>
  <c r="DV69" i="40"/>
  <c r="DV77" i="40"/>
  <c r="DV76" i="40"/>
  <c r="DV81" i="40"/>
  <c r="K26" i="31"/>
  <c r="K25" i="31"/>
  <c r="K53" i="31"/>
  <c r="DV52" i="40"/>
  <c r="DV38" i="40"/>
  <c r="DV83" i="40"/>
  <c r="DV61" i="40"/>
  <c r="K32" i="31"/>
  <c r="K42" i="31"/>
  <c r="K17" i="31"/>
  <c r="K7" i="31"/>
  <c r="K51" i="31"/>
  <c r="DV62" i="40"/>
  <c r="DV53" i="40"/>
  <c r="DV15" i="40"/>
  <c r="DV23" i="40"/>
  <c r="K21" i="1"/>
  <c r="DV58" i="40"/>
  <c r="K13" i="31"/>
  <c r="DV60" i="40"/>
  <c r="K23" i="31"/>
  <c r="DV42" i="40"/>
  <c r="DV74" i="40"/>
  <c r="K48" i="31"/>
  <c r="K15" i="31"/>
  <c r="K8" i="31"/>
  <c r="DV70" i="40"/>
  <c r="K9" i="31"/>
  <c r="K14" i="31"/>
  <c r="DV71" i="40"/>
  <c r="DV86" i="40"/>
  <c r="DV45" i="40"/>
  <c r="DV51" i="40"/>
  <c r="K49" i="31"/>
  <c r="K50" i="33"/>
  <c r="DV37" i="40"/>
  <c r="DV55" i="40"/>
  <c r="DV72" i="40"/>
  <c r="DV39" i="40"/>
  <c r="K24" i="1"/>
  <c r="J25" i="26"/>
  <c r="I42" i="40"/>
  <c r="H540" i="45"/>
  <c r="BD23" i="31"/>
  <c r="G74" i="40"/>
  <c r="BA2" i="1"/>
  <c r="DI10" i="25"/>
  <c r="DI19" i="25"/>
  <c r="DI13" i="25"/>
  <c r="DI18" i="25"/>
  <c r="DI15" i="25"/>
  <c r="DI17" i="25"/>
  <c r="DI11" i="25"/>
  <c r="DI30" i="25"/>
  <c r="DI22" i="25"/>
  <c r="DI28" i="25"/>
  <c r="DI20" i="25"/>
  <c r="DI25" i="25"/>
  <c r="DI29" i="25"/>
  <c r="DI21" i="25"/>
  <c r="DI26" i="25"/>
  <c r="DI33" i="25"/>
  <c r="DI32" i="25"/>
  <c r="DI23" i="25"/>
  <c r="DI27" i="25"/>
  <c r="DI31" i="25"/>
  <c r="DI6" i="25"/>
  <c r="DI16" i="25"/>
  <c r="DI9" i="25"/>
  <c r="DI12" i="25"/>
  <c r="DI8" i="25"/>
  <c r="DI7" i="25"/>
  <c r="DI14" i="25"/>
  <c r="DI5" i="25"/>
  <c r="CT6" i="25"/>
  <c r="CT16" i="25"/>
  <c r="CT9" i="25"/>
  <c r="CT12" i="25"/>
  <c r="CT8" i="25"/>
  <c r="CT7" i="25"/>
  <c r="CT14" i="25"/>
  <c r="CT10" i="25"/>
  <c r="CT19" i="25"/>
  <c r="CT13" i="25"/>
  <c r="CT18" i="25"/>
  <c r="CT15" i="25"/>
  <c r="CT17" i="25"/>
  <c r="CT11" i="25"/>
  <c r="CT30" i="25"/>
  <c r="CT22" i="25"/>
  <c r="CT28" i="25"/>
  <c r="CT20" i="25"/>
  <c r="CT25" i="25"/>
  <c r="CT29" i="25"/>
  <c r="CT21" i="25"/>
  <c r="CT26" i="25"/>
  <c r="CT33" i="25"/>
  <c r="CT32" i="25"/>
  <c r="CT23" i="25"/>
  <c r="CT27" i="25"/>
  <c r="CT31" i="25"/>
  <c r="CT5" i="25"/>
  <c r="BX5" i="25"/>
  <c r="BX6" i="25"/>
  <c r="BX16" i="25"/>
  <c r="BX9" i="25"/>
  <c r="BX12" i="25"/>
  <c r="CG6" i="25"/>
  <c r="CG16" i="25"/>
  <c r="CG9" i="25"/>
  <c r="CG12" i="25"/>
  <c r="CG8" i="25"/>
  <c r="CG7" i="25"/>
  <c r="CG14" i="25"/>
  <c r="CG10" i="25"/>
  <c r="CG19" i="25"/>
  <c r="CG13" i="25"/>
  <c r="CG18" i="25"/>
  <c r="CG15" i="25"/>
  <c r="CG17" i="25"/>
  <c r="CG11" i="25"/>
  <c r="CG30" i="25"/>
  <c r="CG22" i="25"/>
  <c r="CG28" i="25"/>
  <c r="CG20" i="25"/>
  <c r="CG25" i="25"/>
  <c r="CG29" i="25"/>
  <c r="CG21" i="25"/>
  <c r="CG26" i="25"/>
  <c r="CG33" i="25"/>
  <c r="CG32" i="25"/>
  <c r="CG23" i="25"/>
  <c r="CG27" i="25"/>
  <c r="CG31" i="25"/>
  <c r="CG5" i="25"/>
  <c r="BX7" i="25"/>
  <c r="BX14" i="25"/>
  <c r="BX10" i="25"/>
  <c r="BX19" i="25"/>
  <c r="BX13" i="25"/>
  <c r="BX18" i="25"/>
  <c r="BX15" i="25"/>
  <c r="BX17" i="25"/>
  <c r="BX11" i="25"/>
  <c r="BX30" i="25"/>
  <c r="BX22" i="25"/>
  <c r="BX28" i="25"/>
  <c r="BX20" i="25"/>
  <c r="BX25" i="25"/>
  <c r="BX29" i="25"/>
  <c r="BX21" i="25"/>
  <c r="BX26" i="25"/>
  <c r="BX33" i="25"/>
  <c r="BX32" i="25"/>
  <c r="BX23" i="25"/>
  <c r="BX27" i="25"/>
  <c r="BX31" i="25"/>
  <c r="BX8" i="25"/>
  <c r="BF81" i="25"/>
  <c r="BR6" i="25"/>
  <c r="BR16" i="25"/>
  <c r="BR9" i="25"/>
  <c r="BR12" i="25"/>
  <c r="BR8" i="25"/>
  <c r="BR7" i="25"/>
  <c r="BR14" i="25"/>
  <c r="BR10" i="25"/>
  <c r="BR19" i="25"/>
  <c r="BR13" i="25"/>
  <c r="BR18" i="25"/>
  <c r="BR15" i="25"/>
  <c r="BR17" i="25"/>
  <c r="BR11" i="25"/>
  <c r="BR30" i="25"/>
  <c r="BR22" i="25"/>
  <c r="BR28" i="25"/>
  <c r="BR20" i="25"/>
  <c r="BR25" i="25"/>
  <c r="BR29" i="25"/>
  <c r="BR21" i="25"/>
  <c r="BR26" i="25"/>
  <c r="BR33" i="25"/>
  <c r="BR32" i="25"/>
  <c r="BR23" i="25"/>
  <c r="BR27" i="25"/>
  <c r="BR31" i="25"/>
  <c r="BR5" i="25"/>
  <c r="BB12" i="25"/>
  <c r="BB8" i="25"/>
  <c r="BB7" i="25"/>
  <c r="BB14" i="25"/>
  <c r="BB10" i="25"/>
  <c r="BB19" i="25"/>
  <c r="BB13" i="25"/>
  <c r="BB18" i="25"/>
  <c r="BB15" i="25"/>
  <c r="BB17" i="25"/>
  <c r="BB11" i="25"/>
  <c r="BB30" i="25"/>
  <c r="BB22" i="25"/>
  <c r="BB28" i="25"/>
  <c r="BB20" i="25"/>
  <c r="BB25" i="25"/>
  <c r="BB29" i="25"/>
  <c r="BB21" i="25"/>
  <c r="BB26" i="25"/>
  <c r="BB33" i="25"/>
  <c r="BB32" i="25"/>
  <c r="BB23" i="25"/>
  <c r="BB27" i="25"/>
  <c r="BB31" i="25"/>
  <c r="BB6" i="25"/>
  <c r="BB16" i="25"/>
  <c r="BB9" i="25"/>
  <c r="BB5" i="25"/>
  <c r="AV6" i="25"/>
  <c r="AV16" i="25"/>
  <c r="AV9" i="25"/>
  <c r="AV12" i="25"/>
  <c r="AV8" i="25"/>
  <c r="AV7" i="25"/>
  <c r="AV14" i="25"/>
  <c r="AV10" i="25"/>
  <c r="AV19" i="25"/>
  <c r="AV13" i="25"/>
  <c r="AV18" i="25"/>
  <c r="AV15" i="25"/>
  <c r="AV17" i="25"/>
  <c r="AV11" i="25"/>
  <c r="AV30" i="25"/>
  <c r="AV22" i="25"/>
  <c r="AV28" i="25"/>
  <c r="AV20" i="25"/>
  <c r="AV25" i="25"/>
  <c r="AV29" i="25"/>
  <c r="AV21" i="25"/>
  <c r="AV26" i="25"/>
  <c r="AV33" i="25"/>
  <c r="AV32" i="25"/>
  <c r="AV23" i="25"/>
  <c r="AV27" i="25"/>
  <c r="AV31" i="25"/>
  <c r="AV5" i="25"/>
  <c r="AP6" i="25"/>
  <c r="AP16" i="25"/>
  <c r="AP9" i="25"/>
  <c r="AP12" i="25"/>
  <c r="AP8" i="25"/>
  <c r="AP7" i="25"/>
  <c r="AP14" i="25"/>
  <c r="AP10" i="25"/>
  <c r="AP19" i="25"/>
  <c r="AP13" i="25"/>
  <c r="AP18" i="25"/>
  <c r="AP15" i="25"/>
  <c r="AP17" i="25"/>
  <c r="AP11" i="25"/>
  <c r="AP30" i="25"/>
  <c r="AP22" i="25"/>
  <c r="AP28" i="25"/>
  <c r="AP20" i="25"/>
  <c r="AP25" i="25"/>
  <c r="AP29" i="25"/>
  <c r="AP21" i="25"/>
  <c r="AP26" i="25"/>
  <c r="AP33" i="25"/>
  <c r="AP32" i="25"/>
  <c r="AP23" i="25"/>
  <c r="AP27" i="25"/>
  <c r="AP31" i="25"/>
  <c r="AP5" i="25"/>
  <c r="AJ6" i="25"/>
  <c r="AJ16" i="25"/>
  <c r="AJ9" i="25"/>
  <c r="AJ12" i="25"/>
  <c r="AJ8" i="25"/>
  <c r="AJ7" i="25"/>
  <c r="AJ14" i="25"/>
  <c r="AJ10" i="25"/>
  <c r="AJ19" i="25"/>
  <c r="AJ13" i="25"/>
  <c r="AJ18" i="25"/>
  <c r="AJ15" i="25"/>
  <c r="AJ17" i="25"/>
  <c r="AJ11" i="25"/>
  <c r="AJ30" i="25"/>
  <c r="AJ22" i="25"/>
  <c r="AJ28" i="25"/>
  <c r="AJ20" i="25"/>
  <c r="AJ25" i="25"/>
  <c r="AJ29" i="25"/>
  <c r="AJ21" i="25"/>
  <c r="AJ26" i="25"/>
  <c r="AJ33" i="25"/>
  <c r="AJ32" i="25"/>
  <c r="AJ23" i="25"/>
  <c r="AJ27" i="25"/>
  <c r="AJ31" i="25"/>
  <c r="AJ5" i="25"/>
  <c r="AD12" i="25"/>
  <c r="AD8" i="25"/>
  <c r="AD7" i="25"/>
  <c r="AD14" i="25"/>
  <c r="AD10" i="25"/>
  <c r="AD19" i="25"/>
  <c r="AD13" i="25"/>
  <c r="AD18" i="25"/>
  <c r="AD15" i="25"/>
  <c r="AD17" i="25"/>
  <c r="AD11" i="25"/>
  <c r="AD30" i="25"/>
  <c r="AD22" i="25"/>
  <c r="AD28" i="25"/>
  <c r="AD20" i="25"/>
  <c r="AD25" i="25"/>
  <c r="AD29" i="25"/>
  <c r="AD21" i="25"/>
  <c r="AD26" i="25"/>
  <c r="AD33" i="25"/>
  <c r="AD32" i="25"/>
  <c r="AD23" i="25"/>
  <c r="AD27" i="25"/>
  <c r="AD31" i="25"/>
  <c r="AD6" i="25"/>
  <c r="AD16" i="25"/>
  <c r="AD9" i="25"/>
  <c r="AD5" i="25"/>
  <c r="BH10" i="25"/>
  <c r="BH30" i="25"/>
  <c r="BH5" i="25"/>
  <c r="BH9" i="25"/>
  <c r="BH12" i="25"/>
  <c r="BH13" i="25"/>
  <c r="BH7" i="25"/>
  <c r="BH14" i="25"/>
  <c r="BH6" i="25"/>
  <c r="BH18" i="25"/>
  <c r="BH19" i="25"/>
  <c r="BH11" i="25"/>
  <c r="BH8" i="25"/>
  <c r="BH22" i="25"/>
  <c r="BH15" i="25"/>
  <c r="BH17" i="25"/>
  <c r="BH31" i="25"/>
  <c r="BH21" i="25"/>
  <c r="BH28" i="25"/>
  <c r="BH26" i="25"/>
  <c r="BH20" i="25"/>
  <c r="BH23" i="25"/>
  <c r="BH29" i="25"/>
  <c r="BH25" i="25"/>
  <c r="BH27" i="25"/>
  <c r="BH33" i="25"/>
  <c r="BH32" i="25"/>
  <c r="BH16" i="25"/>
  <c r="AL20" i="33"/>
  <c r="AJ20" i="33"/>
  <c r="CD16" i="40"/>
  <c r="CD92" i="40"/>
  <c r="CE92" i="40" s="1"/>
  <c r="CD93" i="40"/>
  <c r="CE93" i="40" s="1"/>
  <c r="CD91" i="40"/>
  <c r="CE91" i="40" s="1"/>
  <c r="CD71" i="40"/>
  <c r="CD86" i="40"/>
  <c r="CD79" i="40"/>
  <c r="CD75" i="40"/>
  <c r="CD57" i="40"/>
  <c r="CD52" i="40"/>
  <c r="CD48" i="40"/>
  <c r="CD84" i="40"/>
  <c r="CD83" i="40"/>
  <c r="CD82" i="40"/>
  <c r="CE82" i="40" s="1"/>
  <c r="CD46" i="40"/>
  <c r="CD61" i="40"/>
  <c r="CD78" i="40"/>
  <c r="CD80" i="40"/>
  <c r="CD70" i="40"/>
  <c r="CD59" i="40"/>
  <c r="CD60" i="40"/>
  <c r="CD74" i="40"/>
  <c r="CD76" i="40"/>
  <c r="CD77" i="40"/>
  <c r="CE77" i="40" s="1"/>
  <c r="CD55" i="40"/>
  <c r="CD41" i="40"/>
  <c r="CD85" i="40"/>
  <c r="CE85" i="40" s="1"/>
  <c r="CD65" i="40"/>
  <c r="CD50" i="40"/>
  <c r="CD38" i="40"/>
  <c r="CD42" i="40"/>
  <c r="CD51" i="40"/>
  <c r="CD39" i="40"/>
  <c r="CD62" i="40"/>
  <c r="CE62" i="40" s="1"/>
  <c r="CD72" i="40"/>
  <c r="CD66" i="40"/>
  <c r="CD56" i="40"/>
  <c r="CD73" i="40"/>
  <c r="CD47" i="40"/>
  <c r="CD37" i="40"/>
  <c r="CD58" i="40"/>
  <c r="CD44" i="40"/>
  <c r="CD45" i="40"/>
  <c r="CD64" i="40"/>
  <c r="CD54" i="40"/>
  <c r="CD53" i="40"/>
  <c r="CD63" i="40"/>
  <c r="CD69" i="40"/>
  <c r="CD40" i="40"/>
  <c r="CD43" i="40"/>
  <c r="CD81" i="40"/>
  <c r="CD49" i="40"/>
  <c r="CD67" i="40"/>
  <c r="CD26" i="40"/>
  <c r="CD30" i="40"/>
  <c r="CD15" i="40"/>
  <c r="CD27" i="40"/>
  <c r="CD29" i="40"/>
  <c r="CD25" i="40"/>
  <c r="CD20" i="40"/>
  <c r="CD14" i="40"/>
  <c r="CD7" i="40"/>
  <c r="CD31" i="40"/>
  <c r="CD32" i="40"/>
  <c r="CD21" i="40"/>
  <c r="CD24" i="40"/>
  <c r="CD19" i="40"/>
  <c r="CD18" i="40"/>
  <c r="CD11" i="40"/>
  <c r="CD8" i="40"/>
  <c r="CD5" i="40"/>
  <c r="CD4" i="40"/>
  <c r="CD12" i="40"/>
  <c r="CD17" i="40"/>
  <c r="CD10" i="40"/>
  <c r="CD23" i="40"/>
  <c r="CD22" i="40"/>
  <c r="CD9" i="40"/>
  <c r="CD6" i="40"/>
  <c r="CD13" i="40"/>
  <c r="CI92" i="40"/>
  <c r="CI93" i="40"/>
  <c r="CI91" i="40"/>
  <c r="CI49" i="40"/>
  <c r="CI81" i="40"/>
  <c r="CI43" i="40"/>
  <c r="CI69" i="40"/>
  <c r="CI40" i="40"/>
  <c r="CI53" i="40"/>
  <c r="CI58" i="40"/>
  <c r="CI45" i="40"/>
  <c r="CI64" i="40"/>
  <c r="CI73" i="40"/>
  <c r="CI56" i="40"/>
  <c r="CI72" i="40"/>
  <c r="CI62" i="40"/>
  <c r="CI65" i="40"/>
  <c r="CI50" i="40"/>
  <c r="CI42" i="40"/>
  <c r="CI85" i="40"/>
  <c r="CI77" i="40"/>
  <c r="CI76" i="40"/>
  <c r="CI74" i="40"/>
  <c r="CI60" i="40"/>
  <c r="CI59" i="40"/>
  <c r="CI70" i="40"/>
  <c r="CI61" i="40"/>
  <c r="CI78" i="40"/>
  <c r="CI57" i="40"/>
  <c r="CI52" i="40"/>
  <c r="CI48" i="40"/>
  <c r="CI84" i="40"/>
  <c r="CI46" i="40"/>
  <c r="CI75" i="40"/>
  <c r="CI67" i="40"/>
  <c r="CI13" i="40"/>
  <c r="CJ7" i="40"/>
  <c r="CJ15" i="40"/>
  <c r="CJ67" i="40"/>
  <c r="CJ49" i="40"/>
  <c r="CJ81" i="40"/>
  <c r="CJ43" i="40"/>
  <c r="CJ69" i="40"/>
  <c r="CJ40" i="40"/>
  <c r="CJ63" i="40"/>
  <c r="CJ53" i="40"/>
  <c r="CJ58" i="40"/>
  <c r="CJ44" i="40"/>
  <c r="CJ45" i="40"/>
  <c r="CJ64" i="40"/>
  <c r="CJ54" i="40"/>
  <c r="CJ47" i="40"/>
  <c r="CJ37" i="40"/>
  <c r="CJ73" i="40"/>
  <c r="CJ56" i="40"/>
  <c r="CJ66" i="40"/>
  <c r="CJ72" i="40"/>
  <c r="CJ62" i="40"/>
  <c r="CJ65" i="40"/>
  <c r="CJ50" i="40"/>
  <c r="CJ38" i="40"/>
  <c r="CJ42" i="40"/>
  <c r="CJ51" i="40"/>
  <c r="CJ39" i="40"/>
  <c r="CJ55" i="40"/>
  <c r="CJ41" i="40"/>
  <c r="CJ85" i="40"/>
  <c r="CJ77" i="40"/>
  <c r="CJ76" i="40"/>
  <c r="CJ74" i="40"/>
  <c r="CJ60" i="40"/>
  <c r="CJ80" i="40"/>
  <c r="CJ59" i="40"/>
  <c r="CJ70" i="40"/>
  <c r="CJ61" i="40"/>
  <c r="CJ78" i="40"/>
  <c r="CJ57" i="40"/>
  <c r="CJ52" i="40"/>
  <c r="CJ48" i="40"/>
  <c r="CJ84" i="40"/>
  <c r="CJ83" i="40"/>
  <c r="CJ82" i="40"/>
  <c r="CJ46" i="40"/>
  <c r="CJ75" i="40"/>
  <c r="CJ79" i="40"/>
  <c r="CJ86" i="40"/>
  <c r="CJ71" i="40"/>
  <c r="CJ87" i="40"/>
  <c r="CJ91" i="40"/>
  <c r="CJ92" i="40"/>
  <c r="CJ93" i="40"/>
  <c r="CJ24" i="40"/>
  <c r="CJ21" i="40"/>
  <c r="CJ31" i="40"/>
  <c r="CJ8" i="40"/>
  <c r="CJ18" i="40"/>
  <c r="CJ19" i="40"/>
  <c r="CJ11" i="40"/>
  <c r="CJ29" i="40"/>
  <c r="CJ25" i="40"/>
  <c r="CJ17" i="40"/>
  <c r="CJ5" i="40"/>
  <c r="CJ27" i="40"/>
  <c r="CJ30" i="40"/>
  <c r="CJ22" i="40"/>
  <c r="CJ23" i="40"/>
  <c r="CJ10" i="40"/>
  <c r="CJ26" i="40"/>
  <c r="CJ4" i="40"/>
  <c r="CJ12" i="40"/>
  <c r="CJ13" i="40"/>
  <c r="CJ32" i="40"/>
  <c r="CJ9" i="40"/>
  <c r="CJ16" i="40"/>
  <c r="CJ20" i="40"/>
  <c r="CJ6" i="40"/>
  <c r="CJ14" i="40"/>
  <c r="CI33" i="40"/>
  <c r="CI87" i="40"/>
  <c r="CI90" i="40"/>
  <c r="AV34" i="40"/>
  <c r="AY34" i="40"/>
  <c r="BZ34" i="40"/>
  <c r="CH1" i="40"/>
  <c r="AS1" i="40"/>
  <c r="AY40" i="31"/>
  <c r="BD32" i="49"/>
  <c r="BG32" i="49" s="1"/>
  <c r="CB13" i="40"/>
  <c r="CB32" i="40"/>
  <c r="CB9" i="40"/>
  <c r="CB16" i="40"/>
  <c r="DM16" i="40" s="1"/>
  <c r="CB20" i="40"/>
  <c r="CB6" i="40"/>
  <c r="DM6" i="40" s="1"/>
  <c r="CB30" i="40"/>
  <c r="DM30" i="40" s="1"/>
  <c r="CB22" i="40"/>
  <c r="DM22" i="40" s="1"/>
  <c r="CB23" i="40"/>
  <c r="DM23" i="40" s="1"/>
  <c r="CB10" i="40"/>
  <c r="DM10" i="40" s="1"/>
  <c r="CB26" i="40"/>
  <c r="CB4" i="40"/>
  <c r="CB12" i="40"/>
  <c r="DM12" i="40" s="1"/>
  <c r="CB25" i="40"/>
  <c r="DM25" i="40" s="1"/>
  <c r="CB17" i="40"/>
  <c r="CB5" i="40"/>
  <c r="CB27" i="40"/>
  <c r="CB8" i="40"/>
  <c r="DM8" i="40" s="1"/>
  <c r="CB18" i="40"/>
  <c r="DM18" i="40" s="1"/>
  <c r="CB19" i="40"/>
  <c r="DM19" i="40" s="1"/>
  <c r="CB11" i="40"/>
  <c r="DM11" i="40" s="1"/>
  <c r="CB29" i="40"/>
  <c r="DM29" i="40" s="1"/>
  <c r="CB24" i="40"/>
  <c r="DM24" i="40" s="1"/>
  <c r="CB21" i="40"/>
  <c r="DM21" i="40" s="1"/>
  <c r="CB31" i="40"/>
  <c r="CB7" i="40"/>
  <c r="CB15" i="40"/>
  <c r="CB67" i="40"/>
  <c r="DM67" i="40" s="1"/>
  <c r="CB49" i="40"/>
  <c r="DM49" i="40" s="1"/>
  <c r="CB81" i="40"/>
  <c r="DM81" i="40" s="1"/>
  <c r="CB43" i="40"/>
  <c r="DM43" i="40" s="1"/>
  <c r="CB69" i="40"/>
  <c r="DM69" i="40" s="1"/>
  <c r="CB40" i="40"/>
  <c r="DM40" i="40" s="1"/>
  <c r="CB63" i="40"/>
  <c r="DM63" i="40" s="1"/>
  <c r="CB53" i="40"/>
  <c r="DM53" i="40" s="1"/>
  <c r="CB58" i="40"/>
  <c r="DM58" i="40" s="1"/>
  <c r="CB44" i="40"/>
  <c r="DM44" i="40" s="1"/>
  <c r="CB45" i="40"/>
  <c r="DM45" i="40" s="1"/>
  <c r="CB64" i="40"/>
  <c r="DM64" i="40" s="1"/>
  <c r="CB54" i="40"/>
  <c r="DM54" i="40" s="1"/>
  <c r="CB47" i="40"/>
  <c r="DM47" i="40" s="1"/>
  <c r="CB37" i="40"/>
  <c r="DM37" i="40" s="1"/>
  <c r="CB73" i="40"/>
  <c r="DM73" i="40" s="1"/>
  <c r="CB56" i="40"/>
  <c r="DM56" i="40" s="1"/>
  <c r="CB66" i="40"/>
  <c r="DM66" i="40" s="1"/>
  <c r="CB72" i="40"/>
  <c r="CB62" i="40"/>
  <c r="DM62" i="40" s="1"/>
  <c r="CB65" i="40"/>
  <c r="DM65" i="40" s="1"/>
  <c r="CB50" i="40"/>
  <c r="DM50" i="40" s="1"/>
  <c r="CB38" i="40"/>
  <c r="DM38" i="40" s="1"/>
  <c r="CB42" i="40"/>
  <c r="DM42" i="40" s="1"/>
  <c r="CB51" i="40"/>
  <c r="DM51" i="40" s="1"/>
  <c r="CB39" i="40"/>
  <c r="DM39" i="40" s="1"/>
  <c r="CB55" i="40"/>
  <c r="DM55" i="40" s="1"/>
  <c r="CB41" i="40"/>
  <c r="DM41" i="40" s="1"/>
  <c r="CB85" i="40"/>
  <c r="DM85" i="40" s="1"/>
  <c r="CB77" i="40"/>
  <c r="DM77" i="40" s="1"/>
  <c r="CB76" i="40"/>
  <c r="DM76" i="40" s="1"/>
  <c r="CB74" i="40"/>
  <c r="DM74" i="40" s="1"/>
  <c r="CB60" i="40"/>
  <c r="DM60" i="40" s="1"/>
  <c r="CB80" i="40"/>
  <c r="DM80" i="40" s="1"/>
  <c r="CB59" i="40"/>
  <c r="DM59" i="40" s="1"/>
  <c r="CB70" i="40"/>
  <c r="DM70" i="40" s="1"/>
  <c r="CB61" i="40"/>
  <c r="DM61" i="40" s="1"/>
  <c r="CB78" i="40"/>
  <c r="DM78" i="40" s="1"/>
  <c r="CB57" i="40"/>
  <c r="DM57" i="40" s="1"/>
  <c r="CB52" i="40"/>
  <c r="DM52" i="40" s="1"/>
  <c r="CB48" i="40"/>
  <c r="DM48" i="40" s="1"/>
  <c r="CB84" i="40"/>
  <c r="DM84" i="40" s="1"/>
  <c r="CB83" i="40"/>
  <c r="DM83" i="40" s="1"/>
  <c r="CB82" i="40"/>
  <c r="DM82" i="40" s="1"/>
  <c r="CB46" i="40"/>
  <c r="DM46" i="40" s="1"/>
  <c r="CB75" i="40"/>
  <c r="CB79" i="40"/>
  <c r="DM79" i="40" s="1"/>
  <c r="CB86" i="40"/>
  <c r="DM86" i="40" s="1"/>
  <c r="CB71" i="40"/>
  <c r="DM71" i="40" s="1"/>
  <c r="CB87" i="40"/>
  <c r="CB91" i="40"/>
  <c r="DM91" i="40" s="1"/>
  <c r="CB92" i="40"/>
  <c r="DM92" i="40" s="1"/>
  <c r="CB93" i="40"/>
  <c r="CB14" i="40"/>
  <c r="DM14" i="40" s="1"/>
  <c r="CA13" i="40"/>
  <c r="CA67" i="40"/>
  <c r="CA49" i="40"/>
  <c r="CA81" i="40"/>
  <c r="CA43" i="40"/>
  <c r="CA69" i="40"/>
  <c r="CA40" i="40"/>
  <c r="CA53" i="40"/>
  <c r="CA58" i="40"/>
  <c r="CA45" i="40"/>
  <c r="CA64" i="40"/>
  <c r="CA73" i="40"/>
  <c r="CA56" i="40"/>
  <c r="CA72" i="40"/>
  <c r="CA62" i="40"/>
  <c r="CA65" i="40"/>
  <c r="CA50" i="40"/>
  <c r="CA42" i="40"/>
  <c r="CA85" i="40"/>
  <c r="CA77" i="40"/>
  <c r="CA76" i="40"/>
  <c r="CA74" i="40"/>
  <c r="CA60" i="40"/>
  <c r="CA59" i="40"/>
  <c r="CA70" i="40"/>
  <c r="CA61" i="40"/>
  <c r="CA78" i="40"/>
  <c r="CA57" i="40"/>
  <c r="CA52" i="40"/>
  <c r="CA48" i="40"/>
  <c r="CA84" i="40"/>
  <c r="CA46" i="40"/>
  <c r="CA75" i="40"/>
  <c r="CA87" i="40"/>
  <c r="CA90" i="40"/>
  <c r="CB90" i="40" s="1"/>
  <c r="CC90" i="40" s="1"/>
  <c r="CA91" i="40"/>
  <c r="CA92" i="40"/>
  <c r="CA93" i="40"/>
  <c r="AL46" i="33"/>
  <c r="AJ46" i="33"/>
  <c r="BK32" i="49" l="1"/>
  <c r="DN27" i="40"/>
  <c r="DN32" i="40"/>
  <c r="DN59" i="40"/>
  <c r="DN17" i="40"/>
  <c r="DN80" i="40"/>
  <c r="DN69" i="40"/>
  <c r="DN6" i="40"/>
  <c r="DN23" i="40"/>
  <c r="DN18" i="40"/>
  <c r="DN86" i="40"/>
  <c r="DN85" i="40"/>
  <c r="DN62" i="40"/>
  <c r="DN44" i="40"/>
  <c r="DN20" i="40"/>
  <c r="DN22" i="40"/>
  <c r="DN8" i="40"/>
  <c r="DN79" i="40"/>
  <c r="DN78" i="40"/>
  <c r="DN41" i="40"/>
  <c r="DN72" i="40"/>
  <c r="DN58" i="40"/>
  <c r="DN15" i="40"/>
  <c r="DN53" i="40"/>
  <c r="DN21" i="40"/>
  <c r="DN70" i="40"/>
  <c r="DN56" i="40"/>
  <c r="DN63" i="40"/>
  <c r="DN24" i="40"/>
  <c r="DN39" i="40"/>
  <c r="DN40" i="40"/>
  <c r="DN13" i="40"/>
  <c r="DN37" i="40"/>
  <c r="DN12" i="40"/>
  <c r="DN25" i="40"/>
  <c r="DN84" i="40"/>
  <c r="DN60" i="40"/>
  <c r="DN42" i="40"/>
  <c r="DN47" i="40"/>
  <c r="DN43" i="40"/>
  <c r="DN4" i="40"/>
  <c r="DN29" i="40"/>
  <c r="DN48" i="40"/>
  <c r="DN74" i="40"/>
  <c r="DN38" i="40"/>
  <c r="DN54" i="40"/>
  <c r="DN81" i="40"/>
  <c r="DN30" i="40"/>
  <c r="DN75" i="40"/>
  <c r="DN66" i="40"/>
  <c r="DN9" i="40"/>
  <c r="DN46" i="40"/>
  <c r="DN82" i="40"/>
  <c r="DN83" i="40"/>
  <c r="DN26" i="40"/>
  <c r="DN11" i="40"/>
  <c r="DN87" i="40"/>
  <c r="DN52" i="40"/>
  <c r="DN76" i="40"/>
  <c r="DN50" i="40"/>
  <c r="DN64" i="40"/>
  <c r="DN49" i="40"/>
  <c r="DN16" i="40"/>
  <c r="DN31" i="40"/>
  <c r="DN61" i="40"/>
  <c r="DN55" i="40"/>
  <c r="DN7" i="40"/>
  <c r="DN5" i="40"/>
  <c r="DN73" i="40"/>
  <c r="DN51" i="40"/>
  <c r="DN14" i="40"/>
  <c r="DN10" i="40"/>
  <c r="DN19" i="40"/>
  <c r="DN71" i="40"/>
  <c r="DN57" i="40"/>
  <c r="DN77" i="40"/>
  <c r="DN65" i="40"/>
  <c r="DN45" i="40"/>
  <c r="DN67" i="40"/>
  <c r="DN33" i="40"/>
  <c r="DN91" i="40"/>
  <c r="DN92" i="40"/>
  <c r="DN93" i="40"/>
  <c r="DM20" i="40"/>
  <c r="DM32" i="40"/>
  <c r="DM13" i="40"/>
  <c r="DM4" i="40"/>
  <c r="DM26" i="40"/>
  <c r="DM15" i="40"/>
  <c r="CB1" i="40"/>
  <c r="DM9" i="40"/>
  <c r="DM7" i="40"/>
  <c r="DM72" i="40"/>
  <c r="DM27" i="40"/>
  <c r="DM93" i="40"/>
  <c r="DM5" i="40"/>
  <c r="DM75" i="40"/>
  <c r="DM17" i="40"/>
  <c r="DM31" i="40"/>
  <c r="H538" i="45"/>
  <c r="H537" i="45"/>
  <c r="F536" i="45"/>
  <c r="E536" i="45" s="1"/>
  <c r="H536" i="45"/>
  <c r="I536" i="45"/>
  <c r="H535" i="45"/>
  <c r="AJ41" i="33"/>
  <c r="H534" i="45"/>
  <c r="H533" i="45"/>
  <c r="EP2" i="36"/>
  <c r="EN3" i="36"/>
  <c r="EO3" i="36"/>
  <c r="EP3" i="36"/>
  <c r="EN4" i="36"/>
  <c r="EO4" i="36"/>
  <c r="EP4" i="36"/>
  <c r="EN5" i="36"/>
  <c r="EO5" i="36"/>
  <c r="EP5" i="36"/>
  <c r="EN7" i="36"/>
  <c r="EN8" i="36"/>
  <c r="EN9" i="36"/>
  <c r="EN10" i="36"/>
  <c r="EN11" i="36"/>
  <c r="EN12" i="36"/>
  <c r="EN13" i="36"/>
  <c r="EN14" i="36"/>
  <c r="EN15" i="36"/>
  <c r="EN16" i="36"/>
  <c r="EN17" i="36"/>
  <c r="EN18" i="36"/>
  <c r="EN19" i="36"/>
  <c r="EN20" i="36"/>
  <c r="EN21" i="36"/>
  <c r="EN22" i="36"/>
  <c r="EN23" i="36"/>
  <c r="EN24" i="36"/>
  <c r="EN25" i="36"/>
  <c r="EN26" i="36"/>
  <c r="EN27" i="36"/>
  <c r="EN28" i="36"/>
  <c r="EN29" i="36"/>
  <c r="EN30" i="36"/>
  <c r="EN31" i="36"/>
  <c r="EN32" i="36"/>
  <c r="EN33" i="36"/>
  <c r="EN34" i="36"/>
  <c r="EN35" i="36"/>
  <c r="EN36" i="36"/>
  <c r="EN37" i="36"/>
  <c r="EN38" i="36"/>
  <c r="EN39" i="36"/>
  <c r="EN40" i="36"/>
  <c r="EN41" i="36"/>
  <c r="EN42" i="36"/>
  <c r="EN43" i="36"/>
  <c r="EN44" i="36"/>
  <c r="EN45" i="36"/>
  <c r="EN46" i="36"/>
  <c r="EN47" i="36"/>
  <c r="EN48" i="36"/>
  <c r="EN49" i="36"/>
  <c r="EN50" i="36"/>
  <c r="EN51" i="36"/>
  <c r="EN52" i="36"/>
  <c r="EN53" i="36"/>
  <c r="EN54" i="36"/>
  <c r="EN55" i="36"/>
  <c r="EL2" i="36"/>
  <c r="EM2" i="36"/>
  <c r="EL3" i="36"/>
  <c r="EM3" i="36"/>
  <c r="EL4" i="36"/>
  <c r="EM4" i="36"/>
  <c r="EL5" i="36"/>
  <c r="EM5" i="36"/>
  <c r="EL7" i="36"/>
  <c r="EM7" i="36"/>
  <c r="EL8" i="36"/>
  <c r="EM8" i="36"/>
  <c r="EL9" i="36"/>
  <c r="EM9" i="36"/>
  <c r="EL10" i="36"/>
  <c r="EM10" i="36"/>
  <c r="EL11" i="36"/>
  <c r="EM11" i="36"/>
  <c r="EL12" i="36"/>
  <c r="EM12" i="36"/>
  <c r="EL13" i="36"/>
  <c r="EM13" i="36"/>
  <c r="EL14" i="36"/>
  <c r="EM14" i="36"/>
  <c r="EL15" i="36"/>
  <c r="EM15" i="36"/>
  <c r="EL16" i="36"/>
  <c r="EM16" i="36"/>
  <c r="EL17" i="36"/>
  <c r="EM17" i="36"/>
  <c r="EL18" i="36"/>
  <c r="EM18" i="36"/>
  <c r="EL19" i="36"/>
  <c r="EM19" i="36"/>
  <c r="EL20" i="36"/>
  <c r="EM20" i="36"/>
  <c r="EL21" i="36"/>
  <c r="EM21" i="36"/>
  <c r="EL22" i="36"/>
  <c r="EM22" i="36"/>
  <c r="EL23" i="36"/>
  <c r="EM23" i="36"/>
  <c r="EL24" i="36"/>
  <c r="EM24" i="36"/>
  <c r="EL25" i="36"/>
  <c r="EM25" i="36"/>
  <c r="EL26" i="36"/>
  <c r="EM26" i="36"/>
  <c r="EL27" i="36"/>
  <c r="EM27" i="36"/>
  <c r="EL28" i="36"/>
  <c r="EM28" i="36"/>
  <c r="EL29" i="36"/>
  <c r="EM29" i="36"/>
  <c r="EL30" i="36"/>
  <c r="EM30" i="36"/>
  <c r="EL31" i="36"/>
  <c r="EM31" i="36"/>
  <c r="EL32" i="36"/>
  <c r="EM32" i="36"/>
  <c r="EL33" i="36"/>
  <c r="EM33" i="36"/>
  <c r="EL34" i="36"/>
  <c r="EM34" i="36"/>
  <c r="EL35" i="36"/>
  <c r="EM35" i="36"/>
  <c r="EL36" i="36"/>
  <c r="EM36" i="36"/>
  <c r="EL37" i="36"/>
  <c r="EM37" i="36"/>
  <c r="EL38" i="36"/>
  <c r="EM38" i="36"/>
  <c r="EL39" i="36"/>
  <c r="EM39" i="36"/>
  <c r="EL40" i="36"/>
  <c r="EM40" i="36"/>
  <c r="EL41" i="36"/>
  <c r="EM41" i="36"/>
  <c r="EL42" i="36"/>
  <c r="EM42" i="36"/>
  <c r="EL43" i="36"/>
  <c r="EM43" i="36"/>
  <c r="EL44" i="36"/>
  <c r="EM44" i="36"/>
  <c r="EL45" i="36"/>
  <c r="EM45" i="36"/>
  <c r="EL46" i="36"/>
  <c r="EM46" i="36"/>
  <c r="EL47" i="36"/>
  <c r="EM47" i="36"/>
  <c r="EL48" i="36"/>
  <c r="EM48" i="36"/>
  <c r="EL49" i="36"/>
  <c r="EM49" i="36"/>
  <c r="EL50" i="36"/>
  <c r="EM50" i="36"/>
  <c r="EL51" i="36"/>
  <c r="EM51" i="36"/>
  <c r="EL52" i="36"/>
  <c r="EM52" i="36"/>
  <c r="EL53" i="36"/>
  <c r="EM53" i="36"/>
  <c r="EL54" i="36"/>
  <c r="EM54" i="36"/>
  <c r="EL55" i="36"/>
  <c r="EM55" i="36"/>
  <c r="EJ2" i="36"/>
  <c r="EK2" i="36"/>
  <c r="EJ3" i="36"/>
  <c r="EK3" i="36"/>
  <c r="EJ4" i="36"/>
  <c r="EK4" i="36"/>
  <c r="EJ5" i="36"/>
  <c r="EK5" i="36"/>
  <c r="EJ7" i="36"/>
  <c r="EK7" i="36"/>
  <c r="EJ8" i="36"/>
  <c r="EK8" i="36"/>
  <c r="EJ9" i="36"/>
  <c r="EK9" i="36"/>
  <c r="EJ10" i="36"/>
  <c r="EK10" i="36"/>
  <c r="EJ11" i="36"/>
  <c r="EK11" i="36"/>
  <c r="EJ12" i="36"/>
  <c r="EK12" i="36"/>
  <c r="EJ13" i="36"/>
  <c r="EK13" i="36"/>
  <c r="EJ14" i="36"/>
  <c r="EK14" i="36"/>
  <c r="EJ15" i="36"/>
  <c r="EK15" i="36"/>
  <c r="EJ16" i="36"/>
  <c r="EK16" i="36"/>
  <c r="EJ17" i="36"/>
  <c r="EK17" i="36"/>
  <c r="EJ18" i="36"/>
  <c r="EK18" i="36"/>
  <c r="EJ19" i="36"/>
  <c r="EK19" i="36"/>
  <c r="EJ20" i="36"/>
  <c r="EK20" i="36"/>
  <c r="EJ21" i="36"/>
  <c r="EK21" i="36"/>
  <c r="EJ22" i="36"/>
  <c r="EK22" i="36"/>
  <c r="EJ23" i="36"/>
  <c r="EK23" i="36"/>
  <c r="EJ24" i="36"/>
  <c r="EK24" i="36"/>
  <c r="EJ25" i="36"/>
  <c r="EK25" i="36"/>
  <c r="EJ26" i="36"/>
  <c r="EK26" i="36"/>
  <c r="EJ27" i="36"/>
  <c r="EK27" i="36"/>
  <c r="EJ28" i="36"/>
  <c r="EK28" i="36"/>
  <c r="EJ29" i="36"/>
  <c r="EK29" i="36"/>
  <c r="EJ30" i="36"/>
  <c r="EK30" i="36"/>
  <c r="EJ31" i="36"/>
  <c r="EK31" i="36"/>
  <c r="EJ32" i="36"/>
  <c r="EK32" i="36"/>
  <c r="EJ33" i="36"/>
  <c r="EK33" i="36"/>
  <c r="EJ34" i="36"/>
  <c r="EK34" i="36"/>
  <c r="EJ35" i="36"/>
  <c r="EK35" i="36"/>
  <c r="EJ36" i="36"/>
  <c r="EK36" i="36"/>
  <c r="EJ37" i="36"/>
  <c r="EK37" i="36"/>
  <c r="EJ38" i="36"/>
  <c r="EK38" i="36"/>
  <c r="EJ39" i="36"/>
  <c r="EK39" i="36"/>
  <c r="EJ40" i="36"/>
  <c r="EK40" i="36"/>
  <c r="EJ41" i="36"/>
  <c r="EK41" i="36"/>
  <c r="EJ42" i="36"/>
  <c r="EK42" i="36"/>
  <c r="EJ43" i="36"/>
  <c r="EK43" i="36"/>
  <c r="EJ44" i="36"/>
  <c r="EK44" i="36"/>
  <c r="EJ45" i="36"/>
  <c r="EK45" i="36"/>
  <c r="EJ46" i="36"/>
  <c r="EK46" i="36"/>
  <c r="EJ47" i="36"/>
  <c r="EK47" i="36"/>
  <c r="EJ48" i="36"/>
  <c r="EK48" i="36"/>
  <c r="EJ49" i="36"/>
  <c r="EK49" i="36"/>
  <c r="EJ50" i="36"/>
  <c r="EK50" i="36"/>
  <c r="EJ51" i="36"/>
  <c r="EK51" i="36"/>
  <c r="EJ52" i="36"/>
  <c r="EK52" i="36"/>
  <c r="EJ53" i="36"/>
  <c r="EK53" i="36"/>
  <c r="EJ54" i="36"/>
  <c r="EK54" i="36"/>
  <c r="EJ55" i="36"/>
  <c r="EK55" i="36"/>
  <c r="D2" i="36"/>
  <c r="E2" i="36"/>
  <c r="K2" i="36"/>
  <c r="L2" i="36"/>
  <c r="M2" i="36"/>
  <c r="N2" i="36"/>
  <c r="O2" i="36"/>
  <c r="Q2" i="36"/>
  <c r="R2" i="36"/>
  <c r="S2" i="36"/>
  <c r="U2" i="36"/>
  <c r="Y2" i="36"/>
  <c r="Z2" i="36"/>
  <c r="AB2" i="36"/>
  <c r="AC2" i="36"/>
  <c r="AD2" i="36"/>
  <c r="AE2" i="36"/>
  <c r="AF2" i="36"/>
  <c r="AG2" i="36"/>
  <c r="AI2" i="36"/>
  <c r="AJ2" i="36"/>
  <c r="AK2" i="36"/>
  <c r="AM2" i="36"/>
  <c r="AN2" i="36"/>
  <c r="AO2" i="36"/>
  <c r="AP2" i="36"/>
  <c r="AT2" i="36"/>
  <c r="AU2" i="36"/>
  <c r="AV2" i="36"/>
  <c r="BA2" i="36"/>
  <c r="BB2" i="36"/>
  <c r="BC2" i="36"/>
  <c r="BD2" i="36"/>
  <c r="BE2" i="36"/>
  <c r="BF2" i="36"/>
  <c r="BG2" i="36"/>
  <c r="BH2" i="36"/>
  <c r="BI2" i="36"/>
  <c r="BJ2" i="36"/>
  <c r="BK2" i="36"/>
  <c r="BL2" i="36"/>
  <c r="BM2" i="36"/>
  <c r="BN2" i="36"/>
  <c r="BO2" i="36"/>
  <c r="BP2" i="36"/>
  <c r="BQ2" i="36"/>
  <c r="BR2" i="36"/>
  <c r="BS2" i="36"/>
  <c r="BT2" i="36"/>
  <c r="BV2" i="36"/>
  <c r="CA2" i="36"/>
  <c r="CB2" i="36"/>
  <c r="CE2" i="36"/>
  <c r="CF2" i="36"/>
  <c r="CG2" i="36"/>
  <c r="CH2" i="36"/>
  <c r="CI2" i="36"/>
  <c r="CJ2" i="36"/>
  <c r="CR2" i="36"/>
  <c r="CU2" i="36"/>
  <c r="DA2" i="36"/>
  <c r="DB2" i="36"/>
  <c r="DN2" i="36"/>
  <c r="DO2" i="36"/>
  <c r="DT2" i="36"/>
  <c r="DU2" i="36"/>
  <c r="DV2" i="36"/>
  <c r="DW2" i="36"/>
  <c r="DX2" i="36"/>
  <c r="DY2" i="36"/>
  <c r="DZ2" i="36"/>
  <c r="EA2" i="36"/>
  <c r="EB2" i="36"/>
  <c r="EC2" i="36"/>
  <c r="EE2" i="36"/>
  <c r="EG2" i="36"/>
  <c r="EH2" i="36"/>
  <c r="EI2" i="36"/>
  <c r="C3" i="36"/>
  <c r="D3" i="36"/>
  <c r="E3" i="36"/>
  <c r="K3" i="36"/>
  <c r="L3" i="36"/>
  <c r="M3" i="36"/>
  <c r="N3" i="36"/>
  <c r="O3" i="36"/>
  <c r="P3" i="36"/>
  <c r="Q3" i="36"/>
  <c r="R3" i="36"/>
  <c r="S3" i="36"/>
  <c r="T3" i="36"/>
  <c r="U3" i="36"/>
  <c r="V3" i="36"/>
  <c r="W3" i="36"/>
  <c r="X3" i="36"/>
  <c r="Y3" i="36"/>
  <c r="Z3" i="36"/>
  <c r="AA3" i="36"/>
  <c r="AB3" i="36"/>
  <c r="AC3" i="36"/>
  <c r="AD3" i="36"/>
  <c r="AE3" i="36"/>
  <c r="AF3" i="36"/>
  <c r="AG3" i="36"/>
  <c r="AH3" i="36"/>
  <c r="AI3" i="36"/>
  <c r="AJ3" i="36"/>
  <c r="AK3" i="36"/>
  <c r="AL3" i="36"/>
  <c r="AM3" i="36"/>
  <c r="AN3" i="36"/>
  <c r="AO3" i="36"/>
  <c r="AP3" i="36"/>
  <c r="AQ3" i="36"/>
  <c r="AR3" i="36"/>
  <c r="AS3" i="36"/>
  <c r="AT3" i="36"/>
  <c r="AU3" i="36"/>
  <c r="AV3" i="36"/>
  <c r="AW3" i="36"/>
  <c r="AX3" i="36"/>
  <c r="AY3" i="36"/>
  <c r="AZ3" i="36"/>
  <c r="BA3" i="36"/>
  <c r="BB3" i="36"/>
  <c r="BC3" i="36"/>
  <c r="BD3" i="36"/>
  <c r="BE3" i="36"/>
  <c r="BF3" i="36"/>
  <c r="BG3" i="36"/>
  <c r="BH3" i="36"/>
  <c r="BI3" i="36"/>
  <c r="BJ3" i="36"/>
  <c r="BK3" i="36"/>
  <c r="BL3" i="36"/>
  <c r="BM3" i="36"/>
  <c r="BN3" i="36"/>
  <c r="BO3" i="36"/>
  <c r="BP3" i="36"/>
  <c r="BQ3" i="36"/>
  <c r="BR3" i="36"/>
  <c r="BS3" i="36"/>
  <c r="BT3" i="36"/>
  <c r="BU3" i="36"/>
  <c r="BV3" i="36"/>
  <c r="BW3" i="36"/>
  <c r="BX3" i="36"/>
  <c r="BY3" i="36"/>
  <c r="BZ3" i="36"/>
  <c r="CA3" i="36"/>
  <c r="CB3" i="36"/>
  <c r="CC3" i="36"/>
  <c r="CD3" i="36"/>
  <c r="CE3" i="36"/>
  <c r="CF3" i="36"/>
  <c r="CG3" i="36"/>
  <c r="CH3" i="36"/>
  <c r="CI3" i="36"/>
  <c r="CJ3" i="36"/>
  <c r="CK3" i="36"/>
  <c r="CL3" i="36"/>
  <c r="CM3" i="36"/>
  <c r="CN3" i="36"/>
  <c r="CO3" i="36"/>
  <c r="CP3" i="36"/>
  <c r="CQ3" i="36"/>
  <c r="CR3" i="36"/>
  <c r="CS3" i="36"/>
  <c r="CT3" i="36"/>
  <c r="CU3" i="36"/>
  <c r="CV3" i="36"/>
  <c r="CW3" i="36"/>
  <c r="CX3" i="36"/>
  <c r="CY3" i="36"/>
  <c r="CZ3" i="36"/>
  <c r="DA3" i="36"/>
  <c r="DB3" i="36"/>
  <c r="DC3" i="36"/>
  <c r="DD3" i="36"/>
  <c r="DE3" i="36"/>
  <c r="DF3" i="36"/>
  <c r="DG3" i="36"/>
  <c r="DH3" i="36"/>
  <c r="DI3" i="36"/>
  <c r="DJ3" i="36"/>
  <c r="DK3" i="36"/>
  <c r="DL3" i="36"/>
  <c r="DM3" i="36"/>
  <c r="DN3" i="36"/>
  <c r="DO3" i="36"/>
  <c r="DP3" i="36"/>
  <c r="DQ3" i="36"/>
  <c r="DR3" i="36"/>
  <c r="DS3" i="36"/>
  <c r="DT3" i="36"/>
  <c r="DU3" i="36"/>
  <c r="DV3" i="36"/>
  <c r="DX3" i="36"/>
  <c r="DY3" i="36"/>
  <c r="DZ3" i="36"/>
  <c r="EA3" i="36"/>
  <c r="EB3" i="36"/>
  <c r="EC3" i="36"/>
  <c r="ED3" i="36"/>
  <c r="EE3" i="36"/>
  <c r="EF3" i="36"/>
  <c r="EG3" i="36"/>
  <c r="EH3" i="36"/>
  <c r="EI3" i="36"/>
  <c r="C4" i="36"/>
  <c r="D4" i="36"/>
  <c r="E4" i="36"/>
  <c r="K4" i="36"/>
  <c r="L4" i="36"/>
  <c r="M4" i="36"/>
  <c r="N4" i="36"/>
  <c r="O4" i="36"/>
  <c r="P4" i="36"/>
  <c r="Q4" i="36"/>
  <c r="R4" i="36"/>
  <c r="S4" i="36"/>
  <c r="T4" i="36"/>
  <c r="U4" i="36"/>
  <c r="V4" i="36"/>
  <c r="W4" i="36"/>
  <c r="X4" i="36"/>
  <c r="Y4" i="36"/>
  <c r="Z4" i="36"/>
  <c r="AA4" i="36"/>
  <c r="AB4" i="36"/>
  <c r="AC4" i="36"/>
  <c r="AD4" i="36"/>
  <c r="AE4" i="36"/>
  <c r="AF4" i="36"/>
  <c r="AG4" i="36"/>
  <c r="AH4" i="36"/>
  <c r="AI4" i="36"/>
  <c r="AJ4" i="36"/>
  <c r="AK4" i="36"/>
  <c r="AL4" i="36"/>
  <c r="AM4" i="36"/>
  <c r="AN4" i="36"/>
  <c r="AO4" i="36"/>
  <c r="AP4" i="36"/>
  <c r="AQ4" i="36"/>
  <c r="AR4" i="36"/>
  <c r="AS4" i="36"/>
  <c r="AT4" i="36"/>
  <c r="AU4" i="36"/>
  <c r="AV4" i="36"/>
  <c r="AW4" i="36"/>
  <c r="AX4" i="36"/>
  <c r="AY4" i="36"/>
  <c r="AZ4" i="36"/>
  <c r="BA4" i="36"/>
  <c r="BB4" i="36"/>
  <c r="BC4" i="36"/>
  <c r="BD4" i="36"/>
  <c r="BE4" i="36"/>
  <c r="BF4" i="36"/>
  <c r="BG4" i="36"/>
  <c r="BH4" i="36"/>
  <c r="BI4" i="36"/>
  <c r="BJ4" i="36"/>
  <c r="BK4" i="36"/>
  <c r="BL4" i="36"/>
  <c r="BM4" i="36"/>
  <c r="BN4" i="36"/>
  <c r="BO4" i="36"/>
  <c r="BP4" i="36"/>
  <c r="BQ4" i="36"/>
  <c r="BR4" i="36"/>
  <c r="BS4" i="36"/>
  <c r="BT4" i="36"/>
  <c r="BU4" i="36"/>
  <c r="BV4" i="36"/>
  <c r="BW4" i="36"/>
  <c r="BX4" i="36"/>
  <c r="BY4" i="36"/>
  <c r="BZ4" i="36"/>
  <c r="CA4" i="36"/>
  <c r="CB4" i="36"/>
  <c r="CC4" i="36"/>
  <c r="CD4" i="36"/>
  <c r="CE4" i="36"/>
  <c r="CF4" i="36"/>
  <c r="CG4" i="36"/>
  <c r="CH4" i="36"/>
  <c r="CI4" i="36"/>
  <c r="CJ4" i="36"/>
  <c r="CK4" i="36"/>
  <c r="CL4" i="36"/>
  <c r="CM4" i="36"/>
  <c r="CN4" i="36"/>
  <c r="CO4" i="36"/>
  <c r="CP4" i="36"/>
  <c r="CQ4" i="36"/>
  <c r="CR4" i="36"/>
  <c r="CS4" i="36"/>
  <c r="CT4" i="36"/>
  <c r="CU4" i="36"/>
  <c r="CV4" i="36"/>
  <c r="CW4" i="36"/>
  <c r="CX4" i="36"/>
  <c r="CY4" i="36"/>
  <c r="CZ4" i="36"/>
  <c r="DA4" i="36"/>
  <c r="DB4" i="36"/>
  <c r="DC4" i="36"/>
  <c r="DD4" i="36"/>
  <c r="DE4" i="36"/>
  <c r="DF4" i="36"/>
  <c r="DG4" i="36"/>
  <c r="DH4" i="36"/>
  <c r="DI4" i="36"/>
  <c r="DJ4" i="36"/>
  <c r="DK4" i="36"/>
  <c r="DL4" i="36"/>
  <c r="DM4" i="36"/>
  <c r="DN4" i="36"/>
  <c r="DO4" i="36"/>
  <c r="DP4" i="36"/>
  <c r="DQ4" i="36"/>
  <c r="DR4" i="36"/>
  <c r="DS4" i="36"/>
  <c r="DT4" i="36"/>
  <c r="DU4" i="36"/>
  <c r="DV4" i="36"/>
  <c r="DW4" i="36"/>
  <c r="DX4" i="36"/>
  <c r="DY4" i="36"/>
  <c r="DZ4" i="36"/>
  <c r="EA4" i="36"/>
  <c r="EB4" i="36"/>
  <c r="EC4" i="36"/>
  <c r="ED4" i="36"/>
  <c r="EE4" i="36"/>
  <c r="EF4" i="36"/>
  <c r="EG4" i="36"/>
  <c r="EH4" i="36"/>
  <c r="EI4" i="36"/>
  <c r="C5" i="36"/>
  <c r="D5" i="36"/>
  <c r="E5" i="36"/>
  <c r="K5" i="36"/>
  <c r="L5" i="36"/>
  <c r="M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AB5" i="36"/>
  <c r="AC5" i="36"/>
  <c r="AD5" i="36"/>
  <c r="AE5" i="36"/>
  <c r="AF5" i="36"/>
  <c r="AG5" i="36"/>
  <c r="AH5" i="36"/>
  <c r="AI5" i="36"/>
  <c r="AJ5" i="36"/>
  <c r="AK5" i="36"/>
  <c r="AL5" i="36"/>
  <c r="AM5" i="36"/>
  <c r="AN5" i="36"/>
  <c r="AO5" i="36"/>
  <c r="AP5" i="36"/>
  <c r="AQ5" i="36"/>
  <c r="AS5" i="36"/>
  <c r="AT5" i="36"/>
  <c r="AU5" i="36"/>
  <c r="AV5" i="36"/>
  <c r="AW5" i="36"/>
  <c r="AX5" i="36"/>
  <c r="AY5" i="36"/>
  <c r="AZ5" i="36"/>
  <c r="BA5" i="36"/>
  <c r="BB5" i="36"/>
  <c r="BC5" i="36"/>
  <c r="BD5" i="36"/>
  <c r="BE5" i="36"/>
  <c r="BF5" i="36"/>
  <c r="BG5" i="36"/>
  <c r="BH5" i="36"/>
  <c r="BI5" i="36"/>
  <c r="BJ5" i="36"/>
  <c r="BK5" i="36"/>
  <c r="BL5" i="36"/>
  <c r="BN5" i="36"/>
  <c r="BO5" i="36"/>
  <c r="BP5" i="36"/>
  <c r="BQ5" i="36"/>
  <c r="BR5" i="36"/>
  <c r="BS5" i="36"/>
  <c r="BT5" i="36"/>
  <c r="BU5" i="36"/>
  <c r="BV5" i="36"/>
  <c r="BW5" i="36"/>
  <c r="BX5" i="36"/>
  <c r="BY5" i="36"/>
  <c r="BZ5" i="36"/>
  <c r="CA5" i="36"/>
  <c r="CB5" i="36"/>
  <c r="CC5" i="36"/>
  <c r="CD5" i="36"/>
  <c r="CE5" i="36"/>
  <c r="CF5" i="36"/>
  <c r="CG5" i="36"/>
  <c r="CH5" i="36"/>
  <c r="CI5" i="36"/>
  <c r="CJ5" i="36"/>
  <c r="CK5" i="36"/>
  <c r="CL5" i="36"/>
  <c r="CM5" i="36"/>
  <c r="CN5" i="36"/>
  <c r="CO5" i="36"/>
  <c r="CP5" i="36"/>
  <c r="CQ5" i="36"/>
  <c r="CR5" i="36"/>
  <c r="CS5" i="36"/>
  <c r="CT5" i="36"/>
  <c r="CU5" i="36"/>
  <c r="CV5" i="36"/>
  <c r="CW5" i="36"/>
  <c r="CX5" i="36"/>
  <c r="CY5" i="36"/>
  <c r="CZ5" i="36"/>
  <c r="DA5" i="36"/>
  <c r="DB5" i="36"/>
  <c r="DC5" i="36"/>
  <c r="DD5" i="36"/>
  <c r="DE5" i="36"/>
  <c r="DF5" i="36"/>
  <c r="DG5" i="36"/>
  <c r="DH5" i="36"/>
  <c r="DI5" i="36"/>
  <c r="DJ5" i="36"/>
  <c r="DK5" i="36"/>
  <c r="DL5" i="36"/>
  <c r="DM5" i="36"/>
  <c r="DN5" i="36"/>
  <c r="DO5" i="36"/>
  <c r="DP5" i="36"/>
  <c r="DQ5" i="36"/>
  <c r="DR5" i="36"/>
  <c r="DS5" i="36"/>
  <c r="DT5" i="36"/>
  <c r="DU5" i="36"/>
  <c r="DV5" i="36"/>
  <c r="DW5" i="36"/>
  <c r="DX5" i="36"/>
  <c r="DY5" i="36"/>
  <c r="DZ5" i="36"/>
  <c r="EA5" i="36"/>
  <c r="EB5" i="36"/>
  <c r="EC5" i="36"/>
  <c r="ED5" i="36"/>
  <c r="EE5" i="36"/>
  <c r="EF5" i="36"/>
  <c r="EG5" i="36"/>
  <c r="EH5" i="36"/>
  <c r="EI5" i="36"/>
  <c r="P7" i="36"/>
  <c r="Q7" i="36"/>
  <c r="R7" i="36"/>
  <c r="S7" i="36"/>
  <c r="AJ7" i="36"/>
  <c r="AK7" i="36"/>
  <c r="AM7" i="36"/>
  <c r="AN7" i="36"/>
  <c r="AO7" i="36"/>
  <c r="AP7" i="36"/>
  <c r="AQ7" i="36"/>
  <c r="AR7" i="36"/>
  <c r="AW7" i="36"/>
  <c r="AX7" i="36"/>
  <c r="AZ7" i="36"/>
  <c r="BA7" i="36"/>
  <c r="BB7" i="36"/>
  <c r="BE7" i="36"/>
  <c r="BF7" i="36"/>
  <c r="BG7" i="36"/>
  <c r="BN7" i="36"/>
  <c r="BO7" i="36"/>
  <c r="BQ7" i="36"/>
  <c r="BR7" i="36"/>
  <c r="BS7" i="36"/>
  <c r="BV7" i="36"/>
  <c r="CK7" i="36"/>
  <c r="CL7" i="36"/>
  <c r="CM7" i="36"/>
  <c r="CN7" i="36"/>
  <c r="CO7" i="36"/>
  <c r="CP7" i="36"/>
  <c r="CS7" i="36"/>
  <c r="CT7" i="36"/>
  <c r="CW7" i="36"/>
  <c r="CX7" i="36"/>
  <c r="CY7" i="36"/>
  <c r="DE7" i="36"/>
  <c r="DF7" i="36"/>
  <c r="DG7" i="36"/>
  <c r="DH7" i="36"/>
  <c r="DK7" i="36"/>
  <c r="DL7" i="36"/>
  <c r="DM7" i="36"/>
  <c r="DP7" i="36"/>
  <c r="DY7" i="36"/>
  <c r="EA7" i="36"/>
  <c r="EB7" i="36"/>
  <c r="EC7" i="36"/>
  <c r="ED7" i="36"/>
  <c r="EE7" i="36"/>
  <c r="EG7" i="36"/>
  <c r="EH7" i="36"/>
  <c r="EI7" i="36"/>
  <c r="P8" i="36"/>
  <c r="Q8" i="36"/>
  <c r="R8" i="36"/>
  <c r="S8" i="36"/>
  <c r="AJ8" i="36"/>
  <c r="AK8" i="36"/>
  <c r="AM8" i="36"/>
  <c r="AN8" i="36"/>
  <c r="AO8" i="36"/>
  <c r="AP8" i="36"/>
  <c r="AQ8" i="36"/>
  <c r="AR8" i="36"/>
  <c r="AW8" i="36"/>
  <c r="AX8" i="36"/>
  <c r="AZ8" i="36"/>
  <c r="BA8" i="36"/>
  <c r="BB8" i="36"/>
  <c r="BE8" i="36"/>
  <c r="BF8" i="36"/>
  <c r="BG8" i="36"/>
  <c r="BN8" i="36"/>
  <c r="BO8" i="36"/>
  <c r="BQ8" i="36"/>
  <c r="BR8" i="36"/>
  <c r="BS8" i="36"/>
  <c r="BV8" i="36"/>
  <c r="CJ8" i="36"/>
  <c r="CK8" i="36"/>
  <c r="CL8" i="36"/>
  <c r="CM8" i="36"/>
  <c r="CN8" i="36"/>
  <c r="CO8" i="36"/>
  <c r="CP8" i="36"/>
  <c r="CS8" i="36"/>
  <c r="CT8" i="36"/>
  <c r="CW8" i="36"/>
  <c r="CX8" i="36"/>
  <c r="CY8" i="36"/>
  <c r="DE8" i="36"/>
  <c r="DF8" i="36"/>
  <c r="DG8" i="36"/>
  <c r="DH8" i="36"/>
  <c r="DK8" i="36"/>
  <c r="DL8" i="36"/>
  <c r="DM8" i="36"/>
  <c r="DP8" i="36"/>
  <c r="DY8" i="36"/>
  <c r="EA8" i="36"/>
  <c r="EB8" i="36"/>
  <c r="EC8" i="36"/>
  <c r="ED8" i="36"/>
  <c r="EE8" i="36"/>
  <c r="EG8" i="36"/>
  <c r="EH8" i="36"/>
  <c r="EI8" i="36"/>
  <c r="P9" i="36"/>
  <c r="Q9" i="36"/>
  <c r="R9" i="36"/>
  <c r="S9" i="36"/>
  <c r="AJ9" i="36"/>
  <c r="AK9" i="36"/>
  <c r="AM9" i="36"/>
  <c r="AN9" i="36"/>
  <c r="AO9" i="36"/>
  <c r="AP9" i="36"/>
  <c r="AQ9" i="36"/>
  <c r="AR9" i="36"/>
  <c r="AW9" i="36"/>
  <c r="AX9" i="36"/>
  <c r="AZ9" i="36"/>
  <c r="BA9" i="36"/>
  <c r="BB9" i="36"/>
  <c r="BE9" i="36"/>
  <c r="BF9" i="36"/>
  <c r="BG9" i="36"/>
  <c r="BN9" i="36"/>
  <c r="BO9" i="36"/>
  <c r="BQ9" i="36"/>
  <c r="BR9" i="36"/>
  <c r="BS9" i="36"/>
  <c r="BV9" i="36"/>
  <c r="CJ9" i="36"/>
  <c r="CK9" i="36"/>
  <c r="CL9" i="36"/>
  <c r="CM9" i="36"/>
  <c r="CN9" i="36"/>
  <c r="CO9" i="36"/>
  <c r="CP9" i="36"/>
  <c r="CS9" i="36"/>
  <c r="CT9" i="36"/>
  <c r="CW9" i="36"/>
  <c r="CX9" i="36"/>
  <c r="CY9" i="36"/>
  <c r="DE9" i="36"/>
  <c r="DF9" i="36"/>
  <c r="DG9" i="36"/>
  <c r="DH9" i="36"/>
  <c r="DK9" i="36"/>
  <c r="DL9" i="36"/>
  <c r="DM9" i="36"/>
  <c r="DP9" i="36"/>
  <c r="DY9" i="36"/>
  <c r="EA9" i="36"/>
  <c r="EB9" i="36"/>
  <c r="EC9" i="36"/>
  <c r="ED9" i="36"/>
  <c r="EE9" i="36"/>
  <c r="EG9" i="36"/>
  <c r="EH9" i="36"/>
  <c r="EI9" i="36"/>
  <c r="P10" i="36"/>
  <c r="Q10" i="36"/>
  <c r="R10" i="36"/>
  <c r="S10" i="36"/>
  <c r="AJ10" i="36"/>
  <c r="AK10" i="36"/>
  <c r="AM10" i="36"/>
  <c r="AN10" i="36"/>
  <c r="AO10" i="36"/>
  <c r="AP10" i="36"/>
  <c r="AQ10" i="36"/>
  <c r="AR10" i="36"/>
  <c r="AW10" i="36"/>
  <c r="AX10" i="36"/>
  <c r="AZ10" i="36"/>
  <c r="BA10" i="36"/>
  <c r="BB10" i="36"/>
  <c r="BE10" i="36"/>
  <c r="BF10" i="36"/>
  <c r="BG10" i="36"/>
  <c r="BN10" i="36"/>
  <c r="BO10" i="36"/>
  <c r="BQ10" i="36"/>
  <c r="BR10" i="36"/>
  <c r="BS10" i="36"/>
  <c r="BV10" i="36"/>
  <c r="CK10" i="36"/>
  <c r="CL10" i="36"/>
  <c r="CM10" i="36"/>
  <c r="CN10" i="36"/>
  <c r="CO10" i="36"/>
  <c r="CP10" i="36"/>
  <c r="CS10" i="36"/>
  <c r="CT10" i="36"/>
  <c r="CW10" i="36"/>
  <c r="CX10" i="36"/>
  <c r="CY10" i="36"/>
  <c r="DE10" i="36"/>
  <c r="DF10" i="36"/>
  <c r="DG10" i="36"/>
  <c r="DH10" i="36"/>
  <c r="DK10" i="36"/>
  <c r="DL10" i="36"/>
  <c r="DM10" i="36"/>
  <c r="DP10" i="36"/>
  <c r="DY10" i="36"/>
  <c r="EA10" i="36"/>
  <c r="EB10" i="36"/>
  <c r="EC10" i="36"/>
  <c r="ED10" i="36"/>
  <c r="EE10" i="36"/>
  <c r="EG10" i="36"/>
  <c r="EH10" i="36"/>
  <c r="EI10" i="36"/>
  <c r="P11" i="36"/>
  <c r="Q11" i="36"/>
  <c r="R11" i="36"/>
  <c r="S11" i="36"/>
  <c r="AJ11" i="36"/>
  <c r="AK11" i="36"/>
  <c r="AM11" i="36"/>
  <c r="AN11" i="36"/>
  <c r="AO11" i="36"/>
  <c r="AP11" i="36"/>
  <c r="AQ11" i="36"/>
  <c r="AR11" i="36"/>
  <c r="AW11" i="36"/>
  <c r="AX11" i="36"/>
  <c r="AZ11" i="36"/>
  <c r="BA11" i="36"/>
  <c r="BB11" i="36"/>
  <c r="BE11" i="36"/>
  <c r="BF11" i="36"/>
  <c r="BG11" i="36"/>
  <c r="BN11" i="36"/>
  <c r="BO11" i="36"/>
  <c r="BQ11" i="36"/>
  <c r="BR11" i="36"/>
  <c r="BS11" i="36"/>
  <c r="BV11" i="36"/>
  <c r="CK11" i="36"/>
  <c r="CL11" i="36"/>
  <c r="CM11" i="36"/>
  <c r="CN11" i="36"/>
  <c r="CO11" i="36"/>
  <c r="CP11" i="36"/>
  <c r="CS11" i="36"/>
  <c r="CT11" i="36"/>
  <c r="CW11" i="36"/>
  <c r="CX11" i="36"/>
  <c r="CY11" i="36"/>
  <c r="DE11" i="36"/>
  <c r="DF11" i="36"/>
  <c r="DG11" i="36"/>
  <c r="DH11" i="36"/>
  <c r="DK11" i="36"/>
  <c r="DL11" i="36"/>
  <c r="DM11" i="36"/>
  <c r="DP11" i="36"/>
  <c r="DY11" i="36"/>
  <c r="EA11" i="36"/>
  <c r="EB11" i="36"/>
  <c r="EC11" i="36"/>
  <c r="ED11" i="36"/>
  <c r="EE11" i="36"/>
  <c r="EG11" i="36"/>
  <c r="EH11" i="36"/>
  <c r="EI11" i="36"/>
  <c r="P12" i="36"/>
  <c r="Q12" i="36"/>
  <c r="R12" i="36"/>
  <c r="S12" i="36"/>
  <c r="AJ12" i="36"/>
  <c r="AK12" i="36"/>
  <c r="AM12" i="36"/>
  <c r="AN12" i="36"/>
  <c r="AO12" i="36"/>
  <c r="AP12" i="36"/>
  <c r="AQ12" i="36"/>
  <c r="AR12" i="36"/>
  <c r="AW12" i="36"/>
  <c r="AX12" i="36"/>
  <c r="AZ12" i="36"/>
  <c r="BA12" i="36"/>
  <c r="BB12" i="36"/>
  <c r="BE12" i="36"/>
  <c r="BF12" i="36"/>
  <c r="BG12" i="36"/>
  <c r="BN12" i="36"/>
  <c r="BO12" i="36"/>
  <c r="BQ12" i="36"/>
  <c r="BR12" i="36"/>
  <c r="BS12" i="36"/>
  <c r="BV12" i="36"/>
  <c r="CK12" i="36"/>
  <c r="CL12" i="36"/>
  <c r="CM12" i="36"/>
  <c r="CN12" i="36"/>
  <c r="CO12" i="36"/>
  <c r="CP12" i="36"/>
  <c r="CS12" i="36"/>
  <c r="CT12" i="36"/>
  <c r="CW12" i="36"/>
  <c r="CX12" i="36"/>
  <c r="CY12" i="36"/>
  <c r="DE12" i="36"/>
  <c r="DF12" i="36"/>
  <c r="DG12" i="36"/>
  <c r="DH12" i="36"/>
  <c r="DK12" i="36"/>
  <c r="DL12" i="36"/>
  <c r="DM12" i="36"/>
  <c r="DP12" i="36"/>
  <c r="DY12" i="36"/>
  <c r="EA12" i="36"/>
  <c r="EB12" i="36"/>
  <c r="EC12" i="36"/>
  <c r="ED12" i="36"/>
  <c r="EE12" i="36"/>
  <c r="EG12" i="36"/>
  <c r="EH12" i="36"/>
  <c r="EI12" i="36"/>
  <c r="P13" i="36"/>
  <c r="Q13" i="36"/>
  <c r="R13" i="36"/>
  <c r="S13" i="36"/>
  <c r="AJ13" i="36"/>
  <c r="AK13" i="36"/>
  <c r="AM13" i="36"/>
  <c r="AN13" i="36"/>
  <c r="AO13" i="36"/>
  <c r="AP13" i="36"/>
  <c r="AQ13" i="36"/>
  <c r="AR13" i="36"/>
  <c r="AW13" i="36"/>
  <c r="AX13" i="36"/>
  <c r="AZ13" i="36"/>
  <c r="BA13" i="36"/>
  <c r="BB13" i="36"/>
  <c r="BE13" i="36"/>
  <c r="BF13" i="36"/>
  <c r="BG13" i="36"/>
  <c r="BN13" i="36"/>
  <c r="BO13" i="36"/>
  <c r="BQ13" i="36"/>
  <c r="BR13" i="36"/>
  <c r="BS13" i="36"/>
  <c r="BV13" i="36"/>
  <c r="CJ13" i="36"/>
  <c r="CK13" i="36"/>
  <c r="CL13" i="36"/>
  <c r="CM13" i="36"/>
  <c r="CN13" i="36"/>
  <c r="CO13" i="36"/>
  <c r="CP13" i="36"/>
  <c r="CS13" i="36"/>
  <c r="CT13" i="36"/>
  <c r="CW13" i="36"/>
  <c r="CX13" i="36"/>
  <c r="CY13" i="36"/>
  <c r="DE13" i="36"/>
  <c r="DF13" i="36"/>
  <c r="DG13" i="36"/>
  <c r="DH13" i="36"/>
  <c r="DK13" i="36"/>
  <c r="DL13" i="36"/>
  <c r="DM13" i="36"/>
  <c r="DP13" i="36"/>
  <c r="DY13" i="36"/>
  <c r="EA13" i="36"/>
  <c r="EB13" i="36"/>
  <c r="EC13" i="36"/>
  <c r="ED13" i="36"/>
  <c r="EE13" i="36"/>
  <c r="EG13" i="36"/>
  <c r="EH13" i="36"/>
  <c r="EI13" i="36"/>
  <c r="P14" i="36"/>
  <c r="Q14" i="36"/>
  <c r="R14" i="36"/>
  <c r="S14" i="36"/>
  <c r="AJ14" i="36"/>
  <c r="AK14" i="36"/>
  <c r="AM14" i="36"/>
  <c r="AN14" i="36"/>
  <c r="AO14" i="36"/>
  <c r="AP14" i="36"/>
  <c r="AQ14" i="36"/>
  <c r="AR14" i="36"/>
  <c r="AW14" i="36"/>
  <c r="AX14" i="36"/>
  <c r="AZ14" i="36"/>
  <c r="BA14" i="36"/>
  <c r="BB14" i="36"/>
  <c r="BE14" i="36"/>
  <c r="BF14" i="36"/>
  <c r="BG14" i="36"/>
  <c r="BN14" i="36"/>
  <c r="BO14" i="36"/>
  <c r="BQ14" i="36"/>
  <c r="BR14" i="36"/>
  <c r="BS14" i="36"/>
  <c r="BV14" i="36"/>
  <c r="CJ14" i="36"/>
  <c r="CK14" i="36"/>
  <c r="CL14" i="36"/>
  <c r="CM14" i="36"/>
  <c r="CN14" i="36"/>
  <c r="CO14" i="36"/>
  <c r="CP14" i="36"/>
  <c r="CS14" i="36"/>
  <c r="CT14" i="36"/>
  <c r="CW14" i="36"/>
  <c r="CX14" i="36"/>
  <c r="CY14" i="36"/>
  <c r="DE14" i="36"/>
  <c r="DF14" i="36"/>
  <c r="DG14" i="36"/>
  <c r="DH14" i="36"/>
  <c r="DK14" i="36"/>
  <c r="DL14" i="36"/>
  <c r="DM14" i="36"/>
  <c r="DP14" i="36"/>
  <c r="DY14" i="36"/>
  <c r="EA14" i="36"/>
  <c r="EB14" i="36"/>
  <c r="EC14" i="36"/>
  <c r="ED14" i="36"/>
  <c r="EE14" i="36"/>
  <c r="EG14" i="36"/>
  <c r="EH14" i="36"/>
  <c r="EI14" i="36"/>
  <c r="P15" i="36"/>
  <c r="Q15" i="36"/>
  <c r="R15" i="36"/>
  <c r="S15" i="36"/>
  <c r="AJ15" i="36"/>
  <c r="AK15" i="36"/>
  <c r="AM15" i="36"/>
  <c r="AN15" i="36"/>
  <c r="AO15" i="36"/>
  <c r="AP15" i="36"/>
  <c r="AQ15" i="36"/>
  <c r="AR15" i="36"/>
  <c r="AW15" i="36"/>
  <c r="AX15" i="36"/>
  <c r="AZ15" i="36"/>
  <c r="BA15" i="36"/>
  <c r="BB15" i="36"/>
  <c r="BE15" i="36"/>
  <c r="BF15" i="36"/>
  <c r="BG15" i="36"/>
  <c r="BN15" i="36"/>
  <c r="BO15" i="36"/>
  <c r="BQ15" i="36"/>
  <c r="BR15" i="36"/>
  <c r="BS15" i="36"/>
  <c r="BV15" i="36"/>
  <c r="CJ15" i="36"/>
  <c r="CK15" i="36"/>
  <c r="CL15" i="36"/>
  <c r="CM15" i="36"/>
  <c r="CN15" i="36"/>
  <c r="CO15" i="36"/>
  <c r="CP15" i="36"/>
  <c r="CS15" i="36"/>
  <c r="CT15" i="36"/>
  <c r="CW15" i="36"/>
  <c r="CX15" i="36"/>
  <c r="CY15" i="36"/>
  <c r="DE15" i="36"/>
  <c r="DF15" i="36"/>
  <c r="DG15" i="36"/>
  <c r="DH15" i="36"/>
  <c r="DK15" i="36"/>
  <c r="DL15" i="36"/>
  <c r="DM15" i="36"/>
  <c r="DP15" i="36"/>
  <c r="DY15" i="36"/>
  <c r="EA15" i="36"/>
  <c r="EB15" i="36"/>
  <c r="EC15" i="36"/>
  <c r="ED15" i="36"/>
  <c r="EE15" i="36"/>
  <c r="EG15" i="36"/>
  <c r="EH15" i="36"/>
  <c r="EI15" i="36"/>
  <c r="P16" i="36"/>
  <c r="Q16" i="36"/>
  <c r="R16" i="36"/>
  <c r="S16" i="36"/>
  <c r="AJ16" i="36"/>
  <c r="AK16" i="36"/>
  <c r="AM16" i="36"/>
  <c r="AN16" i="36"/>
  <c r="AO16" i="36"/>
  <c r="AP16" i="36"/>
  <c r="AQ16" i="36"/>
  <c r="AR16" i="36"/>
  <c r="AW16" i="36"/>
  <c r="AX16" i="36"/>
  <c r="AZ16" i="36"/>
  <c r="BA16" i="36"/>
  <c r="BB16" i="36"/>
  <c r="BE16" i="36"/>
  <c r="BF16" i="36"/>
  <c r="BG16" i="36"/>
  <c r="BN16" i="36"/>
  <c r="BO16" i="36"/>
  <c r="BQ16" i="36"/>
  <c r="BR16" i="36"/>
  <c r="BS16" i="36"/>
  <c r="BV16" i="36"/>
  <c r="CK16" i="36"/>
  <c r="CL16" i="36"/>
  <c r="CM16" i="36"/>
  <c r="CN16" i="36"/>
  <c r="CO16" i="36"/>
  <c r="CP16" i="36"/>
  <c r="CS16" i="36"/>
  <c r="CT16" i="36"/>
  <c r="CW16" i="36"/>
  <c r="CX16" i="36"/>
  <c r="CY16" i="36"/>
  <c r="DE16" i="36"/>
  <c r="DF16" i="36"/>
  <c r="DG16" i="36"/>
  <c r="DH16" i="36"/>
  <c r="DK16" i="36"/>
  <c r="DL16" i="36"/>
  <c r="DM16" i="36"/>
  <c r="DP16" i="36"/>
  <c r="DY16" i="36"/>
  <c r="EA16" i="36"/>
  <c r="EB16" i="36"/>
  <c r="EC16" i="36"/>
  <c r="ED16" i="36"/>
  <c r="EE16" i="36"/>
  <c r="EG16" i="36"/>
  <c r="EH16" i="36"/>
  <c r="EI16" i="36"/>
  <c r="P17" i="36"/>
  <c r="Q17" i="36"/>
  <c r="R17" i="36"/>
  <c r="S17" i="36"/>
  <c r="AJ17" i="36"/>
  <c r="AK17" i="36"/>
  <c r="AM17" i="36"/>
  <c r="AN17" i="36"/>
  <c r="AO17" i="36"/>
  <c r="AP17" i="36"/>
  <c r="AQ17" i="36"/>
  <c r="AR17" i="36"/>
  <c r="AW17" i="36"/>
  <c r="AX17" i="36"/>
  <c r="AZ17" i="36"/>
  <c r="BA17" i="36"/>
  <c r="BB17" i="36"/>
  <c r="BE17" i="36"/>
  <c r="BF17" i="36"/>
  <c r="BG17" i="36"/>
  <c r="BN17" i="36"/>
  <c r="BO17" i="36"/>
  <c r="BQ17" i="36"/>
  <c r="BR17" i="36"/>
  <c r="BS17" i="36"/>
  <c r="BV17" i="36"/>
  <c r="CJ17" i="36"/>
  <c r="CK17" i="36"/>
  <c r="CL17" i="36"/>
  <c r="CM17" i="36"/>
  <c r="CN17" i="36"/>
  <c r="CO17" i="36"/>
  <c r="CP17" i="36"/>
  <c r="CS17" i="36"/>
  <c r="CT17" i="36"/>
  <c r="CW17" i="36"/>
  <c r="CX17" i="36"/>
  <c r="CY17" i="36"/>
  <c r="DE17" i="36"/>
  <c r="DF17" i="36"/>
  <c r="DG17" i="36"/>
  <c r="DH17" i="36"/>
  <c r="DK17" i="36"/>
  <c r="DL17" i="36"/>
  <c r="DM17" i="36"/>
  <c r="DP17" i="36"/>
  <c r="DY17" i="36"/>
  <c r="EA17" i="36"/>
  <c r="EB17" i="36"/>
  <c r="EC17" i="36"/>
  <c r="ED17" i="36"/>
  <c r="EE17" i="36"/>
  <c r="EG17" i="36"/>
  <c r="EH17" i="36"/>
  <c r="EI17" i="36"/>
  <c r="P18" i="36"/>
  <c r="Q18" i="36"/>
  <c r="R18" i="36"/>
  <c r="S18" i="36"/>
  <c r="AJ18" i="36"/>
  <c r="AK18" i="36"/>
  <c r="AM18" i="36"/>
  <c r="AN18" i="36"/>
  <c r="AO18" i="36"/>
  <c r="AP18" i="36"/>
  <c r="AQ18" i="36"/>
  <c r="AR18" i="36"/>
  <c r="AW18" i="36"/>
  <c r="AX18" i="36"/>
  <c r="AZ18" i="36"/>
  <c r="BA18" i="36"/>
  <c r="BB18" i="36"/>
  <c r="BE18" i="36"/>
  <c r="BF18" i="36"/>
  <c r="BG18" i="36"/>
  <c r="BN18" i="36"/>
  <c r="BO18" i="36"/>
  <c r="BQ18" i="36"/>
  <c r="BR18" i="36"/>
  <c r="BS18" i="36"/>
  <c r="BV18" i="36"/>
  <c r="CJ18" i="36"/>
  <c r="CK18" i="36"/>
  <c r="CL18" i="36"/>
  <c r="CM18" i="36"/>
  <c r="CN18" i="36"/>
  <c r="CO18" i="36"/>
  <c r="CP18" i="36"/>
  <c r="CS18" i="36"/>
  <c r="CT18" i="36"/>
  <c r="CW18" i="36"/>
  <c r="CX18" i="36"/>
  <c r="CY18" i="36"/>
  <c r="DE18" i="36"/>
  <c r="DF18" i="36"/>
  <c r="DG18" i="36"/>
  <c r="DH18" i="36"/>
  <c r="DK18" i="36"/>
  <c r="DL18" i="36"/>
  <c r="DM18" i="36"/>
  <c r="DP18" i="36"/>
  <c r="DY18" i="36"/>
  <c r="EA18" i="36"/>
  <c r="EB18" i="36"/>
  <c r="EC18" i="36"/>
  <c r="ED18" i="36"/>
  <c r="EE18" i="36"/>
  <c r="EG18" i="36"/>
  <c r="EH18" i="36"/>
  <c r="EI18" i="36"/>
  <c r="P19" i="36"/>
  <c r="Q19" i="36"/>
  <c r="R19" i="36"/>
  <c r="S19" i="36"/>
  <c r="AJ19" i="36"/>
  <c r="AK19" i="36"/>
  <c r="AM19" i="36"/>
  <c r="AN19" i="36"/>
  <c r="AO19" i="36"/>
  <c r="AP19" i="36"/>
  <c r="AQ19" i="36"/>
  <c r="AR19" i="36"/>
  <c r="AW19" i="36"/>
  <c r="AX19" i="36"/>
  <c r="AZ19" i="36"/>
  <c r="BA19" i="36"/>
  <c r="BB19" i="36"/>
  <c r="BE19" i="36"/>
  <c r="BF19" i="36"/>
  <c r="BG19" i="36"/>
  <c r="BN19" i="36"/>
  <c r="BO19" i="36"/>
  <c r="BQ19" i="36"/>
  <c r="BR19" i="36"/>
  <c r="BS19" i="36"/>
  <c r="BV19" i="36"/>
  <c r="CK19" i="36"/>
  <c r="CL19" i="36"/>
  <c r="CM19" i="36"/>
  <c r="CN19" i="36"/>
  <c r="CO19" i="36"/>
  <c r="CP19" i="36"/>
  <c r="CS19" i="36"/>
  <c r="CT19" i="36"/>
  <c r="CW19" i="36"/>
  <c r="CX19" i="36"/>
  <c r="CY19" i="36"/>
  <c r="DE19" i="36"/>
  <c r="DF19" i="36"/>
  <c r="DG19" i="36"/>
  <c r="DH19" i="36"/>
  <c r="DK19" i="36"/>
  <c r="DL19" i="36"/>
  <c r="DM19" i="36"/>
  <c r="DP19" i="36"/>
  <c r="DY19" i="36"/>
  <c r="EA19" i="36"/>
  <c r="EB19" i="36"/>
  <c r="EC19" i="36"/>
  <c r="ED19" i="36"/>
  <c r="EE19" i="36"/>
  <c r="EG19" i="36"/>
  <c r="EH19" i="36"/>
  <c r="EI19" i="36"/>
  <c r="P20" i="36"/>
  <c r="Q20" i="36"/>
  <c r="R20" i="36"/>
  <c r="S20" i="36"/>
  <c r="AJ20" i="36"/>
  <c r="AK20" i="36"/>
  <c r="AM20" i="36"/>
  <c r="AN20" i="36"/>
  <c r="AO20" i="36"/>
  <c r="AP20" i="36"/>
  <c r="AQ20" i="36"/>
  <c r="AR20" i="36"/>
  <c r="AW20" i="36"/>
  <c r="AX20" i="36"/>
  <c r="AZ20" i="36"/>
  <c r="BA20" i="36"/>
  <c r="BB20" i="36"/>
  <c r="BE20" i="36"/>
  <c r="BF20" i="36"/>
  <c r="BG20" i="36"/>
  <c r="BN20" i="36"/>
  <c r="BO20" i="36"/>
  <c r="BQ20" i="36"/>
  <c r="BR20" i="36"/>
  <c r="BS20" i="36"/>
  <c r="BV20" i="36"/>
  <c r="CK20" i="36"/>
  <c r="CL20" i="36"/>
  <c r="CM20" i="36"/>
  <c r="CN20" i="36"/>
  <c r="CO20" i="36"/>
  <c r="CP20" i="36"/>
  <c r="CS20" i="36"/>
  <c r="CT20" i="36"/>
  <c r="CW20" i="36"/>
  <c r="CX20" i="36"/>
  <c r="CY20" i="36"/>
  <c r="DE20" i="36"/>
  <c r="DF20" i="36"/>
  <c r="DG20" i="36"/>
  <c r="DH20" i="36"/>
  <c r="DK20" i="36"/>
  <c r="DL20" i="36"/>
  <c r="DM20" i="36"/>
  <c r="DP20" i="36"/>
  <c r="DY20" i="36"/>
  <c r="EA20" i="36"/>
  <c r="EB20" i="36"/>
  <c r="EC20" i="36"/>
  <c r="ED20" i="36"/>
  <c r="EE20" i="36"/>
  <c r="EG20" i="36"/>
  <c r="EH20" i="36"/>
  <c r="EI20" i="36"/>
  <c r="P21" i="36"/>
  <c r="Q21" i="36"/>
  <c r="R21" i="36"/>
  <c r="S21" i="36"/>
  <c r="AJ21" i="36"/>
  <c r="AK21" i="36"/>
  <c r="AM21" i="36"/>
  <c r="AN21" i="36"/>
  <c r="AO21" i="36"/>
  <c r="AP21" i="36"/>
  <c r="AQ21" i="36"/>
  <c r="AR21" i="36"/>
  <c r="AW21" i="36"/>
  <c r="AX21" i="36"/>
  <c r="AZ21" i="36"/>
  <c r="BA21" i="36"/>
  <c r="BB21" i="36"/>
  <c r="BE21" i="36"/>
  <c r="BF21" i="36"/>
  <c r="BG21" i="36"/>
  <c r="BN21" i="36"/>
  <c r="BO21" i="36"/>
  <c r="BQ21" i="36"/>
  <c r="BR21" i="36"/>
  <c r="BS21" i="36"/>
  <c r="BV21" i="36"/>
  <c r="CK21" i="36"/>
  <c r="CL21" i="36"/>
  <c r="CM21" i="36"/>
  <c r="CN21" i="36"/>
  <c r="CO21" i="36"/>
  <c r="CP21" i="36"/>
  <c r="CS21" i="36"/>
  <c r="CT21" i="36"/>
  <c r="CW21" i="36"/>
  <c r="CX21" i="36"/>
  <c r="CY21" i="36"/>
  <c r="DE21" i="36"/>
  <c r="DF21" i="36"/>
  <c r="DG21" i="36"/>
  <c r="DH21" i="36"/>
  <c r="DK21" i="36"/>
  <c r="DL21" i="36"/>
  <c r="DM21" i="36"/>
  <c r="DP21" i="36"/>
  <c r="DY21" i="36"/>
  <c r="EA21" i="36"/>
  <c r="EB21" i="36"/>
  <c r="EC21" i="36"/>
  <c r="ED21" i="36"/>
  <c r="EE21" i="36"/>
  <c r="EG21" i="36"/>
  <c r="EH21" i="36"/>
  <c r="EI21" i="36"/>
  <c r="P22" i="36"/>
  <c r="Q22" i="36"/>
  <c r="R22" i="36"/>
  <c r="S22" i="36"/>
  <c r="AJ22" i="36"/>
  <c r="AK22" i="36"/>
  <c r="AM22" i="36"/>
  <c r="AN22" i="36"/>
  <c r="AO22" i="36"/>
  <c r="AP22" i="36"/>
  <c r="AQ22" i="36"/>
  <c r="AR22" i="36"/>
  <c r="AW22" i="36"/>
  <c r="AX22" i="36"/>
  <c r="AZ22" i="36"/>
  <c r="BA22" i="36"/>
  <c r="BB22" i="36"/>
  <c r="BE22" i="36"/>
  <c r="BF22" i="36"/>
  <c r="BG22" i="36"/>
  <c r="BN22" i="36"/>
  <c r="BO22" i="36"/>
  <c r="BQ22" i="36"/>
  <c r="BR22" i="36"/>
  <c r="BS22" i="36"/>
  <c r="BV22" i="36"/>
  <c r="CK22" i="36"/>
  <c r="CL22" i="36"/>
  <c r="CM22" i="36"/>
  <c r="CN22" i="36"/>
  <c r="CO22" i="36"/>
  <c r="CP22" i="36"/>
  <c r="CS22" i="36"/>
  <c r="CT22" i="36"/>
  <c r="CW22" i="36"/>
  <c r="CX22" i="36"/>
  <c r="CY22" i="36"/>
  <c r="DE22" i="36"/>
  <c r="DF22" i="36"/>
  <c r="DG22" i="36"/>
  <c r="DH22" i="36"/>
  <c r="DK22" i="36"/>
  <c r="DL22" i="36"/>
  <c r="DM22" i="36"/>
  <c r="DP22" i="36"/>
  <c r="DY22" i="36"/>
  <c r="EA22" i="36"/>
  <c r="EB22" i="36"/>
  <c r="EC22" i="36"/>
  <c r="ED22" i="36"/>
  <c r="EE22" i="36"/>
  <c r="EG22" i="36"/>
  <c r="EH22" i="36"/>
  <c r="EI22" i="36"/>
  <c r="P23" i="36"/>
  <c r="Q23" i="36"/>
  <c r="R23" i="36"/>
  <c r="S23" i="36"/>
  <c r="AJ23" i="36"/>
  <c r="AK23" i="36"/>
  <c r="AM23" i="36"/>
  <c r="AN23" i="36"/>
  <c r="AO23" i="36"/>
  <c r="AP23" i="36"/>
  <c r="AQ23" i="36"/>
  <c r="AR23" i="36"/>
  <c r="AW23" i="36"/>
  <c r="AX23" i="36"/>
  <c r="AZ23" i="36"/>
  <c r="BA23" i="36"/>
  <c r="BB23" i="36"/>
  <c r="BE23" i="36"/>
  <c r="BF23" i="36"/>
  <c r="BG23" i="36"/>
  <c r="BN23" i="36"/>
  <c r="BO23" i="36"/>
  <c r="BQ23" i="36"/>
  <c r="BR23" i="36"/>
  <c r="BS23" i="36"/>
  <c r="BV23" i="36"/>
  <c r="CK23" i="36"/>
  <c r="CL23" i="36"/>
  <c r="CM23" i="36"/>
  <c r="CN23" i="36"/>
  <c r="CO23" i="36"/>
  <c r="CP23" i="36"/>
  <c r="CS23" i="36"/>
  <c r="CT23" i="36"/>
  <c r="CW23" i="36"/>
  <c r="CX23" i="36"/>
  <c r="CY23" i="36"/>
  <c r="DE23" i="36"/>
  <c r="DF23" i="36"/>
  <c r="DG23" i="36"/>
  <c r="DH23" i="36"/>
  <c r="DK23" i="36"/>
  <c r="DL23" i="36"/>
  <c r="DM23" i="36"/>
  <c r="DP23" i="36"/>
  <c r="DY23" i="36"/>
  <c r="EA23" i="36"/>
  <c r="EB23" i="36"/>
  <c r="EC23" i="36"/>
  <c r="ED23" i="36"/>
  <c r="EE23" i="36"/>
  <c r="EG23" i="36"/>
  <c r="EH23" i="36"/>
  <c r="EI23" i="36"/>
  <c r="P24" i="36"/>
  <c r="Q24" i="36"/>
  <c r="R24" i="36"/>
  <c r="S24" i="36"/>
  <c r="AJ24" i="36"/>
  <c r="AK24" i="36"/>
  <c r="AM24" i="36"/>
  <c r="AN24" i="36"/>
  <c r="AO24" i="36"/>
  <c r="AP24" i="36"/>
  <c r="AQ24" i="36"/>
  <c r="AR24" i="36"/>
  <c r="AW24" i="36"/>
  <c r="AX24" i="36"/>
  <c r="AZ24" i="36"/>
  <c r="BA24" i="36"/>
  <c r="BB24" i="36"/>
  <c r="BE24" i="36"/>
  <c r="BF24" i="36"/>
  <c r="BG24" i="36"/>
  <c r="BN24" i="36"/>
  <c r="BO24" i="36"/>
  <c r="BQ24" i="36"/>
  <c r="BR24" i="36"/>
  <c r="BS24" i="36"/>
  <c r="BV24" i="36"/>
  <c r="CK24" i="36"/>
  <c r="CL24" i="36"/>
  <c r="CM24" i="36"/>
  <c r="CN24" i="36"/>
  <c r="CO24" i="36"/>
  <c r="CP24" i="36"/>
  <c r="CS24" i="36"/>
  <c r="CT24" i="36"/>
  <c r="CW24" i="36"/>
  <c r="CX24" i="36"/>
  <c r="CY24" i="36"/>
  <c r="DE24" i="36"/>
  <c r="DF24" i="36"/>
  <c r="DG24" i="36"/>
  <c r="DH24" i="36"/>
  <c r="DK24" i="36"/>
  <c r="DL24" i="36"/>
  <c r="DM24" i="36"/>
  <c r="DP24" i="36"/>
  <c r="DY24" i="36"/>
  <c r="EA24" i="36"/>
  <c r="EB24" i="36"/>
  <c r="EC24" i="36"/>
  <c r="ED24" i="36"/>
  <c r="EE24" i="36"/>
  <c r="EG24" i="36"/>
  <c r="EH24" i="36"/>
  <c r="EI24" i="36"/>
  <c r="P25" i="36"/>
  <c r="Q25" i="36"/>
  <c r="R25" i="36"/>
  <c r="S25" i="36"/>
  <c r="AJ25" i="36"/>
  <c r="AK25" i="36"/>
  <c r="AM25" i="36"/>
  <c r="AN25" i="36"/>
  <c r="AO25" i="36"/>
  <c r="AP25" i="36"/>
  <c r="AQ25" i="36"/>
  <c r="AR25" i="36"/>
  <c r="AW25" i="36"/>
  <c r="AX25" i="36"/>
  <c r="AZ25" i="36"/>
  <c r="BA25" i="36"/>
  <c r="BB25" i="36"/>
  <c r="BE25" i="36"/>
  <c r="BF25" i="36"/>
  <c r="BG25" i="36"/>
  <c r="BN25" i="36"/>
  <c r="BO25" i="36"/>
  <c r="BQ25" i="36"/>
  <c r="BR25" i="36"/>
  <c r="BS25" i="36"/>
  <c r="BV25" i="36"/>
  <c r="CK25" i="36"/>
  <c r="CL25" i="36"/>
  <c r="CM25" i="36"/>
  <c r="CN25" i="36"/>
  <c r="CO25" i="36"/>
  <c r="CP25" i="36"/>
  <c r="CS25" i="36"/>
  <c r="CT25" i="36"/>
  <c r="CW25" i="36"/>
  <c r="CX25" i="36"/>
  <c r="CY25" i="36"/>
  <c r="DE25" i="36"/>
  <c r="DF25" i="36"/>
  <c r="DG25" i="36"/>
  <c r="DH25" i="36"/>
  <c r="DK25" i="36"/>
  <c r="DL25" i="36"/>
  <c r="DM25" i="36"/>
  <c r="DP25" i="36"/>
  <c r="DY25" i="36"/>
  <c r="EA25" i="36"/>
  <c r="EB25" i="36"/>
  <c r="EC25" i="36"/>
  <c r="ED25" i="36"/>
  <c r="EE25" i="36"/>
  <c r="EG25" i="36"/>
  <c r="EH25" i="36"/>
  <c r="EI25" i="36"/>
  <c r="P26" i="36"/>
  <c r="Q26" i="36"/>
  <c r="R26" i="36"/>
  <c r="S26" i="36"/>
  <c r="AJ26" i="36"/>
  <c r="AK26" i="36"/>
  <c r="AM26" i="36"/>
  <c r="AN26" i="36"/>
  <c r="AO26" i="36"/>
  <c r="AP26" i="36"/>
  <c r="AQ26" i="36"/>
  <c r="AR26" i="36"/>
  <c r="AW26" i="36"/>
  <c r="AX26" i="36"/>
  <c r="AZ26" i="36"/>
  <c r="BA26" i="36"/>
  <c r="BB26" i="36"/>
  <c r="BE26" i="36"/>
  <c r="BF26" i="36"/>
  <c r="BG26" i="36"/>
  <c r="BN26" i="36"/>
  <c r="BO26" i="36"/>
  <c r="BQ26" i="36"/>
  <c r="BR26" i="36"/>
  <c r="BS26" i="36"/>
  <c r="BV26" i="36"/>
  <c r="CK26" i="36"/>
  <c r="CL26" i="36"/>
  <c r="CM26" i="36"/>
  <c r="CN26" i="36"/>
  <c r="CO26" i="36"/>
  <c r="CP26" i="36"/>
  <c r="CS26" i="36"/>
  <c r="CT26" i="36"/>
  <c r="CW26" i="36"/>
  <c r="CX26" i="36"/>
  <c r="CY26" i="36"/>
  <c r="DE26" i="36"/>
  <c r="DF26" i="36"/>
  <c r="DG26" i="36"/>
  <c r="DH26" i="36"/>
  <c r="DK26" i="36"/>
  <c r="DL26" i="36"/>
  <c r="DM26" i="36"/>
  <c r="DP26" i="36"/>
  <c r="DY26" i="36"/>
  <c r="EA26" i="36"/>
  <c r="EB26" i="36"/>
  <c r="EC26" i="36"/>
  <c r="ED26" i="36"/>
  <c r="EE26" i="36"/>
  <c r="EG26" i="36"/>
  <c r="EH26" i="36"/>
  <c r="EI26" i="36"/>
  <c r="P27" i="36"/>
  <c r="Q27" i="36"/>
  <c r="R27" i="36"/>
  <c r="S27" i="36"/>
  <c r="AJ27" i="36"/>
  <c r="AK27" i="36"/>
  <c r="AM27" i="36"/>
  <c r="AN27" i="36"/>
  <c r="AO27" i="36"/>
  <c r="AP27" i="36"/>
  <c r="AQ27" i="36"/>
  <c r="AR27" i="36"/>
  <c r="AW27" i="36"/>
  <c r="AX27" i="36"/>
  <c r="AZ27" i="36"/>
  <c r="BA27" i="36"/>
  <c r="BB27" i="36"/>
  <c r="BE27" i="36"/>
  <c r="BF27" i="36"/>
  <c r="BG27" i="36"/>
  <c r="BN27" i="36"/>
  <c r="BO27" i="36"/>
  <c r="BQ27" i="36"/>
  <c r="BR27" i="36"/>
  <c r="BS27" i="36"/>
  <c r="BV27" i="36"/>
  <c r="CK27" i="36"/>
  <c r="CL27" i="36"/>
  <c r="CM27" i="36"/>
  <c r="CN27" i="36"/>
  <c r="CO27" i="36"/>
  <c r="CP27" i="36"/>
  <c r="CS27" i="36"/>
  <c r="CT27" i="36"/>
  <c r="CW27" i="36"/>
  <c r="CX27" i="36"/>
  <c r="CY27" i="36"/>
  <c r="DE27" i="36"/>
  <c r="DF27" i="36"/>
  <c r="DG27" i="36"/>
  <c r="DH27" i="36"/>
  <c r="DK27" i="36"/>
  <c r="DL27" i="36"/>
  <c r="DM27" i="36"/>
  <c r="DP27" i="36"/>
  <c r="DY27" i="36"/>
  <c r="EA27" i="36"/>
  <c r="EB27" i="36"/>
  <c r="EC27" i="36"/>
  <c r="ED27" i="36"/>
  <c r="EE27" i="36"/>
  <c r="EG27" i="36"/>
  <c r="EH27" i="36"/>
  <c r="EI27" i="36"/>
  <c r="P28" i="36"/>
  <c r="Q28" i="36"/>
  <c r="R28" i="36"/>
  <c r="S28" i="36"/>
  <c r="AJ28" i="36"/>
  <c r="AK28" i="36"/>
  <c r="AM28" i="36"/>
  <c r="AN28" i="36"/>
  <c r="AO28" i="36"/>
  <c r="AP28" i="36"/>
  <c r="AQ28" i="36"/>
  <c r="AR28" i="36"/>
  <c r="AW28" i="36"/>
  <c r="AX28" i="36"/>
  <c r="AZ28" i="36"/>
  <c r="BA28" i="36"/>
  <c r="BB28" i="36"/>
  <c r="BE28" i="36"/>
  <c r="BF28" i="36"/>
  <c r="BG28" i="36"/>
  <c r="BN28" i="36"/>
  <c r="BO28" i="36"/>
  <c r="BQ28" i="36"/>
  <c r="BR28" i="36"/>
  <c r="BS28" i="36"/>
  <c r="BV28" i="36"/>
  <c r="CK28" i="36"/>
  <c r="CL28" i="36"/>
  <c r="CM28" i="36"/>
  <c r="CN28" i="36"/>
  <c r="CO28" i="36"/>
  <c r="CP28" i="36"/>
  <c r="CS28" i="36"/>
  <c r="CT28" i="36"/>
  <c r="CW28" i="36"/>
  <c r="CX28" i="36"/>
  <c r="CY28" i="36"/>
  <c r="DE28" i="36"/>
  <c r="DF28" i="36"/>
  <c r="DG28" i="36"/>
  <c r="DH28" i="36"/>
  <c r="DK28" i="36"/>
  <c r="DL28" i="36"/>
  <c r="DM28" i="36"/>
  <c r="DP28" i="36"/>
  <c r="DY28" i="36"/>
  <c r="EA28" i="36"/>
  <c r="EB28" i="36"/>
  <c r="EC28" i="36"/>
  <c r="ED28" i="36"/>
  <c r="EE28" i="36"/>
  <c r="EG28" i="36"/>
  <c r="EH28" i="36"/>
  <c r="EI28" i="36"/>
  <c r="P29" i="36"/>
  <c r="Q29" i="36"/>
  <c r="R29" i="36"/>
  <c r="S29" i="36"/>
  <c r="AJ29" i="36"/>
  <c r="AK29" i="36"/>
  <c r="AM29" i="36"/>
  <c r="AN29" i="36"/>
  <c r="AO29" i="36"/>
  <c r="AP29" i="36"/>
  <c r="AQ29" i="36"/>
  <c r="AR29" i="36"/>
  <c r="AW29" i="36"/>
  <c r="AX29" i="36"/>
  <c r="AZ29" i="36"/>
  <c r="BA29" i="36"/>
  <c r="BB29" i="36"/>
  <c r="BE29" i="36"/>
  <c r="BF29" i="36"/>
  <c r="BG29" i="36"/>
  <c r="BN29" i="36"/>
  <c r="BO29" i="36"/>
  <c r="BQ29" i="36"/>
  <c r="BR29" i="36"/>
  <c r="BS29" i="36"/>
  <c r="BV29" i="36"/>
  <c r="CK29" i="36"/>
  <c r="CL29" i="36"/>
  <c r="CM29" i="36"/>
  <c r="CN29" i="36"/>
  <c r="CO29" i="36"/>
  <c r="CP29" i="36"/>
  <c r="CS29" i="36"/>
  <c r="CT29" i="36"/>
  <c r="CW29" i="36"/>
  <c r="CX29" i="36"/>
  <c r="CY29" i="36"/>
  <c r="DE29" i="36"/>
  <c r="DF29" i="36"/>
  <c r="DG29" i="36"/>
  <c r="DH29" i="36"/>
  <c r="DK29" i="36"/>
  <c r="DL29" i="36"/>
  <c r="DM29" i="36"/>
  <c r="DP29" i="36"/>
  <c r="DY29" i="36"/>
  <c r="EA29" i="36"/>
  <c r="EB29" i="36"/>
  <c r="EC29" i="36"/>
  <c r="ED29" i="36"/>
  <c r="EE29" i="36"/>
  <c r="EG29" i="36"/>
  <c r="EH29" i="36"/>
  <c r="EI29" i="36"/>
  <c r="P30" i="36"/>
  <c r="Q30" i="36"/>
  <c r="R30" i="36"/>
  <c r="S30" i="36"/>
  <c r="AJ30" i="36"/>
  <c r="AK30" i="36"/>
  <c r="AM30" i="36"/>
  <c r="AN30" i="36"/>
  <c r="AO30" i="36"/>
  <c r="AP30" i="36"/>
  <c r="AQ30" i="36"/>
  <c r="AR30" i="36"/>
  <c r="AW30" i="36"/>
  <c r="AX30" i="36"/>
  <c r="AZ30" i="36"/>
  <c r="BA30" i="36"/>
  <c r="BB30" i="36"/>
  <c r="BE30" i="36"/>
  <c r="BF30" i="36"/>
  <c r="BG30" i="36"/>
  <c r="BN30" i="36"/>
  <c r="BO30" i="36"/>
  <c r="BQ30" i="36"/>
  <c r="BR30" i="36"/>
  <c r="BS30" i="36"/>
  <c r="BV30" i="36"/>
  <c r="CK30" i="36"/>
  <c r="CL30" i="36"/>
  <c r="CM30" i="36"/>
  <c r="CN30" i="36"/>
  <c r="CO30" i="36"/>
  <c r="CP30" i="36"/>
  <c r="CS30" i="36"/>
  <c r="CT30" i="36"/>
  <c r="CW30" i="36"/>
  <c r="CX30" i="36"/>
  <c r="CY30" i="36"/>
  <c r="DE30" i="36"/>
  <c r="DF30" i="36"/>
  <c r="DG30" i="36"/>
  <c r="DH30" i="36"/>
  <c r="DK30" i="36"/>
  <c r="DL30" i="36"/>
  <c r="DM30" i="36"/>
  <c r="DP30" i="36"/>
  <c r="DY30" i="36"/>
  <c r="EA30" i="36"/>
  <c r="EB30" i="36"/>
  <c r="EC30" i="36"/>
  <c r="ED30" i="36"/>
  <c r="EE30" i="36"/>
  <c r="EG30" i="36"/>
  <c r="EH30" i="36"/>
  <c r="EI30" i="36"/>
  <c r="P31" i="36"/>
  <c r="Q31" i="36"/>
  <c r="R31" i="36"/>
  <c r="S31" i="36"/>
  <c r="AJ31" i="36"/>
  <c r="AK31" i="36"/>
  <c r="AM31" i="36"/>
  <c r="AN31" i="36"/>
  <c r="AO31" i="36"/>
  <c r="AP31" i="36"/>
  <c r="AQ31" i="36"/>
  <c r="AR31" i="36"/>
  <c r="AW31" i="36"/>
  <c r="AX31" i="36"/>
  <c r="AZ31" i="36"/>
  <c r="BA31" i="36"/>
  <c r="BB31" i="36"/>
  <c r="BE31" i="36"/>
  <c r="BF31" i="36"/>
  <c r="BG31" i="36"/>
  <c r="BN31" i="36"/>
  <c r="BO31" i="36"/>
  <c r="BQ31" i="36"/>
  <c r="BR31" i="36"/>
  <c r="BS31" i="36"/>
  <c r="BV31" i="36"/>
  <c r="CK31" i="36"/>
  <c r="CL31" i="36"/>
  <c r="CM31" i="36"/>
  <c r="CN31" i="36"/>
  <c r="CO31" i="36"/>
  <c r="CP31" i="36"/>
  <c r="CS31" i="36"/>
  <c r="CT31" i="36"/>
  <c r="CW31" i="36"/>
  <c r="CX31" i="36"/>
  <c r="CY31" i="36"/>
  <c r="DE31" i="36"/>
  <c r="DF31" i="36"/>
  <c r="DG31" i="36"/>
  <c r="DH31" i="36"/>
  <c r="DK31" i="36"/>
  <c r="DL31" i="36"/>
  <c r="DM31" i="36"/>
  <c r="DP31" i="36"/>
  <c r="DY31" i="36"/>
  <c r="EA31" i="36"/>
  <c r="EB31" i="36"/>
  <c r="EC31" i="36"/>
  <c r="ED31" i="36"/>
  <c r="EE31" i="36"/>
  <c r="EG31" i="36"/>
  <c r="EH31" i="36"/>
  <c r="EI31" i="36"/>
  <c r="P32" i="36"/>
  <c r="Q32" i="36"/>
  <c r="R32" i="36"/>
  <c r="S32" i="36"/>
  <c r="AJ32" i="36"/>
  <c r="AK32" i="36"/>
  <c r="AM32" i="36"/>
  <c r="AN32" i="36"/>
  <c r="AO32" i="36"/>
  <c r="AP32" i="36"/>
  <c r="AQ32" i="36"/>
  <c r="AR32" i="36"/>
  <c r="AW32" i="36"/>
  <c r="AX32" i="36"/>
  <c r="AZ32" i="36"/>
  <c r="BA32" i="36"/>
  <c r="BB32" i="36"/>
  <c r="BE32" i="36"/>
  <c r="BF32" i="36"/>
  <c r="BG32" i="36"/>
  <c r="BN32" i="36"/>
  <c r="BO32" i="36"/>
  <c r="BQ32" i="36"/>
  <c r="BR32" i="36"/>
  <c r="BS32" i="36"/>
  <c r="BV32" i="36"/>
  <c r="CK32" i="36"/>
  <c r="CL32" i="36"/>
  <c r="CM32" i="36"/>
  <c r="CN32" i="36"/>
  <c r="CO32" i="36"/>
  <c r="CP32" i="36"/>
  <c r="CS32" i="36"/>
  <c r="CT32" i="36"/>
  <c r="CW32" i="36"/>
  <c r="CX32" i="36"/>
  <c r="CY32" i="36"/>
  <c r="DE32" i="36"/>
  <c r="DF32" i="36"/>
  <c r="DG32" i="36"/>
  <c r="DH32" i="36"/>
  <c r="DK32" i="36"/>
  <c r="DL32" i="36"/>
  <c r="DM32" i="36"/>
  <c r="DP32" i="36"/>
  <c r="DY32" i="36"/>
  <c r="EA32" i="36"/>
  <c r="EB32" i="36"/>
  <c r="EC32" i="36"/>
  <c r="ED32" i="36"/>
  <c r="EE32" i="36"/>
  <c r="EG32" i="36"/>
  <c r="EH32" i="36"/>
  <c r="EI32" i="36"/>
  <c r="P33" i="36"/>
  <c r="Q33" i="36"/>
  <c r="R33" i="36"/>
  <c r="S33" i="36"/>
  <c r="AJ33" i="36"/>
  <c r="AK33" i="36"/>
  <c r="AM33" i="36"/>
  <c r="AN33" i="36"/>
  <c r="AO33" i="36"/>
  <c r="AP33" i="36"/>
  <c r="AQ33" i="36"/>
  <c r="AR33" i="36"/>
  <c r="AW33" i="36"/>
  <c r="AX33" i="36"/>
  <c r="AZ33" i="36"/>
  <c r="BA33" i="36"/>
  <c r="BB33" i="36"/>
  <c r="BE33" i="36"/>
  <c r="BF33" i="36"/>
  <c r="BG33" i="36"/>
  <c r="BN33" i="36"/>
  <c r="BO33" i="36"/>
  <c r="BQ33" i="36"/>
  <c r="BR33" i="36"/>
  <c r="BS33" i="36"/>
  <c r="BV33" i="36"/>
  <c r="CK33" i="36"/>
  <c r="CL33" i="36"/>
  <c r="CM33" i="36"/>
  <c r="CN33" i="36"/>
  <c r="CO33" i="36"/>
  <c r="CP33" i="36"/>
  <c r="CS33" i="36"/>
  <c r="CT33" i="36"/>
  <c r="CW33" i="36"/>
  <c r="CX33" i="36"/>
  <c r="CY33" i="36"/>
  <c r="DE33" i="36"/>
  <c r="DF33" i="36"/>
  <c r="DG33" i="36"/>
  <c r="DH33" i="36"/>
  <c r="DK33" i="36"/>
  <c r="DL33" i="36"/>
  <c r="DM33" i="36"/>
  <c r="DP33" i="36"/>
  <c r="DY33" i="36"/>
  <c r="EA33" i="36"/>
  <c r="EB33" i="36"/>
  <c r="EC33" i="36"/>
  <c r="ED33" i="36"/>
  <c r="EE33" i="36"/>
  <c r="EG33" i="36"/>
  <c r="EH33" i="36"/>
  <c r="EI33" i="36"/>
  <c r="P34" i="36"/>
  <c r="Q34" i="36"/>
  <c r="R34" i="36"/>
  <c r="S34" i="36"/>
  <c r="AJ34" i="36"/>
  <c r="AK34" i="36"/>
  <c r="AM34" i="36"/>
  <c r="AN34" i="36"/>
  <c r="AO34" i="36"/>
  <c r="AP34" i="36"/>
  <c r="AQ34" i="36"/>
  <c r="AR34" i="36"/>
  <c r="AW34" i="36"/>
  <c r="AX34" i="36"/>
  <c r="AZ34" i="36"/>
  <c r="BA34" i="36"/>
  <c r="BB34" i="36"/>
  <c r="BE34" i="36"/>
  <c r="BF34" i="36"/>
  <c r="BG34" i="36"/>
  <c r="BN34" i="36"/>
  <c r="BO34" i="36"/>
  <c r="BQ34" i="36"/>
  <c r="BR34" i="36"/>
  <c r="BS34" i="36"/>
  <c r="BV34" i="36"/>
  <c r="CK34" i="36"/>
  <c r="CL34" i="36"/>
  <c r="CM34" i="36"/>
  <c r="CN34" i="36"/>
  <c r="CO34" i="36"/>
  <c r="CP34" i="36"/>
  <c r="CS34" i="36"/>
  <c r="CT34" i="36"/>
  <c r="CW34" i="36"/>
  <c r="CX34" i="36"/>
  <c r="CY34" i="36"/>
  <c r="DE34" i="36"/>
  <c r="DF34" i="36"/>
  <c r="DG34" i="36"/>
  <c r="DH34" i="36"/>
  <c r="DK34" i="36"/>
  <c r="DL34" i="36"/>
  <c r="DM34" i="36"/>
  <c r="DP34" i="36"/>
  <c r="DY34" i="36"/>
  <c r="EA34" i="36"/>
  <c r="EB34" i="36"/>
  <c r="EC34" i="36"/>
  <c r="ED34" i="36"/>
  <c r="EE34" i="36"/>
  <c r="EG34" i="36"/>
  <c r="EH34" i="36"/>
  <c r="EI34" i="36"/>
  <c r="P35" i="36"/>
  <c r="Q35" i="36"/>
  <c r="R35" i="36"/>
  <c r="S35" i="36"/>
  <c r="AJ35" i="36"/>
  <c r="AK35" i="36"/>
  <c r="AM35" i="36"/>
  <c r="AN35" i="36"/>
  <c r="AO35" i="36"/>
  <c r="AP35" i="36"/>
  <c r="AQ35" i="36"/>
  <c r="AR35" i="36"/>
  <c r="AW35" i="36"/>
  <c r="AX35" i="36"/>
  <c r="AZ35" i="36"/>
  <c r="BA35" i="36"/>
  <c r="BB35" i="36"/>
  <c r="BE35" i="36"/>
  <c r="BF35" i="36"/>
  <c r="BG35" i="36"/>
  <c r="BN35" i="36"/>
  <c r="BO35" i="36"/>
  <c r="BQ35" i="36"/>
  <c r="BR35" i="36"/>
  <c r="BS35" i="36"/>
  <c r="BV35" i="36"/>
  <c r="CK35" i="36"/>
  <c r="CL35" i="36"/>
  <c r="CM35" i="36"/>
  <c r="CN35" i="36"/>
  <c r="CO35" i="36"/>
  <c r="CP35" i="36"/>
  <c r="CS35" i="36"/>
  <c r="CT35" i="36"/>
  <c r="CW35" i="36"/>
  <c r="CX35" i="36"/>
  <c r="CY35" i="36"/>
  <c r="DE35" i="36"/>
  <c r="DF35" i="36"/>
  <c r="DG35" i="36"/>
  <c r="DH35" i="36"/>
  <c r="DK35" i="36"/>
  <c r="DL35" i="36"/>
  <c r="DM35" i="36"/>
  <c r="DP35" i="36"/>
  <c r="DY35" i="36"/>
  <c r="EA35" i="36"/>
  <c r="EB35" i="36"/>
  <c r="EC35" i="36"/>
  <c r="ED35" i="36"/>
  <c r="EE35" i="36"/>
  <c r="EG35" i="36"/>
  <c r="EH35" i="36"/>
  <c r="EI35" i="36"/>
  <c r="P36" i="36"/>
  <c r="Q36" i="36"/>
  <c r="R36" i="36"/>
  <c r="S36" i="36"/>
  <c r="AJ36" i="36"/>
  <c r="AK36" i="36"/>
  <c r="AM36" i="36"/>
  <c r="AN36" i="36"/>
  <c r="AO36" i="36"/>
  <c r="AP36" i="36"/>
  <c r="AQ36" i="36"/>
  <c r="AR36" i="36"/>
  <c r="AW36" i="36"/>
  <c r="AX36" i="36"/>
  <c r="AZ36" i="36"/>
  <c r="BA36" i="36"/>
  <c r="BB36" i="36"/>
  <c r="BE36" i="36"/>
  <c r="BF36" i="36"/>
  <c r="BG36" i="36"/>
  <c r="BN36" i="36"/>
  <c r="BO36" i="36"/>
  <c r="BQ36" i="36"/>
  <c r="BR36" i="36"/>
  <c r="BS36" i="36"/>
  <c r="BV36" i="36"/>
  <c r="CK36" i="36"/>
  <c r="CL36" i="36"/>
  <c r="CM36" i="36"/>
  <c r="CN36" i="36"/>
  <c r="CO36" i="36"/>
  <c r="CP36" i="36"/>
  <c r="CS36" i="36"/>
  <c r="CT36" i="36"/>
  <c r="CW36" i="36"/>
  <c r="CX36" i="36"/>
  <c r="CY36" i="36"/>
  <c r="DE36" i="36"/>
  <c r="DF36" i="36"/>
  <c r="DG36" i="36"/>
  <c r="DH36" i="36"/>
  <c r="DK36" i="36"/>
  <c r="DL36" i="36"/>
  <c r="DM36" i="36"/>
  <c r="DP36" i="36"/>
  <c r="DY36" i="36"/>
  <c r="EA36" i="36"/>
  <c r="EB36" i="36"/>
  <c r="EC36" i="36"/>
  <c r="ED36" i="36"/>
  <c r="EE36" i="36"/>
  <c r="EG36" i="36"/>
  <c r="EH36" i="36"/>
  <c r="EI36" i="36"/>
  <c r="P37" i="36"/>
  <c r="Q37" i="36"/>
  <c r="R37" i="36"/>
  <c r="S37" i="36"/>
  <c r="AJ37" i="36"/>
  <c r="AK37" i="36"/>
  <c r="AM37" i="36"/>
  <c r="AN37" i="36"/>
  <c r="AO37" i="36"/>
  <c r="AP37" i="36"/>
  <c r="AQ37" i="36"/>
  <c r="AR37" i="36"/>
  <c r="AW37" i="36"/>
  <c r="AX37" i="36"/>
  <c r="AZ37" i="36"/>
  <c r="BA37" i="36"/>
  <c r="BB37" i="36"/>
  <c r="BE37" i="36"/>
  <c r="BF37" i="36"/>
  <c r="BG37" i="36"/>
  <c r="BN37" i="36"/>
  <c r="BO37" i="36"/>
  <c r="BQ37" i="36"/>
  <c r="BR37" i="36"/>
  <c r="BS37" i="36"/>
  <c r="BV37" i="36"/>
  <c r="CK37" i="36"/>
  <c r="CL37" i="36"/>
  <c r="CM37" i="36"/>
  <c r="CN37" i="36"/>
  <c r="CO37" i="36"/>
  <c r="CP37" i="36"/>
  <c r="CS37" i="36"/>
  <c r="CT37" i="36"/>
  <c r="CW37" i="36"/>
  <c r="CX37" i="36"/>
  <c r="CY37" i="36"/>
  <c r="DE37" i="36"/>
  <c r="DF37" i="36"/>
  <c r="DG37" i="36"/>
  <c r="DH37" i="36"/>
  <c r="DK37" i="36"/>
  <c r="DL37" i="36"/>
  <c r="DM37" i="36"/>
  <c r="DP37" i="36"/>
  <c r="DY37" i="36"/>
  <c r="EA37" i="36"/>
  <c r="EB37" i="36"/>
  <c r="EC37" i="36"/>
  <c r="ED37" i="36"/>
  <c r="EE37" i="36"/>
  <c r="EG37" i="36"/>
  <c r="EH37" i="36"/>
  <c r="EI37" i="36"/>
  <c r="P38" i="36"/>
  <c r="Q38" i="36"/>
  <c r="R38" i="36"/>
  <c r="S38" i="36"/>
  <c r="AJ38" i="36"/>
  <c r="AK38" i="36"/>
  <c r="AM38" i="36"/>
  <c r="AN38" i="36"/>
  <c r="AO38" i="36"/>
  <c r="AP38" i="36"/>
  <c r="AQ38" i="36"/>
  <c r="AR38" i="36"/>
  <c r="AW38" i="36"/>
  <c r="AX38" i="36"/>
  <c r="AZ38" i="36"/>
  <c r="BA38" i="36"/>
  <c r="BB38" i="36"/>
  <c r="BE38" i="36"/>
  <c r="BF38" i="36"/>
  <c r="BG38" i="36"/>
  <c r="BN38" i="36"/>
  <c r="BO38" i="36"/>
  <c r="BQ38" i="36"/>
  <c r="BR38" i="36"/>
  <c r="BS38" i="36"/>
  <c r="BV38" i="36"/>
  <c r="CK38" i="36"/>
  <c r="CL38" i="36"/>
  <c r="CM38" i="36"/>
  <c r="CN38" i="36"/>
  <c r="CO38" i="36"/>
  <c r="CP38" i="36"/>
  <c r="CS38" i="36"/>
  <c r="CT38" i="36"/>
  <c r="CW38" i="36"/>
  <c r="CX38" i="36"/>
  <c r="CY38" i="36"/>
  <c r="DE38" i="36"/>
  <c r="DF38" i="36"/>
  <c r="DG38" i="36"/>
  <c r="DH38" i="36"/>
  <c r="DK38" i="36"/>
  <c r="DL38" i="36"/>
  <c r="DM38" i="36"/>
  <c r="DP38" i="36"/>
  <c r="DY38" i="36"/>
  <c r="EA38" i="36"/>
  <c r="EB38" i="36"/>
  <c r="EC38" i="36"/>
  <c r="ED38" i="36"/>
  <c r="EE38" i="36"/>
  <c r="EG38" i="36"/>
  <c r="EH38" i="36"/>
  <c r="EI38" i="36"/>
  <c r="P39" i="36"/>
  <c r="Q39" i="36"/>
  <c r="R39" i="36"/>
  <c r="S39" i="36"/>
  <c r="AJ39" i="36"/>
  <c r="AK39" i="36"/>
  <c r="AM39" i="36"/>
  <c r="AN39" i="36"/>
  <c r="AO39" i="36"/>
  <c r="AP39" i="36"/>
  <c r="AQ39" i="36"/>
  <c r="AR39" i="36"/>
  <c r="AW39" i="36"/>
  <c r="AX39" i="36"/>
  <c r="AZ39" i="36"/>
  <c r="BA39" i="36"/>
  <c r="BB39" i="36"/>
  <c r="BE39" i="36"/>
  <c r="BF39" i="36"/>
  <c r="BG39" i="36"/>
  <c r="BN39" i="36"/>
  <c r="BO39" i="36"/>
  <c r="BQ39" i="36"/>
  <c r="BR39" i="36"/>
  <c r="BS39" i="36"/>
  <c r="BV39" i="36"/>
  <c r="CK39" i="36"/>
  <c r="CL39" i="36"/>
  <c r="CM39" i="36"/>
  <c r="CN39" i="36"/>
  <c r="CO39" i="36"/>
  <c r="CP39" i="36"/>
  <c r="CS39" i="36"/>
  <c r="CT39" i="36"/>
  <c r="CW39" i="36"/>
  <c r="CX39" i="36"/>
  <c r="CY39" i="36"/>
  <c r="DE39" i="36"/>
  <c r="DF39" i="36"/>
  <c r="DG39" i="36"/>
  <c r="DH39" i="36"/>
  <c r="DK39" i="36"/>
  <c r="DL39" i="36"/>
  <c r="DM39" i="36"/>
  <c r="DP39" i="36"/>
  <c r="DY39" i="36"/>
  <c r="EA39" i="36"/>
  <c r="EB39" i="36"/>
  <c r="EC39" i="36"/>
  <c r="ED39" i="36"/>
  <c r="EE39" i="36"/>
  <c r="EG39" i="36"/>
  <c r="EH39" i="36"/>
  <c r="EI39" i="36"/>
  <c r="P40" i="36"/>
  <c r="Q40" i="36"/>
  <c r="R40" i="36"/>
  <c r="S40" i="36"/>
  <c r="AJ40" i="36"/>
  <c r="AK40" i="36"/>
  <c r="AM40" i="36"/>
  <c r="AN40" i="36"/>
  <c r="AO40" i="36"/>
  <c r="AP40" i="36"/>
  <c r="AQ40" i="36"/>
  <c r="AR40" i="36"/>
  <c r="AW40" i="36"/>
  <c r="AX40" i="36"/>
  <c r="AZ40" i="36"/>
  <c r="BA40" i="36"/>
  <c r="BB40" i="36"/>
  <c r="BE40" i="36"/>
  <c r="BF40" i="36"/>
  <c r="BG40" i="36"/>
  <c r="BN40" i="36"/>
  <c r="BO40" i="36"/>
  <c r="BQ40" i="36"/>
  <c r="BR40" i="36"/>
  <c r="BS40" i="36"/>
  <c r="BV40" i="36"/>
  <c r="CK40" i="36"/>
  <c r="CL40" i="36"/>
  <c r="CM40" i="36"/>
  <c r="CN40" i="36"/>
  <c r="CO40" i="36"/>
  <c r="CP40" i="36"/>
  <c r="CS40" i="36"/>
  <c r="CT40" i="36"/>
  <c r="CW40" i="36"/>
  <c r="CX40" i="36"/>
  <c r="CY40" i="36"/>
  <c r="DE40" i="36"/>
  <c r="DF40" i="36"/>
  <c r="DG40" i="36"/>
  <c r="DH40" i="36"/>
  <c r="DK40" i="36"/>
  <c r="DL40" i="36"/>
  <c r="DM40" i="36"/>
  <c r="DP40" i="36"/>
  <c r="DY40" i="36"/>
  <c r="EA40" i="36"/>
  <c r="EB40" i="36"/>
  <c r="EC40" i="36"/>
  <c r="ED40" i="36"/>
  <c r="EE40" i="36"/>
  <c r="EF40" i="36"/>
  <c r="EG40" i="36"/>
  <c r="EH40" i="36"/>
  <c r="EI40" i="36"/>
  <c r="P41" i="36"/>
  <c r="Q41" i="36"/>
  <c r="R41" i="36"/>
  <c r="S41" i="36"/>
  <c r="AJ41" i="36"/>
  <c r="AK41" i="36"/>
  <c r="AM41" i="36"/>
  <c r="AN41" i="36"/>
  <c r="AO41" i="36"/>
  <c r="AP41" i="36"/>
  <c r="AQ41" i="36"/>
  <c r="AR41" i="36"/>
  <c r="AW41" i="36"/>
  <c r="AX41" i="36"/>
  <c r="AZ41" i="36"/>
  <c r="BA41" i="36"/>
  <c r="BB41" i="36"/>
  <c r="BE41" i="36"/>
  <c r="BF41" i="36"/>
  <c r="BG41" i="36"/>
  <c r="BN41" i="36"/>
  <c r="BO41" i="36"/>
  <c r="BQ41" i="36"/>
  <c r="BR41" i="36"/>
  <c r="BS41" i="36"/>
  <c r="BV41" i="36"/>
  <c r="CK41" i="36"/>
  <c r="CL41" i="36"/>
  <c r="CM41" i="36"/>
  <c r="CN41" i="36"/>
  <c r="CO41" i="36"/>
  <c r="CP41" i="36"/>
  <c r="CS41" i="36"/>
  <c r="CT41" i="36"/>
  <c r="CW41" i="36"/>
  <c r="CX41" i="36"/>
  <c r="CY41" i="36"/>
  <c r="DE41" i="36"/>
  <c r="DF41" i="36"/>
  <c r="DG41" i="36"/>
  <c r="DH41" i="36"/>
  <c r="DK41" i="36"/>
  <c r="DL41" i="36"/>
  <c r="DM41" i="36"/>
  <c r="DP41" i="36"/>
  <c r="DY41" i="36"/>
  <c r="EA41" i="36"/>
  <c r="EB41" i="36"/>
  <c r="EC41" i="36"/>
  <c r="ED41" i="36"/>
  <c r="EE41" i="36"/>
  <c r="EF41" i="36"/>
  <c r="EG41" i="36"/>
  <c r="EH41" i="36"/>
  <c r="EI41" i="36"/>
  <c r="P42" i="36"/>
  <c r="Q42" i="36"/>
  <c r="R42" i="36"/>
  <c r="S42" i="36"/>
  <c r="AJ42" i="36"/>
  <c r="AK42" i="36"/>
  <c r="AM42" i="36"/>
  <c r="AN42" i="36"/>
  <c r="AO42" i="36"/>
  <c r="AP42" i="36"/>
  <c r="AQ42" i="36"/>
  <c r="AR42" i="36"/>
  <c r="AW42" i="36"/>
  <c r="AX42" i="36"/>
  <c r="AZ42" i="36"/>
  <c r="BA42" i="36"/>
  <c r="BB42" i="36"/>
  <c r="BE42" i="36"/>
  <c r="BF42" i="36"/>
  <c r="BG42" i="36"/>
  <c r="BN42" i="36"/>
  <c r="BO42" i="36"/>
  <c r="BQ42" i="36"/>
  <c r="BR42" i="36"/>
  <c r="BS42" i="36"/>
  <c r="BV42" i="36"/>
  <c r="CK42" i="36"/>
  <c r="CL42" i="36"/>
  <c r="CM42" i="36"/>
  <c r="CN42" i="36"/>
  <c r="CO42" i="36"/>
  <c r="CP42" i="36"/>
  <c r="CS42" i="36"/>
  <c r="CT42" i="36"/>
  <c r="CW42" i="36"/>
  <c r="CX42" i="36"/>
  <c r="CY42" i="36"/>
  <c r="DE42" i="36"/>
  <c r="DF42" i="36"/>
  <c r="DG42" i="36"/>
  <c r="DH42" i="36"/>
  <c r="DK42" i="36"/>
  <c r="DL42" i="36"/>
  <c r="DM42" i="36"/>
  <c r="DP42" i="36"/>
  <c r="DY42" i="36"/>
  <c r="EA42" i="36"/>
  <c r="EB42" i="36"/>
  <c r="EC42" i="36"/>
  <c r="ED42" i="36"/>
  <c r="EE42" i="36"/>
  <c r="EF42" i="36"/>
  <c r="EG42" i="36"/>
  <c r="EH42" i="36"/>
  <c r="EI42" i="36"/>
  <c r="P43" i="36"/>
  <c r="Q43" i="36"/>
  <c r="R43" i="36"/>
  <c r="S43" i="36"/>
  <c r="AJ43" i="36"/>
  <c r="AK43" i="36"/>
  <c r="AM43" i="36"/>
  <c r="AN43" i="36"/>
  <c r="AO43" i="36"/>
  <c r="AP43" i="36"/>
  <c r="AQ43" i="36"/>
  <c r="AR43" i="36"/>
  <c r="AW43" i="36"/>
  <c r="AX43" i="36"/>
  <c r="AZ43" i="36"/>
  <c r="BA43" i="36"/>
  <c r="BB43" i="36"/>
  <c r="BE43" i="36"/>
  <c r="BF43" i="36"/>
  <c r="BG43" i="36"/>
  <c r="BN43" i="36"/>
  <c r="BO43" i="36"/>
  <c r="BQ43" i="36"/>
  <c r="BR43" i="36"/>
  <c r="BS43" i="36"/>
  <c r="BV43" i="36"/>
  <c r="CK43" i="36"/>
  <c r="CL43" i="36"/>
  <c r="CM43" i="36"/>
  <c r="CN43" i="36"/>
  <c r="CO43" i="36"/>
  <c r="CP43" i="36"/>
  <c r="CS43" i="36"/>
  <c r="CT43" i="36"/>
  <c r="CW43" i="36"/>
  <c r="CX43" i="36"/>
  <c r="CY43" i="36"/>
  <c r="DE43" i="36"/>
  <c r="DF43" i="36"/>
  <c r="DG43" i="36"/>
  <c r="DH43" i="36"/>
  <c r="DK43" i="36"/>
  <c r="DL43" i="36"/>
  <c r="DM43" i="36"/>
  <c r="DP43" i="36"/>
  <c r="DY43" i="36"/>
  <c r="EA43" i="36"/>
  <c r="EB43" i="36"/>
  <c r="EC43" i="36"/>
  <c r="ED43" i="36"/>
  <c r="EE43" i="36"/>
  <c r="EG43" i="36"/>
  <c r="EH43" i="36"/>
  <c r="EI43" i="36"/>
  <c r="P44" i="36"/>
  <c r="Q44" i="36"/>
  <c r="R44" i="36"/>
  <c r="S44" i="36"/>
  <c r="AJ44" i="36"/>
  <c r="AK44" i="36"/>
  <c r="AM44" i="36"/>
  <c r="AN44" i="36"/>
  <c r="AO44" i="36"/>
  <c r="AP44" i="36"/>
  <c r="AQ44" i="36"/>
  <c r="AR44" i="36"/>
  <c r="AW44" i="36"/>
  <c r="AX44" i="36"/>
  <c r="AZ44" i="36"/>
  <c r="BA44" i="36"/>
  <c r="BB44" i="36"/>
  <c r="BE44" i="36"/>
  <c r="BF44" i="36"/>
  <c r="BG44" i="36"/>
  <c r="BN44" i="36"/>
  <c r="BO44" i="36"/>
  <c r="BQ44" i="36"/>
  <c r="BR44" i="36"/>
  <c r="BS44" i="36"/>
  <c r="BV44" i="36"/>
  <c r="CK44" i="36"/>
  <c r="CL44" i="36"/>
  <c r="CM44" i="36"/>
  <c r="CN44" i="36"/>
  <c r="CO44" i="36"/>
  <c r="CP44" i="36"/>
  <c r="CS44" i="36"/>
  <c r="CT44" i="36"/>
  <c r="CW44" i="36"/>
  <c r="CX44" i="36"/>
  <c r="CY44" i="36"/>
  <c r="DE44" i="36"/>
  <c r="DF44" i="36"/>
  <c r="DG44" i="36"/>
  <c r="DH44" i="36"/>
  <c r="DK44" i="36"/>
  <c r="DL44" i="36"/>
  <c r="DM44" i="36"/>
  <c r="DP44" i="36"/>
  <c r="DY44" i="36"/>
  <c r="EA44" i="36"/>
  <c r="EB44" i="36"/>
  <c r="EC44" i="36"/>
  <c r="ED44" i="36"/>
  <c r="EE44" i="36"/>
  <c r="EG44" i="36"/>
  <c r="EH44" i="36"/>
  <c r="EI44" i="36"/>
  <c r="P45" i="36"/>
  <c r="Q45" i="36"/>
  <c r="R45" i="36"/>
  <c r="S45" i="36"/>
  <c r="AJ45" i="36"/>
  <c r="AK45" i="36"/>
  <c r="AM45" i="36"/>
  <c r="AN45" i="36"/>
  <c r="AO45" i="36"/>
  <c r="AP45" i="36"/>
  <c r="AQ45" i="36"/>
  <c r="AR45" i="36"/>
  <c r="AW45" i="36"/>
  <c r="AX45" i="36"/>
  <c r="AZ45" i="36"/>
  <c r="BA45" i="36"/>
  <c r="BB45" i="36"/>
  <c r="BE45" i="36"/>
  <c r="BF45" i="36"/>
  <c r="BG45" i="36"/>
  <c r="BN45" i="36"/>
  <c r="BO45" i="36"/>
  <c r="BQ45" i="36"/>
  <c r="BR45" i="36"/>
  <c r="BS45" i="36"/>
  <c r="BV45" i="36"/>
  <c r="CK45" i="36"/>
  <c r="CL45" i="36"/>
  <c r="CM45" i="36"/>
  <c r="CN45" i="36"/>
  <c r="CO45" i="36"/>
  <c r="CP45" i="36"/>
  <c r="CS45" i="36"/>
  <c r="CT45" i="36"/>
  <c r="CW45" i="36"/>
  <c r="CX45" i="36"/>
  <c r="CY45" i="36"/>
  <c r="DE45" i="36"/>
  <c r="DF45" i="36"/>
  <c r="DG45" i="36"/>
  <c r="DH45" i="36"/>
  <c r="DK45" i="36"/>
  <c r="DL45" i="36"/>
  <c r="DM45" i="36"/>
  <c r="DP45" i="36"/>
  <c r="DY45" i="36"/>
  <c r="EA45" i="36"/>
  <c r="EB45" i="36"/>
  <c r="EC45" i="36"/>
  <c r="ED45" i="36"/>
  <c r="EE45" i="36"/>
  <c r="EG45" i="36"/>
  <c r="EH45" i="36"/>
  <c r="EI45" i="36"/>
  <c r="P46" i="36"/>
  <c r="Q46" i="36"/>
  <c r="R46" i="36"/>
  <c r="S46" i="36"/>
  <c r="AJ46" i="36"/>
  <c r="AK46" i="36"/>
  <c r="AM46" i="36"/>
  <c r="AN46" i="36"/>
  <c r="AO46" i="36"/>
  <c r="AP46" i="36"/>
  <c r="AQ46" i="36"/>
  <c r="AR46" i="36"/>
  <c r="AW46" i="36"/>
  <c r="AX46" i="36"/>
  <c r="AZ46" i="36"/>
  <c r="BA46" i="36"/>
  <c r="BB46" i="36"/>
  <c r="BE46" i="36"/>
  <c r="BF46" i="36"/>
  <c r="BG46" i="36"/>
  <c r="BN46" i="36"/>
  <c r="BO46" i="36"/>
  <c r="BQ46" i="36"/>
  <c r="BR46" i="36"/>
  <c r="BS46" i="36"/>
  <c r="BV46" i="36"/>
  <c r="CK46" i="36"/>
  <c r="CL46" i="36"/>
  <c r="CM46" i="36"/>
  <c r="CN46" i="36"/>
  <c r="CO46" i="36"/>
  <c r="CP46" i="36"/>
  <c r="CS46" i="36"/>
  <c r="CT46" i="36"/>
  <c r="CW46" i="36"/>
  <c r="CX46" i="36"/>
  <c r="CY46" i="36"/>
  <c r="DE46" i="36"/>
  <c r="DF46" i="36"/>
  <c r="DG46" i="36"/>
  <c r="DH46" i="36"/>
  <c r="DK46" i="36"/>
  <c r="DL46" i="36"/>
  <c r="DM46" i="36"/>
  <c r="DP46" i="36"/>
  <c r="DY46" i="36"/>
  <c r="EA46" i="36"/>
  <c r="EB46" i="36"/>
  <c r="EC46" i="36"/>
  <c r="ED46" i="36"/>
  <c r="EE46" i="36"/>
  <c r="EF46" i="36"/>
  <c r="EG46" i="36"/>
  <c r="EH46" i="36"/>
  <c r="EI46" i="36"/>
  <c r="P47" i="36"/>
  <c r="Q47" i="36"/>
  <c r="R47" i="36"/>
  <c r="S47" i="36"/>
  <c r="AJ47" i="36"/>
  <c r="AK47" i="36"/>
  <c r="AM47" i="36"/>
  <c r="AN47" i="36"/>
  <c r="AO47" i="36"/>
  <c r="AP47" i="36"/>
  <c r="AQ47" i="36"/>
  <c r="AR47" i="36"/>
  <c r="AW47" i="36"/>
  <c r="AX47" i="36"/>
  <c r="AZ47" i="36"/>
  <c r="BA47" i="36"/>
  <c r="BB47" i="36"/>
  <c r="BE47" i="36"/>
  <c r="BF47" i="36"/>
  <c r="BG47" i="36"/>
  <c r="BN47" i="36"/>
  <c r="BO47" i="36"/>
  <c r="BQ47" i="36"/>
  <c r="BR47" i="36"/>
  <c r="BS47" i="36"/>
  <c r="BV47" i="36"/>
  <c r="CK47" i="36"/>
  <c r="CL47" i="36"/>
  <c r="CM47" i="36"/>
  <c r="CN47" i="36"/>
  <c r="CO47" i="36"/>
  <c r="CP47" i="36"/>
  <c r="CS47" i="36"/>
  <c r="CT47" i="36"/>
  <c r="CW47" i="36"/>
  <c r="CX47" i="36"/>
  <c r="CY47" i="36"/>
  <c r="DE47" i="36"/>
  <c r="DF47" i="36"/>
  <c r="DG47" i="36"/>
  <c r="DH47" i="36"/>
  <c r="DK47" i="36"/>
  <c r="DL47" i="36"/>
  <c r="DM47" i="36"/>
  <c r="DP47" i="36"/>
  <c r="DY47" i="36"/>
  <c r="EA47" i="36"/>
  <c r="EB47" i="36"/>
  <c r="EC47" i="36"/>
  <c r="ED47" i="36"/>
  <c r="EE47" i="36"/>
  <c r="EF47" i="36"/>
  <c r="EG47" i="36"/>
  <c r="EH47" i="36"/>
  <c r="EI47" i="36"/>
  <c r="P48" i="36"/>
  <c r="Q48" i="36"/>
  <c r="R48" i="36"/>
  <c r="S48" i="36"/>
  <c r="AJ48" i="36"/>
  <c r="AK48" i="36"/>
  <c r="AM48" i="36"/>
  <c r="AN48" i="36"/>
  <c r="AO48" i="36"/>
  <c r="AP48" i="36"/>
  <c r="AQ48" i="36"/>
  <c r="AR48" i="36"/>
  <c r="AW48" i="36"/>
  <c r="AX48" i="36"/>
  <c r="AZ48" i="36"/>
  <c r="BA48" i="36"/>
  <c r="BB48" i="36"/>
  <c r="BE48" i="36"/>
  <c r="BF48" i="36"/>
  <c r="BG48" i="36"/>
  <c r="BN48" i="36"/>
  <c r="BO48" i="36"/>
  <c r="BQ48" i="36"/>
  <c r="BR48" i="36"/>
  <c r="BS48" i="36"/>
  <c r="BV48" i="36"/>
  <c r="CK48" i="36"/>
  <c r="CL48" i="36"/>
  <c r="CM48" i="36"/>
  <c r="CN48" i="36"/>
  <c r="CO48" i="36"/>
  <c r="CP48" i="36"/>
  <c r="CS48" i="36"/>
  <c r="CT48" i="36"/>
  <c r="CW48" i="36"/>
  <c r="CX48" i="36"/>
  <c r="CY48" i="36"/>
  <c r="DE48" i="36"/>
  <c r="DF48" i="36"/>
  <c r="DG48" i="36"/>
  <c r="DH48" i="36"/>
  <c r="DK48" i="36"/>
  <c r="DL48" i="36"/>
  <c r="DM48" i="36"/>
  <c r="DP48" i="36"/>
  <c r="DY48" i="36"/>
  <c r="EA48" i="36"/>
  <c r="EB48" i="36"/>
  <c r="EC48" i="36"/>
  <c r="ED48" i="36"/>
  <c r="EE48" i="36"/>
  <c r="EG48" i="36"/>
  <c r="EH48" i="36"/>
  <c r="EI48" i="36"/>
  <c r="P49" i="36"/>
  <c r="Q49" i="36"/>
  <c r="R49" i="36"/>
  <c r="S49" i="36"/>
  <c r="AJ49" i="36"/>
  <c r="AK49" i="36"/>
  <c r="AM49" i="36"/>
  <c r="AN49" i="36"/>
  <c r="AO49" i="36"/>
  <c r="AP49" i="36"/>
  <c r="AQ49" i="36"/>
  <c r="AR49" i="36"/>
  <c r="AW49" i="36"/>
  <c r="AX49" i="36"/>
  <c r="AZ49" i="36"/>
  <c r="BA49" i="36"/>
  <c r="BB49" i="36"/>
  <c r="BE49" i="36"/>
  <c r="BF49" i="36"/>
  <c r="BG49" i="36"/>
  <c r="BN49" i="36"/>
  <c r="BO49" i="36"/>
  <c r="BQ49" i="36"/>
  <c r="BR49" i="36"/>
  <c r="BS49" i="36"/>
  <c r="BV49" i="36"/>
  <c r="CK49" i="36"/>
  <c r="CL49" i="36"/>
  <c r="CM49" i="36"/>
  <c r="CN49" i="36"/>
  <c r="CO49" i="36"/>
  <c r="CP49" i="36"/>
  <c r="CS49" i="36"/>
  <c r="CT49" i="36"/>
  <c r="CW49" i="36"/>
  <c r="CX49" i="36"/>
  <c r="CY49" i="36"/>
  <c r="DE49" i="36"/>
  <c r="DF49" i="36"/>
  <c r="DG49" i="36"/>
  <c r="DH49" i="36"/>
  <c r="DK49" i="36"/>
  <c r="DL49" i="36"/>
  <c r="DM49" i="36"/>
  <c r="DP49" i="36"/>
  <c r="DY49" i="36"/>
  <c r="EA49" i="36"/>
  <c r="EB49" i="36"/>
  <c r="EC49" i="36"/>
  <c r="ED49" i="36"/>
  <c r="EE49" i="36"/>
  <c r="EF49" i="36"/>
  <c r="EG49" i="36"/>
  <c r="EH49" i="36"/>
  <c r="EI49" i="36"/>
  <c r="P50" i="36"/>
  <c r="Q50" i="36"/>
  <c r="R50" i="36"/>
  <c r="S50" i="36"/>
  <c r="AJ50" i="36"/>
  <c r="AK50" i="36"/>
  <c r="AM50" i="36"/>
  <c r="AN50" i="36"/>
  <c r="AO50" i="36"/>
  <c r="AP50" i="36"/>
  <c r="AQ50" i="36"/>
  <c r="AR50" i="36"/>
  <c r="AW50" i="36"/>
  <c r="AX50" i="36"/>
  <c r="AZ50" i="36"/>
  <c r="BA50" i="36"/>
  <c r="BB50" i="36"/>
  <c r="BE50" i="36"/>
  <c r="BF50" i="36"/>
  <c r="BG50" i="36"/>
  <c r="BN50" i="36"/>
  <c r="BO50" i="36"/>
  <c r="BQ50" i="36"/>
  <c r="BR50" i="36"/>
  <c r="BS50" i="36"/>
  <c r="BV50" i="36"/>
  <c r="CK50" i="36"/>
  <c r="CL50" i="36"/>
  <c r="CM50" i="36"/>
  <c r="CN50" i="36"/>
  <c r="CO50" i="36"/>
  <c r="CP50" i="36"/>
  <c r="CS50" i="36"/>
  <c r="CT50" i="36"/>
  <c r="CW50" i="36"/>
  <c r="CX50" i="36"/>
  <c r="CY50" i="36"/>
  <c r="DE50" i="36"/>
  <c r="DF50" i="36"/>
  <c r="DG50" i="36"/>
  <c r="DH50" i="36"/>
  <c r="DK50" i="36"/>
  <c r="DL50" i="36"/>
  <c r="DM50" i="36"/>
  <c r="DP50" i="36"/>
  <c r="DY50" i="36"/>
  <c r="EA50" i="36"/>
  <c r="EB50" i="36"/>
  <c r="EC50" i="36"/>
  <c r="ED50" i="36"/>
  <c r="EE50" i="36"/>
  <c r="EF50" i="36"/>
  <c r="EG50" i="36"/>
  <c r="EH50" i="36"/>
  <c r="EI50" i="36"/>
  <c r="P51" i="36"/>
  <c r="Q51" i="36"/>
  <c r="R51" i="36"/>
  <c r="S51" i="36"/>
  <c r="AJ51" i="36"/>
  <c r="AK51" i="36"/>
  <c r="AM51" i="36"/>
  <c r="AN51" i="36"/>
  <c r="AO51" i="36"/>
  <c r="AP51" i="36"/>
  <c r="AQ51" i="36"/>
  <c r="AR51" i="36"/>
  <c r="AW51" i="36"/>
  <c r="AX51" i="36"/>
  <c r="AZ51" i="36"/>
  <c r="BA51" i="36"/>
  <c r="BB51" i="36"/>
  <c r="BE51" i="36"/>
  <c r="BF51" i="36"/>
  <c r="BG51" i="36"/>
  <c r="BN51" i="36"/>
  <c r="BO51" i="36"/>
  <c r="BQ51" i="36"/>
  <c r="BR51" i="36"/>
  <c r="BS51" i="36"/>
  <c r="BV51" i="36"/>
  <c r="CK51" i="36"/>
  <c r="CL51" i="36"/>
  <c r="CM51" i="36"/>
  <c r="CN51" i="36"/>
  <c r="CO51" i="36"/>
  <c r="CP51" i="36"/>
  <c r="CS51" i="36"/>
  <c r="CT51" i="36"/>
  <c r="CW51" i="36"/>
  <c r="CX51" i="36"/>
  <c r="CY51" i="36"/>
  <c r="DE51" i="36"/>
  <c r="DF51" i="36"/>
  <c r="DG51" i="36"/>
  <c r="DH51" i="36"/>
  <c r="DK51" i="36"/>
  <c r="DL51" i="36"/>
  <c r="DM51" i="36"/>
  <c r="DP51" i="36"/>
  <c r="DY51" i="36"/>
  <c r="EA51" i="36"/>
  <c r="EB51" i="36"/>
  <c r="EC51" i="36"/>
  <c r="ED51" i="36"/>
  <c r="EE51" i="36"/>
  <c r="EF51" i="36"/>
  <c r="EG51" i="36"/>
  <c r="EH51" i="36"/>
  <c r="EI51" i="36"/>
  <c r="P52" i="36"/>
  <c r="Q52" i="36"/>
  <c r="R52" i="36"/>
  <c r="S52" i="36"/>
  <c r="AJ52" i="36"/>
  <c r="AK52" i="36"/>
  <c r="AM52" i="36"/>
  <c r="AN52" i="36"/>
  <c r="AO52" i="36"/>
  <c r="AP52" i="36"/>
  <c r="AQ52" i="36"/>
  <c r="AR52" i="36"/>
  <c r="AW52" i="36"/>
  <c r="AX52" i="36"/>
  <c r="AZ52" i="36"/>
  <c r="BA52" i="36"/>
  <c r="BB52" i="36"/>
  <c r="BE52" i="36"/>
  <c r="BF52" i="36"/>
  <c r="BG52" i="36"/>
  <c r="BN52" i="36"/>
  <c r="BO52" i="36"/>
  <c r="BQ52" i="36"/>
  <c r="BR52" i="36"/>
  <c r="BS52" i="36"/>
  <c r="BV52" i="36"/>
  <c r="CK52" i="36"/>
  <c r="CL52" i="36"/>
  <c r="CM52" i="36"/>
  <c r="CN52" i="36"/>
  <c r="CO52" i="36"/>
  <c r="CP52" i="36"/>
  <c r="CS52" i="36"/>
  <c r="CT52" i="36"/>
  <c r="CW52" i="36"/>
  <c r="CX52" i="36"/>
  <c r="CY52" i="36"/>
  <c r="DE52" i="36"/>
  <c r="DF52" i="36"/>
  <c r="DG52" i="36"/>
  <c r="DH52" i="36"/>
  <c r="DK52" i="36"/>
  <c r="DL52" i="36"/>
  <c r="DM52" i="36"/>
  <c r="DP52" i="36"/>
  <c r="DY52" i="36"/>
  <c r="EA52" i="36"/>
  <c r="EB52" i="36"/>
  <c r="EC52" i="36"/>
  <c r="ED52" i="36"/>
  <c r="EE52" i="36"/>
  <c r="EF52" i="36"/>
  <c r="EG52" i="36"/>
  <c r="EH52" i="36"/>
  <c r="EI52" i="36"/>
  <c r="P53" i="36"/>
  <c r="Q53" i="36"/>
  <c r="R53" i="36"/>
  <c r="S53" i="36"/>
  <c r="AJ53" i="36"/>
  <c r="AK53" i="36"/>
  <c r="AM53" i="36"/>
  <c r="AN53" i="36"/>
  <c r="AO53" i="36"/>
  <c r="AP53" i="36"/>
  <c r="AQ53" i="36"/>
  <c r="AR53" i="36"/>
  <c r="AW53" i="36"/>
  <c r="AX53" i="36"/>
  <c r="AZ53" i="36"/>
  <c r="BA53" i="36"/>
  <c r="BB53" i="36"/>
  <c r="BE53" i="36"/>
  <c r="BF53" i="36"/>
  <c r="BG53" i="36"/>
  <c r="BN53" i="36"/>
  <c r="BO53" i="36"/>
  <c r="BQ53" i="36"/>
  <c r="BR53" i="36"/>
  <c r="BS53" i="36"/>
  <c r="BV53" i="36"/>
  <c r="CK53" i="36"/>
  <c r="CL53" i="36"/>
  <c r="CM53" i="36"/>
  <c r="CN53" i="36"/>
  <c r="CO53" i="36"/>
  <c r="CP53" i="36"/>
  <c r="CS53" i="36"/>
  <c r="CT53" i="36"/>
  <c r="CW53" i="36"/>
  <c r="CX53" i="36"/>
  <c r="CY53" i="36"/>
  <c r="DE53" i="36"/>
  <c r="DF53" i="36"/>
  <c r="DG53" i="36"/>
  <c r="DH53" i="36"/>
  <c r="DK53" i="36"/>
  <c r="DL53" i="36"/>
  <c r="DM53" i="36"/>
  <c r="DP53" i="36"/>
  <c r="DY53" i="36"/>
  <c r="EA53" i="36"/>
  <c r="EB53" i="36"/>
  <c r="EC53" i="36"/>
  <c r="ED53" i="36"/>
  <c r="EE53" i="36"/>
  <c r="EF53" i="36"/>
  <c r="EG53" i="36"/>
  <c r="EH53" i="36"/>
  <c r="EI53" i="36"/>
  <c r="P54" i="36"/>
  <c r="Q54" i="36"/>
  <c r="R54" i="36"/>
  <c r="S54" i="36"/>
  <c r="AJ54" i="36"/>
  <c r="AK54" i="36"/>
  <c r="AM54" i="36"/>
  <c r="AN54" i="36"/>
  <c r="AO54" i="36"/>
  <c r="AP54" i="36"/>
  <c r="AQ54" i="36"/>
  <c r="AR54" i="36"/>
  <c r="AW54" i="36"/>
  <c r="AX54" i="36"/>
  <c r="AZ54" i="36"/>
  <c r="BA54" i="36"/>
  <c r="BB54" i="36"/>
  <c r="BE54" i="36"/>
  <c r="BF54" i="36"/>
  <c r="BG54" i="36"/>
  <c r="BN54" i="36"/>
  <c r="BO54" i="36"/>
  <c r="BQ54" i="36"/>
  <c r="BR54" i="36"/>
  <c r="BS54" i="36"/>
  <c r="BV54" i="36"/>
  <c r="CK54" i="36"/>
  <c r="CL54" i="36"/>
  <c r="CM54" i="36"/>
  <c r="CN54" i="36"/>
  <c r="CO54" i="36"/>
  <c r="CP54" i="36"/>
  <c r="CS54" i="36"/>
  <c r="CT54" i="36"/>
  <c r="CW54" i="36"/>
  <c r="CX54" i="36"/>
  <c r="CY54" i="36"/>
  <c r="DE54" i="36"/>
  <c r="DF54" i="36"/>
  <c r="DG54" i="36"/>
  <c r="DH54" i="36"/>
  <c r="DK54" i="36"/>
  <c r="DL54" i="36"/>
  <c r="DM54" i="36"/>
  <c r="DP54" i="36"/>
  <c r="DY54" i="36"/>
  <c r="EA54" i="36"/>
  <c r="EB54" i="36"/>
  <c r="EC54" i="36"/>
  <c r="ED54" i="36"/>
  <c r="EE54" i="36"/>
  <c r="EF54" i="36"/>
  <c r="EG54" i="36"/>
  <c r="EH54" i="36"/>
  <c r="EI54" i="36"/>
  <c r="P55" i="36"/>
  <c r="Q55" i="36"/>
  <c r="R55" i="36"/>
  <c r="S55" i="36"/>
  <c r="AJ55" i="36"/>
  <c r="AK55" i="36"/>
  <c r="AM55" i="36"/>
  <c r="AN55" i="36"/>
  <c r="AO55" i="36"/>
  <c r="AP55" i="36"/>
  <c r="AQ55" i="36"/>
  <c r="AR55" i="36"/>
  <c r="AW55" i="36"/>
  <c r="AX55" i="36"/>
  <c r="AZ55" i="36"/>
  <c r="BA55" i="36"/>
  <c r="BB55" i="36"/>
  <c r="BE55" i="36"/>
  <c r="BF55" i="36"/>
  <c r="BG55" i="36"/>
  <c r="BN55" i="36"/>
  <c r="BO55" i="36"/>
  <c r="BQ55" i="36"/>
  <c r="BR55" i="36"/>
  <c r="BS55" i="36"/>
  <c r="BV55" i="36"/>
  <c r="CK55" i="36"/>
  <c r="CL55" i="36"/>
  <c r="CM55" i="36"/>
  <c r="CN55" i="36"/>
  <c r="CO55" i="36"/>
  <c r="CP55" i="36"/>
  <c r="CS55" i="36"/>
  <c r="CT55" i="36"/>
  <c r="CW55" i="36"/>
  <c r="CX55" i="36"/>
  <c r="CY55" i="36"/>
  <c r="DE55" i="36"/>
  <c r="DF55" i="36"/>
  <c r="DG55" i="36"/>
  <c r="DH55" i="36"/>
  <c r="DK55" i="36"/>
  <c r="DL55" i="36"/>
  <c r="DM55" i="36"/>
  <c r="DP55" i="36"/>
  <c r="DY55" i="36"/>
  <c r="EA55" i="36"/>
  <c r="EB55" i="36"/>
  <c r="EC55" i="36"/>
  <c r="ED55" i="36"/>
  <c r="EE55" i="36"/>
  <c r="EF55" i="36"/>
  <c r="EG55" i="36"/>
  <c r="EH55" i="36"/>
  <c r="EI55" i="36"/>
  <c r="B3" i="36"/>
  <c r="B4" i="36"/>
  <c r="B5" i="36"/>
  <c r="A3" i="36"/>
  <c r="A4" i="36"/>
  <c r="A5" i="36"/>
  <c r="BN34" i="40"/>
  <c r="BW34" i="40"/>
  <c r="BT34" i="40"/>
  <c r="BQ34" i="40"/>
  <c r="BK34" i="40"/>
  <c r="BB32" i="49"/>
  <c r="D82" i="49"/>
  <c r="C82" i="49"/>
  <c r="H529" i="45"/>
  <c r="H532" i="45"/>
  <c r="H531" i="45"/>
  <c r="H530" i="45"/>
  <c r="S82" i="49" l="1"/>
  <c r="AP82" i="49"/>
  <c r="AL82" i="49"/>
  <c r="AH82" i="49"/>
  <c r="AN82" i="49"/>
  <c r="AJ82" i="49"/>
  <c r="BL82" i="49"/>
  <c r="AZ82" i="49"/>
  <c r="BI82" i="49"/>
  <c r="BE32" i="49"/>
  <c r="BH32" i="49" s="1"/>
  <c r="BC32" i="49"/>
  <c r="BF82" i="49"/>
  <c r="AV82" i="49"/>
  <c r="BD82" i="49"/>
  <c r="AR82" i="49"/>
  <c r="F82" i="49"/>
  <c r="AT82" i="49"/>
  <c r="E82" i="49"/>
  <c r="H82" i="49" s="1"/>
  <c r="AX82" i="49"/>
  <c r="BB82" i="49"/>
  <c r="AS82" i="49" l="1"/>
  <c r="AM82" i="49"/>
  <c r="AQ82" i="49"/>
  <c r="AI82" i="49"/>
  <c r="AK82" i="49"/>
  <c r="AO82" i="49"/>
  <c r="BM82" i="49"/>
  <c r="Q82" i="49" s="1"/>
  <c r="BJ82" i="49"/>
  <c r="BA82" i="49"/>
  <c r="BC82" i="49"/>
  <c r="BG82" i="49"/>
  <c r="BE82" i="49"/>
  <c r="AW82" i="49"/>
  <c r="AY82" i="49"/>
  <c r="AU82" i="49"/>
  <c r="EB11" i="25"/>
  <c r="EC11" i="25"/>
  <c r="EB31" i="25"/>
  <c r="EC31" i="25"/>
  <c r="EB15" i="25"/>
  <c r="EC15" i="25"/>
  <c r="EB22" i="25"/>
  <c r="EC22" i="25"/>
  <c r="EB21" i="25"/>
  <c r="EC21" i="25"/>
  <c r="EB25" i="25"/>
  <c r="EC25" i="25"/>
  <c r="EB26" i="25"/>
  <c r="EC26" i="25"/>
  <c r="EB23" i="25"/>
  <c r="EC23" i="25"/>
  <c r="EB20" i="25"/>
  <c r="EC20" i="25"/>
  <c r="EB29" i="25"/>
  <c r="EC29" i="25"/>
  <c r="EB28" i="25"/>
  <c r="EC28" i="25"/>
  <c r="EB10" i="25"/>
  <c r="EC10" i="25"/>
  <c r="EB27" i="25"/>
  <c r="EC27" i="25"/>
  <c r="EB33" i="25"/>
  <c r="EC33" i="25"/>
  <c r="EB32" i="25"/>
  <c r="EC32" i="25"/>
  <c r="EB34" i="25"/>
  <c r="EC34" i="25"/>
  <c r="EB35" i="25"/>
  <c r="EC35" i="25"/>
  <c r="EB36" i="25"/>
  <c r="EC36" i="25"/>
  <c r="EB37" i="25"/>
  <c r="EC37" i="25"/>
  <c r="EB38" i="25"/>
  <c r="EC38" i="25"/>
  <c r="EB39" i="25"/>
  <c r="EC39" i="25"/>
  <c r="EB40" i="25"/>
  <c r="EC40" i="25"/>
  <c r="EB41" i="25"/>
  <c r="EC41" i="25"/>
  <c r="EB42" i="25"/>
  <c r="EC42" i="25"/>
  <c r="EB43" i="25"/>
  <c r="EC43" i="25"/>
  <c r="EB44" i="25"/>
  <c r="EC44" i="25"/>
  <c r="EB45" i="25"/>
  <c r="EC45" i="25"/>
  <c r="EB46" i="25"/>
  <c r="EC46" i="25"/>
  <c r="EB47" i="25"/>
  <c r="EC47" i="25"/>
  <c r="EB48" i="25"/>
  <c r="EC48" i="25"/>
  <c r="EB49" i="25"/>
  <c r="EC49" i="25"/>
  <c r="EB50" i="25"/>
  <c r="EC50" i="25"/>
  <c r="EB51" i="25"/>
  <c r="EC51" i="25"/>
  <c r="EB52" i="25"/>
  <c r="EC52" i="25"/>
  <c r="EB53" i="25"/>
  <c r="EC53" i="25"/>
  <c r="EB54" i="25"/>
  <c r="EC54" i="25"/>
  <c r="EB55" i="25"/>
  <c r="EC55" i="25"/>
  <c r="EB56" i="25"/>
  <c r="EC56" i="25"/>
  <c r="EB57" i="25"/>
  <c r="EC57" i="25"/>
  <c r="EB58" i="25"/>
  <c r="EC58" i="25"/>
  <c r="EB59" i="25"/>
  <c r="EC59" i="25"/>
  <c r="EB60" i="25"/>
  <c r="EC60" i="25"/>
  <c r="EB61" i="25"/>
  <c r="EC61" i="25"/>
  <c r="EB62" i="25"/>
  <c r="EC62" i="25"/>
  <c r="EB63" i="25"/>
  <c r="EC63" i="25"/>
  <c r="EB64" i="25"/>
  <c r="EC64" i="25"/>
  <c r="EB65" i="25"/>
  <c r="EC65" i="25"/>
  <c r="EB66" i="25"/>
  <c r="EC66" i="25"/>
  <c r="EB67" i="25"/>
  <c r="EC67" i="25"/>
  <c r="EB68" i="25"/>
  <c r="EC68" i="25"/>
  <c r="EB69" i="25"/>
  <c r="EC69" i="25"/>
  <c r="EB70" i="25"/>
  <c r="EC70" i="25"/>
  <c r="EB71" i="25"/>
  <c r="EC71" i="25"/>
  <c r="EB72" i="25"/>
  <c r="EC72" i="25"/>
  <c r="EB73" i="25"/>
  <c r="EC73" i="25"/>
  <c r="EB74" i="25"/>
  <c r="EC74" i="25"/>
  <c r="EB75" i="25"/>
  <c r="EC75" i="25"/>
  <c r="EB76" i="25"/>
  <c r="EC76" i="25"/>
  <c r="EB77" i="25"/>
  <c r="EC77" i="25"/>
  <c r="EB78" i="25"/>
  <c r="EC78" i="25"/>
  <c r="EB79" i="25"/>
  <c r="EC79" i="25"/>
  <c r="EB13" i="25"/>
  <c r="EC13" i="25"/>
  <c r="EB9" i="25"/>
  <c r="EC9" i="25"/>
  <c r="EB6" i="25"/>
  <c r="EC6" i="25"/>
  <c r="EB7" i="25"/>
  <c r="EC7" i="25"/>
  <c r="EB18" i="25"/>
  <c r="EC18" i="25"/>
  <c r="EB8" i="25"/>
  <c r="EC8" i="25"/>
  <c r="EB30" i="25"/>
  <c r="EC30" i="25"/>
  <c r="EB17" i="25"/>
  <c r="EC17" i="25"/>
  <c r="EB5" i="25"/>
  <c r="EC5" i="25"/>
  <c r="EB12" i="25"/>
  <c r="EC12" i="25"/>
  <c r="EB14" i="25"/>
  <c r="EC14" i="25"/>
  <c r="EB19" i="25"/>
  <c r="EC19" i="25"/>
  <c r="EC16" i="25"/>
  <c r="EB16" i="25"/>
  <c r="EE5" i="25"/>
  <c r="EF5" i="25"/>
  <c r="EE12" i="25"/>
  <c r="EF12" i="25"/>
  <c r="EE14" i="25"/>
  <c r="EF14" i="25"/>
  <c r="EE19" i="25"/>
  <c r="EF19" i="25"/>
  <c r="EE13" i="25"/>
  <c r="EF13" i="25"/>
  <c r="EE9" i="25"/>
  <c r="EF9" i="25"/>
  <c r="EE6" i="25"/>
  <c r="EF6" i="25"/>
  <c r="EE7" i="25"/>
  <c r="EF7" i="25"/>
  <c r="EE18" i="25"/>
  <c r="EF18" i="25"/>
  <c r="EE8" i="25"/>
  <c r="EF8" i="25"/>
  <c r="EE30" i="25"/>
  <c r="EF30" i="25"/>
  <c r="EE17" i="25"/>
  <c r="EF17" i="25"/>
  <c r="EE11" i="25"/>
  <c r="EF11" i="25"/>
  <c r="EE31" i="25"/>
  <c r="EF31" i="25"/>
  <c r="EE15" i="25"/>
  <c r="EF15" i="25"/>
  <c r="EE22" i="25"/>
  <c r="EF22" i="25"/>
  <c r="EE21" i="25"/>
  <c r="EF21" i="25"/>
  <c r="EE25" i="25"/>
  <c r="EF25" i="25"/>
  <c r="EE26" i="25"/>
  <c r="EF26" i="25"/>
  <c r="EE23" i="25"/>
  <c r="EF23" i="25"/>
  <c r="EE20" i="25"/>
  <c r="EF20" i="25"/>
  <c r="EE29" i="25"/>
  <c r="EF29" i="25"/>
  <c r="EE28" i="25"/>
  <c r="EF28" i="25"/>
  <c r="EE10" i="25"/>
  <c r="EF10" i="25"/>
  <c r="EE27" i="25"/>
  <c r="EF27" i="25"/>
  <c r="EE33" i="25"/>
  <c r="EF33" i="25"/>
  <c r="EE32" i="25"/>
  <c r="EF32" i="25"/>
  <c r="EE34" i="25"/>
  <c r="EF34" i="25"/>
  <c r="EE35" i="25"/>
  <c r="EF35" i="25"/>
  <c r="EE36" i="25"/>
  <c r="EF36" i="25"/>
  <c r="EE37" i="25"/>
  <c r="EF37" i="25"/>
  <c r="EE38" i="25"/>
  <c r="EF38" i="25"/>
  <c r="EE39" i="25"/>
  <c r="EF39" i="25"/>
  <c r="EE40" i="25"/>
  <c r="EF40" i="25"/>
  <c r="EE41" i="25"/>
  <c r="EF41" i="25"/>
  <c r="EE42" i="25"/>
  <c r="EF42" i="25"/>
  <c r="EE43" i="25"/>
  <c r="EF43" i="25"/>
  <c r="EE44" i="25"/>
  <c r="EF44" i="25"/>
  <c r="EE45" i="25"/>
  <c r="EF45" i="25"/>
  <c r="EE46" i="25"/>
  <c r="EF46" i="25"/>
  <c r="EE47" i="25"/>
  <c r="EF47" i="25"/>
  <c r="EE48" i="25"/>
  <c r="EF48" i="25"/>
  <c r="EE49" i="25"/>
  <c r="EF49" i="25"/>
  <c r="EE50" i="25"/>
  <c r="EF50" i="25"/>
  <c r="EE51" i="25"/>
  <c r="EF51" i="25"/>
  <c r="EE52" i="25"/>
  <c r="EF52" i="25"/>
  <c r="EE53" i="25"/>
  <c r="EF53" i="25"/>
  <c r="EE54" i="25"/>
  <c r="EF54" i="25"/>
  <c r="EE55" i="25"/>
  <c r="EF55" i="25"/>
  <c r="EE56" i="25"/>
  <c r="EF56" i="25"/>
  <c r="EE57" i="25"/>
  <c r="EF57" i="25"/>
  <c r="EE58" i="25"/>
  <c r="EF58" i="25"/>
  <c r="EE59" i="25"/>
  <c r="EF59" i="25"/>
  <c r="EE60" i="25"/>
  <c r="EF60" i="25"/>
  <c r="EE61" i="25"/>
  <c r="EF61" i="25"/>
  <c r="EE62" i="25"/>
  <c r="EF62" i="25"/>
  <c r="EE63" i="25"/>
  <c r="EF63" i="25"/>
  <c r="EE64" i="25"/>
  <c r="EF64" i="25"/>
  <c r="EE65" i="25"/>
  <c r="EF65" i="25"/>
  <c r="EE66" i="25"/>
  <c r="EF66" i="25"/>
  <c r="EE67" i="25"/>
  <c r="EF67" i="25"/>
  <c r="EE68" i="25"/>
  <c r="EF68" i="25"/>
  <c r="EE69" i="25"/>
  <c r="EF69" i="25"/>
  <c r="EE70" i="25"/>
  <c r="EF70" i="25"/>
  <c r="EE71" i="25"/>
  <c r="EF71" i="25"/>
  <c r="EE72" i="25"/>
  <c r="EF72" i="25"/>
  <c r="EE73" i="25"/>
  <c r="EF73" i="25"/>
  <c r="EE74" i="25"/>
  <c r="EF74" i="25"/>
  <c r="EE75" i="25"/>
  <c r="EF75" i="25"/>
  <c r="EE76" i="25"/>
  <c r="EF76" i="25"/>
  <c r="EE77" i="25"/>
  <c r="EF77" i="25"/>
  <c r="EE78" i="25"/>
  <c r="EF78" i="25"/>
  <c r="EE79" i="25"/>
  <c r="EF79" i="25"/>
  <c r="EF16" i="25"/>
  <c r="EE16" i="25"/>
  <c r="H528" i="45"/>
  <c r="BN83" i="49" l="1"/>
  <c r="BN82" i="49"/>
  <c r="BO82" i="49"/>
  <c r="BH82" i="49"/>
  <c r="BK82" i="49"/>
  <c r="H527" i="45"/>
  <c r="AH34" i="26"/>
  <c r="BY32" i="40"/>
  <c r="BY16" i="40"/>
  <c r="BY9" i="40"/>
  <c r="BY20" i="40"/>
  <c r="BY4" i="40"/>
  <c r="BY6" i="40"/>
  <c r="BY22" i="40"/>
  <c r="BY30" i="40"/>
  <c r="BY12" i="40"/>
  <c r="BY23" i="40"/>
  <c r="BY17" i="40"/>
  <c r="BY10" i="40"/>
  <c r="BY26" i="40"/>
  <c r="BY8" i="40"/>
  <c r="BY14" i="40"/>
  <c r="BY5" i="40"/>
  <c r="BY11" i="40"/>
  <c r="BY18" i="40"/>
  <c r="BY19" i="40"/>
  <c r="BY24" i="40"/>
  <c r="BY21" i="40"/>
  <c r="BY25" i="40"/>
  <c r="BY27" i="40"/>
  <c r="BY31" i="40"/>
  <c r="BY29" i="40"/>
  <c r="BY7" i="40"/>
  <c r="BY15" i="40"/>
  <c r="BY67" i="40"/>
  <c r="BY49" i="40"/>
  <c r="BY69" i="40"/>
  <c r="BY63" i="40"/>
  <c r="BY43" i="40"/>
  <c r="BY58" i="40"/>
  <c r="BY44" i="40"/>
  <c r="BY53" i="40"/>
  <c r="BY64" i="40"/>
  <c r="BY40" i="40"/>
  <c r="BY37" i="40"/>
  <c r="BY47" i="40"/>
  <c r="BY81" i="40"/>
  <c r="BY54" i="40"/>
  <c r="BY45" i="40"/>
  <c r="BY56" i="40"/>
  <c r="BY73" i="40"/>
  <c r="BY50" i="40"/>
  <c r="BY51" i="40"/>
  <c r="BY41" i="40"/>
  <c r="BY65" i="40"/>
  <c r="BY60" i="40"/>
  <c r="BY62" i="40"/>
  <c r="BY38" i="40"/>
  <c r="BY85" i="40"/>
  <c r="BY77" i="40"/>
  <c r="BY76" i="40"/>
  <c r="BY72" i="40"/>
  <c r="BY39" i="40"/>
  <c r="BY74" i="40"/>
  <c r="BY66" i="40"/>
  <c r="BY55" i="40"/>
  <c r="BY42" i="40"/>
  <c r="BY46" i="40"/>
  <c r="BY80" i="40"/>
  <c r="BY57" i="40"/>
  <c r="BY75" i="40"/>
  <c r="BY52" i="40"/>
  <c r="BY78" i="40"/>
  <c r="BY70" i="40"/>
  <c r="BY59" i="40"/>
  <c r="BY82" i="40"/>
  <c r="BY79" i="40"/>
  <c r="BY84" i="40"/>
  <c r="BY83" i="40"/>
  <c r="BY61" i="40"/>
  <c r="BY48" i="40"/>
  <c r="BY86" i="40"/>
  <c r="BY71" i="40"/>
  <c r="BY91" i="40"/>
  <c r="BY92" i="40"/>
  <c r="BY93" i="40"/>
  <c r="BY13" i="40"/>
  <c r="BX67" i="40"/>
  <c r="BX49" i="40"/>
  <c r="BX69" i="40"/>
  <c r="BX43" i="40"/>
  <c r="BX58" i="40"/>
  <c r="BX53" i="40"/>
  <c r="BX64" i="40"/>
  <c r="BX40" i="40"/>
  <c r="BX81" i="40"/>
  <c r="BX45" i="40"/>
  <c r="BX56" i="40"/>
  <c r="BX73" i="40"/>
  <c r="BX50" i="40"/>
  <c r="BX65" i="40"/>
  <c r="BX60" i="40"/>
  <c r="BX62" i="40"/>
  <c r="BX85" i="40"/>
  <c r="BX77" i="40"/>
  <c r="BX76" i="40"/>
  <c r="BX72" i="40"/>
  <c r="BX74" i="40"/>
  <c r="BX42" i="40"/>
  <c r="BX46" i="40"/>
  <c r="BX57" i="40"/>
  <c r="BX75" i="40"/>
  <c r="BX52" i="40"/>
  <c r="BX78" i="40"/>
  <c r="BX70" i="40"/>
  <c r="BX59" i="40"/>
  <c r="BX84" i="40"/>
  <c r="BX61" i="40"/>
  <c r="BX48" i="40"/>
  <c r="BX91" i="40"/>
  <c r="BX92" i="40"/>
  <c r="BX93" i="40"/>
  <c r="BX13" i="40"/>
  <c r="F526" i="45"/>
  <c r="E526" i="45" s="1"/>
  <c r="H526" i="45"/>
  <c r="I526" i="45"/>
  <c r="BD45" i="31"/>
  <c r="ET1" i="54"/>
  <c r="ET3" i="54"/>
  <c r="ET4" i="54"/>
  <c r="ES7" i="54"/>
  <c r="ES8" i="54"/>
  <c r="ES9" i="54"/>
  <c r="ES10" i="54"/>
  <c r="ES11" i="54"/>
  <c r="ES12" i="54"/>
  <c r="ES13" i="54"/>
  <c r="ES14" i="54"/>
  <c r="ES15" i="54"/>
  <c r="ES16" i="54"/>
  <c r="ES17" i="54"/>
  <c r="ES18" i="54"/>
  <c r="ES19" i="54"/>
  <c r="ES20" i="54"/>
  <c r="ES21" i="54"/>
  <c r="ES22" i="54"/>
  <c r="ES23" i="54"/>
  <c r="ES24" i="54"/>
  <c r="ES25" i="54"/>
  <c r="ES26" i="54"/>
  <c r="ES27" i="54"/>
  <c r="ES28" i="54"/>
  <c r="ES29" i="54"/>
  <c r="ES30" i="54"/>
  <c r="ES31" i="54"/>
  <c r="ES32" i="54"/>
  <c r="ES33" i="54"/>
  <c r="ES34" i="54"/>
  <c r="ES1" i="54"/>
  <c r="ES3" i="54"/>
  <c r="ES4" i="54"/>
  <c r="ER7" i="54"/>
  <c r="ER8" i="54"/>
  <c r="ER9" i="54"/>
  <c r="ER10" i="54"/>
  <c r="ER11" i="54"/>
  <c r="ER12" i="54"/>
  <c r="ER13" i="54"/>
  <c r="ER14" i="54"/>
  <c r="ER15" i="54"/>
  <c r="ER16" i="54"/>
  <c r="ER17" i="54"/>
  <c r="ER18" i="54"/>
  <c r="ER19" i="54"/>
  <c r="ER20" i="54"/>
  <c r="ER21" i="54"/>
  <c r="ER22" i="54"/>
  <c r="ER23" i="54"/>
  <c r="ER24" i="54"/>
  <c r="ER25" i="54"/>
  <c r="ER26" i="54"/>
  <c r="ER27" i="54"/>
  <c r="ER28" i="54"/>
  <c r="ER29" i="54"/>
  <c r="ER30" i="54"/>
  <c r="ER31" i="54"/>
  <c r="ER32" i="54"/>
  <c r="ER33" i="54"/>
  <c r="ER34" i="54"/>
  <c r="ER1" i="54"/>
  <c r="ER2" i="54"/>
  <c r="ER3" i="54"/>
  <c r="ER4" i="54"/>
  <c r="EP7" i="54"/>
  <c r="EQ7" i="54"/>
  <c r="EP8" i="54"/>
  <c r="EQ8" i="54"/>
  <c r="EP9" i="54"/>
  <c r="EQ9" i="54"/>
  <c r="EP10" i="54"/>
  <c r="EQ10" i="54"/>
  <c r="EP11" i="54"/>
  <c r="EQ11" i="54"/>
  <c r="EP12" i="54"/>
  <c r="EQ12" i="54"/>
  <c r="EP13" i="54"/>
  <c r="EQ13" i="54"/>
  <c r="EP14" i="54"/>
  <c r="EQ14" i="54"/>
  <c r="EP15" i="54"/>
  <c r="EQ15" i="54"/>
  <c r="EP16" i="54"/>
  <c r="EQ16" i="54"/>
  <c r="EP17" i="54"/>
  <c r="EQ17" i="54"/>
  <c r="EP18" i="54"/>
  <c r="EQ18" i="54"/>
  <c r="EP19" i="54"/>
  <c r="EQ19" i="54"/>
  <c r="EP20" i="54"/>
  <c r="EQ20" i="54"/>
  <c r="EP21" i="54"/>
  <c r="EQ21" i="54"/>
  <c r="EP22" i="54"/>
  <c r="EQ22" i="54"/>
  <c r="EP23" i="54"/>
  <c r="EQ23" i="54"/>
  <c r="EP24" i="54"/>
  <c r="EQ24" i="54"/>
  <c r="EP25" i="54"/>
  <c r="EQ25" i="54"/>
  <c r="EP26" i="54"/>
  <c r="EQ26" i="54"/>
  <c r="EP27" i="54"/>
  <c r="EQ27" i="54"/>
  <c r="EP28" i="54"/>
  <c r="EQ28" i="54"/>
  <c r="EP29" i="54"/>
  <c r="EQ29" i="54"/>
  <c r="EP30" i="54"/>
  <c r="EQ30" i="54"/>
  <c r="EP31" i="54"/>
  <c r="EQ31" i="54"/>
  <c r="EP32" i="54"/>
  <c r="EQ32" i="54"/>
  <c r="EP33" i="54"/>
  <c r="EQ33" i="54"/>
  <c r="EP34" i="54"/>
  <c r="EQ34" i="54"/>
  <c r="EP1" i="54"/>
  <c r="EQ1" i="54"/>
  <c r="EP2" i="54"/>
  <c r="EQ2" i="54"/>
  <c r="EP3" i="54"/>
  <c r="EQ3" i="54"/>
  <c r="EP4" i="54"/>
  <c r="EQ4" i="54"/>
  <c r="EN7" i="54"/>
  <c r="EO7" i="54"/>
  <c r="EN8" i="54"/>
  <c r="EO8" i="54"/>
  <c r="EN9" i="54"/>
  <c r="EO9" i="54"/>
  <c r="EN10" i="54"/>
  <c r="EO10" i="54"/>
  <c r="EN11" i="54"/>
  <c r="EO11" i="54"/>
  <c r="EN12" i="54"/>
  <c r="EO12" i="54"/>
  <c r="EN13" i="54"/>
  <c r="EO13" i="54"/>
  <c r="EN14" i="54"/>
  <c r="EO14" i="54"/>
  <c r="EN15" i="54"/>
  <c r="EO15" i="54"/>
  <c r="EN16" i="54"/>
  <c r="EO16" i="54"/>
  <c r="EN17" i="54"/>
  <c r="EO17" i="54"/>
  <c r="EN18" i="54"/>
  <c r="EO18" i="54"/>
  <c r="EN19" i="54"/>
  <c r="EO19" i="54"/>
  <c r="EN20" i="54"/>
  <c r="EO20" i="54"/>
  <c r="EN21" i="54"/>
  <c r="EO21" i="54"/>
  <c r="EN22" i="54"/>
  <c r="EO22" i="54"/>
  <c r="EN23" i="54"/>
  <c r="EO23" i="54"/>
  <c r="EN24" i="54"/>
  <c r="EO24" i="54"/>
  <c r="EN25" i="54"/>
  <c r="EO25" i="54"/>
  <c r="EN26" i="54"/>
  <c r="EO26" i="54"/>
  <c r="EN27" i="54"/>
  <c r="EO27" i="54"/>
  <c r="EN28" i="54"/>
  <c r="EO28" i="54"/>
  <c r="EN29" i="54"/>
  <c r="EO29" i="54"/>
  <c r="EN30" i="54"/>
  <c r="EO30" i="54"/>
  <c r="EN31" i="54"/>
  <c r="EO31" i="54"/>
  <c r="EN32" i="54"/>
  <c r="EO32" i="54"/>
  <c r="EN33" i="54"/>
  <c r="EO33" i="54"/>
  <c r="EN34" i="54"/>
  <c r="EO34" i="54"/>
  <c r="EN1" i="54"/>
  <c r="EO1" i="54"/>
  <c r="EN2" i="54"/>
  <c r="EN3" i="54"/>
  <c r="EO3" i="54"/>
  <c r="EN4" i="54"/>
  <c r="EO4" i="54"/>
  <c r="EK7" i="54"/>
  <c r="EL7" i="54"/>
  <c r="EM7" i="54"/>
  <c r="EK8" i="54"/>
  <c r="EL8" i="54"/>
  <c r="EM8" i="54"/>
  <c r="EK9" i="54"/>
  <c r="EL9" i="54"/>
  <c r="EM9" i="54"/>
  <c r="EK10" i="54"/>
  <c r="EL10" i="54"/>
  <c r="EM10" i="54"/>
  <c r="EK11" i="54"/>
  <c r="EL11" i="54"/>
  <c r="EM11" i="54"/>
  <c r="EK12" i="54"/>
  <c r="EL12" i="54"/>
  <c r="EM12" i="54"/>
  <c r="EK13" i="54"/>
  <c r="EL13" i="54"/>
  <c r="EM13" i="54"/>
  <c r="EK14" i="54"/>
  <c r="EL14" i="54"/>
  <c r="EM14" i="54"/>
  <c r="EK15" i="54"/>
  <c r="EL15" i="54"/>
  <c r="EM15" i="54"/>
  <c r="EK16" i="54"/>
  <c r="EL16" i="54"/>
  <c r="EM16" i="54"/>
  <c r="EK17" i="54"/>
  <c r="EL17" i="54"/>
  <c r="EM17" i="54"/>
  <c r="EK18" i="54"/>
  <c r="EL18" i="54"/>
  <c r="EM18" i="54"/>
  <c r="EK19" i="54"/>
  <c r="EL19" i="54"/>
  <c r="EM19" i="54"/>
  <c r="EK20" i="54"/>
  <c r="EL20" i="54"/>
  <c r="EM20" i="54"/>
  <c r="EK21" i="54"/>
  <c r="EL21" i="54"/>
  <c r="EM21" i="54"/>
  <c r="EK22" i="54"/>
  <c r="EL22" i="54"/>
  <c r="EM22" i="54"/>
  <c r="EK23" i="54"/>
  <c r="EL23" i="54"/>
  <c r="EM23" i="54"/>
  <c r="EK24" i="54"/>
  <c r="EL24" i="54"/>
  <c r="EM24" i="54"/>
  <c r="EK25" i="54"/>
  <c r="EL25" i="54"/>
  <c r="EM25" i="54"/>
  <c r="EK26" i="54"/>
  <c r="EL26" i="54"/>
  <c r="EM26" i="54"/>
  <c r="EK27" i="54"/>
  <c r="EL27" i="54"/>
  <c r="EM27" i="54"/>
  <c r="EK28" i="54"/>
  <c r="EL28" i="54"/>
  <c r="EM28" i="54"/>
  <c r="EK29" i="54"/>
  <c r="EL29" i="54"/>
  <c r="EM29" i="54"/>
  <c r="EK30" i="54"/>
  <c r="EL30" i="54"/>
  <c r="EM30" i="54"/>
  <c r="EK31" i="54"/>
  <c r="EL31" i="54"/>
  <c r="EM31" i="54"/>
  <c r="EK32" i="54"/>
  <c r="EL32" i="54"/>
  <c r="EM32" i="54"/>
  <c r="EK33" i="54"/>
  <c r="EL33" i="54"/>
  <c r="EM33" i="54"/>
  <c r="EK34" i="54"/>
  <c r="EL34" i="54"/>
  <c r="EM34" i="54"/>
  <c r="EK1" i="54"/>
  <c r="EL1" i="54"/>
  <c r="EM1" i="54"/>
  <c r="EL2" i="54"/>
  <c r="EK3" i="54"/>
  <c r="EL3" i="54"/>
  <c r="EM3" i="54"/>
  <c r="EK4" i="54"/>
  <c r="EL4" i="54"/>
  <c r="EM4" i="54"/>
  <c r="EH7" i="54"/>
  <c r="EI7" i="54"/>
  <c r="EJ7" i="54"/>
  <c r="EH8" i="54"/>
  <c r="EI8" i="54"/>
  <c r="EJ8" i="54"/>
  <c r="EH9" i="54"/>
  <c r="EI9" i="54"/>
  <c r="EJ9" i="54"/>
  <c r="EH10" i="54"/>
  <c r="EI10" i="54"/>
  <c r="EJ10" i="54"/>
  <c r="EH11" i="54"/>
  <c r="EI11" i="54"/>
  <c r="EJ11" i="54"/>
  <c r="EH12" i="54"/>
  <c r="EI12" i="54"/>
  <c r="EJ12" i="54"/>
  <c r="EH13" i="54"/>
  <c r="EI13" i="54"/>
  <c r="EJ13" i="54"/>
  <c r="EH14" i="54"/>
  <c r="EI14" i="54"/>
  <c r="EJ14" i="54"/>
  <c r="EH15" i="54"/>
  <c r="EI15" i="54"/>
  <c r="EJ15" i="54"/>
  <c r="EH16" i="54"/>
  <c r="EI16" i="54"/>
  <c r="EJ16" i="54"/>
  <c r="EH17" i="54"/>
  <c r="EI17" i="54"/>
  <c r="EJ17" i="54"/>
  <c r="EH18" i="54"/>
  <c r="EI18" i="54"/>
  <c r="EJ18" i="54"/>
  <c r="EH19" i="54"/>
  <c r="EI19" i="54"/>
  <c r="EJ19" i="54"/>
  <c r="EH20" i="54"/>
  <c r="EI20" i="54"/>
  <c r="EJ20" i="54"/>
  <c r="EH21" i="54"/>
  <c r="EI21" i="54"/>
  <c r="EJ21" i="54"/>
  <c r="EH22" i="54"/>
  <c r="EI22" i="54"/>
  <c r="EJ22" i="54"/>
  <c r="EH23" i="54"/>
  <c r="EI23" i="54"/>
  <c r="EJ23" i="54"/>
  <c r="EH24" i="54"/>
  <c r="EI24" i="54"/>
  <c r="EJ24" i="54"/>
  <c r="EH25" i="54"/>
  <c r="EI25" i="54"/>
  <c r="EJ25" i="54"/>
  <c r="EH26" i="54"/>
  <c r="EI26" i="54"/>
  <c r="EJ26" i="54"/>
  <c r="EH27" i="54"/>
  <c r="EI27" i="54"/>
  <c r="EJ27" i="54"/>
  <c r="EH28" i="54"/>
  <c r="EI28" i="54"/>
  <c r="EJ28" i="54"/>
  <c r="EH29" i="54"/>
  <c r="EI29" i="54"/>
  <c r="EJ29" i="54"/>
  <c r="EH30" i="54"/>
  <c r="EI30" i="54"/>
  <c r="EJ30" i="54"/>
  <c r="EH31" i="54"/>
  <c r="EI31" i="54"/>
  <c r="EJ31" i="54"/>
  <c r="EH32" i="54"/>
  <c r="EI32" i="54"/>
  <c r="EJ32" i="54"/>
  <c r="EH33" i="54"/>
  <c r="EI33" i="54"/>
  <c r="EJ33" i="54"/>
  <c r="EH34" i="54"/>
  <c r="EI34" i="54"/>
  <c r="EJ34" i="54"/>
  <c r="EH1" i="54"/>
  <c r="EI1" i="54"/>
  <c r="EJ1" i="54"/>
  <c r="EH2" i="54"/>
  <c r="EJ2" i="54"/>
  <c r="EH3" i="54"/>
  <c r="EI3" i="54"/>
  <c r="EJ3" i="54"/>
  <c r="EH4" i="54"/>
  <c r="EI4" i="54"/>
  <c r="EJ4" i="54"/>
  <c r="DL93" i="40" l="1"/>
  <c r="DL56" i="40"/>
  <c r="DL38" i="40"/>
  <c r="DL92" i="40"/>
  <c r="DL91" i="40"/>
  <c r="DL42" i="40"/>
  <c r="DL55" i="40"/>
  <c r="DL60" i="40"/>
  <c r="BC45" i="31"/>
  <c r="DL47" i="40"/>
  <c r="DL54" i="40"/>
  <c r="DL51" i="40"/>
  <c r="DL86" i="40"/>
  <c r="DL71" i="40"/>
  <c r="DL48" i="40"/>
  <c r="DL79" i="40"/>
  <c r="DL59" i="40"/>
  <c r="DL75" i="40"/>
  <c r="DL82" i="40"/>
  <c r="DL70" i="40"/>
  <c r="DL61" i="40"/>
  <c r="DL52" i="40"/>
  <c r="DL80" i="40"/>
  <c r="DL72" i="40"/>
  <c r="DL77" i="40"/>
  <c r="DL39" i="40"/>
  <c r="DL76" i="40"/>
  <c r="DL85" i="40"/>
  <c r="DL53" i="40"/>
  <c r="DL44" i="40"/>
  <c r="DL22" i="40"/>
  <c r="DL13" i="40"/>
  <c r="DL23" i="40"/>
  <c r="DL21" i="40"/>
  <c r="DL7" i="40"/>
  <c r="DL62" i="40"/>
  <c r="DL50" i="40"/>
  <c r="DL37" i="40"/>
  <c r="DL65" i="40"/>
  <c r="DL81" i="40"/>
  <c r="DL40" i="40"/>
  <c r="DL63" i="40"/>
  <c r="DL69" i="40"/>
  <c r="DL6" i="40"/>
  <c r="DL16" i="40"/>
  <c r="DL45" i="40"/>
  <c r="DL58" i="40"/>
  <c r="DL12" i="40"/>
  <c r="DL83" i="40"/>
  <c r="DL46" i="40"/>
  <c r="DL49" i="40"/>
  <c r="DL74" i="40"/>
  <c r="DL30" i="40"/>
  <c r="DL64" i="40"/>
  <c r="DL32" i="40"/>
  <c r="DL14" i="40"/>
  <c r="DL24" i="40"/>
  <c r="DL31" i="40"/>
  <c r="DL57" i="40"/>
  <c r="DL20" i="40"/>
  <c r="DL9" i="40"/>
  <c r="DL66" i="40"/>
  <c r="DL43" i="40"/>
  <c r="DL27" i="40"/>
  <c r="DL29" i="40"/>
  <c r="DL67" i="40"/>
  <c r="DL5" i="40"/>
  <c r="DL26" i="40"/>
  <c r="DL8" i="40"/>
  <c r="DL17" i="40"/>
  <c r="DL10" i="40"/>
  <c r="DL41" i="40"/>
  <c r="DL4" i="40"/>
  <c r="DL11" i="40"/>
  <c r="DL19" i="40"/>
  <c r="DL78" i="40"/>
  <c r="DL84" i="40"/>
  <c r="DL73" i="40"/>
  <c r="DL15" i="40"/>
  <c r="DL25" i="40"/>
  <c r="DL18" i="40"/>
  <c r="H525" i="45" l="1"/>
  <c r="ET2" i="1"/>
  <c r="EO2" i="54" s="1"/>
  <c r="ER2" i="1"/>
  <c r="EM2" i="54" s="1"/>
  <c r="EP2" i="1"/>
  <c r="EK2" i="54" s="1"/>
  <c r="AY81" i="25"/>
  <c r="AX81" i="25"/>
  <c r="EM22" i="25"/>
  <c r="CZ22" i="25" s="1"/>
  <c r="CX22" i="25" s="1"/>
  <c r="CW22" i="25" s="1"/>
  <c r="EM26" i="25"/>
  <c r="CZ26" i="25" s="1"/>
  <c r="CX26" i="25" s="1"/>
  <c r="CW26" i="25" s="1"/>
  <c r="EL28" i="25"/>
  <c r="EM33" i="25"/>
  <c r="CZ33" i="25" s="1"/>
  <c r="CX33" i="25" s="1"/>
  <c r="CW33" i="25" s="1"/>
  <c r="EL35" i="25"/>
  <c r="EL37" i="25"/>
  <c r="EM41" i="25"/>
  <c r="CZ41" i="25" s="1"/>
  <c r="CX41" i="25" s="1"/>
  <c r="EL43" i="25"/>
  <c r="EM44" i="25"/>
  <c r="CZ44" i="25" s="1"/>
  <c r="CX44" i="25" s="1"/>
  <c r="EL46" i="25"/>
  <c r="EM54" i="25"/>
  <c r="CZ54" i="25" s="1"/>
  <c r="CX54" i="25" s="1"/>
  <c r="EM58" i="25"/>
  <c r="CZ58" i="25" s="1"/>
  <c r="CX58" i="25" s="1"/>
  <c r="EL66" i="25"/>
  <c r="EL76" i="25"/>
  <c r="EM78" i="25"/>
  <c r="CZ78" i="25" s="1"/>
  <c r="CX78" i="25" s="1"/>
  <c r="EM9" i="25"/>
  <c r="CZ9" i="25" s="1"/>
  <c r="CX9" i="25" s="1"/>
  <c r="CW9" i="25" s="1"/>
  <c r="EM17" i="25"/>
  <c r="CZ17" i="25" s="1"/>
  <c r="CX17" i="25" s="1"/>
  <c r="CW17" i="25" s="1"/>
  <c r="EM11" i="25"/>
  <c r="CZ11" i="25" s="1"/>
  <c r="CX11" i="25" s="1"/>
  <c r="CW11" i="25" s="1"/>
  <c r="EM31" i="25"/>
  <c r="CZ31" i="25" s="1"/>
  <c r="CX31" i="25" s="1"/>
  <c r="CW31" i="25" s="1"/>
  <c r="EM15" i="25"/>
  <c r="CZ15" i="25" s="1"/>
  <c r="CX15" i="25" s="1"/>
  <c r="CW15" i="25" s="1"/>
  <c r="EM23" i="25"/>
  <c r="CZ23" i="25" s="1"/>
  <c r="CX23" i="25" s="1"/>
  <c r="CW23" i="25" s="1"/>
  <c r="EM29" i="25"/>
  <c r="CZ29" i="25" s="1"/>
  <c r="CX29" i="25" s="1"/>
  <c r="CW29" i="25" s="1"/>
  <c r="EM28" i="25"/>
  <c r="CZ28" i="25" s="1"/>
  <c r="CX28" i="25" s="1"/>
  <c r="CW28" i="25" s="1"/>
  <c r="EM10" i="25"/>
  <c r="CZ10" i="25" s="1"/>
  <c r="CX10" i="25" s="1"/>
  <c r="CW10" i="25" s="1"/>
  <c r="EM27" i="25"/>
  <c r="CZ27" i="25" s="1"/>
  <c r="CX27" i="25" s="1"/>
  <c r="CW27" i="25" s="1"/>
  <c r="EM34" i="25"/>
  <c r="CZ34" i="25" s="1"/>
  <c r="EM36" i="25"/>
  <c r="CZ36" i="25" s="1"/>
  <c r="CX36" i="25" s="1"/>
  <c r="EM37" i="25"/>
  <c r="CZ37" i="25" s="1"/>
  <c r="CX37" i="25" s="1"/>
  <c r="EM38" i="25"/>
  <c r="CZ38" i="25" s="1"/>
  <c r="CX38" i="25" s="1"/>
  <c r="EM39" i="25"/>
  <c r="CZ39" i="25" s="1"/>
  <c r="CX39" i="25" s="1"/>
  <c r="EM47" i="25"/>
  <c r="CZ47" i="25" s="1"/>
  <c r="CX47" i="25" s="1"/>
  <c r="EM48" i="25"/>
  <c r="CZ48" i="25" s="1"/>
  <c r="CX48" i="25" s="1"/>
  <c r="EM49" i="25"/>
  <c r="CZ49" i="25" s="1"/>
  <c r="CX49" i="25" s="1"/>
  <c r="EM56" i="25"/>
  <c r="CZ56" i="25" s="1"/>
  <c r="CX56" i="25" s="1"/>
  <c r="EM57" i="25"/>
  <c r="CZ57" i="25" s="1"/>
  <c r="CX57" i="25" s="1"/>
  <c r="EM59" i="25"/>
  <c r="CZ59" i="25" s="1"/>
  <c r="CX59" i="25" s="1"/>
  <c r="EM69" i="25"/>
  <c r="CZ69" i="25" s="1"/>
  <c r="CX69" i="25" s="1"/>
  <c r="EM7" i="25"/>
  <c r="CZ7" i="25" s="1"/>
  <c r="CX7" i="25" s="1"/>
  <c r="CW7" i="25" s="1"/>
  <c r="EL59" i="25"/>
  <c r="EL62" i="25"/>
  <c r="EL69" i="25"/>
  <c r="EL38" i="25"/>
  <c r="EL39" i="25"/>
  <c r="EL40" i="25"/>
  <c r="EL36" i="25"/>
  <c r="EL15" i="25"/>
  <c r="EL23" i="25"/>
  <c r="EL29" i="25"/>
  <c r="EL11" i="25"/>
  <c r="EL31" i="25"/>
  <c r="G24" i="51"/>
  <c r="V23" i="1" s="1"/>
  <c r="CO47" i="25" l="1"/>
  <c r="CB47" i="25"/>
  <c r="CB48" i="25"/>
  <c r="CO48" i="25"/>
  <c r="CB38" i="25"/>
  <c r="CO38" i="25"/>
  <c r="CB69" i="25"/>
  <c r="CO69" i="25"/>
  <c r="CB59" i="25"/>
  <c r="CO59" i="25"/>
  <c r="CO36" i="25"/>
  <c r="CB36" i="25"/>
  <c r="CO41" i="25"/>
  <c r="CB41" i="25"/>
  <c r="CB58" i="25"/>
  <c r="CO58" i="25"/>
  <c r="CB39" i="25"/>
  <c r="CO39" i="25"/>
  <c r="CB54" i="25"/>
  <c r="CO54" i="25"/>
  <c r="CB44" i="25"/>
  <c r="CO44" i="25"/>
  <c r="CB37" i="25"/>
  <c r="CO37" i="25"/>
  <c r="CB57" i="25"/>
  <c r="CO57" i="25"/>
  <c r="CB56" i="25"/>
  <c r="CO56" i="25"/>
  <c r="CB78" i="25"/>
  <c r="CO78" i="25"/>
  <c r="CB49" i="25"/>
  <c r="CO49" i="25"/>
  <c r="CO28" i="25"/>
  <c r="CN28" i="25" s="1"/>
  <c r="CB28" i="25"/>
  <c r="CA28" i="25" s="1"/>
  <c r="CO29" i="25"/>
  <c r="CN29" i="25" s="1"/>
  <c r="CB29" i="25"/>
  <c r="CA29" i="25" s="1"/>
  <c r="CB26" i="25"/>
  <c r="CA26" i="25" s="1"/>
  <c r="CO26" i="25"/>
  <c r="CN26" i="25" s="1"/>
  <c r="CO15" i="25"/>
  <c r="CN15" i="25" s="1"/>
  <c r="CB15" i="25"/>
  <c r="CA15" i="25" s="1"/>
  <c r="CO7" i="25"/>
  <c r="CN7" i="25" s="1"/>
  <c r="CB7" i="25"/>
  <c r="CA7" i="25" s="1"/>
  <c r="CB9" i="25"/>
  <c r="CA9" i="25" s="1"/>
  <c r="CO9" i="25"/>
  <c r="CN9" i="25" s="1"/>
  <c r="CB33" i="25"/>
  <c r="CA33" i="25" s="1"/>
  <c r="CO33" i="25"/>
  <c r="CN33" i="25" s="1"/>
  <c r="CB22" i="25"/>
  <c r="CA22" i="25" s="1"/>
  <c r="CO22" i="25"/>
  <c r="CN22" i="25" s="1"/>
  <c r="CB11" i="25"/>
  <c r="CA11" i="25" s="1"/>
  <c r="CO11" i="25"/>
  <c r="CN11" i="25" s="1"/>
  <c r="CO27" i="25"/>
  <c r="CN27" i="25" s="1"/>
  <c r="CB27" i="25"/>
  <c r="CA27" i="25" s="1"/>
  <c r="CB23" i="25"/>
  <c r="CA23" i="25" s="1"/>
  <c r="CO23" i="25"/>
  <c r="CN23" i="25" s="1"/>
  <c r="CB31" i="25"/>
  <c r="CA31" i="25" s="1"/>
  <c r="CO31" i="25"/>
  <c r="CN31" i="25" s="1"/>
  <c r="CO17" i="25"/>
  <c r="CN17" i="25" s="1"/>
  <c r="CB17" i="25"/>
  <c r="CA17" i="25" s="1"/>
  <c r="CB10" i="25"/>
  <c r="CA10" i="25" s="1"/>
  <c r="CO10" i="25"/>
  <c r="CN10" i="25" s="1"/>
  <c r="EM35" i="25"/>
  <c r="CZ35" i="25" s="1"/>
  <c r="CX35" i="25" s="1"/>
  <c r="EL9" i="25"/>
  <c r="EM53" i="25"/>
  <c r="CZ53" i="25" s="1"/>
  <c r="CX53" i="25" s="1"/>
  <c r="EL41" i="25"/>
  <c r="EM30" i="25"/>
  <c r="CZ30" i="25" s="1"/>
  <c r="CX30" i="25" s="1"/>
  <c r="CW30" i="25" s="1"/>
  <c r="EM19" i="25"/>
  <c r="CZ19" i="25" s="1"/>
  <c r="CX19" i="25" s="1"/>
  <c r="CW19" i="25" s="1"/>
  <c r="EM50" i="25"/>
  <c r="CZ50" i="25" s="1"/>
  <c r="CX50" i="25" s="1"/>
  <c r="EM40" i="25"/>
  <c r="CZ40" i="25" s="1"/>
  <c r="CX40" i="25" s="1"/>
  <c r="EL34" i="25"/>
  <c r="EL27" i="25"/>
  <c r="EL20" i="25"/>
  <c r="EL33" i="25"/>
  <c r="EM62" i="25"/>
  <c r="CZ62" i="25" s="1"/>
  <c r="CX62" i="25" s="1"/>
  <c r="EM52" i="25"/>
  <c r="CZ52" i="25" s="1"/>
  <c r="CX52" i="25" s="1"/>
  <c r="EL26" i="25"/>
  <c r="EL22" i="25"/>
  <c r="EL60" i="25"/>
  <c r="EM46" i="25"/>
  <c r="CZ46" i="25" s="1"/>
  <c r="CX46" i="25" s="1"/>
  <c r="EL78" i="25"/>
  <c r="EL75" i="25"/>
  <c r="EM68" i="25"/>
  <c r="CZ68" i="25" s="1"/>
  <c r="CX68" i="25" s="1"/>
  <c r="EL6" i="25"/>
  <c r="EL71" i="25"/>
  <c r="EL61" i="25"/>
  <c r="EL58" i="25"/>
  <c r="EL51" i="25"/>
  <c r="EL48" i="25"/>
  <c r="EM5" i="25"/>
  <c r="CZ5" i="25" s="1"/>
  <c r="CX5" i="25" s="1"/>
  <c r="EL47" i="25"/>
  <c r="EL53" i="25"/>
  <c r="EM25" i="25"/>
  <c r="CZ25" i="25" s="1"/>
  <c r="CX25" i="25" s="1"/>
  <c r="CW25" i="25" s="1"/>
  <c r="EM12" i="25"/>
  <c r="CZ12" i="25" s="1"/>
  <c r="CX12" i="25" s="1"/>
  <c r="CW12" i="25" s="1"/>
  <c r="EM63" i="25"/>
  <c r="CZ63" i="25" s="1"/>
  <c r="CX63" i="25" s="1"/>
  <c r="EM60" i="25"/>
  <c r="CZ60" i="25" s="1"/>
  <c r="CX60" i="25" s="1"/>
  <c r="EM43" i="25"/>
  <c r="CZ43" i="25" s="1"/>
  <c r="CX43" i="25" s="1"/>
  <c r="EM79" i="25"/>
  <c r="CZ79" i="25" s="1"/>
  <c r="CX79" i="25" s="1"/>
  <c r="EL49" i="25"/>
  <c r="EM42" i="25"/>
  <c r="CZ42" i="25" s="1"/>
  <c r="CX42" i="25" s="1"/>
  <c r="EL32" i="25"/>
  <c r="EL10" i="25"/>
  <c r="EL21" i="25"/>
  <c r="EL68" i="25"/>
  <c r="EL63" i="25"/>
  <c r="EM45" i="25"/>
  <c r="CZ45" i="25" s="1"/>
  <c r="CX45" i="25" s="1"/>
  <c r="EM13" i="25"/>
  <c r="CZ13" i="25" s="1"/>
  <c r="CX13" i="25" s="1"/>
  <c r="CW13" i="25" s="1"/>
  <c r="EM74" i="25"/>
  <c r="CZ74" i="25" s="1"/>
  <c r="CX74" i="25" s="1"/>
  <c r="EL19" i="25"/>
  <c r="EM66" i="25"/>
  <c r="CZ66" i="25" s="1"/>
  <c r="CX66" i="25" s="1"/>
  <c r="EM51" i="25"/>
  <c r="CZ51" i="25" s="1"/>
  <c r="CX51" i="25" s="1"/>
  <c r="EL25" i="25"/>
  <c r="EM61" i="25"/>
  <c r="CZ61" i="25" s="1"/>
  <c r="CX61" i="25" s="1"/>
  <c r="EM20" i="25"/>
  <c r="CZ20" i="25" s="1"/>
  <c r="CX20" i="25" s="1"/>
  <c r="CW20" i="25" s="1"/>
  <c r="EL12" i="25"/>
  <c r="EL65" i="25"/>
  <c r="EL55" i="25"/>
  <c r="EM64" i="25"/>
  <c r="CZ64" i="25" s="1"/>
  <c r="CX64" i="25" s="1"/>
  <c r="EL74" i="25"/>
  <c r="EL70" i="25"/>
  <c r="EL67" i="25"/>
  <c r="EL64" i="25"/>
  <c r="EL57" i="25"/>
  <c r="EL54" i="25"/>
  <c r="EL50" i="25"/>
  <c r="EL44" i="25"/>
  <c r="EM8" i="25"/>
  <c r="CZ8" i="25" s="1"/>
  <c r="CX8" i="25" s="1"/>
  <c r="CW8" i="25" s="1"/>
  <c r="EM77" i="25"/>
  <c r="CZ77" i="25" s="1"/>
  <c r="CX77" i="25" s="1"/>
  <c r="EM71" i="25"/>
  <c r="CZ71" i="25" s="1"/>
  <c r="CX71" i="25" s="1"/>
  <c r="EL18" i="25"/>
  <c r="EL14" i="25"/>
  <c r="EM76" i="25"/>
  <c r="CZ76" i="25" s="1"/>
  <c r="CX76" i="25" s="1"/>
  <c r="EL56" i="25"/>
  <c r="EL5" i="25"/>
  <c r="EM73" i="25"/>
  <c r="CZ73" i="25" s="1"/>
  <c r="CX73" i="25" s="1"/>
  <c r="EL7" i="25"/>
  <c r="EM75" i="25"/>
  <c r="CZ75" i="25" s="1"/>
  <c r="CX75" i="25" s="1"/>
  <c r="EL72" i="25"/>
  <c r="EM65" i="25"/>
  <c r="CZ65" i="25" s="1"/>
  <c r="CX65" i="25" s="1"/>
  <c r="EM55" i="25"/>
  <c r="CZ55" i="25" s="1"/>
  <c r="CX55" i="25" s="1"/>
  <c r="EL52" i="25"/>
  <c r="EL42" i="25"/>
  <c r="EL79" i="25"/>
  <c r="EM72" i="25"/>
  <c r="CZ72" i="25" s="1"/>
  <c r="CX72" i="25" s="1"/>
  <c r="EM32" i="25"/>
  <c r="CZ32" i="25" s="1"/>
  <c r="CX32" i="25" s="1"/>
  <c r="CW32" i="25" s="1"/>
  <c r="EM21" i="25"/>
  <c r="CZ21" i="25" s="1"/>
  <c r="CX21" i="25" s="1"/>
  <c r="CW21" i="25" s="1"/>
  <c r="EL77" i="25"/>
  <c r="EM70" i="25"/>
  <c r="CZ70" i="25" s="1"/>
  <c r="CX70" i="25" s="1"/>
  <c r="EM67" i="25"/>
  <c r="CZ67" i="25" s="1"/>
  <c r="CX67" i="25" s="1"/>
  <c r="EL73" i="25"/>
  <c r="EL45" i="25"/>
  <c r="EL30" i="25"/>
  <c r="EL17" i="25"/>
  <c r="EL8" i="25"/>
  <c r="EM18" i="25"/>
  <c r="CZ18" i="25" s="1"/>
  <c r="CX18" i="25" s="1"/>
  <c r="CW18" i="25" s="1"/>
  <c r="EM6" i="25"/>
  <c r="CZ6" i="25" s="1"/>
  <c r="CX6" i="25" s="1"/>
  <c r="CW6" i="25" s="1"/>
  <c r="EM14" i="25"/>
  <c r="CZ14" i="25" s="1"/>
  <c r="CX14" i="25" s="1"/>
  <c r="CW14" i="25" s="1"/>
  <c r="EK81" i="25"/>
  <c r="EL13" i="25"/>
  <c r="EM16" i="25"/>
  <c r="CZ16" i="25" s="1"/>
  <c r="CX16" i="25" s="1"/>
  <c r="CW16" i="25" s="1"/>
  <c r="EL16" i="25"/>
  <c r="H524" i="45"/>
  <c r="AN75" i="33"/>
  <c r="AM61" i="33"/>
  <c r="CW5" i="25" l="1"/>
  <c r="CV21" i="25" s="1"/>
  <c r="CX81" i="25"/>
  <c r="CV6" i="25"/>
  <c r="CO42" i="25"/>
  <c r="CB42" i="25"/>
  <c r="CO50" i="25"/>
  <c r="CB50" i="25"/>
  <c r="CO40" i="25"/>
  <c r="CB40" i="25"/>
  <c r="CO67" i="25"/>
  <c r="CB67" i="25"/>
  <c r="CO70" i="25"/>
  <c r="CB70" i="25"/>
  <c r="CB77" i="25"/>
  <c r="CO77" i="25"/>
  <c r="CB64" i="25"/>
  <c r="CO64" i="25"/>
  <c r="CB74" i="25"/>
  <c r="CO74" i="25"/>
  <c r="CB79" i="25"/>
  <c r="CO79" i="25"/>
  <c r="CO51" i="25"/>
  <c r="CB51" i="25"/>
  <c r="CO71" i="25"/>
  <c r="CB71" i="25"/>
  <c r="CB66" i="25"/>
  <c r="CO66" i="25"/>
  <c r="CB75" i="25"/>
  <c r="CO75" i="25"/>
  <c r="CB55" i="25"/>
  <c r="CO55" i="25"/>
  <c r="CB46" i="25"/>
  <c r="CO46" i="25"/>
  <c r="CB65" i="25"/>
  <c r="CO65" i="25"/>
  <c r="CB43" i="25"/>
  <c r="CO43" i="25"/>
  <c r="CB45" i="25"/>
  <c r="CO45" i="25"/>
  <c r="CO52" i="25"/>
  <c r="CB52" i="25"/>
  <c r="CB73" i="25"/>
  <c r="CO73" i="25"/>
  <c r="CB63" i="25"/>
  <c r="CO63" i="25"/>
  <c r="CO62" i="25"/>
  <c r="CB62" i="25"/>
  <c r="CO60" i="25"/>
  <c r="CB60" i="25"/>
  <c r="CB53" i="25"/>
  <c r="CO53" i="25"/>
  <c r="CO72" i="25"/>
  <c r="CB72" i="25"/>
  <c r="CO61" i="25"/>
  <c r="CB61" i="25"/>
  <c r="CB68" i="25"/>
  <c r="CO68" i="25"/>
  <c r="CB35" i="25"/>
  <c r="CO35" i="25"/>
  <c r="CB76" i="25"/>
  <c r="CO76" i="25"/>
  <c r="CB5" i="25"/>
  <c r="CA5" i="25" s="1"/>
  <c r="CB13" i="25"/>
  <c r="CA13" i="25" s="1"/>
  <c r="CO13" i="25"/>
  <c r="CN13" i="25" s="1"/>
  <c r="CB6" i="25"/>
  <c r="CA6" i="25" s="1"/>
  <c r="CO6" i="25"/>
  <c r="CN6" i="25" s="1"/>
  <c r="CB25" i="25"/>
  <c r="CA25" i="25" s="1"/>
  <c r="CO25" i="25"/>
  <c r="CN25" i="25" s="1"/>
  <c r="CB16" i="25"/>
  <c r="CA16" i="25" s="1"/>
  <c r="CO16" i="25"/>
  <c r="CN16" i="25" s="1"/>
  <c r="CB8" i="25"/>
  <c r="CA8" i="25" s="1"/>
  <c r="CO8" i="25"/>
  <c r="CN8" i="25" s="1"/>
  <c r="CO30" i="25"/>
  <c r="CN30" i="25" s="1"/>
  <c r="CB30" i="25"/>
  <c r="CA30" i="25" s="1"/>
  <c r="CO18" i="25"/>
  <c r="CN18" i="25" s="1"/>
  <c r="CB18" i="25"/>
  <c r="CA18" i="25" s="1"/>
  <c r="CB20" i="25"/>
  <c r="CA20" i="25" s="1"/>
  <c r="CO20" i="25"/>
  <c r="CN20" i="25" s="1"/>
  <c r="CO19" i="25"/>
  <c r="CN19" i="25" s="1"/>
  <c r="CB19" i="25"/>
  <c r="CA19" i="25" s="1"/>
  <c r="CO14" i="25"/>
  <c r="CN14" i="25" s="1"/>
  <c r="CB14" i="25"/>
  <c r="CA14" i="25" s="1"/>
  <c r="CO21" i="25"/>
  <c r="CN21" i="25" s="1"/>
  <c r="CB21" i="25"/>
  <c r="CA21" i="25" s="1"/>
  <c r="CB32" i="25"/>
  <c r="CA32" i="25" s="1"/>
  <c r="CO32" i="25"/>
  <c r="CN32" i="25" s="1"/>
  <c r="CO12" i="25"/>
  <c r="CN12" i="25" s="1"/>
  <c r="CE61" i="33"/>
  <c r="BX61" i="33"/>
  <c r="BL61" i="33"/>
  <c r="BE61" i="33"/>
  <c r="W61" i="33"/>
  <c r="F86" i="51"/>
  <c r="G86" i="51"/>
  <c r="H86" i="51"/>
  <c r="R61" i="33" s="1"/>
  <c r="I86" i="51"/>
  <c r="J86" i="51"/>
  <c r="L86" i="51"/>
  <c r="A86" i="51"/>
  <c r="S61" i="33"/>
  <c r="T61" i="33"/>
  <c r="V61" i="33"/>
  <c r="CV12" i="25" l="1"/>
  <c r="CV19" i="25"/>
  <c r="CV32" i="25"/>
  <c r="CV20" i="25"/>
  <c r="CV18" i="25"/>
  <c r="CV13" i="25"/>
  <c r="CV25" i="25"/>
  <c r="CV8" i="25"/>
  <c r="CV5" i="25"/>
  <c r="CV24" i="25"/>
  <c r="CV33" i="25"/>
  <c r="CV11" i="25"/>
  <c r="CV15" i="25"/>
  <c r="CV29" i="25"/>
  <c r="CV17" i="25"/>
  <c r="CV31" i="25"/>
  <c r="CV7" i="25"/>
  <c r="CV22" i="25"/>
  <c r="CV9" i="25"/>
  <c r="CV23" i="25"/>
  <c r="CV27" i="25"/>
  <c r="CV10" i="25"/>
  <c r="CV26" i="25"/>
  <c r="CV28" i="25"/>
  <c r="CV30" i="25"/>
  <c r="CV16" i="25"/>
  <c r="CV14" i="25"/>
  <c r="CD81" i="25"/>
  <c r="CB12" i="25"/>
  <c r="CA12" i="25" s="1"/>
  <c r="BZ5" i="25" s="1"/>
  <c r="CO5" i="25"/>
  <c r="CN5" i="25" s="1"/>
  <c r="CQ81" i="25"/>
  <c r="U61" i="33"/>
  <c r="BZ24" i="25" l="1"/>
  <c r="CY61" i="33"/>
  <c r="BZ6" i="25"/>
  <c r="BZ9" i="25"/>
  <c r="BZ16" i="25"/>
  <c r="BZ33" i="25"/>
  <c r="BZ11" i="25"/>
  <c r="BZ7" i="25"/>
  <c r="BZ17" i="25"/>
  <c r="BZ10" i="25"/>
  <c r="BZ18" i="25"/>
  <c r="CB81" i="25"/>
  <c r="BZ15" i="25"/>
  <c r="BZ28" i="25"/>
  <c r="BZ29" i="25"/>
  <c r="BZ8" i="25"/>
  <c r="BZ27" i="25"/>
  <c r="BZ22" i="25"/>
  <c r="BZ21" i="25"/>
  <c r="BZ23" i="25"/>
  <c r="BZ26" i="25"/>
  <c r="BZ32" i="25"/>
  <c r="BZ30" i="25"/>
  <c r="BZ12" i="25"/>
  <c r="BZ31" i="25"/>
  <c r="BZ13" i="25"/>
  <c r="BP61" i="33"/>
  <c r="CO81" i="25"/>
  <c r="BZ19" i="25"/>
  <c r="BZ14" i="25"/>
  <c r="BZ25" i="25"/>
  <c r="BZ20" i="25"/>
  <c r="BU61" i="33"/>
  <c r="BB61" i="33"/>
  <c r="Z61" i="33"/>
  <c r="K86" i="51" s="1"/>
  <c r="BI61" i="33"/>
  <c r="AF61" i="33"/>
  <c r="CI61" i="33"/>
  <c r="AU61" i="33"/>
  <c r="AS61" i="33"/>
  <c r="CB61" i="33"/>
  <c r="CM16" i="25" l="1"/>
  <c r="CM24" i="25"/>
  <c r="CM6" i="25"/>
  <c r="CM14" i="25"/>
  <c r="CM12" i="25"/>
  <c r="CM13" i="25"/>
  <c r="CM5" i="25"/>
  <c r="CM26" i="25"/>
  <c r="CM17" i="25"/>
  <c r="CM11" i="25"/>
  <c r="CM23" i="25"/>
  <c r="CM33" i="25"/>
  <c r="CM31" i="25"/>
  <c r="CM27" i="25"/>
  <c r="CM7" i="25"/>
  <c r="CM10" i="25"/>
  <c r="CM28" i="25"/>
  <c r="CM15" i="25"/>
  <c r="CM22" i="25"/>
  <c r="CM9" i="25"/>
  <c r="CM25" i="25"/>
  <c r="CM29" i="25"/>
  <c r="CM8" i="25"/>
  <c r="CM20" i="25"/>
  <c r="CM30" i="25"/>
  <c r="CM21" i="25"/>
  <c r="CM18" i="25"/>
  <c r="CM32" i="25"/>
  <c r="CM19" i="25"/>
  <c r="M86" i="51"/>
  <c r="DQ55" i="31"/>
  <c r="BU33" i="40"/>
  <c r="BU36" i="40"/>
  <c r="BU67" i="40"/>
  <c r="BU49" i="40"/>
  <c r="BU69" i="40"/>
  <c r="BU43" i="40"/>
  <c r="BU58" i="40"/>
  <c r="BU64" i="40"/>
  <c r="BU53" i="40"/>
  <c r="BU40" i="40"/>
  <c r="BU45" i="40"/>
  <c r="BU56" i="40"/>
  <c r="BU77" i="40"/>
  <c r="BU50" i="40"/>
  <c r="BU81" i="40"/>
  <c r="BU65" i="40"/>
  <c r="BU72" i="40"/>
  <c r="BU73" i="40"/>
  <c r="BU74" i="40"/>
  <c r="BU76" i="40"/>
  <c r="BU61" i="40"/>
  <c r="BU85" i="40"/>
  <c r="BU57" i="40"/>
  <c r="BU60" i="40"/>
  <c r="BU62" i="40"/>
  <c r="BU78" i="40"/>
  <c r="BU46" i="40"/>
  <c r="BU42" i="40"/>
  <c r="BU75" i="40"/>
  <c r="BU59" i="40"/>
  <c r="BU70" i="40"/>
  <c r="BU48" i="40"/>
  <c r="BU84" i="40"/>
  <c r="BU52" i="40"/>
  <c r="BU87" i="40"/>
  <c r="BU90" i="40"/>
  <c r="BU91" i="40"/>
  <c r="BU92" i="40"/>
  <c r="BU93" i="40"/>
  <c r="BU13" i="40"/>
  <c r="BS13" i="40"/>
  <c r="BS20" i="40"/>
  <c r="BS4" i="40"/>
  <c r="BS16" i="40"/>
  <c r="BS9" i="40"/>
  <c r="BS32" i="40"/>
  <c r="BS6" i="40"/>
  <c r="BS22" i="40"/>
  <c r="BS12" i="40"/>
  <c r="BS10" i="40"/>
  <c r="BS30" i="40"/>
  <c r="BS23" i="40"/>
  <c r="BS26" i="40"/>
  <c r="BS17" i="40"/>
  <c r="BS8" i="40"/>
  <c r="BS14" i="40"/>
  <c r="BS11" i="40"/>
  <c r="BS18" i="40"/>
  <c r="BS5" i="40"/>
  <c r="BS19" i="40"/>
  <c r="BS21" i="40"/>
  <c r="BS24" i="40"/>
  <c r="BS31" i="40"/>
  <c r="BS27" i="40"/>
  <c r="BS15" i="40"/>
  <c r="BS25" i="40"/>
  <c r="BS7" i="40"/>
  <c r="BS29" i="40"/>
  <c r="BS67" i="40"/>
  <c r="BS49" i="40"/>
  <c r="BS69" i="40"/>
  <c r="BS43" i="40"/>
  <c r="BS58" i="40"/>
  <c r="BS64" i="40"/>
  <c r="BS44" i="40"/>
  <c r="BS53" i="40"/>
  <c r="BS40" i="40"/>
  <c r="BS54" i="40"/>
  <c r="BS66" i="40"/>
  <c r="BS45" i="40"/>
  <c r="BS56" i="40"/>
  <c r="BS77" i="40"/>
  <c r="BS47" i="40"/>
  <c r="BS50" i="40"/>
  <c r="BS81" i="40"/>
  <c r="BS65" i="40"/>
  <c r="BS41" i="40"/>
  <c r="BS38" i="40"/>
  <c r="BS72" i="40"/>
  <c r="BS73" i="40"/>
  <c r="BS51" i="40"/>
  <c r="BS74" i="40"/>
  <c r="BS63" i="40"/>
  <c r="BS76" i="40"/>
  <c r="BS61" i="40"/>
  <c r="BS85" i="40"/>
  <c r="BS55" i="40"/>
  <c r="BS37" i="40"/>
  <c r="BS39" i="40"/>
  <c r="BS57" i="40"/>
  <c r="BS60" i="40"/>
  <c r="BS62" i="40"/>
  <c r="BS78" i="40"/>
  <c r="BS46" i="40"/>
  <c r="BS42" i="40"/>
  <c r="BS75" i="40"/>
  <c r="BS59" i="40"/>
  <c r="BS80" i="40"/>
  <c r="BS82" i="40"/>
  <c r="BS70" i="40"/>
  <c r="BS83" i="40"/>
  <c r="BS48" i="40"/>
  <c r="BS84" i="40"/>
  <c r="BS86" i="40"/>
  <c r="BS79" i="40"/>
  <c r="BS52" i="40"/>
  <c r="BS71" i="40"/>
  <c r="BS90" i="40"/>
  <c r="BS91" i="40"/>
  <c r="BS92" i="40"/>
  <c r="BS93" i="40"/>
  <c r="BR33" i="40"/>
  <c r="BR36" i="40"/>
  <c r="BR67" i="40"/>
  <c r="BR49" i="40"/>
  <c r="BR69" i="40"/>
  <c r="BR43" i="40"/>
  <c r="BR58" i="40"/>
  <c r="BR64" i="40"/>
  <c r="BR53" i="40"/>
  <c r="BR40" i="40"/>
  <c r="BR45" i="40"/>
  <c r="BR56" i="40"/>
  <c r="BR77" i="40"/>
  <c r="BR50" i="40"/>
  <c r="BR81" i="40"/>
  <c r="BR65" i="40"/>
  <c r="BR72" i="40"/>
  <c r="BR73" i="40"/>
  <c r="BR74" i="40"/>
  <c r="BR76" i="40"/>
  <c r="BR61" i="40"/>
  <c r="BR85" i="40"/>
  <c r="BR57" i="40"/>
  <c r="BR60" i="40"/>
  <c r="BR62" i="40"/>
  <c r="BR78" i="40"/>
  <c r="BR46" i="40"/>
  <c r="BR42" i="40"/>
  <c r="BR75" i="40"/>
  <c r="BR59" i="40"/>
  <c r="BR70" i="40"/>
  <c r="BR48" i="40"/>
  <c r="BR84" i="40"/>
  <c r="BR52" i="40"/>
  <c r="BR90" i="40"/>
  <c r="BR91" i="40"/>
  <c r="BR92" i="40"/>
  <c r="BR93" i="40"/>
  <c r="BR13" i="40"/>
  <c r="BO33" i="40"/>
  <c r="BO36" i="40"/>
  <c r="BO67" i="40"/>
  <c r="BO49" i="40"/>
  <c r="BO69" i="40"/>
  <c r="BO43" i="40"/>
  <c r="BO58" i="40"/>
  <c r="BO64" i="40"/>
  <c r="BO53" i="40"/>
  <c r="BO40" i="40"/>
  <c r="BO45" i="40"/>
  <c r="BO56" i="40"/>
  <c r="BO77" i="40"/>
  <c r="BO50" i="40"/>
  <c r="BO81" i="40"/>
  <c r="BO65" i="40"/>
  <c r="BO72" i="40"/>
  <c r="BO73" i="40"/>
  <c r="BO74" i="40"/>
  <c r="BO76" i="40"/>
  <c r="BO61" i="40"/>
  <c r="BO85" i="40"/>
  <c r="BO57" i="40"/>
  <c r="BO60" i="40"/>
  <c r="BO62" i="40"/>
  <c r="BO78" i="40"/>
  <c r="BO46" i="40"/>
  <c r="BO42" i="40"/>
  <c r="BO75" i="40"/>
  <c r="BO59" i="40"/>
  <c r="BO70" i="40"/>
  <c r="BO48" i="40"/>
  <c r="BO84" i="40"/>
  <c r="BO52" i="40"/>
  <c r="BO90" i="40"/>
  <c r="BO91" i="40"/>
  <c r="BO92" i="40"/>
  <c r="BO93" i="40"/>
  <c r="BO13" i="40"/>
  <c r="BL33" i="40"/>
  <c r="BL36" i="40"/>
  <c r="BL67" i="40"/>
  <c r="BL49" i="40"/>
  <c r="BL69" i="40"/>
  <c r="BL43" i="40"/>
  <c r="BL58" i="40"/>
  <c r="BL64" i="40"/>
  <c r="BL53" i="40"/>
  <c r="BL40" i="40"/>
  <c r="BL45" i="40"/>
  <c r="BL56" i="40"/>
  <c r="BL77" i="40"/>
  <c r="BL50" i="40"/>
  <c r="BL81" i="40"/>
  <c r="BL65" i="40"/>
  <c r="BL72" i="40"/>
  <c r="BL73" i="40"/>
  <c r="BL74" i="40"/>
  <c r="BL76" i="40"/>
  <c r="BL61" i="40"/>
  <c r="BL85" i="40"/>
  <c r="BL57" i="40"/>
  <c r="BL60" i="40"/>
  <c r="BL62" i="40"/>
  <c r="BL78" i="40"/>
  <c r="BL46" i="40"/>
  <c r="BL42" i="40"/>
  <c r="BL75" i="40"/>
  <c r="BL59" i="40"/>
  <c r="BL70" i="40"/>
  <c r="BL48" i="40"/>
  <c r="BL84" i="40"/>
  <c r="BL52" i="40"/>
  <c r="BL90" i="40"/>
  <c r="BL91" i="40"/>
  <c r="BL92" i="40"/>
  <c r="BL93" i="40"/>
  <c r="BL13" i="40"/>
  <c r="BI33" i="40"/>
  <c r="BI36" i="40"/>
  <c r="BI67" i="40"/>
  <c r="BI49" i="40"/>
  <c r="BI69" i="40"/>
  <c r="BI43" i="40"/>
  <c r="BI58" i="40"/>
  <c r="BI64" i="40"/>
  <c r="BI53" i="40"/>
  <c r="BI40" i="40"/>
  <c r="BI45" i="40"/>
  <c r="BI56" i="40"/>
  <c r="BI77" i="40"/>
  <c r="BI50" i="40"/>
  <c r="BI81" i="40"/>
  <c r="BI65" i="40"/>
  <c r="BI72" i="40"/>
  <c r="BI73" i="40"/>
  <c r="BI74" i="40"/>
  <c r="BI76" i="40"/>
  <c r="BI61" i="40"/>
  <c r="BI85" i="40"/>
  <c r="BI57" i="40"/>
  <c r="BI60" i="40"/>
  <c r="BI62" i="40"/>
  <c r="BI78" i="40"/>
  <c r="BI46" i="40"/>
  <c r="BI42" i="40"/>
  <c r="BI75" i="40"/>
  <c r="BI59" i="40"/>
  <c r="BI70" i="40"/>
  <c r="BI48" i="40"/>
  <c r="BI84" i="40"/>
  <c r="BI52" i="40"/>
  <c r="BI90" i="40"/>
  <c r="BI91" i="40"/>
  <c r="BI92" i="40"/>
  <c r="BI93" i="40"/>
  <c r="BI13" i="40"/>
  <c r="BF33" i="40"/>
  <c r="BF36" i="40"/>
  <c r="BF67" i="40"/>
  <c r="BF49" i="40"/>
  <c r="BF69" i="40"/>
  <c r="BF43" i="40"/>
  <c r="BF58" i="40"/>
  <c r="BF64" i="40"/>
  <c r="BF53" i="40"/>
  <c r="BF40" i="40"/>
  <c r="BF45" i="40"/>
  <c r="BF56" i="40"/>
  <c r="BF77" i="40"/>
  <c r="BF50" i="40"/>
  <c r="BF81" i="40"/>
  <c r="BF65" i="40"/>
  <c r="BF72" i="40"/>
  <c r="BF73" i="40"/>
  <c r="BF74" i="40"/>
  <c r="BF76" i="40"/>
  <c r="BF61" i="40"/>
  <c r="BF85" i="40"/>
  <c r="BF57" i="40"/>
  <c r="BF60" i="40"/>
  <c r="BF62" i="40"/>
  <c r="BF78" i="40"/>
  <c r="BF46" i="40"/>
  <c r="BF42" i="40"/>
  <c r="BF75" i="40"/>
  <c r="BF59" i="40"/>
  <c r="BF70" i="40"/>
  <c r="BF48" i="40"/>
  <c r="BF84" i="40"/>
  <c r="BF52" i="40"/>
  <c r="BF90" i="40"/>
  <c r="BF91" i="40"/>
  <c r="BF92" i="40"/>
  <c r="BF93" i="40"/>
  <c r="BF13" i="40"/>
  <c r="BC57" i="40"/>
  <c r="BC60" i="40"/>
  <c r="BC62" i="40"/>
  <c r="BC78" i="40"/>
  <c r="BC46" i="40"/>
  <c r="BC42" i="40"/>
  <c r="BC75" i="40"/>
  <c r="BC59" i="40"/>
  <c r="BC70" i="40"/>
  <c r="BC48" i="40"/>
  <c r="BC84" i="40"/>
  <c r="BC52" i="40"/>
  <c r="BC90" i="40"/>
  <c r="BC91" i="40"/>
  <c r="BC92" i="40"/>
  <c r="BC93" i="40"/>
  <c r="BC76" i="40"/>
  <c r="BC61" i="40"/>
  <c r="BC85" i="40"/>
  <c r="BC74" i="40"/>
  <c r="BC73" i="40"/>
  <c r="BC43" i="40"/>
  <c r="BC58" i="40"/>
  <c r="BC64" i="40"/>
  <c r="BC53" i="40"/>
  <c r="BC40" i="40"/>
  <c r="BC45" i="40"/>
  <c r="BC56" i="40"/>
  <c r="BC77" i="40"/>
  <c r="BC50" i="40"/>
  <c r="BC81" i="40"/>
  <c r="BC65" i="40"/>
  <c r="BC72" i="40"/>
  <c r="BC33" i="40"/>
  <c r="BC36" i="40"/>
  <c r="BC67" i="40"/>
  <c r="BC49" i="40"/>
  <c r="BC69" i="40"/>
  <c r="BC13" i="40"/>
  <c r="AZ33" i="40"/>
  <c r="AZ36" i="40"/>
  <c r="AZ67" i="40"/>
  <c r="AZ49" i="40"/>
  <c r="AZ69" i="40"/>
  <c r="AZ43" i="40"/>
  <c r="AZ58" i="40"/>
  <c r="AZ64" i="40"/>
  <c r="AZ53" i="40"/>
  <c r="AZ40" i="40"/>
  <c r="AZ45" i="40"/>
  <c r="AZ56" i="40"/>
  <c r="AZ77" i="40"/>
  <c r="AZ50" i="40"/>
  <c r="AZ81" i="40"/>
  <c r="AZ65" i="40"/>
  <c r="AZ72" i="40"/>
  <c r="AZ73" i="40"/>
  <c r="AZ74" i="40"/>
  <c r="AZ76" i="40"/>
  <c r="AZ61" i="40"/>
  <c r="AZ85" i="40"/>
  <c r="AZ57" i="40"/>
  <c r="AZ60" i="40"/>
  <c r="AZ62" i="40"/>
  <c r="AZ78" i="40"/>
  <c r="AZ46" i="40"/>
  <c r="AZ42" i="40"/>
  <c r="AZ75" i="40"/>
  <c r="AZ59" i="40"/>
  <c r="AZ70" i="40"/>
  <c r="AZ48" i="40"/>
  <c r="AZ84" i="40"/>
  <c r="AZ52" i="40"/>
  <c r="AZ90" i="40"/>
  <c r="AZ91" i="40"/>
  <c r="AZ92" i="40"/>
  <c r="AZ93" i="40"/>
  <c r="AZ13" i="40"/>
  <c r="AW33" i="40"/>
  <c r="AW36" i="40"/>
  <c r="AW67" i="40"/>
  <c r="AW49" i="40"/>
  <c r="AW69" i="40"/>
  <c r="AW43" i="40"/>
  <c r="AW58" i="40"/>
  <c r="AW64" i="40"/>
  <c r="AW53" i="40"/>
  <c r="AW40" i="40"/>
  <c r="AW45" i="40"/>
  <c r="AW56" i="40"/>
  <c r="AW77" i="40"/>
  <c r="AW50" i="40"/>
  <c r="AW81" i="40"/>
  <c r="AW65" i="40"/>
  <c r="AW72" i="40"/>
  <c r="AW73" i="40"/>
  <c r="AW74" i="40"/>
  <c r="AW76" i="40"/>
  <c r="AW61" i="40"/>
  <c r="AW85" i="40"/>
  <c r="AW57" i="40"/>
  <c r="AW60" i="40"/>
  <c r="AW62" i="40"/>
  <c r="AW78" i="40"/>
  <c r="AW46" i="40"/>
  <c r="AW42" i="40"/>
  <c r="AW75" i="40"/>
  <c r="AW59" i="40"/>
  <c r="AW70" i="40"/>
  <c r="AW48" i="40"/>
  <c r="AW84" i="40"/>
  <c r="AW52" i="40"/>
  <c r="AW90" i="40"/>
  <c r="AW91" i="40"/>
  <c r="AW92" i="40"/>
  <c r="AW93" i="40"/>
  <c r="AW13" i="40"/>
  <c r="AT33" i="40"/>
  <c r="AT36" i="40"/>
  <c r="AT67" i="40"/>
  <c r="AT49" i="40"/>
  <c r="AT69" i="40"/>
  <c r="AT43" i="40"/>
  <c r="AT58" i="40"/>
  <c r="AT64" i="40"/>
  <c r="AT53" i="40"/>
  <c r="AT40" i="40"/>
  <c r="AT45" i="40"/>
  <c r="AT56" i="40"/>
  <c r="AT77" i="40"/>
  <c r="AT50" i="40"/>
  <c r="AT81" i="40"/>
  <c r="AT65" i="40"/>
  <c r="AT72" i="40"/>
  <c r="AT73" i="40"/>
  <c r="AT74" i="40"/>
  <c r="AT76" i="40"/>
  <c r="AT61" i="40"/>
  <c r="AT85" i="40"/>
  <c r="AT57" i="40"/>
  <c r="AT60" i="40"/>
  <c r="AT62" i="40"/>
  <c r="AT78" i="40"/>
  <c r="AT46" i="40"/>
  <c r="AT42" i="40"/>
  <c r="AT75" i="40"/>
  <c r="AT59" i="40"/>
  <c r="AT70" i="40"/>
  <c r="AT48" i="40"/>
  <c r="AT84" i="40"/>
  <c r="AT52" i="40"/>
  <c r="AT90" i="40"/>
  <c r="AT91" i="40"/>
  <c r="AT92" i="40"/>
  <c r="AT93" i="40"/>
  <c r="AT13" i="40"/>
  <c r="AT56" i="31"/>
  <c r="H523" i="45" l="1"/>
  <c r="P20" i="40"/>
  <c r="BV32" i="40" l="1"/>
  <c r="BV22" i="40"/>
  <c r="BV27" i="40"/>
  <c r="BV20" i="40"/>
  <c r="BV5" i="40"/>
  <c r="BV23" i="40"/>
  <c r="BV6" i="40"/>
  <c r="BV10" i="40"/>
  <c r="BV17" i="40"/>
  <c r="BV21" i="40"/>
  <c r="BV12" i="40"/>
  <c r="BV16" i="40"/>
  <c r="BV31" i="40"/>
  <c r="BV4" i="40"/>
  <c r="BV11" i="40"/>
  <c r="BV26" i="40"/>
  <c r="BV30" i="40"/>
  <c r="BV14" i="40"/>
  <c r="BV8" i="40"/>
  <c r="BV18" i="40"/>
  <c r="BV24" i="40"/>
  <c r="BV13" i="40"/>
  <c r="BV19" i="40"/>
  <c r="BV29" i="40"/>
  <c r="BV7" i="40"/>
  <c r="BV25" i="40"/>
  <c r="BV15" i="40"/>
  <c r="BV67" i="40"/>
  <c r="BV44" i="40"/>
  <c r="BV69" i="40"/>
  <c r="BV40" i="40"/>
  <c r="BV58" i="40"/>
  <c r="BV64" i="40"/>
  <c r="BV53" i="40"/>
  <c r="BV49" i="40"/>
  <c r="BV54" i="40"/>
  <c r="BV45" i="40"/>
  <c r="BV85" i="40"/>
  <c r="BV43" i="40"/>
  <c r="BV41" i="40"/>
  <c r="BV66" i="40"/>
  <c r="BV81" i="40"/>
  <c r="BV50" i="40"/>
  <c r="BV47" i="40"/>
  <c r="BV56" i="40"/>
  <c r="BV76" i="40"/>
  <c r="BV73" i="40"/>
  <c r="BV38" i="40"/>
  <c r="BV65" i="40"/>
  <c r="BV77" i="40"/>
  <c r="BV74" i="40"/>
  <c r="BV72" i="40"/>
  <c r="BV63" i="40"/>
  <c r="BV51" i="40"/>
  <c r="BV55" i="40"/>
  <c r="BV57" i="40"/>
  <c r="BV60" i="40"/>
  <c r="BV62" i="40"/>
  <c r="BV37" i="40"/>
  <c r="BV39" i="40"/>
  <c r="BV78" i="40"/>
  <c r="BV59" i="40"/>
  <c r="BV42" i="40"/>
  <c r="BV48" i="40"/>
  <c r="BV80" i="40"/>
  <c r="BV70" i="40"/>
  <c r="BV46" i="40"/>
  <c r="BV75" i="40"/>
  <c r="BV52" i="40"/>
  <c r="BV61" i="40"/>
  <c r="BV82" i="40"/>
  <c r="BV83" i="40"/>
  <c r="BV84" i="40"/>
  <c r="BV86" i="40"/>
  <c r="BV71" i="40"/>
  <c r="BV79" i="40"/>
  <c r="BV87" i="40"/>
  <c r="BV90" i="40"/>
  <c r="BV91" i="40"/>
  <c r="BV92" i="40"/>
  <c r="BV93" i="40"/>
  <c r="BV9" i="40"/>
  <c r="DK47" i="40" l="1"/>
  <c r="DK51" i="40"/>
  <c r="DK71" i="40"/>
  <c r="DK86" i="40"/>
  <c r="DK54" i="40"/>
  <c r="DK48" i="40"/>
  <c r="DK59" i="40"/>
  <c r="DK75" i="40"/>
  <c r="DK70" i="40"/>
  <c r="DK52" i="40"/>
  <c r="DK61" i="40"/>
  <c r="DK80" i="40"/>
  <c r="DK77" i="40"/>
  <c r="DK72" i="40"/>
  <c r="DK55" i="40"/>
  <c r="DK85" i="40"/>
  <c r="DK39" i="40"/>
  <c r="DK76" i="40"/>
  <c r="DK84" i="40"/>
  <c r="DK56" i="40"/>
  <c r="DK49" i="40"/>
  <c r="DK42" i="40"/>
  <c r="DK64" i="40"/>
  <c r="DK81" i="40"/>
  <c r="DK66" i="40"/>
  <c r="DK83" i="40"/>
  <c r="DK53" i="40"/>
  <c r="DK63" i="40"/>
  <c r="DK74" i="40"/>
  <c r="DK41" i="40"/>
  <c r="DK37" i="40"/>
  <c r="DK43" i="40"/>
  <c r="DK50" i="40"/>
  <c r="DK58" i="40"/>
  <c r="DK78" i="40"/>
  <c r="DK40" i="40"/>
  <c r="DK69" i="40"/>
  <c r="DK65" i="40"/>
  <c r="DK44" i="40"/>
  <c r="DK46" i="40"/>
  <c r="DK62" i="40"/>
  <c r="DK38" i="40"/>
  <c r="DK67" i="40"/>
  <c r="DK60" i="40"/>
  <c r="DK73" i="40"/>
  <c r="DK45" i="40"/>
  <c r="DK57" i="40"/>
  <c r="DK7" i="40"/>
  <c r="DK11" i="40"/>
  <c r="DK5" i="40"/>
  <c r="DK20" i="40"/>
  <c r="DK19" i="40"/>
  <c r="DK13" i="40"/>
  <c r="DK27" i="40"/>
  <c r="DK12" i="40"/>
  <c r="DK21" i="40"/>
  <c r="DK8" i="40"/>
  <c r="DK6" i="40"/>
  <c r="DK29" i="40"/>
  <c r="DK4" i="40"/>
  <c r="DK31" i="40"/>
  <c r="DK24" i="40"/>
  <c r="DK32" i="40"/>
  <c r="DK18" i="40"/>
  <c r="DK17" i="40"/>
  <c r="DK14" i="40"/>
  <c r="DK10" i="40"/>
  <c r="DK15" i="40"/>
  <c r="DK30" i="40"/>
  <c r="DK9" i="40"/>
  <c r="DK26" i="40"/>
  <c r="DK23" i="40"/>
  <c r="DK25" i="40"/>
  <c r="DK82" i="40"/>
  <c r="DK79" i="40"/>
  <c r="DK16" i="40"/>
  <c r="DK22" i="40"/>
  <c r="BV1" i="40"/>
  <c r="DC16" i="21" l="1"/>
  <c r="AO4" i="21" a="1"/>
  <c r="AC3" i="21"/>
  <c r="F522" i="45" l="1"/>
  <c r="E522" i="45" s="1"/>
  <c r="H522" i="45"/>
  <c r="I522" i="45"/>
  <c r="U15" i="1"/>
  <c r="DR23" i="1"/>
  <c r="X42" i="33" l="1"/>
  <c r="AX32" i="49"/>
  <c r="EO52" i="31"/>
  <c r="F88" i="20"/>
  <c r="I88" i="20"/>
  <c r="G88" i="20" s="1"/>
  <c r="H88" i="20" s="1"/>
  <c r="J88" i="20"/>
  <c r="K88" i="20"/>
  <c r="AS53" i="33"/>
  <c r="AK53" i="33"/>
  <c r="DB53" i="33" s="1"/>
  <c r="AF53" i="33"/>
  <c r="AG53" i="33"/>
  <c r="T53" i="33"/>
  <c r="W53" i="33"/>
  <c r="M53" i="33"/>
  <c r="N53" i="33"/>
  <c r="DZ52" i="31"/>
  <c r="DQ52" i="31"/>
  <c r="DI52" i="31"/>
  <c r="DA52" i="31"/>
  <c r="DC52" i="31"/>
  <c r="CZ52" i="31"/>
  <c r="BD52" i="31"/>
  <c r="AY52" i="31"/>
  <c r="P82" i="40"/>
  <c r="Q82" i="40"/>
  <c r="S82" i="40"/>
  <c r="V82" i="40"/>
  <c r="CZ82" i="40"/>
  <c r="BP82" i="40"/>
  <c r="DI82" i="40" s="1"/>
  <c r="BM82" i="40"/>
  <c r="DH82" i="40" s="1"/>
  <c r="BJ82" i="40"/>
  <c r="DG82" i="40" s="1"/>
  <c r="BG82" i="40"/>
  <c r="DF82" i="40" s="1"/>
  <c r="BD82" i="40"/>
  <c r="DE82" i="40" s="1"/>
  <c r="BA82" i="40"/>
  <c r="DD82" i="40" s="1"/>
  <c r="AX82" i="40"/>
  <c r="DC82" i="40" s="1"/>
  <c r="AU82" i="40"/>
  <c r="DB82" i="40" s="1"/>
  <c r="AK34" i="40"/>
  <c r="AK88" i="40"/>
  <c r="G82" i="40"/>
  <c r="T82" i="40" s="1"/>
  <c r="AT52" i="31"/>
  <c r="DX52" i="31"/>
  <c r="BJ52" i="31"/>
  <c r="BP52" i="31"/>
  <c r="CQ52" i="31" s="1"/>
  <c r="AL52" i="31"/>
  <c r="AI52" i="31"/>
  <c r="V52" i="31"/>
  <c r="X52" i="31"/>
  <c r="M52" i="31"/>
  <c r="N52" i="31"/>
  <c r="X53" i="33"/>
  <c r="F68" i="51"/>
  <c r="G68" i="51"/>
  <c r="W52" i="31" s="1"/>
  <c r="H68" i="51"/>
  <c r="U52" i="31" s="1"/>
  <c r="I68" i="51"/>
  <c r="CC52" i="31" s="1"/>
  <c r="J68" i="51"/>
  <c r="CD52" i="31" s="1"/>
  <c r="L68" i="51"/>
  <c r="A68" i="51"/>
  <c r="D68" i="51"/>
  <c r="A709" i="35" s="1"/>
  <c r="H521" i="45"/>
  <c r="H520" i="45"/>
  <c r="CO82" i="40" l="1"/>
  <c r="CR82" i="40"/>
  <c r="BH52" i="31"/>
  <c r="BI52" i="31" s="1"/>
  <c r="CL53" i="33"/>
  <c r="AX53" i="33"/>
  <c r="BA32" i="49"/>
  <c r="CI82" i="40"/>
  <c r="CL82" i="40"/>
  <c r="O52" i="31"/>
  <c r="CA82" i="40"/>
  <c r="BX82" i="40"/>
  <c r="BM34" i="40"/>
  <c r="BQ35" i="40"/>
  <c r="BQ88" i="40" s="1"/>
  <c r="BQ89" i="40" s="1"/>
  <c r="E52" i="31"/>
  <c r="AM53" i="33"/>
  <c r="U53" i="33"/>
  <c r="CY53" i="33" s="1"/>
  <c r="BU82" i="40"/>
  <c r="L82" i="40"/>
  <c r="R82" i="40" s="1"/>
  <c r="BR82" i="40"/>
  <c r="BI82" i="40"/>
  <c r="AW82" i="40"/>
  <c r="AZ82" i="40"/>
  <c r="BO82" i="40"/>
  <c r="BL82" i="40"/>
  <c r="AT82" i="40"/>
  <c r="BF82" i="40"/>
  <c r="BC82" i="40"/>
  <c r="S53" i="33"/>
  <c r="R53" i="33"/>
  <c r="BC52" i="31"/>
  <c r="T52" i="31"/>
  <c r="CV52" i="31"/>
  <c r="CU52" i="31" s="1"/>
  <c r="DV52" i="31"/>
  <c r="CE52" i="31"/>
  <c r="DB52" i="31"/>
  <c r="DT52" i="31"/>
  <c r="V53" i="33"/>
  <c r="DJ82" i="40"/>
  <c r="AB52" i="31"/>
  <c r="DN52" i="31"/>
  <c r="BE53" i="33"/>
  <c r="Z52" i="31"/>
  <c r="J82" i="40"/>
  <c r="DX82" i="40" s="1"/>
  <c r="BL53" i="33"/>
  <c r="I82" i="40"/>
  <c r="BX53" i="33"/>
  <c r="CE53" i="33"/>
  <c r="W82" i="40"/>
  <c r="AO53" i="33"/>
  <c r="U82" i="40"/>
  <c r="DD52" i="31"/>
  <c r="AH53" i="33"/>
  <c r="F52" i="31"/>
  <c r="C52" i="31"/>
  <c r="Y62" i="31"/>
  <c r="X38" i="33"/>
  <c r="X35" i="33"/>
  <c r="X40" i="33"/>
  <c r="X24" i="33"/>
  <c r="X11" i="33"/>
  <c r="X20" i="33"/>
  <c r="X57" i="33"/>
  <c r="X14" i="33"/>
  <c r="X25" i="33"/>
  <c r="X29" i="33"/>
  <c r="X37" i="33"/>
  <c r="X16" i="33"/>
  <c r="X18" i="33"/>
  <c r="X12" i="33"/>
  <c r="X52" i="33"/>
  <c r="X21" i="33"/>
  <c r="X36" i="33"/>
  <c r="X9" i="33"/>
  <c r="X47" i="33"/>
  <c r="X44" i="33"/>
  <c r="X43" i="33"/>
  <c r="X45" i="33"/>
  <c r="X27" i="33"/>
  <c r="X22" i="33"/>
  <c r="X34" i="33"/>
  <c r="X26" i="33"/>
  <c r="X33" i="33"/>
  <c r="X28" i="33"/>
  <c r="X31" i="33"/>
  <c r="X8" i="33"/>
  <c r="X48" i="33"/>
  <c r="X55" i="33"/>
  <c r="X49" i="33"/>
  <c r="X41" i="33"/>
  <c r="X19" i="33"/>
  <c r="X30" i="33"/>
  <c r="X51" i="33"/>
  <c r="X23" i="33"/>
  <c r="X10" i="33"/>
  <c r="X17" i="33"/>
  <c r="X32" i="33"/>
  <c r="X13" i="33"/>
  <c r="X46" i="33"/>
  <c r="X54" i="33"/>
  <c r="X56" i="33"/>
  <c r="X50" i="33"/>
  <c r="H519" i="45"/>
  <c r="C33" i="49"/>
  <c r="D33" i="49"/>
  <c r="D34" i="49"/>
  <c r="C42" i="49"/>
  <c r="D42" i="49"/>
  <c r="C43" i="49"/>
  <c r="D43" i="49"/>
  <c r="C44" i="49"/>
  <c r="D44" i="49"/>
  <c r="C45" i="49"/>
  <c r="D45" i="49"/>
  <c r="C46" i="49"/>
  <c r="D46" i="49"/>
  <c r="C47" i="49"/>
  <c r="D47" i="49"/>
  <c r="C48" i="49"/>
  <c r="D48" i="49"/>
  <c r="C49" i="49"/>
  <c r="D49" i="49"/>
  <c r="C50" i="49"/>
  <c r="D50" i="49"/>
  <c r="C51" i="49"/>
  <c r="D51" i="49"/>
  <c r="C52" i="49"/>
  <c r="D52" i="49"/>
  <c r="C53" i="49"/>
  <c r="D53" i="49"/>
  <c r="C54" i="49"/>
  <c r="D54" i="49"/>
  <c r="C55" i="49"/>
  <c r="D55" i="49"/>
  <c r="C56" i="49"/>
  <c r="D56" i="49"/>
  <c r="C57" i="49"/>
  <c r="D57" i="49"/>
  <c r="C58" i="49"/>
  <c r="D58" i="49"/>
  <c r="C59" i="49"/>
  <c r="D59" i="49"/>
  <c r="C60" i="49"/>
  <c r="D60" i="49"/>
  <c r="C61" i="49"/>
  <c r="D61" i="49"/>
  <c r="C62" i="49"/>
  <c r="D62" i="49"/>
  <c r="C63" i="49"/>
  <c r="D63" i="49"/>
  <c r="C64" i="49"/>
  <c r="D64" i="49"/>
  <c r="C65" i="49"/>
  <c r="D65" i="49"/>
  <c r="C66" i="49"/>
  <c r="D66" i="49"/>
  <c r="C67" i="49"/>
  <c r="D67" i="49"/>
  <c r="C68" i="49"/>
  <c r="D68" i="49"/>
  <c r="C69" i="49"/>
  <c r="D69" i="49"/>
  <c r="C70" i="49"/>
  <c r="D70" i="49"/>
  <c r="C71" i="49"/>
  <c r="D71" i="49"/>
  <c r="C72" i="49"/>
  <c r="D72" i="49"/>
  <c r="C73" i="49"/>
  <c r="D73" i="49"/>
  <c r="C74" i="49"/>
  <c r="D74" i="49"/>
  <c r="C75" i="49"/>
  <c r="D75" i="49"/>
  <c r="C76" i="49"/>
  <c r="D76" i="49"/>
  <c r="C77" i="49"/>
  <c r="D77" i="49"/>
  <c r="C78" i="49"/>
  <c r="D78" i="49"/>
  <c r="C79" i="49"/>
  <c r="D79" i="49"/>
  <c r="C80" i="49"/>
  <c r="D80" i="49"/>
  <c r="C40" i="49"/>
  <c r="D40" i="49"/>
  <c r="C41" i="49"/>
  <c r="D41" i="49"/>
  <c r="C37" i="49"/>
  <c r="D37" i="49"/>
  <c r="C38" i="49"/>
  <c r="D38" i="49"/>
  <c r="C39" i="49"/>
  <c r="D39" i="49"/>
  <c r="C35" i="49"/>
  <c r="D35" i="49"/>
  <c r="C36" i="49"/>
  <c r="D36" i="49"/>
  <c r="F85" i="20"/>
  <c r="I85" i="20"/>
  <c r="G85" i="20" s="1"/>
  <c r="H85" i="20" s="1"/>
  <c r="K85" i="20"/>
  <c r="F86" i="20"/>
  <c r="I86" i="20"/>
  <c r="G86" i="20" s="1"/>
  <c r="H86" i="20" s="1"/>
  <c r="J86" i="20"/>
  <c r="K86" i="20"/>
  <c r="EO35" i="31"/>
  <c r="DZ35" i="31"/>
  <c r="DX35" i="31"/>
  <c r="DQ35" i="31"/>
  <c r="DI35" i="31"/>
  <c r="DC35" i="31"/>
  <c r="DA35" i="31"/>
  <c r="CZ35" i="31"/>
  <c r="BP35" i="31"/>
  <c r="CQ35" i="31" s="1"/>
  <c r="BJ35" i="31"/>
  <c r="AY35" i="31"/>
  <c r="BD35" i="31"/>
  <c r="EO39" i="31"/>
  <c r="DX39" i="31"/>
  <c r="DQ39" i="31"/>
  <c r="DI39" i="31"/>
  <c r="DC39" i="31"/>
  <c r="DA39" i="31"/>
  <c r="CZ39" i="31"/>
  <c r="DZ39" i="31"/>
  <c r="BP39" i="31"/>
  <c r="CQ39" i="31" s="1"/>
  <c r="BJ39" i="31"/>
  <c r="AY39" i="31"/>
  <c r="BD39" i="31"/>
  <c r="AT39" i="31"/>
  <c r="AT35" i="31"/>
  <c r="S63" i="49" l="1"/>
  <c r="AP63" i="49"/>
  <c r="AJ63" i="49"/>
  <c r="AL63" i="49"/>
  <c r="AH63" i="49"/>
  <c r="AN63" i="49"/>
  <c r="S36" i="49"/>
  <c r="AH36" i="49"/>
  <c r="AP36" i="49"/>
  <c r="AJ36" i="49"/>
  <c r="AL36" i="49"/>
  <c r="AN36" i="49"/>
  <c r="S73" i="49"/>
  <c r="AP73" i="49"/>
  <c r="AH73" i="49"/>
  <c r="AL73" i="49"/>
  <c r="AJ73" i="49"/>
  <c r="AN73" i="49"/>
  <c r="S53" i="49"/>
  <c r="AP53" i="49"/>
  <c r="AL53" i="49"/>
  <c r="AH53" i="49"/>
  <c r="AN53" i="49"/>
  <c r="AJ53" i="49"/>
  <c r="S48" i="49"/>
  <c r="AJ48" i="49"/>
  <c r="AL48" i="49"/>
  <c r="AN48" i="49"/>
  <c r="AP48" i="49"/>
  <c r="AH48" i="49"/>
  <c r="S58" i="49"/>
  <c r="AH58" i="49"/>
  <c r="AJ58" i="49"/>
  <c r="AL58" i="49"/>
  <c r="AP58" i="49"/>
  <c r="AN58" i="49"/>
  <c r="S39" i="49"/>
  <c r="AP39" i="49"/>
  <c r="AL39" i="49"/>
  <c r="AJ39" i="49"/>
  <c r="AN39" i="49"/>
  <c r="AH39" i="49"/>
  <c r="S76" i="49"/>
  <c r="AH76" i="49"/>
  <c r="AL76" i="49"/>
  <c r="AN76" i="49"/>
  <c r="AP76" i="49"/>
  <c r="AJ76" i="49"/>
  <c r="S66" i="49"/>
  <c r="AP66" i="49"/>
  <c r="AJ66" i="49"/>
  <c r="AH66" i="49"/>
  <c r="AN66" i="49"/>
  <c r="AL66" i="49"/>
  <c r="S61" i="49"/>
  <c r="AP61" i="49"/>
  <c r="AL61" i="49"/>
  <c r="AN61" i="49"/>
  <c r="AH61" i="49"/>
  <c r="AJ61" i="49"/>
  <c r="S56" i="49"/>
  <c r="AL56" i="49"/>
  <c r="AN56" i="49"/>
  <c r="AP56" i="49"/>
  <c r="AJ56" i="49"/>
  <c r="AH56" i="49"/>
  <c r="S51" i="49"/>
  <c r="AP51" i="49"/>
  <c r="AJ51" i="49"/>
  <c r="AL51" i="49"/>
  <c r="AN51" i="49"/>
  <c r="AH51" i="49"/>
  <c r="S46" i="49"/>
  <c r="AH46" i="49"/>
  <c r="AP46" i="49"/>
  <c r="AJ46" i="49"/>
  <c r="AL46" i="49"/>
  <c r="AN46" i="49"/>
  <c r="S34" i="49"/>
  <c r="AH34" i="49"/>
  <c r="AJ34" i="49"/>
  <c r="AL34" i="49"/>
  <c r="AN34" i="49"/>
  <c r="AP34" i="49"/>
  <c r="S71" i="49"/>
  <c r="AP71" i="49"/>
  <c r="AJ71" i="49"/>
  <c r="AL71" i="49"/>
  <c r="AN71" i="49"/>
  <c r="AH71" i="49"/>
  <c r="S78" i="49"/>
  <c r="AJ78" i="49"/>
  <c r="AP78" i="49"/>
  <c r="AL78" i="49"/>
  <c r="AN78" i="49"/>
  <c r="AH78" i="49"/>
  <c r="S68" i="49"/>
  <c r="AL68" i="49"/>
  <c r="AJ68" i="49"/>
  <c r="AN68" i="49"/>
  <c r="AP68" i="49"/>
  <c r="AH68" i="49"/>
  <c r="S43" i="49"/>
  <c r="AP43" i="49"/>
  <c r="AJ43" i="49"/>
  <c r="AL43" i="49"/>
  <c r="AH43" i="49"/>
  <c r="AN43" i="49"/>
  <c r="S40" i="49"/>
  <c r="AH40" i="49"/>
  <c r="AJ40" i="49"/>
  <c r="AL40" i="49"/>
  <c r="AN40" i="49"/>
  <c r="AP40" i="49"/>
  <c r="S67" i="49"/>
  <c r="AP67" i="49"/>
  <c r="AH67" i="49"/>
  <c r="AJ67" i="49"/>
  <c r="AL67" i="49"/>
  <c r="AN67" i="49"/>
  <c r="S57" i="49"/>
  <c r="AP57" i="49"/>
  <c r="AH57" i="49"/>
  <c r="AL57" i="49"/>
  <c r="AN57" i="49"/>
  <c r="AJ57" i="49"/>
  <c r="S47" i="49"/>
  <c r="AP47" i="49"/>
  <c r="AH47" i="49"/>
  <c r="AL47" i="49"/>
  <c r="AJ47" i="49"/>
  <c r="AN47" i="49"/>
  <c r="S33" i="49"/>
  <c r="AP33" i="49"/>
  <c r="AH33" i="49"/>
  <c r="AJ33" i="49"/>
  <c r="AL33" i="49"/>
  <c r="AN33" i="49"/>
  <c r="S38" i="49"/>
  <c r="AH38" i="49"/>
  <c r="AN38" i="49"/>
  <c r="AJ38" i="49"/>
  <c r="AL38" i="49"/>
  <c r="AP38" i="49"/>
  <c r="S80" i="49"/>
  <c r="AJ80" i="49"/>
  <c r="AL80" i="49"/>
  <c r="AH80" i="49"/>
  <c r="AP80" i="49"/>
  <c r="AN80" i="49"/>
  <c r="S75" i="49"/>
  <c r="AP75" i="49"/>
  <c r="AJ75" i="49"/>
  <c r="AL75" i="49"/>
  <c r="AN75" i="49"/>
  <c r="AH75" i="49"/>
  <c r="S70" i="49"/>
  <c r="AH70" i="49"/>
  <c r="AN70" i="49"/>
  <c r="AJ70" i="49"/>
  <c r="AL70" i="49"/>
  <c r="AP70" i="49"/>
  <c r="S65" i="49"/>
  <c r="AP65" i="49"/>
  <c r="AH65" i="49"/>
  <c r="AL65" i="49"/>
  <c r="AN65" i="49"/>
  <c r="AJ65" i="49"/>
  <c r="S60" i="49"/>
  <c r="AJ60" i="49"/>
  <c r="AL60" i="49"/>
  <c r="AN60" i="49"/>
  <c r="AP60" i="49"/>
  <c r="AH60" i="49"/>
  <c r="S55" i="49"/>
  <c r="AP55" i="49"/>
  <c r="AJ55" i="49"/>
  <c r="AL55" i="49"/>
  <c r="AN55" i="49"/>
  <c r="AH55" i="49"/>
  <c r="S50" i="49"/>
  <c r="AH50" i="49"/>
  <c r="AJ50" i="49"/>
  <c r="AL50" i="49"/>
  <c r="AN50" i="49"/>
  <c r="AP50" i="49"/>
  <c r="S45" i="49"/>
  <c r="AP45" i="49"/>
  <c r="AL45" i="49"/>
  <c r="AN45" i="49"/>
  <c r="AH45" i="49"/>
  <c r="AJ45" i="49"/>
  <c r="S41" i="49"/>
  <c r="AP41" i="49"/>
  <c r="AH41" i="49"/>
  <c r="AJ41" i="49"/>
  <c r="AL41" i="49"/>
  <c r="AN41" i="49"/>
  <c r="S35" i="49"/>
  <c r="AP35" i="49"/>
  <c r="AJ35" i="49"/>
  <c r="AL35" i="49"/>
  <c r="AH35" i="49"/>
  <c r="AN35" i="49"/>
  <c r="S72" i="49"/>
  <c r="AJ72" i="49"/>
  <c r="AL72" i="49"/>
  <c r="AH72" i="49"/>
  <c r="AN72" i="49"/>
  <c r="AP72" i="49"/>
  <c r="S62" i="49"/>
  <c r="AN62" i="49"/>
  <c r="AJ62" i="49"/>
  <c r="AL62" i="49"/>
  <c r="AH62" i="49"/>
  <c r="AP62" i="49"/>
  <c r="S52" i="49"/>
  <c r="AH52" i="49"/>
  <c r="AJ52" i="49"/>
  <c r="AL52" i="49"/>
  <c r="AP52" i="49"/>
  <c r="AN52" i="49"/>
  <c r="S42" i="49"/>
  <c r="AH42" i="49"/>
  <c r="AJ42" i="49"/>
  <c r="AL42" i="49"/>
  <c r="AN42" i="49"/>
  <c r="AP42" i="49"/>
  <c r="S37" i="49"/>
  <c r="AP37" i="49"/>
  <c r="AH37" i="49"/>
  <c r="AL37" i="49"/>
  <c r="AN37" i="49"/>
  <c r="AJ37" i="49"/>
  <c r="S79" i="49"/>
  <c r="AP79" i="49"/>
  <c r="AJ79" i="49"/>
  <c r="AL79" i="49"/>
  <c r="AN79" i="49"/>
  <c r="AH79" i="49"/>
  <c r="S74" i="49"/>
  <c r="AJ74" i="49"/>
  <c r="AN74" i="49"/>
  <c r="AP74" i="49"/>
  <c r="AH74" i="49"/>
  <c r="AL74" i="49"/>
  <c r="S69" i="49"/>
  <c r="AP69" i="49"/>
  <c r="AL69" i="49"/>
  <c r="AN69" i="49"/>
  <c r="AH69" i="49"/>
  <c r="AJ69" i="49"/>
  <c r="S64" i="49"/>
  <c r="AH64" i="49"/>
  <c r="AJ64" i="49"/>
  <c r="AL64" i="49"/>
  <c r="AP64" i="49"/>
  <c r="AN64" i="49"/>
  <c r="S59" i="49"/>
  <c r="AP59" i="49"/>
  <c r="AH59" i="49"/>
  <c r="AJ59" i="49"/>
  <c r="AL59" i="49"/>
  <c r="AN59" i="49"/>
  <c r="S54" i="49"/>
  <c r="AH54" i="49"/>
  <c r="AJ54" i="49"/>
  <c r="AN54" i="49"/>
  <c r="AL54" i="49"/>
  <c r="AP54" i="49"/>
  <c r="S49" i="49"/>
  <c r="AP49" i="49"/>
  <c r="AH49" i="49"/>
  <c r="AJ49" i="49"/>
  <c r="AL49" i="49"/>
  <c r="AN49" i="49"/>
  <c r="S44" i="49"/>
  <c r="AH44" i="49"/>
  <c r="AJ44" i="49"/>
  <c r="AL44" i="49"/>
  <c r="AP44" i="49"/>
  <c r="AN44" i="49"/>
  <c r="S77" i="49"/>
  <c r="AP77" i="49"/>
  <c r="AH77" i="49"/>
  <c r="AL77" i="49"/>
  <c r="AN77" i="49"/>
  <c r="AJ77" i="49"/>
  <c r="BH39" i="31"/>
  <c r="BI39" i="31" s="1"/>
  <c r="BH35" i="31"/>
  <c r="BI35" i="31" s="1"/>
  <c r="BL26" i="49"/>
  <c r="BL11" i="49"/>
  <c r="BL72" i="49"/>
  <c r="BL47" i="49"/>
  <c r="BL25" i="49"/>
  <c r="BL10" i="49"/>
  <c r="BL6" i="49"/>
  <c r="BL27" i="49"/>
  <c r="BL22" i="49"/>
  <c r="BL17" i="49"/>
  <c r="BL12" i="49"/>
  <c r="BL36" i="49"/>
  <c r="BL41" i="49"/>
  <c r="BL78" i="49"/>
  <c r="BL73" i="49"/>
  <c r="BL68" i="49"/>
  <c r="BL63" i="49"/>
  <c r="BL58" i="49"/>
  <c r="BL53" i="49"/>
  <c r="BL48" i="49"/>
  <c r="BL43" i="49"/>
  <c r="BL21" i="49"/>
  <c r="BL40" i="49"/>
  <c r="BL67" i="49"/>
  <c r="BL57" i="49"/>
  <c r="BL42" i="49"/>
  <c r="BL20" i="49"/>
  <c r="BL39" i="49"/>
  <c r="BL76" i="49"/>
  <c r="BL66" i="49"/>
  <c r="BL61" i="49"/>
  <c r="BL56" i="49"/>
  <c r="BL51" i="49"/>
  <c r="BL46" i="49"/>
  <c r="BL34" i="49"/>
  <c r="BL4" i="49"/>
  <c r="BL29" i="49"/>
  <c r="BL24" i="49"/>
  <c r="BL19" i="49"/>
  <c r="BL14" i="49"/>
  <c r="BL9" i="49"/>
  <c r="BL38" i="49"/>
  <c r="BL80" i="49"/>
  <c r="BL75" i="49"/>
  <c r="BL70" i="49"/>
  <c r="BL65" i="49"/>
  <c r="BL60" i="49"/>
  <c r="BL55" i="49"/>
  <c r="BL50" i="49"/>
  <c r="BL45" i="49"/>
  <c r="BL35" i="49"/>
  <c r="BL62" i="49"/>
  <c r="BL5" i="49"/>
  <c r="BL16" i="49"/>
  <c r="BL77" i="49"/>
  <c r="BL52" i="49"/>
  <c r="BL31" i="49"/>
  <c r="BL15" i="49"/>
  <c r="BL71" i="49"/>
  <c r="BL33" i="49"/>
  <c r="BL7" i="49"/>
  <c r="BL28" i="49"/>
  <c r="BL23" i="49"/>
  <c r="BL18" i="49"/>
  <c r="BL13" i="49"/>
  <c r="BL8" i="49"/>
  <c r="BL37" i="49"/>
  <c r="BL79" i="49"/>
  <c r="BL74" i="49"/>
  <c r="BL69" i="49"/>
  <c r="BL64" i="49"/>
  <c r="BL59" i="49"/>
  <c r="BL54" i="49"/>
  <c r="BL49" i="49"/>
  <c r="BL44" i="49"/>
  <c r="BU53" i="33"/>
  <c r="AZ8" i="49"/>
  <c r="BI8" i="49"/>
  <c r="AZ9" i="49"/>
  <c r="BI9" i="49"/>
  <c r="AZ10" i="49"/>
  <c r="BI10" i="49"/>
  <c r="AZ11" i="49"/>
  <c r="BI11" i="49"/>
  <c r="AZ12" i="49"/>
  <c r="BI12" i="49"/>
  <c r="AZ13" i="49"/>
  <c r="BI13" i="49"/>
  <c r="AZ14" i="49"/>
  <c r="BI14" i="49"/>
  <c r="AZ15" i="49"/>
  <c r="BI15" i="49"/>
  <c r="AZ16" i="49"/>
  <c r="BI16" i="49"/>
  <c r="AZ17" i="49"/>
  <c r="BI17" i="49"/>
  <c r="AZ18" i="49"/>
  <c r="BI18" i="49"/>
  <c r="AZ19" i="49"/>
  <c r="BI19" i="49"/>
  <c r="AZ20" i="49"/>
  <c r="BI20" i="49"/>
  <c r="AZ21" i="49"/>
  <c r="BI21" i="49"/>
  <c r="AZ22" i="49"/>
  <c r="BI22" i="49"/>
  <c r="AZ23" i="49"/>
  <c r="BI23" i="49"/>
  <c r="AZ24" i="49"/>
  <c r="BI24" i="49"/>
  <c r="AZ25" i="49"/>
  <c r="BI25" i="49"/>
  <c r="AZ26" i="49"/>
  <c r="BI26" i="49"/>
  <c r="AZ27" i="49"/>
  <c r="BI27" i="49"/>
  <c r="AZ28" i="49"/>
  <c r="BI28" i="49"/>
  <c r="AZ29" i="49"/>
  <c r="BI29" i="49"/>
  <c r="AZ31" i="49"/>
  <c r="BI31" i="49"/>
  <c r="AZ5" i="49"/>
  <c r="BI5" i="49"/>
  <c r="AZ6" i="49"/>
  <c r="BI6" i="49"/>
  <c r="AZ7" i="49"/>
  <c r="BI7" i="49"/>
  <c r="AZ4" i="49"/>
  <c r="BI4" i="49"/>
  <c r="AZ37" i="49"/>
  <c r="BI37" i="49"/>
  <c r="AZ79" i="49"/>
  <c r="BI79" i="49"/>
  <c r="AZ74" i="49"/>
  <c r="BI74" i="49"/>
  <c r="AZ69" i="49"/>
  <c r="BI69" i="49"/>
  <c r="AZ59" i="49"/>
  <c r="BI59" i="49"/>
  <c r="AZ54" i="49"/>
  <c r="BI54" i="49"/>
  <c r="AZ49" i="49"/>
  <c r="BI49" i="49"/>
  <c r="AZ44" i="49"/>
  <c r="BI44" i="49"/>
  <c r="AZ64" i="49"/>
  <c r="BI64" i="49"/>
  <c r="AZ43" i="49"/>
  <c r="BI43" i="49"/>
  <c r="AZ53" i="49"/>
  <c r="BI53" i="49"/>
  <c r="AZ40" i="49"/>
  <c r="BI40" i="49"/>
  <c r="AZ72" i="49"/>
  <c r="BI72" i="49"/>
  <c r="AZ62" i="49"/>
  <c r="BI62" i="49"/>
  <c r="AZ52" i="49"/>
  <c r="BI52" i="49"/>
  <c r="AZ41" i="49"/>
  <c r="BI41" i="49"/>
  <c r="AZ73" i="49"/>
  <c r="BI73" i="49"/>
  <c r="AZ58" i="49"/>
  <c r="BI58" i="49"/>
  <c r="AZ42" i="49"/>
  <c r="BI42" i="49"/>
  <c r="AZ39" i="49"/>
  <c r="BI39" i="49"/>
  <c r="AZ76" i="49"/>
  <c r="BI76" i="49"/>
  <c r="AZ61" i="49"/>
  <c r="BI61" i="49"/>
  <c r="AZ46" i="49"/>
  <c r="BI46" i="49"/>
  <c r="AZ33" i="49"/>
  <c r="BI33" i="49"/>
  <c r="AZ36" i="49"/>
  <c r="BI36" i="49"/>
  <c r="AZ78" i="49"/>
  <c r="BI78" i="49"/>
  <c r="AZ68" i="49"/>
  <c r="BI68" i="49"/>
  <c r="AZ63" i="49"/>
  <c r="BI63" i="49"/>
  <c r="AZ48" i="49"/>
  <c r="BI48" i="49"/>
  <c r="AZ35" i="49"/>
  <c r="BI35" i="49"/>
  <c r="AZ77" i="49"/>
  <c r="BI77" i="49"/>
  <c r="AZ67" i="49"/>
  <c r="BI67" i="49"/>
  <c r="AZ57" i="49"/>
  <c r="BI57" i="49"/>
  <c r="AZ47" i="49"/>
  <c r="BI47" i="49"/>
  <c r="AZ71" i="49"/>
  <c r="BI71" i="49"/>
  <c r="AZ66" i="49"/>
  <c r="BI66" i="49"/>
  <c r="AZ51" i="49"/>
  <c r="BI51" i="49"/>
  <c r="AZ34" i="49"/>
  <c r="BI34" i="49"/>
  <c r="AZ38" i="49"/>
  <c r="BI38" i="49"/>
  <c r="AZ80" i="49"/>
  <c r="BI80" i="49"/>
  <c r="AZ75" i="49"/>
  <c r="BI75" i="49"/>
  <c r="AZ70" i="49"/>
  <c r="BI70" i="49"/>
  <c r="AZ65" i="49"/>
  <c r="BI65" i="49"/>
  <c r="AZ60" i="49"/>
  <c r="BI60" i="49"/>
  <c r="AZ55" i="49"/>
  <c r="BI55" i="49"/>
  <c r="AZ50" i="49"/>
  <c r="BI50" i="49"/>
  <c r="AZ45" i="49"/>
  <c r="BI45" i="49"/>
  <c r="AZ56" i="49"/>
  <c r="BI56" i="49"/>
  <c r="BF33" i="49"/>
  <c r="BF34" i="49"/>
  <c r="BF42" i="49"/>
  <c r="BF43" i="49"/>
  <c r="BF44" i="49"/>
  <c r="BF45" i="49"/>
  <c r="BF46" i="49"/>
  <c r="BF47" i="49"/>
  <c r="BF48" i="49"/>
  <c r="BF49" i="49"/>
  <c r="BF50" i="49"/>
  <c r="BF51" i="49"/>
  <c r="BF52" i="49"/>
  <c r="BF53" i="49"/>
  <c r="BF54" i="49"/>
  <c r="BF55" i="49"/>
  <c r="BF56" i="49"/>
  <c r="BF57" i="49"/>
  <c r="BF58" i="49"/>
  <c r="BF59" i="49"/>
  <c r="BF60" i="49"/>
  <c r="BF61" i="49"/>
  <c r="BF62" i="49"/>
  <c r="BF63" i="49"/>
  <c r="BF64" i="49"/>
  <c r="BF65" i="49"/>
  <c r="BF66" i="49"/>
  <c r="BF67" i="49"/>
  <c r="BF68" i="49"/>
  <c r="BF69" i="49"/>
  <c r="BF70" i="49"/>
  <c r="BF71" i="49"/>
  <c r="BF72" i="49"/>
  <c r="BF73" i="49"/>
  <c r="BF74" i="49"/>
  <c r="BF75" i="49"/>
  <c r="BF76" i="49"/>
  <c r="BF77" i="49"/>
  <c r="BF78" i="49"/>
  <c r="BF79" i="49"/>
  <c r="BF80" i="49"/>
  <c r="BF40" i="49"/>
  <c r="BF41" i="49"/>
  <c r="BF37" i="49"/>
  <c r="BF38" i="49"/>
  <c r="BF39" i="49"/>
  <c r="BF35" i="49"/>
  <c r="BF36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1" i="49"/>
  <c r="BF5" i="49"/>
  <c r="BF6" i="49"/>
  <c r="BF7" i="49"/>
  <c r="BF4" i="49"/>
  <c r="O35" i="31"/>
  <c r="O39" i="31"/>
  <c r="BB4" i="49"/>
  <c r="BD4" i="49"/>
  <c r="BB29" i="49"/>
  <c r="BD29" i="49"/>
  <c r="BB24" i="49"/>
  <c r="BD24" i="49"/>
  <c r="BB19" i="49"/>
  <c r="BD19" i="49"/>
  <c r="BD14" i="49"/>
  <c r="BB9" i="49"/>
  <c r="BD9" i="49"/>
  <c r="BD28" i="49"/>
  <c r="BB18" i="49"/>
  <c r="BD18" i="49"/>
  <c r="BB26" i="49"/>
  <c r="BD26" i="49"/>
  <c r="BB31" i="49"/>
  <c r="BD31" i="49"/>
  <c r="BB25" i="49"/>
  <c r="BD25" i="49"/>
  <c r="BB20" i="49"/>
  <c r="BD20" i="49"/>
  <c r="BB15" i="49"/>
  <c r="BD15" i="49"/>
  <c r="BB10" i="49"/>
  <c r="BD10" i="49"/>
  <c r="BB22" i="49"/>
  <c r="BD22" i="49"/>
  <c r="BB23" i="49"/>
  <c r="BD23" i="49"/>
  <c r="BB8" i="49"/>
  <c r="BD8" i="49"/>
  <c r="BB6" i="49"/>
  <c r="BD6" i="49"/>
  <c r="BB27" i="49"/>
  <c r="BD27" i="49"/>
  <c r="BB17" i="49"/>
  <c r="BD17" i="49"/>
  <c r="BB12" i="49"/>
  <c r="BD12" i="49"/>
  <c r="BB7" i="49"/>
  <c r="BD7" i="49"/>
  <c r="BB13" i="49"/>
  <c r="BD13" i="49"/>
  <c r="BB5" i="49"/>
  <c r="BD5" i="49"/>
  <c r="BB21" i="49"/>
  <c r="BD21" i="49"/>
  <c r="BB16" i="49"/>
  <c r="BD16" i="49"/>
  <c r="BB11" i="49"/>
  <c r="BD11" i="49"/>
  <c r="BB45" i="49"/>
  <c r="BD45" i="49"/>
  <c r="BB39" i="49"/>
  <c r="BD39" i="49"/>
  <c r="BB78" i="49"/>
  <c r="BD78" i="49"/>
  <c r="BB73" i="49"/>
  <c r="BD73" i="49"/>
  <c r="BB68" i="49"/>
  <c r="BD68" i="49"/>
  <c r="BB63" i="49"/>
  <c r="BD63" i="49"/>
  <c r="BB54" i="49"/>
  <c r="BD54" i="49"/>
  <c r="BB49" i="49"/>
  <c r="BD49" i="49"/>
  <c r="BB44" i="49"/>
  <c r="BD44" i="49"/>
  <c r="BB35" i="49"/>
  <c r="BD35" i="49"/>
  <c r="BB79" i="49"/>
  <c r="BD79" i="49"/>
  <c r="BB38" i="49"/>
  <c r="BD38" i="49"/>
  <c r="BB58" i="49"/>
  <c r="BD58" i="49"/>
  <c r="BB50" i="49"/>
  <c r="BD50" i="49"/>
  <c r="BB77" i="49"/>
  <c r="BD77" i="49"/>
  <c r="BB72" i="49"/>
  <c r="BD72" i="49"/>
  <c r="BB67" i="49"/>
  <c r="BD67" i="49"/>
  <c r="BB62" i="49"/>
  <c r="BD62" i="49"/>
  <c r="BB53" i="49"/>
  <c r="BD53" i="49"/>
  <c r="BB48" i="49"/>
  <c r="BD48" i="49"/>
  <c r="BB43" i="49"/>
  <c r="BD43" i="49"/>
  <c r="BB37" i="49"/>
  <c r="BD37" i="49"/>
  <c r="BB80" i="49"/>
  <c r="BD80" i="49"/>
  <c r="BB76" i="49"/>
  <c r="BD76" i="49"/>
  <c r="BB71" i="49"/>
  <c r="BD71" i="49"/>
  <c r="BB66" i="49"/>
  <c r="BD66" i="49"/>
  <c r="BB61" i="49"/>
  <c r="BD61" i="49"/>
  <c r="BB57" i="49"/>
  <c r="BD57" i="49"/>
  <c r="BB52" i="49"/>
  <c r="BD52" i="49"/>
  <c r="BB47" i="49"/>
  <c r="BD47" i="49"/>
  <c r="BB42" i="49"/>
  <c r="BD42" i="49"/>
  <c r="BB36" i="49"/>
  <c r="BD36" i="49"/>
  <c r="BB41" i="49"/>
  <c r="BD41" i="49"/>
  <c r="BB75" i="49"/>
  <c r="BD75" i="49"/>
  <c r="BB70" i="49"/>
  <c r="BD70" i="49"/>
  <c r="BB65" i="49"/>
  <c r="BD65" i="49"/>
  <c r="BB60" i="49"/>
  <c r="BD60" i="49"/>
  <c r="BB56" i="49"/>
  <c r="BD56" i="49"/>
  <c r="BB51" i="49"/>
  <c r="BD51" i="49"/>
  <c r="BB46" i="49"/>
  <c r="BD46" i="49"/>
  <c r="BB34" i="49"/>
  <c r="BD34" i="49"/>
  <c r="BB33" i="49"/>
  <c r="BD33" i="49"/>
  <c r="BB40" i="49"/>
  <c r="BD40" i="49"/>
  <c r="BB74" i="49"/>
  <c r="BD74" i="49"/>
  <c r="BB69" i="49"/>
  <c r="BD69" i="49"/>
  <c r="BD64" i="49"/>
  <c r="BB59" i="49"/>
  <c r="BD59" i="49"/>
  <c r="BB55" i="49"/>
  <c r="BD55" i="49"/>
  <c r="F53" i="33"/>
  <c r="BI53" i="33"/>
  <c r="CB53" i="33"/>
  <c r="CI53" i="33"/>
  <c r="AU53" i="33"/>
  <c r="M68" i="51" s="1"/>
  <c r="BB53" i="33"/>
  <c r="AD52" i="31"/>
  <c r="BP53" i="33"/>
  <c r="BB14" i="49"/>
  <c r="BB28" i="49"/>
  <c r="BB64" i="49"/>
  <c r="AA52" i="31"/>
  <c r="E14" i="49"/>
  <c r="H14" i="49" s="1"/>
  <c r="F28" i="49"/>
  <c r="AV64" i="49"/>
  <c r="AR64" i="49"/>
  <c r="AT64" i="49"/>
  <c r="AR33" i="49"/>
  <c r="AT33" i="49"/>
  <c r="AV33" i="49"/>
  <c r="C82" i="40"/>
  <c r="Y52" i="31"/>
  <c r="K68" i="51"/>
  <c r="AH52" i="31"/>
  <c r="BZ52" i="31"/>
  <c r="AE52" i="31"/>
  <c r="AF52" i="31"/>
  <c r="AG52" i="31"/>
  <c r="CY82" i="40"/>
  <c r="DW82" i="40" s="1"/>
  <c r="AA53" i="33" s="1"/>
  <c r="Z53" i="33"/>
  <c r="BU52" i="31"/>
  <c r="G53" i="33"/>
  <c r="X82" i="40"/>
  <c r="BT52" i="31" s="1"/>
  <c r="E19" i="49"/>
  <c r="H19" i="49" s="1"/>
  <c r="AX19" i="49"/>
  <c r="F7" i="49"/>
  <c r="AX7" i="49"/>
  <c r="F14" i="49"/>
  <c r="AX14" i="49"/>
  <c r="F9" i="49"/>
  <c r="AX9" i="49"/>
  <c r="AX28" i="49"/>
  <c r="AX23" i="49"/>
  <c r="E18" i="49"/>
  <c r="H18" i="49" s="1"/>
  <c r="AX18" i="49"/>
  <c r="F17" i="49"/>
  <c r="AX17" i="49"/>
  <c r="AX4" i="49"/>
  <c r="F24" i="49"/>
  <c r="AX24" i="49"/>
  <c r="E8" i="49"/>
  <c r="H8" i="49" s="1"/>
  <c r="AX8" i="49"/>
  <c r="F22" i="49"/>
  <c r="AX22" i="49"/>
  <c r="F5" i="49"/>
  <c r="AX5" i="49"/>
  <c r="F12" i="49"/>
  <c r="AX12" i="49"/>
  <c r="E26" i="49"/>
  <c r="H26" i="49" s="1"/>
  <c r="AX26" i="49"/>
  <c r="AX21" i="49"/>
  <c r="AX16" i="49"/>
  <c r="F31" i="49"/>
  <c r="AX31" i="49"/>
  <c r="AX11" i="49"/>
  <c r="AX29" i="49"/>
  <c r="F10" i="49"/>
  <c r="AX10" i="49"/>
  <c r="F6" i="49"/>
  <c r="AX6" i="49"/>
  <c r="E13" i="49"/>
  <c r="H13" i="49" s="1"/>
  <c r="AX13" i="49"/>
  <c r="F27" i="49"/>
  <c r="AX27" i="49"/>
  <c r="F25" i="49"/>
  <c r="AX25" i="49"/>
  <c r="F20" i="49"/>
  <c r="AX20" i="49"/>
  <c r="F15" i="49"/>
  <c r="AX15" i="49"/>
  <c r="AX78" i="49"/>
  <c r="AX45" i="49"/>
  <c r="F44" i="49"/>
  <c r="AX44" i="49"/>
  <c r="AX69" i="49"/>
  <c r="E33" i="49"/>
  <c r="H33" i="49" s="1"/>
  <c r="AX33" i="49"/>
  <c r="E36" i="49"/>
  <c r="H36" i="49" s="1"/>
  <c r="AX36" i="49"/>
  <c r="F41" i="49"/>
  <c r="AX41" i="49"/>
  <c r="AX76" i="49"/>
  <c r="F71" i="49"/>
  <c r="AX71" i="49"/>
  <c r="AX66" i="49"/>
  <c r="AX61" i="49"/>
  <c r="E42" i="49"/>
  <c r="H42" i="49" s="1"/>
  <c r="AX42" i="49"/>
  <c r="AX55" i="49"/>
  <c r="AX57" i="49"/>
  <c r="AX74" i="49"/>
  <c r="F47" i="49"/>
  <c r="AX47" i="49"/>
  <c r="AX59" i="49"/>
  <c r="AX52" i="49"/>
  <c r="E35" i="49"/>
  <c r="H35" i="49" s="1"/>
  <c r="AX35" i="49"/>
  <c r="E40" i="49"/>
  <c r="H40" i="49" s="1"/>
  <c r="AX40" i="49"/>
  <c r="AX79" i="49"/>
  <c r="AX75" i="49"/>
  <c r="E70" i="49"/>
  <c r="H70" i="49" s="1"/>
  <c r="AX70" i="49"/>
  <c r="AX65" i="49"/>
  <c r="AX60" i="49"/>
  <c r="E56" i="49"/>
  <c r="H56" i="49" s="1"/>
  <c r="AX56" i="49"/>
  <c r="E51" i="49"/>
  <c r="H51" i="49" s="1"/>
  <c r="AX51" i="49"/>
  <c r="E46" i="49"/>
  <c r="H46" i="49" s="1"/>
  <c r="AX46" i="49"/>
  <c r="AX34" i="49"/>
  <c r="F39" i="49"/>
  <c r="AX39" i="49"/>
  <c r="AX50" i="49"/>
  <c r="AX64" i="49"/>
  <c r="F54" i="49"/>
  <c r="AX54" i="49"/>
  <c r="E38" i="49"/>
  <c r="H38" i="49" s="1"/>
  <c r="AX38" i="49"/>
  <c r="F77" i="49"/>
  <c r="AX77" i="49"/>
  <c r="F73" i="49"/>
  <c r="AX73" i="49"/>
  <c r="F68" i="49"/>
  <c r="AX68" i="49"/>
  <c r="F63" i="49"/>
  <c r="AX63" i="49"/>
  <c r="F49" i="49"/>
  <c r="AX49" i="49"/>
  <c r="F37" i="49"/>
  <c r="AX37" i="49"/>
  <c r="AV80" i="49"/>
  <c r="AR80" i="49"/>
  <c r="AX80" i="49"/>
  <c r="AT80" i="49"/>
  <c r="E72" i="49"/>
  <c r="H72" i="49" s="1"/>
  <c r="AX72" i="49"/>
  <c r="AX67" i="49"/>
  <c r="F62" i="49"/>
  <c r="AX62" i="49"/>
  <c r="AX58" i="49"/>
  <c r="E53" i="49"/>
  <c r="H53" i="49" s="1"/>
  <c r="AX53" i="49"/>
  <c r="F48" i="49"/>
  <c r="AX48" i="49"/>
  <c r="F43" i="49"/>
  <c r="AX43" i="49"/>
  <c r="F8" i="49"/>
  <c r="E37" i="49"/>
  <c r="H37" i="49" s="1"/>
  <c r="F33" i="49"/>
  <c r="C53" i="33"/>
  <c r="E71" i="49"/>
  <c r="H71" i="49" s="1"/>
  <c r="E5" i="49"/>
  <c r="H5" i="49" s="1"/>
  <c r="E9" i="49"/>
  <c r="H9" i="49" s="1"/>
  <c r="F26" i="49"/>
  <c r="E6" i="49"/>
  <c r="H6" i="49" s="1"/>
  <c r="F18" i="49"/>
  <c r="F21" i="49"/>
  <c r="DB39" i="31"/>
  <c r="BC39" i="31"/>
  <c r="BC35" i="31"/>
  <c r="DB35" i="31"/>
  <c r="F13" i="49"/>
  <c r="E24" i="49"/>
  <c r="H24" i="49" s="1"/>
  <c r="E16" i="49"/>
  <c r="H16" i="49" s="1"/>
  <c r="DN35" i="31"/>
  <c r="E47" i="49"/>
  <c r="H47" i="49" s="1"/>
  <c r="F16" i="49"/>
  <c r="F42" i="49"/>
  <c r="F35" i="49"/>
  <c r="E21" i="49"/>
  <c r="H21" i="49" s="1"/>
  <c r="E78" i="49"/>
  <c r="H78" i="49" s="1"/>
  <c r="F80" i="49"/>
  <c r="F75" i="49"/>
  <c r="F51" i="49"/>
  <c r="E80" i="49"/>
  <c r="H80" i="49" s="1"/>
  <c r="E75" i="49"/>
  <c r="H75" i="49" s="1"/>
  <c r="CV39" i="31"/>
  <c r="CU39" i="31" s="1"/>
  <c r="E45" i="49"/>
  <c r="H45" i="49" s="1"/>
  <c r="CV35" i="31"/>
  <c r="CU35" i="31" s="1"/>
  <c r="F36" i="49"/>
  <c r="F40" i="49"/>
  <c r="DD35" i="31"/>
  <c r="F53" i="49"/>
  <c r="F65" i="49"/>
  <c r="E69" i="49"/>
  <c r="H69" i="49" s="1"/>
  <c r="E65" i="49"/>
  <c r="H65" i="49" s="1"/>
  <c r="E62" i="49"/>
  <c r="H62" i="49" s="1"/>
  <c r="DD39" i="31"/>
  <c r="F76" i="49"/>
  <c r="E76" i="49"/>
  <c r="H76" i="49" s="1"/>
  <c r="F70" i="49"/>
  <c r="F61" i="49"/>
  <c r="E41" i="49"/>
  <c r="H41" i="49" s="1"/>
  <c r="E74" i="49"/>
  <c r="H74" i="49" s="1"/>
  <c r="E66" i="49"/>
  <c r="H66" i="49" s="1"/>
  <c r="E60" i="49"/>
  <c r="H60" i="49" s="1"/>
  <c r="E57" i="49"/>
  <c r="H57" i="49" s="1"/>
  <c r="E48" i="49"/>
  <c r="H48" i="49" s="1"/>
  <c r="F4" i="49"/>
  <c r="F29" i="49"/>
  <c r="F79" i="49"/>
  <c r="F67" i="49"/>
  <c r="F58" i="49"/>
  <c r="F52" i="49"/>
  <c r="E4" i="49"/>
  <c r="H4" i="49" s="1"/>
  <c r="E29" i="49"/>
  <c r="H29" i="49" s="1"/>
  <c r="F19" i="49"/>
  <c r="E79" i="49"/>
  <c r="H79" i="49" s="1"/>
  <c r="E67" i="49"/>
  <c r="H67" i="49" s="1"/>
  <c r="E59" i="49"/>
  <c r="H59" i="49" s="1"/>
  <c r="E58" i="49"/>
  <c r="H58" i="49" s="1"/>
  <c r="F56" i="49"/>
  <c r="E52" i="49"/>
  <c r="H52" i="49" s="1"/>
  <c r="E49" i="49"/>
  <c r="H49" i="49" s="1"/>
  <c r="E61" i="49"/>
  <c r="H61" i="49" s="1"/>
  <c r="E43" i="49"/>
  <c r="H43" i="49" s="1"/>
  <c r="F23" i="49"/>
  <c r="F72" i="49"/>
  <c r="F38" i="49"/>
  <c r="E23" i="49"/>
  <c r="H23" i="49" s="1"/>
  <c r="F66" i="49"/>
  <c r="E64" i="49"/>
  <c r="H64" i="49" s="1"/>
  <c r="F60" i="49"/>
  <c r="F57" i="49"/>
  <c r="E44" i="49"/>
  <c r="H44" i="49" s="1"/>
  <c r="E77" i="49"/>
  <c r="H77" i="49" s="1"/>
  <c r="E73" i="49"/>
  <c r="H73" i="49" s="1"/>
  <c r="E68" i="49"/>
  <c r="H68" i="49" s="1"/>
  <c r="E63" i="49"/>
  <c r="H63" i="49" s="1"/>
  <c r="E54" i="49"/>
  <c r="H54" i="49" s="1"/>
  <c r="F78" i="49"/>
  <c r="F74" i="49"/>
  <c r="F69" i="49"/>
  <c r="F64" i="49"/>
  <c r="F59" i="49"/>
  <c r="F55" i="49"/>
  <c r="F50" i="49"/>
  <c r="F45" i="49"/>
  <c r="E55" i="49"/>
  <c r="H55" i="49" s="1"/>
  <c r="E50" i="49"/>
  <c r="H50" i="49" s="1"/>
  <c r="F46" i="49"/>
  <c r="E39" i="49"/>
  <c r="H39" i="49" s="1"/>
  <c r="E31" i="49"/>
  <c r="H31" i="49" s="1"/>
  <c r="E25" i="49"/>
  <c r="H25" i="49" s="1"/>
  <c r="E20" i="49"/>
  <c r="H20" i="49" s="1"/>
  <c r="E15" i="49"/>
  <c r="H15" i="49" s="1"/>
  <c r="E10" i="49"/>
  <c r="H10" i="49" s="1"/>
  <c r="F11" i="49"/>
  <c r="E11" i="49"/>
  <c r="H11" i="49" s="1"/>
  <c r="E27" i="49"/>
  <c r="H27" i="49" s="1"/>
  <c r="E22" i="49"/>
  <c r="H22" i="49" s="1"/>
  <c r="E17" i="49"/>
  <c r="H17" i="49" s="1"/>
  <c r="E12" i="49"/>
  <c r="H12" i="49" s="1"/>
  <c r="E28" i="49"/>
  <c r="H28" i="49" s="1"/>
  <c r="E7" i="49"/>
  <c r="H7" i="49" s="1"/>
  <c r="DN39" i="31"/>
  <c r="W34" i="33"/>
  <c r="W26" i="33"/>
  <c r="W28" i="33"/>
  <c r="W33" i="33"/>
  <c r="W31" i="33"/>
  <c r="W8" i="33"/>
  <c r="W55" i="33"/>
  <c r="W48" i="33"/>
  <c r="W19" i="33"/>
  <c r="W23" i="33"/>
  <c r="W49" i="33"/>
  <c r="W30" i="33"/>
  <c r="W41" i="33"/>
  <c r="W51" i="33"/>
  <c r="W10" i="33"/>
  <c r="W17" i="33"/>
  <c r="W46" i="33"/>
  <c r="W32" i="33"/>
  <c r="W54" i="33"/>
  <c r="W13" i="33"/>
  <c r="W56" i="33"/>
  <c r="W50" i="33"/>
  <c r="W42" i="33"/>
  <c r="W36" i="33"/>
  <c r="W47" i="33"/>
  <c r="W29" i="33"/>
  <c r="W16" i="33"/>
  <c r="W44" i="33"/>
  <c r="W43" i="33"/>
  <c r="W22" i="33"/>
  <c r="W45" i="33"/>
  <c r="W27" i="33"/>
  <c r="W35" i="33"/>
  <c r="W11" i="33"/>
  <c r="W57" i="33"/>
  <c r="W25" i="33"/>
  <c r="W38" i="33"/>
  <c r="W20" i="33"/>
  <c r="W24" i="33"/>
  <c r="W14" i="33"/>
  <c r="W37" i="33"/>
  <c r="W18" i="33"/>
  <c r="W12" i="33"/>
  <c r="W52" i="33"/>
  <c r="W9" i="33"/>
  <c r="W21" i="33"/>
  <c r="W40" i="33"/>
  <c r="W64" i="33"/>
  <c r="W65" i="33"/>
  <c r="W66" i="33"/>
  <c r="W74" i="33"/>
  <c r="W75" i="33"/>
  <c r="W76" i="33"/>
  <c r="AX65" i="40"/>
  <c r="DC65" i="40" s="1"/>
  <c r="BA65" i="40"/>
  <c r="DD65" i="40" s="1"/>
  <c r="BD65" i="40"/>
  <c r="DE65" i="40" s="1"/>
  <c r="BG65" i="40"/>
  <c r="DF65" i="40" s="1"/>
  <c r="BJ65" i="40"/>
  <c r="DG65" i="40" s="1"/>
  <c r="BM65" i="40"/>
  <c r="DH65" i="40" s="1"/>
  <c r="BP65" i="40"/>
  <c r="DI65" i="40" s="1"/>
  <c r="P65" i="40"/>
  <c r="Q65" i="40"/>
  <c r="DJ65" i="40"/>
  <c r="AU65" i="40"/>
  <c r="DB65" i="40" s="1"/>
  <c r="AO65" i="40"/>
  <c r="CE65" i="40" s="1"/>
  <c r="S65" i="40"/>
  <c r="V65" i="40"/>
  <c r="L65" i="40"/>
  <c r="R65" i="40" s="1"/>
  <c r="AO69" i="40"/>
  <c r="CE69" i="40" s="1"/>
  <c r="AU69" i="40"/>
  <c r="DB69" i="40" s="1"/>
  <c r="AX69" i="40"/>
  <c r="DC69" i="40" s="1"/>
  <c r="BA69" i="40"/>
  <c r="DD69" i="40" s="1"/>
  <c r="BD69" i="40"/>
  <c r="DE69" i="40" s="1"/>
  <c r="BG69" i="40"/>
  <c r="DF69" i="40" s="1"/>
  <c r="BJ69" i="40"/>
  <c r="DG69" i="40" s="1"/>
  <c r="CZ69" i="40"/>
  <c r="CZ65" i="40"/>
  <c r="BM69" i="40"/>
  <c r="DH69" i="40" s="1"/>
  <c r="BP69" i="40"/>
  <c r="DI69" i="40" s="1"/>
  <c r="P69" i="40"/>
  <c r="Q69" i="40"/>
  <c r="S69" i="40"/>
  <c r="V69" i="40"/>
  <c r="L69" i="40"/>
  <c r="R69" i="40" s="1"/>
  <c r="G69" i="40"/>
  <c r="J69" i="40" s="1"/>
  <c r="G65" i="40"/>
  <c r="T65" i="40" s="1"/>
  <c r="AJ40" i="33"/>
  <c r="AK40" i="33"/>
  <c r="DB40" i="33" s="1"/>
  <c r="AK36" i="33"/>
  <c r="DB36" i="33" s="1"/>
  <c r="AL36" i="33"/>
  <c r="AG40" i="33"/>
  <c r="AG36" i="33"/>
  <c r="T40" i="33"/>
  <c r="T36" i="33"/>
  <c r="M40" i="33"/>
  <c r="N40" i="33"/>
  <c r="M36" i="33"/>
  <c r="N36" i="33"/>
  <c r="L76" i="51"/>
  <c r="AL35" i="31"/>
  <c r="AL39" i="31"/>
  <c r="AI39" i="31"/>
  <c r="AI35" i="31"/>
  <c r="V39" i="31"/>
  <c r="X39" i="31"/>
  <c r="V35" i="31"/>
  <c r="X35" i="31"/>
  <c r="F76" i="51"/>
  <c r="G76" i="51"/>
  <c r="W35" i="31" s="1"/>
  <c r="H76" i="51"/>
  <c r="U35" i="31" s="1"/>
  <c r="I76" i="51"/>
  <c r="CC35" i="31" s="1"/>
  <c r="J76" i="51"/>
  <c r="CD35" i="31" s="1"/>
  <c r="A76" i="51"/>
  <c r="E39" i="31"/>
  <c r="F39" i="31"/>
  <c r="M39" i="31"/>
  <c r="N39" i="31"/>
  <c r="E35" i="31"/>
  <c r="F35" i="31"/>
  <c r="M35" i="31"/>
  <c r="N35" i="31"/>
  <c r="AS81" i="25"/>
  <c r="AR81" i="25"/>
  <c r="AQ63" i="49" l="1"/>
  <c r="AQ71" i="49"/>
  <c r="AS33" i="49"/>
  <c r="BM24" i="49"/>
  <c r="Q24" i="49" s="1"/>
  <c r="AQ67" i="49"/>
  <c r="AM65" i="49"/>
  <c r="AQ46" i="49"/>
  <c r="AQ61" i="49"/>
  <c r="AM76" i="49"/>
  <c r="AM53" i="49"/>
  <c r="AQ55" i="49"/>
  <c r="AM77" i="49"/>
  <c r="AS64" i="49"/>
  <c r="BM56" i="49"/>
  <c r="Q56" i="49" s="1"/>
  <c r="AQ79" i="49"/>
  <c r="AQ41" i="49"/>
  <c r="AQ33" i="49"/>
  <c r="AQ43" i="49"/>
  <c r="AM74" i="49"/>
  <c r="AQ62" i="49"/>
  <c r="AO73" i="49"/>
  <c r="AM61" i="49"/>
  <c r="AM48" i="49"/>
  <c r="AO35" i="49"/>
  <c r="AQ38" i="49"/>
  <c r="AM47" i="49"/>
  <c r="AM34" i="49"/>
  <c r="AO48" i="49"/>
  <c r="AQ72" i="49"/>
  <c r="AO45" i="49"/>
  <c r="AO67" i="49"/>
  <c r="AQ64" i="49"/>
  <c r="BM76" i="49"/>
  <c r="Q76" i="49" s="1"/>
  <c r="AO59" i="49"/>
  <c r="AQ74" i="49"/>
  <c r="AM62" i="49"/>
  <c r="AM50" i="49"/>
  <c r="AM75" i="49"/>
  <c r="AQ40" i="49"/>
  <c r="AQ34" i="49"/>
  <c r="AQ56" i="49"/>
  <c r="AO39" i="49"/>
  <c r="AM78" i="49"/>
  <c r="AM35" i="49"/>
  <c r="AO60" i="49"/>
  <c r="AM40" i="49"/>
  <c r="AM66" i="49"/>
  <c r="AO44" i="49"/>
  <c r="AM51" i="49"/>
  <c r="AQ77" i="49"/>
  <c r="AQ65" i="49"/>
  <c r="AQ53" i="49"/>
  <c r="AO69" i="49"/>
  <c r="AQ54" i="49"/>
  <c r="AS80" i="49"/>
  <c r="AM44" i="49"/>
  <c r="AM52" i="49"/>
  <c r="AQ70" i="49"/>
  <c r="AM49" i="49"/>
  <c r="AO50" i="49"/>
  <c r="AO75" i="49"/>
  <c r="AO57" i="49"/>
  <c r="AO78" i="49"/>
  <c r="AQ37" i="49"/>
  <c r="AM38" i="49"/>
  <c r="AO40" i="49"/>
  <c r="AO68" i="49"/>
  <c r="AO58" i="49"/>
  <c r="AO63" i="49"/>
  <c r="AO79" i="49"/>
  <c r="AO55" i="49"/>
  <c r="AM67" i="49"/>
  <c r="AO71" i="49"/>
  <c r="AM57" i="49"/>
  <c r="AQ59" i="49"/>
  <c r="AI64" i="49"/>
  <c r="AK64" i="49"/>
  <c r="AM37" i="49"/>
  <c r="AI42" i="49"/>
  <c r="AK42" i="49"/>
  <c r="AO62" i="49"/>
  <c r="AQ35" i="49"/>
  <c r="AI60" i="49"/>
  <c r="AK60" i="49"/>
  <c r="AI46" i="49"/>
  <c r="AK46" i="49"/>
  <c r="AO66" i="49"/>
  <c r="AI76" i="49"/>
  <c r="AK76" i="49"/>
  <c r="AM39" i="49"/>
  <c r="AI48" i="49"/>
  <c r="AK48" i="49"/>
  <c r="AM36" i="49"/>
  <c r="AI49" i="49"/>
  <c r="AK49" i="49"/>
  <c r="AI35" i="49"/>
  <c r="AK35" i="49"/>
  <c r="AO38" i="49"/>
  <c r="AI57" i="49"/>
  <c r="AK57" i="49"/>
  <c r="AQ66" i="49"/>
  <c r="AQ44" i="49"/>
  <c r="AM59" i="49"/>
  <c r="AM69" i="49"/>
  <c r="AO37" i="49"/>
  <c r="AQ52" i="49"/>
  <c r="AM45" i="49"/>
  <c r="AI50" i="49"/>
  <c r="AK50" i="49"/>
  <c r="AQ60" i="49"/>
  <c r="AQ47" i="49"/>
  <c r="AI68" i="49"/>
  <c r="AK68" i="49"/>
  <c r="AO34" i="49"/>
  <c r="AI51" i="49"/>
  <c r="AK51" i="49"/>
  <c r="AO56" i="49"/>
  <c r="AI66" i="49"/>
  <c r="AK66" i="49"/>
  <c r="AQ48" i="49"/>
  <c r="AQ73" i="49"/>
  <c r="AI36" i="49"/>
  <c r="AK36" i="49"/>
  <c r="AI59" i="49"/>
  <c r="AK59" i="49"/>
  <c r="AI69" i="49"/>
  <c r="AK69" i="49"/>
  <c r="AI37" i="49"/>
  <c r="AK37" i="49"/>
  <c r="AI45" i="49"/>
  <c r="AK45" i="49"/>
  <c r="AO70" i="49"/>
  <c r="AQ51" i="49"/>
  <c r="AM73" i="49"/>
  <c r="AQ69" i="49"/>
  <c r="AI79" i="49"/>
  <c r="AK79" i="49"/>
  <c r="AO52" i="49"/>
  <c r="AQ45" i="49"/>
  <c r="AI55" i="49"/>
  <c r="AK55" i="49"/>
  <c r="AM60" i="49"/>
  <c r="AM70" i="49"/>
  <c r="AQ80" i="49"/>
  <c r="AI38" i="49"/>
  <c r="AK38" i="49"/>
  <c r="AO47" i="49"/>
  <c r="AI40" i="49"/>
  <c r="AK40" i="49"/>
  <c r="AQ68" i="49"/>
  <c r="AI71" i="49"/>
  <c r="AK71" i="49"/>
  <c r="AI34" i="49"/>
  <c r="AK34" i="49"/>
  <c r="AO51" i="49"/>
  <c r="AQ58" i="49"/>
  <c r="AO54" i="49"/>
  <c r="AI47" i="49"/>
  <c r="AK47" i="49"/>
  <c r="AM68" i="49"/>
  <c r="AI61" i="49"/>
  <c r="AK61" i="49"/>
  <c r="AI73" i="49"/>
  <c r="AK73" i="49"/>
  <c r="AI63" i="49"/>
  <c r="AK63" i="49"/>
  <c r="AI44" i="49"/>
  <c r="AK44" i="49"/>
  <c r="AI52" i="49"/>
  <c r="AK52" i="49"/>
  <c r="AI72" i="49"/>
  <c r="AK72" i="49"/>
  <c r="AI70" i="49"/>
  <c r="AK70" i="49"/>
  <c r="AI80" i="49"/>
  <c r="AK80" i="49"/>
  <c r="AM54" i="49"/>
  <c r="AM79" i="49"/>
  <c r="AQ42" i="49"/>
  <c r="AO72" i="49"/>
  <c r="AO41" i="49"/>
  <c r="AM55" i="49"/>
  <c r="AO80" i="49"/>
  <c r="AO33" i="49"/>
  <c r="AI67" i="49"/>
  <c r="AK67" i="49"/>
  <c r="AI43" i="49"/>
  <c r="AK43" i="49"/>
  <c r="AM71" i="49"/>
  <c r="AO46" i="49"/>
  <c r="AO61" i="49"/>
  <c r="AM58" i="49"/>
  <c r="AM63" i="49"/>
  <c r="AO77" i="49"/>
  <c r="AQ49" i="49"/>
  <c r="AI54" i="49"/>
  <c r="AK54" i="49"/>
  <c r="AO64" i="49"/>
  <c r="AO74" i="49"/>
  <c r="AO42" i="49"/>
  <c r="AM72" i="49"/>
  <c r="AM41" i="49"/>
  <c r="AO65" i="49"/>
  <c r="AI75" i="49"/>
  <c r="AK75" i="49"/>
  <c r="AM80" i="49"/>
  <c r="AM33" i="49"/>
  <c r="AO43" i="49"/>
  <c r="AI78" i="49"/>
  <c r="AK78" i="49"/>
  <c r="AM46" i="49"/>
  <c r="AI56" i="49"/>
  <c r="AK56" i="49"/>
  <c r="AQ76" i="49"/>
  <c r="AI39" i="49"/>
  <c r="AK39" i="49"/>
  <c r="AI58" i="49"/>
  <c r="AK58" i="49"/>
  <c r="AI53" i="49"/>
  <c r="AK53" i="49"/>
  <c r="AQ36" i="49"/>
  <c r="AI77" i="49"/>
  <c r="AK77" i="49"/>
  <c r="AO49" i="49"/>
  <c r="AM64" i="49"/>
  <c r="AI74" i="49"/>
  <c r="AK74" i="49"/>
  <c r="AM42" i="49"/>
  <c r="AI62" i="49"/>
  <c r="AK62" i="49"/>
  <c r="AI41" i="49"/>
  <c r="AK41" i="49"/>
  <c r="AQ50" i="49"/>
  <c r="AI65" i="49"/>
  <c r="AK65" i="49"/>
  <c r="AQ75" i="49"/>
  <c r="AI33" i="49"/>
  <c r="AK33" i="49"/>
  <c r="AQ57" i="49"/>
  <c r="AM43" i="49"/>
  <c r="AQ78" i="49"/>
  <c r="AM56" i="49"/>
  <c r="AO76" i="49"/>
  <c r="AQ39" i="49"/>
  <c r="AO53" i="49"/>
  <c r="AO36" i="49"/>
  <c r="BM6" i="49"/>
  <c r="Q6" i="49" s="1"/>
  <c r="BM25" i="49"/>
  <c r="Q25" i="49" s="1"/>
  <c r="BM28" i="49"/>
  <c r="Q28" i="49" s="1"/>
  <c r="BM36" i="49"/>
  <c r="Q36" i="49" s="1"/>
  <c r="BM68" i="49"/>
  <c r="Q68" i="49" s="1"/>
  <c r="BM62" i="49"/>
  <c r="Q62" i="49" s="1"/>
  <c r="BM63" i="49"/>
  <c r="Q63" i="49" s="1"/>
  <c r="BM71" i="49"/>
  <c r="Q71" i="49" s="1"/>
  <c r="BM66" i="49"/>
  <c r="Q66" i="49" s="1"/>
  <c r="BM26" i="49"/>
  <c r="Q26" i="49" s="1"/>
  <c r="BM48" i="49"/>
  <c r="Q48" i="49" s="1"/>
  <c r="BM57" i="49"/>
  <c r="Q57" i="49" s="1"/>
  <c r="BM17" i="49"/>
  <c r="Q17" i="49" s="1"/>
  <c r="BM50" i="49"/>
  <c r="Q50" i="49" s="1"/>
  <c r="BM75" i="49"/>
  <c r="Q75" i="49" s="1"/>
  <c r="BM73" i="49"/>
  <c r="Q73" i="49" s="1"/>
  <c r="BM61" i="49"/>
  <c r="Q61" i="49" s="1"/>
  <c r="BM19" i="49"/>
  <c r="Q19" i="49" s="1"/>
  <c r="BM39" i="49"/>
  <c r="Q39" i="49" s="1"/>
  <c r="BM35" i="49"/>
  <c r="Q35" i="49" s="1"/>
  <c r="BM43" i="49"/>
  <c r="Q43" i="49" s="1"/>
  <c r="BM4" i="49"/>
  <c r="Q4" i="49" s="1"/>
  <c r="BM65" i="49"/>
  <c r="Q65" i="49" s="1"/>
  <c r="BM64" i="49"/>
  <c r="Q64" i="49" s="1"/>
  <c r="BM7" i="49"/>
  <c r="Q7" i="49" s="1"/>
  <c r="BM8" i="49"/>
  <c r="Q8" i="49" s="1"/>
  <c r="BM52" i="49"/>
  <c r="Q52" i="49" s="1"/>
  <c r="BM14" i="49"/>
  <c r="Q14" i="49" s="1"/>
  <c r="BM9" i="49"/>
  <c r="Q9" i="49" s="1"/>
  <c r="BM60" i="49"/>
  <c r="Q60" i="49" s="1"/>
  <c r="BM38" i="49"/>
  <c r="Q38" i="49" s="1"/>
  <c r="BM29" i="49"/>
  <c r="Q29" i="49" s="1"/>
  <c r="BM34" i="49"/>
  <c r="Q34" i="49" s="1"/>
  <c r="BM47" i="49"/>
  <c r="Q47" i="49" s="1"/>
  <c r="BM33" i="49"/>
  <c r="Q33" i="49" s="1"/>
  <c r="BM42" i="49"/>
  <c r="Q42" i="49" s="1"/>
  <c r="BM69" i="49"/>
  <c r="Q69" i="49" s="1"/>
  <c r="BM13" i="49"/>
  <c r="Q13" i="49" s="1"/>
  <c r="BM45" i="49"/>
  <c r="Q45" i="49" s="1"/>
  <c r="BM70" i="49"/>
  <c r="Q70" i="49" s="1"/>
  <c r="BM12" i="49"/>
  <c r="Q12" i="49" s="1"/>
  <c r="BM77" i="49"/>
  <c r="Q77" i="49" s="1"/>
  <c r="BM10" i="49"/>
  <c r="Q10" i="49" s="1"/>
  <c r="BM58" i="49"/>
  <c r="Q58" i="49" s="1"/>
  <c r="BM72" i="49"/>
  <c r="Q72" i="49" s="1"/>
  <c r="BM27" i="49"/>
  <c r="Q27" i="49" s="1"/>
  <c r="BM22" i="49"/>
  <c r="Q22" i="49" s="1"/>
  <c r="BM67" i="49"/>
  <c r="Q67" i="49" s="1"/>
  <c r="BM40" i="49"/>
  <c r="Q40" i="49" s="1"/>
  <c r="BM78" i="49"/>
  <c r="Q78" i="49" s="1"/>
  <c r="BM41" i="49"/>
  <c r="Q41" i="49" s="1"/>
  <c r="BM53" i="49"/>
  <c r="Q53" i="49" s="1"/>
  <c r="BM21" i="49"/>
  <c r="Q21" i="49" s="1"/>
  <c r="BM11" i="49"/>
  <c r="Q11" i="49" s="1"/>
  <c r="BM20" i="49"/>
  <c r="Q20" i="49" s="1"/>
  <c r="BJ79" i="49"/>
  <c r="BJ49" i="49"/>
  <c r="BM31" i="49"/>
  <c r="Q31" i="49" s="1"/>
  <c r="BM15" i="49"/>
  <c r="Q15" i="49" s="1"/>
  <c r="BM59" i="49"/>
  <c r="Q59" i="49" s="1"/>
  <c r="BM55" i="49"/>
  <c r="Q55" i="49" s="1"/>
  <c r="BM80" i="49"/>
  <c r="Q80" i="49" s="1"/>
  <c r="BM37" i="49"/>
  <c r="Q37" i="49" s="1"/>
  <c r="BM23" i="49"/>
  <c r="Q23" i="49" s="1"/>
  <c r="BM18" i="49"/>
  <c r="Q18" i="49" s="1"/>
  <c r="BM54" i="49"/>
  <c r="Q54" i="49" s="1"/>
  <c r="BM44" i="49"/>
  <c r="Q44" i="49" s="1"/>
  <c r="BJ37" i="49"/>
  <c r="BM51" i="49"/>
  <c r="Q51" i="49" s="1"/>
  <c r="BM46" i="49"/>
  <c r="Q46" i="49" s="1"/>
  <c r="BM74" i="49"/>
  <c r="Q74" i="49" s="1"/>
  <c r="BJ39" i="49"/>
  <c r="BM49" i="49"/>
  <c r="Q49" i="49" s="1"/>
  <c r="BM79" i="49"/>
  <c r="Q79" i="49" s="1"/>
  <c r="BM5" i="49"/>
  <c r="Q5" i="49" s="1"/>
  <c r="BM16" i="49"/>
  <c r="Q16" i="49" s="1"/>
  <c r="CL36" i="33"/>
  <c r="CL40" i="33"/>
  <c r="BJ47" i="49"/>
  <c r="BJ33" i="49"/>
  <c r="BJ50" i="49"/>
  <c r="BJ69" i="49"/>
  <c r="BJ73" i="49"/>
  <c r="BJ76" i="49"/>
  <c r="BJ36" i="49"/>
  <c r="BJ35" i="49"/>
  <c r="BJ53" i="49"/>
  <c r="BJ68" i="49"/>
  <c r="BJ8" i="49"/>
  <c r="BJ26" i="49"/>
  <c r="BJ28" i="49"/>
  <c r="BJ11" i="49"/>
  <c r="BJ14" i="49"/>
  <c r="BJ15" i="49"/>
  <c r="BJ18" i="49"/>
  <c r="BJ21" i="49"/>
  <c r="BJ25" i="49"/>
  <c r="BJ5" i="49"/>
  <c r="BJ62" i="49"/>
  <c r="BJ58" i="49"/>
  <c r="BJ66" i="49"/>
  <c r="BJ48" i="49"/>
  <c r="BJ64" i="49"/>
  <c r="BJ41" i="49"/>
  <c r="BJ16" i="49"/>
  <c r="BJ4" i="49"/>
  <c r="BJ77" i="49"/>
  <c r="BJ17" i="49"/>
  <c r="BJ24" i="49"/>
  <c r="BJ38" i="49"/>
  <c r="BJ29" i="49"/>
  <c r="BJ19" i="49"/>
  <c r="BJ9" i="49"/>
  <c r="BJ27" i="49"/>
  <c r="BJ61" i="49"/>
  <c r="BJ70" i="49"/>
  <c r="BJ45" i="49"/>
  <c r="BJ67" i="49"/>
  <c r="BJ80" i="49"/>
  <c r="BJ75" i="49"/>
  <c r="BJ65" i="49"/>
  <c r="BJ71" i="49"/>
  <c r="BJ51" i="49"/>
  <c r="BJ34" i="49"/>
  <c r="BJ59" i="49"/>
  <c r="BJ40" i="49"/>
  <c r="BJ78" i="49"/>
  <c r="BJ57" i="49"/>
  <c r="BJ55" i="49"/>
  <c r="BJ74" i="49"/>
  <c r="BJ54" i="49"/>
  <c r="BJ52" i="49"/>
  <c r="BJ44" i="49"/>
  <c r="BJ63" i="49"/>
  <c r="BJ42" i="49"/>
  <c r="BJ60" i="49"/>
  <c r="BJ56" i="49"/>
  <c r="BJ46" i="49"/>
  <c r="BJ43" i="49"/>
  <c r="BJ72" i="49"/>
  <c r="BJ31" i="49"/>
  <c r="BJ20" i="49"/>
  <c r="BJ10" i="49"/>
  <c r="BJ7" i="49"/>
  <c r="BJ23" i="49"/>
  <c r="BJ13" i="49"/>
  <c r="BJ6" i="49"/>
  <c r="BJ22" i="49"/>
  <c r="BJ12" i="49"/>
  <c r="BA44" i="49"/>
  <c r="BC9" i="49"/>
  <c r="BA18" i="49"/>
  <c r="BA8" i="49"/>
  <c r="BA12" i="49"/>
  <c r="BA16" i="49"/>
  <c r="BA10" i="49"/>
  <c r="BA13" i="49"/>
  <c r="BA25" i="49"/>
  <c r="BA20" i="49"/>
  <c r="BA15" i="49"/>
  <c r="BA11" i="49"/>
  <c r="BC75" i="49"/>
  <c r="BC65" i="49"/>
  <c r="BC18" i="49"/>
  <c r="BA27" i="49"/>
  <c r="BC41" i="49"/>
  <c r="BC53" i="49"/>
  <c r="BC43" i="49"/>
  <c r="BC37" i="49"/>
  <c r="BC52" i="49"/>
  <c r="BC42" i="49"/>
  <c r="BA64" i="49"/>
  <c r="BC79" i="49"/>
  <c r="BC76" i="49"/>
  <c r="BC61" i="49"/>
  <c r="BC36" i="49"/>
  <c r="BC70" i="49"/>
  <c r="BC72" i="49"/>
  <c r="BC48" i="49"/>
  <c r="BC57" i="49"/>
  <c r="BC10" i="49"/>
  <c r="BC8" i="49"/>
  <c r="BC12" i="49"/>
  <c r="BC13" i="49"/>
  <c r="BC16" i="49"/>
  <c r="BC11" i="49"/>
  <c r="BA54" i="49"/>
  <c r="BC17" i="49"/>
  <c r="BC80" i="49"/>
  <c r="BC71" i="49"/>
  <c r="BA45" i="49"/>
  <c r="BC4" i="49"/>
  <c r="BC24" i="49"/>
  <c r="BC26" i="49"/>
  <c r="BC31" i="49"/>
  <c r="BC25" i="49"/>
  <c r="BC29" i="49"/>
  <c r="BC19" i="49"/>
  <c r="BC28" i="49"/>
  <c r="BA7" i="49"/>
  <c r="BA28" i="49"/>
  <c r="BA24" i="49"/>
  <c r="BA5" i="49"/>
  <c r="BA26" i="49"/>
  <c r="BA29" i="49"/>
  <c r="BA6" i="49"/>
  <c r="BC20" i="49"/>
  <c r="BC15" i="49"/>
  <c r="BC22" i="49"/>
  <c r="BC23" i="49"/>
  <c r="BC45" i="49"/>
  <c r="BG50" i="49"/>
  <c r="BG53" i="49"/>
  <c r="BG43" i="49"/>
  <c r="BG71" i="49"/>
  <c r="BG57" i="49"/>
  <c r="BC6" i="49"/>
  <c r="BC27" i="49"/>
  <c r="BC7" i="49"/>
  <c r="BC5" i="49"/>
  <c r="BC21" i="49"/>
  <c r="BC39" i="49"/>
  <c r="BC63" i="49"/>
  <c r="BG63" i="49"/>
  <c r="BC54" i="49"/>
  <c r="BC44" i="49"/>
  <c r="BC35" i="49"/>
  <c r="BC58" i="49"/>
  <c r="BC77" i="49"/>
  <c r="BC67" i="49"/>
  <c r="BG80" i="49"/>
  <c r="BG56" i="49"/>
  <c r="BC51" i="49"/>
  <c r="BC46" i="49"/>
  <c r="BC40" i="49"/>
  <c r="BC74" i="49"/>
  <c r="BC59" i="49"/>
  <c r="BC64" i="49"/>
  <c r="BA77" i="49"/>
  <c r="BA76" i="49"/>
  <c r="BA71" i="49"/>
  <c r="BA42" i="49"/>
  <c r="BA57" i="49"/>
  <c r="BA74" i="49"/>
  <c r="BA47" i="49"/>
  <c r="BA52" i="49"/>
  <c r="BA35" i="49"/>
  <c r="BA79" i="49"/>
  <c r="BA34" i="49"/>
  <c r="BA39" i="49"/>
  <c r="BA38" i="49"/>
  <c r="BA63" i="49"/>
  <c r="BA80" i="49"/>
  <c r="BG25" i="49"/>
  <c r="BE14" i="49"/>
  <c r="BA70" i="49"/>
  <c r="BC34" i="49"/>
  <c r="BC66" i="49"/>
  <c r="BC55" i="49"/>
  <c r="BC69" i="49"/>
  <c r="BC47" i="49"/>
  <c r="BG52" i="49"/>
  <c r="BC68" i="49"/>
  <c r="BG40" i="49"/>
  <c r="BG62" i="49"/>
  <c r="BC62" i="49"/>
  <c r="BC50" i="49"/>
  <c r="BC73" i="49"/>
  <c r="BA62" i="49"/>
  <c r="BA50" i="49"/>
  <c r="BA66" i="49"/>
  <c r="BA69" i="49"/>
  <c r="BC33" i="49"/>
  <c r="BC49" i="49"/>
  <c r="BG69" i="49"/>
  <c r="BG70" i="49"/>
  <c r="BG47" i="49"/>
  <c r="BG48" i="49"/>
  <c r="BG45" i="49"/>
  <c r="BG55" i="49"/>
  <c r="BC56" i="49"/>
  <c r="BC60" i="49"/>
  <c r="BC78" i="49"/>
  <c r="BA65" i="49"/>
  <c r="BG65" i="49"/>
  <c r="BG42" i="49"/>
  <c r="BG38" i="49"/>
  <c r="BC38" i="49"/>
  <c r="BG60" i="49"/>
  <c r="BG61" i="49"/>
  <c r="BG58" i="49"/>
  <c r="BG76" i="49"/>
  <c r="BG24" i="49"/>
  <c r="BG77" i="49"/>
  <c r="BG6" i="49"/>
  <c r="BG15" i="49"/>
  <c r="BG14" i="49"/>
  <c r="BG29" i="49"/>
  <c r="AW80" i="49"/>
  <c r="BG75" i="49"/>
  <c r="BG68" i="49"/>
  <c r="BG4" i="49"/>
  <c r="BC14" i="49"/>
  <c r="BG9" i="49"/>
  <c r="BG66" i="49"/>
  <c r="BG54" i="49"/>
  <c r="BG79" i="49"/>
  <c r="BG74" i="49"/>
  <c r="BA43" i="49"/>
  <c r="BA72" i="49"/>
  <c r="BA23" i="49"/>
  <c r="BA67" i="49"/>
  <c r="BA31" i="49"/>
  <c r="BA68" i="49"/>
  <c r="BA59" i="49"/>
  <c r="BA78" i="49"/>
  <c r="BA41" i="49"/>
  <c r="BA22" i="49"/>
  <c r="BA46" i="49"/>
  <c r="BA73" i="49"/>
  <c r="BA48" i="49"/>
  <c r="BA53" i="49"/>
  <c r="BA55" i="49"/>
  <c r="BA58" i="49"/>
  <c r="BA37" i="49"/>
  <c r="BA56" i="49"/>
  <c r="BA33" i="49"/>
  <c r="BA17" i="49"/>
  <c r="BA75" i="49"/>
  <c r="BA21" i="49"/>
  <c r="BA9" i="49"/>
  <c r="BA40" i="49"/>
  <c r="BA14" i="49"/>
  <c r="BA61" i="49"/>
  <c r="BG67" i="49"/>
  <c r="BA51" i="49"/>
  <c r="BA36" i="49"/>
  <c r="BA4" i="49"/>
  <c r="BA49" i="49"/>
  <c r="BA60" i="49"/>
  <c r="BA19" i="49"/>
  <c r="BG35" i="49"/>
  <c r="BG11" i="49"/>
  <c r="BG8" i="49"/>
  <c r="BG20" i="49"/>
  <c r="BG10" i="49"/>
  <c r="BE33" i="49"/>
  <c r="BE60" i="49"/>
  <c r="BE36" i="49"/>
  <c r="BE61" i="49"/>
  <c r="BE37" i="49"/>
  <c r="BE67" i="49"/>
  <c r="BE58" i="49"/>
  <c r="BE49" i="49"/>
  <c r="BE78" i="49"/>
  <c r="BE21" i="49"/>
  <c r="BE17" i="49"/>
  <c r="BE22" i="49"/>
  <c r="BE31" i="49"/>
  <c r="BE19" i="49"/>
  <c r="AY64" i="49"/>
  <c r="BG64" i="49"/>
  <c r="BG13" i="49"/>
  <c r="BG18" i="49"/>
  <c r="BG7" i="49"/>
  <c r="BG28" i="49"/>
  <c r="BG44" i="49"/>
  <c r="BG23" i="49"/>
  <c r="BE44" i="49"/>
  <c r="BE73" i="49"/>
  <c r="BE16" i="49"/>
  <c r="BE12" i="49"/>
  <c r="BE23" i="49"/>
  <c r="BE25" i="49"/>
  <c r="BG49" i="49"/>
  <c r="BG59" i="49"/>
  <c r="BE59" i="49"/>
  <c r="BG34" i="49"/>
  <c r="BG72" i="49"/>
  <c r="BG39" i="49"/>
  <c r="BG5" i="49"/>
  <c r="BG27" i="49"/>
  <c r="BG26" i="49"/>
  <c r="BG46" i="49"/>
  <c r="BE69" i="49"/>
  <c r="BE46" i="49"/>
  <c r="BE70" i="49"/>
  <c r="BE47" i="49"/>
  <c r="BE71" i="49"/>
  <c r="BE48" i="49"/>
  <c r="BE77" i="49"/>
  <c r="BE79" i="49"/>
  <c r="BE63" i="49"/>
  <c r="BE45" i="49"/>
  <c r="BE13" i="49"/>
  <c r="BE6" i="49"/>
  <c r="BE15" i="49"/>
  <c r="BE18" i="49"/>
  <c r="BE29" i="49"/>
  <c r="BE4" i="49"/>
  <c r="AY33" i="49"/>
  <c r="BE28" i="49"/>
  <c r="BG41" i="49"/>
  <c r="BG73" i="49"/>
  <c r="BG16" i="49"/>
  <c r="BG12" i="49"/>
  <c r="BG51" i="49"/>
  <c r="BG33" i="49"/>
  <c r="BG36" i="49"/>
  <c r="BG37" i="49"/>
  <c r="BG78" i="49"/>
  <c r="BG21" i="49"/>
  <c r="BG17" i="49"/>
  <c r="BG22" i="49"/>
  <c r="BG31" i="49"/>
  <c r="BG19" i="49"/>
  <c r="BE65" i="49"/>
  <c r="BE43" i="49"/>
  <c r="BE54" i="49"/>
  <c r="BE26" i="49"/>
  <c r="BE34" i="49"/>
  <c r="BE42" i="49"/>
  <c r="BE66" i="49"/>
  <c r="BE72" i="49"/>
  <c r="BE38" i="49"/>
  <c r="BE39" i="49"/>
  <c r="BE5" i="49"/>
  <c r="BE27" i="49"/>
  <c r="BE10" i="49"/>
  <c r="BE24" i="49"/>
  <c r="BE74" i="49"/>
  <c r="BE75" i="49"/>
  <c r="BE52" i="49"/>
  <c r="BE76" i="49"/>
  <c r="BE53" i="49"/>
  <c r="BE35" i="49"/>
  <c r="BE68" i="49"/>
  <c r="BE11" i="49"/>
  <c r="BE7" i="49"/>
  <c r="BE8" i="49"/>
  <c r="BE20" i="49"/>
  <c r="BE9" i="49"/>
  <c r="BE57" i="49"/>
  <c r="BE50" i="49"/>
  <c r="BE64" i="49"/>
  <c r="BE40" i="49"/>
  <c r="BE56" i="49"/>
  <c r="BE41" i="49"/>
  <c r="BE80" i="49"/>
  <c r="BE62" i="49"/>
  <c r="BE55" i="49"/>
  <c r="BE51" i="49"/>
  <c r="AW33" i="49"/>
  <c r="AU33" i="49"/>
  <c r="AY80" i="49"/>
  <c r="AW64" i="49"/>
  <c r="AU64" i="49"/>
  <c r="AU80" i="49"/>
  <c r="AM36" i="33"/>
  <c r="AC52" i="31"/>
  <c r="Y82" i="40"/>
  <c r="BL52" i="31" s="1"/>
  <c r="AB53" i="33"/>
  <c r="AC53" i="33" s="1"/>
  <c r="AS52" i="31"/>
  <c r="DJ69" i="40"/>
  <c r="AE53" i="33"/>
  <c r="DU52" i="31"/>
  <c r="BU35" i="31"/>
  <c r="DX69" i="40"/>
  <c r="R36" i="33"/>
  <c r="DV35" i="31"/>
  <c r="F40" i="33"/>
  <c r="S40" i="33"/>
  <c r="CE35" i="31"/>
  <c r="G36" i="33"/>
  <c r="DT35" i="31"/>
  <c r="DV39" i="31"/>
  <c r="AO36" i="33"/>
  <c r="F36" i="33"/>
  <c r="V36" i="33"/>
  <c r="S36" i="33"/>
  <c r="G40" i="33"/>
  <c r="V40" i="33"/>
  <c r="AB35" i="31"/>
  <c r="AB39" i="31"/>
  <c r="T69" i="40"/>
  <c r="W69" i="40"/>
  <c r="BL40" i="33"/>
  <c r="BE40" i="33"/>
  <c r="BX40" i="33"/>
  <c r="AX40" i="33"/>
  <c r="CE40" i="33"/>
  <c r="AX36" i="33"/>
  <c r="CE36" i="33"/>
  <c r="BX36" i="33"/>
  <c r="BL36" i="33"/>
  <c r="BE36" i="33"/>
  <c r="I69" i="40"/>
  <c r="J65" i="40"/>
  <c r="DX65" i="40" s="1"/>
  <c r="I65" i="40"/>
  <c r="U69" i="40"/>
  <c r="W65" i="40"/>
  <c r="U65" i="40"/>
  <c r="T35" i="31"/>
  <c r="U36" i="33"/>
  <c r="CY36" i="33" s="1"/>
  <c r="AH36" i="33"/>
  <c r="AH40" i="33"/>
  <c r="Z39" i="31"/>
  <c r="Z35" i="31"/>
  <c r="C35" i="31"/>
  <c r="F75" i="51"/>
  <c r="G75" i="51"/>
  <c r="H75" i="51"/>
  <c r="I75" i="51"/>
  <c r="CC39" i="31" s="1"/>
  <c r="J75" i="51"/>
  <c r="L75" i="51"/>
  <c r="A75" i="51"/>
  <c r="M102" i="51"/>
  <c r="M115" i="51" s="1"/>
  <c r="CH2" i="33"/>
  <c r="CK2" i="33"/>
  <c r="CM2" i="33"/>
  <c r="CN2" i="33"/>
  <c r="CM81" i="33"/>
  <c r="CI83" i="33"/>
  <c r="CC2" i="26"/>
  <c r="CH2" i="26"/>
  <c r="CI2" i="26"/>
  <c r="CH38" i="26"/>
  <c r="CG2" i="26" s="1"/>
  <c r="BN6" i="49" l="1"/>
  <c r="BN25" i="49"/>
  <c r="BN57" i="49"/>
  <c r="BN28" i="49"/>
  <c r="BO33" i="49"/>
  <c r="BN33" i="49"/>
  <c r="BN71" i="49"/>
  <c r="BN48" i="49"/>
  <c r="BN36" i="49"/>
  <c r="BN56" i="49"/>
  <c r="BN81" i="49"/>
  <c r="BO81" i="49"/>
  <c r="BN63" i="49"/>
  <c r="BN66" i="49"/>
  <c r="BN68" i="49"/>
  <c r="BN62" i="49"/>
  <c r="BN67" i="49"/>
  <c r="BN26" i="49"/>
  <c r="BN18" i="49"/>
  <c r="BN75" i="49"/>
  <c r="BN38" i="49"/>
  <c r="BN61" i="49"/>
  <c r="BN19" i="49"/>
  <c r="BN39" i="49"/>
  <c r="BN13" i="49"/>
  <c r="BN7" i="49"/>
  <c r="BN35" i="49"/>
  <c r="BN69" i="49"/>
  <c r="BN8" i="49"/>
  <c r="BN52" i="49"/>
  <c r="BN9" i="49"/>
  <c r="BN14" i="49"/>
  <c r="BN64" i="49"/>
  <c r="BN10" i="49"/>
  <c r="BN34" i="49"/>
  <c r="BN27" i="49"/>
  <c r="BN42" i="49"/>
  <c r="BN60" i="49"/>
  <c r="BN77" i="49"/>
  <c r="BK79" i="49"/>
  <c r="BN58" i="49"/>
  <c r="BN22" i="49"/>
  <c r="BN78" i="49"/>
  <c r="BN40" i="49"/>
  <c r="BN45" i="49"/>
  <c r="BN70" i="49"/>
  <c r="BN12" i="49"/>
  <c r="BN72" i="49"/>
  <c r="BN53" i="49"/>
  <c r="BN21" i="49"/>
  <c r="BN41" i="49"/>
  <c r="BN31" i="49"/>
  <c r="BN20" i="49"/>
  <c r="BN15" i="49"/>
  <c r="BN23" i="49"/>
  <c r="BN59" i="49"/>
  <c r="BN55" i="49"/>
  <c r="BN80" i="49"/>
  <c r="BN37" i="49"/>
  <c r="BN54" i="49"/>
  <c r="BN51" i="49"/>
  <c r="BN46" i="49"/>
  <c r="BN79" i="49"/>
  <c r="BN5" i="49"/>
  <c r="BN16" i="49"/>
  <c r="BN49" i="49"/>
  <c r="BO13" i="49"/>
  <c r="BO11" i="49"/>
  <c r="BO21" i="49"/>
  <c r="BO12" i="49"/>
  <c r="BO41" i="49"/>
  <c r="BO35" i="49"/>
  <c r="BO34" i="49"/>
  <c r="BO60" i="49"/>
  <c r="BO43" i="49"/>
  <c r="BO49" i="49"/>
  <c r="BO59" i="49"/>
  <c r="BO44" i="49"/>
  <c r="BO57" i="49"/>
  <c r="BO42" i="49"/>
  <c r="BO66" i="49"/>
  <c r="BO77" i="49"/>
  <c r="BO40" i="49"/>
  <c r="BO74" i="49"/>
  <c r="BO65" i="49"/>
  <c r="BN65" i="49"/>
  <c r="BO79" i="49"/>
  <c r="BO38" i="49"/>
  <c r="BN74" i="49"/>
  <c r="BO37" i="49"/>
  <c r="BO39" i="49"/>
  <c r="BO47" i="49"/>
  <c r="BO56" i="49"/>
  <c r="BO53" i="49"/>
  <c r="BN43" i="49"/>
  <c r="BN44" i="49"/>
  <c r="BN11" i="49"/>
  <c r="BO29" i="49"/>
  <c r="BO6" i="49"/>
  <c r="BO28" i="49"/>
  <c r="BO8" i="49"/>
  <c r="BO14" i="49"/>
  <c r="BN29" i="49"/>
  <c r="BO19" i="49"/>
  <c r="BO22" i="49"/>
  <c r="BO36" i="49"/>
  <c r="BO64" i="49"/>
  <c r="BK47" i="49"/>
  <c r="BO63" i="49"/>
  <c r="BO75" i="49"/>
  <c r="BO55" i="49"/>
  <c r="BO68" i="49"/>
  <c r="BO62" i="49"/>
  <c r="BN47" i="49"/>
  <c r="BO69" i="49"/>
  <c r="BO58" i="49"/>
  <c r="BO48" i="49"/>
  <c r="BO80" i="49"/>
  <c r="BO61" i="49"/>
  <c r="BO54" i="49"/>
  <c r="BO46" i="49"/>
  <c r="BO51" i="49"/>
  <c r="BO71" i="49"/>
  <c r="BO76" i="49"/>
  <c r="BO45" i="49"/>
  <c r="BO67" i="49"/>
  <c r="BO78" i="49"/>
  <c r="BO73" i="49"/>
  <c r="BO50" i="49"/>
  <c r="BO72" i="49"/>
  <c r="BO52" i="49"/>
  <c r="BO70" i="49"/>
  <c r="BN76" i="49"/>
  <c r="BN73" i="49"/>
  <c r="BN50" i="49"/>
  <c r="BO26" i="49"/>
  <c r="BO20" i="49"/>
  <c r="BO5" i="49"/>
  <c r="BO25" i="49"/>
  <c r="BO16" i="49"/>
  <c r="BO10" i="49"/>
  <c r="BO17" i="49"/>
  <c r="BO4" i="49"/>
  <c r="BO23" i="49"/>
  <c r="BO27" i="49"/>
  <c r="BN17" i="49"/>
  <c r="BN4" i="49"/>
  <c r="BO24" i="49"/>
  <c r="BO18" i="49"/>
  <c r="BO15" i="49"/>
  <c r="BO9" i="49"/>
  <c r="BO7" i="49"/>
  <c r="BO31" i="49"/>
  <c r="BN24" i="49"/>
  <c r="AF36" i="33"/>
  <c r="BK25" i="49"/>
  <c r="BK69" i="49"/>
  <c r="BK8" i="49"/>
  <c r="BK18" i="49"/>
  <c r="BK26" i="49"/>
  <c r="BK73" i="49"/>
  <c r="BK11" i="49"/>
  <c r="BK28" i="49"/>
  <c r="BK77" i="49"/>
  <c r="BK48" i="49"/>
  <c r="BK62" i="49"/>
  <c r="BK66" i="49"/>
  <c r="BK41" i="49"/>
  <c r="BU39" i="31"/>
  <c r="BH36" i="49"/>
  <c r="BK16" i="49"/>
  <c r="BH75" i="49"/>
  <c r="BH55" i="49"/>
  <c r="BH33" i="49"/>
  <c r="BK67" i="49"/>
  <c r="BH49" i="49"/>
  <c r="BH58" i="49"/>
  <c r="BK13" i="49"/>
  <c r="BH23" i="49"/>
  <c r="BH45" i="49"/>
  <c r="BK7" i="49"/>
  <c r="BH39" i="49"/>
  <c r="BH72" i="49"/>
  <c r="BH50" i="49"/>
  <c r="BH51" i="49"/>
  <c r="BH14" i="49"/>
  <c r="BH38" i="49"/>
  <c r="BK46" i="49"/>
  <c r="BK49" i="49"/>
  <c r="BK9" i="49"/>
  <c r="BH21" i="49"/>
  <c r="BH27" i="49"/>
  <c r="BH64" i="49"/>
  <c r="BK22" i="49"/>
  <c r="BH78" i="49"/>
  <c r="BH5" i="49"/>
  <c r="BH76" i="49"/>
  <c r="BH52" i="49"/>
  <c r="BH63" i="49"/>
  <c r="BH43" i="49"/>
  <c r="BK6" i="49"/>
  <c r="BH35" i="49"/>
  <c r="BH24" i="49"/>
  <c r="BH71" i="49"/>
  <c r="BK44" i="49"/>
  <c r="BK34" i="49"/>
  <c r="BK27" i="49"/>
  <c r="BK5" i="49"/>
  <c r="BH4" i="49"/>
  <c r="BK56" i="49"/>
  <c r="BK52" i="49"/>
  <c r="BK51" i="49"/>
  <c r="BK76" i="49"/>
  <c r="BH37" i="49"/>
  <c r="BH68" i="49"/>
  <c r="BH56" i="49"/>
  <c r="BH53" i="49"/>
  <c r="BK72" i="49"/>
  <c r="BK54" i="49"/>
  <c r="BK71" i="49"/>
  <c r="BK19" i="49"/>
  <c r="BK53" i="49"/>
  <c r="BH80" i="49"/>
  <c r="BK23" i="49"/>
  <c r="BK43" i="49"/>
  <c r="BK74" i="49"/>
  <c r="BK65" i="49"/>
  <c r="BK29" i="49"/>
  <c r="BK35" i="49"/>
  <c r="BH34" i="49"/>
  <c r="BK55" i="49"/>
  <c r="BK75" i="49"/>
  <c r="BK38" i="49"/>
  <c r="BK57" i="49"/>
  <c r="BK80" i="49"/>
  <c r="BK24" i="49"/>
  <c r="BK78" i="49"/>
  <c r="BK17" i="49"/>
  <c r="BK64" i="49"/>
  <c r="BK33" i="49"/>
  <c r="BH44" i="49"/>
  <c r="BH48" i="49"/>
  <c r="BH12" i="49"/>
  <c r="BH59" i="49"/>
  <c r="BH10" i="49"/>
  <c r="BH31" i="49"/>
  <c r="BH16" i="49"/>
  <c r="BH7" i="49"/>
  <c r="BH20" i="49"/>
  <c r="BH54" i="49"/>
  <c r="BH15" i="49"/>
  <c r="BH42" i="49"/>
  <c r="BH70" i="49"/>
  <c r="BK10" i="49"/>
  <c r="BK60" i="49"/>
  <c r="BK40" i="49"/>
  <c r="BK45" i="49"/>
  <c r="BK37" i="49"/>
  <c r="BK58" i="49"/>
  <c r="BK50" i="49"/>
  <c r="BH29" i="49"/>
  <c r="BH28" i="49"/>
  <c r="BH22" i="49"/>
  <c r="BH73" i="49"/>
  <c r="BH46" i="49"/>
  <c r="BH18" i="49"/>
  <c r="BH8" i="49"/>
  <c r="BH67" i="49"/>
  <c r="BH66" i="49"/>
  <c r="BH6" i="49"/>
  <c r="BH65" i="49"/>
  <c r="BH69" i="49"/>
  <c r="BH62" i="49"/>
  <c r="BK20" i="49"/>
  <c r="BK42" i="49"/>
  <c r="BK59" i="49"/>
  <c r="BK70" i="49"/>
  <c r="BK14" i="49"/>
  <c r="BK68" i="49"/>
  <c r="BK4" i="49"/>
  <c r="BH61" i="49"/>
  <c r="BH60" i="49"/>
  <c r="BH74" i="49"/>
  <c r="BH19" i="49"/>
  <c r="BH79" i="49"/>
  <c r="BH47" i="49"/>
  <c r="BH17" i="49"/>
  <c r="BH41" i="49"/>
  <c r="BH26" i="49"/>
  <c r="BH13" i="49"/>
  <c r="BH11" i="49"/>
  <c r="BH9" i="49"/>
  <c r="BH77" i="49"/>
  <c r="BH40" i="49"/>
  <c r="BH25" i="49"/>
  <c r="BH57" i="49"/>
  <c r="BK12" i="49"/>
  <c r="BK31" i="49"/>
  <c r="BK63" i="49"/>
  <c r="BK61" i="49"/>
  <c r="BK21" i="49"/>
  <c r="BK39" i="49"/>
  <c r="BK36" i="49"/>
  <c r="BK15" i="49"/>
  <c r="CR52" i="31"/>
  <c r="BW52" i="31"/>
  <c r="BY52" i="31" s="1"/>
  <c r="BM52" i="31"/>
  <c r="AD53" i="33"/>
  <c r="AD35" i="31"/>
  <c r="AM40" i="33"/>
  <c r="AU52" i="31"/>
  <c r="CA52" i="31"/>
  <c r="DR52" i="31" s="1"/>
  <c r="DS52" i="31" s="1"/>
  <c r="DJ52" i="31"/>
  <c r="DU35" i="31"/>
  <c r="DW52" i="31"/>
  <c r="DT39" i="31"/>
  <c r="C36" i="33"/>
  <c r="CD39" i="31"/>
  <c r="BZ35" i="31"/>
  <c r="X69" i="40"/>
  <c r="BT39" i="31" s="1"/>
  <c r="X65" i="40"/>
  <c r="BT35" i="31" s="1"/>
  <c r="CI36" i="33"/>
  <c r="AU36" i="33"/>
  <c r="BI36" i="33"/>
  <c r="CB36" i="33"/>
  <c r="BB36" i="33"/>
  <c r="BU36" i="33"/>
  <c r="BP36" i="33"/>
  <c r="CY65" i="40"/>
  <c r="DW65" i="40" s="1"/>
  <c r="AA36" i="33" s="1"/>
  <c r="C65" i="40"/>
  <c r="AH35" i="31"/>
  <c r="AG35" i="31"/>
  <c r="AF35" i="31"/>
  <c r="AE35" i="31"/>
  <c r="AA35" i="31"/>
  <c r="Y35" i="31"/>
  <c r="K76" i="51"/>
  <c r="Z36" i="33"/>
  <c r="W39" i="31"/>
  <c r="U39" i="31"/>
  <c r="CC3" i="26"/>
  <c r="CI3" i="26" s="1"/>
  <c r="CH3" i="33"/>
  <c r="CH39" i="26"/>
  <c r="L37" i="51"/>
  <c r="L38" i="51"/>
  <c r="L39" i="51"/>
  <c r="L40" i="51"/>
  <c r="L41" i="51"/>
  <c r="L42" i="51"/>
  <c r="L43" i="51"/>
  <c r="L44" i="51"/>
  <c r="L45" i="51"/>
  <c r="L47" i="51"/>
  <c r="L48" i="51"/>
  <c r="L49" i="51"/>
  <c r="L50" i="51"/>
  <c r="L51" i="51"/>
  <c r="L52" i="51"/>
  <c r="L53" i="51"/>
  <c r="L54" i="51"/>
  <c r="L55" i="51"/>
  <c r="L56" i="51"/>
  <c r="L57" i="51"/>
  <c r="L58" i="51"/>
  <c r="L59" i="51"/>
  <c r="L60" i="51"/>
  <c r="L61" i="51"/>
  <c r="L62" i="51"/>
  <c r="L63" i="51"/>
  <c r="L64" i="51"/>
  <c r="L65" i="51"/>
  <c r="L66" i="51"/>
  <c r="L67" i="51"/>
  <c r="L69" i="51"/>
  <c r="L70" i="51"/>
  <c r="L71" i="51"/>
  <c r="L72" i="51"/>
  <c r="L73" i="51"/>
  <c r="L74" i="51"/>
  <c r="L77" i="51"/>
  <c r="L78" i="51"/>
  <c r="L79" i="51"/>
  <c r="L80" i="51"/>
  <c r="L81" i="51"/>
  <c r="L82" i="51"/>
  <c r="L83" i="51"/>
  <c r="L84" i="51"/>
  <c r="L85" i="51"/>
  <c r="L88" i="51"/>
  <c r="L89" i="51"/>
  <c r="L90" i="51"/>
  <c r="L98" i="51"/>
  <c r="L99" i="51"/>
  <c r="L100" i="51"/>
  <c r="L36" i="51"/>
  <c r="L7" i="51"/>
  <c r="L8" i="51"/>
  <c r="L9" i="51"/>
  <c r="L10" i="51"/>
  <c r="L11" i="51"/>
  <c r="L12" i="51"/>
  <c r="L13" i="51"/>
  <c r="L14" i="51"/>
  <c r="L15" i="51"/>
  <c r="L16" i="51"/>
  <c r="L17" i="51"/>
  <c r="L18" i="51"/>
  <c r="L19" i="51"/>
  <c r="L20" i="51"/>
  <c r="L21" i="51"/>
  <c r="L22" i="51"/>
  <c r="L23" i="51"/>
  <c r="L24" i="51"/>
  <c r="L25" i="51"/>
  <c r="L26" i="51"/>
  <c r="L27" i="51"/>
  <c r="L28" i="51"/>
  <c r="L29" i="51"/>
  <c r="L30" i="51"/>
  <c r="L31" i="51"/>
  <c r="L32" i="51"/>
  <c r="L34" i="51"/>
  <c r="L6" i="51"/>
  <c r="AO23" i="26"/>
  <c r="BP33" i="49" l="1"/>
  <c r="DU39" i="31"/>
  <c r="AN53" i="33"/>
  <c r="BX52" i="31"/>
  <c r="CH52" i="31"/>
  <c r="CF52" i="31"/>
  <c r="CB52" i="31"/>
  <c r="D52" i="31"/>
  <c r="DW35" i="31"/>
  <c r="M76" i="51"/>
  <c r="AS39" i="31"/>
  <c r="Y69" i="40"/>
  <c r="BL39" i="31" s="1"/>
  <c r="AS35" i="31"/>
  <c r="R40" i="33"/>
  <c r="BW35" i="31"/>
  <c r="AE36" i="33"/>
  <c r="BW39" i="31"/>
  <c r="CE39" i="31"/>
  <c r="AO40" i="33"/>
  <c r="Y65" i="40"/>
  <c r="BL35" i="31" s="1"/>
  <c r="AC35" i="31"/>
  <c r="AB36" i="33"/>
  <c r="AC36" i="33" s="1"/>
  <c r="U40" i="33"/>
  <c r="CY40" i="33" s="1"/>
  <c r="T39" i="31"/>
  <c r="C39" i="31"/>
  <c r="DW39" i="31" l="1"/>
  <c r="DY82" i="40"/>
  <c r="E53" i="33"/>
  <c r="CI52" i="31"/>
  <c r="CG52" i="31"/>
  <c r="AD39" i="31"/>
  <c r="BY35" i="31"/>
  <c r="CA39" i="31"/>
  <c r="DR39" i="31" s="1"/>
  <c r="DS39" i="31" s="1"/>
  <c r="AU35" i="31"/>
  <c r="DJ39" i="31"/>
  <c r="CR39" i="31"/>
  <c r="CA35" i="31"/>
  <c r="DR35" i="31" s="1"/>
  <c r="DS35" i="31" s="1"/>
  <c r="DJ35" i="31"/>
  <c r="CR35" i="31"/>
  <c r="AF40" i="33"/>
  <c r="D35" i="31"/>
  <c r="AN36" i="33"/>
  <c r="AN40" i="33"/>
  <c r="BX39" i="31"/>
  <c r="D39" i="31"/>
  <c r="BX35" i="31"/>
  <c r="BM35" i="31"/>
  <c r="AD36" i="33"/>
  <c r="C40" i="33"/>
  <c r="AU39" i="31"/>
  <c r="BZ39" i="31"/>
  <c r="BY39" i="31"/>
  <c r="BI40" i="33"/>
  <c r="BB40" i="33"/>
  <c r="CI40" i="33"/>
  <c r="AU40" i="33"/>
  <c r="CB40" i="33"/>
  <c r="BU40" i="33"/>
  <c r="BP40" i="33"/>
  <c r="CY69" i="40"/>
  <c r="DW69" i="40" s="1"/>
  <c r="AA40" i="33" s="1"/>
  <c r="C69" i="40"/>
  <c r="K75" i="51"/>
  <c r="Z40" i="33"/>
  <c r="AA39" i="31"/>
  <c r="Y39" i="31"/>
  <c r="AE39" i="31"/>
  <c r="AF39" i="31"/>
  <c r="AG39" i="31"/>
  <c r="AH39" i="31"/>
  <c r="EO32" i="31"/>
  <c r="AK33" i="33"/>
  <c r="DB33" i="33" s="1"/>
  <c r="AL33" i="33"/>
  <c r="AG33" i="33"/>
  <c r="T33" i="33"/>
  <c r="M33" i="33"/>
  <c r="N33" i="33"/>
  <c r="F84" i="20"/>
  <c r="I84" i="20"/>
  <c r="G84" i="20" s="1"/>
  <c r="H84" i="20" s="1"/>
  <c r="J84" i="20"/>
  <c r="K84" i="20"/>
  <c r="DZ32" i="31"/>
  <c r="DQ32" i="31"/>
  <c r="DX32" i="31"/>
  <c r="DI32" i="31"/>
  <c r="CZ32" i="31"/>
  <c r="DA32" i="31"/>
  <c r="DC32" i="31"/>
  <c r="BP32" i="31"/>
  <c r="CQ32" i="31" s="1"/>
  <c r="BJ32" i="31"/>
  <c r="BD32" i="31"/>
  <c r="AY32" i="31"/>
  <c r="AT32" i="31"/>
  <c r="CZ62" i="40"/>
  <c r="BM62" i="40"/>
  <c r="DH62" i="40" s="1"/>
  <c r="BJ62" i="40"/>
  <c r="DG62" i="40" s="1"/>
  <c r="BG62" i="40"/>
  <c r="DF62" i="40" s="1"/>
  <c r="BD62" i="40"/>
  <c r="DE62" i="40" s="1"/>
  <c r="BA62" i="40"/>
  <c r="DD62" i="40" s="1"/>
  <c r="AX62" i="40"/>
  <c r="DC62" i="40" s="1"/>
  <c r="AU62" i="40"/>
  <c r="DB62" i="40" s="1"/>
  <c r="BP62" i="40"/>
  <c r="P62" i="40"/>
  <c r="Q62" i="40"/>
  <c r="S62" i="40"/>
  <c r="V62" i="40"/>
  <c r="L62" i="40"/>
  <c r="R62" i="40" s="1"/>
  <c r="G62" i="40"/>
  <c r="I62" i="40" s="1"/>
  <c r="AI32" i="31"/>
  <c r="AL32" i="31"/>
  <c r="V32" i="31"/>
  <c r="X32" i="31"/>
  <c r="F81" i="51"/>
  <c r="G81" i="51"/>
  <c r="H81" i="51"/>
  <c r="U32" i="31" s="1"/>
  <c r="I81" i="51"/>
  <c r="CC32" i="31" s="1"/>
  <c r="J81" i="51"/>
  <c r="CD32" i="31" s="1"/>
  <c r="A81" i="51"/>
  <c r="D81" i="51"/>
  <c r="A412" i="35" s="1"/>
  <c r="M32" i="31"/>
  <c r="N32" i="31"/>
  <c r="BH32" i="31" l="1"/>
  <c r="BI32" i="31" s="1"/>
  <c r="CL33" i="33"/>
  <c r="O32" i="31"/>
  <c r="AM33" i="33"/>
  <c r="CF35" i="31"/>
  <c r="CB39" i="31"/>
  <c r="CH35" i="31"/>
  <c r="DY65" i="40"/>
  <c r="CB35" i="31"/>
  <c r="M75" i="51"/>
  <c r="E36" i="33"/>
  <c r="DI62" i="40"/>
  <c r="DY69" i="40"/>
  <c r="E40" i="33"/>
  <c r="AE40" i="33"/>
  <c r="DT32" i="31"/>
  <c r="DV32" i="31"/>
  <c r="E32" i="31"/>
  <c r="BC32" i="31"/>
  <c r="BM39" i="31"/>
  <c r="DB32" i="31"/>
  <c r="AB32" i="31"/>
  <c r="CH39" i="31"/>
  <c r="CF39" i="31"/>
  <c r="AC39" i="31"/>
  <c r="AB40" i="33"/>
  <c r="AC40" i="33" s="1"/>
  <c r="BE33" i="33"/>
  <c r="DJ62" i="40"/>
  <c r="W32" i="31"/>
  <c r="DN32" i="31"/>
  <c r="AX33" i="33"/>
  <c r="BL33" i="33"/>
  <c r="BX33" i="33"/>
  <c r="CE33" i="33"/>
  <c r="U62" i="40"/>
  <c r="J62" i="40"/>
  <c r="DX62" i="40" s="1"/>
  <c r="T62" i="40"/>
  <c r="W62" i="40"/>
  <c r="S33" i="33"/>
  <c r="R33" i="33"/>
  <c r="AO33" i="33"/>
  <c r="V33" i="33"/>
  <c r="AH33" i="33"/>
  <c r="DD32" i="31"/>
  <c r="CE32" i="31"/>
  <c r="CV32" i="31"/>
  <c r="CU32" i="31" s="1"/>
  <c r="F32" i="31"/>
  <c r="Z32" i="31"/>
  <c r="AD62" i="31"/>
  <c r="AC62" i="31"/>
  <c r="CG35" i="31" l="1"/>
  <c r="BU32" i="31"/>
  <c r="CI35" i="31"/>
  <c r="F33" i="33"/>
  <c r="CG39" i="31"/>
  <c r="CI39" i="31"/>
  <c r="AD40" i="33"/>
  <c r="T32" i="31"/>
  <c r="U33" i="33"/>
  <c r="CY33" i="33" s="1"/>
  <c r="C32" i="31"/>
  <c r="X62" i="40"/>
  <c r="BT32" i="31" s="1"/>
  <c r="G33" i="33"/>
  <c r="Q93" i="40"/>
  <c r="Q92" i="40"/>
  <c r="Q91" i="40"/>
  <c r="Q85" i="40"/>
  <c r="Q71" i="40"/>
  <c r="Q79" i="40"/>
  <c r="Q86" i="40"/>
  <c r="Q83" i="40"/>
  <c r="Q46" i="40"/>
  <c r="Q70" i="40"/>
  <c r="Q75" i="40"/>
  <c r="Q78" i="40"/>
  <c r="Q77" i="40"/>
  <c r="Q48" i="40"/>
  <c r="Q59" i="40"/>
  <c r="Q39" i="40"/>
  <c r="Q61" i="40"/>
  <c r="Q80" i="40"/>
  <c r="Q57" i="40"/>
  <c r="Q52" i="40"/>
  <c r="Q60" i="40"/>
  <c r="Q37" i="40"/>
  <c r="Q84" i="40"/>
  <c r="Q42" i="40"/>
  <c r="Q73" i="40"/>
  <c r="Q58" i="40"/>
  <c r="Q74" i="40"/>
  <c r="Q55" i="40"/>
  <c r="Q72" i="40"/>
  <c r="Q76" i="40"/>
  <c r="Q63" i="40"/>
  <c r="Q51" i="40"/>
  <c r="Q50" i="40"/>
  <c r="Q81" i="40"/>
  <c r="Q38" i="40"/>
  <c r="Q41" i="40"/>
  <c r="Q56" i="40"/>
  <c r="Q45" i="40"/>
  <c r="Q66" i="40"/>
  <c r="Q43" i="40"/>
  <c r="Q47" i="40"/>
  <c r="Q40" i="40"/>
  <c r="Q44" i="40"/>
  <c r="Q49" i="40"/>
  <c r="Q64" i="40"/>
  <c r="Q53" i="40"/>
  <c r="Q67" i="40"/>
  <c r="Q54" i="40"/>
  <c r="Q15" i="40"/>
  <c r="Q29" i="40"/>
  <c r="Q25" i="40"/>
  <c r="Q8" i="40"/>
  <c r="Q7" i="40"/>
  <c r="Q19" i="40"/>
  <c r="Q13" i="40"/>
  <c r="Q24" i="40"/>
  <c r="Q26" i="40"/>
  <c r="Q30" i="40"/>
  <c r="Q31" i="40"/>
  <c r="Q11" i="40"/>
  <c r="Q10" i="40"/>
  <c r="Q18" i="40"/>
  <c r="Q27" i="40"/>
  <c r="Q6" i="40"/>
  <c r="Q4" i="40"/>
  <c r="Q14" i="40"/>
  <c r="Q17" i="40"/>
  <c r="Q21" i="40"/>
  <c r="Q12" i="40"/>
  <c r="Q16" i="40"/>
  <c r="Q20" i="40"/>
  <c r="Q9" i="40"/>
  <c r="Q23" i="40"/>
  <c r="Q5" i="40"/>
  <c r="Q32" i="40"/>
  <c r="Q22" i="40"/>
  <c r="J64" i="40"/>
  <c r="J74" i="40"/>
  <c r="J91" i="40"/>
  <c r="J92" i="40"/>
  <c r="J93" i="40"/>
  <c r="F518" i="45"/>
  <c r="E518" i="45" s="1"/>
  <c r="H518" i="45"/>
  <c r="I518" i="45"/>
  <c r="CZ85" i="40"/>
  <c r="AU85" i="40"/>
  <c r="DB85" i="40" s="1"/>
  <c r="AX85" i="40"/>
  <c r="DC85" i="40" s="1"/>
  <c r="BA85" i="40"/>
  <c r="DD85" i="40" s="1"/>
  <c r="BD85" i="40"/>
  <c r="DE85" i="40" s="1"/>
  <c r="BG85" i="40"/>
  <c r="DF85" i="40" s="1"/>
  <c r="BJ85" i="40"/>
  <c r="DG85" i="40" s="1"/>
  <c r="BM85" i="40"/>
  <c r="DH85" i="40" s="1"/>
  <c r="F83" i="20"/>
  <c r="I83" i="20"/>
  <c r="G83" i="20" s="1"/>
  <c r="H83" i="20" s="1"/>
  <c r="J83" i="20"/>
  <c r="K83" i="20"/>
  <c r="M57" i="33"/>
  <c r="N57" i="33"/>
  <c r="AJ57" i="33"/>
  <c r="AK57" i="33"/>
  <c r="DB57" i="33" s="1"/>
  <c r="AL57" i="33"/>
  <c r="AG57" i="33"/>
  <c r="DZ56" i="31"/>
  <c r="DX56" i="31"/>
  <c r="DQ56" i="31"/>
  <c r="DI56" i="31"/>
  <c r="DA56" i="31"/>
  <c r="DC56" i="31"/>
  <c r="CZ56" i="31"/>
  <c r="BP56" i="31"/>
  <c r="CQ56" i="31" s="1"/>
  <c r="AY56" i="31"/>
  <c r="BD56" i="31"/>
  <c r="BJ56" i="31"/>
  <c r="BP85" i="40"/>
  <c r="P85" i="40"/>
  <c r="S85" i="40"/>
  <c r="V85" i="40"/>
  <c r="L85" i="40"/>
  <c r="R85" i="40" s="1"/>
  <c r="G85" i="40"/>
  <c r="T85" i="40" s="1"/>
  <c r="M56" i="31"/>
  <c r="N56" i="31"/>
  <c r="AI56" i="31"/>
  <c r="AL56" i="31"/>
  <c r="V56" i="31"/>
  <c r="X56" i="31"/>
  <c r="D36" i="51"/>
  <c r="A210" i="35" s="1"/>
  <c r="F63" i="51"/>
  <c r="G63" i="51"/>
  <c r="H63" i="51"/>
  <c r="U56" i="31" s="1"/>
  <c r="I63" i="51"/>
  <c r="CC56" i="31" s="1"/>
  <c r="J63" i="51"/>
  <c r="CD56" i="31" s="1"/>
  <c r="D63" i="51"/>
  <c r="A16" i="35" s="1"/>
  <c r="A63" i="51"/>
  <c r="T57" i="33"/>
  <c r="DX93" i="40" l="1"/>
  <c r="BH56" i="31"/>
  <c r="BI56" i="31" s="1"/>
  <c r="CL57" i="33"/>
  <c r="DX91" i="40"/>
  <c r="DX92" i="40"/>
  <c r="O56" i="31"/>
  <c r="AD32" i="31"/>
  <c r="AM57" i="33"/>
  <c r="DU32" i="31"/>
  <c r="DJ22" i="40"/>
  <c r="DJ7" i="40"/>
  <c r="DJ27" i="40"/>
  <c r="DJ23" i="40"/>
  <c r="DJ5" i="40"/>
  <c r="DJ4" i="40"/>
  <c r="DJ14" i="40"/>
  <c r="DJ26" i="40"/>
  <c r="DJ30" i="40"/>
  <c r="DJ21" i="40"/>
  <c r="DJ12" i="40"/>
  <c r="DJ11" i="40"/>
  <c r="DJ20" i="40"/>
  <c r="DJ8" i="40"/>
  <c r="DJ74" i="40"/>
  <c r="DJ71" i="40"/>
  <c r="DJ60" i="40"/>
  <c r="DJ63" i="40"/>
  <c r="DJ44" i="40"/>
  <c r="DJ59" i="40"/>
  <c r="DJ49" i="40"/>
  <c r="DJ41" i="40"/>
  <c r="DJ53" i="40"/>
  <c r="DJ77" i="40"/>
  <c r="DJ61" i="40"/>
  <c r="DJ56" i="40"/>
  <c r="AF32" i="31"/>
  <c r="AG32" i="31"/>
  <c r="CY62" i="40"/>
  <c r="DW62" i="40" s="1"/>
  <c r="AA33" i="33" s="1"/>
  <c r="AH32" i="31"/>
  <c r="Z33" i="33"/>
  <c r="C62" i="40"/>
  <c r="BZ32" i="31"/>
  <c r="BC56" i="31"/>
  <c r="R57" i="33"/>
  <c r="E56" i="31"/>
  <c r="V57" i="33"/>
  <c r="DB56" i="31"/>
  <c r="AA32" i="31"/>
  <c r="K81" i="51"/>
  <c r="S57" i="33"/>
  <c r="AE32" i="31"/>
  <c r="DV56" i="31"/>
  <c r="Y32" i="31"/>
  <c r="C33" i="33"/>
  <c r="AB56" i="31"/>
  <c r="CE57" i="33"/>
  <c r="BB33" i="33"/>
  <c r="AS33" i="33"/>
  <c r="AF33" i="33"/>
  <c r="DJ86" i="40"/>
  <c r="DJ48" i="40"/>
  <c r="DJ79" i="40"/>
  <c r="DJ75" i="40"/>
  <c r="DJ70" i="40"/>
  <c r="DJ80" i="40"/>
  <c r="DJ52" i="40"/>
  <c r="DJ42" i="40"/>
  <c r="DJ37" i="40"/>
  <c r="DJ50" i="40"/>
  <c r="DJ81" i="40"/>
  <c r="DJ55" i="40"/>
  <c r="DJ72" i="40"/>
  <c r="DJ45" i="40"/>
  <c r="DJ40" i="40"/>
  <c r="DJ67" i="40"/>
  <c r="AS32" i="31"/>
  <c r="Y62" i="40"/>
  <c r="BL32" i="31" s="1"/>
  <c r="DJ15" i="40"/>
  <c r="DJ31" i="40"/>
  <c r="DJ16" i="40"/>
  <c r="DJ25" i="40"/>
  <c r="DJ18" i="40"/>
  <c r="DJ6" i="40"/>
  <c r="AU33" i="33"/>
  <c r="CB33" i="33"/>
  <c r="BI33" i="33"/>
  <c r="BP33" i="33"/>
  <c r="BU33" i="33"/>
  <c r="W56" i="31"/>
  <c r="DJ39" i="40"/>
  <c r="DJ58" i="40"/>
  <c r="DJ83" i="40"/>
  <c r="DJ38" i="40"/>
  <c r="DJ66" i="40"/>
  <c r="DJ85" i="40"/>
  <c r="DJ46" i="40"/>
  <c r="DJ57" i="40"/>
  <c r="DJ29" i="40"/>
  <c r="DJ17" i="40"/>
  <c r="DJ9" i="40"/>
  <c r="DJ10" i="40"/>
  <c r="DJ13" i="40"/>
  <c r="DX42" i="40"/>
  <c r="DJ43" i="40"/>
  <c r="DX64" i="40"/>
  <c r="DJ76" i="40"/>
  <c r="DX74" i="40"/>
  <c r="DJ19" i="40"/>
  <c r="DJ32" i="40"/>
  <c r="DJ24" i="40"/>
  <c r="DJ78" i="40"/>
  <c r="DJ84" i="40"/>
  <c r="DJ73" i="40"/>
  <c r="BS1" i="40"/>
  <c r="DI85" i="40"/>
  <c r="J85" i="40"/>
  <c r="DX85" i="40" s="1"/>
  <c r="W85" i="40"/>
  <c r="I85" i="40"/>
  <c r="U85" i="40"/>
  <c r="DN56" i="31"/>
  <c r="AX57" i="33"/>
  <c r="BE57" i="33"/>
  <c r="DD56" i="31"/>
  <c r="AO57" i="33"/>
  <c r="CE56" i="31"/>
  <c r="DT56" i="31"/>
  <c r="BL57" i="33"/>
  <c r="BX57" i="33"/>
  <c r="AH57" i="33"/>
  <c r="CV56" i="31"/>
  <c r="CU56" i="31" s="1"/>
  <c r="F56" i="31"/>
  <c r="F55" i="36" s="1"/>
  <c r="Z56" i="31"/>
  <c r="EQ6" i="25"/>
  <c r="EQ8" i="25"/>
  <c r="EQ7" i="25"/>
  <c r="EQ9" i="25"/>
  <c r="EQ18" i="25"/>
  <c r="EQ15" i="25"/>
  <c r="EQ31" i="25"/>
  <c r="EQ20" i="25"/>
  <c r="EQ34" i="25"/>
  <c r="EQ40" i="25"/>
  <c r="EQ42" i="25"/>
  <c r="EQ47" i="25"/>
  <c r="EQ49" i="25"/>
  <c r="EQ54" i="25"/>
  <c r="EQ64" i="25"/>
  <c r="EQ67" i="25"/>
  <c r="EQ73" i="25"/>
  <c r="EQ76" i="25"/>
  <c r="BW32" i="31" l="1"/>
  <c r="BX32" i="31" s="1"/>
  <c r="DW32" i="31"/>
  <c r="AC32" i="31"/>
  <c r="AE33" i="33"/>
  <c r="BU56" i="31"/>
  <c r="EQ68" i="25"/>
  <c r="EQ63" i="25"/>
  <c r="EQ43" i="25"/>
  <c r="EQ28" i="25"/>
  <c r="EQ26" i="25"/>
  <c r="EQ25" i="25"/>
  <c r="EQ5" i="25"/>
  <c r="EQ70" i="25"/>
  <c r="EQ60" i="25"/>
  <c r="F57" i="33"/>
  <c r="AB33" i="33"/>
  <c r="AC33" i="33" s="1"/>
  <c r="AU32" i="31"/>
  <c r="BM32" i="31"/>
  <c r="M81" i="51"/>
  <c r="U57" i="33"/>
  <c r="CY57" i="33" s="1"/>
  <c r="EQ21" i="25"/>
  <c r="EQ12" i="25"/>
  <c r="EQ36" i="25"/>
  <c r="EQ50" i="25"/>
  <c r="EQ30" i="25"/>
  <c r="EQ66" i="25"/>
  <c r="EQ51" i="25"/>
  <c r="EQ46" i="25"/>
  <c r="EQ23" i="25"/>
  <c r="EQ69" i="25"/>
  <c r="EQ55" i="25"/>
  <c r="EQ16" i="25"/>
  <c r="EQ10" i="25"/>
  <c r="EQ74" i="25"/>
  <c r="EQ41" i="25"/>
  <c r="EQ38" i="25"/>
  <c r="EQ53" i="25"/>
  <c r="EQ77" i="25"/>
  <c r="EQ59" i="25"/>
  <c r="EQ45" i="25"/>
  <c r="EQ79" i="25"/>
  <c r="EQ57" i="25"/>
  <c r="EQ27" i="25"/>
  <c r="EQ19" i="25"/>
  <c r="EQ17" i="25"/>
  <c r="EQ52" i="25"/>
  <c r="EQ33" i="25"/>
  <c r="EQ32" i="25"/>
  <c r="CR32" i="31"/>
  <c r="CA32" i="31"/>
  <c r="DR32" i="31" s="1"/>
  <c r="DS32" i="31" s="1"/>
  <c r="DJ32" i="31"/>
  <c r="T56" i="31"/>
  <c r="C56" i="31"/>
  <c r="EQ65" i="25"/>
  <c r="EQ61" i="25"/>
  <c r="EQ48" i="25"/>
  <c r="EQ29" i="25"/>
  <c r="EQ62" i="25"/>
  <c r="EQ44" i="25"/>
  <c r="EQ78" i="25"/>
  <c r="EQ56" i="25"/>
  <c r="EQ39" i="25"/>
  <c r="EQ35" i="25"/>
  <c r="EQ11" i="25"/>
  <c r="EQ13" i="25"/>
  <c r="EQ72" i="25"/>
  <c r="EQ75" i="25"/>
  <c r="EQ71" i="25"/>
  <c r="EQ58" i="25"/>
  <c r="EQ37" i="25"/>
  <c r="EQ14" i="25"/>
  <c r="EQ22" i="25"/>
  <c r="X85" i="40"/>
  <c r="BT56" i="31" s="1"/>
  <c r="G57" i="33"/>
  <c r="BB57" i="33" l="1"/>
  <c r="AN33" i="33"/>
  <c r="D32" i="31"/>
  <c r="DY62" i="40" s="1"/>
  <c r="BY32" i="31"/>
  <c r="AD56" i="31"/>
  <c r="AD33" i="33"/>
  <c r="DU56" i="31"/>
  <c r="CB32" i="31"/>
  <c r="C57" i="33"/>
  <c r="BI57" i="33"/>
  <c r="AU57" i="33"/>
  <c r="CB57" i="33"/>
  <c r="AF57" i="33"/>
  <c r="BU57" i="33"/>
  <c r="AS57" i="33"/>
  <c r="AS56" i="31"/>
  <c r="K63" i="51"/>
  <c r="CY85" i="40"/>
  <c r="DW85" i="40" s="1"/>
  <c r="AA57" i="33" s="1"/>
  <c r="Y56" i="31"/>
  <c r="Z57" i="33"/>
  <c r="C85" i="40"/>
  <c r="BZ56" i="31"/>
  <c r="AH56" i="31"/>
  <c r="AG56" i="31"/>
  <c r="AF56" i="31"/>
  <c r="AE56" i="31"/>
  <c r="AA56" i="31"/>
  <c r="Y85" i="40"/>
  <c r="BL56" i="31" s="1"/>
  <c r="E33" i="33" l="1"/>
  <c r="CH32" i="31"/>
  <c r="CF32" i="31"/>
  <c r="CG32" i="31" s="1"/>
  <c r="BW56" i="31"/>
  <c r="BY56" i="31" s="1"/>
  <c r="DW56" i="31"/>
  <c r="AE57" i="33"/>
  <c r="AB57" i="33"/>
  <c r="AC57" i="33" s="1"/>
  <c r="AU56" i="31"/>
  <c r="M63" i="51"/>
  <c r="DJ56" i="31"/>
  <c r="CR56" i="31"/>
  <c r="CA56" i="31"/>
  <c r="DR56" i="31" s="1"/>
  <c r="DS56" i="31" s="1"/>
  <c r="BM56" i="31"/>
  <c r="AC56" i="31"/>
  <c r="AN57" i="33" l="1"/>
  <c r="CI32" i="31"/>
  <c r="BX56" i="31"/>
  <c r="D56" i="31"/>
  <c r="E57" i="33" s="1"/>
  <c r="CF56" i="31"/>
  <c r="CH56" i="31"/>
  <c r="CB56" i="31"/>
  <c r="AD57" i="33"/>
  <c r="V14" i="31"/>
  <c r="X14" i="31"/>
  <c r="V19" i="31"/>
  <c r="X19" i="31"/>
  <c r="V10" i="31"/>
  <c r="X10" i="31"/>
  <c r="V17" i="31"/>
  <c r="X17" i="31"/>
  <c r="V13" i="31"/>
  <c r="X13" i="31"/>
  <c r="V36" i="31"/>
  <c r="X36" i="31"/>
  <c r="V26" i="31"/>
  <c r="X26" i="31"/>
  <c r="V11" i="31"/>
  <c r="X11" i="31"/>
  <c r="V15" i="31"/>
  <c r="X15" i="31"/>
  <c r="V8" i="31"/>
  <c r="X8" i="31"/>
  <c r="V51" i="31"/>
  <c r="X51" i="31"/>
  <c r="V20" i="31"/>
  <c r="X20" i="31"/>
  <c r="V21" i="31"/>
  <c r="X21" i="31"/>
  <c r="V46" i="31"/>
  <c r="X46" i="31"/>
  <c r="V33" i="31"/>
  <c r="X33" i="31"/>
  <c r="V25" i="31"/>
  <c r="X25" i="31"/>
  <c r="V43" i="31"/>
  <c r="X43" i="31"/>
  <c r="V44" i="31"/>
  <c r="X44" i="31"/>
  <c r="V28" i="31"/>
  <c r="X28" i="31"/>
  <c r="V12" i="31"/>
  <c r="X12" i="31"/>
  <c r="V42" i="31"/>
  <c r="X42" i="31"/>
  <c r="V54" i="31"/>
  <c r="X54" i="31"/>
  <c r="V30" i="31"/>
  <c r="X30" i="31"/>
  <c r="V7" i="31"/>
  <c r="X7" i="31"/>
  <c r="V27" i="31"/>
  <c r="X27" i="31"/>
  <c r="V31" i="31"/>
  <c r="X31" i="31"/>
  <c r="V22" i="31"/>
  <c r="X22" i="31"/>
  <c r="V9" i="31"/>
  <c r="X9" i="31"/>
  <c r="V50" i="31"/>
  <c r="X50" i="31"/>
  <c r="V18" i="31"/>
  <c r="X18" i="31"/>
  <c r="V29" i="31"/>
  <c r="X29" i="31"/>
  <c r="V47" i="31"/>
  <c r="X47" i="31"/>
  <c r="V48" i="31"/>
  <c r="X48" i="31"/>
  <c r="V45" i="31"/>
  <c r="X45" i="31"/>
  <c r="V40" i="31"/>
  <c r="X40" i="31"/>
  <c r="V16" i="31"/>
  <c r="X16" i="31"/>
  <c r="V53" i="31"/>
  <c r="X53" i="31"/>
  <c r="V55" i="31"/>
  <c r="X55" i="31"/>
  <c r="V49" i="31"/>
  <c r="X49" i="31"/>
  <c r="V41" i="31"/>
  <c r="X41" i="31"/>
  <c r="V37" i="31"/>
  <c r="X37" i="31"/>
  <c r="V23" i="31"/>
  <c r="X23" i="31"/>
  <c r="V34" i="31"/>
  <c r="X34" i="31"/>
  <c r="AH75" i="33"/>
  <c r="CE75" i="33"/>
  <c r="BL75" i="33"/>
  <c r="AX75" i="33"/>
  <c r="F99" i="51"/>
  <c r="G99" i="51"/>
  <c r="H99" i="51"/>
  <c r="I99" i="51"/>
  <c r="AM75" i="33" s="1"/>
  <c r="J99" i="51"/>
  <c r="AO75" i="33" s="1"/>
  <c r="B96" i="40" s="1"/>
  <c r="A99" i="51"/>
  <c r="S75" i="33"/>
  <c r="T75" i="33"/>
  <c r="V75" i="33"/>
  <c r="AV32" i="49"/>
  <c r="AY32" i="49" s="1"/>
  <c r="H517" i="45"/>
  <c r="AK34" i="33"/>
  <c r="DB34" i="33" s="1"/>
  <c r="CL34" i="33" l="1"/>
  <c r="X37" i="36"/>
  <c r="X51" i="36"/>
  <c r="V7" i="36"/>
  <c r="X7" i="36"/>
  <c r="V51" i="36"/>
  <c r="X55" i="36"/>
  <c r="V55" i="36"/>
  <c r="X40" i="36"/>
  <c r="V36" i="36"/>
  <c r="X36" i="36"/>
  <c r="V40" i="36"/>
  <c r="V41" i="36"/>
  <c r="X41" i="36"/>
  <c r="V54" i="36"/>
  <c r="X46" i="36"/>
  <c r="V46" i="36"/>
  <c r="V45" i="36"/>
  <c r="X44" i="36"/>
  <c r="V38" i="36"/>
  <c r="X43" i="36"/>
  <c r="X54" i="36"/>
  <c r="X45" i="36"/>
  <c r="V37" i="36"/>
  <c r="X39" i="36"/>
  <c r="X38" i="36"/>
  <c r="X34" i="36"/>
  <c r="V44" i="36"/>
  <c r="V39" i="36"/>
  <c r="V34" i="36"/>
  <c r="V43" i="36"/>
  <c r="X29" i="36"/>
  <c r="V29" i="36"/>
  <c r="X31" i="36"/>
  <c r="V31" i="36"/>
  <c r="X28" i="36"/>
  <c r="X27" i="36"/>
  <c r="V28" i="36"/>
  <c r="V27" i="36"/>
  <c r="DY85" i="40"/>
  <c r="V48" i="36"/>
  <c r="X32" i="36"/>
  <c r="X48" i="36"/>
  <c r="X50" i="36"/>
  <c r="V50" i="36"/>
  <c r="X52" i="36"/>
  <c r="V52" i="36"/>
  <c r="V32" i="36"/>
  <c r="X30" i="36"/>
  <c r="X33" i="36"/>
  <c r="X35" i="36"/>
  <c r="V30" i="36"/>
  <c r="V33" i="36"/>
  <c r="V35" i="36"/>
  <c r="X53" i="36"/>
  <c r="X47" i="36"/>
  <c r="V53" i="36"/>
  <c r="V47" i="36"/>
  <c r="X49" i="36"/>
  <c r="V49" i="36"/>
  <c r="CG56" i="31"/>
  <c r="CI56" i="31"/>
  <c r="R75" i="33"/>
  <c r="U75" i="33"/>
  <c r="CY75" i="33" s="1"/>
  <c r="DY91" i="40"/>
  <c r="DY92" i="40"/>
  <c r="DY93" i="40"/>
  <c r="AL81" i="25"/>
  <c r="AM81" i="25"/>
  <c r="AL9" i="33"/>
  <c r="AL37" i="33"/>
  <c r="CI75" i="33" l="1"/>
  <c r="CP75" i="33"/>
  <c r="BI75" i="33"/>
  <c r="BP75" i="33"/>
  <c r="Z75" i="33"/>
  <c r="CB75" i="33"/>
  <c r="AU75" i="33"/>
  <c r="AS75" i="33"/>
  <c r="BU75" i="33"/>
  <c r="AF75" i="33"/>
  <c r="BB75" i="33"/>
  <c r="AL34" i="33"/>
  <c r="AJ34" i="33"/>
  <c r="BD15" i="31"/>
  <c r="BD14" i="31"/>
  <c r="BH14" i="31" s="1"/>
  <c r="BD10" i="31"/>
  <c r="BD26" i="31"/>
  <c r="BD13" i="31"/>
  <c r="BD17" i="31"/>
  <c r="BD36" i="31"/>
  <c r="BD8" i="31"/>
  <c r="BD11" i="31"/>
  <c r="BD20" i="31"/>
  <c r="BD51" i="31"/>
  <c r="BD21" i="31"/>
  <c r="BD25" i="31"/>
  <c r="BD22" i="31"/>
  <c r="BD46" i="31"/>
  <c r="BD42" i="31"/>
  <c r="BD28" i="31"/>
  <c r="BD12" i="31"/>
  <c r="BD44" i="31"/>
  <c r="BD43" i="31"/>
  <c r="BD7" i="31"/>
  <c r="BD47" i="31"/>
  <c r="BD18" i="31"/>
  <c r="BD50" i="31"/>
  <c r="BD48" i="31"/>
  <c r="BD9" i="31"/>
  <c r="BD40" i="31"/>
  <c r="BH40" i="31" s="1"/>
  <c r="BD30" i="31"/>
  <c r="BD31" i="31"/>
  <c r="BD27" i="31"/>
  <c r="BD33" i="31"/>
  <c r="BD16" i="31"/>
  <c r="BD54" i="31"/>
  <c r="BD29" i="31"/>
  <c r="BD49" i="31"/>
  <c r="BD53" i="31"/>
  <c r="BD55" i="31"/>
  <c r="BD41" i="31"/>
  <c r="BD37" i="31"/>
  <c r="BD19" i="31"/>
  <c r="BD34" i="31"/>
  <c r="BD24" i="31"/>
  <c r="BC34" i="1"/>
  <c r="BC12" i="1"/>
  <c r="BC27" i="1"/>
  <c r="BC7" i="1"/>
  <c r="BC33" i="1"/>
  <c r="BC22" i="1"/>
  <c r="BC16" i="1"/>
  <c r="BC10" i="1"/>
  <c r="BC32" i="1"/>
  <c r="BC28" i="1"/>
  <c r="BC11" i="1"/>
  <c r="BC21" i="1"/>
  <c r="BC35" i="1"/>
  <c r="BC8" i="1"/>
  <c r="BC26" i="1"/>
  <c r="BC23" i="1"/>
  <c r="BC18" i="1"/>
  <c r="BC13" i="1"/>
  <c r="BC20" i="1"/>
  <c r="BC24" i="1"/>
  <c r="BC15" i="1"/>
  <c r="BC19" i="1"/>
  <c r="BC30" i="1"/>
  <c r="BC17" i="1"/>
  <c r="BC9" i="1"/>
  <c r="BC14" i="1"/>
  <c r="BC29" i="1"/>
  <c r="BC25" i="1"/>
  <c r="H516" i="45"/>
  <c r="H515" i="45"/>
  <c r="EL4" i="25"/>
  <c r="DP2" i="31"/>
  <c r="DP2" i="36" s="1"/>
  <c r="DM2" i="31"/>
  <c r="DM2" i="36" s="1"/>
  <c r="DL2" i="31"/>
  <c r="DL2" i="36" s="1"/>
  <c r="DK2" i="31"/>
  <c r="DK2" i="36" s="1"/>
  <c r="DH2" i="31"/>
  <c r="DH2" i="36" s="1"/>
  <c r="DG2" i="31"/>
  <c r="DG2" i="36" s="1"/>
  <c r="DF2" i="31"/>
  <c r="DF2" i="36" s="1"/>
  <c r="DE2" i="31"/>
  <c r="DE2" i="36" s="1"/>
  <c r="P2" i="31"/>
  <c r="P2" i="36" s="1"/>
  <c r="AV49" i="49"/>
  <c r="AY49" i="49" s="1"/>
  <c r="C96" i="40" l="1"/>
  <c r="CY96" i="40"/>
  <c r="DW96" i="40" s="1"/>
  <c r="AA75" i="33" s="1"/>
  <c r="BD7" i="36"/>
  <c r="BD10" i="36"/>
  <c r="BD14" i="36"/>
  <c r="BD41" i="36"/>
  <c r="BD55" i="36"/>
  <c r="BD8" i="36"/>
  <c r="BD25" i="36"/>
  <c r="BD44" i="36"/>
  <c r="BD43" i="36"/>
  <c r="BD12" i="36"/>
  <c r="BD11" i="36"/>
  <c r="BD9" i="36"/>
  <c r="BD23" i="36"/>
  <c r="BD38" i="36"/>
  <c r="BD13" i="36"/>
  <c r="BD30" i="36"/>
  <c r="BD22" i="36"/>
  <c r="BD26" i="36"/>
  <c r="BD19" i="36"/>
  <c r="BD15" i="36"/>
  <c r="BD35" i="36"/>
  <c r="BD16" i="36"/>
  <c r="BD46" i="36"/>
  <c r="BD17" i="36"/>
  <c r="BD40" i="36"/>
  <c r="BD37" i="36"/>
  <c r="BD54" i="36"/>
  <c r="BD47" i="36"/>
  <c r="BD51" i="36"/>
  <c r="BD39" i="36"/>
  <c r="BD42" i="36"/>
  <c r="BD18" i="36"/>
  <c r="BD20" i="36"/>
  <c r="BD45" i="36"/>
  <c r="BD36" i="36"/>
  <c r="BD21" i="36"/>
  <c r="BD32" i="36"/>
  <c r="BD28" i="36"/>
  <c r="BD27" i="36"/>
  <c r="BD33" i="36"/>
  <c r="BD34" i="36"/>
  <c r="BD29" i="36"/>
  <c r="BD50" i="36"/>
  <c r="BD53" i="36"/>
  <c r="BD52" i="36"/>
  <c r="BD49" i="36"/>
  <c r="BD48" i="36"/>
  <c r="BD24" i="36"/>
  <c r="BD31" i="36"/>
  <c r="Y76" i="31"/>
  <c r="AD76" i="31"/>
  <c r="K99" i="51"/>
  <c r="M99" i="51"/>
  <c r="EI84" i="25"/>
  <c r="EI81" i="25"/>
  <c r="AQ62" i="31"/>
  <c r="AM62" i="31"/>
  <c r="AN62" i="31"/>
  <c r="F513" i="45"/>
  <c r="E513" i="45" s="1"/>
  <c r="H513" i="45"/>
  <c r="I513" i="45"/>
  <c r="H514" i="45"/>
  <c r="AO73" i="40" l="1"/>
  <c r="CE73" i="40" s="1"/>
  <c r="AO63" i="40"/>
  <c r="CE63" i="40" s="1"/>
  <c r="AO59" i="40"/>
  <c r="CE59" i="40" s="1"/>
  <c r="AO75" i="40"/>
  <c r="CE75" i="40" s="1"/>
  <c r="AO70" i="40"/>
  <c r="CE70" i="40" s="1"/>
  <c r="AO60" i="40"/>
  <c r="CE60" i="40" s="1"/>
  <c r="AO78" i="40"/>
  <c r="CE78" i="40" s="1"/>
  <c r="AO72" i="40"/>
  <c r="CE72" i="40" s="1"/>
  <c r="AO81" i="40"/>
  <c r="CE81" i="40" s="1"/>
  <c r="AO66" i="40"/>
  <c r="CE66" i="40" s="1"/>
  <c r="AO14" i="40"/>
  <c r="CE14" i="40" s="1"/>
  <c r="AO54" i="40"/>
  <c r="CE54" i="40" s="1"/>
  <c r="AO49" i="40"/>
  <c r="CE49" i="40" s="1"/>
  <c r="AO64" i="40"/>
  <c r="CE64" i="40" s="1"/>
  <c r="AO47" i="40"/>
  <c r="CE47" i="40" s="1"/>
  <c r="AO53" i="40"/>
  <c r="CE53" i="40" s="1"/>
  <c r="AO45" i="40"/>
  <c r="CE45" i="40" s="1"/>
  <c r="AO44" i="40"/>
  <c r="CE44" i="40" s="1"/>
  <c r="AO38" i="40"/>
  <c r="CE38" i="40" s="1"/>
  <c r="AO56" i="40"/>
  <c r="CE56" i="40" s="1"/>
  <c r="AO43" i="40"/>
  <c r="CE43" i="40" s="1"/>
  <c r="AO40" i="40"/>
  <c r="CE40" i="40" s="1"/>
  <c r="AO50" i="40"/>
  <c r="CE50" i="40" s="1"/>
  <c r="AO42" i="40"/>
  <c r="CE42" i="40" s="1"/>
  <c r="AO41" i="40"/>
  <c r="CE41" i="40" s="1"/>
  <c r="AO51" i="40"/>
  <c r="CE51" i="40" s="1"/>
  <c r="AO58" i="40"/>
  <c r="CE58" i="40" s="1"/>
  <c r="AO52" i="40"/>
  <c r="CE52" i="40" s="1"/>
  <c r="AO55" i="40"/>
  <c r="CE55" i="40" s="1"/>
  <c r="AO74" i="40"/>
  <c r="CE74" i="40" s="1"/>
  <c r="AO76" i="40"/>
  <c r="CE76" i="40" s="1"/>
  <c r="AO80" i="40"/>
  <c r="CE80" i="40" s="1"/>
  <c r="AO37" i="40"/>
  <c r="CE37" i="40" s="1"/>
  <c r="AO48" i="40"/>
  <c r="CE48" i="40" s="1"/>
  <c r="AO46" i="40"/>
  <c r="CE46" i="40" s="1"/>
  <c r="AO39" i="40"/>
  <c r="CE39" i="40" s="1"/>
  <c r="AO57" i="40"/>
  <c r="CE57" i="40" s="1"/>
  <c r="AO61" i="40"/>
  <c r="CE61" i="40" s="1"/>
  <c r="AO84" i="40"/>
  <c r="CE84" i="40" s="1"/>
  <c r="AO79" i="40"/>
  <c r="CE79" i="40" s="1"/>
  <c r="AO83" i="40"/>
  <c r="CE83" i="40" s="1"/>
  <c r="AO86" i="40"/>
  <c r="CE86" i="40" s="1"/>
  <c r="AO71" i="40"/>
  <c r="CE71" i="40" s="1"/>
  <c r="AO67" i="40"/>
  <c r="CE67" i="40" s="1"/>
  <c r="AO15" i="40"/>
  <c r="CE15" i="40" s="1"/>
  <c r="AO29" i="40"/>
  <c r="CE29" i="40" s="1"/>
  <c r="AO25" i="40"/>
  <c r="CE25" i="40" s="1"/>
  <c r="AO7" i="40"/>
  <c r="CE7" i="40" s="1"/>
  <c r="AO8" i="40"/>
  <c r="CE8" i="40" s="1"/>
  <c r="AO19" i="40"/>
  <c r="CE19" i="40" s="1"/>
  <c r="AO13" i="40"/>
  <c r="CE13" i="40" s="1"/>
  <c r="AO30" i="40"/>
  <c r="CE30" i="40" s="1"/>
  <c r="AO26" i="40"/>
  <c r="CE26" i="40" s="1"/>
  <c r="AO24" i="40"/>
  <c r="CE24" i="40" s="1"/>
  <c r="AO27" i="40"/>
  <c r="CE27" i="40" s="1"/>
  <c r="AO20" i="40"/>
  <c r="CE20" i="40" s="1"/>
  <c r="AO10" i="40"/>
  <c r="CE10" i="40" s="1"/>
  <c r="AO6" i="40"/>
  <c r="CE6" i="40" s="1"/>
  <c r="AO21" i="40"/>
  <c r="CE21" i="40" s="1"/>
  <c r="AO4" i="40"/>
  <c r="CE4" i="40" s="1"/>
  <c r="AO31" i="40"/>
  <c r="CE31" i="40" s="1"/>
  <c r="AO9" i="40"/>
  <c r="CE9" i="40" s="1"/>
  <c r="AO16" i="40"/>
  <c r="CE16" i="40" s="1"/>
  <c r="AO11" i="40"/>
  <c r="CE11" i="40" s="1"/>
  <c r="AO32" i="40"/>
  <c r="CE32" i="40" s="1"/>
  <c r="AO5" i="40"/>
  <c r="CE5" i="40" s="1"/>
  <c r="AO23" i="40"/>
  <c r="CE23" i="40" s="1"/>
  <c r="AO18" i="40"/>
  <c r="CE18" i="40" s="1"/>
  <c r="AO17" i="40"/>
  <c r="CE17" i="40" s="1"/>
  <c r="AO12" i="40"/>
  <c r="CE12" i="40" s="1"/>
  <c r="AO22" i="40"/>
  <c r="CE22" i="40" s="1"/>
  <c r="M1" i="54"/>
  <c r="N1" i="54"/>
  <c r="M3" i="54"/>
  <c r="N3" i="54"/>
  <c r="M4" i="54"/>
  <c r="N4" i="54"/>
  <c r="M5" i="54"/>
  <c r="N5" i="54"/>
  <c r="I93" i="40"/>
  <c r="CZ54" i="40"/>
  <c r="CZ53" i="40"/>
  <c r="CZ49" i="40"/>
  <c r="CZ44" i="40"/>
  <c r="CZ64" i="40"/>
  <c r="CZ45" i="40"/>
  <c r="CZ47" i="40"/>
  <c r="CZ38" i="40"/>
  <c r="CZ56" i="40"/>
  <c r="CZ43" i="40"/>
  <c r="CZ40" i="40"/>
  <c r="CZ66" i="40"/>
  <c r="CZ74" i="40"/>
  <c r="CZ50" i="40"/>
  <c r="CZ52" i="40"/>
  <c r="CZ55" i="40"/>
  <c r="CZ58" i="40"/>
  <c r="CZ41" i="40"/>
  <c r="CZ81" i="40"/>
  <c r="CZ42" i="40"/>
  <c r="CZ51" i="40"/>
  <c r="CZ72" i="40"/>
  <c r="CZ73" i="40"/>
  <c r="CZ80" i="40"/>
  <c r="CZ77" i="40"/>
  <c r="CZ76" i="40"/>
  <c r="CZ37" i="40"/>
  <c r="CZ39" i="40"/>
  <c r="CZ63" i="40"/>
  <c r="CZ46" i="40"/>
  <c r="CZ48" i="40"/>
  <c r="CZ78" i="40"/>
  <c r="CZ60" i="40"/>
  <c r="CZ70" i="40"/>
  <c r="CZ57" i="40"/>
  <c r="CZ61" i="40"/>
  <c r="CZ75" i="40"/>
  <c r="CZ84" i="40"/>
  <c r="CZ59" i="40"/>
  <c r="CZ79" i="40"/>
  <c r="CZ83" i="40"/>
  <c r="CZ86" i="40"/>
  <c r="CZ71" i="40"/>
  <c r="CZ67" i="40"/>
  <c r="CX1" i="40"/>
  <c r="CF28" i="40" l="1"/>
  <c r="CF68" i="40"/>
  <c r="CF48" i="40"/>
  <c r="CF5" i="40"/>
  <c r="CF23" i="40"/>
  <c r="CF73" i="40"/>
  <c r="CF63" i="40"/>
  <c r="CF59" i="40"/>
  <c r="CF75" i="40"/>
  <c r="CF70" i="40"/>
  <c r="CF60" i="40"/>
  <c r="CF78" i="40"/>
  <c r="CF72" i="40"/>
  <c r="CF81" i="40"/>
  <c r="CF66" i="40"/>
  <c r="CF14" i="40"/>
  <c r="CF54" i="40"/>
  <c r="CF58" i="40"/>
  <c r="CF55" i="40"/>
  <c r="CF76" i="40"/>
  <c r="CF37" i="40"/>
  <c r="CF49" i="40"/>
  <c r="CF64" i="40"/>
  <c r="CF47" i="40"/>
  <c r="CF45" i="40"/>
  <c r="CF44" i="40"/>
  <c r="CF38" i="40"/>
  <c r="CF56" i="40"/>
  <c r="CF43" i="40"/>
  <c r="CF40" i="40"/>
  <c r="CF50" i="40"/>
  <c r="CF42" i="40"/>
  <c r="CF41" i="40"/>
  <c r="CF51" i="40"/>
  <c r="CF52" i="40"/>
  <c r="CF74" i="40"/>
  <c r="CF80" i="40"/>
  <c r="CF46" i="40"/>
  <c r="CF39" i="40"/>
  <c r="CF57" i="40"/>
  <c r="CF61" i="40"/>
  <c r="CF84" i="40"/>
  <c r="CF79" i="40"/>
  <c r="CF83" i="40"/>
  <c r="CF86" i="40"/>
  <c r="CF71" i="40"/>
  <c r="CF67" i="40"/>
  <c r="CF21" i="40"/>
  <c r="CF31" i="40"/>
  <c r="CF16" i="40"/>
  <c r="CF32" i="40"/>
  <c r="CF15" i="40"/>
  <c r="CF29" i="40"/>
  <c r="CF25" i="40"/>
  <c r="CF7" i="40"/>
  <c r="CF8" i="40"/>
  <c r="CF19" i="40"/>
  <c r="CF13" i="40"/>
  <c r="CF30" i="40"/>
  <c r="CF26" i="40"/>
  <c r="CF24" i="40"/>
  <c r="CF27" i="40"/>
  <c r="CF20" i="40"/>
  <c r="CF10" i="40"/>
  <c r="CF6" i="40"/>
  <c r="CF4" i="40"/>
  <c r="CF9" i="40"/>
  <c r="CF11" i="40"/>
  <c r="CF18" i="40"/>
  <c r="CF17" i="40"/>
  <c r="CF12" i="40"/>
  <c r="CF22" i="40"/>
  <c r="CF69" i="40"/>
  <c r="CF65" i="40"/>
  <c r="CF77" i="40"/>
  <c r="CF82" i="40"/>
  <c r="CF62" i="40"/>
  <c r="CF85" i="40"/>
  <c r="CF53" i="40"/>
  <c r="BY1" i="40"/>
  <c r="CW90" i="40"/>
  <c r="CW87" i="40"/>
  <c r="DU33" i="40"/>
  <c r="DU36" i="40"/>
  <c r="M25" i="33" l="1"/>
  <c r="N25" i="33"/>
  <c r="M24" i="33"/>
  <c r="N24" i="33"/>
  <c r="M20" i="33"/>
  <c r="N20" i="33"/>
  <c r="M15" i="33"/>
  <c r="N15" i="33"/>
  <c r="M35" i="33"/>
  <c r="N35" i="33"/>
  <c r="M16" i="33"/>
  <c r="N16" i="33"/>
  <c r="M18" i="33"/>
  <c r="N18" i="33"/>
  <c r="M9" i="33"/>
  <c r="N9" i="33"/>
  <c r="M27" i="33"/>
  <c r="N27" i="33"/>
  <c r="M11" i="33"/>
  <c r="N11" i="33"/>
  <c r="M14" i="33"/>
  <c r="N14" i="33"/>
  <c r="M37" i="33"/>
  <c r="N37" i="33"/>
  <c r="M21" i="33"/>
  <c r="N21" i="33"/>
  <c r="M12" i="33"/>
  <c r="N12" i="33"/>
  <c r="M13" i="33"/>
  <c r="N13" i="33"/>
  <c r="M26" i="33"/>
  <c r="N26" i="33"/>
  <c r="M23" i="33"/>
  <c r="N23" i="33"/>
  <c r="M29" i="33"/>
  <c r="N29" i="33"/>
  <c r="M52" i="33"/>
  <c r="N52" i="33"/>
  <c r="M22" i="33"/>
  <c r="N22" i="33"/>
  <c r="M45" i="33"/>
  <c r="N45" i="33"/>
  <c r="M43" i="33"/>
  <c r="N43" i="33"/>
  <c r="M44" i="33"/>
  <c r="N44" i="33"/>
  <c r="M51" i="33"/>
  <c r="N51" i="33"/>
  <c r="M48" i="33"/>
  <c r="N48" i="33"/>
  <c r="M47" i="33"/>
  <c r="N47" i="33"/>
  <c r="M8" i="33"/>
  <c r="N8" i="33"/>
  <c r="M49" i="33"/>
  <c r="N49" i="33"/>
  <c r="M34" i="33"/>
  <c r="N34" i="33"/>
  <c r="M19" i="33"/>
  <c r="N19" i="33"/>
  <c r="M10" i="33"/>
  <c r="N10" i="33"/>
  <c r="M17" i="33"/>
  <c r="N17" i="33"/>
  <c r="M31" i="33"/>
  <c r="N31" i="33"/>
  <c r="M41" i="33"/>
  <c r="N41" i="33"/>
  <c r="M28" i="33"/>
  <c r="N28" i="33"/>
  <c r="M32" i="33"/>
  <c r="N32" i="33"/>
  <c r="M46" i="33"/>
  <c r="N46" i="33"/>
  <c r="M55" i="33"/>
  <c r="N55" i="33"/>
  <c r="M30" i="33"/>
  <c r="N30" i="33"/>
  <c r="M50" i="33"/>
  <c r="N50" i="33"/>
  <c r="M56" i="33"/>
  <c r="N56" i="33"/>
  <c r="M54" i="33"/>
  <c r="N54" i="33"/>
  <c r="M42" i="33"/>
  <c r="N42" i="33"/>
  <c r="N38" i="33"/>
  <c r="M38" i="33"/>
  <c r="M24" i="31"/>
  <c r="N24" i="31"/>
  <c r="M23" i="31"/>
  <c r="N23" i="31"/>
  <c r="M19" i="31"/>
  <c r="N19" i="31"/>
  <c r="M14" i="31"/>
  <c r="N14" i="31"/>
  <c r="M34" i="31"/>
  <c r="N34" i="31"/>
  <c r="M15" i="31"/>
  <c r="N15" i="31"/>
  <c r="M17" i="31"/>
  <c r="N17" i="31"/>
  <c r="M8" i="31"/>
  <c r="N8" i="31"/>
  <c r="M26" i="31"/>
  <c r="N26" i="31"/>
  <c r="M10" i="31"/>
  <c r="N10" i="31"/>
  <c r="M13" i="31"/>
  <c r="N13" i="31"/>
  <c r="M36" i="31"/>
  <c r="N36" i="31"/>
  <c r="M20" i="31"/>
  <c r="N20" i="31"/>
  <c r="M11" i="31"/>
  <c r="N11" i="31"/>
  <c r="M12" i="31"/>
  <c r="N12" i="31"/>
  <c r="M25" i="31"/>
  <c r="N25" i="31"/>
  <c r="M22" i="31"/>
  <c r="N22" i="31"/>
  <c r="M28" i="31"/>
  <c r="N28" i="31"/>
  <c r="M51" i="31"/>
  <c r="N51" i="31"/>
  <c r="M21" i="31"/>
  <c r="N21" i="31"/>
  <c r="M44" i="31"/>
  <c r="N44" i="31"/>
  <c r="M42" i="31"/>
  <c r="N42" i="31"/>
  <c r="M43" i="31"/>
  <c r="N43" i="31"/>
  <c r="M50" i="31"/>
  <c r="N50" i="31"/>
  <c r="M47" i="31"/>
  <c r="N47" i="31"/>
  <c r="M46" i="31"/>
  <c r="N46" i="31"/>
  <c r="M7" i="31"/>
  <c r="N7" i="31"/>
  <c r="M48" i="31"/>
  <c r="N48" i="31"/>
  <c r="M33" i="31"/>
  <c r="N33" i="31"/>
  <c r="M18" i="31"/>
  <c r="N18" i="31"/>
  <c r="M9" i="31"/>
  <c r="N9" i="31"/>
  <c r="M16" i="31"/>
  <c r="N16" i="31"/>
  <c r="M30" i="31"/>
  <c r="N30" i="31"/>
  <c r="M40" i="31"/>
  <c r="N40" i="31"/>
  <c r="M27" i="31"/>
  <c r="N27" i="31"/>
  <c r="M31" i="31"/>
  <c r="N31" i="31"/>
  <c r="M45" i="31"/>
  <c r="N45" i="31"/>
  <c r="M54" i="31"/>
  <c r="N54" i="31"/>
  <c r="M29" i="31"/>
  <c r="N29" i="31"/>
  <c r="M49" i="31"/>
  <c r="N49" i="31"/>
  <c r="M55" i="31"/>
  <c r="N55" i="31"/>
  <c r="M53" i="31"/>
  <c r="N53" i="31"/>
  <c r="M41" i="31"/>
  <c r="N41" i="31"/>
  <c r="N37" i="31"/>
  <c r="M37" i="31"/>
  <c r="L36" i="26"/>
  <c r="L13" i="26"/>
  <c r="L27" i="26"/>
  <c r="L9" i="26"/>
  <c r="L20" i="26"/>
  <c r="L21" i="26"/>
  <c r="L16" i="26"/>
  <c r="L19" i="26"/>
  <c r="L18" i="26"/>
  <c r="L24" i="26"/>
  <c r="L15" i="26"/>
  <c r="L14" i="26"/>
  <c r="L25" i="26"/>
  <c r="L35" i="26"/>
  <c r="L10" i="26"/>
  <c r="L28" i="26"/>
  <c r="L31" i="26"/>
  <c r="L34" i="26"/>
  <c r="L8" i="26"/>
  <c r="L30" i="26"/>
  <c r="L17" i="26"/>
  <c r="L23" i="26"/>
  <c r="L11" i="26"/>
  <c r="L12" i="26"/>
  <c r="L29" i="26"/>
  <c r="L33" i="26"/>
  <c r="L22" i="26"/>
  <c r="L26" i="26"/>
  <c r="M31" i="26"/>
  <c r="M34" i="26"/>
  <c r="M8" i="26"/>
  <c r="M30" i="26"/>
  <c r="M17" i="26"/>
  <c r="M23" i="26"/>
  <c r="M11" i="26"/>
  <c r="M12" i="26"/>
  <c r="M29" i="26"/>
  <c r="M33" i="26"/>
  <c r="M22" i="26"/>
  <c r="M36" i="26"/>
  <c r="M13" i="26"/>
  <c r="M27" i="26"/>
  <c r="M9" i="26"/>
  <c r="M20" i="26"/>
  <c r="M21" i="26"/>
  <c r="M16" i="26"/>
  <c r="M19" i="26"/>
  <c r="M18" i="26"/>
  <c r="M24" i="26"/>
  <c r="M15" i="26"/>
  <c r="M14" i="26"/>
  <c r="M25" i="26"/>
  <c r="M35" i="26"/>
  <c r="M10" i="26"/>
  <c r="M28" i="26"/>
  <c r="M26" i="26"/>
  <c r="N20" i="1"/>
  <c r="N19" i="1"/>
  <c r="N15" i="1"/>
  <c r="N18" i="1"/>
  <c r="N17" i="1"/>
  <c r="N23" i="1"/>
  <c r="N14" i="1"/>
  <c r="N13" i="1"/>
  <c r="N24" i="1"/>
  <c r="N9" i="1"/>
  <c r="N34" i="1"/>
  <c r="N7" i="1"/>
  <c r="N27" i="1"/>
  <c r="N30" i="1"/>
  <c r="N33" i="1"/>
  <c r="N29" i="1"/>
  <c r="N16" i="1"/>
  <c r="N22" i="1"/>
  <c r="N10" i="1"/>
  <c r="N11" i="1"/>
  <c r="N28" i="1"/>
  <c r="N32" i="1"/>
  <c r="N21" i="1"/>
  <c r="N35" i="1"/>
  <c r="N12" i="1"/>
  <c r="N26" i="1"/>
  <c r="N8" i="1"/>
  <c r="N25" i="1"/>
  <c r="M35" i="1"/>
  <c r="M12" i="1"/>
  <c r="M26" i="1"/>
  <c r="M8" i="1"/>
  <c r="M20" i="1"/>
  <c r="M19" i="1"/>
  <c r="M15" i="1"/>
  <c r="M18" i="1"/>
  <c r="M17" i="1"/>
  <c r="M23" i="1"/>
  <c r="M14" i="1"/>
  <c r="M13" i="1"/>
  <c r="M24" i="1"/>
  <c r="M9" i="1"/>
  <c r="M34" i="1"/>
  <c r="M7" i="1"/>
  <c r="M27" i="1"/>
  <c r="M30" i="1"/>
  <c r="M33" i="1"/>
  <c r="M29" i="1"/>
  <c r="M16" i="1"/>
  <c r="M22" i="1"/>
  <c r="M10" i="1"/>
  <c r="M11" i="1"/>
  <c r="M28" i="1"/>
  <c r="M32" i="1"/>
  <c r="M21" i="1"/>
  <c r="M25" i="1"/>
  <c r="BP93" i="40"/>
  <c r="BP32" i="40"/>
  <c r="BP11" i="40"/>
  <c r="BP30" i="40"/>
  <c r="BP23" i="40"/>
  <c r="BP5" i="40"/>
  <c r="BP18" i="40"/>
  <c r="BP19" i="40"/>
  <c r="BP10" i="40"/>
  <c r="BP16" i="40"/>
  <c r="BP20" i="40"/>
  <c r="BP17" i="40"/>
  <c r="BP6" i="40"/>
  <c r="BP12" i="40"/>
  <c r="BP4" i="40"/>
  <c r="BP21" i="40"/>
  <c r="BP31" i="40"/>
  <c r="BP27" i="40"/>
  <c r="BP14" i="40"/>
  <c r="BP9" i="40"/>
  <c r="BP26" i="40"/>
  <c r="BP24" i="40"/>
  <c r="BP13" i="40"/>
  <c r="BP7" i="40"/>
  <c r="BP8" i="40"/>
  <c r="BP25" i="40"/>
  <c r="BP29" i="40"/>
  <c r="BP15" i="40"/>
  <c r="BP67" i="40"/>
  <c r="BP54" i="40"/>
  <c r="BP53" i="40"/>
  <c r="BP64" i="40"/>
  <c r="BP44" i="40"/>
  <c r="BP49" i="40"/>
  <c r="BP47" i="40"/>
  <c r="BP38" i="40"/>
  <c r="BP43" i="40"/>
  <c r="BP66" i="40"/>
  <c r="BP45" i="40"/>
  <c r="BP40" i="40"/>
  <c r="BP41" i="40"/>
  <c r="BP52" i="40"/>
  <c r="BP74" i="40"/>
  <c r="BP50" i="40"/>
  <c r="BP55" i="40"/>
  <c r="BP58" i="40"/>
  <c r="BP51" i="40"/>
  <c r="BP81" i="40"/>
  <c r="BP73" i="40"/>
  <c r="BP72" i="40"/>
  <c r="BP42" i="40"/>
  <c r="BP80" i="40"/>
  <c r="BP76" i="40"/>
  <c r="BP77" i="40"/>
  <c r="BP37" i="40"/>
  <c r="BP63" i="40"/>
  <c r="BP46" i="40"/>
  <c r="BP39" i="40"/>
  <c r="BP78" i="40"/>
  <c r="BP48" i="40"/>
  <c r="BP60" i="40"/>
  <c r="BP70" i="40"/>
  <c r="BP57" i="40"/>
  <c r="BP61" i="40"/>
  <c r="BP75" i="40"/>
  <c r="BP79" i="40"/>
  <c r="BP59" i="40"/>
  <c r="BP84" i="40"/>
  <c r="BP86" i="40"/>
  <c r="BP83" i="40"/>
  <c r="BP71" i="40"/>
  <c r="BP56" i="40"/>
  <c r="BP91" i="40"/>
  <c r="BP92" i="40"/>
  <c r="BP22" i="40"/>
  <c r="M7" i="36" l="1"/>
  <c r="N7" i="36"/>
  <c r="N8" i="36"/>
  <c r="N55" i="36"/>
  <c r="M55" i="36"/>
  <c r="M8" i="36"/>
  <c r="M10" i="36"/>
  <c r="M9" i="36"/>
  <c r="N10" i="36"/>
  <c r="M11" i="36"/>
  <c r="N11" i="36"/>
  <c r="N9" i="36"/>
  <c r="M13" i="36"/>
  <c r="N13" i="36"/>
  <c r="N39" i="36"/>
  <c r="N21" i="36"/>
  <c r="M42" i="36"/>
  <c r="M22" i="36"/>
  <c r="M15" i="36"/>
  <c r="M39" i="36"/>
  <c r="M26" i="36"/>
  <c r="N26" i="36"/>
  <c r="N22" i="36"/>
  <c r="N15" i="36"/>
  <c r="M51" i="36"/>
  <c r="M21" i="36"/>
  <c r="M46" i="36"/>
  <c r="M35" i="36"/>
  <c r="M17" i="36"/>
  <c r="N12" i="36"/>
  <c r="M12" i="36"/>
  <c r="N16" i="36"/>
  <c r="M16" i="36"/>
  <c r="N25" i="36"/>
  <c r="N14" i="36"/>
  <c r="M25" i="36"/>
  <c r="M14" i="36"/>
  <c r="N46" i="36"/>
  <c r="N35" i="36"/>
  <c r="N17" i="36"/>
  <c r="M38" i="36"/>
  <c r="M19" i="36"/>
  <c r="M41" i="36"/>
  <c r="M37" i="36"/>
  <c r="M54" i="36"/>
  <c r="M45" i="36"/>
  <c r="N45" i="36"/>
  <c r="N36" i="36"/>
  <c r="N18" i="36"/>
  <c r="N43" i="36"/>
  <c r="N37" i="36"/>
  <c r="N42" i="36"/>
  <c r="N47" i="36"/>
  <c r="N51" i="36"/>
  <c r="M36" i="36"/>
  <c r="M18" i="36"/>
  <c r="N54" i="36"/>
  <c r="N44" i="36"/>
  <c r="N40" i="36"/>
  <c r="M44" i="36"/>
  <c r="M40" i="36"/>
  <c r="M43" i="36"/>
  <c r="N20" i="36"/>
  <c r="M20" i="36"/>
  <c r="N41" i="36"/>
  <c r="N38" i="36"/>
  <c r="N19" i="36"/>
  <c r="N31" i="36"/>
  <c r="N32" i="36"/>
  <c r="M47" i="36"/>
  <c r="N53" i="36"/>
  <c r="M30" i="36"/>
  <c r="M32" i="36"/>
  <c r="M50" i="36"/>
  <c r="M24" i="36"/>
  <c r="N23" i="36"/>
  <c r="M53" i="36"/>
  <c r="N49" i="36"/>
  <c r="M49" i="36"/>
  <c r="M31" i="36"/>
  <c r="N52" i="36"/>
  <c r="N33" i="36"/>
  <c r="N34" i="36"/>
  <c r="N24" i="36"/>
  <c r="M52" i="36"/>
  <c r="M33" i="36"/>
  <c r="M34" i="36"/>
  <c r="N50" i="36"/>
  <c r="N28" i="36"/>
  <c r="N27" i="36"/>
  <c r="N29" i="36"/>
  <c r="M28" i="36"/>
  <c r="M27" i="36"/>
  <c r="M29" i="36"/>
  <c r="N30" i="36"/>
  <c r="N48" i="36"/>
  <c r="M48" i="36"/>
  <c r="M23" i="36"/>
  <c r="N7" i="54"/>
  <c r="DI61" i="40"/>
  <c r="DI58" i="40"/>
  <c r="DI71" i="40"/>
  <c r="DI70" i="40"/>
  <c r="DI77" i="40"/>
  <c r="DI50" i="40"/>
  <c r="DI47" i="40"/>
  <c r="DI86" i="40"/>
  <c r="DI60" i="40"/>
  <c r="DI80" i="40"/>
  <c r="DI52" i="40"/>
  <c r="DI44" i="40"/>
  <c r="DI59" i="40"/>
  <c r="DI79" i="40"/>
  <c r="DI66" i="40"/>
  <c r="DI56" i="40"/>
  <c r="DI57" i="40"/>
  <c r="DI55" i="40"/>
  <c r="DI38" i="40"/>
  <c r="DI83" i="40"/>
  <c r="DI76" i="40"/>
  <c r="DI74" i="40"/>
  <c r="DI49" i="40"/>
  <c r="DI64" i="40"/>
  <c r="DI48" i="40"/>
  <c r="DI42" i="40"/>
  <c r="DI84" i="40"/>
  <c r="DI72" i="40"/>
  <c r="DI40" i="40"/>
  <c r="DI75" i="40"/>
  <c r="DI63" i="40"/>
  <c r="DI51" i="40"/>
  <c r="DI43" i="40"/>
  <c r="DI46" i="40"/>
  <c r="DI81" i="40"/>
  <c r="DI67" i="40"/>
  <c r="DI37" i="40"/>
  <c r="DI8" i="40"/>
  <c r="DI4" i="40"/>
  <c r="DI23" i="40"/>
  <c r="DI13" i="40"/>
  <c r="DI26" i="40"/>
  <c r="DI10" i="40"/>
  <c r="DI7" i="40"/>
  <c r="DI22" i="40"/>
  <c r="DI15" i="40"/>
  <c r="DI27" i="40"/>
  <c r="DI19" i="40"/>
  <c r="DI24" i="40"/>
  <c r="DI20" i="40"/>
  <c r="DI9" i="40"/>
  <c r="DI16" i="40"/>
  <c r="DI14" i="40"/>
  <c r="DI29" i="40"/>
  <c r="DI31" i="40"/>
  <c r="DI18" i="40"/>
  <c r="DI25" i="40"/>
  <c r="DI21" i="40"/>
  <c r="DI5" i="40"/>
  <c r="M7" i="54"/>
  <c r="N10" i="54"/>
  <c r="N34" i="54"/>
  <c r="M34" i="54"/>
  <c r="N21" i="54"/>
  <c r="M20" i="54"/>
  <c r="N20" i="54"/>
  <c r="M21" i="54"/>
  <c r="N28" i="54"/>
  <c r="N31" i="54"/>
  <c r="M10" i="54"/>
  <c r="N9" i="54"/>
  <c r="M9" i="54"/>
  <c r="N11" i="54"/>
  <c r="M31" i="54"/>
  <c r="N8" i="54"/>
  <c r="M11" i="54"/>
  <c r="M8" i="54"/>
  <c r="M14" i="54"/>
  <c r="N14" i="54"/>
  <c r="M32" i="54"/>
  <c r="N32" i="54"/>
  <c r="M26" i="54"/>
  <c r="N26" i="54"/>
  <c r="M33" i="54"/>
  <c r="M18" i="54"/>
  <c r="N33" i="54"/>
  <c r="N18" i="54"/>
  <c r="M24" i="54"/>
  <c r="M13" i="54"/>
  <c r="N24" i="54"/>
  <c r="N13" i="54"/>
  <c r="M22" i="54"/>
  <c r="N22" i="54"/>
  <c r="M28" i="54"/>
  <c r="N30" i="54"/>
  <c r="M15" i="54"/>
  <c r="M23" i="54"/>
  <c r="N23" i="54"/>
  <c r="N15" i="54"/>
  <c r="M30" i="54"/>
  <c r="N16" i="54"/>
  <c r="M12" i="54"/>
  <c r="N12" i="54"/>
  <c r="M17" i="54"/>
  <c r="N17" i="54"/>
  <c r="M29" i="54"/>
  <c r="N29" i="54"/>
  <c r="M19" i="54"/>
  <c r="N19" i="54"/>
  <c r="M27" i="54"/>
  <c r="N27" i="54"/>
  <c r="M25" i="54"/>
  <c r="N25" i="54"/>
  <c r="M16" i="54"/>
  <c r="EP81" i="25"/>
  <c r="EO81" i="25"/>
  <c r="DI12" i="40"/>
  <c r="DI30" i="40"/>
  <c r="DI6" i="40"/>
  <c r="DI17" i="40"/>
  <c r="DI11" i="40"/>
  <c r="DI32" i="40"/>
  <c r="DI45" i="40"/>
  <c r="DI78" i="40"/>
  <c r="DI73" i="40"/>
  <c r="DI41" i="40"/>
  <c r="DI39" i="40"/>
  <c r="DI53" i="40"/>
  <c r="DI54" i="40"/>
  <c r="BP1" i="40"/>
  <c r="AR53" i="26" l="1"/>
  <c r="C580" i="45"/>
  <c r="AV53" i="26" s="1"/>
  <c r="H500" i="45"/>
  <c r="I500" i="45"/>
  <c r="F500" i="45"/>
  <c r="E500" i="45" s="1"/>
  <c r="I504" i="45"/>
  <c r="H504" i="45"/>
  <c r="F504" i="45"/>
  <c r="E504" i="45" s="1"/>
  <c r="EO26" i="31"/>
  <c r="J72" i="20"/>
  <c r="K72" i="20"/>
  <c r="F72" i="20"/>
  <c r="I72" i="20"/>
  <c r="G72" i="20" s="1"/>
  <c r="H72" i="20" s="1"/>
  <c r="CZ26" i="31"/>
  <c r="DA26" i="31"/>
  <c r="DC26" i="31"/>
  <c r="DI26" i="31"/>
  <c r="DQ26" i="31"/>
  <c r="DX26" i="31"/>
  <c r="DZ26" i="31"/>
  <c r="AL26" i="31"/>
  <c r="BP26" i="31"/>
  <c r="CQ26" i="31" s="1"/>
  <c r="BJ26" i="31"/>
  <c r="BC26" i="31"/>
  <c r="AY26" i="31"/>
  <c r="BH26" i="31" s="1"/>
  <c r="AG27" i="33"/>
  <c r="AJ27" i="33"/>
  <c r="AK27" i="33"/>
  <c r="AL27" i="33"/>
  <c r="T27" i="33"/>
  <c r="AU56" i="40"/>
  <c r="DB56" i="40" s="1"/>
  <c r="AX56" i="40"/>
  <c r="DC56" i="40" s="1"/>
  <c r="BA56" i="40"/>
  <c r="DD56" i="40" s="1"/>
  <c r="BD56" i="40"/>
  <c r="DE56" i="40" s="1"/>
  <c r="BG56" i="40"/>
  <c r="DF56" i="40" s="1"/>
  <c r="BJ56" i="40"/>
  <c r="BM56" i="40"/>
  <c r="P56" i="40"/>
  <c r="S56" i="40"/>
  <c r="V56" i="40"/>
  <c r="L56" i="40"/>
  <c r="R56" i="40" s="1"/>
  <c r="G56" i="40"/>
  <c r="AT26" i="31"/>
  <c r="AI26" i="31"/>
  <c r="F74" i="51"/>
  <c r="G74" i="51"/>
  <c r="W26" i="31" s="1"/>
  <c r="H74" i="51"/>
  <c r="I74" i="51"/>
  <c r="J74" i="51"/>
  <c r="A74" i="51"/>
  <c r="D74" i="51"/>
  <c r="A609" i="35" s="1"/>
  <c r="V27" i="33"/>
  <c r="AR32" i="49"/>
  <c r="AS32" i="49" s="1"/>
  <c r="AT32" i="49"/>
  <c r="AW32" i="49" s="1"/>
  <c r="DB27" i="33" l="1"/>
  <c r="BL27" i="33"/>
  <c r="BE27" i="33"/>
  <c r="BI26" i="31"/>
  <c r="CL27" i="33"/>
  <c r="AU32" i="49"/>
  <c r="O26" i="31"/>
  <c r="DB26" i="31"/>
  <c r="DV26" i="31"/>
  <c r="E26" i="31"/>
  <c r="AB26" i="31"/>
  <c r="T56" i="40"/>
  <c r="J56" i="40"/>
  <c r="DX56" i="40" s="1"/>
  <c r="CD26" i="31"/>
  <c r="CC26" i="31"/>
  <c r="U26" i="31"/>
  <c r="S27" i="33"/>
  <c r="Z26" i="31"/>
  <c r="DH56" i="40"/>
  <c r="I56" i="40"/>
  <c r="W56" i="40"/>
  <c r="U56" i="40"/>
  <c r="DD26" i="31"/>
  <c r="CV26" i="31"/>
  <c r="CU26" i="31" s="1"/>
  <c r="F26" i="31"/>
  <c r="DN26" i="31"/>
  <c r="AH27" i="33"/>
  <c r="DG56" i="40"/>
  <c r="AM27" i="33" l="1"/>
  <c r="F27" i="33"/>
  <c r="R27" i="33"/>
  <c r="G27" i="33"/>
  <c r="CE26" i="31"/>
  <c r="DT26" i="31"/>
  <c r="BU26" i="31"/>
  <c r="U27" i="33"/>
  <c r="T26" i="31"/>
  <c r="AO27" i="33"/>
  <c r="C26" i="31"/>
  <c r="X56" i="40"/>
  <c r="BT26" i="31" s="1"/>
  <c r="CY27" i="33" l="1"/>
  <c r="AS27" i="33"/>
  <c r="BP27" i="33"/>
  <c r="AD26" i="31"/>
  <c r="DU26" i="31"/>
  <c r="C27" i="33"/>
  <c r="BB27" i="33"/>
  <c r="BI27" i="33"/>
  <c r="AF27" i="33"/>
  <c r="Z27" i="33"/>
  <c r="AU27" i="33"/>
  <c r="CY56" i="40"/>
  <c r="DW56" i="40" s="1"/>
  <c r="AA27" i="33" s="1"/>
  <c r="AA26" i="31"/>
  <c r="C56" i="40"/>
  <c r="AH26" i="31"/>
  <c r="K74" i="51"/>
  <c r="AF26" i="31"/>
  <c r="AG26" i="31"/>
  <c r="AE26" i="31"/>
  <c r="BZ26" i="31"/>
  <c r="Y26" i="31"/>
  <c r="AS26" i="31"/>
  <c r="Y56" i="40"/>
  <c r="BL26" i="31" s="1"/>
  <c r="DW26" i="31" l="1"/>
  <c r="M74" i="51"/>
  <c r="AE27" i="33"/>
  <c r="AC26" i="31"/>
  <c r="CA26" i="31"/>
  <c r="DR26" i="31" s="1"/>
  <c r="DS26" i="31" s="1"/>
  <c r="BM26" i="31"/>
  <c r="AB27" i="33"/>
  <c r="AC27" i="33" s="1"/>
  <c r="BW26" i="31"/>
  <c r="CR26" i="31"/>
  <c r="AU26" i="31"/>
  <c r="DJ26" i="31"/>
  <c r="CB26" i="31" l="1"/>
  <c r="AD27" i="33"/>
  <c r="D26" i="31"/>
  <c r="AN27" i="33"/>
  <c r="BY26" i="31"/>
  <c r="BX26" i="31"/>
  <c r="E27" i="33" l="1"/>
  <c r="CF26" i="31"/>
  <c r="DY56" i="40"/>
  <c r="CH26" i="31"/>
  <c r="H512" i="45"/>
  <c r="H509" i="45"/>
  <c r="H510" i="45"/>
  <c r="H511" i="45"/>
  <c r="CI26" i="31" l="1"/>
  <c r="CG26" i="31"/>
  <c r="H508" i="45"/>
  <c r="H507" i="45"/>
  <c r="H506" i="45" l="1"/>
  <c r="H503" i="45"/>
  <c r="H505" i="45"/>
  <c r="AR2" i="31"/>
  <c r="AR2" i="36" s="1"/>
  <c r="AQ2" i="31"/>
  <c r="AQ2" i="36" s="1"/>
  <c r="DX34" i="31"/>
  <c r="DX8" i="31"/>
  <c r="DX19" i="31"/>
  <c r="DX20" i="31"/>
  <c r="DX10" i="31"/>
  <c r="DX13" i="31"/>
  <c r="DX25" i="31"/>
  <c r="DX36" i="31"/>
  <c r="DX15" i="31"/>
  <c r="DX11" i="31"/>
  <c r="DX44" i="31"/>
  <c r="DX21" i="31"/>
  <c r="DX28" i="31"/>
  <c r="DX51" i="31"/>
  <c r="DX22" i="31"/>
  <c r="DX12" i="31"/>
  <c r="DX42" i="31"/>
  <c r="DX16" i="31"/>
  <c r="DX9" i="31"/>
  <c r="DX43" i="31"/>
  <c r="DX47" i="31"/>
  <c r="DX50" i="31"/>
  <c r="DX46" i="31"/>
  <c r="DX7" i="31"/>
  <c r="DX33" i="31"/>
  <c r="DX18" i="31"/>
  <c r="DX31" i="31"/>
  <c r="DX40" i="31"/>
  <c r="DX48" i="31"/>
  <c r="DX30" i="31"/>
  <c r="DX27" i="31"/>
  <c r="DX53" i="31"/>
  <c r="DX29" i="31"/>
  <c r="DX45" i="31"/>
  <c r="DX49" i="31"/>
  <c r="DX54" i="31"/>
  <c r="DX55" i="31"/>
  <c r="DX41" i="31"/>
  <c r="DX23" i="31"/>
  <c r="DX24" i="31"/>
  <c r="DX17" i="31"/>
  <c r="DX14" i="31"/>
  <c r="AU22" i="40"/>
  <c r="DB22" i="40" s="1"/>
  <c r="AU11" i="40"/>
  <c r="DB11" i="40" s="1"/>
  <c r="AU13" i="40"/>
  <c r="DB13" i="40" s="1"/>
  <c r="AU14" i="40"/>
  <c r="AU5" i="40"/>
  <c r="DB5" i="40" s="1"/>
  <c r="AU4" i="40"/>
  <c r="DB4" i="40" s="1"/>
  <c r="AU18" i="40"/>
  <c r="DB18" i="40" s="1"/>
  <c r="AU30" i="40"/>
  <c r="DB30" i="40" s="1"/>
  <c r="AU9" i="40"/>
  <c r="DB9" i="40" s="1"/>
  <c r="AU6" i="40"/>
  <c r="DB6" i="40" s="1"/>
  <c r="AU10" i="40"/>
  <c r="DB10" i="40" s="1"/>
  <c r="AU19" i="40"/>
  <c r="DB19" i="40" s="1"/>
  <c r="AU23" i="40"/>
  <c r="DB23" i="40" s="1"/>
  <c r="AU16" i="40"/>
  <c r="DB16" i="40" s="1"/>
  <c r="AU31" i="40"/>
  <c r="DB31" i="40" s="1"/>
  <c r="AU17" i="40"/>
  <c r="DB17" i="40" s="1"/>
  <c r="AU26" i="40"/>
  <c r="DB26" i="40" s="1"/>
  <c r="AU12" i="40"/>
  <c r="DB12" i="40" s="1"/>
  <c r="AU20" i="40"/>
  <c r="DB20" i="40" s="1"/>
  <c r="AU27" i="40"/>
  <c r="DB27" i="40" s="1"/>
  <c r="AU21" i="40"/>
  <c r="DB21" i="40" s="1"/>
  <c r="AU24" i="40"/>
  <c r="DB24" i="40" s="1"/>
  <c r="AU8" i="40"/>
  <c r="DB8" i="40" s="1"/>
  <c r="AU7" i="40"/>
  <c r="DB7" i="40" s="1"/>
  <c r="AU25" i="40"/>
  <c r="DB25" i="40" s="1"/>
  <c r="AU29" i="40"/>
  <c r="DB29" i="40" s="1"/>
  <c r="AU15" i="40"/>
  <c r="DB15" i="40" s="1"/>
  <c r="AU67" i="40"/>
  <c r="DB67" i="40" s="1"/>
  <c r="AU53" i="40"/>
  <c r="DB53" i="40" s="1"/>
  <c r="AU54" i="40"/>
  <c r="DB54" i="40" s="1"/>
  <c r="AU47" i="40"/>
  <c r="DB47" i="40" s="1"/>
  <c r="AU44" i="40"/>
  <c r="DB44" i="40" s="1"/>
  <c r="AU64" i="40"/>
  <c r="DB64" i="40" s="1"/>
  <c r="AU43" i="40"/>
  <c r="DB43" i="40" s="1"/>
  <c r="AU50" i="40"/>
  <c r="DB50" i="40" s="1"/>
  <c r="AU49" i="40"/>
  <c r="DB49" i="40" s="1"/>
  <c r="AU38" i="40"/>
  <c r="DB38" i="40" s="1"/>
  <c r="AU55" i="40"/>
  <c r="DB55" i="40" s="1"/>
  <c r="AU58" i="40"/>
  <c r="DB58" i="40" s="1"/>
  <c r="AU40" i="40"/>
  <c r="DB40" i="40" s="1"/>
  <c r="AU66" i="40"/>
  <c r="DB66" i="40" s="1"/>
  <c r="AU51" i="40"/>
  <c r="DB51" i="40" s="1"/>
  <c r="AU45" i="40"/>
  <c r="DB45" i="40" s="1"/>
  <c r="AU74" i="40"/>
  <c r="DB74" i="40" s="1"/>
  <c r="AU41" i="40"/>
  <c r="DB41" i="40" s="1"/>
  <c r="AU42" i="40"/>
  <c r="DB42" i="40" s="1"/>
  <c r="AU81" i="40"/>
  <c r="DB81" i="40" s="1"/>
  <c r="AU39" i="40"/>
  <c r="DB39" i="40" s="1"/>
  <c r="AU52" i="40"/>
  <c r="DB52" i="40" s="1"/>
  <c r="AU72" i="40"/>
  <c r="DB72" i="40" s="1"/>
  <c r="AU46" i="40"/>
  <c r="DB46" i="40" s="1"/>
  <c r="AU73" i="40"/>
  <c r="DB73" i="40" s="1"/>
  <c r="AU77" i="40"/>
  <c r="DB77" i="40" s="1"/>
  <c r="AU80" i="40"/>
  <c r="DB80" i="40" s="1"/>
  <c r="AU61" i="40"/>
  <c r="DB61" i="40" s="1"/>
  <c r="AU76" i="40"/>
  <c r="DB76" i="40" s="1"/>
  <c r="AU48" i="40"/>
  <c r="DB48" i="40" s="1"/>
  <c r="AU63" i="40"/>
  <c r="DB63" i="40" s="1"/>
  <c r="AU37" i="40"/>
  <c r="DB37" i="40" s="1"/>
  <c r="AU78" i="40"/>
  <c r="DB78" i="40" s="1"/>
  <c r="AU70" i="40"/>
  <c r="DB70" i="40" s="1"/>
  <c r="AU60" i="40"/>
  <c r="DB60" i="40" s="1"/>
  <c r="AU57" i="40"/>
  <c r="DB57" i="40" s="1"/>
  <c r="AU83" i="40"/>
  <c r="DB83" i="40" s="1"/>
  <c r="AU79" i="40"/>
  <c r="DB79" i="40" s="1"/>
  <c r="AU75" i="40"/>
  <c r="DB75" i="40" s="1"/>
  <c r="AU59" i="40"/>
  <c r="DB59" i="40" s="1"/>
  <c r="AU84" i="40"/>
  <c r="DB84" i="40" s="1"/>
  <c r="AU86" i="40"/>
  <c r="DB86" i="40" s="1"/>
  <c r="AU71" i="40"/>
  <c r="DB71" i="40" s="1"/>
  <c r="AU91" i="40"/>
  <c r="AU92" i="40"/>
  <c r="AU93" i="40"/>
  <c r="AU32" i="40"/>
  <c r="DB32" i="40" s="1"/>
  <c r="AS34" i="40"/>
  <c r="BT2" i="26"/>
  <c r="EG33" i="25"/>
  <c r="DX51" i="36" l="1"/>
  <c r="DX48" i="36"/>
  <c r="DX54" i="36"/>
  <c r="DX26" i="36"/>
  <c r="DX55" i="36"/>
  <c r="DX41" i="36"/>
  <c r="DB14" i="40"/>
  <c r="AU1" i="40"/>
  <c r="DX42" i="36"/>
  <c r="DX25" i="36"/>
  <c r="DX46" i="36"/>
  <c r="DX45" i="36"/>
  <c r="DX40" i="36"/>
  <c r="DX43" i="36"/>
  <c r="DX44" i="36"/>
  <c r="DX53" i="36"/>
  <c r="DX52" i="36"/>
  <c r="DX47" i="36"/>
  <c r="DX28" i="36"/>
  <c r="DX27" i="36"/>
  <c r="DX30" i="36"/>
  <c r="DX50" i="36"/>
  <c r="DX23" i="36"/>
  <c r="DX24" i="36"/>
  <c r="DX49" i="36"/>
  <c r="C576" i="45"/>
  <c r="H502" i="45"/>
  <c r="H501" i="45"/>
  <c r="BV2" i="26"/>
  <c r="CB2" i="26"/>
  <c r="BU2" i="26"/>
  <c r="BJ2" i="26"/>
  <c r="M64" i="33"/>
  <c r="M65" i="33"/>
  <c r="M66" i="33"/>
  <c r="M74" i="33"/>
  <c r="M76" i="33"/>
  <c r="P15" i="54"/>
  <c r="Q15" i="54"/>
  <c r="R15" i="54"/>
  <c r="AG15" i="54"/>
  <c r="AH15" i="54"/>
  <c r="AI15" i="54"/>
  <c r="AJ15" i="54"/>
  <c r="AL15" i="54"/>
  <c r="AN15" i="54"/>
  <c r="AO15" i="54"/>
  <c r="AT15" i="54"/>
  <c r="AU15" i="54"/>
  <c r="AW15" i="54"/>
  <c r="AX15" i="54"/>
  <c r="AY15" i="54"/>
  <c r="BB15" i="54"/>
  <c r="BC15" i="54"/>
  <c r="BD15" i="54"/>
  <c r="BI15" i="54"/>
  <c r="BJ15" i="54"/>
  <c r="BL15" i="54"/>
  <c r="BM15" i="54"/>
  <c r="BN15" i="54"/>
  <c r="BQ15" i="54"/>
  <c r="CD15" i="54"/>
  <c r="CE15" i="54"/>
  <c r="CF15" i="54"/>
  <c r="CG15" i="54"/>
  <c r="CH15" i="54"/>
  <c r="CI15" i="54"/>
  <c r="CJ15" i="54"/>
  <c r="CM15" i="54"/>
  <c r="CN15" i="54"/>
  <c r="CQ15" i="54"/>
  <c r="CR15" i="54"/>
  <c r="CS15" i="54"/>
  <c r="CY15" i="54"/>
  <c r="CZ15" i="54"/>
  <c r="DB15" i="54"/>
  <c r="DE15" i="54"/>
  <c r="DF15" i="54"/>
  <c r="DG15" i="54"/>
  <c r="DL15" i="54"/>
  <c r="DN15" i="54"/>
  <c r="ED15" i="54"/>
  <c r="EF15" i="54"/>
  <c r="EG15" i="54"/>
  <c r="P16" i="54"/>
  <c r="Q16" i="54"/>
  <c r="R16" i="54"/>
  <c r="AG16" i="54"/>
  <c r="AH16" i="54"/>
  <c r="AI16" i="54"/>
  <c r="AJ16" i="54"/>
  <c r="AL16" i="54"/>
  <c r="AN16" i="54"/>
  <c r="AO16" i="54"/>
  <c r="AT16" i="54"/>
  <c r="AU16" i="54"/>
  <c r="AW16" i="54"/>
  <c r="AX16" i="54"/>
  <c r="AY16" i="54"/>
  <c r="BB16" i="54"/>
  <c r="BC16" i="54"/>
  <c r="BD16" i="54"/>
  <c r="BI16" i="54"/>
  <c r="BJ16" i="54"/>
  <c r="BL16" i="54"/>
  <c r="BM16" i="54"/>
  <c r="BN16" i="54"/>
  <c r="BQ16" i="54"/>
  <c r="CD16" i="54"/>
  <c r="CE16" i="54"/>
  <c r="CF16" i="54"/>
  <c r="CG16" i="54"/>
  <c r="CH16" i="54"/>
  <c r="CI16" i="54"/>
  <c r="CJ16" i="54"/>
  <c r="CM16" i="54"/>
  <c r="CN16" i="54"/>
  <c r="CQ16" i="54"/>
  <c r="CR16" i="54"/>
  <c r="CS16" i="54"/>
  <c r="CY16" i="54"/>
  <c r="CZ16" i="54"/>
  <c r="DB16" i="54"/>
  <c r="DE16" i="54"/>
  <c r="DF16" i="54"/>
  <c r="DG16" i="54"/>
  <c r="DL16" i="54"/>
  <c r="DN16" i="54"/>
  <c r="ED16" i="54"/>
  <c r="EF16" i="54"/>
  <c r="EG16" i="54"/>
  <c r="P17" i="54"/>
  <c r="Q17" i="54"/>
  <c r="R17" i="54"/>
  <c r="AG17" i="54"/>
  <c r="AH17" i="54"/>
  <c r="AI17" i="54"/>
  <c r="AJ17" i="54"/>
  <c r="AL17" i="54"/>
  <c r="AN17" i="54"/>
  <c r="AO17" i="54"/>
  <c r="AT17" i="54"/>
  <c r="AU17" i="54"/>
  <c r="AW17" i="54"/>
  <c r="AX17" i="54"/>
  <c r="AY17" i="54"/>
  <c r="BB17" i="54"/>
  <c r="BC17" i="54"/>
  <c r="BD17" i="54"/>
  <c r="BI17" i="54"/>
  <c r="BJ17" i="54"/>
  <c r="BL17" i="54"/>
  <c r="BM17" i="54"/>
  <c r="BN17" i="54"/>
  <c r="BQ17" i="54"/>
  <c r="CD17" i="54"/>
  <c r="CE17" i="54"/>
  <c r="CF17" i="54"/>
  <c r="CG17" i="54"/>
  <c r="CH17" i="54"/>
  <c r="CI17" i="54"/>
  <c r="CJ17" i="54"/>
  <c r="CM17" i="54"/>
  <c r="CN17" i="54"/>
  <c r="CQ17" i="54"/>
  <c r="CR17" i="54"/>
  <c r="CS17" i="54"/>
  <c r="CY17" i="54"/>
  <c r="CZ17" i="54"/>
  <c r="DB17" i="54"/>
  <c r="DE17" i="54"/>
  <c r="DF17" i="54"/>
  <c r="DG17" i="54"/>
  <c r="DL17" i="54"/>
  <c r="DN17" i="54"/>
  <c r="ED17" i="54"/>
  <c r="EF17" i="54"/>
  <c r="EG17" i="54"/>
  <c r="P18" i="54"/>
  <c r="Q18" i="54"/>
  <c r="R18" i="54"/>
  <c r="AG18" i="54"/>
  <c r="AH18" i="54"/>
  <c r="AI18" i="54"/>
  <c r="AJ18" i="54"/>
  <c r="AL18" i="54"/>
  <c r="AN18" i="54"/>
  <c r="AO18" i="54"/>
  <c r="AT18" i="54"/>
  <c r="AU18" i="54"/>
  <c r="AW18" i="54"/>
  <c r="AX18" i="54"/>
  <c r="AY18" i="54"/>
  <c r="BB18" i="54"/>
  <c r="BC18" i="54"/>
  <c r="BD18" i="54"/>
  <c r="BI18" i="54"/>
  <c r="BJ18" i="54"/>
  <c r="BL18" i="54"/>
  <c r="BM18" i="54"/>
  <c r="BN18" i="54"/>
  <c r="BQ18" i="54"/>
  <c r="CD18" i="54"/>
  <c r="CE18" i="54"/>
  <c r="CF18" i="54"/>
  <c r="CG18" i="54"/>
  <c r="CH18" i="54"/>
  <c r="CI18" i="54"/>
  <c r="CJ18" i="54"/>
  <c r="CM18" i="54"/>
  <c r="CN18" i="54"/>
  <c r="CQ18" i="54"/>
  <c r="CR18" i="54"/>
  <c r="CS18" i="54"/>
  <c r="CY18" i="54"/>
  <c r="CZ18" i="54"/>
  <c r="DB18" i="54"/>
  <c r="DE18" i="54"/>
  <c r="DF18" i="54"/>
  <c r="DG18" i="54"/>
  <c r="DL18" i="54"/>
  <c r="DN18" i="54"/>
  <c r="ED18" i="54"/>
  <c r="EF18" i="54"/>
  <c r="EG18" i="54"/>
  <c r="P19" i="54"/>
  <c r="Q19" i="54"/>
  <c r="R19" i="54"/>
  <c r="AG19" i="54"/>
  <c r="AH19" i="54"/>
  <c r="AI19" i="54"/>
  <c r="AJ19" i="54"/>
  <c r="AL19" i="54"/>
  <c r="AN19" i="54"/>
  <c r="AO19" i="54"/>
  <c r="AT19" i="54"/>
  <c r="AU19" i="54"/>
  <c r="AW19" i="54"/>
  <c r="AX19" i="54"/>
  <c r="AY19" i="54"/>
  <c r="BB19" i="54"/>
  <c r="BC19" i="54"/>
  <c r="BD19" i="54"/>
  <c r="BI19" i="54"/>
  <c r="BJ19" i="54"/>
  <c r="BL19" i="54"/>
  <c r="BM19" i="54"/>
  <c r="BN19" i="54"/>
  <c r="BQ19" i="54"/>
  <c r="CD19" i="54"/>
  <c r="CE19" i="54"/>
  <c r="CF19" i="54"/>
  <c r="CG19" i="54"/>
  <c r="CH19" i="54"/>
  <c r="CI19" i="54"/>
  <c r="CJ19" i="54"/>
  <c r="CM19" i="54"/>
  <c r="CN19" i="54"/>
  <c r="CQ19" i="54"/>
  <c r="CR19" i="54"/>
  <c r="CS19" i="54"/>
  <c r="CY19" i="54"/>
  <c r="CZ19" i="54"/>
  <c r="DA19" i="54"/>
  <c r="DB19" i="54"/>
  <c r="DE19" i="54"/>
  <c r="DF19" i="54"/>
  <c r="DG19" i="54"/>
  <c r="DL19" i="54"/>
  <c r="DN19" i="54"/>
  <c r="ED19" i="54"/>
  <c r="EF19" i="54"/>
  <c r="EG19" i="54"/>
  <c r="P20" i="54"/>
  <c r="Q20" i="54"/>
  <c r="R20" i="54"/>
  <c r="AG20" i="54"/>
  <c r="AH20" i="54"/>
  <c r="AI20" i="54"/>
  <c r="AJ20" i="54"/>
  <c r="AL20" i="54"/>
  <c r="AN20" i="54"/>
  <c r="AO20" i="54"/>
  <c r="AT20" i="54"/>
  <c r="AU20" i="54"/>
  <c r="AW20" i="54"/>
  <c r="AX20" i="54"/>
  <c r="AY20" i="54"/>
  <c r="BB20" i="54"/>
  <c r="BC20" i="54"/>
  <c r="BD20" i="54"/>
  <c r="BI20" i="54"/>
  <c r="BJ20" i="54"/>
  <c r="BL20" i="54"/>
  <c r="BM20" i="54"/>
  <c r="BN20" i="54"/>
  <c r="BQ20" i="54"/>
  <c r="CD20" i="54"/>
  <c r="CE20" i="54"/>
  <c r="CF20" i="54"/>
  <c r="CG20" i="54"/>
  <c r="CH20" i="54"/>
  <c r="CI20" i="54"/>
  <c r="CJ20" i="54"/>
  <c r="CM20" i="54"/>
  <c r="CN20" i="54"/>
  <c r="CQ20" i="54"/>
  <c r="CR20" i="54"/>
  <c r="CS20" i="54"/>
  <c r="CY20" i="54"/>
  <c r="CZ20" i="54"/>
  <c r="DA20" i="54"/>
  <c r="DB20" i="54"/>
  <c r="DE20" i="54"/>
  <c r="DF20" i="54"/>
  <c r="DG20" i="54"/>
  <c r="DL20" i="54"/>
  <c r="DN20" i="54"/>
  <c r="ED20" i="54"/>
  <c r="EF20" i="54"/>
  <c r="EG20" i="54"/>
  <c r="P21" i="54"/>
  <c r="Q21" i="54"/>
  <c r="R21" i="54"/>
  <c r="AG21" i="54"/>
  <c r="AH21" i="54"/>
  <c r="AI21" i="54"/>
  <c r="AJ21" i="54"/>
  <c r="AL21" i="54"/>
  <c r="AN21" i="54"/>
  <c r="AO21" i="54"/>
  <c r="AT21" i="54"/>
  <c r="AU21" i="54"/>
  <c r="AW21" i="54"/>
  <c r="AX21" i="54"/>
  <c r="AY21" i="54"/>
  <c r="BB21" i="54"/>
  <c r="BC21" i="54"/>
  <c r="BD21" i="54"/>
  <c r="BI21" i="54"/>
  <c r="BJ21" i="54"/>
  <c r="BL21" i="54"/>
  <c r="BM21" i="54"/>
  <c r="BN21" i="54"/>
  <c r="BQ21" i="54"/>
  <c r="CD21" i="54"/>
  <c r="CE21" i="54"/>
  <c r="CF21" i="54"/>
  <c r="CG21" i="54"/>
  <c r="CH21" i="54"/>
  <c r="CI21" i="54"/>
  <c r="CJ21" i="54"/>
  <c r="CM21" i="54"/>
  <c r="CN21" i="54"/>
  <c r="CQ21" i="54"/>
  <c r="CR21" i="54"/>
  <c r="CS21" i="54"/>
  <c r="CY21" i="54"/>
  <c r="CZ21" i="54"/>
  <c r="DB21" i="54"/>
  <c r="DE21" i="54"/>
  <c r="DF21" i="54"/>
  <c r="DG21" i="54"/>
  <c r="DL21" i="54"/>
  <c r="DN21" i="54"/>
  <c r="ED21" i="54"/>
  <c r="EF21" i="54"/>
  <c r="EG21" i="54"/>
  <c r="P22" i="54"/>
  <c r="Q22" i="54"/>
  <c r="R22" i="54"/>
  <c r="AG22" i="54"/>
  <c r="AH22" i="54"/>
  <c r="AI22" i="54"/>
  <c r="AJ22" i="54"/>
  <c r="AL22" i="54"/>
  <c r="AN22" i="54"/>
  <c r="AO22" i="54"/>
  <c r="AT22" i="54"/>
  <c r="AU22" i="54"/>
  <c r="AW22" i="54"/>
  <c r="AX22" i="54"/>
  <c r="AY22" i="54"/>
  <c r="BB22" i="54"/>
  <c r="BC22" i="54"/>
  <c r="BD22" i="54"/>
  <c r="BI22" i="54"/>
  <c r="BJ22" i="54"/>
  <c r="BL22" i="54"/>
  <c r="BM22" i="54"/>
  <c r="BN22" i="54"/>
  <c r="BQ22" i="54"/>
  <c r="CD22" i="54"/>
  <c r="CE22" i="54"/>
  <c r="CF22" i="54"/>
  <c r="CG22" i="54"/>
  <c r="CH22" i="54"/>
  <c r="CI22" i="54"/>
  <c r="CJ22" i="54"/>
  <c r="CM22" i="54"/>
  <c r="CN22" i="54"/>
  <c r="CQ22" i="54"/>
  <c r="CR22" i="54"/>
  <c r="CS22" i="54"/>
  <c r="CY22" i="54"/>
  <c r="CZ22" i="54"/>
  <c r="DA22" i="54"/>
  <c r="DB22" i="54"/>
  <c r="DE22" i="54"/>
  <c r="DF22" i="54"/>
  <c r="DG22" i="54"/>
  <c r="DL22" i="54"/>
  <c r="DN22" i="54"/>
  <c r="ED22" i="54"/>
  <c r="EF22" i="54"/>
  <c r="EG22" i="54"/>
  <c r="P23" i="54"/>
  <c r="Q23" i="54"/>
  <c r="R23" i="54"/>
  <c r="AG23" i="54"/>
  <c r="AH23" i="54"/>
  <c r="AI23" i="54"/>
  <c r="AJ23" i="54"/>
  <c r="AL23" i="54"/>
  <c r="AN23" i="54"/>
  <c r="AO23" i="54"/>
  <c r="AT23" i="54"/>
  <c r="AU23" i="54"/>
  <c r="AW23" i="54"/>
  <c r="AX23" i="54"/>
  <c r="AY23" i="54"/>
  <c r="BB23" i="54"/>
  <c r="BC23" i="54"/>
  <c r="BD23" i="54"/>
  <c r="BI23" i="54"/>
  <c r="BJ23" i="54"/>
  <c r="BL23" i="54"/>
  <c r="BM23" i="54"/>
  <c r="BN23" i="54"/>
  <c r="BQ23" i="54"/>
  <c r="CD23" i="54"/>
  <c r="CE23" i="54"/>
  <c r="CF23" i="54"/>
  <c r="CG23" i="54"/>
  <c r="CH23" i="54"/>
  <c r="CI23" i="54"/>
  <c r="CJ23" i="54"/>
  <c r="CM23" i="54"/>
  <c r="CN23" i="54"/>
  <c r="CQ23" i="54"/>
  <c r="CR23" i="54"/>
  <c r="CS23" i="54"/>
  <c r="CY23" i="54"/>
  <c r="CZ23" i="54"/>
  <c r="DB23" i="54"/>
  <c r="DE23" i="54"/>
  <c r="DF23" i="54"/>
  <c r="DG23" i="54"/>
  <c r="DL23" i="54"/>
  <c r="DN23" i="54"/>
  <c r="ED23" i="54"/>
  <c r="EF23" i="54"/>
  <c r="EG23" i="54"/>
  <c r="P24" i="54"/>
  <c r="Q24" i="54"/>
  <c r="R24" i="54"/>
  <c r="AG24" i="54"/>
  <c r="AH24" i="54"/>
  <c r="AI24" i="54"/>
  <c r="AJ24" i="54"/>
  <c r="AL24" i="54"/>
  <c r="AN24" i="54"/>
  <c r="AO24" i="54"/>
  <c r="AT24" i="54"/>
  <c r="AU24" i="54"/>
  <c r="AW24" i="54"/>
  <c r="AX24" i="54"/>
  <c r="AY24" i="54"/>
  <c r="BB24" i="54"/>
  <c r="BC24" i="54"/>
  <c r="BD24" i="54"/>
  <c r="BI24" i="54"/>
  <c r="BJ24" i="54"/>
  <c r="BL24" i="54"/>
  <c r="BM24" i="54"/>
  <c r="BN24" i="54"/>
  <c r="BQ24" i="54"/>
  <c r="CD24" i="54"/>
  <c r="CE24" i="54"/>
  <c r="CF24" i="54"/>
  <c r="CG24" i="54"/>
  <c r="CH24" i="54"/>
  <c r="CI24" i="54"/>
  <c r="CJ24" i="54"/>
  <c r="CM24" i="54"/>
  <c r="CN24" i="54"/>
  <c r="CQ24" i="54"/>
  <c r="CR24" i="54"/>
  <c r="CS24" i="54"/>
  <c r="CY24" i="54"/>
  <c r="CZ24" i="54"/>
  <c r="DB24" i="54"/>
  <c r="DE24" i="54"/>
  <c r="DF24" i="54"/>
  <c r="DG24" i="54"/>
  <c r="DL24" i="54"/>
  <c r="DN24" i="54"/>
  <c r="ED24" i="54"/>
  <c r="EF24" i="54"/>
  <c r="EG24" i="54"/>
  <c r="P25" i="54"/>
  <c r="Q25" i="54"/>
  <c r="R25" i="54"/>
  <c r="AG25" i="54"/>
  <c r="AH25" i="54"/>
  <c r="AI25" i="54"/>
  <c r="AJ25" i="54"/>
  <c r="AL25" i="54"/>
  <c r="AN25" i="54"/>
  <c r="AO25" i="54"/>
  <c r="AT25" i="54"/>
  <c r="AU25" i="54"/>
  <c r="AW25" i="54"/>
  <c r="AX25" i="54"/>
  <c r="AY25" i="54"/>
  <c r="BB25" i="54"/>
  <c r="BC25" i="54"/>
  <c r="BD25" i="54"/>
  <c r="BI25" i="54"/>
  <c r="BJ25" i="54"/>
  <c r="BL25" i="54"/>
  <c r="BM25" i="54"/>
  <c r="BN25" i="54"/>
  <c r="BQ25" i="54"/>
  <c r="CD25" i="54"/>
  <c r="CE25" i="54"/>
  <c r="CF25" i="54"/>
  <c r="CG25" i="54"/>
  <c r="CH25" i="54"/>
  <c r="CI25" i="54"/>
  <c r="CJ25" i="54"/>
  <c r="CM25" i="54"/>
  <c r="CN25" i="54"/>
  <c r="CQ25" i="54"/>
  <c r="CR25" i="54"/>
  <c r="CS25" i="54"/>
  <c r="CY25" i="54"/>
  <c r="CZ25" i="54"/>
  <c r="DB25" i="54"/>
  <c r="DE25" i="54"/>
  <c r="DF25" i="54"/>
  <c r="DG25" i="54"/>
  <c r="DL25" i="54"/>
  <c r="DN25" i="54"/>
  <c r="ED25" i="54"/>
  <c r="EF25" i="54"/>
  <c r="EG25" i="54"/>
  <c r="P26" i="54"/>
  <c r="Q26" i="54"/>
  <c r="R26" i="54"/>
  <c r="AG26" i="54"/>
  <c r="AH26" i="54"/>
  <c r="AI26" i="54"/>
  <c r="AJ26" i="54"/>
  <c r="AL26" i="54"/>
  <c r="AN26" i="54"/>
  <c r="AO26" i="54"/>
  <c r="AT26" i="54"/>
  <c r="AU26" i="54"/>
  <c r="AW26" i="54"/>
  <c r="AX26" i="54"/>
  <c r="AY26" i="54"/>
  <c r="BB26" i="54"/>
  <c r="BC26" i="54"/>
  <c r="BD26" i="54"/>
  <c r="BI26" i="54"/>
  <c r="BJ26" i="54"/>
  <c r="BL26" i="54"/>
  <c r="BM26" i="54"/>
  <c r="BN26" i="54"/>
  <c r="BQ26" i="54"/>
  <c r="CD26" i="54"/>
  <c r="CE26" i="54"/>
  <c r="CF26" i="54"/>
  <c r="CG26" i="54"/>
  <c r="CH26" i="54"/>
  <c r="CI26" i="54"/>
  <c r="CJ26" i="54"/>
  <c r="CM26" i="54"/>
  <c r="CN26" i="54"/>
  <c r="CQ26" i="54"/>
  <c r="CR26" i="54"/>
  <c r="CS26" i="54"/>
  <c r="CY26" i="54"/>
  <c r="CZ26" i="54"/>
  <c r="DB26" i="54"/>
  <c r="DE26" i="54"/>
  <c r="DF26" i="54"/>
  <c r="DG26" i="54"/>
  <c r="DL26" i="54"/>
  <c r="DN26" i="54"/>
  <c r="ED26" i="54"/>
  <c r="EF26" i="54"/>
  <c r="EG26" i="54"/>
  <c r="P27" i="54"/>
  <c r="Q27" i="54"/>
  <c r="R27" i="54"/>
  <c r="AG27" i="54"/>
  <c r="AH27" i="54"/>
  <c r="AI27" i="54"/>
  <c r="AJ27" i="54"/>
  <c r="AL27" i="54"/>
  <c r="AN27" i="54"/>
  <c r="AO27" i="54"/>
  <c r="AT27" i="54"/>
  <c r="AU27" i="54"/>
  <c r="AW27" i="54"/>
  <c r="AX27" i="54"/>
  <c r="AY27" i="54"/>
  <c r="BB27" i="54"/>
  <c r="BC27" i="54"/>
  <c r="BD27" i="54"/>
  <c r="BI27" i="54"/>
  <c r="BJ27" i="54"/>
  <c r="BL27" i="54"/>
  <c r="BM27" i="54"/>
  <c r="BN27" i="54"/>
  <c r="BQ27" i="54"/>
  <c r="CD27" i="54"/>
  <c r="CE27" i="54"/>
  <c r="CF27" i="54"/>
  <c r="CG27" i="54"/>
  <c r="CH27" i="54"/>
  <c r="CI27" i="54"/>
  <c r="CJ27" i="54"/>
  <c r="CM27" i="54"/>
  <c r="CN27" i="54"/>
  <c r="CQ27" i="54"/>
  <c r="CR27" i="54"/>
  <c r="CS27" i="54"/>
  <c r="CY27" i="54"/>
  <c r="CZ27" i="54"/>
  <c r="DA27" i="54"/>
  <c r="DB27" i="54"/>
  <c r="DE27" i="54"/>
  <c r="DF27" i="54"/>
  <c r="DG27" i="54"/>
  <c r="DL27" i="54"/>
  <c r="DN27" i="54"/>
  <c r="ED27" i="54"/>
  <c r="EF27" i="54"/>
  <c r="EG27" i="54"/>
  <c r="P28" i="54"/>
  <c r="Q28" i="54"/>
  <c r="R28" i="54"/>
  <c r="AG28" i="54"/>
  <c r="AH28" i="54"/>
  <c r="AI28" i="54"/>
  <c r="AJ28" i="54"/>
  <c r="AL28" i="54"/>
  <c r="AN28" i="54"/>
  <c r="AO28" i="54"/>
  <c r="AT28" i="54"/>
  <c r="AU28" i="54"/>
  <c r="AW28" i="54"/>
  <c r="AX28" i="54"/>
  <c r="AY28" i="54"/>
  <c r="BB28" i="54"/>
  <c r="BC28" i="54"/>
  <c r="BD28" i="54"/>
  <c r="BI28" i="54"/>
  <c r="BJ28" i="54"/>
  <c r="BL28" i="54"/>
  <c r="BM28" i="54"/>
  <c r="BN28" i="54"/>
  <c r="BQ28" i="54"/>
  <c r="CD28" i="54"/>
  <c r="CE28" i="54"/>
  <c r="CF28" i="54"/>
  <c r="CG28" i="54"/>
  <c r="CH28" i="54"/>
  <c r="CI28" i="54"/>
  <c r="CJ28" i="54"/>
  <c r="CM28" i="54"/>
  <c r="CN28" i="54"/>
  <c r="CQ28" i="54"/>
  <c r="CR28" i="54"/>
  <c r="CS28" i="54"/>
  <c r="CY28" i="54"/>
  <c r="CZ28" i="54"/>
  <c r="DA28" i="54"/>
  <c r="DB28" i="54"/>
  <c r="DE28" i="54"/>
  <c r="DF28" i="54"/>
  <c r="DG28" i="54"/>
  <c r="DL28" i="54"/>
  <c r="DN28" i="54"/>
  <c r="ED28" i="54"/>
  <c r="EF28" i="54"/>
  <c r="EG28" i="54"/>
  <c r="P29" i="54"/>
  <c r="Q29" i="54"/>
  <c r="R29" i="54"/>
  <c r="AG29" i="54"/>
  <c r="AH29" i="54"/>
  <c r="AI29" i="54"/>
  <c r="AJ29" i="54"/>
  <c r="AL29" i="54"/>
  <c r="AN29" i="54"/>
  <c r="AO29" i="54"/>
  <c r="AT29" i="54"/>
  <c r="AU29" i="54"/>
  <c r="AW29" i="54"/>
  <c r="AX29" i="54"/>
  <c r="AY29" i="54"/>
  <c r="BB29" i="54"/>
  <c r="BC29" i="54"/>
  <c r="BD29" i="54"/>
  <c r="BI29" i="54"/>
  <c r="BJ29" i="54"/>
  <c r="BL29" i="54"/>
  <c r="BM29" i="54"/>
  <c r="BN29" i="54"/>
  <c r="BQ29" i="54"/>
  <c r="CD29" i="54"/>
  <c r="CE29" i="54"/>
  <c r="CF29" i="54"/>
  <c r="CG29" i="54"/>
  <c r="CH29" i="54"/>
  <c r="CI29" i="54"/>
  <c r="CJ29" i="54"/>
  <c r="CM29" i="54"/>
  <c r="CN29" i="54"/>
  <c r="CQ29" i="54"/>
  <c r="CR29" i="54"/>
  <c r="CS29" i="54"/>
  <c r="CY29" i="54"/>
  <c r="CZ29" i="54"/>
  <c r="DA29" i="54"/>
  <c r="DB29" i="54"/>
  <c r="DE29" i="54"/>
  <c r="DF29" i="54"/>
  <c r="DG29" i="54"/>
  <c r="DL29" i="54"/>
  <c r="DN29" i="54"/>
  <c r="ED29" i="54"/>
  <c r="EF29" i="54"/>
  <c r="EG29" i="54"/>
  <c r="P30" i="54"/>
  <c r="Q30" i="54"/>
  <c r="R30" i="54"/>
  <c r="AG30" i="54"/>
  <c r="AH30" i="54"/>
  <c r="AI30" i="54"/>
  <c r="AJ30" i="54"/>
  <c r="AL30" i="54"/>
  <c r="AN30" i="54"/>
  <c r="AO30" i="54"/>
  <c r="AT30" i="54"/>
  <c r="AU30" i="54"/>
  <c r="AW30" i="54"/>
  <c r="AX30" i="54"/>
  <c r="AY30" i="54"/>
  <c r="BB30" i="54"/>
  <c r="BC30" i="54"/>
  <c r="BD30" i="54"/>
  <c r="BI30" i="54"/>
  <c r="BJ30" i="54"/>
  <c r="BL30" i="54"/>
  <c r="BM30" i="54"/>
  <c r="BN30" i="54"/>
  <c r="BQ30" i="54"/>
  <c r="CD30" i="54"/>
  <c r="CE30" i="54"/>
  <c r="CF30" i="54"/>
  <c r="CG30" i="54"/>
  <c r="CH30" i="54"/>
  <c r="CI30" i="54"/>
  <c r="CJ30" i="54"/>
  <c r="CM30" i="54"/>
  <c r="CN30" i="54"/>
  <c r="CQ30" i="54"/>
  <c r="CR30" i="54"/>
  <c r="CS30" i="54"/>
  <c r="CY30" i="54"/>
  <c r="CZ30" i="54"/>
  <c r="DA30" i="54"/>
  <c r="DB30" i="54"/>
  <c r="DE30" i="54"/>
  <c r="DF30" i="54"/>
  <c r="DG30" i="54"/>
  <c r="DL30" i="54"/>
  <c r="DN30" i="54"/>
  <c r="ED30" i="54"/>
  <c r="EF30" i="54"/>
  <c r="EG30" i="54"/>
  <c r="P31" i="54"/>
  <c r="Q31" i="54"/>
  <c r="R31" i="54"/>
  <c r="AG31" i="54"/>
  <c r="AH31" i="54"/>
  <c r="AI31" i="54"/>
  <c r="AJ31" i="54"/>
  <c r="AL31" i="54"/>
  <c r="AN31" i="54"/>
  <c r="AO31" i="54"/>
  <c r="AT31" i="54"/>
  <c r="AU31" i="54"/>
  <c r="AW31" i="54"/>
  <c r="AX31" i="54"/>
  <c r="AY31" i="54"/>
  <c r="BB31" i="54"/>
  <c r="BC31" i="54"/>
  <c r="BD31" i="54"/>
  <c r="BI31" i="54"/>
  <c r="BJ31" i="54"/>
  <c r="BL31" i="54"/>
  <c r="BM31" i="54"/>
  <c r="BN31" i="54"/>
  <c r="BQ31" i="54"/>
  <c r="CD31" i="54"/>
  <c r="CE31" i="54"/>
  <c r="CF31" i="54"/>
  <c r="CG31" i="54"/>
  <c r="CH31" i="54"/>
  <c r="CI31" i="54"/>
  <c r="CJ31" i="54"/>
  <c r="CM31" i="54"/>
  <c r="CN31" i="54"/>
  <c r="CQ31" i="54"/>
  <c r="CR31" i="54"/>
  <c r="CS31" i="54"/>
  <c r="CY31" i="54"/>
  <c r="CZ31" i="54"/>
  <c r="DA31" i="54"/>
  <c r="DB31" i="54"/>
  <c r="DE31" i="54"/>
  <c r="DF31" i="54"/>
  <c r="DG31" i="54"/>
  <c r="DL31" i="54"/>
  <c r="DN31" i="54"/>
  <c r="ED31" i="54"/>
  <c r="EF31" i="54"/>
  <c r="EG31" i="54"/>
  <c r="P32" i="54"/>
  <c r="Q32" i="54"/>
  <c r="R32" i="54"/>
  <c r="AG32" i="54"/>
  <c r="AH32" i="54"/>
  <c r="AI32" i="54"/>
  <c r="AJ32" i="54"/>
  <c r="AL32" i="54"/>
  <c r="AN32" i="54"/>
  <c r="AO32" i="54"/>
  <c r="AT32" i="54"/>
  <c r="AU32" i="54"/>
  <c r="AW32" i="54"/>
  <c r="AX32" i="54"/>
  <c r="AY32" i="54"/>
  <c r="BB32" i="54"/>
  <c r="BC32" i="54"/>
  <c r="BD32" i="54"/>
  <c r="BI32" i="54"/>
  <c r="BJ32" i="54"/>
  <c r="BL32" i="54"/>
  <c r="BM32" i="54"/>
  <c r="BN32" i="54"/>
  <c r="BQ32" i="54"/>
  <c r="CD32" i="54"/>
  <c r="CE32" i="54"/>
  <c r="CF32" i="54"/>
  <c r="CG32" i="54"/>
  <c r="CH32" i="54"/>
  <c r="CI32" i="54"/>
  <c r="CJ32" i="54"/>
  <c r="CM32" i="54"/>
  <c r="CN32" i="54"/>
  <c r="CQ32" i="54"/>
  <c r="CR32" i="54"/>
  <c r="CS32" i="54"/>
  <c r="CY32" i="54"/>
  <c r="CZ32" i="54"/>
  <c r="DA32" i="54"/>
  <c r="DB32" i="54"/>
  <c r="DE32" i="54"/>
  <c r="DF32" i="54"/>
  <c r="DG32" i="54"/>
  <c r="DL32" i="54"/>
  <c r="DN32" i="54"/>
  <c r="ED32" i="54"/>
  <c r="EF32" i="54"/>
  <c r="EG32" i="54"/>
  <c r="P33" i="54"/>
  <c r="Q33" i="54"/>
  <c r="R33" i="54"/>
  <c r="AG33" i="54"/>
  <c r="AH33" i="54"/>
  <c r="AI33" i="54"/>
  <c r="AJ33" i="54"/>
  <c r="AL33" i="54"/>
  <c r="AN33" i="54"/>
  <c r="AO33" i="54"/>
  <c r="AT33" i="54"/>
  <c r="AU33" i="54"/>
  <c r="AW33" i="54"/>
  <c r="AX33" i="54"/>
  <c r="AY33" i="54"/>
  <c r="BB33" i="54"/>
  <c r="BC33" i="54"/>
  <c r="BD33" i="54"/>
  <c r="BI33" i="54"/>
  <c r="BJ33" i="54"/>
  <c r="BL33" i="54"/>
  <c r="BM33" i="54"/>
  <c r="BN33" i="54"/>
  <c r="BQ33" i="54"/>
  <c r="CD33" i="54"/>
  <c r="CE33" i="54"/>
  <c r="CF33" i="54"/>
  <c r="CG33" i="54"/>
  <c r="CH33" i="54"/>
  <c r="CI33" i="54"/>
  <c r="CJ33" i="54"/>
  <c r="CM33" i="54"/>
  <c r="CN33" i="54"/>
  <c r="CQ33" i="54"/>
  <c r="CR33" i="54"/>
  <c r="CS33" i="54"/>
  <c r="CY33" i="54"/>
  <c r="CZ33" i="54"/>
  <c r="DA33" i="54"/>
  <c r="DB33" i="54"/>
  <c r="DE33" i="54"/>
  <c r="DF33" i="54"/>
  <c r="DG33" i="54"/>
  <c r="DL33" i="54"/>
  <c r="DN33" i="54"/>
  <c r="ED33" i="54"/>
  <c r="EF33" i="54"/>
  <c r="EG33" i="54"/>
  <c r="P34" i="54"/>
  <c r="Q34" i="54"/>
  <c r="R34" i="54"/>
  <c r="AG34" i="54"/>
  <c r="AH34" i="54"/>
  <c r="AI34" i="54"/>
  <c r="AJ34" i="54"/>
  <c r="AL34" i="54"/>
  <c r="AN34" i="54"/>
  <c r="AO34" i="54"/>
  <c r="AT34" i="54"/>
  <c r="AU34" i="54"/>
  <c r="AW34" i="54"/>
  <c r="AX34" i="54"/>
  <c r="AY34" i="54"/>
  <c r="BB34" i="54"/>
  <c r="BC34" i="54"/>
  <c r="BD34" i="54"/>
  <c r="BI34" i="54"/>
  <c r="BJ34" i="54"/>
  <c r="BL34" i="54"/>
  <c r="BM34" i="54"/>
  <c r="BN34" i="54"/>
  <c r="BQ34" i="54"/>
  <c r="CD34" i="54"/>
  <c r="CE34" i="54"/>
  <c r="CF34" i="54"/>
  <c r="CG34" i="54"/>
  <c r="CH34" i="54"/>
  <c r="CI34" i="54"/>
  <c r="CJ34" i="54"/>
  <c r="CM34" i="54"/>
  <c r="CN34" i="54"/>
  <c r="CQ34" i="54"/>
  <c r="CR34" i="54"/>
  <c r="CS34" i="54"/>
  <c r="CY34" i="54"/>
  <c r="CZ34" i="54"/>
  <c r="DA34" i="54"/>
  <c r="DB34" i="54"/>
  <c r="DE34" i="54"/>
  <c r="DF34" i="54"/>
  <c r="DG34" i="54"/>
  <c r="DL34" i="54"/>
  <c r="DN34" i="54"/>
  <c r="ED34" i="54"/>
  <c r="EF34" i="54"/>
  <c r="EG34" i="54"/>
  <c r="P8" i="54"/>
  <c r="Q8" i="54"/>
  <c r="R8" i="54"/>
  <c r="AG8" i="54"/>
  <c r="AH8" i="54"/>
  <c r="AI8" i="54"/>
  <c r="AJ8" i="54"/>
  <c r="AL8" i="54"/>
  <c r="AN8" i="54"/>
  <c r="AO8" i="54"/>
  <c r="AT8" i="54"/>
  <c r="AU8" i="54"/>
  <c r="AW8" i="54"/>
  <c r="AX8" i="54"/>
  <c r="AY8" i="54"/>
  <c r="BB8" i="54"/>
  <c r="BC8" i="54"/>
  <c r="BD8" i="54"/>
  <c r="BI8" i="54"/>
  <c r="BJ8" i="54"/>
  <c r="BL8" i="54"/>
  <c r="BM8" i="54"/>
  <c r="BN8" i="54"/>
  <c r="BQ8" i="54"/>
  <c r="CD8" i="54"/>
  <c r="CE8" i="54"/>
  <c r="CF8" i="54"/>
  <c r="CG8" i="54"/>
  <c r="CH8" i="54"/>
  <c r="CI8" i="54"/>
  <c r="CJ8" i="54"/>
  <c r="CM8" i="54"/>
  <c r="CN8" i="54"/>
  <c r="CQ8" i="54"/>
  <c r="CR8" i="54"/>
  <c r="CS8" i="54"/>
  <c r="CY8" i="54"/>
  <c r="CZ8" i="54"/>
  <c r="DA8" i="54"/>
  <c r="DB8" i="54"/>
  <c r="DE8" i="54"/>
  <c r="DF8" i="54"/>
  <c r="DG8" i="54"/>
  <c r="DL8" i="54"/>
  <c r="DN8" i="54"/>
  <c r="ED8" i="54"/>
  <c r="EF8" i="54"/>
  <c r="EG8" i="54"/>
  <c r="P9" i="54"/>
  <c r="Q9" i="54"/>
  <c r="R9" i="54"/>
  <c r="AG9" i="54"/>
  <c r="AH9" i="54"/>
  <c r="AI9" i="54"/>
  <c r="AJ9" i="54"/>
  <c r="AL9" i="54"/>
  <c r="AN9" i="54"/>
  <c r="AO9" i="54"/>
  <c r="AT9" i="54"/>
  <c r="AU9" i="54"/>
  <c r="AW9" i="54"/>
  <c r="AX9" i="54"/>
  <c r="AY9" i="54"/>
  <c r="BB9" i="54"/>
  <c r="BC9" i="54"/>
  <c r="BD9" i="54"/>
  <c r="BI9" i="54"/>
  <c r="BJ9" i="54"/>
  <c r="BL9" i="54"/>
  <c r="BM9" i="54"/>
  <c r="BN9" i="54"/>
  <c r="BQ9" i="54"/>
  <c r="CD9" i="54"/>
  <c r="CE9" i="54"/>
  <c r="CF9" i="54"/>
  <c r="CG9" i="54"/>
  <c r="CH9" i="54"/>
  <c r="CI9" i="54"/>
  <c r="CJ9" i="54"/>
  <c r="CM9" i="54"/>
  <c r="CN9" i="54"/>
  <c r="CQ9" i="54"/>
  <c r="CR9" i="54"/>
  <c r="CS9" i="54"/>
  <c r="CY9" i="54"/>
  <c r="CZ9" i="54"/>
  <c r="DA9" i="54"/>
  <c r="DB9" i="54"/>
  <c r="DE9" i="54"/>
  <c r="DF9" i="54"/>
  <c r="DG9" i="54"/>
  <c r="DL9" i="54"/>
  <c r="DN9" i="54"/>
  <c r="ED9" i="54"/>
  <c r="EF9" i="54"/>
  <c r="EG9" i="54"/>
  <c r="P10" i="54"/>
  <c r="Q10" i="54"/>
  <c r="R10" i="54"/>
  <c r="AG10" i="54"/>
  <c r="AH10" i="54"/>
  <c r="AI10" i="54"/>
  <c r="AJ10" i="54"/>
  <c r="AL10" i="54"/>
  <c r="AN10" i="54"/>
  <c r="AO10" i="54"/>
  <c r="AT10" i="54"/>
  <c r="AU10" i="54"/>
  <c r="AW10" i="54"/>
  <c r="AX10" i="54"/>
  <c r="AY10" i="54"/>
  <c r="BB10" i="54"/>
  <c r="BC10" i="54"/>
  <c r="BD10" i="54"/>
  <c r="BI10" i="54"/>
  <c r="BJ10" i="54"/>
  <c r="BL10" i="54"/>
  <c r="BM10" i="54"/>
  <c r="BN10" i="54"/>
  <c r="BQ10" i="54"/>
  <c r="CD10" i="54"/>
  <c r="CE10" i="54"/>
  <c r="CF10" i="54"/>
  <c r="CG10" i="54"/>
  <c r="CH10" i="54"/>
  <c r="CI10" i="54"/>
  <c r="CJ10" i="54"/>
  <c r="CM10" i="54"/>
  <c r="CN10" i="54"/>
  <c r="CQ10" i="54"/>
  <c r="CR10" i="54"/>
  <c r="CS10" i="54"/>
  <c r="CY10" i="54"/>
  <c r="CZ10" i="54"/>
  <c r="DB10" i="54"/>
  <c r="DE10" i="54"/>
  <c r="DF10" i="54"/>
  <c r="DG10" i="54"/>
  <c r="DL10" i="54"/>
  <c r="DN10" i="54"/>
  <c r="ED10" i="54"/>
  <c r="EF10" i="54"/>
  <c r="EG10" i="54"/>
  <c r="P11" i="54"/>
  <c r="Q11" i="54"/>
  <c r="R11" i="54"/>
  <c r="AG11" i="54"/>
  <c r="AH11" i="54"/>
  <c r="AI11" i="54"/>
  <c r="AJ11" i="54"/>
  <c r="AL11" i="54"/>
  <c r="AN11" i="54"/>
  <c r="AO11" i="54"/>
  <c r="AT11" i="54"/>
  <c r="AU11" i="54"/>
  <c r="AW11" i="54"/>
  <c r="AX11" i="54"/>
  <c r="AY11" i="54"/>
  <c r="BB11" i="54"/>
  <c r="BC11" i="54"/>
  <c r="BD11" i="54"/>
  <c r="BI11" i="54"/>
  <c r="BJ11" i="54"/>
  <c r="BL11" i="54"/>
  <c r="BM11" i="54"/>
  <c r="BN11" i="54"/>
  <c r="BQ11" i="54"/>
  <c r="CD11" i="54"/>
  <c r="CE11" i="54"/>
  <c r="CF11" i="54"/>
  <c r="CG11" i="54"/>
  <c r="CH11" i="54"/>
  <c r="CI11" i="54"/>
  <c r="CJ11" i="54"/>
  <c r="CM11" i="54"/>
  <c r="CN11" i="54"/>
  <c r="CQ11" i="54"/>
  <c r="CR11" i="54"/>
  <c r="CS11" i="54"/>
  <c r="CY11" i="54"/>
  <c r="CZ11" i="54"/>
  <c r="DA11" i="54"/>
  <c r="DB11" i="54"/>
  <c r="DE11" i="54"/>
  <c r="DF11" i="54"/>
  <c r="DG11" i="54"/>
  <c r="DL11" i="54"/>
  <c r="DN11" i="54"/>
  <c r="ED11" i="54"/>
  <c r="EF11" i="54"/>
  <c r="EG11" i="54"/>
  <c r="P12" i="54"/>
  <c r="Q12" i="54"/>
  <c r="R12" i="54"/>
  <c r="AG12" i="54"/>
  <c r="AH12" i="54"/>
  <c r="AI12" i="54"/>
  <c r="AJ12" i="54"/>
  <c r="AL12" i="54"/>
  <c r="AN12" i="54"/>
  <c r="AO12" i="54"/>
  <c r="AT12" i="54"/>
  <c r="AU12" i="54"/>
  <c r="AW12" i="54"/>
  <c r="AX12" i="54"/>
  <c r="AY12" i="54"/>
  <c r="BB12" i="54"/>
  <c r="BC12" i="54"/>
  <c r="BD12" i="54"/>
  <c r="BI12" i="54"/>
  <c r="BJ12" i="54"/>
  <c r="BL12" i="54"/>
  <c r="BM12" i="54"/>
  <c r="BN12" i="54"/>
  <c r="BQ12" i="54"/>
  <c r="CD12" i="54"/>
  <c r="CE12" i="54"/>
  <c r="CF12" i="54"/>
  <c r="CG12" i="54"/>
  <c r="CH12" i="54"/>
  <c r="CI12" i="54"/>
  <c r="CJ12" i="54"/>
  <c r="CM12" i="54"/>
  <c r="CN12" i="54"/>
  <c r="CQ12" i="54"/>
  <c r="CR12" i="54"/>
  <c r="CS12" i="54"/>
  <c r="CY12" i="54"/>
  <c r="CZ12" i="54"/>
  <c r="DB12" i="54"/>
  <c r="DE12" i="54"/>
  <c r="DF12" i="54"/>
  <c r="DG12" i="54"/>
  <c r="DL12" i="54"/>
  <c r="DN12" i="54"/>
  <c r="ED12" i="54"/>
  <c r="EF12" i="54"/>
  <c r="EG12" i="54"/>
  <c r="P13" i="54"/>
  <c r="Q13" i="54"/>
  <c r="R13" i="54"/>
  <c r="AG13" i="54"/>
  <c r="AH13" i="54"/>
  <c r="AI13" i="54"/>
  <c r="AJ13" i="54"/>
  <c r="AL13" i="54"/>
  <c r="AN13" i="54"/>
  <c r="AO13" i="54"/>
  <c r="AT13" i="54"/>
  <c r="AU13" i="54"/>
  <c r="AW13" i="54"/>
  <c r="AX13" i="54"/>
  <c r="AY13" i="54"/>
  <c r="BB13" i="54"/>
  <c r="BC13" i="54"/>
  <c r="BD13" i="54"/>
  <c r="BI13" i="54"/>
  <c r="BJ13" i="54"/>
  <c r="BL13" i="54"/>
  <c r="BM13" i="54"/>
  <c r="BN13" i="54"/>
  <c r="BQ13" i="54"/>
  <c r="CD13" i="54"/>
  <c r="CE13" i="54"/>
  <c r="CF13" i="54"/>
  <c r="CG13" i="54"/>
  <c r="CH13" i="54"/>
  <c r="CI13" i="54"/>
  <c r="CJ13" i="54"/>
  <c r="CM13" i="54"/>
  <c r="CN13" i="54"/>
  <c r="CQ13" i="54"/>
  <c r="CR13" i="54"/>
  <c r="CS13" i="54"/>
  <c r="CY13" i="54"/>
  <c r="CZ13" i="54"/>
  <c r="DB13" i="54"/>
  <c r="DE13" i="54"/>
  <c r="DF13" i="54"/>
  <c r="DG13" i="54"/>
  <c r="DL13" i="54"/>
  <c r="DN13" i="54"/>
  <c r="ED13" i="54"/>
  <c r="EF13" i="54"/>
  <c r="EG13" i="54"/>
  <c r="P14" i="54"/>
  <c r="Q14" i="54"/>
  <c r="R14" i="54"/>
  <c r="AG14" i="54"/>
  <c r="AH14" i="54"/>
  <c r="AI14" i="54"/>
  <c r="AJ14" i="54"/>
  <c r="AL14" i="54"/>
  <c r="AN14" i="54"/>
  <c r="AO14" i="54"/>
  <c r="AT14" i="54"/>
  <c r="AU14" i="54"/>
  <c r="AW14" i="54"/>
  <c r="AX14" i="54"/>
  <c r="AY14" i="54"/>
  <c r="BB14" i="54"/>
  <c r="BC14" i="54"/>
  <c r="BD14" i="54"/>
  <c r="BI14" i="54"/>
  <c r="BJ14" i="54"/>
  <c r="BL14" i="54"/>
  <c r="BM14" i="54"/>
  <c r="BN14" i="54"/>
  <c r="BQ14" i="54"/>
  <c r="CD14" i="54"/>
  <c r="CE14" i="54"/>
  <c r="CF14" i="54"/>
  <c r="CG14" i="54"/>
  <c r="CH14" i="54"/>
  <c r="CI14" i="54"/>
  <c r="CJ14" i="54"/>
  <c r="CM14" i="54"/>
  <c r="CN14" i="54"/>
  <c r="CQ14" i="54"/>
  <c r="CR14" i="54"/>
  <c r="CS14" i="54"/>
  <c r="CY14" i="54"/>
  <c r="CZ14" i="54"/>
  <c r="DA14" i="54"/>
  <c r="DB14" i="54"/>
  <c r="DE14" i="54"/>
  <c r="DF14" i="54"/>
  <c r="DG14" i="54"/>
  <c r="DL14" i="54"/>
  <c r="DN14" i="54"/>
  <c r="ED14" i="54"/>
  <c r="EF14" i="54"/>
  <c r="EG14" i="54"/>
  <c r="X33" i="25"/>
  <c r="DV33" i="25"/>
  <c r="DW33" i="25"/>
  <c r="DQ33" i="25"/>
  <c r="DS33" i="25"/>
  <c r="DM33" i="25"/>
  <c r="X27" i="25"/>
  <c r="L33" i="25"/>
  <c r="EY16" i="1"/>
  <c r="DH16" i="1"/>
  <c r="CZ16" i="1"/>
  <c r="DA16" i="1" s="1"/>
  <c r="DB16" i="1"/>
  <c r="CY16" i="1"/>
  <c r="BB16" i="1"/>
  <c r="BI16" i="1"/>
  <c r="AX16" i="1"/>
  <c r="E16" i="1" s="1"/>
  <c r="AS16" i="1"/>
  <c r="BM13" i="40"/>
  <c r="BJ13" i="40"/>
  <c r="BG13" i="40"/>
  <c r="BD13" i="40"/>
  <c r="BA13" i="40"/>
  <c r="AX13" i="40"/>
  <c r="P13" i="40"/>
  <c r="DL33" i="25" s="1"/>
  <c r="S13" i="40"/>
  <c r="V13" i="40"/>
  <c r="G13" i="40"/>
  <c r="J13" i="40" s="1"/>
  <c r="DX13" i="40" s="1"/>
  <c r="BL17" i="26"/>
  <c r="AG17" i="26"/>
  <c r="CW17" i="26" s="1"/>
  <c r="AH17" i="26"/>
  <c r="AF17" i="26"/>
  <c r="S17" i="26"/>
  <c r="V17" i="26"/>
  <c r="F36" i="20"/>
  <c r="I36" i="20"/>
  <c r="G36" i="20" s="1"/>
  <c r="H36" i="20" s="1"/>
  <c r="J36" i="20"/>
  <c r="L36" i="20" s="1"/>
  <c r="K36" i="20"/>
  <c r="M36" i="20"/>
  <c r="N36" i="20"/>
  <c r="O36" i="20"/>
  <c r="L13" i="40"/>
  <c r="R13" i="40" s="1"/>
  <c r="AM16" i="1"/>
  <c r="BO16" i="1"/>
  <c r="CP16" i="1" s="1"/>
  <c r="DR16" i="1"/>
  <c r="DU16" i="1"/>
  <c r="EH16" i="1"/>
  <c r="EJ16" i="1"/>
  <c r="AH16" i="1"/>
  <c r="F31" i="51"/>
  <c r="G31" i="51"/>
  <c r="H31" i="51"/>
  <c r="T16" i="1" s="1"/>
  <c r="Q17" i="26" s="1"/>
  <c r="I31" i="51"/>
  <c r="CB16" i="1" s="1"/>
  <c r="AI17" i="26" s="1"/>
  <c r="J31" i="51"/>
  <c r="CC16" i="1" s="1"/>
  <c r="A31" i="51"/>
  <c r="U16" i="1"/>
  <c r="W16" i="1"/>
  <c r="BC53" i="31"/>
  <c r="AY53" i="31"/>
  <c r="BH53" i="31" s="1"/>
  <c r="AY22" i="31"/>
  <c r="BH22" i="31" s="1"/>
  <c r="DA21" i="31"/>
  <c r="BM22" i="40"/>
  <c r="BM11" i="40"/>
  <c r="BM5" i="40"/>
  <c r="BM14" i="40"/>
  <c r="BM4" i="40"/>
  <c r="BM6" i="40"/>
  <c r="BM10" i="40"/>
  <c r="BM16" i="40"/>
  <c r="BM19" i="40"/>
  <c r="BM23" i="40"/>
  <c r="BM31" i="40"/>
  <c r="BM17" i="40"/>
  <c r="BM20" i="40"/>
  <c r="BM27" i="40"/>
  <c r="BM12" i="40"/>
  <c r="BM21" i="40"/>
  <c r="BM18" i="40"/>
  <c r="BM9" i="40"/>
  <c r="BM30" i="40"/>
  <c r="BM24" i="40"/>
  <c r="BM7" i="40"/>
  <c r="BM26" i="40"/>
  <c r="BM29" i="40"/>
  <c r="BM8" i="40"/>
  <c r="BM25" i="40"/>
  <c r="BM15" i="40"/>
  <c r="BM74" i="40"/>
  <c r="BM47" i="40"/>
  <c r="BM53" i="40"/>
  <c r="BM67" i="40"/>
  <c r="BM49" i="40"/>
  <c r="BM66" i="40"/>
  <c r="BM54" i="40"/>
  <c r="BM77" i="40"/>
  <c r="BM81" i="40"/>
  <c r="BM64" i="40"/>
  <c r="BM44" i="40"/>
  <c r="BM58" i="40"/>
  <c r="BM45" i="40"/>
  <c r="BM72" i="40"/>
  <c r="BM51" i="40"/>
  <c r="BM50" i="40"/>
  <c r="BM40" i="40"/>
  <c r="BM43" i="40"/>
  <c r="BM41" i="40"/>
  <c r="BM55" i="40"/>
  <c r="BM76" i="40"/>
  <c r="BM38" i="40"/>
  <c r="BM52" i="40"/>
  <c r="BM37" i="40"/>
  <c r="BM80" i="40"/>
  <c r="BM79" i="40"/>
  <c r="BM60" i="40"/>
  <c r="BM48" i="40"/>
  <c r="BM73" i="40"/>
  <c r="BM57" i="40"/>
  <c r="BM46" i="40"/>
  <c r="BM61" i="40"/>
  <c r="BM78" i="40"/>
  <c r="BM70" i="40"/>
  <c r="BM75" i="40"/>
  <c r="BM59" i="40"/>
  <c r="BM71" i="40"/>
  <c r="BM84" i="40"/>
  <c r="BM63" i="40"/>
  <c r="BM39" i="40"/>
  <c r="BM86" i="40"/>
  <c r="BM83" i="40"/>
  <c r="BM42" i="40"/>
  <c r="BM91" i="40"/>
  <c r="BM92" i="40"/>
  <c r="BM93" i="40"/>
  <c r="BM32" i="40"/>
  <c r="F19" i="51"/>
  <c r="G19" i="51"/>
  <c r="H19" i="51"/>
  <c r="I19" i="51"/>
  <c r="J19" i="51"/>
  <c r="AX30" i="1"/>
  <c r="AX24" i="1"/>
  <c r="AX15" i="1"/>
  <c r="AX34" i="1"/>
  <c r="AX10" i="1"/>
  <c r="AX33" i="1"/>
  <c r="AX9" i="1"/>
  <c r="AX22" i="1"/>
  <c r="AX20" i="1"/>
  <c r="AX29" i="1"/>
  <c r="AX11" i="1"/>
  <c r="AX28" i="1"/>
  <c r="AX32" i="1"/>
  <c r="AX21" i="1"/>
  <c r="AX8" i="1"/>
  <c r="AX12" i="1"/>
  <c r="AX18" i="1"/>
  <c r="AX26" i="1"/>
  <c r="AX7" i="1"/>
  <c r="AX19" i="1"/>
  <c r="AX27" i="1"/>
  <c r="AX17" i="1"/>
  <c r="AX35" i="1"/>
  <c r="AX14" i="1"/>
  <c r="AX23" i="1"/>
  <c r="AX13" i="1"/>
  <c r="DR25" i="1"/>
  <c r="O16" i="1" l="1"/>
  <c r="BH17" i="26"/>
  <c r="CG17" i="26"/>
  <c r="V16" i="1"/>
  <c r="V20" i="1"/>
  <c r="AV5" i="49"/>
  <c r="AY5" i="49" s="1"/>
  <c r="AV7" i="49"/>
  <c r="AY7" i="49" s="1"/>
  <c r="AV27" i="49"/>
  <c r="AY27" i="49" s="1"/>
  <c r="AV22" i="49"/>
  <c r="AY22" i="49" s="1"/>
  <c r="AV17" i="49"/>
  <c r="AY17" i="49" s="1"/>
  <c r="AV12" i="49"/>
  <c r="AY12" i="49" s="1"/>
  <c r="AV6" i="49"/>
  <c r="AY6" i="49" s="1"/>
  <c r="AV26" i="49"/>
  <c r="AY26" i="49" s="1"/>
  <c r="AV21" i="49"/>
  <c r="AY21" i="49" s="1"/>
  <c r="AV11" i="49"/>
  <c r="AY11" i="49" s="1"/>
  <c r="AV4" i="49"/>
  <c r="AY4" i="49" s="1"/>
  <c r="AV16" i="49"/>
  <c r="AY16" i="49" s="1"/>
  <c r="AV10" i="49"/>
  <c r="AY10" i="49" s="1"/>
  <c r="AV31" i="49"/>
  <c r="AY31" i="49" s="1"/>
  <c r="AV25" i="49"/>
  <c r="AY25" i="49" s="1"/>
  <c r="AV20" i="49"/>
  <c r="AY20" i="49" s="1"/>
  <c r="AV15" i="49"/>
  <c r="AY15" i="49" s="1"/>
  <c r="AV9" i="49"/>
  <c r="AY9" i="49" s="1"/>
  <c r="AV29" i="49"/>
  <c r="AY29" i="49" s="1"/>
  <c r="AV24" i="49"/>
  <c r="AY24" i="49" s="1"/>
  <c r="AV19" i="49"/>
  <c r="AY19" i="49" s="1"/>
  <c r="AV14" i="49"/>
  <c r="AY14" i="49" s="1"/>
  <c r="AV8" i="49"/>
  <c r="AY8" i="49" s="1"/>
  <c r="AV28" i="49"/>
  <c r="AY28" i="49" s="1"/>
  <c r="AV23" i="49"/>
  <c r="AY23" i="49" s="1"/>
  <c r="AV18" i="49"/>
  <c r="AY18" i="49" s="1"/>
  <c r="AV13" i="49"/>
  <c r="AY13" i="49" s="1"/>
  <c r="AV34" i="54"/>
  <c r="E17" i="26"/>
  <c r="R17" i="26"/>
  <c r="Y16" i="1"/>
  <c r="DH15" i="40"/>
  <c r="DH11" i="40"/>
  <c r="DH83" i="40"/>
  <c r="DH73" i="40"/>
  <c r="DH47" i="40"/>
  <c r="DH42" i="40"/>
  <c r="DH84" i="40"/>
  <c r="DH70" i="40"/>
  <c r="DH57" i="40"/>
  <c r="DH76" i="40"/>
  <c r="DH50" i="40"/>
  <c r="DH58" i="40"/>
  <c r="DH53" i="40"/>
  <c r="DH55" i="40"/>
  <c r="DH48" i="40"/>
  <c r="DH59" i="40"/>
  <c r="DH37" i="40"/>
  <c r="DH51" i="40"/>
  <c r="DH64" i="40"/>
  <c r="DH66" i="40"/>
  <c r="DH74" i="40"/>
  <c r="DH54" i="40"/>
  <c r="DH78" i="40"/>
  <c r="DH44" i="40"/>
  <c r="DH86" i="40"/>
  <c r="DH41" i="40"/>
  <c r="DH81" i="40"/>
  <c r="DH77" i="40"/>
  <c r="DH71" i="40"/>
  <c r="DH80" i="40"/>
  <c r="DH39" i="40"/>
  <c r="DH75" i="40"/>
  <c r="DH61" i="40"/>
  <c r="DH60" i="40"/>
  <c r="DH52" i="40"/>
  <c r="DH43" i="40"/>
  <c r="DH72" i="40"/>
  <c r="DH49" i="40"/>
  <c r="DH63" i="40"/>
  <c r="DH46" i="40"/>
  <c r="DH79" i="40"/>
  <c r="DH38" i="40"/>
  <c r="DH40" i="40"/>
  <c r="DH45" i="40"/>
  <c r="DH67" i="40"/>
  <c r="DH22" i="40"/>
  <c r="AR9" i="49"/>
  <c r="AS9" i="49" s="1"/>
  <c r="AT9" i="49"/>
  <c r="AR24" i="49"/>
  <c r="AS24" i="49" s="1"/>
  <c r="AT24" i="49"/>
  <c r="AR14" i="49"/>
  <c r="AS14" i="49" s="1"/>
  <c r="AT14" i="49"/>
  <c r="AR8" i="49"/>
  <c r="AS8" i="49" s="1"/>
  <c r="AT8" i="49"/>
  <c r="AR18" i="49"/>
  <c r="AS18" i="49" s="1"/>
  <c r="AT18" i="49"/>
  <c r="AR10" i="49"/>
  <c r="AS10" i="49" s="1"/>
  <c r="AT10" i="49"/>
  <c r="AT31" i="49"/>
  <c r="AR31" i="49"/>
  <c r="AS31" i="49" s="1"/>
  <c r="AR25" i="49"/>
  <c r="AS25" i="49" s="1"/>
  <c r="AT25" i="49"/>
  <c r="AT20" i="49"/>
  <c r="AR20" i="49"/>
  <c r="AS20" i="49" s="1"/>
  <c r="AT15" i="49"/>
  <c r="AR15" i="49"/>
  <c r="AS15" i="49" s="1"/>
  <c r="AT5" i="49"/>
  <c r="AR5" i="49"/>
  <c r="AS5" i="49" s="1"/>
  <c r="AR29" i="49"/>
  <c r="AS29" i="49" s="1"/>
  <c r="AT29" i="49"/>
  <c r="AR28" i="49"/>
  <c r="AS28" i="49" s="1"/>
  <c r="AT28" i="49"/>
  <c r="AR13" i="49"/>
  <c r="AS13" i="49" s="1"/>
  <c r="AT13" i="49"/>
  <c r="AT7" i="49"/>
  <c r="AR7" i="49"/>
  <c r="AS7" i="49" s="1"/>
  <c r="AR4" i="49"/>
  <c r="AS4" i="49" s="1"/>
  <c r="AT4" i="49"/>
  <c r="AR26" i="49"/>
  <c r="AS26" i="49" s="1"/>
  <c r="AT26" i="49"/>
  <c r="AT21" i="49"/>
  <c r="AR21" i="49"/>
  <c r="AS21" i="49" s="1"/>
  <c r="AT11" i="49"/>
  <c r="AR11" i="49"/>
  <c r="AS11" i="49" s="1"/>
  <c r="AR19" i="49"/>
  <c r="AS19" i="49" s="1"/>
  <c r="AT19" i="49"/>
  <c r="AT23" i="49"/>
  <c r="AR23" i="49"/>
  <c r="AS23" i="49" s="1"/>
  <c r="AT27" i="49"/>
  <c r="AR27" i="49"/>
  <c r="AS27" i="49" s="1"/>
  <c r="AR22" i="49"/>
  <c r="AS22" i="49" s="1"/>
  <c r="AT22" i="49"/>
  <c r="AR17" i="49"/>
  <c r="AS17" i="49" s="1"/>
  <c r="AT17" i="49"/>
  <c r="AT12" i="49"/>
  <c r="AR12" i="49"/>
  <c r="AS12" i="49" s="1"/>
  <c r="AR6" i="49"/>
  <c r="AS6" i="49" s="1"/>
  <c r="AT6" i="49"/>
  <c r="AR16" i="49"/>
  <c r="AS16" i="49" s="1"/>
  <c r="AT16" i="49"/>
  <c r="DH5" i="40"/>
  <c r="DH32" i="40"/>
  <c r="AV28" i="54"/>
  <c r="AV27" i="54"/>
  <c r="AV26" i="54"/>
  <c r="AV31" i="54"/>
  <c r="AV30" i="54"/>
  <c r="DH13" i="40"/>
  <c r="DH4" i="40"/>
  <c r="DH18" i="40"/>
  <c r="DH10" i="40"/>
  <c r="AV22" i="54"/>
  <c r="DH8" i="40"/>
  <c r="DH27" i="40"/>
  <c r="M33" i="25"/>
  <c r="N33" i="25" s="1"/>
  <c r="DH6" i="40"/>
  <c r="DH14" i="40"/>
  <c r="W13" i="40"/>
  <c r="P33" i="25"/>
  <c r="T33" i="25"/>
  <c r="DO33" i="25"/>
  <c r="DN33" i="25" s="1"/>
  <c r="EB16" i="1" s="1"/>
  <c r="AV29" i="54"/>
  <c r="AV25" i="54"/>
  <c r="AV32" i="54"/>
  <c r="AV33" i="54"/>
  <c r="AV24" i="54"/>
  <c r="AV20" i="54"/>
  <c r="AV18" i="54"/>
  <c r="AV16" i="54"/>
  <c r="AV21" i="54"/>
  <c r="AV19" i="54"/>
  <c r="AV23" i="54"/>
  <c r="AV17" i="54"/>
  <c r="EF16" i="1"/>
  <c r="BZ17" i="26"/>
  <c r="DR33" i="25"/>
  <c r="V33" i="25"/>
  <c r="DU33" i="25"/>
  <c r="R33" i="25"/>
  <c r="DM16" i="1"/>
  <c r="DH30" i="40"/>
  <c r="DH12" i="40"/>
  <c r="DH16" i="40"/>
  <c r="DH9" i="40"/>
  <c r="DH25" i="40"/>
  <c r="DH19" i="40"/>
  <c r="DH26" i="40"/>
  <c r="DH17" i="40"/>
  <c r="DH23" i="40"/>
  <c r="DH20" i="40"/>
  <c r="DH7" i="40"/>
  <c r="DH21" i="40"/>
  <c r="DH24" i="40"/>
  <c r="DH31" i="40"/>
  <c r="DC16" i="1"/>
  <c r="CU16" i="1"/>
  <c r="CT16" i="1" s="1"/>
  <c r="U13" i="40"/>
  <c r="BS17" i="26"/>
  <c r="ED16" i="1"/>
  <c r="AK17" i="26"/>
  <c r="I13" i="40"/>
  <c r="DP33" i="25" s="1"/>
  <c r="DT33" i="25" s="1"/>
  <c r="T13" i="40"/>
  <c r="U17" i="26"/>
  <c r="AT17" i="26"/>
  <c r="CD16" i="1"/>
  <c r="BA17" i="26"/>
  <c r="AD17" i="26"/>
  <c r="F16" i="1"/>
  <c r="BG16" i="1"/>
  <c r="BH16" i="1" s="1"/>
  <c r="DH29" i="40"/>
  <c r="AE17" i="26"/>
  <c r="AA16" i="1"/>
  <c r="BM1" i="40"/>
  <c r="H499" i="45"/>
  <c r="S16" i="1" l="1"/>
  <c r="AU5" i="49"/>
  <c r="AW29" i="49"/>
  <c r="AW9" i="49"/>
  <c r="AU8" i="49"/>
  <c r="AW20" i="49"/>
  <c r="AW15" i="49"/>
  <c r="AW26" i="49"/>
  <c r="AW21" i="49"/>
  <c r="AW12" i="49"/>
  <c r="AW6" i="49"/>
  <c r="AW16" i="49"/>
  <c r="AW11" i="49"/>
  <c r="AW22" i="49"/>
  <c r="AW28" i="49"/>
  <c r="AW14" i="49"/>
  <c r="AW4" i="49"/>
  <c r="AU12" i="49"/>
  <c r="AW19" i="49"/>
  <c r="AU7" i="49"/>
  <c r="AU15" i="49"/>
  <c r="AW5" i="49"/>
  <c r="AW7" i="49"/>
  <c r="AW17" i="49"/>
  <c r="AW13" i="49"/>
  <c r="AW8" i="49"/>
  <c r="AW25" i="49"/>
  <c r="AU27" i="49"/>
  <c r="AU31" i="49"/>
  <c r="AW24" i="49"/>
  <c r="AU13" i="49"/>
  <c r="AW31" i="49"/>
  <c r="AW23" i="49"/>
  <c r="AU17" i="49"/>
  <c r="AU23" i="49"/>
  <c r="AW18" i="49"/>
  <c r="AU21" i="49"/>
  <c r="AW27" i="49"/>
  <c r="AW10" i="49"/>
  <c r="AU22" i="49"/>
  <c r="AU14" i="49"/>
  <c r="AU29" i="49"/>
  <c r="AU16" i="49"/>
  <c r="AU24" i="49"/>
  <c r="AU4" i="49"/>
  <c r="AU9" i="49"/>
  <c r="AU25" i="49"/>
  <c r="AU10" i="49"/>
  <c r="AU19" i="49"/>
  <c r="AU18" i="49"/>
  <c r="AU28" i="49"/>
  <c r="AU26" i="49"/>
  <c r="AU6" i="49"/>
  <c r="AU11" i="49"/>
  <c r="AU20" i="49"/>
  <c r="T17" i="26"/>
  <c r="CT17" i="26" s="1"/>
  <c r="C16" i="1"/>
  <c r="C17" i="26" s="1"/>
  <c r="S33" i="25"/>
  <c r="W33" i="25"/>
  <c r="Q33" i="25"/>
  <c r="X13" i="40"/>
  <c r="BS16" i="1" s="1"/>
  <c r="G33" i="25"/>
  <c r="BT16" i="1"/>
  <c r="EC16" i="1"/>
  <c r="F17" i="26"/>
  <c r="U33" i="25"/>
  <c r="O33" i="25"/>
  <c r="AO16" i="1"/>
  <c r="S74" i="33"/>
  <c r="T74" i="33"/>
  <c r="V74" i="33"/>
  <c r="AH74" i="33"/>
  <c r="AN74" i="33"/>
  <c r="AX74" i="33"/>
  <c r="BL74" i="33"/>
  <c r="EO12" i="31"/>
  <c r="J71" i="20"/>
  <c r="K71" i="20"/>
  <c r="I71" i="20"/>
  <c r="G71" i="20" s="1"/>
  <c r="H71" i="20" s="1"/>
  <c r="F71" i="20"/>
  <c r="DI12" i="31"/>
  <c r="DA12" i="31"/>
  <c r="DC12" i="31"/>
  <c r="CZ12" i="31"/>
  <c r="DQ12" i="31"/>
  <c r="DZ12" i="31"/>
  <c r="AL12" i="31"/>
  <c r="AK13" i="33"/>
  <c r="DB13" i="33" s="1"/>
  <c r="AL13" i="33"/>
  <c r="AJ13" i="33"/>
  <c r="T13" i="33"/>
  <c r="AG13" i="33"/>
  <c r="BP12" i="31"/>
  <c r="CQ12" i="31" s="1"/>
  <c r="BC12" i="31"/>
  <c r="BJ12" i="31"/>
  <c r="AY12" i="31"/>
  <c r="BH12" i="31" s="1"/>
  <c r="BJ42" i="40"/>
  <c r="BG42" i="40"/>
  <c r="DF42" i="40" s="1"/>
  <c r="BD42" i="40"/>
  <c r="DE42" i="40" s="1"/>
  <c r="BA42" i="40"/>
  <c r="DD42" i="40" s="1"/>
  <c r="AX42" i="40"/>
  <c r="DC42" i="40" s="1"/>
  <c r="P42" i="40"/>
  <c r="S42" i="40"/>
  <c r="V42" i="40"/>
  <c r="W42" i="40" s="1"/>
  <c r="L42" i="40"/>
  <c r="R42" i="40" s="1"/>
  <c r="AT12" i="31"/>
  <c r="AI12" i="31"/>
  <c r="D73" i="51"/>
  <c r="A259" i="35" s="1"/>
  <c r="F73" i="51"/>
  <c r="G73" i="51"/>
  <c r="H73" i="51"/>
  <c r="U12" i="31" s="1"/>
  <c r="I73" i="51"/>
  <c r="J73" i="51"/>
  <c r="A73" i="51"/>
  <c r="BY16" i="1" l="1"/>
  <c r="K31" i="51"/>
  <c r="W17" i="26"/>
  <c r="DT16" i="1"/>
  <c r="Z16" i="1"/>
  <c r="AD16" i="1"/>
  <c r="C13" i="40"/>
  <c r="AC16" i="1"/>
  <c r="AE16" i="1"/>
  <c r="CY13" i="40"/>
  <c r="DW13" i="40" s="1"/>
  <c r="X17" i="26" s="1"/>
  <c r="AG16" i="1"/>
  <c r="AB17" i="26" s="1"/>
  <c r="X16" i="1"/>
  <c r="AF16" i="1"/>
  <c r="DV16" i="1"/>
  <c r="DW16" i="1" s="1"/>
  <c r="BI12" i="31"/>
  <c r="CL13" i="33"/>
  <c r="AQ17" i="26"/>
  <c r="O12" i="31"/>
  <c r="DB12" i="31"/>
  <c r="E12" i="31"/>
  <c r="DV12" i="31"/>
  <c r="AB12" i="31"/>
  <c r="BE13" i="33"/>
  <c r="AC17" i="26"/>
  <c r="CD17" i="26"/>
  <c r="BE17" i="26"/>
  <c r="AX17" i="26"/>
  <c r="BW17" i="26"/>
  <c r="BK17" i="26"/>
  <c r="AO17" i="26"/>
  <c r="BP17" i="26"/>
  <c r="W12" i="31"/>
  <c r="CD12" i="31"/>
  <c r="CC12" i="31"/>
  <c r="AV79" i="49"/>
  <c r="AY79" i="49" s="1"/>
  <c r="BV16" i="1"/>
  <c r="D16" i="1" s="1"/>
  <c r="DY13" i="40" s="1"/>
  <c r="Z12" i="31"/>
  <c r="AR79" i="49"/>
  <c r="AS79" i="49" s="1"/>
  <c r="AT79" i="49"/>
  <c r="AR16" i="1"/>
  <c r="Y13" i="40"/>
  <c r="BK16" i="1" s="1"/>
  <c r="EE16" i="1"/>
  <c r="DG42" i="40"/>
  <c r="DD12" i="31"/>
  <c r="U42" i="40"/>
  <c r="X42" i="40" s="1"/>
  <c r="BT12" i="31" s="1"/>
  <c r="DN12" i="31"/>
  <c r="CV12" i="31"/>
  <c r="CU12" i="31" s="1"/>
  <c r="F12" i="31"/>
  <c r="F12" i="36" s="1"/>
  <c r="AX13" i="33"/>
  <c r="BL13" i="33"/>
  <c r="BX13" i="33"/>
  <c r="CE13" i="33"/>
  <c r="T42" i="40"/>
  <c r="EP84" i="25"/>
  <c r="EQ4" i="25"/>
  <c r="EO84" i="25"/>
  <c r="BL16" i="1" l="1"/>
  <c r="E33" i="25"/>
  <c r="AB16" i="1"/>
  <c r="AA17" i="26" s="1"/>
  <c r="Y17" i="26"/>
  <c r="Z17" i="26" s="1"/>
  <c r="AW79" i="49"/>
  <c r="AU79" i="49"/>
  <c r="AM13" i="33"/>
  <c r="Y42" i="40"/>
  <c r="F13" i="33"/>
  <c r="BU12" i="31"/>
  <c r="DT12" i="31"/>
  <c r="G13" i="33"/>
  <c r="CE12" i="31"/>
  <c r="T12" i="31"/>
  <c r="M31" i="51"/>
  <c r="DI16" i="1"/>
  <c r="BZ16" i="1"/>
  <c r="DX33" i="25"/>
  <c r="D33" i="25" s="1"/>
  <c r="DX16" i="1"/>
  <c r="CQ16" i="1"/>
  <c r="AT16" i="1"/>
  <c r="AJ17" i="26"/>
  <c r="BX16" i="1"/>
  <c r="BW16" i="1"/>
  <c r="EG16" i="1"/>
  <c r="DZ16" i="1"/>
  <c r="EQ81" i="25"/>
  <c r="H498" i="45"/>
  <c r="H497" i="45"/>
  <c r="F33" i="25" l="1"/>
  <c r="CA16" i="1"/>
  <c r="DO16" i="1"/>
  <c r="DP16" i="1" s="1"/>
  <c r="AD12" i="31"/>
  <c r="AE12" i="31"/>
  <c r="AA12" i="31"/>
  <c r="CY42" i="40"/>
  <c r="DW42" i="40" s="1"/>
  <c r="AA13" i="33" s="1"/>
  <c r="AH12" i="31"/>
  <c r="AG12" i="31"/>
  <c r="AF12" i="31"/>
  <c r="BZ12" i="31"/>
  <c r="Y12" i="31"/>
  <c r="DU12" i="31"/>
  <c r="DY33" i="25"/>
  <c r="CG16" i="1"/>
  <c r="CE16" i="1"/>
  <c r="D17" i="26"/>
  <c r="H496" i="45"/>
  <c r="H495" i="45"/>
  <c r="H492" i="45"/>
  <c r="H493" i="45"/>
  <c r="H494" i="45"/>
  <c r="AC12" i="31" l="1"/>
  <c r="DW12" i="31"/>
  <c r="CH16" i="1"/>
  <c r="CF16" i="1"/>
  <c r="H491" i="45"/>
  <c r="H490" i="45"/>
  <c r="H488" i="45"/>
  <c r="H489" i="45"/>
  <c r="H487" i="45"/>
  <c r="H486" i="45"/>
  <c r="I486" i="45"/>
  <c r="F486" i="45"/>
  <c r="E486" i="45" s="1"/>
  <c r="H485" i="45"/>
  <c r="H484" i="45"/>
  <c r="H483" i="45"/>
  <c r="H482" i="45"/>
  <c r="H481" i="45"/>
  <c r="H477" i="45"/>
  <c r="H478" i="45"/>
  <c r="H479" i="45"/>
  <c r="H480" i="45"/>
  <c r="H476" i="45"/>
  <c r="H475" i="45"/>
  <c r="H474" i="45"/>
  <c r="H473" i="45"/>
  <c r="H471" i="45"/>
  <c r="H470" i="45"/>
  <c r="F472" i="45"/>
  <c r="E472" i="45" s="1"/>
  <c r="H472" i="45"/>
  <c r="I472" i="45"/>
  <c r="H468" i="45"/>
  <c r="F456" i="45"/>
  <c r="E456" i="45" s="1"/>
  <c r="H456" i="45"/>
  <c r="I456" i="45"/>
  <c r="H467" i="45"/>
  <c r="H466" i="45"/>
  <c r="H465" i="45"/>
  <c r="H464" i="45"/>
  <c r="H463" i="45"/>
  <c r="H469" i="45"/>
  <c r="H462" i="45"/>
  <c r="H460" i="45"/>
  <c r="H461" i="45"/>
  <c r="H459" i="45"/>
  <c r="H458" i="45"/>
  <c r="H457" i="45"/>
  <c r="H455" i="45"/>
  <c r="H454" i="45"/>
  <c r="H453" i="45"/>
  <c r="H452" i="45"/>
  <c r="H451" i="45"/>
  <c r="H450" i="45"/>
  <c r="H449" i="45"/>
  <c r="H7" i="45"/>
  <c r="H8" i="45"/>
  <c r="H9" i="45"/>
  <c r="H10" i="45"/>
  <c r="H11" i="45"/>
  <c r="H12" i="45"/>
  <c r="H13" i="45"/>
  <c r="H14" i="45"/>
  <c r="H15" i="45"/>
  <c r="H16" i="45"/>
  <c r="H17" i="45"/>
  <c r="H18" i="45"/>
  <c r="H19" i="45"/>
  <c r="H20" i="45"/>
  <c r="H21" i="45"/>
  <c r="H22" i="45"/>
  <c r="H23" i="45"/>
  <c r="H24" i="45"/>
  <c r="H25" i="45"/>
  <c r="H26" i="45"/>
  <c r="H27" i="45"/>
  <c r="H28" i="45"/>
  <c r="H29" i="45"/>
  <c r="H30" i="45"/>
  <c r="H31" i="45"/>
  <c r="H32" i="45"/>
  <c r="H33" i="45"/>
  <c r="H34" i="45"/>
  <c r="H35" i="45"/>
  <c r="H36" i="45"/>
  <c r="H37" i="45"/>
  <c r="H38" i="45"/>
  <c r="H39" i="45"/>
  <c r="H40" i="45"/>
  <c r="H41" i="45"/>
  <c r="H42" i="45"/>
  <c r="H43" i="45"/>
  <c r="H44" i="45"/>
  <c r="H45" i="45"/>
  <c r="H46" i="45"/>
  <c r="H47" i="45"/>
  <c r="H48" i="45"/>
  <c r="H49" i="45"/>
  <c r="H50" i="45"/>
  <c r="H51" i="45"/>
  <c r="H52" i="45"/>
  <c r="H53" i="45"/>
  <c r="H54" i="45"/>
  <c r="H55" i="45"/>
  <c r="H56" i="45"/>
  <c r="H57" i="45"/>
  <c r="H58" i="45"/>
  <c r="H59" i="45"/>
  <c r="H60" i="45"/>
  <c r="H61" i="45"/>
  <c r="H62" i="45"/>
  <c r="I62" i="45"/>
  <c r="H63" i="45"/>
  <c r="H64" i="45"/>
  <c r="H65" i="45"/>
  <c r="H66" i="45"/>
  <c r="H67" i="45"/>
  <c r="H68" i="45"/>
  <c r="H69" i="45"/>
  <c r="H70" i="45"/>
  <c r="H71" i="45"/>
  <c r="H72" i="45"/>
  <c r="H73" i="45"/>
  <c r="I73" i="45"/>
  <c r="H74" i="45"/>
  <c r="H75" i="45"/>
  <c r="H76" i="45"/>
  <c r="H77" i="45"/>
  <c r="H78" i="45"/>
  <c r="H79" i="45"/>
  <c r="H80" i="45"/>
  <c r="H81" i="45"/>
  <c r="H82" i="45"/>
  <c r="H83" i="45"/>
  <c r="H84" i="45"/>
  <c r="H85" i="45"/>
  <c r="I85" i="45"/>
  <c r="H86" i="45"/>
  <c r="H87" i="45"/>
  <c r="H88" i="45"/>
  <c r="H89" i="45"/>
  <c r="I89" i="45"/>
  <c r="H90" i="45"/>
  <c r="H91" i="45"/>
  <c r="H92" i="45"/>
  <c r="H93" i="45"/>
  <c r="H94" i="45"/>
  <c r="H95" i="45"/>
  <c r="H96" i="45"/>
  <c r="H97" i="45"/>
  <c r="H98" i="45"/>
  <c r="H99" i="45"/>
  <c r="H100" i="45"/>
  <c r="H101" i="45"/>
  <c r="H102" i="45"/>
  <c r="H103" i="45"/>
  <c r="I103" i="45"/>
  <c r="H104" i="45"/>
  <c r="H105" i="45"/>
  <c r="H106" i="45"/>
  <c r="H107" i="45"/>
  <c r="I107" i="45"/>
  <c r="H108" i="45"/>
  <c r="H109" i="45"/>
  <c r="H110" i="45"/>
  <c r="H111" i="45"/>
  <c r="I111" i="45"/>
  <c r="H112" i="45"/>
  <c r="H113" i="45"/>
  <c r="H114" i="45"/>
  <c r="I114" i="45"/>
  <c r="H115" i="45"/>
  <c r="H116" i="45"/>
  <c r="I116" i="45"/>
  <c r="H117" i="45"/>
  <c r="H118" i="45"/>
  <c r="H119" i="45"/>
  <c r="H120" i="45"/>
  <c r="H121" i="45"/>
  <c r="I121" i="45"/>
  <c r="H122" i="45"/>
  <c r="H123" i="45"/>
  <c r="H124" i="45"/>
  <c r="I124" i="45"/>
  <c r="H125" i="45"/>
  <c r="H126" i="45"/>
  <c r="H127" i="45"/>
  <c r="H128" i="45"/>
  <c r="H129" i="45"/>
  <c r="H130" i="45"/>
  <c r="H131" i="45"/>
  <c r="H132" i="45"/>
  <c r="H133" i="45"/>
  <c r="H134" i="45"/>
  <c r="H135" i="45"/>
  <c r="H136" i="45"/>
  <c r="I136" i="45"/>
  <c r="H137" i="45"/>
  <c r="H138" i="45"/>
  <c r="H139" i="45"/>
  <c r="H140" i="45"/>
  <c r="H141" i="45"/>
  <c r="H142" i="45"/>
  <c r="H143" i="45"/>
  <c r="H144" i="45"/>
  <c r="H145" i="45"/>
  <c r="I145" i="45"/>
  <c r="H146" i="45"/>
  <c r="I146" i="45"/>
  <c r="H147" i="45"/>
  <c r="H148" i="45"/>
  <c r="H149" i="45"/>
  <c r="H150" i="45"/>
  <c r="H151" i="45"/>
  <c r="I151" i="45"/>
  <c r="H152" i="45"/>
  <c r="H153" i="45"/>
  <c r="H154" i="45"/>
  <c r="H155" i="45"/>
  <c r="H156" i="45"/>
  <c r="H157" i="45"/>
  <c r="I157" i="45"/>
  <c r="H158" i="45"/>
  <c r="I158" i="45"/>
  <c r="H159" i="45"/>
  <c r="H160" i="45"/>
  <c r="H161" i="45"/>
  <c r="H162" i="45"/>
  <c r="H163" i="45"/>
  <c r="H164" i="45"/>
  <c r="H165" i="45"/>
  <c r="I165" i="45"/>
  <c r="H166" i="45"/>
  <c r="H167" i="45"/>
  <c r="H168" i="45"/>
  <c r="H169" i="45"/>
  <c r="H170" i="45"/>
  <c r="H171" i="45"/>
  <c r="H172" i="45"/>
  <c r="H173" i="45"/>
  <c r="H174" i="45"/>
  <c r="H175" i="45"/>
  <c r="H176" i="45"/>
  <c r="I176" i="45"/>
  <c r="H177" i="45"/>
  <c r="H178" i="45"/>
  <c r="H179" i="45"/>
  <c r="H180" i="45"/>
  <c r="H181" i="45"/>
  <c r="I181" i="45"/>
  <c r="H182" i="45"/>
  <c r="H183" i="45"/>
  <c r="H184" i="45"/>
  <c r="H185" i="45"/>
  <c r="H186" i="45"/>
  <c r="H187" i="45"/>
  <c r="H188" i="45"/>
  <c r="H189" i="45"/>
  <c r="I189" i="45"/>
  <c r="H190" i="45"/>
  <c r="H191" i="45"/>
  <c r="H192" i="45"/>
  <c r="H193" i="45"/>
  <c r="H194" i="45"/>
  <c r="H195" i="45"/>
  <c r="H196" i="45"/>
  <c r="H197" i="45"/>
  <c r="H198" i="45"/>
  <c r="H199" i="45"/>
  <c r="H200" i="45"/>
  <c r="H201" i="45"/>
  <c r="H202" i="45"/>
  <c r="H203" i="45"/>
  <c r="I203" i="45"/>
  <c r="H204" i="45"/>
  <c r="H205" i="45"/>
  <c r="H206" i="45"/>
  <c r="H207" i="45"/>
  <c r="H208" i="45"/>
  <c r="H209" i="45"/>
  <c r="H210" i="45"/>
  <c r="H211" i="45"/>
  <c r="H212" i="45"/>
  <c r="H213" i="45"/>
  <c r="I213" i="45"/>
  <c r="H214" i="45"/>
  <c r="H215" i="45"/>
  <c r="H216" i="45"/>
  <c r="H217" i="45"/>
  <c r="H218" i="45"/>
  <c r="H219" i="45"/>
  <c r="H220" i="45"/>
  <c r="H221" i="45"/>
  <c r="H222" i="45"/>
  <c r="I222" i="45"/>
  <c r="H223" i="45"/>
  <c r="H224" i="45"/>
  <c r="H225" i="45"/>
  <c r="H226" i="45"/>
  <c r="H227" i="45"/>
  <c r="H228" i="45"/>
  <c r="H229" i="45"/>
  <c r="H230" i="45"/>
  <c r="H231" i="45"/>
  <c r="H232" i="45"/>
  <c r="H233" i="45"/>
  <c r="H234" i="45"/>
  <c r="H235" i="45"/>
  <c r="H236" i="45"/>
  <c r="H237" i="45"/>
  <c r="H238" i="45"/>
  <c r="H239" i="45"/>
  <c r="H240" i="45"/>
  <c r="H241" i="45"/>
  <c r="H242" i="45"/>
  <c r="I242" i="45"/>
  <c r="H243" i="45"/>
  <c r="H244" i="45"/>
  <c r="H245" i="45"/>
  <c r="H246" i="45"/>
  <c r="H247" i="45"/>
  <c r="H248" i="45"/>
  <c r="H249" i="45"/>
  <c r="H250" i="45"/>
  <c r="I250" i="45"/>
  <c r="H251" i="45"/>
  <c r="H252" i="45"/>
  <c r="H253" i="45"/>
  <c r="H254" i="45"/>
  <c r="H255" i="45"/>
  <c r="H256" i="45"/>
  <c r="H257" i="45"/>
  <c r="H258" i="45"/>
  <c r="H259" i="45"/>
  <c r="H260" i="45"/>
  <c r="H261" i="45"/>
  <c r="H262" i="45"/>
  <c r="H263" i="45"/>
  <c r="H264" i="45"/>
  <c r="H265" i="45"/>
  <c r="H266" i="45"/>
  <c r="I266" i="45"/>
  <c r="H267" i="45"/>
  <c r="H268" i="45"/>
  <c r="H269" i="45"/>
  <c r="H270" i="45"/>
  <c r="I270" i="45"/>
  <c r="H271" i="45"/>
  <c r="H272" i="45"/>
  <c r="H273" i="45"/>
  <c r="H274" i="45"/>
  <c r="H275" i="45"/>
  <c r="H276" i="45"/>
  <c r="H277" i="45"/>
  <c r="H278" i="45"/>
  <c r="H279" i="45"/>
  <c r="H280" i="45"/>
  <c r="H281" i="45"/>
  <c r="H282" i="45"/>
  <c r="H283" i="45"/>
  <c r="I283" i="45"/>
  <c r="H284" i="45"/>
  <c r="H285" i="45"/>
  <c r="H286" i="45"/>
  <c r="H287" i="45"/>
  <c r="H288" i="45"/>
  <c r="H289" i="45"/>
  <c r="H290" i="45"/>
  <c r="H291" i="45"/>
  <c r="H292" i="45"/>
  <c r="I292" i="45"/>
  <c r="H293" i="45"/>
  <c r="H294" i="45"/>
  <c r="H295" i="45"/>
  <c r="H296" i="45"/>
  <c r="H297" i="45"/>
  <c r="H298" i="45"/>
  <c r="H299" i="45"/>
  <c r="H300" i="45"/>
  <c r="I300" i="45"/>
  <c r="H301" i="45"/>
  <c r="H302" i="45"/>
  <c r="H303" i="45"/>
  <c r="H304" i="45"/>
  <c r="H305" i="45"/>
  <c r="H306" i="45"/>
  <c r="H307" i="45"/>
  <c r="H308" i="45"/>
  <c r="H309" i="45"/>
  <c r="H310" i="45"/>
  <c r="H311" i="45"/>
  <c r="H312" i="45"/>
  <c r="H313" i="45"/>
  <c r="I313" i="45"/>
  <c r="H314" i="45"/>
  <c r="H315" i="45"/>
  <c r="H316" i="45"/>
  <c r="H317" i="45"/>
  <c r="H318" i="45"/>
  <c r="H319" i="45"/>
  <c r="H320" i="45"/>
  <c r="H321" i="45"/>
  <c r="H322" i="45"/>
  <c r="H323" i="45"/>
  <c r="H324" i="45"/>
  <c r="H325" i="45"/>
  <c r="H326" i="45"/>
  <c r="H327" i="45"/>
  <c r="H328" i="45"/>
  <c r="I328" i="45"/>
  <c r="H329" i="45"/>
  <c r="H330" i="45"/>
  <c r="H331" i="45"/>
  <c r="H332" i="45"/>
  <c r="H333" i="45"/>
  <c r="H334" i="45"/>
  <c r="I334" i="45"/>
  <c r="H335" i="45"/>
  <c r="H336" i="45"/>
  <c r="H337" i="45"/>
  <c r="H338" i="45"/>
  <c r="H339" i="45"/>
  <c r="H340" i="45"/>
  <c r="H341" i="45"/>
  <c r="H342" i="45"/>
  <c r="H343" i="45"/>
  <c r="I343" i="45"/>
  <c r="H344" i="45"/>
  <c r="H345" i="45"/>
  <c r="H346" i="45"/>
  <c r="H347" i="45"/>
  <c r="H348" i="45"/>
  <c r="I348" i="45"/>
  <c r="H349" i="45"/>
  <c r="H350" i="45"/>
  <c r="H351" i="45"/>
  <c r="H352" i="45"/>
  <c r="H353" i="45"/>
  <c r="H354" i="45"/>
  <c r="H355" i="45"/>
  <c r="H356" i="45"/>
  <c r="H357" i="45"/>
  <c r="H358" i="45"/>
  <c r="H359" i="45"/>
  <c r="H360" i="45"/>
  <c r="H361" i="45"/>
  <c r="H362" i="45"/>
  <c r="I362" i="45"/>
  <c r="H363" i="45"/>
  <c r="H364" i="45"/>
  <c r="H365" i="45"/>
  <c r="H366" i="45"/>
  <c r="H367" i="45"/>
  <c r="H368" i="45"/>
  <c r="H369" i="45"/>
  <c r="H370" i="45"/>
  <c r="H371" i="45"/>
  <c r="H372" i="45"/>
  <c r="H373" i="45"/>
  <c r="H374" i="45"/>
  <c r="H375" i="45"/>
  <c r="I375" i="45"/>
  <c r="H376" i="45"/>
  <c r="H377" i="45"/>
  <c r="H378" i="45"/>
  <c r="H379" i="45"/>
  <c r="H380" i="45"/>
  <c r="H381" i="45"/>
  <c r="H382" i="45"/>
  <c r="I382" i="45"/>
  <c r="H383" i="45"/>
  <c r="H384" i="45"/>
  <c r="H385" i="45"/>
  <c r="H386" i="45"/>
  <c r="H387" i="45"/>
  <c r="H388" i="45"/>
  <c r="H389" i="45"/>
  <c r="H390" i="45"/>
  <c r="H391" i="45"/>
  <c r="H392" i="45"/>
  <c r="H393" i="45"/>
  <c r="I393" i="45"/>
  <c r="H394" i="45"/>
  <c r="H395" i="45"/>
  <c r="H396" i="45"/>
  <c r="I396" i="45"/>
  <c r="H397" i="45"/>
  <c r="H398" i="45"/>
  <c r="H399" i="45"/>
  <c r="H400" i="45"/>
  <c r="H401" i="45"/>
  <c r="H402" i="45"/>
  <c r="I402" i="45"/>
  <c r="H403" i="45"/>
  <c r="H404" i="45"/>
  <c r="H405" i="45"/>
  <c r="I405" i="45"/>
  <c r="H406" i="45"/>
  <c r="H407" i="45"/>
  <c r="H408" i="45"/>
  <c r="I408" i="45"/>
  <c r="H409" i="45"/>
  <c r="H410" i="45"/>
  <c r="H411" i="45"/>
  <c r="I411" i="45"/>
  <c r="H412" i="45"/>
  <c r="H413" i="45"/>
  <c r="H414" i="45"/>
  <c r="I414" i="45"/>
  <c r="H415" i="45"/>
  <c r="H416" i="45"/>
  <c r="H417" i="45"/>
  <c r="H418" i="45"/>
  <c r="H419" i="45"/>
  <c r="H420" i="45"/>
  <c r="H421" i="45"/>
  <c r="H422" i="45"/>
  <c r="H423" i="45"/>
  <c r="I423" i="45"/>
  <c r="H424" i="45"/>
  <c r="H425" i="45"/>
  <c r="H426" i="45"/>
  <c r="I426" i="45"/>
  <c r="H427" i="45"/>
  <c r="H428" i="45"/>
  <c r="H429" i="45"/>
  <c r="H430" i="45"/>
  <c r="H431" i="45"/>
  <c r="H432" i="45"/>
  <c r="H433" i="45"/>
  <c r="H434" i="45"/>
  <c r="H435" i="45"/>
  <c r="I435" i="45"/>
  <c r="H436" i="45"/>
  <c r="H437" i="45"/>
  <c r="H438" i="45"/>
  <c r="H439" i="45"/>
  <c r="H440" i="45"/>
  <c r="H441" i="45"/>
  <c r="H442" i="45"/>
  <c r="H443" i="45"/>
  <c r="H444" i="45"/>
  <c r="I444" i="45"/>
  <c r="H445" i="45"/>
  <c r="H446" i="45"/>
  <c r="H447" i="45"/>
  <c r="H448" i="45"/>
  <c r="H5" i="45"/>
  <c r="H6" i="45"/>
  <c r="F444" i="45"/>
  <c r="E444" i="45" s="1"/>
  <c r="BH34" i="40"/>
  <c r="BE34" i="40"/>
  <c r="BJ4" i="40" l="1"/>
  <c r="BJ21" i="40"/>
  <c r="BJ32" i="40"/>
  <c r="BJ16" i="40"/>
  <c r="BJ14" i="40"/>
  <c r="BJ27" i="40"/>
  <c r="BJ24" i="40"/>
  <c r="BJ20" i="40"/>
  <c r="BJ23" i="40"/>
  <c r="BJ11" i="40"/>
  <c r="BJ17" i="40"/>
  <c r="BJ6" i="40"/>
  <c r="BJ5" i="40"/>
  <c r="BJ7" i="40"/>
  <c r="BJ10" i="40"/>
  <c r="BJ12" i="40"/>
  <c r="BJ31" i="40"/>
  <c r="BJ30" i="40"/>
  <c r="BJ26" i="40"/>
  <c r="BJ19" i="40"/>
  <c r="BJ9" i="40"/>
  <c r="BJ29" i="40"/>
  <c r="DG29" i="40" s="1"/>
  <c r="BJ18" i="40"/>
  <c r="BJ8" i="40"/>
  <c r="BJ25" i="40"/>
  <c r="BJ15" i="40"/>
  <c r="BJ47" i="40"/>
  <c r="BJ74" i="40"/>
  <c r="BJ53" i="40"/>
  <c r="BJ54" i="40"/>
  <c r="BJ67" i="40"/>
  <c r="BJ51" i="40"/>
  <c r="BJ49" i="40"/>
  <c r="BJ66" i="40"/>
  <c r="BJ64" i="40"/>
  <c r="BJ77" i="40"/>
  <c r="BJ81" i="40"/>
  <c r="BJ43" i="40"/>
  <c r="BJ45" i="40"/>
  <c r="BJ44" i="40"/>
  <c r="BJ58" i="40"/>
  <c r="BJ55" i="40"/>
  <c r="BJ72" i="40"/>
  <c r="BJ50" i="40"/>
  <c r="BJ76" i="40"/>
  <c r="BJ41" i="40"/>
  <c r="BJ38" i="40"/>
  <c r="BJ40" i="40"/>
  <c r="BJ48" i="40"/>
  <c r="BJ80" i="40"/>
  <c r="BJ52" i="40"/>
  <c r="BJ37" i="40"/>
  <c r="BJ79" i="40"/>
  <c r="BJ70" i="40"/>
  <c r="BJ60" i="40"/>
  <c r="BJ73" i="40"/>
  <c r="BJ57" i="40"/>
  <c r="BJ46" i="40"/>
  <c r="BJ61" i="40"/>
  <c r="BJ78" i="40"/>
  <c r="BJ71" i="40"/>
  <c r="BJ84" i="40"/>
  <c r="BJ75" i="40"/>
  <c r="BJ59" i="40"/>
  <c r="BJ63" i="40"/>
  <c r="DG63" i="40" s="1"/>
  <c r="BJ39" i="40"/>
  <c r="BJ86" i="40"/>
  <c r="BJ83" i="40"/>
  <c r="BJ91" i="40"/>
  <c r="BJ92" i="40"/>
  <c r="BJ93" i="40"/>
  <c r="BJ22" i="40"/>
  <c r="DG9" i="40" l="1"/>
  <c r="DG31" i="40"/>
  <c r="DG75" i="40"/>
  <c r="DG59" i="40"/>
  <c r="DG45" i="40"/>
  <c r="DG53" i="40"/>
  <c r="DG38" i="40"/>
  <c r="DG74" i="40"/>
  <c r="DG41" i="40"/>
  <c r="DG77" i="40"/>
  <c r="DG21" i="40"/>
  <c r="DG20" i="40"/>
  <c r="DG79" i="40"/>
  <c r="DG16" i="40"/>
  <c r="DG37" i="40"/>
  <c r="DG24" i="40"/>
  <c r="DG8" i="40"/>
  <c r="DG86" i="40"/>
  <c r="DG61" i="40"/>
  <c r="DG52" i="40"/>
  <c r="DG55" i="40"/>
  <c r="DG51" i="40"/>
  <c r="DG30" i="40"/>
  <c r="DG23" i="40"/>
  <c r="DG22" i="40"/>
  <c r="DG40" i="40"/>
  <c r="DG10" i="40"/>
  <c r="DG32" i="40"/>
  <c r="DG43" i="40"/>
  <c r="DG6" i="40"/>
  <c r="DG84" i="40"/>
  <c r="DG47" i="40"/>
  <c r="DG71" i="40"/>
  <c r="DG64" i="40"/>
  <c r="DG15" i="40"/>
  <c r="DG50" i="40"/>
  <c r="DG7" i="40"/>
  <c r="DG83" i="40"/>
  <c r="DG72" i="40"/>
  <c r="DG17" i="40"/>
  <c r="DG39" i="40"/>
  <c r="DG46" i="40"/>
  <c r="DG80" i="40"/>
  <c r="DG58" i="40"/>
  <c r="DG67" i="40"/>
  <c r="DG25" i="40"/>
  <c r="DG18" i="40"/>
  <c r="DG27" i="40"/>
  <c r="DG73" i="40"/>
  <c r="DG11" i="40"/>
  <c r="DG60" i="40"/>
  <c r="DG81" i="40"/>
  <c r="DG26" i="40"/>
  <c r="DG76" i="40"/>
  <c r="DG4" i="40"/>
  <c r="DG70" i="40"/>
  <c r="DG13" i="40"/>
  <c r="DG78" i="40"/>
  <c r="DG66" i="40"/>
  <c r="DG5" i="40"/>
  <c r="DG49" i="40"/>
  <c r="DG57" i="40"/>
  <c r="DG48" i="40"/>
  <c r="DG44" i="40"/>
  <c r="DG54" i="40"/>
  <c r="DG19" i="40"/>
  <c r="DG12" i="40"/>
  <c r="DG14" i="40"/>
  <c r="BG22" i="40" l="1"/>
  <c r="BG6" i="40"/>
  <c r="BG32" i="40"/>
  <c r="BG23" i="40"/>
  <c r="BG14" i="40"/>
  <c r="BG21" i="40"/>
  <c r="BG27" i="40"/>
  <c r="BG16" i="40"/>
  <c r="BG10" i="40"/>
  <c r="BG24" i="40"/>
  <c r="BG20" i="40"/>
  <c r="BG17" i="40"/>
  <c r="BG7" i="40"/>
  <c r="BG5" i="40"/>
  <c r="BG11" i="40"/>
  <c r="DF11" i="40" s="1"/>
  <c r="BG12" i="40"/>
  <c r="BG31" i="40"/>
  <c r="BG30" i="40"/>
  <c r="BG9" i="40"/>
  <c r="BG26" i="40"/>
  <c r="BG19" i="40"/>
  <c r="BG8" i="40"/>
  <c r="BG29" i="40"/>
  <c r="BG18" i="40"/>
  <c r="BG15" i="40"/>
  <c r="DF15" i="40" s="1"/>
  <c r="BG25" i="40"/>
  <c r="BG47" i="40"/>
  <c r="DF47" i="40" s="1"/>
  <c r="BG74" i="40"/>
  <c r="DF74" i="40" s="1"/>
  <c r="BG53" i="40"/>
  <c r="DF53" i="40" s="1"/>
  <c r="BG54" i="40"/>
  <c r="DF54" i="40" s="1"/>
  <c r="BG67" i="40"/>
  <c r="DF67" i="40" s="1"/>
  <c r="BG51" i="40"/>
  <c r="DF51" i="40" s="1"/>
  <c r="BG49" i="40"/>
  <c r="DF49" i="40" s="1"/>
  <c r="BG66" i="40"/>
  <c r="DF66" i="40" s="1"/>
  <c r="BG64" i="40"/>
  <c r="DF64" i="40" s="1"/>
  <c r="BG77" i="40"/>
  <c r="DF77" i="40" s="1"/>
  <c r="BG81" i="40"/>
  <c r="DF81" i="40" s="1"/>
  <c r="BG43" i="40"/>
  <c r="DF43" i="40" s="1"/>
  <c r="BG45" i="40"/>
  <c r="DF45" i="40" s="1"/>
  <c r="BG44" i="40"/>
  <c r="DF44" i="40" s="1"/>
  <c r="BG58" i="40"/>
  <c r="DF58" i="40" s="1"/>
  <c r="BG55" i="40"/>
  <c r="DF55" i="40" s="1"/>
  <c r="BG72" i="40"/>
  <c r="DF72" i="40" s="1"/>
  <c r="BG50" i="40"/>
  <c r="DF50" i="40" s="1"/>
  <c r="BG76" i="40"/>
  <c r="DF76" i="40" s="1"/>
  <c r="BG41" i="40"/>
  <c r="DF41" i="40" s="1"/>
  <c r="BG38" i="40"/>
  <c r="DF38" i="40" s="1"/>
  <c r="BG40" i="40"/>
  <c r="DF40" i="40" s="1"/>
  <c r="BG48" i="40"/>
  <c r="DF48" i="40" s="1"/>
  <c r="BG80" i="40"/>
  <c r="DF80" i="40" s="1"/>
  <c r="BG52" i="40"/>
  <c r="DF52" i="40" s="1"/>
  <c r="BG37" i="40"/>
  <c r="DF37" i="40" s="1"/>
  <c r="BG79" i="40"/>
  <c r="DF79" i="40" s="1"/>
  <c r="BG70" i="40"/>
  <c r="DF70" i="40" s="1"/>
  <c r="BG60" i="40"/>
  <c r="DF60" i="40" s="1"/>
  <c r="BG73" i="40"/>
  <c r="DF73" i="40" s="1"/>
  <c r="BG57" i="40"/>
  <c r="DF57" i="40" s="1"/>
  <c r="BG46" i="40"/>
  <c r="DF46" i="40" s="1"/>
  <c r="BG61" i="40"/>
  <c r="DF61" i="40" s="1"/>
  <c r="BG78" i="40"/>
  <c r="DF78" i="40" s="1"/>
  <c r="BG71" i="40"/>
  <c r="DF71" i="40" s="1"/>
  <c r="BG84" i="40"/>
  <c r="DF84" i="40" s="1"/>
  <c r="BG75" i="40"/>
  <c r="DF75" i="40" s="1"/>
  <c r="BG59" i="40"/>
  <c r="DF59" i="40" s="1"/>
  <c r="BG63" i="40"/>
  <c r="DF63" i="40" s="1"/>
  <c r="BG39" i="40"/>
  <c r="DF39" i="40" s="1"/>
  <c r="BG86" i="40"/>
  <c r="DF86" i="40" s="1"/>
  <c r="BG83" i="40"/>
  <c r="DF83" i="40" s="1"/>
  <c r="BG91" i="40"/>
  <c r="BG92" i="40"/>
  <c r="BG93" i="40"/>
  <c r="BG4" i="40"/>
  <c r="AC11" i="26"/>
  <c r="DF23" i="40" l="1"/>
  <c r="DF24" i="40"/>
  <c r="DF22" i="40"/>
  <c r="DF19" i="40"/>
  <c r="DF5" i="40"/>
  <c r="DF12" i="40"/>
  <c r="DF18" i="40"/>
  <c r="DF10" i="40"/>
  <c r="DF26" i="40"/>
  <c r="DF32" i="40"/>
  <c r="DF21" i="40"/>
  <c r="DF8" i="40"/>
  <c r="DF27" i="40"/>
  <c r="DF14" i="40"/>
  <c r="DF30" i="40"/>
  <c r="DF6" i="40"/>
  <c r="DF17" i="40"/>
  <c r="DF4" i="40"/>
  <c r="DF20" i="40"/>
  <c r="DF16" i="40"/>
  <c r="DF9" i="40"/>
  <c r="DF7" i="40"/>
  <c r="DF25" i="40"/>
  <c r="DF29" i="40"/>
  <c r="DF31" i="40"/>
  <c r="DF13" i="40"/>
  <c r="BJ1" i="40"/>
  <c r="L93" i="40" l="1"/>
  <c r="R93" i="40" s="1"/>
  <c r="P93" i="40"/>
  <c r="S93" i="40"/>
  <c r="T93" i="40"/>
  <c r="V93" i="40"/>
  <c r="W93" i="40" s="1"/>
  <c r="BD93" i="40"/>
  <c r="BA93" i="40"/>
  <c r="AX93" i="40"/>
  <c r="I92" i="40"/>
  <c r="L92" i="40"/>
  <c r="R92" i="40" s="1"/>
  <c r="P92" i="40"/>
  <c r="S92" i="40"/>
  <c r="T92" i="40"/>
  <c r="V92" i="40"/>
  <c r="W92" i="40" s="1"/>
  <c r="BD92" i="40"/>
  <c r="BA92" i="40"/>
  <c r="AX92" i="40"/>
  <c r="U92" i="40" l="1"/>
  <c r="X92" i="40" s="1"/>
  <c r="Y92" i="40" s="1"/>
  <c r="U93" i="40"/>
  <c r="X93" i="40" s="1"/>
  <c r="Y93" i="40" s="1"/>
  <c r="BD91" i="40" l="1"/>
  <c r="BD7" i="40"/>
  <c r="BD12" i="40"/>
  <c r="BD11" i="40"/>
  <c r="DE11" i="40" s="1"/>
  <c r="BD31" i="40"/>
  <c r="BD20" i="40"/>
  <c r="BD23" i="40"/>
  <c r="BD30" i="40"/>
  <c r="BD26" i="40"/>
  <c r="BD8" i="40"/>
  <c r="BD9" i="40"/>
  <c r="BD19" i="40"/>
  <c r="BD29" i="40"/>
  <c r="BD18" i="40"/>
  <c r="BD15" i="40"/>
  <c r="DE15" i="40" s="1"/>
  <c r="BD25" i="40"/>
  <c r="BD47" i="40"/>
  <c r="DE47" i="40" s="1"/>
  <c r="BD67" i="40"/>
  <c r="DE67" i="40" s="1"/>
  <c r="BD53" i="40"/>
  <c r="DE53" i="40" s="1"/>
  <c r="BD74" i="40"/>
  <c r="DE74" i="40" s="1"/>
  <c r="BD54" i="40"/>
  <c r="DE54" i="40" s="1"/>
  <c r="BD64" i="40"/>
  <c r="DE64" i="40" s="1"/>
  <c r="BD51" i="40"/>
  <c r="DE51" i="40" s="1"/>
  <c r="BD49" i="40"/>
  <c r="DE49" i="40" s="1"/>
  <c r="BD66" i="40"/>
  <c r="DE66" i="40" s="1"/>
  <c r="BD81" i="40"/>
  <c r="DE81" i="40" s="1"/>
  <c r="BD43" i="40"/>
  <c r="DE43" i="40" s="1"/>
  <c r="BD77" i="40"/>
  <c r="DE77" i="40" s="1"/>
  <c r="BD44" i="40"/>
  <c r="DE44" i="40" s="1"/>
  <c r="BD45" i="40"/>
  <c r="DE45" i="40" s="1"/>
  <c r="BD41" i="40"/>
  <c r="DE41" i="40" s="1"/>
  <c r="BD55" i="40"/>
  <c r="DE55" i="40" s="1"/>
  <c r="BD78" i="40"/>
  <c r="DE78" i="40" s="1"/>
  <c r="BD72" i="40"/>
  <c r="DE72" i="40" s="1"/>
  <c r="BD76" i="40"/>
  <c r="DE76" i="40" s="1"/>
  <c r="BD73" i="40"/>
  <c r="DE73" i="40" s="1"/>
  <c r="BD50" i="40"/>
  <c r="DE50" i="40" s="1"/>
  <c r="BD80" i="40"/>
  <c r="DE80" i="40" s="1"/>
  <c r="BD38" i="40"/>
  <c r="DE38" i="40" s="1"/>
  <c r="BD40" i="40"/>
  <c r="DE40" i="40" s="1"/>
  <c r="BD70" i="40"/>
  <c r="DE70" i="40" s="1"/>
  <c r="BD58" i="40"/>
  <c r="DE58" i="40" s="1"/>
  <c r="BD37" i="40"/>
  <c r="DE37" i="40" s="1"/>
  <c r="BD48" i="40"/>
  <c r="DE48" i="40" s="1"/>
  <c r="BD79" i="40"/>
  <c r="DE79" i="40" s="1"/>
  <c r="BD46" i="40"/>
  <c r="DE46" i="40" s="1"/>
  <c r="BD52" i="40"/>
  <c r="DE52" i="40" s="1"/>
  <c r="BD60" i="40"/>
  <c r="DE60" i="40" s="1"/>
  <c r="BD57" i="40"/>
  <c r="DE57" i="40" s="1"/>
  <c r="BD61" i="40"/>
  <c r="DE61" i="40" s="1"/>
  <c r="BD71" i="40"/>
  <c r="DE71" i="40" s="1"/>
  <c r="BD63" i="40"/>
  <c r="DE63" i="40" s="1"/>
  <c r="BD59" i="40"/>
  <c r="DE59" i="40" s="1"/>
  <c r="BD84" i="40"/>
  <c r="DE84" i="40" s="1"/>
  <c r="BD75" i="40"/>
  <c r="DE75" i="40" s="1"/>
  <c r="BD86" i="40"/>
  <c r="DE86" i="40" s="1"/>
  <c r="BD39" i="40"/>
  <c r="DE39" i="40" s="1"/>
  <c r="BD83" i="40"/>
  <c r="DE83" i="40" s="1"/>
  <c r="BD22" i="40"/>
  <c r="BD16" i="40"/>
  <c r="BD32" i="40"/>
  <c r="BD21" i="40"/>
  <c r="BD14" i="40"/>
  <c r="BD10" i="40"/>
  <c r="BD6" i="40"/>
  <c r="BD27" i="40"/>
  <c r="BD24" i="40"/>
  <c r="BD17" i="40"/>
  <c r="BD5" i="40"/>
  <c r="BD4" i="40"/>
  <c r="AG14" i="26"/>
  <c r="CW14" i="26" s="1"/>
  <c r="BB17" i="1"/>
  <c r="BB14" i="1"/>
  <c r="BB9" i="1"/>
  <c r="BB30" i="1"/>
  <c r="BB27" i="1"/>
  <c r="BB19" i="1"/>
  <c r="BB15" i="1"/>
  <c r="BB10" i="1"/>
  <c r="BB8" i="1"/>
  <c r="BB12" i="1"/>
  <c r="BB26" i="1"/>
  <c r="BB34" i="1"/>
  <c r="BB23" i="1"/>
  <c r="BB29" i="1"/>
  <c r="BB11" i="1"/>
  <c r="BB18" i="1"/>
  <c r="BB13" i="1"/>
  <c r="BB22" i="1"/>
  <c r="BB20" i="1"/>
  <c r="BB32" i="1"/>
  <c r="BB21" i="1"/>
  <c r="BB28" i="1"/>
  <c r="BB25" i="1"/>
  <c r="BB24" i="1"/>
  <c r="BB35" i="1"/>
  <c r="BB7" i="1"/>
  <c r="BC51" i="31"/>
  <c r="BC13" i="31"/>
  <c r="BC47" i="31"/>
  <c r="BC14" i="31"/>
  <c r="BC15" i="31"/>
  <c r="BC25" i="31"/>
  <c r="BC48" i="31"/>
  <c r="BC42" i="31"/>
  <c r="BC43" i="31"/>
  <c r="BC46" i="31"/>
  <c r="BC20" i="31"/>
  <c r="BC50" i="31"/>
  <c r="BC8" i="31"/>
  <c r="BC10" i="31"/>
  <c r="BC40" i="31"/>
  <c r="BC28" i="31"/>
  <c r="BC18" i="31"/>
  <c r="BC7" i="31"/>
  <c r="BC49" i="31"/>
  <c r="BC16" i="31"/>
  <c r="BC22" i="31"/>
  <c r="BC30" i="31"/>
  <c r="BC27" i="31"/>
  <c r="BC31" i="31"/>
  <c r="BC41" i="31"/>
  <c r="BC33" i="31"/>
  <c r="BC54" i="31"/>
  <c r="BC29" i="31"/>
  <c r="BC55" i="31"/>
  <c r="BC9" i="31"/>
  <c r="BC23" i="31"/>
  <c r="BC44" i="31"/>
  <c r="BC21" i="31"/>
  <c r="AY48" i="31"/>
  <c r="BH48" i="31" s="1"/>
  <c r="AY42" i="31"/>
  <c r="BH42" i="31" s="1"/>
  <c r="AY43" i="31"/>
  <c r="BH43" i="31" s="1"/>
  <c r="AY46" i="31"/>
  <c r="BH46" i="31" s="1"/>
  <c r="AY20" i="31"/>
  <c r="BH20" i="31" s="1"/>
  <c r="AY50" i="31"/>
  <c r="BH50" i="31" s="1"/>
  <c r="AY8" i="31"/>
  <c r="BH8" i="31" s="1"/>
  <c r="AY10" i="31"/>
  <c r="BH10" i="31" s="1"/>
  <c r="AY28" i="31"/>
  <c r="BH28" i="31" s="1"/>
  <c r="AY18" i="31"/>
  <c r="BH18" i="31" s="1"/>
  <c r="AY7" i="31"/>
  <c r="BH7" i="31" s="1"/>
  <c r="AY49" i="31"/>
  <c r="BH49" i="31" s="1"/>
  <c r="AY16" i="31"/>
  <c r="BH16" i="31" s="1"/>
  <c r="AY30" i="31"/>
  <c r="BH30" i="31" s="1"/>
  <c r="AY27" i="31"/>
  <c r="BH27" i="31" s="1"/>
  <c r="AY31" i="31"/>
  <c r="BH31" i="31" s="1"/>
  <c r="AY41" i="31"/>
  <c r="BH41" i="31" s="1"/>
  <c r="AY33" i="31"/>
  <c r="BH33" i="31" s="1"/>
  <c r="AY54" i="31"/>
  <c r="BH54" i="31" s="1"/>
  <c r="AY29" i="31"/>
  <c r="BH29" i="31" s="1"/>
  <c r="AY45" i="31"/>
  <c r="BH45" i="31" s="1"/>
  <c r="AY55" i="31"/>
  <c r="BH55" i="31" s="1"/>
  <c r="AY9" i="31"/>
  <c r="BH9" i="31" s="1"/>
  <c r="AY15" i="31"/>
  <c r="BH15" i="31" s="1"/>
  <c r="AY11" i="31"/>
  <c r="BH11" i="31" s="1"/>
  <c r="AY25" i="31"/>
  <c r="BH25" i="31" s="1"/>
  <c r="AY13" i="31"/>
  <c r="BH13" i="31" s="1"/>
  <c r="AY47" i="31"/>
  <c r="BH47" i="31" s="1"/>
  <c r="AY44" i="31"/>
  <c r="BH44" i="31" s="1"/>
  <c r="AY24" i="31"/>
  <c r="BH24" i="31" s="1"/>
  <c r="AY34" i="31"/>
  <c r="BH34" i="31" s="1"/>
  <c r="AY21" i="31"/>
  <c r="BH21" i="31" s="1"/>
  <c r="BI21" i="31" s="1"/>
  <c r="AY19" i="31"/>
  <c r="BH19" i="31" s="1"/>
  <c r="AY36" i="31"/>
  <c r="BH36" i="31" s="1"/>
  <c r="AY51" i="31"/>
  <c r="BH51" i="31" s="1"/>
  <c r="AY37" i="31"/>
  <c r="BH37" i="31" s="1"/>
  <c r="AY23" i="31"/>
  <c r="BH23" i="31" s="1"/>
  <c r="AY17" i="31"/>
  <c r="BH17" i="31" s="1"/>
  <c r="L8" i="15" l="1"/>
  <c r="L17" i="15"/>
  <c r="L27" i="15"/>
  <c r="L12" i="15"/>
  <c r="L10" i="15"/>
  <c r="L11" i="15"/>
  <c r="L14" i="15"/>
  <c r="L18" i="15"/>
  <c r="L9" i="15"/>
  <c r="L31" i="15"/>
  <c r="L16" i="15"/>
  <c r="L19" i="15"/>
  <c r="L25" i="15"/>
  <c r="L21" i="15"/>
  <c r="L20" i="15"/>
  <c r="L26" i="15"/>
  <c r="L32" i="15"/>
  <c r="L13" i="15"/>
  <c r="L24" i="15"/>
  <c r="L23" i="15"/>
  <c r="L22" i="15"/>
  <c r="L15" i="15"/>
  <c r="CG14" i="26"/>
  <c r="CN14" i="26"/>
  <c r="J45" i="32"/>
  <c r="J51" i="32"/>
  <c r="J44" i="32"/>
  <c r="J50" i="32"/>
  <c r="J48" i="32"/>
  <c r="J47" i="32"/>
  <c r="J46" i="32"/>
  <c r="J55" i="32"/>
  <c r="J54" i="32"/>
  <c r="J43" i="32"/>
  <c r="J42" i="32"/>
  <c r="J53" i="32"/>
  <c r="J52" i="32"/>
  <c r="BC49" i="36"/>
  <c r="AY9" i="36"/>
  <c r="AY7" i="36"/>
  <c r="AY12" i="36"/>
  <c r="AY10" i="36"/>
  <c r="AY55" i="36"/>
  <c r="AY40" i="36"/>
  <c r="BC55" i="36"/>
  <c r="AY8" i="36"/>
  <c r="AY21" i="36"/>
  <c r="AY31" i="36"/>
  <c r="BC54" i="36"/>
  <c r="AY45" i="36"/>
  <c r="AY42" i="36"/>
  <c r="AY36" i="36"/>
  <c r="AY13" i="36"/>
  <c r="AY14" i="36"/>
  <c r="AY16" i="36"/>
  <c r="AY52" i="36"/>
  <c r="AY11" i="36"/>
  <c r="AY29" i="36"/>
  <c r="AY15" i="36"/>
  <c r="AY18" i="36"/>
  <c r="AY54" i="36"/>
  <c r="AY26" i="36"/>
  <c r="AY50" i="36"/>
  <c r="AY51" i="36"/>
  <c r="AY35" i="36"/>
  <c r="AY17" i="36"/>
  <c r="AY46" i="36"/>
  <c r="AY47" i="36"/>
  <c r="BC51" i="36"/>
  <c r="AY20" i="36"/>
  <c r="AY22" i="36"/>
  <c r="AY43" i="36"/>
  <c r="AY44" i="36"/>
  <c r="AY38" i="36"/>
  <c r="AY19" i="36"/>
  <c r="AY39" i="36"/>
  <c r="AY37" i="36"/>
  <c r="AY41" i="36"/>
  <c r="AY23" i="36"/>
  <c r="AY24" i="36"/>
  <c r="AY25" i="36"/>
  <c r="AY32" i="36"/>
  <c r="AY49" i="36"/>
  <c r="AY48" i="36"/>
  <c r="AY33" i="36"/>
  <c r="AY34" i="36"/>
  <c r="AY30" i="36"/>
  <c r="BC48" i="36"/>
  <c r="AY28" i="36"/>
  <c r="AY27" i="36"/>
  <c r="BC53" i="36"/>
  <c r="BC52" i="36"/>
  <c r="AY53" i="36"/>
  <c r="AV14" i="54"/>
  <c r="AV13" i="54"/>
  <c r="AV11" i="54"/>
  <c r="AV12" i="54"/>
  <c r="AV9" i="54"/>
  <c r="AV10" i="54"/>
  <c r="Y75" i="31"/>
  <c r="Y77" i="31" s="1"/>
  <c r="AD75" i="31"/>
  <c r="AD77" i="31" s="1"/>
  <c r="AQ75" i="31"/>
  <c r="DE20" i="40"/>
  <c r="BC36" i="31"/>
  <c r="AQ76" i="31"/>
  <c r="BC11" i="31"/>
  <c r="BB33" i="1"/>
  <c r="L28" i="15" s="1"/>
  <c r="BA34" i="54"/>
  <c r="AN76" i="31"/>
  <c r="AN75" i="31"/>
  <c r="AM76" i="31"/>
  <c r="AM75" i="31"/>
  <c r="DE31" i="40"/>
  <c r="DE5" i="40"/>
  <c r="DE22" i="40"/>
  <c r="DE24" i="40"/>
  <c r="BA27" i="54"/>
  <c r="BA26" i="54"/>
  <c r="DE9" i="40"/>
  <c r="DE14" i="40"/>
  <c r="DE19" i="40"/>
  <c r="DE32" i="40"/>
  <c r="DE12" i="40"/>
  <c r="BA8" i="54"/>
  <c r="BA28" i="54"/>
  <c r="BA30" i="54"/>
  <c r="BA9" i="54"/>
  <c r="AV8" i="54"/>
  <c r="AV15" i="54"/>
  <c r="BA31" i="54"/>
  <c r="BA10" i="54"/>
  <c r="DE18" i="40"/>
  <c r="DE10" i="40"/>
  <c r="DE8" i="40"/>
  <c r="DE17" i="40"/>
  <c r="DE13" i="40"/>
  <c r="BA13" i="54"/>
  <c r="BA29" i="54"/>
  <c r="BA22" i="54"/>
  <c r="BA16" i="54"/>
  <c r="BA11" i="54"/>
  <c r="BA20" i="54"/>
  <c r="BA24" i="54"/>
  <c r="BA32" i="54"/>
  <c r="BA25" i="54"/>
  <c r="BA33" i="54"/>
  <c r="BA15" i="54"/>
  <c r="BA17" i="54"/>
  <c r="BA19" i="54"/>
  <c r="BA21" i="54"/>
  <c r="BA18" i="54"/>
  <c r="BA12" i="54"/>
  <c r="BA14" i="54"/>
  <c r="BA23" i="54"/>
  <c r="DE25" i="40"/>
  <c r="DE29" i="40"/>
  <c r="DE23" i="40"/>
  <c r="DE7" i="40"/>
  <c r="DE26" i="40"/>
  <c r="DE16" i="40"/>
  <c r="DE4" i="40"/>
  <c r="DE27" i="40"/>
  <c r="DE6" i="40"/>
  <c r="DE21" i="40"/>
  <c r="DE30" i="40"/>
  <c r="BD1" i="40"/>
  <c r="BP9" i="31"/>
  <c r="CQ9" i="31" s="1"/>
  <c r="BP53" i="31"/>
  <c r="CQ53" i="31" s="1"/>
  <c r="AT21" i="31"/>
  <c r="AT24" i="31"/>
  <c r="BI30" i="1"/>
  <c r="BI27" i="1"/>
  <c r="BI19" i="1"/>
  <c r="BI12" i="1"/>
  <c r="BI14" i="1"/>
  <c r="BI10" i="1"/>
  <c r="BI23" i="1"/>
  <c r="BI8" i="1"/>
  <c r="BI9" i="1"/>
  <c r="BI34" i="1"/>
  <c r="BI15" i="1"/>
  <c r="BI33" i="1"/>
  <c r="BI26" i="1"/>
  <c r="BI29" i="1"/>
  <c r="BI18" i="1"/>
  <c r="BI13" i="1"/>
  <c r="BI22" i="1"/>
  <c r="BI20" i="1"/>
  <c r="BI21" i="1"/>
  <c r="BI32" i="1"/>
  <c r="BI28" i="1"/>
  <c r="BI11" i="1"/>
  <c r="BI25" i="1"/>
  <c r="BI35" i="1"/>
  <c r="BI24" i="1"/>
  <c r="BI17" i="1"/>
  <c r="BI7" i="1"/>
  <c r="EO15" i="31"/>
  <c r="L33" i="15" l="1"/>
  <c r="L35" i="15"/>
  <c r="L34" i="15"/>
  <c r="L30" i="15"/>
  <c r="BI9" i="31"/>
  <c r="BI53" i="31"/>
  <c r="L29" i="15"/>
  <c r="BI2" i="1"/>
  <c r="BC44" i="36"/>
  <c r="BC45" i="36"/>
  <c r="BC46" i="36"/>
  <c r="BC47" i="36"/>
  <c r="EP15" i="31"/>
  <c r="AQ77" i="31"/>
  <c r="AN77" i="31"/>
  <c r="AM77" i="31"/>
  <c r="DM5" i="54"/>
  <c r="DN5" i="54"/>
  <c r="DO5" i="54"/>
  <c r="DP5" i="54"/>
  <c r="DQ5" i="54"/>
  <c r="DR5" i="54"/>
  <c r="DS5" i="54"/>
  <c r="DT5" i="54"/>
  <c r="DU5" i="54"/>
  <c r="DV5" i="54"/>
  <c r="DW5" i="54"/>
  <c r="DX5" i="54"/>
  <c r="DY5" i="54"/>
  <c r="DZ5" i="54"/>
  <c r="EA5" i="54"/>
  <c r="EB5" i="54"/>
  <c r="EC5" i="54"/>
  <c r="ED5" i="54"/>
  <c r="EE5" i="54"/>
  <c r="EF5" i="54"/>
  <c r="EG5" i="54"/>
  <c r="B1" i="54"/>
  <c r="C1" i="54"/>
  <c r="D1" i="54"/>
  <c r="E1" i="54"/>
  <c r="F1" i="54"/>
  <c r="H1" i="54"/>
  <c r="K1" i="54"/>
  <c r="L1" i="54"/>
  <c r="O1" i="54"/>
  <c r="P1" i="54"/>
  <c r="Q1" i="54"/>
  <c r="R1" i="54"/>
  <c r="S1" i="54"/>
  <c r="T1" i="54"/>
  <c r="U1" i="54"/>
  <c r="V1" i="54"/>
  <c r="W1" i="54"/>
  <c r="X1" i="54"/>
  <c r="Y1" i="54"/>
  <c r="Z1" i="54"/>
  <c r="AA1" i="54"/>
  <c r="AB1" i="54"/>
  <c r="AC1" i="54"/>
  <c r="AD1" i="54"/>
  <c r="AE1" i="54"/>
  <c r="AF1" i="54"/>
  <c r="AG1" i="54"/>
  <c r="AH1" i="54"/>
  <c r="AI1" i="54"/>
  <c r="AJ1" i="54"/>
  <c r="AK1" i="54"/>
  <c r="AL1" i="54"/>
  <c r="AM1" i="54"/>
  <c r="AN1" i="54"/>
  <c r="AO1" i="54"/>
  <c r="AP1" i="54"/>
  <c r="AQ1" i="54"/>
  <c r="AR1" i="54"/>
  <c r="AS1" i="54"/>
  <c r="AT1" i="54"/>
  <c r="AU1" i="54"/>
  <c r="AV1" i="54"/>
  <c r="AW1" i="54"/>
  <c r="AX1" i="54"/>
  <c r="AY1" i="54"/>
  <c r="AZ1" i="54"/>
  <c r="BA1" i="54"/>
  <c r="BB1" i="54"/>
  <c r="BC1" i="54"/>
  <c r="BD1" i="54"/>
  <c r="BE1" i="54"/>
  <c r="BF1" i="54"/>
  <c r="BG1" i="54"/>
  <c r="BH1" i="54"/>
  <c r="BI1" i="54"/>
  <c r="BJ1" i="54"/>
  <c r="BK1" i="54"/>
  <c r="BL1" i="54"/>
  <c r="BM1" i="54"/>
  <c r="BN1" i="54"/>
  <c r="BO1" i="54"/>
  <c r="BP1" i="54"/>
  <c r="BQ1" i="54"/>
  <c r="BR1" i="54"/>
  <c r="BS1" i="54"/>
  <c r="BT1" i="54"/>
  <c r="BU1" i="54"/>
  <c r="BV1" i="54"/>
  <c r="BW1" i="54"/>
  <c r="BX1" i="54"/>
  <c r="BY1" i="54"/>
  <c r="BZ1" i="54"/>
  <c r="CA1" i="54"/>
  <c r="CB1" i="54"/>
  <c r="CC1" i="54"/>
  <c r="CD1" i="54"/>
  <c r="CE1" i="54"/>
  <c r="CF1" i="54"/>
  <c r="CG1" i="54"/>
  <c r="CH1" i="54"/>
  <c r="CI1" i="54"/>
  <c r="CJ1" i="54"/>
  <c r="CK1" i="54"/>
  <c r="CL1" i="54"/>
  <c r="CM1" i="54"/>
  <c r="CN1" i="54"/>
  <c r="CO1" i="54"/>
  <c r="CP1" i="54"/>
  <c r="CQ1" i="54"/>
  <c r="CR1" i="54"/>
  <c r="CS1" i="54"/>
  <c r="CT1" i="54"/>
  <c r="CU1" i="54"/>
  <c r="CV1" i="54"/>
  <c r="CW1" i="54"/>
  <c r="CX1" i="54"/>
  <c r="CY1" i="54"/>
  <c r="CZ1" i="54"/>
  <c r="DA1" i="54"/>
  <c r="DB1" i="54"/>
  <c r="DC1" i="54"/>
  <c r="DD1" i="54"/>
  <c r="DE1" i="54"/>
  <c r="DF1" i="54"/>
  <c r="DG1" i="54"/>
  <c r="DH1" i="54"/>
  <c r="DI1" i="54"/>
  <c r="DJ1" i="54"/>
  <c r="DK1" i="54"/>
  <c r="DL1" i="54"/>
  <c r="DM1" i="54"/>
  <c r="DN1" i="54"/>
  <c r="DO1" i="54"/>
  <c r="DP1" i="54"/>
  <c r="DQ1" i="54"/>
  <c r="DR1" i="54"/>
  <c r="DS1" i="54"/>
  <c r="DT1" i="54"/>
  <c r="DU1" i="54"/>
  <c r="DV1" i="54"/>
  <c r="DW1" i="54"/>
  <c r="DX1" i="54"/>
  <c r="DY1" i="54"/>
  <c r="DZ1" i="54"/>
  <c r="EA1" i="54"/>
  <c r="EB1" i="54"/>
  <c r="EC1" i="54"/>
  <c r="ED1" i="54"/>
  <c r="EE1" i="54"/>
  <c r="EF1" i="54"/>
  <c r="EG1" i="54"/>
  <c r="O2" i="54"/>
  <c r="R2" i="54"/>
  <c r="X2" i="54"/>
  <c r="Z2" i="54"/>
  <c r="AA2" i="54"/>
  <c r="AB2" i="54"/>
  <c r="AC2" i="54"/>
  <c r="AD2" i="54"/>
  <c r="AF2" i="54"/>
  <c r="AG2" i="54"/>
  <c r="AH2" i="54"/>
  <c r="AL2" i="54"/>
  <c r="AQ2" i="54"/>
  <c r="AS2" i="54"/>
  <c r="AX2" i="54"/>
  <c r="AZ2" i="54"/>
  <c r="BB2" i="54"/>
  <c r="BC2" i="54"/>
  <c r="BD2" i="54"/>
  <c r="BF2" i="54"/>
  <c r="BG2" i="54"/>
  <c r="BH2" i="54"/>
  <c r="BI2" i="54"/>
  <c r="BJ2" i="54"/>
  <c r="BK2" i="54"/>
  <c r="BL2" i="54"/>
  <c r="BM2" i="54"/>
  <c r="BN2" i="54"/>
  <c r="BO2" i="54"/>
  <c r="BQ2" i="54"/>
  <c r="BV2" i="54"/>
  <c r="BY2" i="54"/>
  <c r="BZ2" i="54"/>
  <c r="CA2" i="54"/>
  <c r="CC2" i="54"/>
  <c r="CD2" i="54"/>
  <c r="CH2" i="54"/>
  <c r="CL2" i="54"/>
  <c r="CO2" i="54"/>
  <c r="CV2" i="54"/>
  <c r="DI2" i="54"/>
  <c r="DJ2" i="54"/>
  <c r="DK2" i="54"/>
  <c r="DN2" i="54"/>
  <c r="DT2" i="54"/>
  <c r="DV2" i="54"/>
  <c r="DX2" i="54"/>
  <c r="DY2" i="54"/>
  <c r="DZ2" i="54"/>
  <c r="EA2" i="54"/>
  <c r="EB2" i="54"/>
  <c r="EC2" i="54"/>
  <c r="ED2" i="54"/>
  <c r="EE2" i="54"/>
  <c r="EF2" i="54"/>
  <c r="EG2" i="54"/>
  <c r="B3" i="54"/>
  <c r="C3" i="54"/>
  <c r="D3" i="54"/>
  <c r="E3" i="54"/>
  <c r="F3" i="54"/>
  <c r="H3" i="54"/>
  <c r="K3" i="54"/>
  <c r="L3" i="54"/>
  <c r="O3" i="54"/>
  <c r="P3" i="54"/>
  <c r="Q3" i="54"/>
  <c r="R3" i="54"/>
  <c r="S3" i="54"/>
  <c r="T3" i="54"/>
  <c r="U3" i="54"/>
  <c r="V3" i="54"/>
  <c r="W3" i="54"/>
  <c r="X3" i="54"/>
  <c r="Y3" i="54"/>
  <c r="Z3" i="54"/>
  <c r="AA3" i="54"/>
  <c r="AB3" i="54"/>
  <c r="AC3" i="54"/>
  <c r="AD3" i="54"/>
  <c r="AE3" i="54"/>
  <c r="AF3" i="54"/>
  <c r="AG3" i="54"/>
  <c r="AH3" i="54"/>
  <c r="AI3" i="54"/>
  <c r="AJ3" i="54"/>
  <c r="AK3" i="54"/>
  <c r="AL3" i="54"/>
  <c r="AM3" i="54"/>
  <c r="AN3" i="54"/>
  <c r="AO3" i="54"/>
  <c r="AP3" i="54"/>
  <c r="AQ3" i="54"/>
  <c r="AR3" i="54"/>
  <c r="AS3" i="54"/>
  <c r="AT3" i="54"/>
  <c r="AU3" i="54"/>
  <c r="AV3" i="54"/>
  <c r="AW3" i="54"/>
  <c r="AX3" i="54"/>
  <c r="AY3" i="54"/>
  <c r="AZ3" i="54"/>
  <c r="BA3" i="54"/>
  <c r="BB3" i="54"/>
  <c r="BC3" i="54"/>
  <c r="BD3" i="54"/>
  <c r="BE3" i="54"/>
  <c r="BF3" i="54"/>
  <c r="BG3" i="54"/>
  <c r="BH3" i="54"/>
  <c r="BI3" i="54"/>
  <c r="BJ3" i="54"/>
  <c r="BK3" i="54"/>
  <c r="BL3" i="54"/>
  <c r="BM3" i="54"/>
  <c r="BN3" i="54"/>
  <c r="BO3" i="54"/>
  <c r="BP3" i="54"/>
  <c r="BQ3" i="54"/>
  <c r="BR3" i="54"/>
  <c r="BS3" i="54"/>
  <c r="BT3" i="54"/>
  <c r="BU3" i="54"/>
  <c r="BV3" i="54"/>
  <c r="BW3" i="54"/>
  <c r="BX3" i="54"/>
  <c r="BY3" i="54"/>
  <c r="BZ3" i="54"/>
  <c r="CA3" i="54"/>
  <c r="CB3" i="54"/>
  <c r="CC3" i="54"/>
  <c r="CD3" i="54"/>
  <c r="CE3" i="54"/>
  <c r="CF3" i="54"/>
  <c r="CG3" i="54"/>
  <c r="CH3" i="54"/>
  <c r="CI3" i="54"/>
  <c r="CJ3" i="54"/>
  <c r="CK3" i="54"/>
  <c r="CL3" i="54"/>
  <c r="CM3" i="54"/>
  <c r="CN3" i="54"/>
  <c r="CO3" i="54"/>
  <c r="CP3" i="54"/>
  <c r="CQ3" i="54"/>
  <c r="CR3" i="54"/>
  <c r="CS3" i="54"/>
  <c r="CT3" i="54"/>
  <c r="CU3" i="54"/>
  <c r="CV3" i="54"/>
  <c r="CW3" i="54"/>
  <c r="CX3" i="54"/>
  <c r="CY3" i="54"/>
  <c r="CZ3" i="54"/>
  <c r="DA3" i="54"/>
  <c r="DB3" i="54"/>
  <c r="DC3" i="54"/>
  <c r="DD3" i="54"/>
  <c r="DE3" i="54"/>
  <c r="DF3" i="54"/>
  <c r="DG3" i="54"/>
  <c r="DH3" i="54"/>
  <c r="DI3" i="54"/>
  <c r="DJ3" i="54"/>
  <c r="DK3" i="54"/>
  <c r="DL3" i="54"/>
  <c r="DM3" i="54"/>
  <c r="DN3" i="54"/>
  <c r="DO3" i="54"/>
  <c r="DP3" i="54"/>
  <c r="DQ3" i="54"/>
  <c r="DR3" i="54"/>
  <c r="DS3" i="54"/>
  <c r="DT3" i="54"/>
  <c r="DU3" i="54"/>
  <c r="DV3" i="54"/>
  <c r="DW3" i="54"/>
  <c r="DX3" i="54"/>
  <c r="DY3" i="54"/>
  <c r="DZ3" i="54"/>
  <c r="EA3" i="54"/>
  <c r="EC3" i="54"/>
  <c r="ED3" i="54"/>
  <c r="EE3" i="54"/>
  <c r="EF3" i="54"/>
  <c r="EG3" i="54"/>
  <c r="K4" i="54"/>
  <c r="L4" i="54"/>
  <c r="O4" i="54"/>
  <c r="P4" i="54"/>
  <c r="Q4" i="54"/>
  <c r="R4" i="54"/>
  <c r="S4" i="54"/>
  <c r="T4" i="54"/>
  <c r="U4" i="54"/>
  <c r="V4" i="54"/>
  <c r="W4" i="54"/>
  <c r="X4" i="54"/>
  <c r="Y4" i="54"/>
  <c r="Z4" i="54"/>
  <c r="AA4" i="54"/>
  <c r="AB4" i="54"/>
  <c r="AC4" i="54"/>
  <c r="AD4" i="54"/>
  <c r="AE4" i="54"/>
  <c r="AF4" i="54"/>
  <c r="AG4" i="54"/>
  <c r="AH4" i="54"/>
  <c r="AI4" i="54"/>
  <c r="AJ4" i="54"/>
  <c r="AK4" i="54"/>
  <c r="AL4" i="54"/>
  <c r="AM4" i="54"/>
  <c r="AN4" i="54"/>
  <c r="AO4" i="54"/>
  <c r="AP4" i="54"/>
  <c r="AQ4" i="54"/>
  <c r="AR4" i="54"/>
  <c r="AS4" i="54"/>
  <c r="AT4" i="54"/>
  <c r="AU4" i="54"/>
  <c r="AV4" i="54"/>
  <c r="AW4" i="54"/>
  <c r="AX4" i="54"/>
  <c r="AY4" i="54"/>
  <c r="AZ4" i="54"/>
  <c r="BA4" i="54"/>
  <c r="BB4" i="54"/>
  <c r="BC4" i="54"/>
  <c r="BD4" i="54"/>
  <c r="BE4" i="54"/>
  <c r="BF4" i="54"/>
  <c r="BG4" i="54"/>
  <c r="BH4" i="54"/>
  <c r="BI4" i="54"/>
  <c r="BJ4" i="54"/>
  <c r="BK4" i="54"/>
  <c r="BL4" i="54"/>
  <c r="BM4" i="54"/>
  <c r="BN4" i="54"/>
  <c r="BO4" i="54"/>
  <c r="BP4" i="54"/>
  <c r="BQ4" i="54"/>
  <c r="BR4" i="54"/>
  <c r="BS4" i="54"/>
  <c r="BT4" i="54"/>
  <c r="BU4" i="54"/>
  <c r="BV4" i="54"/>
  <c r="BW4" i="54"/>
  <c r="BX4" i="54"/>
  <c r="BY4" i="54"/>
  <c r="BZ4" i="54"/>
  <c r="CA4" i="54"/>
  <c r="CB4" i="54"/>
  <c r="CC4" i="54"/>
  <c r="CD4" i="54"/>
  <c r="CE4" i="54"/>
  <c r="CF4" i="54"/>
  <c r="CG4" i="54"/>
  <c r="CH4" i="54"/>
  <c r="CI4" i="54"/>
  <c r="CJ4" i="54"/>
  <c r="CK4" i="54"/>
  <c r="CL4" i="54"/>
  <c r="CM4" i="54"/>
  <c r="CN4" i="54"/>
  <c r="CO4" i="54"/>
  <c r="CP4" i="54"/>
  <c r="CQ4" i="54"/>
  <c r="CR4" i="54"/>
  <c r="CS4" i="54"/>
  <c r="CT4" i="54"/>
  <c r="CU4" i="54"/>
  <c r="CV4" i="54"/>
  <c r="CW4" i="54"/>
  <c r="CX4" i="54"/>
  <c r="CY4" i="54"/>
  <c r="CZ4" i="54"/>
  <c r="DA4" i="54"/>
  <c r="DB4" i="54"/>
  <c r="DC4" i="54"/>
  <c r="DD4" i="54"/>
  <c r="DE4" i="54"/>
  <c r="DF4" i="54"/>
  <c r="DG4" i="54"/>
  <c r="DH4" i="54"/>
  <c r="DI4" i="54"/>
  <c r="DJ4" i="54"/>
  <c r="DK4" i="54"/>
  <c r="DL4" i="54"/>
  <c r="DM4" i="54"/>
  <c r="DN4" i="54"/>
  <c r="DO4" i="54"/>
  <c r="DP4" i="54"/>
  <c r="DQ4" i="54"/>
  <c r="DR4" i="54"/>
  <c r="DS4" i="54"/>
  <c r="DT4" i="54"/>
  <c r="DU4" i="54"/>
  <c r="DV4" i="54"/>
  <c r="DW4" i="54"/>
  <c r="DX4" i="54"/>
  <c r="DY4" i="54"/>
  <c r="DZ4" i="54"/>
  <c r="EA4" i="54"/>
  <c r="EB4" i="54"/>
  <c r="EC4" i="54"/>
  <c r="ED4" i="54"/>
  <c r="EE4" i="54"/>
  <c r="EF4" i="54"/>
  <c r="EG4" i="54"/>
  <c r="B5" i="54"/>
  <c r="C5" i="54"/>
  <c r="D5" i="54"/>
  <c r="E5" i="54"/>
  <c r="F5" i="54"/>
  <c r="H5" i="54"/>
  <c r="K5" i="54"/>
  <c r="L5" i="54"/>
  <c r="P5" i="54"/>
  <c r="Q5" i="54"/>
  <c r="R5" i="54"/>
  <c r="S5" i="54"/>
  <c r="T5" i="54"/>
  <c r="U5" i="54"/>
  <c r="V5" i="54"/>
  <c r="W5" i="54"/>
  <c r="X5" i="54"/>
  <c r="Y5" i="54"/>
  <c r="Z5" i="54"/>
  <c r="AA5" i="54"/>
  <c r="AB5" i="54"/>
  <c r="AC5" i="54"/>
  <c r="AD5" i="54"/>
  <c r="AE5" i="54"/>
  <c r="AF5" i="54"/>
  <c r="AG5" i="54"/>
  <c r="AH5" i="54"/>
  <c r="AI5" i="54"/>
  <c r="AJ5" i="54"/>
  <c r="AK5" i="54"/>
  <c r="AL5" i="54"/>
  <c r="AM5" i="54"/>
  <c r="AN5" i="54"/>
  <c r="AO5" i="54"/>
  <c r="AP5" i="54"/>
  <c r="AR5" i="54"/>
  <c r="AS5" i="54"/>
  <c r="AT5" i="54"/>
  <c r="AU5" i="54"/>
  <c r="AV5" i="54"/>
  <c r="AW5" i="54"/>
  <c r="AX5" i="54"/>
  <c r="AY5" i="54"/>
  <c r="AZ5" i="54"/>
  <c r="BA5" i="54"/>
  <c r="BB5" i="54"/>
  <c r="BC5" i="54"/>
  <c r="BD5" i="54"/>
  <c r="BE5" i="54"/>
  <c r="BF5" i="54"/>
  <c r="BG5" i="54"/>
  <c r="BH5" i="54"/>
  <c r="BI5" i="54"/>
  <c r="BK5" i="54"/>
  <c r="BL5" i="54"/>
  <c r="BM5" i="54"/>
  <c r="BN5" i="54"/>
  <c r="BO5" i="54"/>
  <c r="BP5" i="54"/>
  <c r="BQ5" i="54"/>
  <c r="BR5" i="54"/>
  <c r="BS5" i="54"/>
  <c r="BT5" i="54"/>
  <c r="BU5" i="54"/>
  <c r="BV5" i="54"/>
  <c r="BW5" i="54"/>
  <c r="BX5" i="54"/>
  <c r="BY5" i="54"/>
  <c r="BZ5" i="54"/>
  <c r="CA5" i="54"/>
  <c r="CB5" i="54"/>
  <c r="CC5" i="54"/>
  <c r="CD5" i="54"/>
  <c r="CE5" i="54"/>
  <c r="CF5" i="54"/>
  <c r="CG5" i="54"/>
  <c r="CH5" i="54"/>
  <c r="CI5" i="54"/>
  <c r="CJ5" i="54"/>
  <c r="CK5" i="54"/>
  <c r="CL5" i="54"/>
  <c r="CM5" i="54"/>
  <c r="CN5" i="54"/>
  <c r="CO5" i="54"/>
  <c r="CP5" i="54"/>
  <c r="CQ5" i="54"/>
  <c r="CR5" i="54"/>
  <c r="CS5" i="54"/>
  <c r="CT5" i="54"/>
  <c r="CU5" i="54"/>
  <c r="CV5" i="54"/>
  <c r="CW5" i="54"/>
  <c r="CX5" i="54"/>
  <c r="CY5" i="54"/>
  <c r="CZ5" i="54"/>
  <c r="DH5" i="54"/>
  <c r="DI5" i="54"/>
  <c r="DJ5" i="54"/>
  <c r="DK5" i="54"/>
  <c r="DL5" i="54"/>
  <c r="P7" i="54"/>
  <c r="Q7" i="54"/>
  <c r="R7" i="54"/>
  <c r="AG7" i="54"/>
  <c r="AH7" i="54"/>
  <c r="AI7" i="54"/>
  <c r="AJ7" i="54"/>
  <c r="AL7" i="54"/>
  <c r="AN7" i="54"/>
  <c r="AO7" i="54"/>
  <c r="AT7" i="54"/>
  <c r="AU7" i="54"/>
  <c r="AW7" i="54"/>
  <c r="AX7" i="54"/>
  <c r="AY7" i="54"/>
  <c r="BB7" i="54"/>
  <c r="BC7" i="54"/>
  <c r="BD7" i="54"/>
  <c r="BI7" i="54"/>
  <c r="BJ7" i="54"/>
  <c r="BL7" i="54"/>
  <c r="BM7" i="54"/>
  <c r="BN7" i="54"/>
  <c r="BQ7" i="54"/>
  <c r="CD7" i="54"/>
  <c r="CE7" i="54"/>
  <c r="CF7" i="54"/>
  <c r="CG7" i="54"/>
  <c r="CH7" i="54"/>
  <c r="CI7" i="54"/>
  <c r="CJ7" i="54"/>
  <c r="CM7" i="54"/>
  <c r="CN7" i="54"/>
  <c r="CQ7" i="54"/>
  <c r="CR7" i="54"/>
  <c r="CS7" i="54"/>
  <c r="CY7" i="54"/>
  <c r="CZ7" i="54"/>
  <c r="DA7" i="54"/>
  <c r="DB7" i="54"/>
  <c r="DE7" i="54"/>
  <c r="DF7" i="54"/>
  <c r="DG7" i="54"/>
  <c r="DL7" i="54"/>
  <c r="DN7" i="54"/>
  <c r="ED7" i="54"/>
  <c r="EF7" i="54"/>
  <c r="EG7" i="54"/>
  <c r="A3" i="54"/>
  <c r="A4" i="54"/>
  <c r="A5" i="54"/>
  <c r="A1" i="54"/>
  <c r="A98" i="51"/>
  <c r="A100" i="51"/>
  <c r="A39" i="51"/>
  <c r="A40" i="51"/>
  <c r="A41" i="51"/>
  <c r="A42" i="51"/>
  <c r="A43" i="51"/>
  <c r="A44" i="51"/>
  <c r="A45" i="51"/>
  <c r="A47" i="51"/>
  <c r="A48" i="51"/>
  <c r="A49" i="51"/>
  <c r="A50" i="51"/>
  <c r="A51" i="51"/>
  <c r="A52" i="51"/>
  <c r="A53" i="51"/>
  <c r="A54" i="51"/>
  <c r="A55" i="51"/>
  <c r="A56" i="51"/>
  <c r="A57" i="51"/>
  <c r="A58" i="51"/>
  <c r="A59" i="51"/>
  <c r="A60" i="51"/>
  <c r="A61" i="51"/>
  <c r="A62" i="51"/>
  <c r="A64" i="51"/>
  <c r="A65" i="51"/>
  <c r="A66" i="51"/>
  <c r="A67" i="51"/>
  <c r="A69" i="51"/>
  <c r="A70" i="51"/>
  <c r="A71" i="51"/>
  <c r="A72" i="51"/>
  <c r="A77" i="51"/>
  <c r="A78" i="51"/>
  <c r="A79" i="51"/>
  <c r="A80" i="51"/>
  <c r="A82" i="51"/>
  <c r="A83" i="51"/>
  <c r="A84" i="51"/>
  <c r="A85" i="51"/>
  <c r="A88" i="51"/>
  <c r="A89" i="51"/>
  <c r="A90" i="51"/>
  <c r="A37" i="51"/>
  <c r="A38" i="51"/>
  <c r="A36" i="51"/>
  <c r="A23" i="51"/>
  <c r="A24" i="51"/>
  <c r="A25" i="51"/>
  <c r="A26" i="51"/>
  <c r="A27" i="51"/>
  <c r="A28" i="51"/>
  <c r="A29" i="51"/>
  <c r="A30" i="51"/>
  <c r="A32" i="51"/>
  <c r="A34" i="51"/>
  <c r="A8" i="51"/>
  <c r="A9" i="51"/>
  <c r="A10" i="51"/>
  <c r="A11" i="51"/>
  <c r="A12" i="51"/>
  <c r="A13" i="51"/>
  <c r="A14" i="51"/>
  <c r="A15" i="51"/>
  <c r="A16" i="51"/>
  <c r="A17" i="51"/>
  <c r="A18" i="51"/>
  <c r="A19" i="51"/>
  <c r="A20" i="51"/>
  <c r="A21" i="51"/>
  <c r="A22" i="51"/>
  <c r="A7" i="51"/>
  <c r="A6" i="51"/>
  <c r="EO54" i="31"/>
  <c r="BJ36" i="31"/>
  <c r="BJ21" i="31"/>
  <c r="BJ13" i="31"/>
  <c r="BJ14" i="31"/>
  <c r="BJ47" i="31"/>
  <c r="BJ42" i="31"/>
  <c r="BJ25" i="31"/>
  <c r="BJ43" i="31"/>
  <c r="BJ11" i="31"/>
  <c r="BJ10" i="31"/>
  <c r="BJ50" i="31"/>
  <c r="BJ20" i="31"/>
  <c r="BJ46" i="31"/>
  <c r="BJ28" i="31"/>
  <c r="BJ8" i="31"/>
  <c r="BJ18" i="31"/>
  <c r="BJ40" i="31"/>
  <c r="BJ7" i="31"/>
  <c r="BJ30" i="31"/>
  <c r="BJ16" i="31"/>
  <c r="BJ22" i="31"/>
  <c r="BJ15" i="31"/>
  <c r="BJ49" i="31"/>
  <c r="BJ54" i="31"/>
  <c r="BJ9" i="31"/>
  <c r="BJ51" i="31"/>
  <c r="BJ55" i="31"/>
  <c r="BJ27" i="31"/>
  <c r="BJ31" i="31"/>
  <c r="BJ41" i="31"/>
  <c r="BJ33" i="31"/>
  <c r="BJ29" i="31"/>
  <c r="BJ48" i="31"/>
  <c r="BJ45" i="31"/>
  <c r="BJ53" i="31"/>
  <c r="BJ44" i="31"/>
  <c r="BJ37" i="31"/>
  <c r="BJ34" i="31"/>
  <c r="BJ24" i="31"/>
  <c r="BJ23" i="31"/>
  <c r="BJ19" i="31"/>
  <c r="BJ17" i="31"/>
  <c r="AV7" i="54"/>
  <c r="BB34" i="40"/>
  <c r="AX22" i="40"/>
  <c r="AX32" i="40"/>
  <c r="AX21" i="40"/>
  <c r="AX14" i="40"/>
  <c r="AX11" i="40"/>
  <c r="DC11" i="40" s="1"/>
  <c r="AX17" i="40"/>
  <c r="AX12" i="40"/>
  <c r="AX27" i="40"/>
  <c r="AX10" i="40"/>
  <c r="AX5" i="40"/>
  <c r="AX7" i="40"/>
  <c r="AX24" i="40"/>
  <c r="AX26" i="40"/>
  <c r="AX20" i="40"/>
  <c r="AX6" i="40"/>
  <c r="AX31" i="40"/>
  <c r="AX30" i="40"/>
  <c r="AX23" i="40"/>
  <c r="AX9" i="40"/>
  <c r="AX19" i="40"/>
  <c r="AX16" i="40"/>
  <c r="AX15" i="40"/>
  <c r="DC15" i="40" s="1"/>
  <c r="AX18" i="40"/>
  <c r="AX29" i="40"/>
  <c r="AX25" i="40"/>
  <c r="AX8" i="40"/>
  <c r="AX64" i="40"/>
  <c r="DC64" i="40" s="1"/>
  <c r="AX49" i="40"/>
  <c r="DC49" i="40" s="1"/>
  <c r="AX43" i="40"/>
  <c r="DC43" i="40" s="1"/>
  <c r="AX53" i="40"/>
  <c r="DC53" i="40" s="1"/>
  <c r="AX37" i="40"/>
  <c r="DC37" i="40" s="1"/>
  <c r="AX38" i="40"/>
  <c r="DC38" i="40" s="1"/>
  <c r="AX74" i="40"/>
  <c r="DC74" i="40" s="1"/>
  <c r="AX77" i="40"/>
  <c r="DC77" i="40" s="1"/>
  <c r="AX66" i="40"/>
  <c r="DC66" i="40" s="1"/>
  <c r="AX79" i="40"/>
  <c r="DC79" i="40" s="1"/>
  <c r="AX72" i="40"/>
  <c r="DC72" i="40" s="1"/>
  <c r="AX50" i="40"/>
  <c r="DC50" i="40" s="1"/>
  <c r="AX67" i="40"/>
  <c r="DC67" i="40" s="1"/>
  <c r="AX44" i="40"/>
  <c r="DC44" i="40" s="1"/>
  <c r="AX47" i="40"/>
  <c r="DC47" i="40" s="1"/>
  <c r="AX46" i="40"/>
  <c r="DC46" i="40" s="1"/>
  <c r="AX80" i="40"/>
  <c r="DC80" i="40" s="1"/>
  <c r="AX73" i="40"/>
  <c r="DC73" i="40" s="1"/>
  <c r="AX45" i="40"/>
  <c r="DC45" i="40" s="1"/>
  <c r="AX51" i="40"/>
  <c r="DC51" i="40" s="1"/>
  <c r="AX58" i="40"/>
  <c r="DC58" i="40" s="1"/>
  <c r="AX52" i="40"/>
  <c r="DC52" i="40" s="1"/>
  <c r="AX48" i="40"/>
  <c r="DC48" i="40" s="1"/>
  <c r="AX70" i="40"/>
  <c r="DC70" i="40" s="1"/>
  <c r="AX54" i="40"/>
  <c r="DC54" i="40" s="1"/>
  <c r="AX86" i="40"/>
  <c r="DC86" i="40" s="1"/>
  <c r="AX76" i="40"/>
  <c r="DC76" i="40" s="1"/>
  <c r="AX60" i="40"/>
  <c r="DC60" i="40" s="1"/>
  <c r="AX55" i="40"/>
  <c r="DC55" i="40" s="1"/>
  <c r="AX41" i="40"/>
  <c r="DC41" i="40" s="1"/>
  <c r="AX71" i="40"/>
  <c r="DC71" i="40" s="1"/>
  <c r="AX81" i="40"/>
  <c r="DC81" i="40" s="1"/>
  <c r="AX57" i="40"/>
  <c r="DC57" i="40" s="1"/>
  <c r="AX84" i="40"/>
  <c r="DC84" i="40" s="1"/>
  <c r="AX61" i="40"/>
  <c r="DC61" i="40" s="1"/>
  <c r="AX59" i="40"/>
  <c r="DC59" i="40" s="1"/>
  <c r="AX63" i="40"/>
  <c r="DC63" i="40" s="1"/>
  <c r="AX75" i="40"/>
  <c r="DC75" i="40" s="1"/>
  <c r="AX40" i="40"/>
  <c r="DC40" i="40" s="1"/>
  <c r="AX78" i="40"/>
  <c r="DC78" i="40" s="1"/>
  <c r="AX39" i="40"/>
  <c r="DC39" i="40" s="1"/>
  <c r="AX83" i="40"/>
  <c r="DC83" i="40" s="1"/>
  <c r="AX91" i="40"/>
  <c r="AX4" i="40"/>
  <c r="BA22" i="40"/>
  <c r="BA32" i="40"/>
  <c r="BA21" i="40"/>
  <c r="BA14" i="40"/>
  <c r="BA11" i="40"/>
  <c r="DD11" i="40" s="1"/>
  <c r="BA17" i="40"/>
  <c r="BA12" i="40"/>
  <c r="BA27" i="40"/>
  <c r="BA10" i="40"/>
  <c r="BA5" i="40"/>
  <c r="BA7" i="40"/>
  <c r="BA24" i="40"/>
  <c r="BA26" i="40"/>
  <c r="BA20" i="40"/>
  <c r="BA6" i="40"/>
  <c r="BA31" i="40"/>
  <c r="BA30" i="40"/>
  <c r="BA23" i="40"/>
  <c r="BA9" i="40"/>
  <c r="BA19" i="40"/>
  <c r="BA16" i="40"/>
  <c r="BA15" i="40"/>
  <c r="DD15" i="40" s="1"/>
  <c r="BA18" i="40"/>
  <c r="BA29" i="40"/>
  <c r="BA25" i="40"/>
  <c r="BA8" i="40"/>
  <c r="BA64" i="40"/>
  <c r="DD64" i="40" s="1"/>
  <c r="BA49" i="40"/>
  <c r="DD49" i="40" s="1"/>
  <c r="BA43" i="40"/>
  <c r="DD43" i="40" s="1"/>
  <c r="BA53" i="40"/>
  <c r="DD53" i="40" s="1"/>
  <c r="BA37" i="40"/>
  <c r="DD37" i="40" s="1"/>
  <c r="BA38" i="40"/>
  <c r="DD38" i="40" s="1"/>
  <c r="BA74" i="40"/>
  <c r="DD74" i="40" s="1"/>
  <c r="BA77" i="40"/>
  <c r="DD77" i="40" s="1"/>
  <c r="BA66" i="40"/>
  <c r="DD66" i="40" s="1"/>
  <c r="BA79" i="40"/>
  <c r="DD79" i="40" s="1"/>
  <c r="BA72" i="40"/>
  <c r="DD72" i="40" s="1"/>
  <c r="BA50" i="40"/>
  <c r="DD50" i="40" s="1"/>
  <c r="BA67" i="40"/>
  <c r="DD67" i="40" s="1"/>
  <c r="BA44" i="40"/>
  <c r="DD44" i="40" s="1"/>
  <c r="BA47" i="40"/>
  <c r="DD47" i="40" s="1"/>
  <c r="BA46" i="40"/>
  <c r="DD46" i="40" s="1"/>
  <c r="BA80" i="40"/>
  <c r="DD80" i="40" s="1"/>
  <c r="BA73" i="40"/>
  <c r="DD73" i="40" s="1"/>
  <c r="BA45" i="40"/>
  <c r="DD45" i="40" s="1"/>
  <c r="BA51" i="40"/>
  <c r="DD51" i="40" s="1"/>
  <c r="BA58" i="40"/>
  <c r="DD58" i="40" s="1"/>
  <c r="BA52" i="40"/>
  <c r="DD52" i="40" s="1"/>
  <c r="BA48" i="40"/>
  <c r="DD48" i="40" s="1"/>
  <c r="BA70" i="40"/>
  <c r="DD70" i="40" s="1"/>
  <c r="BA54" i="40"/>
  <c r="DD54" i="40" s="1"/>
  <c r="BA86" i="40"/>
  <c r="DD86" i="40" s="1"/>
  <c r="BA76" i="40"/>
  <c r="DD76" i="40" s="1"/>
  <c r="BA60" i="40"/>
  <c r="DD60" i="40" s="1"/>
  <c r="BA55" i="40"/>
  <c r="DD55" i="40" s="1"/>
  <c r="BA41" i="40"/>
  <c r="DD41" i="40" s="1"/>
  <c r="BA71" i="40"/>
  <c r="DD71" i="40" s="1"/>
  <c r="BA81" i="40"/>
  <c r="DD81" i="40" s="1"/>
  <c r="BA57" i="40"/>
  <c r="DD57" i="40" s="1"/>
  <c r="BA84" i="40"/>
  <c r="DD84" i="40" s="1"/>
  <c r="BA61" i="40"/>
  <c r="DD61" i="40" s="1"/>
  <c r="BA59" i="40"/>
  <c r="DD59" i="40" s="1"/>
  <c r="BA63" i="40"/>
  <c r="DD63" i="40" s="1"/>
  <c r="BA75" i="40"/>
  <c r="DD75" i="40" s="1"/>
  <c r="BA40" i="40"/>
  <c r="DD40" i="40" s="1"/>
  <c r="BA78" i="40"/>
  <c r="DD78" i="40" s="1"/>
  <c r="BA39" i="40"/>
  <c r="DD39" i="40" s="1"/>
  <c r="BA83" i="40"/>
  <c r="DD83" i="40" s="1"/>
  <c r="BA91" i="40"/>
  <c r="BA4" i="40"/>
  <c r="BJ15" i="36" l="1"/>
  <c r="BJ8" i="36"/>
  <c r="BJ11" i="36"/>
  <c r="BJ51" i="36"/>
  <c r="BJ35" i="36"/>
  <c r="BJ7" i="36"/>
  <c r="BJ9" i="36"/>
  <c r="BJ42" i="36"/>
  <c r="BJ10" i="36"/>
  <c r="BJ55" i="36"/>
  <c r="BJ14" i="36"/>
  <c r="BJ38" i="36"/>
  <c r="BJ54" i="36"/>
  <c r="BJ21" i="36"/>
  <c r="BJ45" i="36"/>
  <c r="BJ46" i="36"/>
  <c r="BJ39" i="36"/>
  <c r="BJ16" i="36"/>
  <c r="BJ26" i="36"/>
  <c r="BJ19" i="36"/>
  <c r="BJ12" i="36"/>
  <c r="BJ22" i="36"/>
  <c r="BJ13" i="36"/>
  <c r="BJ17" i="36"/>
  <c r="BJ40" i="36"/>
  <c r="BJ36" i="36"/>
  <c r="BJ18" i="36"/>
  <c r="BJ43" i="36"/>
  <c r="BJ29" i="36"/>
  <c r="BJ20" i="36"/>
  <c r="BJ41" i="36"/>
  <c r="BJ37" i="36"/>
  <c r="BJ44" i="36"/>
  <c r="BJ30" i="36"/>
  <c r="BJ47" i="36"/>
  <c r="BJ52" i="36"/>
  <c r="BJ33" i="36"/>
  <c r="BJ34" i="36"/>
  <c r="BJ49" i="36"/>
  <c r="BJ25" i="36"/>
  <c r="BJ32" i="36"/>
  <c r="BJ50" i="36"/>
  <c r="BJ28" i="36"/>
  <c r="BJ27" i="36"/>
  <c r="BJ48" i="36"/>
  <c r="BJ31" i="36"/>
  <c r="BJ53" i="36"/>
  <c r="BJ23" i="36"/>
  <c r="BJ24" i="36"/>
  <c r="EP54" i="31"/>
  <c r="DC5" i="40"/>
  <c r="DC22" i="40"/>
  <c r="DC10" i="40"/>
  <c r="DD22" i="40"/>
  <c r="DD32" i="40"/>
  <c r="DD5" i="40"/>
  <c r="DC32" i="40"/>
  <c r="DC19" i="40"/>
  <c r="DD20" i="40"/>
  <c r="DC7" i="40"/>
  <c r="DD26" i="40"/>
  <c r="DD19" i="40"/>
  <c r="DD16" i="40"/>
  <c r="DC24" i="40"/>
  <c r="DC4" i="40"/>
  <c r="DC12" i="40"/>
  <c r="DD30" i="40"/>
  <c r="DD31" i="40"/>
  <c r="DC23" i="40"/>
  <c r="DC16" i="40"/>
  <c r="DD17" i="40"/>
  <c r="DD8" i="40"/>
  <c r="DC20" i="40"/>
  <c r="DD27" i="40"/>
  <c r="DD10" i="40"/>
  <c r="DD23" i="40"/>
  <c r="DC9" i="40"/>
  <c r="DC13" i="40"/>
  <c r="DD6" i="40"/>
  <c r="DC18" i="40"/>
  <c r="DD25" i="40"/>
  <c r="DD29" i="40"/>
  <c r="DC17" i="40"/>
  <c r="DC8" i="40"/>
  <c r="DD21" i="40"/>
  <c r="DC6" i="40"/>
  <c r="DC14" i="40"/>
  <c r="DD9" i="40"/>
  <c r="DC25" i="40"/>
  <c r="DC29" i="40"/>
  <c r="DC31" i="40"/>
  <c r="DD14" i="40"/>
  <c r="DD13" i="40"/>
  <c r="DC26" i="40"/>
  <c r="DD24" i="40"/>
  <c r="DD4" i="40"/>
  <c r="DD12" i="40"/>
  <c r="DC30" i="40"/>
  <c r="DC27" i="40"/>
  <c r="DD7" i="40"/>
  <c r="DD18" i="40"/>
  <c r="DC21" i="40"/>
  <c r="EF81" i="25"/>
  <c r="EE81" i="25"/>
  <c r="AJ23" i="33" l="1"/>
  <c r="AX65" i="33"/>
  <c r="AJ25" i="33"/>
  <c r="AK15" i="33"/>
  <c r="DB15" i="33" s="1"/>
  <c r="EO14" i="31"/>
  <c r="AG11" i="26"/>
  <c r="CW11" i="26" s="1"/>
  <c r="CL15" i="33" l="1"/>
  <c r="CG11" i="26"/>
  <c r="EP14" i="31"/>
  <c r="EP44" i="31"/>
  <c r="AL23" i="33"/>
  <c r="AJ54" i="33" l="1"/>
  <c r="AL19" i="33"/>
  <c r="AJ19" i="33"/>
  <c r="AL48" i="33" l="1"/>
  <c r="AJ48" i="33"/>
  <c r="AH33" i="26" l="1"/>
  <c r="AH24" i="26"/>
  <c r="AH25" i="26"/>
  <c r="P43" i="40"/>
  <c r="AK46" i="33"/>
  <c r="DB46" i="33" s="1"/>
  <c r="AK49" i="33"/>
  <c r="AK55" i="33"/>
  <c r="DB55" i="33" s="1"/>
  <c r="AK54" i="33"/>
  <c r="DB54" i="33" s="1"/>
  <c r="AK42" i="33"/>
  <c r="DB42" i="33" s="1"/>
  <c r="AK30" i="33"/>
  <c r="DB30" i="33" s="1"/>
  <c r="AK28" i="33"/>
  <c r="DB28" i="33" s="1"/>
  <c r="AK10" i="33"/>
  <c r="AK11" i="33"/>
  <c r="DB11" i="33" s="1"/>
  <c r="AK32" i="33"/>
  <c r="DB32" i="33" s="1"/>
  <c r="AK19" i="33"/>
  <c r="DB19" i="33" s="1"/>
  <c r="AK52" i="33"/>
  <c r="DB52" i="33" s="1"/>
  <c r="AK22" i="33"/>
  <c r="DB22" i="33" s="1"/>
  <c r="AK31" i="33"/>
  <c r="DB31" i="33" s="1"/>
  <c r="AK47" i="33"/>
  <c r="DB47" i="33" s="1"/>
  <c r="AK25" i="33"/>
  <c r="DB25" i="33" s="1"/>
  <c r="AK56" i="33"/>
  <c r="DB56" i="33" s="1"/>
  <c r="AK23" i="33"/>
  <c r="DB23" i="33" s="1"/>
  <c r="AK12" i="33"/>
  <c r="DB12" i="33" s="1"/>
  <c r="AK29" i="33"/>
  <c r="DB29" i="33" s="1"/>
  <c r="AK41" i="33"/>
  <c r="DB41" i="33" s="1"/>
  <c r="AK44" i="33"/>
  <c r="DB44" i="33" s="1"/>
  <c r="AK26" i="33"/>
  <c r="DB26" i="33" s="1"/>
  <c r="AK16" i="33"/>
  <c r="DB16" i="33" s="1"/>
  <c r="AK17" i="33"/>
  <c r="AK51" i="33"/>
  <c r="DB51" i="33" s="1"/>
  <c r="AK21" i="33"/>
  <c r="DB21" i="33" s="1"/>
  <c r="AK38" i="33"/>
  <c r="DB38" i="33" s="1"/>
  <c r="AK8" i="33"/>
  <c r="DB8" i="33" s="1"/>
  <c r="AK50" i="33"/>
  <c r="DB50" i="33" s="1"/>
  <c r="AK43" i="33"/>
  <c r="DB43" i="33" s="1"/>
  <c r="AK48" i="33"/>
  <c r="DB48" i="33" s="1"/>
  <c r="AK9" i="33"/>
  <c r="DB9" i="33" s="1"/>
  <c r="AK37" i="33"/>
  <c r="DB37" i="33" s="1"/>
  <c r="AK18" i="33"/>
  <c r="DB18" i="33" s="1"/>
  <c r="AK45" i="33"/>
  <c r="DB45" i="33" s="1"/>
  <c r="AK24" i="33"/>
  <c r="DB24" i="33" s="1"/>
  <c r="DB35" i="33"/>
  <c r="AK14" i="33"/>
  <c r="AK20" i="33"/>
  <c r="DB20" i="33" s="1"/>
  <c r="W62" i="31"/>
  <c r="CS14" i="33" l="1"/>
  <c r="DB14" i="33"/>
  <c r="CS10" i="33"/>
  <c r="DB10" i="33"/>
  <c r="CS26" i="33"/>
  <c r="DB17" i="33"/>
  <c r="CS29" i="33"/>
  <c r="CS11" i="33"/>
  <c r="CS56" i="33"/>
  <c r="CS38" i="33"/>
  <c r="CS18" i="33"/>
  <c r="CS12" i="33"/>
  <c r="CS49" i="33"/>
  <c r="CS27" i="33"/>
  <c r="CS31" i="33"/>
  <c r="CS16" i="33"/>
  <c r="CS43" i="33"/>
  <c r="CS46" i="33"/>
  <c r="CL35" i="33"/>
  <c r="CS24" i="33"/>
  <c r="CL45" i="33"/>
  <c r="CS45" i="33"/>
  <c r="CL43" i="33"/>
  <c r="CS20" i="33"/>
  <c r="CL19" i="33"/>
  <c r="CS32" i="33"/>
  <c r="CL49" i="33"/>
  <c r="CS44" i="33"/>
  <c r="CL50" i="33"/>
  <c r="CS57" i="33"/>
  <c r="CL29" i="33"/>
  <c r="CS36" i="33"/>
  <c r="CL32" i="33"/>
  <c r="CS34" i="33"/>
  <c r="CL14" i="33"/>
  <c r="CS33" i="33"/>
  <c r="CL8" i="33"/>
  <c r="CS37" i="33"/>
  <c r="CL12" i="33"/>
  <c r="CS13" i="33"/>
  <c r="CL10" i="33"/>
  <c r="CS17" i="33"/>
  <c r="CL28" i="33"/>
  <c r="CS54" i="33"/>
  <c r="CL21" i="33"/>
  <c r="CS41" i="33"/>
  <c r="CL42" i="33"/>
  <c r="CS42" i="33"/>
  <c r="CL20" i="33"/>
  <c r="CS22" i="33"/>
  <c r="CL56" i="33"/>
  <c r="CL47" i="33"/>
  <c r="CS50" i="33"/>
  <c r="CL37" i="33"/>
  <c r="CS25" i="33"/>
  <c r="CL16" i="33"/>
  <c r="CS21" i="33"/>
  <c r="CL31" i="33"/>
  <c r="CS8" i="33"/>
  <c r="CL54" i="33"/>
  <c r="CS47" i="33"/>
  <c r="CL23" i="33"/>
  <c r="CS23" i="33"/>
  <c r="CL51" i="33"/>
  <c r="CS30" i="33"/>
  <c r="CL17" i="33"/>
  <c r="CS15" i="33"/>
  <c r="CL9" i="33"/>
  <c r="CS9" i="33"/>
  <c r="CL26" i="33"/>
  <c r="CS52" i="33"/>
  <c r="CS28" i="33"/>
  <c r="CL24" i="33"/>
  <c r="CS35" i="33"/>
  <c r="CL30" i="33"/>
  <c r="CS53" i="33"/>
  <c r="CL48" i="33"/>
  <c r="CS48" i="33"/>
  <c r="CL44" i="33"/>
  <c r="CS40" i="33"/>
  <c r="CL52" i="33"/>
  <c r="CS51" i="33"/>
  <c r="CL55" i="33"/>
  <c r="CS55" i="33"/>
  <c r="CL38" i="33"/>
  <c r="AX49" i="33"/>
  <c r="CL46" i="33"/>
  <c r="CL11" i="33"/>
  <c r="CL22" i="33"/>
  <c r="CL25" i="33"/>
  <c r="DB2" i="33" l="1"/>
  <c r="DB3" i="33" s="1"/>
  <c r="DB82" i="33" s="1"/>
  <c r="DB81" i="33"/>
  <c r="CS2" i="33"/>
  <c r="CS3" i="33" s="1"/>
  <c r="CS81" i="33"/>
  <c r="CL2" i="33"/>
  <c r="CL3" i="33" s="1"/>
  <c r="CL81" i="33"/>
  <c r="EO48" i="31"/>
  <c r="AK62" i="31"/>
  <c r="C34" i="49"/>
  <c r="AJ55" i="33"/>
  <c r="AL55" i="33"/>
  <c r="T55" i="33"/>
  <c r="AG55" i="33"/>
  <c r="F82" i="20"/>
  <c r="I82" i="20"/>
  <c r="G82" i="20" s="1"/>
  <c r="H82" i="20" s="1"/>
  <c r="J82" i="20"/>
  <c r="K82" i="20"/>
  <c r="DQ54" i="31"/>
  <c r="DI54" i="31"/>
  <c r="DA54" i="31"/>
  <c r="DC54" i="31"/>
  <c r="CZ54" i="31"/>
  <c r="F60" i="51"/>
  <c r="G60" i="51"/>
  <c r="H60" i="51"/>
  <c r="U54" i="31" s="1"/>
  <c r="I60" i="51"/>
  <c r="CC54" i="31" s="1"/>
  <c r="J60" i="51"/>
  <c r="D60" i="51"/>
  <c r="A612" i="35" s="1"/>
  <c r="AT54" i="31"/>
  <c r="BP54" i="31"/>
  <c r="CQ54" i="31" s="1"/>
  <c r="DZ54" i="31"/>
  <c r="G84" i="40"/>
  <c r="AL54" i="31"/>
  <c r="P84" i="40"/>
  <c r="S84" i="40"/>
  <c r="V84" i="40"/>
  <c r="L84" i="40"/>
  <c r="R84" i="40" s="1"/>
  <c r="V55" i="33"/>
  <c r="AI54" i="31"/>
  <c r="BI54" i="31" l="1"/>
  <c r="O54" i="31"/>
  <c r="BE55" i="33"/>
  <c r="AM55" i="33"/>
  <c r="DV54" i="31"/>
  <c r="AB54" i="31"/>
  <c r="W54" i="31"/>
  <c r="T54" i="31" s="1"/>
  <c r="I84" i="40"/>
  <c r="J84" i="40"/>
  <c r="DX84" i="40" s="1"/>
  <c r="CD54" i="31"/>
  <c r="AV77" i="49"/>
  <c r="AY77" i="49" s="1"/>
  <c r="AV72" i="49"/>
  <c r="AY72" i="49" s="1"/>
  <c r="AV67" i="49"/>
  <c r="AY67" i="49" s="1"/>
  <c r="AV61" i="49"/>
  <c r="AY61" i="49" s="1"/>
  <c r="AV58" i="49"/>
  <c r="AY58" i="49" s="1"/>
  <c r="AV48" i="49"/>
  <c r="AY48" i="49" s="1"/>
  <c r="AV44" i="49"/>
  <c r="AY44" i="49" s="1"/>
  <c r="AV42" i="49"/>
  <c r="AY42" i="49" s="1"/>
  <c r="AV36" i="49"/>
  <c r="AY36" i="49" s="1"/>
  <c r="AV71" i="49"/>
  <c r="AY71" i="49" s="1"/>
  <c r="AV66" i="49"/>
  <c r="AY66" i="49" s="1"/>
  <c r="AV60" i="49"/>
  <c r="AY60" i="49" s="1"/>
  <c r="AV57" i="49"/>
  <c r="AY57" i="49" s="1"/>
  <c r="AV53" i="49"/>
  <c r="AY53" i="49" s="1"/>
  <c r="AV50" i="49"/>
  <c r="AY50" i="49" s="1"/>
  <c r="AV41" i="49"/>
  <c r="AY41" i="49" s="1"/>
  <c r="AV34" i="49"/>
  <c r="AY34" i="49" s="1"/>
  <c r="AV76" i="49"/>
  <c r="AY76" i="49" s="1"/>
  <c r="AV70" i="49"/>
  <c r="AY70" i="49" s="1"/>
  <c r="AV65" i="49"/>
  <c r="AY65" i="49" s="1"/>
  <c r="AV59" i="49"/>
  <c r="AY59" i="49" s="1"/>
  <c r="AV56" i="49"/>
  <c r="AY56" i="49" s="1"/>
  <c r="AV52" i="49"/>
  <c r="AY52" i="49" s="1"/>
  <c r="AV47" i="49"/>
  <c r="AY47" i="49" s="1"/>
  <c r="AV39" i="49"/>
  <c r="AY39" i="49" s="1"/>
  <c r="AV78" i="49"/>
  <c r="AY78" i="49" s="1"/>
  <c r="AV74" i="49"/>
  <c r="AY74" i="49" s="1"/>
  <c r="AV69" i="49"/>
  <c r="AY69" i="49" s="1"/>
  <c r="AV63" i="49"/>
  <c r="AY63" i="49" s="1"/>
  <c r="AV55" i="49"/>
  <c r="AY55" i="49" s="1"/>
  <c r="AV51" i="49"/>
  <c r="AY51" i="49" s="1"/>
  <c r="AV45" i="49"/>
  <c r="AY45" i="49" s="1"/>
  <c r="AV38" i="49"/>
  <c r="AY38" i="49" s="1"/>
  <c r="AV75" i="49"/>
  <c r="AY75" i="49" s="1"/>
  <c r="AV73" i="49"/>
  <c r="AY73" i="49" s="1"/>
  <c r="AV68" i="49"/>
  <c r="AY68" i="49" s="1"/>
  <c r="AV62" i="49"/>
  <c r="AY62" i="49" s="1"/>
  <c r="AV40" i="49"/>
  <c r="AY40" i="49" s="1"/>
  <c r="AV54" i="49"/>
  <c r="AY54" i="49" s="1"/>
  <c r="AV46" i="49"/>
  <c r="AY46" i="49" s="1"/>
  <c r="AV43" i="49"/>
  <c r="AY43" i="49" s="1"/>
  <c r="AV37" i="49"/>
  <c r="AY37" i="49" s="1"/>
  <c r="S55" i="33"/>
  <c r="Z54" i="31"/>
  <c r="AR71" i="49"/>
  <c r="AS71" i="49" s="1"/>
  <c r="AT71" i="49"/>
  <c r="AR66" i="49"/>
  <c r="AS66" i="49" s="1"/>
  <c r="AT66" i="49"/>
  <c r="AR60" i="49"/>
  <c r="AS60" i="49" s="1"/>
  <c r="AT60" i="49"/>
  <c r="AR57" i="49"/>
  <c r="AS57" i="49" s="1"/>
  <c r="AT57" i="49"/>
  <c r="AR53" i="49"/>
  <c r="AS53" i="49" s="1"/>
  <c r="AT53" i="49"/>
  <c r="AR50" i="49"/>
  <c r="AS50" i="49" s="1"/>
  <c r="AT50" i="49"/>
  <c r="AR42" i="49"/>
  <c r="AS42" i="49" s="1"/>
  <c r="AT42" i="49"/>
  <c r="AR36" i="49"/>
  <c r="AS36" i="49" s="1"/>
  <c r="AT36" i="49"/>
  <c r="AR34" i="49"/>
  <c r="AS34" i="49" s="1"/>
  <c r="AT34" i="49"/>
  <c r="AT76" i="49"/>
  <c r="AR76" i="49"/>
  <c r="AS76" i="49" s="1"/>
  <c r="AR70" i="49"/>
  <c r="AS70" i="49" s="1"/>
  <c r="AT70" i="49"/>
  <c r="AR65" i="49"/>
  <c r="AS65" i="49" s="1"/>
  <c r="AT65" i="49"/>
  <c r="AT59" i="49"/>
  <c r="AR59" i="49"/>
  <c r="AS59" i="49" s="1"/>
  <c r="AR56" i="49"/>
  <c r="AS56" i="49" s="1"/>
  <c r="AT56" i="49"/>
  <c r="AR52" i="49"/>
  <c r="AS52" i="49" s="1"/>
  <c r="AT52" i="49"/>
  <c r="AT49" i="49"/>
  <c r="AW49" i="49" s="1"/>
  <c r="AR49" i="49"/>
  <c r="AS49" i="49" s="1"/>
  <c r="AR41" i="49"/>
  <c r="AS41" i="49" s="1"/>
  <c r="AT41" i="49"/>
  <c r="AR78" i="49"/>
  <c r="AS78" i="49" s="1"/>
  <c r="AT78" i="49"/>
  <c r="AR74" i="49"/>
  <c r="AS74" i="49" s="1"/>
  <c r="AT74" i="49"/>
  <c r="AT69" i="49"/>
  <c r="AR69" i="49"/>
  <c r="AS69" i="49" s="1"/>
  <c r="AT63" i="49"/>
  <c r="AR63" i="49"/>
  <c r="AS63" i="49" s="1"/>
  <c r="AT55" i="49"/>
  <c r="AR55" i="49"/>
  <c r="AS55" i="49" s="1"/>
  <c r="AR51" i="49"/>
  <c r="AS51" i="49" s="1"/>
  <c r="AT51" i="49"/>
  <c r="AR47" i="49"/>
  <c r="AS47" i="49" s="1"/>
  <c r="AT47" i="49"/>
  <c r="AR39" i="49"/>
  <c r="AS39" i="49" s="1"/>
  <c r="AT39" i="49"/>
  <c r="AT75" i="49"/>
  <c r="AR75" i="49"/>
  <c r="AS75" i="49" s="1"/>
  <c r="AR73" i="49"/>
  <c r="AS73" i="49" s="1"/>
  <c r="AT73" i="49"/>
  <c r="AR68" i="49"/>
  <c r="AS68" i="49" s="1"/>
  <c r="AT68" i="49"/>
  <c r="AT62" i="49"/>
  <c r="AR62" i="49"/>
  <c r="AS62" i="49" s="1"/>
  <c r="AT40" i="49"/>
  <c r="AR40" i="49"/>
  <c r="AS40" i="49" s="1"/>
  <c r="AR54" i="49"/>
  <c r="AS54" i="49" s="1"/>
  <c r="AT54" i="49"/>
  <c r="AT46" i="49"/>
  <c r="AR46" i="49"/>
  <c r="AS46" i="49" s="1"/>
  <c r="AR45" i="49"/>
  <c r="AS45" i="49" s="1"/>
  <c r="AT45" i="49"/>
  <c r="AR38" i="49"/>
  <c r="AS38" i="49" s="1"/>
  <c r="AT38" i="49"/>
  <c r="AR77" i="49"/>
  <c r="AS77" i="49" s="1"/>
  <c r="AT77" i="49"/>
  <c r="AT72" i="49"/>
  <c r="AR72" i="49"/>
  <c r="AS72" i="49" s="1"/>
  <c r="AR67" i="49"/>
  <c r="AS67" i="49" s="1"/>
  <c r="AT67" i="49"/>
  <c r="AT61" i="49"/>
  <c r="AR61" i="49"/>
  <c r="AS61" i="49" s="1"/>
  <c r="AT58" i="49"/>
  <c r="AR58" i="49"/>
  <c r="AS58" i="49" s="1"/>
  <c r="AR48" i="49"/>
  <c r="AS48" i="49" s="1"/>
  <c r="AT48" i="49"/>
  <c r="AR44" i="49"/>
  <c r="AS44" i="49" s="1"/>
  <c r="AT44" i="49"/>
  <c r="AT43" i="49"/>
  <c r="AR43" i="49"/>
  <c r="AS43" i="49" s="1"/>
  <c r="AT37" i="49"/>
  <c r="AR37" i="49"/>
  <c r="AS37" i="49" s="1"/>
  <c r="E34" i="49"/>
  <c r="H34" i="49" s="1"/>
  <c r="F54" i="31"/>
  <c r="DN54" i="31"/>
  <c r="F34" i="49"/>
  <c r="W84" i="40"/>
  <c r="R55" i="33"/>
  <c r="DB54" i="31"/>
  <c r="DD54" i="31"/>
  <c r="AX55" i="33"/>
  <c r="BL55" i="33"/>
  <c r="BX55" i="33"/>
  <c r="CE55" i="33"/>
  <c r="AH55" i="33"/>
  <c r="DT54" i="31"/>
  <c r="CV54" i="31"/>
  <c r="CU54" i="31" s="1"/>
  <c r="U84" i="40"/>
  <c r="T84" i="40"/>
  <c r="BP81" i="49" l="1"/>
  <c r="BP35" i="49"/>
  <c r="BP80" i="49"/>
  <c r="BP69" i="49"/>
  <c r="BP71" i="49"/>
  <c r="BP44" i="49"/>
  <c r="BP66" i="49"/>
  <c r="BP36" i="49"/>
  <c r="BP72" i="49"/>
  <c r="BP41" i="49"/>
  <c r="BP47" i="49"/>
  <c r="BP74" i="49"/>
  <c r="BP78" i="49"/>
  <c r="BP34" i="49"/>
  <c r="BP50" i="49"/>
  <c r="BP76" i="49"/>
  <c r="BP53" i="49"/>
  <c r="BP42" i="49"/>
  <c r="BP51" i="49"/>
  <c r="BP77" i="49"/>
  <c r="BP82" i="49"/>
  <c r="BP40" i="49"/>
  <c r="BP45" i="49"/>
  <c r="BP79" i="49"/>
  <c r="BP64" i="49"/>
  <c r="BP38" i="49"/>
  <c r="BP60" i="49"/>
  <c r="BP54" i="49"/>
  <c r="BP62" i="49"/>
  <c r="BP75" i="49"/>
  <c r="BP56" i="49"/>
  <c r="BP65" i="49"/>
  <c r="BP59" i="49"/>
  <c r="BP43" i="49"/>
  <c r="BP48" i="49"/>
  <c r="BP57" i="49"/>
  <c r="BP61" i="49"/>
  <c r="BP49" i="49"/>
  <c r="BP52" i="49"/>
  <c r="BP63" i="49"/>
  <c r="BP39" i="49"/>
  <c r="BP46" i="49"/>
  <c r="BP67" i="49"/>
  <c r="BP68" i="49"/>
  <c r="BP58" i="49"/>
  <c r="BP37" i="49"/>
  <c r="BP73" i="49"/>
  <c r="BP70" i="49"/>
  <c r="BP55" i="49"/>
  <c r="AW72" i="49"/>
  <c r="AW67" i="49"/>
  <c r="AW61" i="49"/>
  <c r="AW60" i="49"/>
  <c r="AW58" i="49"/>
  <c r="AW47" i="49"/>
  <c r="AW63" i="49"/>
  <c r="AW53" i="49"/>
  <c r="AW50" i="49"/>
  <c r="AW41" i="49"/>
  <c r="AW48" i="49"/>
  <c r="AW42" i="49"/>
  <c r="AW36" i="49"/>
  <c r="AW70" i="49"/>
  <c r="AW56" i="49"/>
  <c r="AW54" i="49"/>
  <c r="AW45" i="49"/>
  <c r="AW44" i="49"/>
  <c r="AW37" i="49"/>
  <c r="AW75" i="49"/>
  <c r="AU75" i="49"/>
  <c r="AU63" i="49"/>
  <c r="AU49" i="49"/>
  <c r="AW52" i="49"/>
  <c r="AW71" i="49"/>
  <c r="AW46" i="49"/>
  <c r="AU72" i="49"/>
  <c r="AW55" i="49"/>
  <c r="AW62" i="49"/>
  <c r="AW40" i="49"/>
  <c r="AW69" i="49"/>
  <c r="AW76" i="49"/>
  <c r="AW68" i="49"/>
  <c r="AW78" i="49"/>
  <c r="AW38" i="49"/>
  <c r="AW57" i="49"/>
  <c r="AU68" i="49"/>
  <c r="AU51" i="49"/>
  <c r="AU78" i="49"/>
  <c r="AW59" i="49"/>
  <c r="AU36" i="49"/>
  <c r="AU60" i="49"/>
  <c r="AW51" i="49"/>
  <c r="AU45" i="49"/>
  <c r="AU43" i="49"/>
  <c r="AU46" i="49"/>
  <c r="AW73" i="49"/>
  <c r="AU55" i="49"/>
  <c r="AW65" i="49"/>
  <c r="AW66" i="49"/>
  <c r="AW43" i="49"/>
  <c r="AU50" i="49"/>
  <c r="AU71" i="49"/>
  <c r="AW77" i="49"/>
  <c r="AU40" i="49"/>
  <c r="AW39" i="49"/>
  <c r="AU69" i="49"/>
  <c r="AU76" i="49"/>
  <c r="AU58" i="49"/>
  <c r="AU62" i="49"/>
  <c r="AW74" i="49"/>
  <c r="AW34" i="49"/>
  <c r="AU38" i="49"/>
  <c r="AU47" i="49"/>
  <c r="AU74" i="49"/>
  <c r="AU56" i="49"/>
  <c r="AU34" i="49"/>
  <c r="AU57" i="49"/>
  <c r="AU37" i="49"/>
  <c r="AU61" i="49"/>
  <c r="AU59" i="49"/>
  <c r="AU41" i="49"/>
  <c r="AU65" i="49"/>
  <c r="AU42" i="49"/>
  <c r="AU66" i="49"/>
  <c r="AU73" i="49"/>
  <c r="AU54" i="49"/>
  <c r="AU70" i="49"/>
  <c r="AU67" i="49"/>
  <c r="AU44" i="49"/>
  <c r="AU48" i="49"/>
  <c r="AU77" i="49"/>
  <c r="AU39" i="49"/>
  <c r="AU52" i="49"/>
  <c r="AU53" i="49"/>
  <c r="BU54" i="31"/>
  <c r="CE54" i="31"/>
  <c r="U55" i="33"/>
  <c r="C54" i="31"/>
  <c r="AO55" i="33"/>
  <c r="AK76" i="31"/>
  <c r="E54" i="31"/>
  <c r="AK75" i="31"/>
  <c r="X84" i="40"/>
  <c r="BT54" i="31" s="1"/>
  <c r="G55" i="33"/>
  <c r="AS55" i="33"/>
  <c r="CP55" i="33" l="1"/>
  <c r="CY55" i="33"/>
  <c r="BP55" i="33"/>
  <c r="AD54" i="31"/>
  <c r="Y84" i="40"/>
  <c r="BL54" i="31" s="1"/>
  <c r="DU54" i="31"/>
  <c r="F55" i="33"/>
  <c r="C55" i="33"/>
  <c r="BU55" i="33"/>
  <c r="BI55" i="33"/>
  <c r="CI55" i="33"/>
  <c r="CB55" i="33"/>
  <c r="AH54" i="31"/>
  <c r="AU55" i="33"/>
  <c r="BB55" i="33"/>
  <c r="AF55" i="33"/>
  <c r="K60" i="51"/>
  <c r="AF54" i="31"/>
  <c r="AG54" i="31"/>
  <c r="Z55" i="33"/>
  <c r="AA54" i="31"/>
  <c r="CY84" i="40"/>
  <c r="C84" i="40"/>
  <c r="Y54" i="31"/>
  <c r="AE54" i="31"/>
  <c r="BZ54" i="31"/>
  <c r="AK77" i="31"/>
  <c r="AS54" i="31"/>
  <c r="DW54" i="31" l="1"/>
  <c r="AE55" i="33"/>
  <c r="AC54" i="31"/>
  <c r="AB55" i="33"/>
  <c r="AC55" i="33" s="1"/>
  <c r="BM54" i="31"/>
  <c r="DW84" i="40"/>
  <c r="AA55" i="33" s="1"/>
  <c r="AU54" i="31"/>
  <c r="CA54" i="31"/>
  <c r="DR54" i="31" s="1"/>
  <c r="DS54" i="31" s="1"/>
  <c r="DJ54" i="31"/>
  <c r="CR54" i="31"/>
  <c r="BW54" i="31" l="1"/>
  <c r="AD55" i="33"/>
  <c r="CB54" i="31"/>
  <c r="AN55" i="33" l="1"/>
  <c r="D54" i="31"/>
  <c r="DY84" i="40" s="1"/>
  <c r="BX54" i="31"/>
  <c r="BY54" i="31"/>
  <c r="CF54" i="31" s="1"/>
  <c r="AH66" i="33"/>
  <c r="S66" i="33"/>
  <c r="T66" i="33"/>
  <c r="V66" i="33"/>
  <c r="F90" i="51"/>
  <c r="G90" i="51"/>
  <c r="H90" i="51"/>
  <c r="R66" i="33" s="1"/>
  <c r="I90" i="51"/>
  <c r="AM66" i="33" s="1"/>
  <c r="J90" i="51"/>
  <c r="AO66" i="33" s="1"/>
  <c r="B93" i="40" s="1"/>
  <c r="D56" i="51"/>
  <c r="A563" i="35" s="1"/>
  <c r="D54" i="51"/>
  <c r="A553" i="35" s="1"/>
  <c r="D58" i="51"/>
  <c r="A605" i="35" s="1"/>
  <c r="D59" i="51"/>
  <c r="A668" i="35" s="1"/>
  <c r="D61" i="51"/>
  <c r="A629" i="35" s="1"/>
  <c r="D62" i="51"/>
  <c r="A410" i="35" s="1"/>
  <c r="D64" i="51"/>
  <c r="A418" i="35" s="1"/>
  <c r="D65" i="51"/>
  <c r="A463" i="35" s="1"/>
  <c r="D66" i="51"/>
  <c r="A36" i="35" s="1"/>
  <c r="D69" i="51"/>
  <c r="A449" i="35" s="1"/>
  <c r="A738" i="35"/>
  <c r="D67" i="51"/>
  <c r="A406" i="35" s="1"/>
  <c r="D70" i="51"/>
  <c r="A286" i="35" s="1"/>
  <c r="D71" i="51"/>
  <c r="A267" i="35" s="1"/>
  <c r="D72" i="51"/>
  <c r="A279" i="35" s="1"/>
  <c r="D77" i="51"/>
  <c r="A421" i="35" s="1"/>
  <c r="D78" i="51"/>
  <c r="A411" i="35" s="1"/>
  <c r="D79" i="51"/>
  <c r="A420" i="35" s="1"/>
  <c r="D80" i="51"/>
  <c r="A426" i="35" s="1"/>
  <c r="D82" i="51"/>
  <c r="A94" i="35" s="1"/>
  <c r="D83" i="51"/>
  <c r="A106" i="35" s="1"/>
  <c r="D84" i="51"/>
  <c r="A92" i="35" s="1"/>
  <c r="D85" i="51"/>
  <c r="A104" i="35" s="1"/>
  <c r="D47" i="51"/>
  <c r="A24" i="35" s="1"/>
  <c r="D48" i="51"/>
  <c r="A700" i="35" s="1"/>
  <c r="D49" i="51"/>
  <c r="A565" i="35" s="1"/>
  <c r="D50" i="51"/>
  <c r="A546" i="35" s="1"/>
  <c r="D51" i="51"/>
  <c r="A527" i="35" s="1"/>
  <c r="D52" i="51"/>
  <c r="D53" i="51"/>
  <c r="A545" i="35" s="1"/>
  <c r="D57" i="51"/>
  <c r="A520" i="35" s="1"/>
  <c r="D55" i="51"/>
  <c r="A400" i="35" s="1"/>
  <c r="D37" i="51"/>
  <c r="A40" i="35" s="1"/>
  <c r="D38" i="51"/>
  <c r="A416" i="35" s="1"/>
  <c r="D39" i="51"/>
  <c r="A341" i="35" s="1"/>
  <c r="D40" i="51"/>
  <c r="A448" i="35" s="1"/>
  <c r="D41" i="51"/>
  <c r="A484" i="35" s="1"/>
  <c r="D42" i="51"/>
  <c r="A505" i="35" s="1"/>
  <c r="D43" i="51"/>
  <c r="A504" i="35" s="1"/>
  <c r="D44" i="51"/>
  <c r="A494" i="35" s="1"/>
  <c r="D45" i="51"/>
  <c r="A482" i="35" s="1"/>
  <c r="DQ44" i="31"/>
  <c r="DI44" i="31"/>
  <c r="CZ44" i="31"/>
  <c r="DA44" i="31"/>
  <c r="DC44" i="31"/>
  <c r="BP44" i="31"/>
  <c r="CQ44" i="31" s="1"/>
  <c r="AT44" i="31"/>
  <c r="F81" i="20"/>
  <c r="I81" i="20"/>
  <c r="G81" i="20" s="1"/>
  <c r="H81" i="20" s="1"/>
  <c r="J81" i="20"/>
  <c r="K81" i="20"/>
  <c r="T45" i="33"/>
  <c r="AJ45" i="33"/>
  <c r="AL45" i="33"/>
  <c r="S74" i="40"/>
  <c r="T74" i="40"/>
  <c r="V74" i="40"/>
  <c r="W74" i="40" s="1"/>
  <c r="P74" i="40"/>
  <c r="I74" i="40"/>
  <c r="L74" i="40"/>
  <c r="DZ44" i="31"/>
  <c r="AL44" i="31"/>
  <c r="AI44" i="31"/>
  <c r="F37" i="51"/>
  <c r="G37" i="51"/>
  <c r="H37" i="51"/>
  <c r="U44" i="31" s="1"/>
  <c r="I37" i="51"/>
  <c r="CC44" i="31" s="1"/>
  <c r="J37" i="51"/>
  <c r="Z62" i="31"/>
  <c r="X15" i="33"/>
  <c r="AB62" i="31"/>
  <c r="AF62" i="31"/>
  <c r="AE62" i="31"/>
  <c r="V62" i="31"/>
  <c r="X62" i="31"/>
  <c r="EO18" i="31"/>
  <c r="F80" i="20"/>
  <c r="I80" i="20"/>
  <c r="G80" i="20" s="1"/>
  <c r="H80" i="20" s="1"/>
  <c r="J80" i="20"/>
  <c r="K80" i="20"/>
  <c r="T19" i="33"/>
  <c r="DI18" i="31"/>
  <c r="DA18" i="31"/>
  <c r="DC18" i="31"/>
  <c r="CZ18" i="31"/>
  <c r="DQ18" i="31"/>
  <c r="DZ18" i="31"/>
  <c r="BP18" i="31"/>
  <c r="CQ18" i="31" s="1"/>
  <c r="AL18" i="31"/>
  <c r="G48" i="40"/>
  <c r="AT18" i="31"/>
  <c r="P48" i="40"/>
  <c r="S48" i="40"/>
  <c r="V48" i="40"/>
  <c r="R48" i="40"/>
  <c r="AI18" i="31"/>
  <c r="F44" i="51"/>
  <c r="G44" i="51"/>
  <c r="W18" i="31" s="1"/>
  <c r="H44" i="51"/>
  <c r="U18" i="31" s="1"/>
  <c r="I44" i="51"/>
  <c r="CC18" i="31" s="1"/>
  <c r="J44" i="51"/>
  <c r="I3" i="53"/>
  <c r="I12" i="53"/>
  <c r="F66" i="20"/>
  <c r="I66" i="20"/>
  <c r="G66" i="20" s="1"/>
  <c r="H66" i="20" s="1"/>
  <c r="J66" i="20"/>
  <c r="K66" i="20"/>
  <c r="EO20" i="31"/>
  <c r="T21" i="33"/>
  <c r="AJ21" i="33"/>
  <c r="AL21" i="33"/>
  <c r="DQ20" i="31"/>
  <c r="DI20" i="31"/>
  <c r="DA20" i="31"/>
  <c r="DC20" i="31"/>
  <c r="CZ20" i="31"/>
  <c r="BP20" i="31"/>
  <c r="CQ20" i="31" s="1"/>
  <c r="AT20" i="31"/>
  <c r="G50" i="40"/>
  <c r="V50" i="40"/>
  <c r="P50" i="40"/>
  <c r="S50" i="40"/>
  <c r="L50" i="40"/>
  <c r="DZ20" i="31"/>
  <c r="AI20" i="31"/>
  <c r="AL20" i="31"/>
  <c r="F84" i="51"/>
  <c r="G84" i="51"/>
  <c r="H84" i="51"/>
  <c r="U20" i="31" s="1"/>
  <c r="I84" i="51"/>
  <c r="CC20" i="31" s="1"/>
  <c r="J84" i="51"/>
  <c r="BI44" i="31" l="1"/>
  <c r="BI18" i="31"/>
  <c r="BI20" i="31"/>
  <c r="E55" i="33"/>
  <c r="O44" i="31"/>
  <c r="O18" i="31"/>
  <c r="O20" i="31"/>
  <c r="CH54" i="31"/>
  <c r="CI54" i="31" s="1"/>
  <c r="AM19" i="33"/>
  <c r="AM45" i="33"/>
  <c r="AM21" i="33"/>
  <c r="CG54" i="31"/>
  <c r="U66" i="33"/>
  <c r="CY66" i="33" s="1"/>
  <c r="W20" i="31"/>
  <c r="W44" i="31"/>
  <c r="T50" i="40"/>
  <c r="J50" i="40"/>
  <c r="DX50" i="40" s="1"/>
  <c r="I48" i="40"/>
  <c r="J48" i="40"/>
  <c r="DX48" i="40" s="1"/>
  <c r="CD18" i="31"/>
  <c r="CD44" i="31"/>
  <c r="CD20" i="31"/>
  <c r="Z44" i="31"/>
  <c r="Z20" i="31"/>
  <c r="Z18" i="31"/>
  <c r="U74" i="40"/>
  <c r="E20" i="31"/>
  <c r="E44" i="31"/>
  <c r="E18" i="31"/>
  <c r="R74" i="40"/>
  <c r="R50" i="40"/>
  <c r="BE45" i="33"/>
  <c r="DT18" i="31"/>
  <c r="R45" i="33"/>
  <c r="DB44" i="31"/>
  <c r="V45" i="33"/>
  <c r="S45" i="33"/>
  <c r="R19" i="33"/>
  <c r="V19" i="33"/>
  <c r="AB20" i="31"/>
  <c r="AB44" i="31"/>
  <c r="AB18" i="31"/>
  <c r="AX21" i="33"/>
  <c r="CE19" i="33"/>
  <c r="CV44" i="31"/>
  <c r="CU44" i="31" s="1"/>
  <c r="CE45" i="33"/>
  <c r="AX45" i="33"/>
  <c r="BL45" i="33"/>
  <c r="BX45" i="33"/>
  <c r="DN44" i="31"/>
  <c r="AG45" i="33"/>
  <c r="DV44" i="31"/>
  <c r="DD44" i="31"/>
  <c r="DT44" i="31"/>
  <c r="AG19" i="33"/>
  <c r="S19" i="33"/>
  <c r="AH45" i="33"/>
  <c r="BX19" i="33"/>
  <c r="W48" i="40"/>
  <c r="U48" i="40"/>
  <c r="T48" i="40"/>
  <c r="DV18" i="31"/>
  <c r="AX19" i="33"/>
  <c r="DB18" i="31"/>
  <c r="BE19" i="33"/>
  <c r="BL19" i="33"/>
  <c r="AH19" i="33"/>
  <c r="DD18" i="31"/>
  <c r="CV18" i="31"/>
  <c r="CU18" i="31" s="1"/>
  <c r="DN18" i="31"/>
  <c r="DB20" i="31"/>
  <c r="DV20" i="31"/>
  <c r="DT20" i="31"/>
  <c r="AG21" i="33"/>
  <c r="BL21" i="33"/>
  <c r="BX21" i="33"/>
  <c r="BE21" i="33"/>
  <c r="CE21" i="33"/>
  <c r="DN20" i="31"/>
  <c r="DD20" i="31"/>
  <c r="CV20" i="31"/>
  <c r="CU20" i="31" s="1"/>
  <c r="W50" i="40"/>
  <c r="I50" i="40"/>
  <c r="U50" i="40"/>
  <c r="BP66" i="33" l="1"/>
  <c r="CP66" i="33"/>
  <c r="BB66" i="33"/>
  <c r="BU66" i="33"/>
  <c r="BU20" i="31"/>
  <c r="CE44" i="31"/>
  <c r="CE20" i="31"/>
  <c r="CE18" i="31"/>
  <c r="C44" i="31"/>
  <c r="T18" i="31"/>
  <c r="T20" i="31"/>
  <c r="AS66" i="33"/>
  <c r="BI66" i="33"/>
  <c r="U19" i="33"/>
  <c r="CY19" i="33" s="1"/>
  <c r="C18" i="31"/>
  <c r="Z66" i="33"/>
  <c r="AU66" i="33"/>
  <c r="AF66" i="33"/>
  <c r="U45" i="33"/>
  <c r="CY45" i="33" s="1"/>
  <c r="T44" i="31"/>
  <c r="AO19" i="33"/>
  <c r="AO45" i="33"/>
  <c r="F18" i="31"/>
  <c r="F20" i="31"/>
  <c r="X74" i="40"/>
  <c r="BT44" i="31" s="1"/>
  <c r="Z75" i="31"/>
  <c r="F44" i="31"/>
  <c r="Z76" i="31"/>
  <c r="F45" i="33"/>
  <c r="Z73" i="31"/>
  <c r="DO44" i="31" s="1"/>
  <c r="BU44" i="31"/>
  <c r="F19" i="33"/>
  <c r="BU18" i="31"/>
  <c r="X48" i="40"/>
  <c r="BT18" i="31" s="1"/>
  <c r="X50" i="40"/>
  <c r="BT20" i="31" s="1"/>
  <c r="F21" i="33"/>
  <c r="CI19" i="33" l="1"/>
  <c r="AS19" i="33"/>
  <c r="AF19" i="33"/>
  <c r="AD20" i="31"/>
  <c r="AD44" i="31"/>
  <c r="AD18" i="31"/>
  <c r="DU20" i="31"/>
  <c r="CY50" i="40"/>
  <c r="DW50" i="40" s="1"/>
  <c r="AA21" i="33" s="1"/>
  <c r="G19" i="33"/>
  <c r="G21" i="33"/>
  <c r="Z19" i="33"/>
  <c r="G45" i="33"/>
  <c r="C19" i="33"/>
  <c r="C45" i="33"/>
  <c r="AG20" i="31"/>
  <c r="AH18" i="31"/>
  <c r="C48" i="40"/>
  <c r="AE18" i="31"/>
  <c r="K44" i="51"/>
  <c r="CY48" i="40"/>
  <c r="BZ18" i="31"/>
  <c r="AE20" i="31"/>
  <c r="AF20" i="31"/>
  <c r="AA20" i="31"/>
  <c r="BZ20" i="31"/>
  <c r="Y18" i="31"/>
  <c r="AF18" i="31"/>
  <c r="Y20" i="31"/>
  <c r="AH20" i="31"/>
  <c r="AA18" i="31"/>
  <c r="Z45" i="33"/>
  <c r="AG18" i="31"/>
  <c r="CB45" i="33"/>
  <c r="CI45" i="33"/>
  <c r="CB19" i="33"/>
  <c r="C74" i="40"/>
  <c r="CY93" i="40"/>
  <c r="DW93" i="40" s="1"/>
  <c r="AA66" i="33" s="1"/>
  <c r="K90" i="51"/>
  <c r="C93" i="40"/>
  <c r="M90" i="51"/>
  <c r="AE44" i="31"/>
  <c r="Y44" i="31"/>
  <c r="CY74" i="40"/>
  <c r="CW74" i="40" s="1"/>
  <c r="DU74" i="40" s="1"/>
  <c r="BZ44" i="31"/>
  <c r="AH44" i="31"/>
  <c r="AG44" i="31"/>
  <c r="BU45" i="33"/>
  <c r="BB45" i="33"/>
  <c r="K37" i="51"/>
  <c r="BP19" i="33"/>
  <c r="BI19" i="33"/>
  <c r="BB19" i="33"/>
  <c r="AF44" i="31"/>
  <c r="BI45" i="33"/>
  <c r="AF45" i="33"/>
  <c r="BU19" i="33"/>
  <c r="BP45" i="33"/>
  <c r="AU19" i="33"/>
  <c r="AU45" i="33"/>
  <c r="AA44" i="31"/>
  <c r="Z71" i="31"/>
  <c r="AS44" i="31"/>
  <c r="Y74" i="40"/>
  <c r="BL44" i="31" s="1"/>
  <c r="Z77" i="31"/>
  <c r="DU44" i="31"/>
  <c r="DU18" i="31"/>
  <c r="Y48" i="40"/>
  <c r="BL18" i="31" s="1"/>
  <c r="AS18" i="31"/>
  <c r="Y50" i="40"/>
  <c r="DW48" i="40" l="1"/>
  <c r="AA19" i="33" s="1"/>
  <c r="DW20" i="31"/>
  <c r="AE19" i="33"/>
  <c r="AE45" i="33"/>
  <c r="AC20" i="31"/>
  <c r="AB45" i="33"/>
  <c r="AC45" i="33" s="1"/>
  <c r="AC18" i="31"/>
  <c r="CA44" i="31"/>
  <c r="DR44" i="31" s="1"/>
  <c r="DS44" i="31" s="1"/>
  <c r="AB19" i="33"/>
  <c r="AC19" i="33" s="1"/>
  <c r="M44" i="51"/>
  <c r="DW74" i="40"/>
  <c r="AA45" i="33" s="1"/>
  <c r="AC44" i="31"/>
  <c r="BM44" i="31"/>
  <c r="AU18" i="31"/>
  <c r="CA18" i="31"/>
  <c r="DR18" i="31" s="1"/>
  <c r="DS18" i="31" s="1"/>
  <c r="CR44" i="31"/>
  <c r="AU44" i="31"/>
  <c r="DJ44" i="31"/>
  <c r="DW44" i="31"/>
  <c r="DW18" i="31"/>
  <c r="CR18" i="31"/>
  <c r="DJ18" i="31"/>
  <c r="BM18" i="31"/>
  <c r="Z74" i="31" l="1"/>
  <c r="BW18" i="31"/>
  <c r="BX18" i="31" s="1"/>
  <c r="BW44" i="31"/>
  <c r="CB44" i="31"/>
  <c r="AD19" i="33"/>
  <c r="CB18" i="31"/>
  <c r="AD45" i="33"/>
  <c r="Z64" i="31"/>
  <c r="AV44" i="31" s="1"/>
  <c r="D18" i="31" l="1"/>
  <c r="BY18" i="31"/>
  <c r="CF18" i="31" s="1"/>
  <c r="AN19" i="33"/>
  <c r="BY44" i="31"/>
  <c r="D44" i="31"/>
  <c r="BX44" i="31"/>
  <c r="AN45" i="33"/>
  <c r="H4" i="45"/>
  <c r="H3" i="45"/>
  <c r="E17" i="53"/>
  <c r="E16" i="53"/>
  <c r="E15" i="53"/>
  <c r="H14" i="53"/>
  <c r="E14" i="53"/>
  <c r="H11" i="53"/>
  <c r="I13" i="53"/>
  <c r="E12" i="53"/>
  <c r="I11" i="53"/>
  <c r="E11" i="53"/>
  <c r="I10" i="53"/>
  <c r="E10" i="53"/>
  <c r="I9" i="53"/>
  <c r="E9" i="53"/>
  <c r="I8" i="53"/>
  <c r="E8" i="53"/>
  <c r="I4" i="53"/>
  <c r="I5" i="53"/>
  <c r="H4" i="53"/>
  <c r="H5" i="53"/>
  <c r="I7" i="53"/>
  <c r="I6" i="53"/>
  <c r="E7" i="53"/>
  <c r="E6" i="53"/>
  <c r="E5" i="53"/>
  <c r="E4" i="53"/>
  <c r="E3" i="53"/>
  <c r="T9" i="33"/>
  <c r="T14" i="33"/>
  <c r="T37" i="33"/>
  <c r="T18" i="33"/>
  <c r="T24" i="33"/>
  <c r="T48" i="33"/>
  <c r="T8" i="33"/>
  <c r="T44" i="33"/>
  <c r="T50" i="33"/>
  <c r="T43" i="33"/>
  <c r="T16" i="33"/>
  <c r="T17" i="33"/>
  <c r="T26" i="33"/>
  <c r="T38" i="33"/>
  <c r="T15" i="33"/>
  <c r="T41" i="33"/>
  <c r="T51" i="33"/>
  <c r="T25" i="33"/>
  <c r="T56" i="33"/>
  <c r="T49" i="33"/>
  <c r="T12" i="33"/>
  <c r="T29" i="33"/>
  <c r="T28" i="33"/>
  <c r="T52" i="33"/>
  <c r="T10" i="33"/>
  <c r="T31" i="33"/>
  <c r="T32" i="33"/>
  <c r="T23" i="33"/>
  <c r="T34" i="33"/>
  <c r="T30" i="33"/>
  <c r="T22" i="33"/>
  <c r="T47" i="33"/>
  <c r="T11" i="33"/>
  <c r="T42" i="33"/>
  <c r="T46" i="33"/>
  <c r="T54" i="33"/>
  <c r="T35" i="33"/>
  <c r="CH18" i="31" l="1"/>
  <c r="CI18" i="31" s="1"/>
  <c r="E19" i="33"/>
  <c r="DY48" i="40"/>
  <c r="CF44" i="31"/>
  <c r="CH44" i="31"/>
  <c r="E45" i="33"/>
  <c r="DY74" i="40"/>
  <c r="CG18" i="31"/>
  <c r="H572" i="45"/>
  <c r="F79" i="20"/>
  <c r="I79" i="20"/>
  <c r="G79" i="20" s="1"/>
  <c r="H79" i="20" s="1"/>
  <c r="J79" i="20"/>
  <c r="K79" i="20"/>
  <c r="AJ35" i="33"/>
  <c r="AL35" i="33"/>
  <c r="EO34" i="31"/>
  <c r="DQ34" i="31"/>
  <c r="DI34" i="31"/>
  <c r="DA34" i="31"/>
  <c r="DC34" i="31"/>
  <c r="CZ34" i="31"/>
  <c r="BP34" i="31"/>
  <c r="CQ34" i="31" s="1"/>
  <c r="AT34" i="31"/>
  <c r="AL34" i="31"/>
  <c r="DZ34" i="31"/>
  <c r="S64" i="40"/>
  <c r="T64" i="40"/>
  <c r="V64" i="40"/>
  <c r="W64" i="40" s="1"/>
  <c r="P64" i="40"/>
  <c r="L64" i="40"/>
  <c r="R64" i="40" s="1"/>
  <c r="I64" i="40"/>
  <c r="F45" i="51"/>
  <c r="G45" i="51"/>
  <c r="W34" i="31" s="1"/>
  <c r="H45" i="51"/>
  <c r="U34" i="31" s="1"/>
  <c r="I45" i="51"/>
  <c r="CC34" i="31" s="1"/>
  <c r="J45" i="51"/>
  <c r="AI34" i="31"/>
  <c r="AG62" i="31"/>
  <c r="EO37" i="31"/>
  <c r="DZ37" i="31"/>
  <c r="F63" i="20"/>
  <c r="I63" i="20"/>
  <c r="G63" i="20" s="1"/>
  <c r="H63" i="20" s="1"/>
  <c r="J63" i="20"/>
  <c r="K63" i="20"/>
  <c r="DX37" i="31"/>
  <c r="DQ37" i="31"/>
  <c r="DI37" i="31"/>
  <c r="CZ37" i="31"/>
  <c r="DA37" i="31"/>
  <c r="DC37" i="31"/>
  <c r="BP37" i="31"/>
  <c r="CQ37" i="31" s="1"/>
  <c r="F71" i="51"/>
  <c r="G71" i="51"/>
  <c r="H71" i="51"/>
  <c r="U37" i="31" s="1"/>
  <c r="I71" i="51"/>
  <c r="CC37" i="31" s="1"/>
  <c r="J71" i="51"/>
  <c r="AJ38" i="33"/>
  <c r="AL38" i="33"/>
  <c r="AT37" i="31"/>
  <c r="G67" i="40"/>
  <c r="G78" i="40"/>
  <c r="P67" i="40"/>
  <c r="S67" i="40"/>
  <c r="V67" i="40"/>
  <c r="L67" i="40"/>
  <c r="AL37" i="31"/>
  <c r="AI37" i="31"/>
  <c r="AH62" i="31"/>
  <c r="AI62" i="31"/>
  <c r="AJ62" i="31"/>
  <c r="AL62" i="31"/>
  <c r="AO62" i="31"/>
  <c r="AP62" i="31"/>
  <c r="U62" i="31"/>
  <c r="AA62" i="31"/>
  <c r="DI48" i="31"/>
  <c r="DZ48" i="31"/>
  <c r="DQ48" i="31"/>
  <c r="CZ48" i="31"/>
  <c r="DA48" i="31"/>
  <c r="DC48" i="31"/>
  <c r="BP48" i="31"/>
  <c r="CQ48" i="31" s="1"/>
  <c r="AT48" i="31"/>
  <c r="AJ49" i="33"/>
  <c r="AL49" i="33"/>
  <c r="F55" i="20"/>
  <c r="I55" i="20"/>
  <c r="G55" i="20" s="1"/>
  <c r="H55" i="20" s="1"/>
  <c r="J55" i="20"/>
  <c r="CX2" i="31"/>
  <c r="CX2" i="36" s="1"/>
  <c r="CW2" i="1"/>
  <c r="CR2" i="54" s="1"/>
  <c r="AL48" i="31"/>
  <c r="V78" i="40"/>
  <c r="P78" i="40"/>
  <c r="S78" i="40"/>
  <c r="L78" i="40"/>
  <c r="R78" i="40" s="1"/>
  <c r="F40" i="51"/>
  <c r="G40" i="51"/>
  <c r="H40" i="51"/>
  <c r="U48" i="31" s="1"/>
  <c r="I40" i="51"/>
  <c r="CC48" i="31" s="1"/>
  <c r="J40" i="51"/>
  <c r="AI48" i="31"/>
  <c r="EO25" i="31"/>
  <c r="DZ25" i="31"/>
  <c r="Q26" i="33"/>
  <c r="F77" i="20"/>
  <c r="I77" i="20"/>
  <c r="G77" i="20" s="1"/>
  <c r="H77" i="20" s="1"/>
  <c r="J77" i="20"/>
  <c r="K77" i="20"/>
  <c r="DQ25" i="31"/>
  <c r="DI25" i="31"/>
  <c r="DA25" i="31"/>
  <c r="DC25" i="31"/>
  <c r="CZ25" i="31"/>
  <c r="AL25" i="31"/>
  <c r="BP25" i="31"/>
  <c r="CQ25" i="31" s="1"/>
  <c r="P55" i="40"/>
  <c r="AT25" i="31"/>
  <c r="S55" i="40"/>
  <c r="V55" i="40"/>
  <c r="G55" i="40"/>
  <c r="AI25" i="31"/>
  <c r="F80" i="51"/>
  <c r="G80" i="51"/>
  <c r="H80" i="51"/>
  <c r="U25" i="31" s="1"/>
  <c r="I80" i="51"/>
  <c r="CC25" i="31" s="1"/>
  <c r="J80" i="51"/>
  <c r="E7" i="15"/>
  <c r="F7" i="15"/>
  <c r="H9" i="53"/>
  <c r="DX38" i="36" l="1"/>
  <c r="DX39" i="36"/>
  <c r="DX36" i="36"/>
  <c r="DX37" i="36"/>
  <c r="DX34" i="36"/>
  <c r="DX35" i="36"/>
  <c r="DX31" i="36"/>
  <c r="DX33" i="36"/>
  <c r="CO55" i="40"/>
  <c r="CR55" i="40"/>
  <c r="DX19" i="36"/>
  <c r="DX32" i="36"/>
  <c r="DX21" i="36"/>
  <c r="DX22" i="36"/>
  <c r="DX29" i="36"/>
  <c r="DX18" i="36"/>
  <c r="BI34" i="31"/>
  <c r="BI37" i="31"/>
  <c r="BI48" i="31"/>
  <c r="BI25" i="31"/>
  <c r="DX20" i="36"/>
  <c r="DX17" i="36"/>
  <c r="DX12" i="36"/>
  <c r="DX11" i="36"/>
  <c r="DX14" i="36"/>
  <c r="DX13" i="36"/>
  <c r="DX15" i="36"/>
  <c r="DX16" i="36"/>
  <c r="DX10" i="36"/>
  <c r="DX9" i="36"/>
  <c r="CI55" i="40"/>
  <c r="CL55" i="40"/>
  <c r="O34" i="31"/>
  <c r="O37" i="31"/>
  <c r="O48" i="31"/>
  <c r="O25" i="31"/>
  <c r="DX7" i="36"/>
  <c r="DX8" i="36"/>
  <c r="CA55" i="40"/>
  <c r="BX55" i="40"/>
  <c r="CI44" i="31"/>
  <c r="CG44" i="31"/>
  <c r="AM38" i="33"/>
  <c r="AM35" i="33"/>
  <c r="AM49" i="33"/>
  <c r="AM26" i="33"/>
  <c r="BU55" i="40"/>
  <c r="L55" i="40"/>
  <c r="R55" i="40" s="1"/>
  <c r="AZ55" i="40"/>
  <c r="BC55" i="40"/>
  <c r="BR55" i="40"/>
  <c r="BI55" i="40"/>
  <c r="AW55" i="40"/>
  <c r="BO55" i="40"/>
  <c r="AT55" i="40"/>
  <c r="BL55" i="40"/>
  <c r="BF55" i="40"/>
  <c r="W25" i="31"/>
  <c r="W37" i="31"/>
  <c r="W48" i="31"/>
  <c r="T78" i="40"/>
  <c r="J78" i="40"/>
  <c r="DX78" i="40" s="1"/>
  <c r="I55" i="40"/>
  <c r="J55" i="40"/>
  <c r="DX55" i="40" s="1"/>
  <c r="I67" i="40"/>
  <c r="J67" i="40"/>
  <c r="DX67" i="40" s="1"/>
  <c r="CD34" i="31"/>
  <c r="CD25" i="31"/>
  <c r="CD48" i="31"/>
  <c r="CD37" i="31"/>
  <c r="AT62" i="31"/>
  <c r="Z25" i="31"/>
  <c r="Z34" i="31"/>
  <c r="Z37" i="31"/>
  <c r="Z48" i="31"/>
  <c r="U64" i="40"/>
  <c r="X64" i="40" s="1"/>
  <c r="BT34" i="31" s="1"/>
  <c r="F37" i="31"/>
  <c r="E48" i="31"/>
  <c r="R67" i="40"/>
  <c r="CE35" i="33"/>
  <c r="AX26" i="33"/>
  <c r="AX38" i="33"/>
  <c r="DB37" i="31"/>
  <c r="DV34" i="31"/>
  <c r="V38" i="33"/>
  <c r="S38" i="33"/>
  <c r="V35" i="33"/>
  <c r="S35" i="33"/>
  <c r="R38" i="33"/>
  <c r="R35" i="33"/>
  <c r="V26" i="33"/>
  <c r="R26" i="33"/>
  <c r="S26" i="33"/>
  <c r="AB48" i="31"/>
  <c r="AB37" i="31"/>
  <c r="AH38" i="33"/>
  <c r="AB34" i="31"/>
  <c r="AH35" i="33"/>
  <c r="AB25" i="31"/>
  <c r="AH26" i="33"/>
  <c r="DB48" i="31"/>
  <c r="DB34" i="31"/>
  <c r="DB25" i="31"/>
  <c r="DT37" i="31"/>
  <c r="DV48" i="31"/>
  <c r="AG38" i="33"/>
  <c r="DV25" i="31"/>
  <c r="AG35" i="33"/>
  <c r="DN34" i="31"/>
  <c r="CV34" i="31"/>
  <c r="CU34" i="31" s="1"/>
  <c r="BX35" i="33"/>
  <c r="DT34" i="31"/>
  <c r="DD34" i="31"/>
  <c r="W67" i="40"/>
  <c r="DD37" i="31"/>
  <c r="U67" i="40"/>
  <c r="DN37" i="31"/>
  <c r="DV37" i="31"/>
  <c r="CV37" i="31"/>
  <c r="CU37" i="31" s="1"/>
  <c r="BE38" i="33"/>
  <c r="I78" i="40"/>
  <c r="W78" i="40"/>
  <c r="T67" i="40"/>
  <c r="U78" i="40"/>
  <c r="DN48" i="31"/>
  <c r="AG49" i="33"/>
  <c r="DD48" i="31"/>
  <c r="DT48" i="31"/>
  <c r="CV48" i="31"/>
  <c r="CU48" i="31" s="1"/>
  <c r="T55" i="40"/>
  <c r="DT25" i="31"/>
  <c r="DN25" i="31"/>
  <c r="AG26" i="33"/>
  <c r="DD25" i="31"/>
  <c r="CV25" i="31"/>
  <c r="CU25" i="31" s="1"/>
  <c r="U55" i="40"/>
  <c r="W55" i="40"/>
  <c r="AD34" i="40"/>
  <c r="AC34" i="40"/>
  <c r="AD88" i="40" l="1"/>
  <c r="AV35" i="40"/>
  <c r="AX34" i="40"/>
  <c r="AW34" i="40"/>
  <c r="AT34" i="40"/>
  <c r="AS35" i="40"/>
  <c r="AS88" i="40" s="1"/>
  <c r="B44" i="31"/>
  <c r="AO38" i="33"/>
  <c r="AO26" i="33"/>
  <c r="CE34" i="31"/>
  <c r="AD73" i="31"/>
  <c r="DO32" i="31" s="1"/>
  <c r="CE48" i="31"/>
  <c r="T48" i="31"/>
  <c r="U35" i="33"/>
  <c r="CY35" i="33" s="1"/>
  <c r="U38" i="33"/>
  <c r="CY38" i="33" s="1"/>
  <c r="U26" i="33"/>
  <c r="T25" i="31"/>
  <c r="C25" i="31"/>
  <c r="C37" i="31"/>
  <c r="C34" i="31"/>
  <c r="T34" i="31"/>
  <c r="T37" i="31"/>
  <c r="AO35" i="33"/>
  <c r="CE37" i="31"/>
  <c r="CE25" i="31"/>
  <c r="AU34" i="40"/>
  <c r="AC88" i="40"/>
  <c r="BC34" i="31"/>
  <c r="BC37" i="31"/>
  <c r="J36" i="32" s="1"/>
  <c r="F48" i="31"/>
  <c r="E37" i="31"/>
  <c r="F34" i="31"/>
  <c r="F25" i="31"/>
  <c r="E34" i="31"/>
  <c r="E25" i="31"/>
  <c r="BL26" i="33"/>
  <c r="BL35" i="33"/>
  <c r="BE35" i="33"/>
  <c r="AX35" i="33"/>
  <c r="BE26" i="33"/>
  <c r="BL38" i="33"/>
  <c r="CE38" i="33"/>
  <c r="CE26" i="33"/>
  <c r="BX26" i="33"/>
  <c r="BX38" i="33"/>
  <c r="BU25" i="31"/>
  <c r="BU48" i="31"/>
  <c r="BU37" i="31"/>
  <c r="F49" i="33"/>
  <c r="BU34" i="31"/>
  <c r="G38" i="33"/>
  <c r="Y64" i="40"/>
  <c r="BL34" i="31" s="1"/>
  <c r="AS34" i="31"/>
  <c r="X67" i="40"/>
  <c r="BT37" i="31" s="1"/>
  <c r="X78" i="40"/>
  <c r="BT48" i="31" s="1"/>
  <c r="X55" i="40"/>
  <c r="BT25" i="31" s="1"/>
  <c r="G46" i="40"/>
  <c r="L46" i="40"/>
  <c r="R46" i="40" s="1"/>
  <c r="P46" i="40"/>
  <c r="S46" i="40"/>
  <c r="V46" i="40"/>
  <c r="J4" i="32"/>
  <c r="G4" i="32"/>
  <c r="L5" i="15"/>
  <c r="L3" i="15"/>
  <c r="J7" i="51"/>
  <c r="I7" i="51"/>
  <c r="CY26" i="33" l="1"/>
  <c r="AS26" i="33"/>
  <c r="AF26" i="33"/>
  <c r="J34" i="32"/>
  <c r="J35" i="32"/>
  <c r="J31" i="32"/>
  <c r="J30" i="32"/>
  <c r="J33" i="32"/>
  <c r="J32" i="32"/>
  <c r="J27" i="32"/>
  <c r="J28" i="32"/>
  <c r="J29" i="32"/>
  <c r="J26" i="32"/>
  <c r="BU26" i="33"/>
  <c r="CI38" i="33"/>
  <c r="BI35" i="33"/>
  <c r="J37" i="32"/>
  <c r="J39" i="32"/>
  <c r="J38" i="32"/>
  <c r="BC43" i="36"/>
  <c r="BC36" i="36"/>
  <c r="BC35" i="36"/>
  <c r="AS89" i="40"/>
  <c r="F38" i="33"/>
  <c r="AD48" i="31"/>
  <c r="AD34" i="31"/>
  <c r="AD37" i="31"/>
  <c r="AD25" i="31"/>
  <c r="C38" i="33"/>
  <c r="AD71" i="31"/>
  <c r="BZ48" i="31"/>
  <c r="AF48" i="31"/>
  <c r="AG48" i="31"/>
  <c r="AE48" i="31"/>
  <c r="G49" i="33"/>
  <c r="F26" i="33"/>
  <c r="F35" i="33"/>
  <c r="G26" i="33"/>
  <c r="G35" i="33"/>
  <c r="AH48" i="31"/>
  <c r="BB35" i="33"/>
  <c r="CA34" i="31"/>
  <c r="DR34" i="31" s="1"/>
  <c r="DS34" i="31" s="1"/>
  <c r="C26" i="33"/>
  <c r="C35" i="33"/>
  <c r="Y48" i="31"/>
  <c r="CY78" i="40"/>
  <c r="DW78" i="40" s="1"/>
  <c r="AA49" i="33" s="1"/>
  <c r="AA48" i="31"/>
  <c r="AF35" i="33"/>
  <c r="AU35" i="33"/>
  <c r="CB35" i="33"/>
  <c r="BU35" i="33"/>
  <c r="CB38" i="33"/>
  <c r="AU26" i="33"/>
  <c r="BI26" i="33"/>
  <c r="BB26" i="33"/>
  <c r="BP26" i="33"/>
  <c r="CB26" i="33"/>
  <c r="BP35" i="33"/>
  <c r="AF38" i="33"/>
  <c r="AU38" i="33"/>
  <c r="C67" i="40"/>
  <c r="BI38" i="33"/>
  <c r="C64" i="40"/>
  <c r="AS38" i="33"/>
  <c r="BU38" i="33"/>
  <c r="BP38" i="33"/>
  <c r="BB38" i="33"/>
  <c r="CY55" i="40"/>
  <c r="CW55" i="40" s="1"/>
  <c r="C55" i="40"/>
  <c r="BZ25" i="31"/>
  <c r="Z26" i="33"/>
  <c r="K80" i="51"/>
  <c r="AE25" i="31"/>
  <c r="AF25" i="31"/>
  <c r="AG25" i="31"/>
  <c r="AA25" i="31"/>
  <c r="AH25" i="31"/>
  <c r="AF37" i="31"/>
  <c r="AG37" i="31"/>
  <c r="CY67" i="40"/>
  <c r="AF34" i="31"/>
  <c r="Z38" i="33"/>
  <c r="Y25" i="31"/>
  <c r="AA37" i="31"/>
  <c r="K71" i="51"/>
  <c r="BZ37" i="31"/>
  <c r="AH37" i="31"/>
  <c r="K45" i="51"/>
  <c r="AA34" i="31"/>
  <c r="BZ34" i="31"/>
  <c r="CY64" i="40"/>
  <c r="DW64" i="40" s="1"/>
  <c r="AA35" i="33" s="1"/>
  <c r="AG34" i="31"/>
  <c r="Y34" i="31"/>
  <c r="Z35" i="33"/>
  <c r="AE34" i="31"/>
  <c r="AH34" i="31"/>
  <c r="Y37" i="31"/>
  <c r="AE37" i="31"/>
  <c r="I46" i="40"/>
  <c r="J46" i="40"/>
  <c r="DX46" i="40" s="1"/>
  <c r="AS20" i="31"/>
  <c r="AU34" i="31"/>
  <c r="DU25" i="31"/>
  <c r="DU48" i="31"/>
  <c r="DU34" i="31"/>
  <c r="DU37" i="31"/>
  <c r="AS37" i="31"/>
  <c r="Y67" i="40"/>
  <c r="BL37" i="31" s="1"/>
  <c r="DJ34" i="31"/>
  <c r="CR34" i="31"/>
  <c r="Y78" i="40"/>
  <c r="Y55" i="40"/>
  <c r="W46" i="40"/>
  <c r="U46" i="40"/>
  <c r="T46" i="40"/>
  <c r="AE38" i="33" l="1"/>
  <c r="AB38" i="33"/>
  <c r="AC38" i="33" s="1"/>
  <c r="AC48" i="31"/>
  <c r="CB34" i="31"/>
  <c r="AC34" i="31"/>
  <c r="AE26" i="33"/>
  <c r="AE35" i="33"/>
  <c r="AC25" i="31"/>
  <c r="BW20" i="31"/>
  <c r="CA20" i="31"/>
  <c r="DR20" i="31" s="1"/>
  <c r="DS20" i="31" s="1"/>
  <c r="M45" i="51"/>
  <c r="M80" i="51"/>
  <c r="M71" i="51"/>
  <c r="DW67" i="40"/>
  <c r="AA38" i="33" s="1"/>
  <c r="CW62" i="40"/>
  <c r="DU62" i="40" s="1"/>
  <c r="DW55" i="40"/>
  <c r="AA26" i="33" s="1"/>
  <c r="AB26" i="33"/>
  <c r="AC26" i="33" s="1"/>
  <c r="AC37" i="31"/>
  <c r="AB35" i="33"/>
  <c r="AC35" i="33" s="1"/>
  <c r="BM34" i="31"/>
  <c r="AU37" i="31"/>
  <c r="CA37" i="31"/>
  <c r="DR37" i="31" s="1"/>
  <c r="DS37" i="31" s="1"/>
  <c r="BL20" i="31"/>
  <c r="AU20" i="31"/>
  <c r="DJ20" i="31"/>
  <c r="CR20" i="31"/>
  <c r="DW48" i="31"/>
  <c r="DW25" i="31"/>
  <c r="DW34" i="31"/>
  <c r="DW37" i="31"/>
  <c r="BM37" i="31"/>
  <c r="DJ37" i="31"/>
  <c r="CR37" i="31"/>
  <c r="X46" i="40"/>
  <c r="BT16" i="31" s="1"/>
  <c r="CB37" i="31" l="1"/>
  <c r="BW37" i="31"/>
  <c r="BW34" i="31"/>
  <c r="AD38" i="33"/>
  <c r="AD35" i="33"/>
  <c r="BX20" i="31"/>
  <c r="AD26" i="33"/>
  <c r="D20" i="31"/>
  <c r="BY20" i="31"/>
  <c r="BM20" i="31"/>
  <c r="CB20" i="31"/>
  <c r="Y46" i="40"/>
  <c r="AH65" i="33"/>
  <c r="F89" i="51"/>
  <c r="G89" i="51"/>
  <c r="H89" i="51"/>
  <c r="R65" i="33" s="1"/>
  <c r="I89" i="51"/>
  <c r="AM65" i="33" s="1"/>
  <c r="J89" i="51"/>
  <c r="AO65" i="33" s="1"/>
  <c r="B92" i="40" s="1"/>
  <c r="S65" i="33"/>
  <c r="T65" i="33"/>
  <c r="V65" i="33"/>
  <c r="BX37" i="31" l="1"/>
  <c r="AN38" i="33"/>
  <c r="D37" i="31"/>
  <c r="BY37" i="31"/>
  <c r="BX34" i="31"/>
  <c r="AN35" i="33"/>
  <c r="BY34" i="31"/>
  <c r="D34" i="31"/>
  <c r="CF20" i="31"/>
  <c r="CH20" i="31"/>
  <c r="DY50" i="40"/>
  <c r="U65" i="33"/>
  <c r="CY65" i="33" s="1"/>
  <c r="BP65" i="33" l="1"/>
  <c r="CP65" i="33"/>
  <c r="BB65" i="33"/>
  <c r="BU65" i="33"/>
  <c r="DY64" i="40"/>
  <c r="E35" i="33"/>
  <c r="CH37" i="31"/>
  <c r="CF37" i="31"/>
  <c r="DY67" i="40"/>
  <c r="E38" i="33"/>
  <c r="CH34" i="31"/>
  <c r="CF34" i="31"/>
  <c r="CI20" i="31"/>
  <c r="CG20" i="31"/>
  <c r="AF65" i="33"/>
  <c r="BI65" i="33"/>
  <c r="AU65" i="33"/>
  <c r="M89" i="51" s="1"/>
  <c r="AS65" i="33"/>
  <c r="Z65" i="33"/>
  <c r="CG37" i="31" l="1"/>
  <c r="CG34" i="31"/>
  <c r="CI37" i="31"/>
  <c r="CI34" i="31"/>
  <c r="C92" i="40"/>
  <c r="K89" i="51"/>
  <c r="CY92" i="40"/>
  <c r="DW92" i="40" s="1"/>
  <c r="AA65" i="33" s="1"/>
  <c r="F435" i="45"/>
  <c r="E435" i="45" s="1"/>
  <c r="E7" i="1"/>
  <c r="AH76" i="33" l="1"/>
  <c r="BE76" i="33"/>
  <c r="BL76" i="33"/>
  <c r="CE76" i="33"/>
  <c r="AX76" i="33"/>
  <c r="F100" i="51"/>
  <c r="G100" i="51"/>
  <c r="U76" i="33" s="1"/>
  <c r="H100" i="51"/>
  <c r="R76" i="33" s="1"/>
  <c r="I100" i="51"/>
  <c r="AM76" i="33" s="1"/>
  <c r="J100" i="51"/>
  <c r="AO76" i="33" s="1"/>
  <c r="B97" i="40" s="1"/>
  <c r="CY76" i="33" l="1"/>
  <c r="AF25" i="26"/>
  <c r="CI76" i="33" l="1"/>
  <c r="CP76" i="33"/>
  <c r="BI76" i="33"/>
  <c r="BP76" i="33"/>
  <c r="Z76" i="33"/>
  <c r="CB76" i="33"/>
  <c r="BU76" i="33"/>
  <c r="BB76" i="33"/>
  <c r="AU76" i="33"/>
  <c r="AF76" i="33"/>
  <c r="AS76" i="33"/>
  <c r="AH64" i="33"/>
  <c r="C97" i="40" l="1"/>
  <c r="CY97" i="40"/>
  <c r="DW97" i="40" s="1"/>
  <c r="AA76" i="33" s="1"/>
  <c r="K100" i="51"/>
  <c r="M100" i="51"/>
  <c r="F426" i="45"/>
  <c r="E426" i="45" s="1"/>
  <c r="AL2" i="1"/>
  <c r="AJ2" i="54" s="1"/>
  <c r="D3" i="49" l="1"/>
  <c r="C3" i="49"/>
  <c r="AF26" i="26"/>
  <c r="AH26" i="26"/>
  <c r="S3" i="49" l="1"/>
  <c r="AL3" i="49"/>
  <c r="AN3" i="49"/>
  <c r="AJ3" i="49"/>
  <c r="AH3" i="49"/>
  <c r="AP3" i="49"/>
  <c r="BL3" i="49"/>
  <c r="AZ3" i="49"/>
  <c r="BI3" i="49"/>
  <c r="BF3" i="49"/>
  <c r="BB3" i="49"/>
  <c r="BD3" i="49"/>
  <c r="AX3" i="49"/>
  <c r="AV35" i="49"/>
  <c r="AY35" i="49" s="1"/>
  <c r="AV3" i="49"/>
  <c r="AT3" i="49"/>
  <c r="AR3" i="49"/>
  <c r="AT35" i="49"/>
  <c r="AR35" i="49"/>
  <c r="AS35" i="49" s="1"/>
  <c r="BH2" i="33"/>
  <c r="AF20" i="26"/>
  <c r="P30" i="40"/>
  <c r="P16" i="40"/>
  <c r="DL25" i="25" s="1"/>
  <c r="P22" i="40"/>
  <c r="DL17" i="25" s="1"/>
  <c r="P17" i="40"/>
  <c r="DL12" i="25" s="1"/>
  <c r="P26" i="40"/>
  <c r="DL29" i="25" s="1"/>
  <c r="P10" i="40"/>
  <c r="DL9" i="25" s="1"/>
  <c r="P5" i="40"/>
  <c r="P11" i="40"/>
  <c r="DL6" i="25" s="1"/>
  <c r="P6" i="40"/>
  <c r="DL18" i="25" s="1"/>
  <c r="P4" i="40"/>
  <c r="DL14" i="25"/>
  <c r="P12" i="40"/>
  <c r="DL8" i="25" s="1"/>
  <c r="P15" i="40"/>
  <c r="DL19" i="25" s="1"/>
  <c r="P7" i="40"/>
  <c r="DL20" i="25" s="1"/>
  <c r="P25" i="40"/>
  <c r="DL16" i="25" s="1"/>
  <c r="P24" i="40"/>
  <c r="DL27" i="25" s="1"/>
  <c r="P21" i="40"/>
  <c r="DL21" i="25" s="1"/>
  <c r="P32" i="40"/>
  <c r="DL31" i="25" s="1"/>
  <c r="P18" i="40"/>
  <c r="DL7" i="25" s="1"/>
  <c r="P19" i="40"/>
  <c r="DL13" i="25" s="1"/>
  <c r="P27" i="40"/>
  <c r="DL28" i="25" s="1"/>
  <c r="P31" i="40"/>
  <c r="DL23" i="25" s="1"/>
  <c r="P8" i="40"/>
  <c r="DL15" i="25" s="1"/>
  <c r="P23" i="40"/>
  <c r="DL26" i="25" s="1"/>
  <c r="P29" i="40"/>
  <c r="DL10" i="25" s="1"/>
  <c r="P9" i="40"/>
  <c r="DL22" i="25" s="1"/>
  <c r="P57" i="40"/>
  <c r="P72" i="40"/>
  <c r="P73" i="40"/>
  <c r="P37" i="40"/>
  <c r="P49" i="40"/>
  <c r="P47" i="40"/>
  <c r="P77" i="40"/>
  <c r="P66" i="40"/>
  <c r="P60" i="40"/>
  <c r="P44" i="40"/>
  <c r="P81" i="40"/>
  <c r="P41" i="40"/>
  <c r="P53" i="40"/>
  <c r="P70" i="40"/>
  <c r="P38" i="40"/>
  <c r="P52" i="40"/>
  <c r="P76" i="40"/>
  <c r="P79" i="40"/>
  <c r="P58" i="40"/>
  <c r="P80" i="40"/>
  <c r="P54" i="40"/>
  <c r="P51" i="40"/>
  <c r="P45" i="40"/>
  <c r="P63" i="40"/>
  <c r="P61" i="40"/>
  <c r="P40" i="40"/>
  <c r="P71" i="40"/>
  <c r="P86" i="40"/>
  <c r="P59" i="40"/>
  <c r="P83" i="40"/>
  <c r="P75" i="40"/>
  <c r="P39" i="40"/>
  <c r="P91" i="40"/>
  <c r="P14" i="40"/>
  <c r="DL30" i="25" s="1"/>
  <c r="DQ25" i="25"/>
  <c r="DQ27" i="25"/>
  <c r="DQ26" i="25"/>
  <c r="DQ22" i="25"/>
  <c r="DQ15" i="25"/>
  <c r="DQ28" i="25"/>
  <c r="DQ32" i="25"/>
  <c r="DQ29" i="25"/>
  <c r="DQ30" i="25"/>
  <c r="DQ31" i="25"/>
  <c r="DQ23" i="25"/>
  <c r="DQ17" i="25"/>
  <c r="DQ13" i="25"/>
  <c r="DQ11" i="25"/>
  <c r="DQ16" i="25"/>
  <c r="DQ14" i="25"/>
  <c r="DQ18" i="25"/>
  <c r="DQ9" i="25"/>
  <c r="DQ21" i="25"/>
  <c r="DQ12" i="25"/>
  <c r="DQ6" i="25"/>
  <c r="DQ7" i="25"/>
  <c r="DQ8" i="25"/>
  <c r="DQ5" i="25"/>
  <c r="DQ20" i="25"/>
  <c r="DQ19" i="25"/>
  <c r="DQ10" i="25"/>
  <c r="DM23" i="25"/>
  <c r="DM17" i="25"/>
  <c r="DM25" i="25"/>
  <c r="DM27" i="25"/>
  <c r="DM26" i="25"/>
  <c r="DM22" i="25"/>
  <c r="DM15" i="25"/>
  <c r="DM28" i="25"/>
  <c r="DM32" i="25"/>
  <c r="DM29" i="25"/>
  <c r="DM13" i="25"/>
  <c r="DM11" i="25"/>
  <c r="DM16" i="25"/>
  <c r="DM14" i="25"/>
  <c r="DM18" i="25"/>
  <c r="DM9" i="25"/>
  <c r="DM21" i="25"/>
  <c r="DM12" i="25"/>
  <c r="DM6" i="25"/>
  <c r="DM7" i="25"/>
  <c r="DM8" i="25"/>
  <c r="DM5" i="25"/>
  <c r="DM20" i="25"/>
  <c r="DM19" i="25"/>
  <c r="DM30" i="25"/>
  <c r="DM31" i="25"/>
  <c r="DM10" i="25"/>
  <c r="G22" i="40"/>
  <c r="AY2" i="54"/>
  <c r="AS3" i="49" l="1"/>
  <c r="AM3" i="49"/>
  <c r="AQ3" i="49"/>
  <c r="AK3" i="49"/>
  <c r="AI3" i="49"/>
  <c r="AO3" i="49"/>
  <c r="BM3" i="49"/>
  <c r="Q3" i="49" s="1"/>
  <c r="BC3" i="49"/>
  <c r="BJ3" i="49"/>
  <c r="AY3" i="49"/>
  <c r="BG3" i="49"/>
  <c r="BA3" i="49"/>
  <c r="BE3" i="49"/>
  <c r="AW35" i="49"/>
  <c r="AW3" i="49"/>
  <c r="AU35" i="49"/>
  <c r="AU3" i="49"/>
  <c r="I22" i="40"/>
  <c r="DP17" i="25" s="1"/>
  <c r="J22" i="40"/>
  <c r="DX22" i="40" s="1"/>
  <c r="DL11" i="25"/>
  <c r="DL32" i="25"/>
  <c r="DL5" i="25"/>
  <c r="BN3" i="49" l="1"/>
  <c r="BO3" i="49"/>
  <c r="BH3" i="49"/>
  <c r="BK3" i="49"/>
  <c r="H7" i="53"/>
  <c r="H6" i="53"/>
  <c r="BP30" i="49" l="1"/>
  <c r="BP3" i="49"/>
  <c r="BP21" i="49"/>
  <c r="BP13" i="49"/>
  <c r="BP14" i="49"/>
  <c r="BP22" i="49"/>
  <c r="BP29" i="49"/>
  <c r="BP8" i="49"/>
  <c r="BP12" i="49"/>
  <c r="BP6" i="49"/>
  <c r="BP28" i="49"/>
  <c r="BP11" i="49"/>
  <c r="BP19" i="49"/>
  <c r="BP23" i="49"/>
  <c r="BP10" i="49"/>
  <c r="BP31" i="49"/>
  <c r="BP20" i="49"/>
  <c r="BP4" i="49"/>
  <c r="BP9" i="49"/>
  <c r="BP7" i="49"/>
  <c r="BP24" i="49"/>
  <c r="BP17" i="49"/>
  <c r="BP26" i="49"/>
  <c r="BP16" i="49"/>
  <c r="BP15" i="49"/>
  <c r="BP27" i="49"/>
  <c r="BP18" i="49"/>
  <c r="BP25" i="49"/>
  <c r="BP5" i="49"/>
  <c r="A4" i="52"/>
  <c r="A5" i="52"/>
  <c r="A6" i="52"/>
  <c r="A7" i="52"/>
  <c r="A8" i="52"/>
  <c r="A9" i="52"/>
  <c r="A10" i="52"/>
  <c r="A11" i="52"/>
  <c r="A12" i="52"/>
  <c r="A13" i="52"/>
  <c r="A14" i="52"/>
  <c r="A15" i="52"/>
  <c r="A16" i="52"/>
  <c r="A17" i="52"/>
  <c r="A18" i="52"/>
  <c r="A19" i="52"/>
  <c r="A20" i="52"/>
  <c r="A21" i="52"/>
  <c r="A22" i="52"/>
  <c r="A23" i="52"/>
  <c r="A24" i="52"/>
  <c r="A25" i="52"/>
  <c r="A26" i="52"/>
  <c r="A27" i="52"/>
  <c r="A28" i="52"/>
  <c r="A29" i="52"/>
  <c r="A3" i="52"/>
  <c r="F23" i="52" l="1"/>
  <c r="F28" i="52"/>
  <c r="F4" i="52"/>
  <c r="F12" i="52"/>
  <c r="F6" i="52"/>
  <c r="F22" i="52"/>
  <c r="F10" i="52"/>
  <c r="F24" i="52"/>
  <c r="F16" i="52"/>
  <c r="F20" i="52"/>
  <c r="F17" i="52"/>
  <c r="F8" i="52"/>
  <c r="F14" i="52"/>
  <c r="F26" i="52"/>
  <c r="F21" i="52"/>
  <c r="F25" i="52"/>
  <c r="F7" i="52"/>
  <c r="F13" i="52"/>
  <c r="F29" i="52"/>
  <c r="F9" i="52"/>
  <c r="F3" i="52"/>
  <c r="F5" i="52"/>
  <c r="F19" i="52"/>
  <c r="F18" i="52"/>
  <c r="F15" i="52"/>
  <c r="F11" i="52"/>
  <c r="F27" i="52"/>
  <c r="V2" i="31"/>
  <c r="V2" i="36" s="1"/>
  <c r="AL30" i="33" l="1"/>
  <c r="AR54" i="26" l="1"/>
  <c r="Z104" i="51" l="1"/>
  <c r="F88" i="51"/>
  <c r="G88" i="51"/>
  <c r="H88" i="51"/>
  <c r="R64" i="33" s="1"/>
  <c r="I88" i="51"/>
  <c r="AM64" i="33" s="1"/>
  <c r="J88" i="51"/>
  <c r="AO64" i="33" s="1"/>
  <c r="B91" i="40" s="1"/>
  <c r="F98" i="51"/>
  <c r="G98" i="51"/>
  <c r="H98" i="51"/>
  <c r="R74" i="33" s="1"/>
  <c r="I98" i="51"/>
  <c r="AM74" i="33" s="1"/>
  <c r="J98" i="51"/>
  <c r="AO74" i="33" s="1"/>
  <c r="B95" i="40" s="1"/>
  <c r="AB34" i="40"/>
  <c r="AB88" i="40" s="1"/>
  <c r="U74" i="33" l="1"/>
  <c r="CY74" i="33" s="1"/>
  <c r="U64" i="33"/>
  <c r="CY64" i="33" s="1"/>
  <c r="CY80" i="33" l="1"/>
  <c r="CI64" i="33"/>
  <c r="CP64" i="33"/>
  <c r="CI74" i="33"/>
  <c r="CP74" i="33"/>
  <c r="BP74" i="33"/>
  <c r="BI74" i="33"/>
  <c r="BU74" i="33"/>
  <c r="AU64" i="33"/>
  <c r="Z64" i="33"/>
  <c r="AF74" i="33"/>
  <c r="AU74" i="33"/>
  <c r="Z74" i="33"/>
  <c r="BB74" i="33"/>
  <c r="CB74" i="33"/>
  <c r="U2" i="1"/>
  <c r="F423" i="45"/>
  <c r="E423" i="45" s="1"/>
  <c r="W2" i="1"/>
  <c r="X2" i="31"/>
  <c r="X2" i="36" s="1"/>
  <c r="CP80" i="33" l="1"/>
  <c r="CI80" i="33"/>
  <c r="C95" i="40"/>
  <c r="CY95" i="40"/>
  <c r="DW95" i="40" s="1"/>
  <c r="AA74" i="33" s="1"/>
  <c r="AU80" i="33"/>
  <c r="C91" i="40"/>
  <c r="K88" i="51"/>
  <c r="CY91" i="40"/>
  <c r="CW94" i="40" s="1"/>
  <c r="DU94" i="40" s="1"/>
  <c r="S108" i="51"/>
  <c r="Q108" i="51"/>
  <c r="W2" i="54"/>
  <c r="Q2" i="54"/>
  <c r="U2" i="54"/>
  <c r="P2" i="54"/>
  <c r="M60" i="51"/>
  <c r="DW91" i="40" l="1"/>
  <c r="AA64" i="33" s="1"/>
  <c r="CW95" i="40"/>
  <c r="DU95" i="40" s="1"/>
  <c r="CW97" i="40"/>
  <c r="DU97" i="40" s="1"/>
  <c r="DU100" i="40"/>
  <c r="DU99" i="40"/>
  <c r="CW93" i="40"/>
  <c r="DU93" i="40" s="1"/>
  <c r="CW91" i="40"/>
  <c r="DU91" i="40" s="1"/>
  <c r="CW92" i="40"/>
  <c r="DU92" i="40" s="1"/>
  <c r="M98" i="51"/>
  <c r="K98" i="51"/>
  <c r="M37" i="51" l="1"/>
  <c r="F414" i="45"/>
  <c r="E414" i="45" s="1"/>
  <c r="G8" i="51" l="1"/>
  <c r="H8" i="51"/>
  <c r="F8" i="51"/>
  <c r="F7" i="51"/>
  <c r="F6" i="51"/>
  <c r="H58" i="51"/>
  <c r="U19" i="31" s="1"/>
  <c r="I58" i="51"/>
  <c r="CC19" i="31" s="1"/>
  <c r="J58" i="51"/>
  <c r="CD19" i="31" s="1"/>
  <c r="F58" i="51"/>
  <c r="G58" i="51"/>
  <c r="J41" i="51"/>
  <c r="CD13" i="31" s="1"/>
  <c r="J50" i="51"/>
  <c r="CD7" i="31" s="1"/>
  <c r="H61" i="51"/>
  <c r="U47" i="31" s="1"/>
  <c r="J42" i="51"/>
  <c r="CD23" i="31" s="1"/>
  <c r="H36" i="51"/>
  <c r="U14" i="31" s="1"/>
  <c r="H82" i="51"/>
  <c r="U27" i="31" s="1"/>
  <c r="H51" i="51"/>
  <c r="U16" i="31" s="1"/>
  <c r="H83" i="51"/>
  <c r="U40" i="31" s="1"/>
  <c r="H53" i="51"/>
  <c r="U36" i="31" s="1"/>
  <c r="H49" i="51"/>
  <c r="U51" i="31" s="1"/>
  <c r="J79" i="51"/>
  <c r="CD21" i="31" s="1"/>
  <c r="H43" i="51"/>
  <c r="U31" i="31" s="1"/>
  <c r="H47" i="51"/>
  <c r="U10" i="31" s="1"/>
  <c r="H54" i="51"/>
  <c r="U45" i="31" s="1"/>
  <c r="H38" i="51"/>
  <c r="U42" i="31" s="1"/>
  <c r="H7" i="51"/>
  <c r="I8" i="51"/>
  <c r="J9" i="51"/>
  <c r="I10" i="51"/>
  <c r="H11" i="51"/>
  <c r="J13" i="51"/>
  <c r="J15" i="51"/>
  <c r="CC7" i="1" s="1"/>
  <c r="H16" i="51"/>
  <c r="J17" i="51"/>
  <c r="J23" i="51"/>
  <c r="H24" i="51"/>
  <c r="J25" i="51"/>
  <c r="H26" i="51"/>
  <c r="J27" i="51"/>
  <c r="J28" i="51"/>
  <c r="H29" i="51"/>
  <c r="I30" i="51"/>
  <c r="J32" i="51"/>
  <c r="J34" i="51"/>
  <c r="AM20" i="33" l="1"/>
  <c r="W19" i="31"/>
  <c r="CD7" i="1"/>
  <c r="J78" i="51"/>
  <c r="CD24" i="31" s="1"/>
  <c r="F38" i="51"/>
  <c r="I38" i="51"/>
  <c r="CC42" i="31" s="1"/>
  <c r="J38" i="51"/>
  <c r="T34" i="1"/>
  <c r="I22" i="51"/>
  <c r="J22" i="51"/>
  <c r="CC20" i="1" s="1"/>
  <c r="G20" i="51"/>
  <c r="H20" i="51"/>
  <c r="T19" i="1" s="1"/>
  <c r="I18" i="51"/>
  <c r="J18" i="51"/>
  <c r="CC18" i="1" s="1"/>
  <c r="I69" i="51"/>
  <c r="CC53" i="31" s="1"/>
  <c r="J69" i="51"/>
  <c r="CD53" i="31" s="1"/>
  <c r="I57" i="51"/>
  <c r="CC50" i="31" s="1"/>
  <c r="J57" i="51"/>
  <c r="CD50" i="31" s="1"/>
  <c r="I48" i="51"/>
  <c r="CC11" i="31" s="1"/>
  <c r="J48" i="51"/>
  <c r="CD11" i="31" s="1"/>
  <c r="I39" i="51"/>
  <c r="CC30" i="31" s="1"/>
  <c r="J39" i="51"/>
  <c r="CD30" i="31" s="1"/>
  <c r="I13" i="51"/>
  <c r="J11" i="51"/>
  <c r="CC8" i="1" s="1"/>
  <c r="H10" i="51"/>
  <c r="T33" i="1" s="1"/>
  <c r="I34" i="51"/>
  <c r="J30" i="51"/>
  <c r="CC11" i="1" s="1"/>
  <c r="I23" i="51"/>
  <c r="CB11" i="1" s="1"/>
  <c r="AI12" i="26" s="1"/>
  <c r="J20" i="51"/>
  <c r="H18" i="51"/>
  <c r="I15" i="51"/>
  <c r="CB7" i="1" s="1"/>
  <c r="AI8" i="26" s="1"/>
  <c r="J54" i="51"/>
  <c r="CD45" i="31" s="1"/>
  <c r="J47" i="51"/>
  <c r="CD10" i="31" s="1"/>
  <c r="H57" i="51"/>
  <c r="U50" i="31" s="1"/>
  <c r="I53" i="51"/>
  <c r="CC36" i="31" s="1"/>
  <c r="J83" i="51"/>
  <c r="CD40" i="31" s="1"/>
  <c r="H48" i="51"/>
  <c r="U11" i="31" s="1"/>
  <c r="I82" i="51"/>
  <c r="CC27" i="31" s="1"/>
  <c r="J36" i="51"/>
  <c r="CD14" i="31" s="1"/>
  <c r="I41" i="51"/>
  <c r="CC13" i="31" s="1"/>
  <c r="G28" i="51"/>
  <c r="V26" i="1" s="1"/>
  <c r="H28" i="51"/>
  <c r="I26" i="51"/>
  <c r="J26" i="51"/>
  <c r="CC27" i="1" s="1"/>
  <c r="I14" i="51"/>
  <c r="J14" i="51"/>
  <c r="CC15" i="1" s="1"/>
  <c r="G12" i="51"/>
  <c r="V35" i="1" s="1"/>
  <c r="I12" i="51"/>
  <c r="I43" i="51"/>
  <c r="CC31" i="31" s="1"/>
  <c r="J43" i="51"/>
  <c r="CD31" i="31" s="1"/>
  <c r="F85" i="51"/>
  <c r="H85" i="51"/>
  <c r="U46" i="31" s="1"/>
  <c r="I55" i="51"/>
  <c r="CC29" i="31" s="1"/>
  <c r="J55" i="51"/>
  <c r="CD29" i="31" s="1"/>
  <c r="I72" i="51"/>
  <c r="CC15" i="31" s="1"/>
  <c r="J72" i="51"/>
  <c r="CD15" i="31" s="1"/>
  <c r="I61" i="51"/>
  <c r="CC47" i="31" s="1"/>
  <c r="J61" i="51"/>
  <c r="CD47" i="31" s="1"/>
  <c r="G59" i="51"/>
  <c r="H59" i="51"/>
  <c r="U43" i="31" s="1"/>
  <c r="I77" i="51"/>
  <c r="CC17" i="31" s="1"/>
  <c r="J77" i="51"/>
  <c r="H13" i="51"/>
  <c r="T15" i="1" s="1"/>
  <c r="I11" i="51"/>
  <c r="I9" i="51"/>
  <c r="CB14" i="1" s="1"/>
  <c r="AI15" i="26" s="1"/>
  <c r="H34" i="51"/>
  <c r="H30" i="51"/>
  <c r="I28" i="51"/>
  <c r="H23" i="51"/>
  <c r="I20" i="51"/>
  <c r="H15" i="51"/>
  <c r="I54" i="51"/>
  <c r="CC45" i="31" s="1"/>
  <c r="I47" i="51"/>
  <c r="CC10" i="31" s="1"/>
  <c r="I83" i="51"/>
  <c r="CC40" i="31" s="1"/>
  <c r="I36" i="51"/>
  <c r="CC14" i="31" s="1"/>
  <c r="H41" i="51"/>
  <c r="U13" i="31" s="1"/>
  <c r="H25" i="51"/>
  <c r="T21" i="1" s="1"/>
  <c r="I25" i="51"/>
  <c r="H17" i="51"/>
  <c r="T29" i="1" s="1"/>
  <c r="I17" i="51"/>
  <c r="CB29" i="1" s="1"/>
  <c r="AI30" i="26" s="1"/>
  <c r="H56" i="51"/>
  <c r="U41" i="31" s="1"/>
  <c r="I56" i="51"/>
  <c r="CC41" i="31" s="1"/>
  <c r="G66" i="51"/>
  <c r="W55" i="31" s="1"/>
  <c r="J66" i="51"/>
  <c r="CD55" i="31" s="1"/>
  <c r="H79" i="51"/>
  <c r="U21" i="31" s="1"/>
  <c r="I79" i="51"/>
  <c r="CC21" i="31" s="1"/>
  <c r="F65" i="51"/>
  <c r="H65" i="51"/>
  <c r="I65" i="51"/>
  <c r="CC22" i="31" s="1"/>
  <c r="F64" i="51"/>
  <c r="J64" i="51"/>
  <c r="CD33" i="31" s="1"/>
  <c r="H78" i="51"/>
  <c r="U24" i="31" s="1"/>
  <c r="I78" i="51"/>
  <c r="CC24" i="31" s="1"/>
  <c r="F53" i="51"/>
  <c r="J53" i="51"/>
  <c r="CD36" i="31" s="1"/>
  <c r="F52" i="51"/>
  <c r="H52" i="51"/>
  <c r="U49" i="31" s="1"/>
  <c r="I52" i="51"/>
  <c r="CC49" i="31" s="1"/>
  <c r="F70" i="51"/>
  <c r="J70" i="51"/>
  <c r="CD28" i="31" s="1"/>
  <c r="F82" i="51"/>
  <c r="J82" i="51"/>
  <c r="CD27" i="31" s="1"/>
  <c r="H62" i="51"/>
  <c r="U8" i="31" s="1"/>
  <c r="I62" i="51"/>
  <c r="CC8" i="31" s="1"/>
  <c r="H50" i="51"/>
  <c r="U7" i="31" s="1"/>
  <c r="I50" i="51"/>
  <c r="CC7" i="31" s="1"/>
  <c r="J12" i="51"/>
  <c r="J10" i="51"/>
  <c r="CC26" i="1" s="1"/>
  <c r="H9" i="51"/>
  <c r="T14" i="1" s="1"/>
  <c r="I32" i="51"/>
  <c r="CB13" i="1" s="1"/>
  <c r="AI14" i="26" s="1"/>
  <c r="J29" i="51"/>
  <c r="CC21" i="1" s="1"/>
  <c r="I27" i="51"/>
  <c r="J24" i="51"/>
  <c r="H22" i="51"/>
  <c r="J16" i="51"/>
  <c r="H14" i="51"/>
  <c r="H69" i="51"/>
  <c r="U53" i="31" s="1"/>
  <c r="I66" i="51"/>
  <c r="CC55" i="31" s="1"/>
  <c r="J85" i="51"/>
  <c r="H55" i="51"/>
  <c r="U29" i="31" s="1"/>
  <c r="I64" i="51"/>
  <c r="CC33" i="31" s="1"/>
  <c r="J49" i="51"/>
  <c r="CD51" i="31" s="1"/>
  <c r="H72" i="51"/>
  <c r="U15" i="31" s="1"/>
  <c r="I70" i="51"/>
  <c r="CC28" i="31" s="1"/>
  <c r="J51" i="51"/>
  <c r="CD16" i="31" s="1"/>
  <c r="H39" i="51"/>
  <c r="U30" i="31" s="1"/>
  <c r="I42" i="51"/>
  <c r="CC23" i="31" s="1"/>
  <c r="J59" i="51"/>
  <c r="CD43" i="31" s="1"/>
  <c r="H77" i="51"/>
  <c r="U17" i="31" s="1"/>
  <c r="H21" i="51"/>
  <c r="T23" i="1" s="1"/>
  <c r="I21" i="51"/>
  <c r="H67" i="51"/>
  <c r="U9" i="31" s="1"/>
  <c r="I67" i="51"/>
  <c r="CC9" i="31" s="1"/>
  <c r="CC32" i="1"/>
  <c r="CC30" i="1"/>
  <c r="CC13" i="1"/>
  <c r="CC29" i="1"/>
  <c r="H12" i="51"/>
  <c r="J8" i="51"/>
  <c r="CC9" i="1" s="1"/>
  <c r="H32" i="51"/>
  <c r="T13" i="1" s="1"/>
  <c r="I29" i="51"/>
  <c r="H27" i="51"/>
  <c r="T27" i="1" s="1"/>
  <c r="I24" i="51"/>
  <c r="J21" i="51"/>
  <c r="I16" i="51"/>
  <c r="J67" i="51"/>
  <c r="J56" i="51"/>
  <c r="CD41" i="31" s="1"/>
  <c r="H66" i="51"/>
  <c r="U55" i="31" s="1"/>
  <c r="I85" i="51"/>
  <c r="CC46" i="31" s="1"/>
  <c r="J65" i="51"/>
  <c r="CD22" i="31" s="1"/>
  <c r="H64" i="51"/>
  <c r="U33" i="31" s="1"/>
  <c r="I49" i="51"/>
  <c r="CC51" i="31" s="1"/>
  <c r="J52" i="51"/>
  <c r="CD49" i="31" s="1"/>
  <c r="H70" i="51"/>
  <c r="U28" i="31" s="1"/>
  <c r="I51" i="51"/>
  <c r="CC16" i="31" s="1"/>
  <c r="J62" i="51"/>
  <c r="CD8" i="31" s="1"/>
  <c r="H42" i="51"/>
  <c r="U23" i="31" s="1"/>
  <c r="I59" i="51"/>
  <c r="CC43" i="31" s="1"/>
  <c r="G38" i="51"/>
  <c r="J6" i="51"/>
  <c r="CC17" i="1" s="1"/>
  <c r="H6" i="51"/>
  <c r="G54" i="51"/>
  <c r="F47" i="51"/>
  <c r="F34" i="51"/>
  <c r="F30" i="51"/>
  <c r="F28" i="51"/>
  <c r="F26" i="51"/>
  <c r="F24" i="51"/>
  <c r="F22" i="51"/>
  <c r="F20" i="51"/>
  <c r="F18" i="51"/>
  <c r="F16" i="51"/>
  <c r="F14" i="51"/>
  <c r="F12" i="51"/>
  <c r="F10" i="51"/>
  <c r="G47" i="51"/>
  <c r="G43" i="51"/>
  <c r="G85" i="51"/>
  <c r="F55" i="51"/>
  <c r="G55" i="51"/>
  <c r="F57" i="51"/>
  <c r="F49" i="51"/>
  <c r="F72" i="51"/>
  <c r="F83" i="51"/>
  <c r="F48" i="51"/>
  <c r="F51" i="51"/>
  <c r="F39" i="51"/>
  <c r="F36" i="51"/>
  <c r="F59" i="51"/>
  <c r="F77" i="51"/>
  <c r="F54" i="51"/>
  <c r="G57" i="51"/>
  <c r="G72" i="51"/>
  <c r="G48" i="51"/>
  <c r="G39" i="51"/>
  <c r="G77" i="51"/>
  <c r="G26" i="51"/>
  <c r="V27" i="1" s="1"/>
  <c r="G18" i="51"/>
  <c r="V22" i="1" s="1"/>
  <c r="G10" i="51"/>
  <c r="G69" i="51"/>
  <c r="F43" i="51"/>
  <c r="G36" i="51"/>
  <c r="G34" i="51"/>
  <c r="G16" i="51"/>
  <c r="V24" i="1" s="1"/>
  <c r="F32" i="51"/>
  <c r="G32" i="51"/>
  <c r="F29" i="51"/>
  <c r="G29" i="51"/>
  <c r="V34" i="1" s="1"/>
  <c r="F27" i="51"/>
  <c r="G27" i="51"/>
  <c r="F25" i="51"/>
  <c r="G25" i="51"/>
  <c r="F23" i="51"/>
  <c r="G23" i="51"/>
  <c r="F17" i="51"/>
  <c r="G17" i="51"/>
  <c r="V30" i="1" s="1"/>
  <c r="F15" i="51"/>
  <c r="G15" i="51"/>
  <c r="F13" i="51"/>
  <c r="G13" i="51"/>
  <c r="V15" i="1" s="1"/>
  <c r="F11" i="51"/>
  <c r="G11" i="51"/>
  <c r="F9" i="51"/>
  <c r="G9" i="51"/>
  <c r="G7" i="51"/>
  <c r="F67" i="51"/>
  <c r="G67" i="51"/>
  <c r="F56" i="51"/>
  <c r="G56" i="51"/>
  <c r="W41" i="31" s="1"/>
  <c r="F66" i="51"/>
  <c r="F79" i="51"/>
  <c r="G65" i="51"/>
  <c r="G64" i="51"/>
  <c r="G78" i="51"/>
  <c r="G53" i="51"/>
  <c r="W36" i="31" s="1"/>
  <c r="G52" i="51"/>
  <c r="G70" i="51"/>
  <c r="G82" i="51"/>
  <c r="F62" i="51"/>
  <c r="G62" i="51"/>
  <c r="F42" i="51"/>
  <c r="G42" i="51"/>
  <c r="F50" i="51"/>
  <c r="G50" i="51"/>
  <c r="F41" i="51"/>
  <c r="G41" i="51"/>
  <c r="G6" i="51"/>
  <c r="G79" i="51"/>
  <c r="G49" i="51"/>
  <c r="G83" i="51"/>
  <c r="G51" i="51"/>
  <c r="W16" i="31" s="1"/>
  <c r="G61" i="51"/>
  <c r="G30" i="51"/>
  <c r="G22" i="51"/>
  <c r="G14" i="51"/>
  <c r="I6" i="51"/>
  <c r="CB33" i="1" s="1"/>
  <c r="AI34" i="26" s="1"/>
  <c r="T16" i="26" l="1"/>
  <c r="CT16" i="26" s="1"/>
  <c r="U7" i="36"/>
  <c r="U8" i="36"/>
  <c r="U10" i="36"/>
  <c r="CC7" i="36"/>
  <c r="AM58" i="33"/>
  <c r="AM60" i="33"/>
  <c r="CC8" i="36"/>
  <c r="CC55" i="36"/>
  <c r="U53" i="36"/>
  <c r="U39" i="36"/>
  <c r="CC35" i="36"/>
  <c r="CC27" i="36"/>
  <c r="CC48" i="36"/>
  <c r="U12" i="36"/>
  <c r="U11" i="36"/>
  <c r="CD55" i="36"/>
  <c r="U55" i="36"/>
  <c r="CC23" i="36"/>
  <c r="CC26" i="36"/>
  <c r="CC11" i="36"/>
  <c r="CC44" i="36"/>
  <c r="U52" i="36"/>
  <c r="CC28" i="36"/>
  <c r="CC51" i="36"/>
  <c r="CC49" i="36"/>
  <c r="U9" i="36"/>
  <c r="CC18" i="36"/>
  <c r="CC38" i="36"/>
  <c r="CC30" i="36"/>
  <c r="CC33" i="36"/>
  <c r="U40" i="36"/>
  <c r="U54" i="36"/>
  <c r="U50" i="36"/>
  <c r="U51" i="36"/>
  <c r="U29" i="36"/>
  <c r="U28" i="36"/>
  <c r="U31" i="36"/>
  <c r="U30" i="36"/>
  <c r="AM28" i="33"/>
  <c r="CC46" i="36"/>
  <c r="AM12" i="33"/>
  <c r="CC34" i="36"/>
  <c r="AM51" i="33"/>
  <c r="CC40" i="36"/>
  <c r="AM43" i="33"/>
  <c r="CC25" i="36"/>
  <c r="AM25" i="33"/>
  <c r="CC19" i="36"/>
  <c r="AM11" i="33"/>
  <c r="CC12" i="36"/>
  <c r="AM54" i="33"/>
  <c r="CC50" i="36"/>
  <c r="AM42" i="33"/>
  <c r="AM30" i="33"/>
  <c r="CC41" i="36"/>
  <c r="AM17" i="33"/>
  <c r="CC52" i="36"/>
  <c r="AM50" i="33"/>
  <c r="AM32" i="33"/>
  <c r="CC43" i="36"/>
  <c r="AM29" i="33"/>
  <c r="CC15" i="36"/>
  <c r="AM9" i="33"/>
  <c r="CC29" i="36"/>
  <c r="AM10" i="33"/>
  <c r="CC32" i="36"/>
  <c r="AM22" i="33"/>
  <c r="CC31" i="36"/>
  <c r="AM48" i="33"/>
  <c r="CC36" i="36"/>
  <c r="AM52" i="33"/>
  <c r="CC9" i="36"/>
  <c r="AM15" i="33"/>
  <c r="CC16" i="36"/>
  <c r="AM34" i="33"/>
  <c r="CC13" i="36"/>
  <c r="AM41" i="33"/>
  <c r="CC42" i="36"/>
  <c r="AM16" i="33"/>
  <c r="CC17" i="36"/>
  <c r="AM37" i="33"/>
  <c r="CC24" i="36"/>
  <c r="AM47" i="33"/>
  <c r="CC37" i="36"/>
  <c r="AM56" i="33"/>
  <c r="CC54" i="36"/>
  <c r="CC45" i="36"/>
  <c r="AM44" i="33"/>
  <c r="CC22" i="36"/>
  <c r="AM46" i="33"/>
  <c r="CC53" i="36"/>
  <c r="AM24" i="33"/>
  <c r="CC14" i="36"/>
  <c r="AM18" i="33"/>
  <c r="CC20" i="36"/>
  <c r="AM8" i="33"/>
  <c r="CC21" i="36"/>
  <c r="AM23" i="33"/>
  <c r="CC47" i="36"/>
  <c r="AM14" i="33"/>
  <c r="CC10" i="36"/>
  <c r="AM31" i="33"/>
  <c r="CC39" i="36"/>
  <c r="W47" i="31"/>
  <c r="W24" i="31"/>
  <c r="W31" i="31"/>
  <c r="W23" i="31"/>
  <c r="W51" i="31"/>
  <c r="W11" i="31"/>
  <c r="W13" i="31"/>
  <c r="W28" i="31"/>
  <c r="W53" i="31"/>
  <c r="W29" i="31"/>
  <c r="W49" i="31"/>
  <c r="W42" i="31"/>
  <c r="W7" i="31"/>
  <c r="W9" i="31"/>
  <c r="V13" i="1"/>
  <c r="W33" i="31"/>
  <c r="W17" i="31"/>
  <c r="W10" i="31"/>
  <c r="W40" i="31"/>
  <c r="W22" i="31"/>
  <c r="W30" i="31"/>
  <c r="W8" i="31"/>
  <c r="W43" i="31"/>
  <c r="W15" i="31"/>
  <c r="W21" i="31"/>
  <c r="W27" i="31"/>
  <c r="W14" i="31"/>
  <c r="W50" i="31"/>
  <c r="W45" i="31"/>
  <c r="V14" i="1"/>
  <c r="CD42" i="31"/>
  <c r="CE7" i="31"/>
  <c r="CD17" i="31"/>
  <c r="CD7" i="36" s="1"/>
  <c r="CD9" i="31"/>
  <c r="CD43" i="36" s="1"/>
  <c r="CE21" i="31"/>
  <c r="CD46" i="31"/>
  <c r="R49" i="33"/>
  <c r="U22" i="31"/>
  <c r="U42" i="36" s="1"/>
  <c r="U49" i="33"/>
  <c r="AO8" i="33"/>
  <c r="AO22" i="33"/>
  <c r="R46" i="33"/>
  <c r="R43" i="33"/>
  <c r="R10" i="33"/>
  <c r="R54" i="33"/>
  <c r="R41" i="33"/>
  <c r="R12" i="33"/>
  <c r="R28" i="33"/>
  <c r="R24" i="33"/>
  <c r="AK18" i="26"/>
  <c r="CD17" i="1"/>
  <c r="CD30" i="1"/>
  <c r="CD11" i="1"/>
  <c r="AK22" i="26"/>
  <c r="CD21" i="1"/>
  <c r="CD18" i="1"/>
  <c r="AK21" i="26"/>
  <c r="CD20" i="1"/>
  <c r="CD32" i="1"/>
  <c r="CD8" i="1"/>
  <c r="CD9" i="1"/>
  <c r="CD29" i="1"/>
  <c r="AK27" i="26"/>
  <c r="CD26" i="1"/>
  <c r="CD27" i="1"/>
  <c r="CD13" i="1"/>
  <c r="AK16" i="26"/>
  <c r="CD15" i="1"/>
  <c r="CB10" i="1"/>
  <c r="AI11" i="26" s="1"/>
  <c r="CE45" i="31"/>
  <c r="CB22" i="1"/>
  <c r="AI23" i="26" s="1"/>
  <c r="CE24" i="31"/>
  <c r="V19" i="1"/>
  <c r="CC10" i="1"/>
  <c r="T25" i="1"/>
  <c r="CB27" i="1"/>
  <c r="AI28" i="26" s="1"/>
  <c r="CB32" i="1"/>
  <c r="AI33" i="26" s="1"/>
  <c r="CC25" i="1"/>
  <c r="T7" i="1"/>
  <c r="T24" i="1"/>
  <c r="CB26" i="1"/>
  <c r="AI27" i="26" s="1"/>
  <c r="CC22" i="1"/>
  <c r="CE43" i="31"/>
  <c r="CB25" i="1"/>
  <c r="AI26" i="26" s="1"/>
  <c r="T11" i="1"/>
  <c r="CE51" i="31"/>
  <c r="CC24" i="1"/>
  <c r="CC19" i="1"/>
  <c r="CE31" i="31"/>
  <c r="CB21" i="1"/>
  <c r="AI22" i="26" s="1"/>
  <c r="R37" i="33"/>
  <c r="V33" i="1"/>
  <c r="I35" i="15" s="1"/>
  <c r="CE49" i="31"/>
  <c r="T30" i="1"/>
  <c r="CB12" i="1"/>
  <c r="AI13" i="26" s="1"/>
  <c r="CE55" i="31"/>
  <c r="CE16" i="31"/>
  <c r="CE27" i="31"/>
  <c r="CE33" i="31"/>
  <c r="R13" i="33"/>
  <c r="CE22" i="31"/>
  <c r="V18" i="1"/>
  <c r="CB34" i="1"/>
  <c r="AI35" i="26" s="1"/>
  <c r="T32" i="1"/>
  <c r="V32" i="1"/>
  <c r="CB18" i="1"/>
  <c r="AI19" i="26" s="1"/>
  <c r="T8" i="1"/>
  <c r="T18" i="1"/>
  <c r="CB23" i="1"/>
  <c r="AI24" i="26" s="1"/>
  <c r="V11" i="1"/>
  <c r="V21" i="1"/>
  <c r="CC34" i="1"/>
  <c r="V25" i="1"/>
  <c r="CB28" i="1"/>
  <c r="AI29" i="26" s="1"/>
  <c r="CC12" i="1"/>
  <c r="T28" i="1"/>
  <c r="T22" i="1"/>
  <c r="CB19" i="1"/>
  <c r="AI20" i="26" s="1"/>
  <c r="CB15" i="1"/>
  <c r="AI16" i="26" s="1"/>
  <c r="CC28" i="1"/>
  <c r="V7" i="1"/>
  <c r="CB30" i="1"/>
  <c r="AI31" i="26" s="1"/>
  <c r="V10" i="1"/>
  <c r="T10" i="1"/>
  <c r="V9" i="1"/>
  <c r="CC14" i="1"/>
  <c r="T9" i="1"/>
  <c r="V29" i="1"/>
  <c r="CB9" i="1"/>
  <c r="AI10" i="26" s="1"/>
  <c r="T17" i="1"/>
  <c r="V17" i="1"/>
  <c r="CB17" i="1"/>
  <c r="AI18" i="26" s="1"/>
  <c r="J104" i="51"/>
  <c r="T35" i="1"/>
  <c r="CC33" i="1"/>
  <c r="CB24" i="1"/>
  <c r="AI25" i="26" s="1"/>
  <c r="CB20" i="1"/>
  <c r="AI21" i="26" s="1"/>
  <c r="CC35" i="1"/>
  <c r="CB8" i="1"/>
  <c r="AI9" i="26" s="1"/>
  <c r="CE47" i="31"/>
  <c r="CE53" i="31"/>
  <c r="CB35" i="1"/>
  <c r="AI36" i="26" s="1"/>
  <c r="V12" i="1"/>
  <c r="T26" i="1"/>
  <c r="CE50" i="31"/>
  <c r="CE15" i="31"/>
  <c r="CE8" i="31"/>
  <c r="CE19" i="31"/>
  <c r="CE23" i="31"/>
  <c r="R11" i="33"/>
  <c r="CE30" i="31"/>
  <c r="CE11" i="31"/>
  <c r="CE41" i="31"/>
  <c r="CE29" i="31"/>
  <c r="CE14" i="31"/>
  <c r="CE13" i="31"/>
  <c r="CE28" i="31"/>
  <c r="CE40" i="31"/>
  <c r="CE10" i="31"/>
  <c r="R21" i="33"/>
  <c r="V8" i="1"/>
  <c r="T20" i="1"/>
  <c r="CC23" i="1"/>
  <c r="T12" i="1"/>
  <c r="U22" i="36" l="1"/>
  <c r="U27" i="36"/>
  <c r="CD13" i="36"/>
  <c r="G46" i="32"/>
  <c r="I32" i="15"/>
  <c r="R46" i="32"/>
  <c r="I34" i="15"/>
  <c r="I33" i="15"/>
  <c r="I12" i="15"/>
  <c r="I10" i="15"/>
  <c r="G32" i="32"/>
  <c r="G37" i="32"/>
  <c r="CD37" i="36"/>
  <c r="CD52" i="36"/>
  <c r="CD8" i="36"/>
  <c r="CD10" i="36"/>
  <c r="I18" i="15"/>
  <c r="I9" i="15"/>
  <c r="I8" i="15"/>
  <c r="I17" i="15"/>
  <c r="CD51" i="36"/>
  <c r="I16" i="15"/>
  <c r="I19" i="15"/>
  <c r="U49" i="36"/>
  <c r="G36" i="32"/>
  <c r="CD11" i="36"/>
  <c r="CD9" i="36"/>
  <c r="G49" i="32"/>
  <c r="G55" i="32"/>
  <c r="R55" i="32"/>
  <c r="R54" i="32"/>
  <c r="G54" i="32"/>
  <c r="G38" i="32"/>
  <c r="G41" i="32"/>
  <c r="G18" i="32"/>
  <c r="G28" i="32"/>
  <c r="G25" i="32"/>
  <c r="G35" i="32"/>
  <c r="G29" i="32"/>
  <c r="G45" i="32"/>
  <c r="U46" i="36"/>
  <c r="G16" i="32"/>
  <c r="G7" i="32"/>
  <c r="G52" i="32"/>
  <c r="CD53" i="36"/>
  <c r="G12" i="32"/>
  <c r="G15" i="32"/>
  <c r="G9" i="32"/>
  <c r="G21" i="32"/>
  <c r="G20" i="32"/>
  <c r="R44" i="32"/>
  <c r="G23" i="32"/>
  <c r="G44" i="32"/>
  <c r="G34" i="32"/>
  <c r="G33" i="32"/>
  <c r="G22" i="32"/>
  <c r="G31" i="32"/>
  <c r="G30" i="32"/>
  <c r="G48" i="32"/>
  <c r="G47" i="32"/>
  <c r="G24" i="32"/>
  <c r="G17" i="32"/>
  <c r="G19" i="32"/>
  <c r="G14" i="32"/>
  <c r="G13" i="32"/>
  <c r="G8" i="32"/>
  <c r="G53" i="32"/>
  <c r="G27" i="32"/>
  <c r="G26" i="32"/>
  <c r="G51" i="32"/>
  <c r="G50" i="32"/>
  <c r="G43" i="32"/>
  <c r="G42" i="32"/>
  <c r="G40" i="32"/>
  <c r="G39" i="32"/>
  <c r="G11" i="32"/>
  <c r="G10" i="32"/>
  <c r="CD54" i="36"/>
  <c r="CD50" i="36"/>
  <c r="U25" i="36"/>
  <c r="CD15" i="36"/>
  <c r="U24" i="36"/>
  <c r="CD12" i="36"/>
  <c r="CD47" i="36"/>
  <c r="CD48" i="36"/>
  <c r="CD14" i="36"/>
  <c r="U23" i="36"/>
  <c r="U26" i="36"/>
  <c r="U16" i="36"/>
  <c r="CD49" i="36"/>
  <c r="U17" i="36"/>
  <c r="U18" i="36"/>
  <c r="CD44" i="36"/>
  <c r="CD45" i="36"/>
  <c r="U20" i="36"/>
  <c r="CD17" i="36"/>
  <c r="CD46" i="36"/>
  <c r="CD16" i="36"/>
  <c r="U19" i="36"/>
  <c r="CD27" i="36"/>
  <c r="W7" i="36"/>
  <c r="U21" i="36"/>
  <c r="U13" i="36"/>
  <c r="U14" i="36"/>
  <c r="CD24" i="36"/>
  <c r="U15" i="36"/>
  <c r="CD18" i="36"/>
  <c r="U32" i="36"/>
  <c r="U36" i="36"/>
  <c r="U38" i="36"/>
  <c r="U37" i="36"/>
  <c r="W8" i="36"/>
  <c r="CD42" i="36"/>
  <c r="CD31" i="36"/>
  <c r="U35" i="36"/>
  <c r="CD41" i="36"/>
  <c r="U34" i="36"/>
  <c r="CD39" i="36"/>
  <c r="CD40" i="36"/>
  <c r="W49" i="36"/>
  <c r="U33" i="36"/>
  <c r="U41" i="36"/>
  <c r="W43" i="36"/>
  <c r="U45" i="36"/>
  <c r="U43" i="36"/>
  <c r="U44" i="36"/>
  <c r="W37" i="36"/>
  <c r="CD34" i="36"/>
  <c r="CD28" i="36"/>
  <c r="W35" i="36"/>
  <c r="CD35" i="36"/>
  <c r="CD22" i="36"/>
  <c r="W27" i="36"/>
  <c r="CD19" i="36"/>
  <c r="CD23" i="36"/>
  <c r="W10" i="36"/>
  <c r="W55" i="36"/>
  <c r="CE55" i="36"/>
  <c r="W9" i="36"/>
  <c r="W11" i="36"/>
  <c r="W54" i="36"/>
  <c r="W16" i="36"/>
  <c r="CD38" i="36"/>
  <c r="W46" i="36"/>
  <c r="W12" i="36"/>
  <c r="W15" i="36"/>
  <c r="W14" i="36"/>
  <c r="W13" i="36"/>
  <c r="W17" i="36"/>
  <c r="W22" i="36"/>
  <c r="CD25" i="36"/>
  <c r="CD26" i="36"/>
  <c r="W25" i="36"/>
  <c r="W26" i="36"/>
  <c r="W39" i="36"/>
  <c r="W21" i="36"/>
  <c r="W50" i="36"/>
  <c r="W51" i="36"/>
  <c r="W36" i="36"/>
  <c r="W38" i="36"/>
  <c r="W45" i="36"/>
  <c r="W44" i="36"/>
  <c r="CD20" i="36"/>
  <c r="CD21" i="36"/>
  <c r="W40" i="36"/>
  <c r="W42" i="36"/>
  <c r="CD29" i="36"/>
  <c r="CD33" i="36"/>
  <c r="CD36" i="36"/>
  <c r="W20" i="36"/>
  <c r="W41" i="36"/>
  <c r="W19" i="36"/>
  <c r="W18" i="36"/>
  <c r="W31" i="36"/>
  <c r="W29" i="36"/>
  <c r="W28" i="36"/>
  <c r="W53" i="36"/>
  <c r="W34" i="36"/>
  <c r="W33" i="36"/>
  <c r="U47" i="36"/>
  <c r="U48" i="36"/>
  <c r="W52" i="36"/>
  <c r="W47" i="36"/>
  <c r="W48" i="36"/>
  <c r="W32" i="36"/>
  <c r="W30" i="36"/>
  <c r="CD32" i="36"/>
  <c r="CD30" i="36"/>
  <c r="W24" i="36"/>
  <c r="W23" i="36"/>
  <c r="AU49" i="33"/>
  <c r="M40" i="51" s="1"/>
  <c r="AS49" i="33"/>
  <c r="AF49" i="33"/>
  <c r="BW34" i="54"/>
  <c r="CE42" i="31"/>
  <c r="CE46" i="31"/>
  <c r="R49" i="32" s="1"/>
  <c r="CE9" i="31"/>
  <c r="CE17" i="31"/>
  <c r="U10" i="33"/>
  <c r="CY10" i="33" s="1"/>
  <c r="AO43" i="33"/>
  <c r="AO10" i="33"/>
  <c r="BX32" i="54"/>
  <c r="CE36" i="31"/>
  <c r="U21" i="33"/>
  <c r="CY21" i="33" s="1"/>
  <c r="U13" i="33"/>
  <c r="CY13" i="33" s="1"/>
  <c r="BX31" i="54"/>
  <c r="T27" i="54"/>
  <c r="BX14" i="54"/>
  <c r="BX19" i="54"/>
  <c r="BW29" i="54"/>
  <c r="T21" i="54"/>
  <c r="T31" i="54"/>
  <c r="BX13" i="54"/>
  <c r="BX29" i="54"/>
  <c r="T14" i="54"/>
  <c r="T15" i="54"/>
  <c r="BX11" i="54"/>
  <c r="BW26" i="54"/>
  <c r="BX24" i="54"/>
  <c r="BW9" i="54"/>
  <c r="BX9" i="54"/>
  <c r="BW28" i="54"/>
  <c r="BX12" i="54"/>
  <c r="BW27" i="54"/>
  <c r="T9" i="54"/>
  <c r="BW15" i="54"/>
  <c r="BW21" i="54"/>
  <c r="T28" i="54"/>
  <c r="T25" i="54"/>
  <c r="BW31" i="54"/>
  <c r="BX30" i="54"/>
  <c r="T10" i="54"/>
  <c r="BX34" i="54"/>
  <c r="T34" i="54"/>
  <c r="BX10" i="54"/>
  <c r="BW10" i="54"/>
  <c r="BX27" i="54"/>
  <c r="T30" i="54"/>
  <c r="T26" i="54"/>
  <c r="BX21" i="54"/>
  <c r="BW13" i="54"/>
  <c r="BW8" i="54"/>
  <c r="T8" i="54"/>
  <c r="T22" i="54"/>
  <c r="T13" i="54"/>
  <c r="BX8" i="54"/>
  <c r="BX20" i="54"/>
  <c r="BX16" i="54"/>
  <c r="BW25" i="54"/>
  <c r="BX25" i="54"/>
  <c r="BW32" i="54"/>
  <c r="T19" i="54"/>
  <c r="BW20" i="54"/>
  <c r="T17" i="54"/>
  <c r="T20" i="54"/>
  <c r="BW19" i="54"/>
  <c r="BW17" i="54"/>
  <c r="BW12" i="54"/>
  <c r="T12" i="54"/>
  <c r="BX15" i="54"/>
  <c r="BW24" i="54"/>
  <c r="T24" i="54"/>
  <c r="BW14" i="54"/>
  <c r="BW11" i="54"/>
  <c r="T11" i="54"/>
  <c r="T18" i="54"/>
  <c r="BW18" i="54"/>
  <c r="BX17" i="54"/>
  <c r="T32" i="54"/>
  <c r="BW23" i="54"/>
  <c r="BX18" i="54"/>
  <c r="BX33" i="54"/>
  <c r="BW30" i="54"/>
  <c r="T33" i="54"/>
  <c r="T29" i="54"/>
  <c r="BW16" i="54"/>
  <c r="BW22" i="54"/>
  <c r="BW33" i="54"/>
  <c r="T23" i="54"/>
  <c r="T16" i="54"/>
  <c r="AK28" i="26"/>
  <c r="BX22" i="54"/>
  <c r="AK31" i="26"/>
  <c r="BX26" i="54"/>
  <c r="AK14" i="26"/>
  <c r="BX28" i="54"/>
  <c r="AK19" i="26"/>
  <c r="BX23" i="54"/>
  <c r="V34" i="54"/>
  <c r="AK30" i="26"/>
  <c r="AK12" i="26"/>
  <c r="AK9" i="26"/>
  <c r="AK10" i="26"/>
  <c r="AK8" i="26"/>
  <c r="AK33" i="26"/>
  <c r="AO49" i="33"/>
  <c r="AO13" i="33"/>
  <c r="AO20" i="33"/>
  <c r="AO21" i="33"/>
  <c r="T7" i="54"/>
  <c r="BX7" i="54"/>
  <c r="BW7" i="54"/>
  <c r="AO30" i="33"/>
  <c r="AO34" i="33"/>
  <c r="AO14" i="33"/>
  <c r="AO17" i="33"/>
  <c r="AO52" i="33"/>
  <c r="AO16" i="33"/>
  <c r="AO11" i="33"/>
  <c r="AO44" i="33"/>
  <c r="AO29" i="33"/>
  <c r="AO15" i="33"/>
  <c r="AO42" i="33"/>
  <c r="AO56" i="33"/>
  <c r="AO46" i="33"/>
  <c r="AO28" i="33"/>
  <c r="AO31" i="33"/>
  <c r="AO23" i="33"/>
  <c r="AO12" i="33"/>
  <c r="AO24" i="33"/>
  <c r="AO51" i="33"/>
  <c r="AO37" i="33"/>
  <c r="AO50" i="33"/>
  <c r="AO54" i="33"/>
  <c r="AO41" i="33"/>
  <c r="AO47" i="33"/>
  <c r="AO9" i="33"/>
  <c r="AO48" i="33"/>
  <c r="AO25" i="33"/>
  <c r="AO18" i="33"/>
  <c r="AO32" i="33"/>
  <c r="CD14" i="1"/>
  <c r="CD35" i="1"/>
  <c r="U22" i="33"/>
  <c r="CY22" i="33" s="1"/>
  <c r="R20" i="33"/>
  <c r="U20" i="33"/>
  <c r="CY20" i="33" s="1"/>
  <c r="U14" i="33"/>
  <c r="U41" i="33"/>
  <c r="CY41" i="33" s="1"/>
  <c r="U48" i="33"/>
  <c r="CY48" i="33" s="1"/>
  <c r="U50" i="33"/>
  <c r="CY50" i="33" s="1"/>
  <c r="R29" i="33"/>
  <c r="R52" i="33"/>
  <c r="U28" i="33"/>
  <c r="CY28" i="33" s="1"/>
  <c r="U15" i="33"/>
  <c r="CY15" i="33" s="1"/>
  <c r="R34" i="33"/>
  <c r="R42" i="33"/>
  <c r="U51" i="33"/>
  <c r="CY51" i="33" s="1"/>
  <c r="U18" i="33"/>
  <c r="CY18" i="33" s="1"/>
  <c r="R23" i="33"/>
  <c r="U25" i="33"/>
  <c r="CY25" i="33" s="1"/>
  <c r="U47" i="33"/>
  <c r="CY47" i="33" s="1"/>
  <c r="U8" i="33"/>
  <c r="CY8" i="33" s="1"/>
  <c r="R22" i="33"/>
  <c r="U42" i="33"/>
  <c r="R17" i="33"/>
  <c r="U9" i="33"/>
  <c r="CY9" i="33" s="1"/>
  <c r="U54" i="33"/>
  <c r="CY54" i="33" s="1"/>
  <c r="U16" i="33"/>
  <c r="CY16" i="33" s="1"/>
  <c r="U52" i="33"/>
  <c r="CY52" i="33" s="1"/>
  <c r="R31" i="33"/>
  <c r="R14" i="33"/>
  <c r="U46" i="33"/>
  <c r="U23" i="33"/>
  <c r="U34" i="33"/>
  <c r="CY34" i="33" s="1"/>
  <c r="U17" i="33"/>
  <c r="R15" i="33"/>
  <c r="U43" i="33"/>
  <c r="CY43" i="33" s="1"/>
  <c r="U31" i="33"/>
  <c r="CY31" i="33" s="1"/>
  <c r="U44" i="33"/>
  <c r="R30" i="33"/>
  <c r="R18" i="33"/>
  <c r="R47" i="33"/>
  <c r="U24" i="33"/>
  <c r="CY24" i="33" s="1"/>
  <c r="R25" i="33"/>
  <c r="U12" i="33"/>
  <c r="CY12" i="33" s="1"/>
  <c r="U30" i="33"/>
  <c r="CY30" i="33" s="1"/>
  <c r="R51" i="33"/>
  <c r="R56" i="33"/>
  <c r="R16" i="33"/>
  <c r="U37" i="33"/>
  <c r="CY37" i="33" s="1"/>
  <c r="R44" i="33"/>
  <c r="R8" i="33"/>
  <c r="U32" i="33"/>
  <c r="CY32" i="33" s="1"/>
  <c r="U29" i="33"/>
  <c r="CY29" i="33" s="1"/>
  <c r="R50" i="33"/>
  <c r="U56" i="33"/>
  <c r="CY56" i="33" s="1"/>
  <c r="R48" i="33"/>
  <c r="U11" i="33"/>
  <c r="R9" i="33"/>
  <c r="AK25" i="26"/>
  <c r="CD24" i="1"/>
  <c r="AK13" i="26"/>
  <c r="CD12" i="1"/>
  <c r="AK26" i="26"/>
  <c r="CD25" i="1"/>
  <c r="AK20" i="26"/>
  <c r="CD19" i="1"/>
  <c r="AK11" i="26"/>
  <c r="CD10" i="1"/>
  <c r="AK34" i="26"/>
  <c r="CD33" i="1"/>
  <c r="AK35" i="26"/>
  <c r="CD34" i="1"/>
  <c r="AK23" i="26"/>
  <c r="CD22" i="1"/>
  <c r="AK29" i="26"/>
  <c r="CD28" i="1"/>
  <c r="CD23" i="1"/>
  <c r="AK15" i="26"/>
  <c r="CB2" i="1"/>
  <c r="BW2" i="54" s="1"/>
  <c r="G6" i="32"/>
  <c r="AK24" i="26"/>
  <c r="AK36" i="26"/>
  <c r="I78" i="20"/>
  <c r="G78" i="20" s="1"/>
  <c r="H78" i="20" s="1"/>
  <c r="J78" i="20"/>
  <c r="K78" i="20"/>
  <c r="F78" i="20"/>
  <c r="AJ11" i="33"/>
  <c r="AL11" i="33"/>
  <c r="DZ10" i="31"/>
  <c r="DT10" i="31"/>
  <c r="DQ10" i="31"/>
  <c r="DA10" i="31"/>
  <c r="DC10" i="31"/>
  <c r="CZ10" i="31"/>
  <c r="BP10" i="31"/>
  <c r="CQ10" i="31" s="1"/>
  <c r="S40" i="40"/>
  <c r="V40" i="40"/>
  <c r="L40" i="40"/>
  <c r="R40" i="40" s="1"/>
  <c r="G40" i="40"/>
  <c r="J40" i="40" s="1"/>
  <c r="DX40" i="40" s="1"/>
  <c r="AT10" i="31"/>
  <c r="AL10" i="31"/>
  <c r="AI10" i="31"/>
  <c r="R45" i="32" l="1"/>
  <c r="CY17" i="33"/>
  <c r="AS17" i="33"/>
  <c r="T10" i="15"/>
  <c r="R30" i="32"/>
  <c r="R34" i="32"/>
  <c r="R31" i="32"/>
  <c r="R35" i="32"/>
  <c r="R33" i="32"/>
  <c r="R32" i="32"/>
  <c r="R24" i="32"/>
  <c r="T35" i="15"/>
  <c r="R27" i="32"/>
  <c r="R25" i="32"/>
  <c r="R17" i="32"/>
  <c r="R22" i="32"/>
  <c r="R23" i="32"/>
  <c r="T32" i="15"/>
  <c r="R21" i="32"/>
  <c r="T23" i="15"/>
  <c r="T34" i="15"/>
  <c r="T11" i="15"/>
  <c r="R28" i="32"/>
  <c r="R26" i="32"/>
  <c r="BI10" i="31"/>
  <c r="T18" i="15"/>
  <c r="T12" i="15"/>
  <c r="R36" i="32"/>
  <c r="R29" i="32"/>
  <c r="T27" i="15"/>
  <c r="T24" i="15"/>
  <c r="T15" i="15"/>
  <c r="R51" i="32"/>
  <c r="CE52" i="36"/>
  <c r="R39" i="32"/>
  <c r="R37" i="32"/>
  <c r="R9" i="32"/>
  <c r="R7" i="32"/>
  <c r="T20" i="15"/>
  <c r="T31" i="15"/>
  <c r="T33" i="15"/>
  <c r="T29" i="15"/>
  <c r="T28" i="15"/>
  <c r="T22" i="15"/>
  <c r="T13" i="15"/>
  <c r="T14" i="15"/>
  <c r="T9" i="15"/>
  <c r="T8" i="15"/>
  <c r="T17" i="15"/>
  <c r="CE51" i="36"/>
  <c r="R50" i="32"/>
  <c r="T26" i="15"/>
  <c r="T25" i="15"/>
  <c r="T30" i="15"/>
  <c r="T21" i="15"/>
  <c r="T19" i="15"/>
  <c r="T16" i="15"/>
  <c r="R42" i="32"/>
  <c r="CP42" i="33"/>
  <c r="CY42" i="33"/>
  <c r="CO82" i="33"/>
  <c r="CP38" i="33"/>
  <c r="CY46" i="33"/>
  <c r="CP23" i="33"/>
  <c r="CY23" i="33"/>
  <c r="CP40" i="33"/>
  <c r="CY44" i="33"/>
  <c r="CP11" i="33"/>
  <c r="CY11" i="33"/>
  <c r="CP14" i="33"/>
  <c r="CY14" i="33"/>
  <c r="CX82" i="33"/>
  <c r="BT82" i="33"/>
  <c r="CA82" i="33"/>
  <c r="BA82" i="33"/>
  <c r="CH82" i="33"/>
  <c r="CP18" i="33"/>
  <c r="CP41" i="33"/>
  <c r="CP21" i="33"/>
  <c r="CP44" i="33"/>
  <c r="CP13" i="33"/>
  <c r="CP9" i="33"/>
  <c r="CP50" i="33"/>
  <c r="CP56" i="33"/>
  <c r="CP57" i="33"/>
  <c r="CP45" i="33"/>
  <c r="CP17" i="33"/>
  <c r="CP16" i="33"/>
  <c r="CP28" i="33"/>
  <c r="CP8" i="33"/>
  <c r="CP48" i="33"/>
  <c r="CP54" i="33"/>
  <c r="CP51" i="33"/>
  <c r="CP20" i="33"/>
  <c r="CP43" i="33"/>
  <c r="CP27" i="33"/>
  <c r="CP19" i="33"/>
  <c r="CP39" i="33"/>
  <c r="CP12" i="33"/>
  <c r="CP47" i="33"/>
  <c r="CP30" i="33"/>
  <c r="CP29" i="33"/>
  <c r="CP33" i="33"/>
  <c r="CP32" i="33"/>
  <c r="CP35" i="33"/>
  <c r="CP24" i="33"/>
  <c r="CP15" i="33"/>
  <c r="CP22" i="33"/>
  <c r="R43" i="32"/>
  <c r="CP34" i="33"/>
  <c r="CP46" i="33"/>
  <c r="CP10" i="33"/>
  <c r="CP26" i="33"/>
  <c r="CP37" i="33"/>
  <c r="CP25" i="33"/>
  <c r="CP53" i="33"/>
  <c r="CP52" i="33"/>
  <c r="CP36" i="33"/>
  <c r="CP49" i="33"/>
  <c r="CP31" i="33"/>
  <c r="R11" i="32"/>
  <c r="CI56" i="33"/>
  <c r="AS32" i="33"/>
  <c r="CI33" i="33"/>
  <c r="CI26" i="33"/>
  <c r="CI17" i="33"/>
  <c r="CI34" i="33"/>
  <c r="CI46" i="33"/>
  <c r="AS16" i="33"/>
  <c r="CI54" i="33"/>
  <c r="CI42" i="33"/>
  <c r="CI8" i="33"/>
  <c r="CI47" i="33"/>
  <c r="CI49" i="33"/>
  <c r="CI50" i="33"/>
  <c r="CI48" i="33"/>
  <c r="CI41" i="33"/>
  <c r="CI35" i="33"/>
  <c r="R16" i="32"/>
  <c r="R41" i="32"/>
  <c r="R12" i="32"/>
  <c r="R18" i="32"/>
  <c r="R40" i="32"/>
  <c r="R19" i="32"/>
  <c r="R13" i="32"/>
  <c r="R47" i="32"/>
  <c r="R38" i="32"/>
  <c r="R52" i="32"/>
  <c r="CE53" i="36"/>
  <c r="R14" i="32"/>
  <c r="R8" i="32"/>
  <c r="R20" i="32"/>
  <c r="R15" i="32"/>
  <c r="R53" i="32"/>
  <c r="CE7" i="36"/>
  <c r="R10" i="32"/>
  <c r="CE43" i="36"/>
  <c r="R48" i="32"/>
  <c r="CE18" i="36"/>
  <c r="CE54" i="36"/>
  <c r="CE50" i="36"/>
  <c r="CE13" i="36"/>
  <c r="CE11" i="36"/>
  <c r="CE12" i="36"/>
  <c r="CE10" i="36"/>
  <c r="CE47" i="36"/>
  <c r="CE14" i="36"/>
  <c r="CE48" i="36"/>
  <c r="CE15" i="36"/>
  <c r="CE49" i="36"/>
  <c r="CE44" i="36"/>
  <c r="CE45" i="36"/>
  <c r="AT82" i="33"/>
  <c r="CE17" i="36"/>
  <c r="CE46" i="36"/>
  <c r="CE16" i="36"/>
  <c r="CE27" i="36"/>
  <c r="CE37" i="36"/>
  <c r="CE40" i="36"/>
  <c r="CE42" i="36"/>
  <c r="O10" i="31"/>
  <c r="CE41" i="36"/>
  <c r="CE39" i="36"/>
  <c r="CE35" i="36"/>
  <c r="CE34" i="36"/>
  <c r="CE21" i="36"/>
  <c r="CE23" i="36"/>
  <c r="CE19" i="36"/>
  <c r="CE9" i="36"/>
  <c r="CE8" i="36"/>
  <c r="CE28" i="36"/>
  <c r="CE38" i="36"/>
  <c r="CE22" i="36"/>
  <c r="CE25" i="36"/>
  <c r="CE26" i="36"/>
  <c r="CE31" i="36"/>
  <c r="CE33" i="36"/>
  <c r="CE36" i="36"/>
  <c r="CE29" i="36"/>
  <c r="CE32" i="36"/>
  <c r="CE30" i="36"/>
  <c r="CE20" i="36"/>
  <c r="CE24" i="36"/>
  <c r="AF21" i="33"/>
  <c r="AS21" i="33"/>
  <c r="CI10" i="33"/>
  <c r="CI13" i="33"/>
  <c r="CI21" i="33"/>
  <c r="CI52" i="33"/>
  <c r="CI29" i="33"/>
  <c r="CI16" i="33"/>
  <c r="CI24" i="33"/>
  <c r="CI23" i="33"/>
  <c r="CI14" i="33"/>
  <c r="CI18" i="33"/>
  <c r="CI37" i="33"/>
  <c r="CI57" i="33"/>
  <c r="CI15" i="33"/>
  <c r="CI32" i="33"/>
  <c r="CI31" i="33"/>
  <c r="CI28" i="33"/>
  <c r="CI43" i="33"/>
  <c r="CI11" i="33"/>
  <c r="CI44" i="33"/>
  <c r="CI22" i="33"/>
  <c r="CI9" i="33"/>
  <c r="CI12" i="33"/>
  <c r="CI30" i="33"/>
  <c r="CI20" i="33"/>
  <c r="CB13" i="33"/>
  <c r="CI51" i="33"/>
  <c r="CB21" i="33"/>
  <c r="CI27" i="33"/>
  <c r="AF11" i="33"/>
  <c r="CI25" i="33"/>
  <c r="BY32" i="54"/>
  <c r="BP21" i="33"/>
  <c r="AU13" i="33"/>
  <c r="BB13" i="33"/>
  <c r="BU13" i="33"/>
  <c r="BP13" i="33"/>
  <c r="BI13" i="33"/>
  <c r="AU21" i="33"/>
  <c r="BB21" i="33"/>
  <c r="AS13" i="33"/>
  <c r="BU21" i="33"/>
  <c r="BI21" i="33"/>
  <c r="AF13" i="33"/>
  <c r="Z10" i="31"/>
  <c r="BY13" i="54"/>
  <c r="BY29" i="54"/>
  <c r="BY10" i="54"/>
  <c r="BY11" i="54"/>
  <c r="BY16" i="54"/>
  <c r="BY12" i="54"/>
  <c r="BY20" i="54"/>
  <c r="BY30" i="54"/>
  <c r="BY34" i="54"/>
  <c r="BY27" i="54"/>
  <c r="BY25" i="54"/>
  <c r="BY14" i="54"/>
  <c r="BY21" i="54"/>
  <c r="BY17" i="54"/>
  <c r="BY24" i="54"/>
  <c r="BY33" i="54"/>
  <c r="BY15" i="54"/>
  <c r="BY9" i="54"/>
  <c r="BY31" i="54"/>
  <c r="BY28" i="54"/>
  <c r="BY18" i="54"/>
  <c r="BY26" i="54"/>
  <c r="BY19" i="54"/>
  <c r="BY23" i="54"/>
  <c r="BY22" i="54"/>
  <c r="BY8" i="54"/>
  <c r="BY7" i="54"/>
  <c r="DB10" i="31"/>
  <c r="AG11" i="33"/>
  <c r="AB10" i="31"/>
  <c r="T7" i="15"/>
  <c r="T40" i="40"/>
  <c r="I40" i="40"/>
  <c r="BI11" i="33"/>
  <c r="AS11" i="33"/>
  <c r="W40" i="40"/>
  <c r="DD10" i="31"/>
  <c r="T10" i="31"/>
  <c r="DV10" i="31"/>
  <c r="U40" i="40"/>
  <c r="DN10" i="31"/>
  <c r="BB11" i="33"/>
  <c r="BP11" i="33"/>
  <c r="AU11" i="33"/>
  <c r="BU11" i="33"/>
  <c r="CB11" i="33"/>
  <c r="CV10" i="31"/>
  <c r="CU10" i="31" s="1"/>
  <c r="U31" i="15" l="1"/>
  <c r="U29" i="15"/>
  <c r="U16" i="15"/>
  <c r="U9" i="15"/>
  <c r="U12" i="15"/>
  <c r="U23" i="15"/>
  <c r="U14" i="15"/>
  <c r="U8" i="15"/>
  <c r="U17" i="15"/>
  <c r="U35" i="15"/>
  <c r="U11" i="15"/>
  <c r="U34" i="15"/>
  <c r="U21" i="15"/>
  <c r="U13" i="15"/>
  <c r="U19" i="15"/>
  <c r="U30" i="15"/>
  <c r="U24" i="15"/>
  <c r="U32" i="15"/>
  <c r="U10" i="15"/>
  <c r="U25" i="15"/>
  <c r="U26" i="15"/>
  <c r="U20" i="15"/>
  <c r="U15" i="15"/>
  <c r="U27" i="15"/>
  <c r="U22" i="15"/>
  <c r="U33" i="15"/>
  <c r="U18" i="15"/>
  <c r="U28" i="15"/>
  <c r="CY2" i="33"/>
  <c r="CX81" i="33"/>
  <c r="CO81" i="33"/>
  <c r="CP2" i="33"/>
  <c r="AD10" i="31"/>
  <c r="CH81" i="33"/>
  <c r="CI2" i="33"/>
  <c r="M84" i="51"/>
  <c r="M73" i="51"/>
  <c r="CY40" i="40"/>
  <c r="CW40" i="40" s="1"/>
  <c r="DU40" i="40" s="1"/>
  <c r="Y10" i="31"/>
  <c r="F10" i="31"/>
  <c r="F10" i="36" s="1"/>
  <c r="AO76" i="31"/>
  <c r="AO75" i="31"/>
  <c r="E10" i="31"/>
  <c r="AO73" i="31"/>
  <c r="BU10" i="31"/>
  <c r="X40" i="40"/>
  <c r="BT10" i="31" s="1"/>
  <c r="AE10" i="31"/>
  <c r="AA10" i="31"/>
  <c r="AH10" i="31"/>
  <c r="AF10" i="31"/>
  <c r="BZ10" i="31"/>
  <c r="AG10" i="31"/>
  <c r="DT53" i="31"/>
  <c r="BX60" i="33"/>
  <c r="BP58" i="33"/>
  <c r="BP60" i="33"/>
  <c r="AX64" i="33"/>
  <c r="G11" i="33" l="1"/>
  <c r="DW40" i="40"/>
  <c r="AA11" i="33" s="1"/>
  <c r="AO71" i="31"/>
  <c r="AO77" i="31"/>
  <c r="F11" i="33"/>
  <c r="DU10" i="31"/>
  <c r="Y40" i="40"/>
  <c r="AC10" i="31"/>
  <c r="CS2" i="31"/>
  <c r="CS2" i="36" s="1"/>
  <c r="CT2" i="31"/>
  <c r="CT2" i="36" s="1"/>
  <c r="CL2" i="31"/>
  <c r="CL2" i="36" s="1"/>
  <c r="CM2" i="31"/>
  <c r="CM2" i="36" s="1"/>
  <c r="CN2" i="31"/>
  <c r="CN2" i="36" s="1"/>
  <c r="CO2" i="31"/>
  <c r="CO2" i="36" s="1"/>
  <c r="CP2" i="31"/>
  <c r="CP2" i="36" s="1"/>
  <c r="CK2" i="31"/>
  <c r="CK2" i="36" s="1"/>
  <c r="DV16" i="25"/>
  <c r="F73" i="45"/>
  <c r="E73" i="45" s="1"/>
  <c r="F85" i="45"/>
  <c r="E85" i="45" s="1"/>
  <c r="F89" i="45"/>
  <c r="E89" i="45" s="1"/>
  <c r="F103" i="45"/>
  <c r="E103" i="45" s="1"/>
  <c r="F107" i="45"/>
  <c r="E107" i="45" s="1"/>
  <c r="F111" i="45"/>
  <c r="E111" i="45" s="1"/>
  <c r="F114" i="45"/>
  <c r="E114" i="45" s="1"/>
  <c r="F116" i="45"/>
  <c r="E116" i="45" s="1"/>
  <c r="F121" i="45"/>
  <c r="E121" i="45" s="1"/>
  <c r="F124" i="45"/>
  <c r="E124" i="45" s="1"/>
  <c r="F136" i="45"/>
  <c r="E136" i="45" s="1"/>
  <c r="F145" i="45"/>
  <c r="E145" i="45" s="1"/>
  <c r="F146" i="45"/>
  <c r="E146" i="45" s="1"/>
  <c r="F151" i="45"/>
  <c r="E151" i="45" s="1"/>
  <c r="F157" i="45"/>
  <c r="E157" i="45" s="1"/>
  <c r="F158" i="45"/>
  <c r="E158" i="45" s="1"/>
  <c r="F165" i="45"/>
  <c r="E165" i="45" s="1"/>
  <c r="F176" i="45"/>
  <c r="E176" i="45" s="1"/>
  <c r="F181" i="45"/>
  <c r="E181" i="45" s="1"/>
  <c r="F189" i="45"/>
  <c r="E189" i="45" s="1"/>
  <c r="F203" i="45"/>
  <c r="E203" i="45" s="1"/>
  <c r="F213" i="45"/>
  <c r="E213" i="45" s="1"/>
  <c r="F222" i="45"/>
  <c r="E222" i="45" s="1"/>
  <c r="F242" i="45"/>
  <c r="E242" i="45" s="1"/>
  <c r="F250" i="45"/>
  <c r="E250" i="45" s="1"/>
  <c r="F266" i="45"/>
  <c r="E266" i="45" s="1"/>
  <c r="F270" i="45"/>
  <c r="E270" i="45" s="1"/>
  <c r="F283" i="45"/>
  <c r="E283" i="45" s="1"/>
  <c r="F292" i="45"/>
  <c r="E292" i="45" s="1"/>
  <c r="F300" i="45"/>
  <c r="E300" i="45" s="1"/>
  <c r="F313" i="45"/>
  <c r="E313" i="45" s="1"/>
  <c r="F328" i="45"/>
  <c r="E328" i="45" s="1"/>
  <c r="F334" i="45"/>
  <c r="E334" i="45" s="1"/>
  <c r="F343" i="45"/>
  <c r="E343" i="45" s="1"/>
  <c r="F348" i="45"/>
  <c r="E348" i="45" s="1"/>
  <c r="F362" i="45"/>
  <c r="E362" i="45" s="1"/>
  <c r="F375" i="45"/>
  <c r="E375" i="45" s="1"/>
  <c r="F382" i="45"/>
  <c r="E382" i="45" s="1"/>
  <c r="F393" i="45"/>
  <c r="E393" i="45" s="1"/>
  <c r="F396" i="45"/>
  <c r="E396" i="45" s="1"/>
  <c r="F402" i="45"/>
  <c r="E402" i="45" s="1"/>
  <c r="F405" i="45"/>
  <c r="E405" i="45" s="1"/>
  <c r="F408" i="45"/>
  <c r="E408" i="45" s="1"/>
  <c r="F411" i="45"/>
  <c r="E411" i="45" s="1"/>
  <c r="F62" i="45"/>
  <c r="E62" i="45" s="1"/>
  <c r="AD11" i="33" l="1"/>
  <c r="BL16" i="31"/>
  <c r="DW10" i="31"/>
  <c r="AF32" i="33"/>
  <c r="AJ32" i="33"/>
  <c r="AL32" i="33"/>
  <c r="EO31" i="31"/>
  <c r="DZ31" i="31"/>
  <c r="DQ31" i="31"/>
  <c r="DI31" i="31"/>
  <c r="DA31" i="31"/>
  <c r="DC31" i="31"/>
  <c r="CZ31" i="31"/>
  <c r="AL31" i="31"/>
  <c r="BP31" i="31"/>
  <c r="CQ31" i="31" s="1"/>
  <c r="K76" i="20"/>
  <c r="J76" i="20"/>
  <c r="I76" i="20"/>
  <c r="G76" i="20" s="1"/>
  <c r="H76" i="20" s="1"/>
  <c r="F76" i="20"/>
  <c r="AT31" i="31"/>
  <c r="G61" i="40"/>
  <c r="J61" i="40" s="1"/>
  <c r="DX61" i="40" s="1"/>
  <c r="L61" i="40"/>
  <c r="R61" i="40" s="1"/>
  <c r="S61" i="40"/>
  <c r="V61" i="40"/>
  <c r="V49" i="33"/>
  <c r="AI31" i="31"/>
  <c r="BI31" i="31" l="1"/>
  <c r="O31" i="31"/>
  <c r="S49" i="33"/>
  <c r="Z31" i="31"/>
  <c r="AH49" i="33"/>
  <c r="C48" i="31"/>
  <c r="CE32" i="33"/>
  <c r="DV31" i="31"/>
  <c r="DB31" i="31"/>
  <c r="AB31" i="31"/>
  <c r="T61" i="40"/>
  <c r="I61" i="40"/>
  <c r="DN31" i="31"/>
  <c r="T31" i="31"/>
  <c r="DD31" i="31"/>
  <c r="AG32" i="33"/>
  <c r="DT31" i="31"/>
  <c r="CV31" i="31"/>
  <c r="CU31" i="31" s="1"/>
  <c r="W61" i="40"/>
  <c r="U61" i="40"/>
  <c r="AZ2" i="31"/>
  <c r="AZ2" i="36" s="1"/>
  <c r="AT14" i="31"/>
  <c r="AQ2" i="1"/>
  <c r="AO2" i="54" s="1"/>
  <c r="AJ24" i="33"/>
  <c r="AL24" i="33"/>
  <c r="EO23" i="31"/>
  <c r="F75" i="20"/>
  <c r="I75" i="20"/>
  <c r="G75" i="20" s="1"/>
  <c r="H75" i="20" s="1"/>
  <c r="J75" i="20"/>
  <c r="K75" i="20"/>
  <c r="DI23" i="31"/>
  <c r="DA23" i="31"/>
  <c r="DC23" i="31"/>
  <c r="CZ23" i="31"/>
  <c r="BP23" i="31"/>
  <c r="CQ23" i="31" s="1"/>
  <c r="S53" i="40"/>
  <c r="V53" i="40"/>
  <c r="L53" i="40"/>
  <c r="G53" i="40"/>
  <c r="AT23" i="31"/>
  <c r="DT23" i="31"/>
  <c r="DQ23" i="31"/>
  <c r="DZ23" i="31"/>
  <c r="AL23" i="31"/>
  <c r="AF24" i="33"/>
  <c r="AI23" i="31"/>
  <c r="BM36" i="1"/>
  <c r="AX2" i="31"/>
  <c r="AX2" i="36" s="1"/>
  <c r="AW2" i="31"/>
  <c r="AW2" i="36" s="1"/>
  <c r="CY2" i="31"/>
  <c r="CY2" i="36" s="1"/>
  <c r="CW2" i="31"/>
  <c r="CW2" i="36" s="1"/>
  <c r="AW2" i="1"/>
  <c r="AU2" i="54" s="1"/>
  <c r="AV2" i="1"/>
  <c r="AT2" i="54" s="1"/>
  <c r="CO2" i="1"/>
  <c r="CJ2" i="54" s="1"/>
  <c r="U7" i="1"/>
  <c r="BI23" i="31" l="1"/>
  <c r="O23" i="31"/>
  <c r="AD31" i="31"/>
  <c r="C49" i="33"/>
  <c r="I53" i="40"/>
  <c r="J53" i="40"/>
  <c r="DX53" i="40" s="1"/>
  <c r="CY61" i="40"/>
  <c r="Y31" i="31"/>
  <c r="Z23" i="31"/>
  <c r="Z49" i="33"/>
  <c r="C78" i="40"/>
  <c r="K40" i="51"/>
  <c r="F31" i="31"/>
  <c r="E31" i="31"/>
  <c r="R53" i="40"/>
  <c r="BL32" i="33"/>
  <c r="BX32" i="33"/>
  <c r="BE24" i="33"/>
  <c r="AX32" i="33"/>
  <c r="BE32" i="33"/>
  <c r="AG24" i="33"/>
  <c r="DB23" i="31"/>
  <c r="AB23" i="31"/>
  <c r="BU31" i="31"/>
  <c r="X61" i="40"/>
  <c r="BT31" i="31" s="1"/>
  <c r="AA31" i="31"/>
  <c r="AE31" i="31"/>
  <c r="T53" i="40"/>
  <c r="AH31" i="31"/>
  <c r="AF31" i="31"/>
  <c r="BZ31" i="31"/>
  <c r="AG31" i="31"/>
  <c r="CB32" i="33"/>
  <c r="BU32" i="33"/>
  <c r="BI32" i="33"/>
  <c r="AU32" i="33"/>
  <c r="BP32" i="33"/>
  <c r="BB32" i="33"/>
  <c r="DV23" i="31"/>
  <c r="CB24" i="33"/>
  <c r="AS24" i="33"/>
  <c r="AX2" i="1"/>
  <c r="AV2" i="54" s="1"/>
  <c r="U53" i="40"/>
  <c r="W53" i="40"/>
  <c r="DN23" i="31"/>
  <c r="BI24" i="33"/>
  <c r="BB24" i="33"/>
  <c r="BP24" i="33"/>
  <c r="AU24" i="33"/>
  <c r="BU24" i="33"/>
  <c r="DD23" i="31"/>
  <c r="CV23" i="31"/>
  <c r="CU23" i="31" s="1"/>
  <c r="T23" i="31"/>
  <c r="F31" i="36" l="1"/>
  <c r="DW61" i="40"/>
  <c r="AA32" i="33" s="1"/>
  <c r="AD23" i="31"/>
  <c r="G32" i="33"/>
  <c r="AE49" i="33"/>
  <c r="CY53" i="40"/>
  <c r="DW53" i="40" s="1"/>
  <c r="AA24" i="33" s="1"/>
  <c r="Y23" i="31"/>
  <c r="AB49" i="33"/>
  <c r="AC49" i="33" s="1"/>
  <c r="F23" i="31"/>
  <c r="F23" i="36" s="1"/>
  <c r="E23" i="31"/>
  <c r="F32" i="33"/>
  <c r="BL24" i="33"/>
  <c r="CE24" i="33"/>
  <c r="BX24" i="33"/>
  <c r="AX24" i="33"/>
  <c r="DU31" i="31"/>
  <c r="BU23" i="31"/>
  <c r="M42" i="51"/>
  <c r="Y61" i="40"/>
  <c r="BL31" i="31" s="1"/>
  <c r="X53" i="40"/>
  <c r="BT23" i="31" s="1"/>
  <c r="AE23" i="31"/>
  <c r="AA23" i="31"/>
  <c r="AS31" i="31"/>
  <c r="AC31" i="31"/>
  <c r="BZ23" i="31"/>
  <c r="AH23" i="31"/>
  <c r="AF23" i="31"/>
  <c r="AG23" i="31"/>
  <c r="G24" i="33" l="1"/>
  <c r="AD49" i="33"/>
  <c r="AU31" i="31"/>
  <c r="CA31" i="31"/>
  <c r="DR31" i="31" s="1"/>
  <c r="DS31" i="31" s="1"/>
  <c r="F24" i="33"/>
  <c r="BM31" i="31"/>
  <c r="DW31" i="31"/>
  <c r="DU23" i="31"/>
  <c r="DJ31" i="31"/>
  <c r="CR31" i="31"/>
  <c r="Y53" i="40"/>
  <c r="AC23" i="31"/>
  <c r="BW31" i="31" l="1"/>
  <c r="BY31" i="31" s="1"/>
  <c r="CB31" i="31"/>
  <c r="DW23" i="31"/>
  <c r="AJ43" i="33"/>
  <c r="AL43" i="33"/>
  <c r="EO42" i="31"/>
  <c r="DI42" i="31"/>
  <c r="DA42" i="31"/>
  <c r="DC42" i="31"/>
  <c r="CZ42" i="31"/>
  <c r="BP42" i="31"/>
  <c r="CQ42" i="31" s="1"/>
  <c r="AT42" i="31"/>
  <c r="DQ42" i="31"/>
  <c r="DZ42" i="31"/>
  <c r="AL42" i="31"/>
  <c r="F74" i="20"/>
  <c r="I74" i="20"/>
  <c r="G74" i="20" s="1"/>
  <c r="H74" i="20" s="1"/>
  <c r="J74" i="20"/>
  <c r="K74" i="20"/>
  <c r="S72" i="40"/>
  <c r="V72" i="40"/>
  <c r="L72" i="40"/>
  <c r="G72" i="40"/>
  <c r="J72" i="40" s="1"/>
  <c r="DX72" i="40" s="1"/>
  <c r="AI42" i="31"/>
  <c r="EO45" i="31"/>
  <c r="EO43" i="31"/>
  <c r="DZ43" i="31"/>
  <c r="F73" i="20"/>
  <c r="I73" i="20"/>
  <c r="G73" i="20" s="1"/>
  <c r="H73" i="20" s="1"/>
  <c r="J73" i="20"/>
  <c r="K73" i="20"/>
  <c r="AJ44" i="33"/>
  <c r="AL44" i="33"/>
  <c r="AC3" i="32"/>
  <c r="AC4" i="32"/>
  <c r="AA3" i="32"/>
  <c r="AA4" i="32"/>
  <c r="Y3" i="32"/>
  <c r="Y4" i="32"/>
  <c r="L3" i="32"/>
  <c r="V3" i="32"/>
  <c r="T3" i="32"/>
  <c r="R3" i="32"/>
  <c r="P3" i="32"/>
  <c r="P4" i="32"/>
  <c r="N3" i="32"/>
  <c r="H3" i="32"/>
  <c r="L4" i="32"/>
  <c r="V4" i="32"/>
  <c r="T4" i="32"/>
  <c r="R4" i="32"/>
  <c r="N4" i="32"/>
  <c r="H4" i="32"/>
  <c r="F4" i="32"/>
  <c r="E4" i="32"/>
  <c r="D4" i="32"/>
  <c r="C4" i="32"/>
  <c r="B4" i="32"/>
  <c r="A4" i="32"/>
  <c r="DI43" i="31"/>
  <c r="DA43" i="31"/>
  <c r="DC43" i="31"/>
  <c r="CZ43" i="31"/>
  <c r="BP43" i="31"/>
  <c r="CQ43" i="31" s="1"/>
  <c r="S73" i="40"/>
  <c r="V73" i="40"/>
  <c r="AT43" i="31"/>
  <c r="DQ43" i="31"/>
  <c r="AL43" i="31"/>
  <c r="DT43" i="31"/>
  <c r="AI43" i="31"/>
  <c r="L73" i="40"/>
  <c r="G73" i="40"/>
  <c r="F70" i="20"/>
  <c r="I70" i="20"/>
  <c r="G70" i="20" s="1"/>
  <c r="H70" i="20" s="1"/>
  <c r="J70" i="20"/>
  <c r="K70" i="20"/>
  <c r="AL29" i="33"/>
  <c r="AJ29" i="33"/>
  <c r="EO28" i="31"/>
  <c r="DI28" i="31"/>
  <c r="DA28" i="31"/>
  <c r="DC28" i="31"/>
  <c r="CZ28" i="31"/>
  <c r="BP28" i="31"/>
  <c r="CQ28" i="31" s="1"/>
  <c r="AT28" i="31"/>
  <c r="DQ28" i="31"/>
  <c r="DZ28" i="31"/>
  <c r="AL28" i="31"/>
  <c r="AI28" i="31"/>
  <c r="G58" i="40"/>
  <c r="J58" i="40" s="1"/>
  <c r="DX58" i="40" s="1"/>
  <c r="L58" i="40"/>
  <c r="R58" i="40" s="1"/>
  <c r="S58" i="40"/>
  <c r="V58" i="40"/>
  <c r="G43" i="40"/>
  <c r="AJ14" i="33"/>
  <c r="AL14" i="33"/>
  <c r="EO13" i="31"/>
  <c r="DI13" i="31"/>
  <c r="DA13" i="31"/>
  <c r="DC13" i="31"/>
  <c r="CZ13" i="31"/>
  <c r="BI42" i="31" l="1"/>
  <c r="BI43" i="31"/>
  <c r="BI28" i="31"/>
  <c r="O42" i="31"/>
  <c r="O43" i="31"/>
  <c r="O28" i="31"/>
  <c r="BX31" i="31"/>
  <c r="D31" i="31"/>
  <c r="DY61" i="40" s="1"/>
  <c r="CF31" i="31"/>
  <c r="CH31" i="31"/>
  <c r="BL43" i="33"/>
  <c r="EP45" i="31"/>
  <c r="I73" i="40"/>
  <c r="J73" i="40"/>
  <c r="DX73" i="40" s="1"/>
  <c r="I43" i="40"/>
  <c r="J43" i="40"/>
  <c r="DX43" i="40" s="1"/>
  <c r="AM74" i="31"/>
  <c r="Z28" i="31"/>
  <c r="Z42" i="31"/>
  <c r="Z43" i="31"/>
  <c r="CE29" i="33"/>
  <c r="CE44" i="33"/>
  <c r="S44" i="33"/>
  <c r="V44" i="33"/>
  <c r="AH43" i="33"/>
  <c r="AH44" i="33"/>
  <c r="V43" i="33"/>
  <c r="S43" i="33"/>
  <c r="DV43" i="31"/>
  <c r="DB13" i="31"/>
  <c r="DB42" i="31"/>
  <c r="DV42" i="31"/>
  <c r="DB43" i="31"/>
  <c r="AG29" i="33"/>
  <c r="DB28" i="31"/>
  <c r="AA74" i="31"/>
  <c r="AF29" i="33"/>
  <c r="T58" i="40"/>
  <c r="I58" i="40"/>
  <c r="T72" i="40"/>
  <c r="I72" i="40"/>
  <c r="R73" i="40"/>
  <c r="R72" i="40"/>
  <c r="C42" i="31"/>
  <c r="AB43" i="31"/>
  <c r="C43" i="31"/>
  <c r="T42" i="31"/>
  <c r="U73" i="40"/>
  <c r="T43" i="31"/>
  <c r="CV42" i="31"/>
  <c r="CU42" i="31" s="1"/>
  <c r="DD42" i="31"/>
  <c r="BE43" i="33"/>
  <c r="AG43" i="33"/>
  <c r="AX43" i="33"/>
  <c r="BX43" i="33"/>
  <c r="CE43" i="33"/>
  <c r="W72" i="40"/>
  <c r="DN42" i="31"/>
  <c r="DT42" i="31"/>
  <c r="U72" i="40"/>
  <c r="AB42" i="31"/>
  <c r="DD43" i="31"/>
  <c r="DN43" i="31"/>
  <c r="AG44" i="33"/>
  <c r="T73" i="40"/>
  <c r="W73" i="40"/>
  <c r="CV43" i="31"/>
  <c r="CU43" i="31" s="1"/>
  <c r="DV28" i="31"/>
  <c r="DN28" i="31"/>
  <c r="CB29" i="33"/>
  <c r="BU29" i="33"/>
  <c r="BI29" i="33"/>
  <c r="AU29" i="33"/>
  <c r="BP29" i="33"/>
  <c r="BB29" i="33"/>
  <c r="DD28" i="31"/>
  <c r="CV28" i="31"/>
  <c r="CU28" i="31" s="1"/>
  <c r="DT28" i="31"/>
  <c r="T28" i="31"/>
  <c r="AB28" i="31"/>
  <c r="U58" i="40"/>
  <c r="W58" i="40"/>
  <c r="DD13" i="31"/>
  <c r="CV13" i="31"/>
  <c r="CU13" i="31" s="1"/>
  <c r="CG31" i="31" l="1"/>
  <c r="CI31" i="31"/>
  <c r="AD28" i="31"/>
  <c r="AD43" i="31"/>
  <c r="AD42" i="31"/>
  <c r="CY58" i="40"/>
  <c r="Y28" i="31"/>
  <c r="CY73" i="40"/>
  <c r="DW73" i="40" s="1"/>
  <c r="AA44" i="33" s="1"/>
  <c r="Y43" i="31"/>
  <c r="CY72" i="40"/>
  <c r="DW72" i="40" s="1"/>
  <c r="AA43" i="33" s="1"/>
  <c r="Y42" i="31"/>
  <c r="C72" i="40"/>
  <c r="C73" i="40"/>
  <c r="F42" i="31"/>
  <c r="F43" i="31"/>
  <c r="F28" i="31"/>
  <c r="E42" i="31"/>
  <c r="E28" i="31"/>
  <c r="E43" i="31"/>
  <c r="AX29" i="33"/>
  <c r="BX44" i="33"/>
  <c r="BL44" i="33"/>
  <c r="BE29" i="33"/>
  <c r="BL29" i="33"/>
  <c r="AX44" i="33"/>
  <c r="BX29" i="33"/>
  <c r="BE44" i="33"/>
  <c r="BU42" i="31"/>
  <c r="BU43" i="31"/>
  <c r="C44" i="33"/>
  <c r="BU28" i="31"/>
  <c r="X58" i="40"/>
  <c r="BT28" i="31" s="1"/>
  <c r="X73" i="40"/>
  <c r="BT43" i="31" s="1"/>
  <c r="X72" i="40"/>
  <c r="BT42" i="31" s="1"/>
  <c r="AA42" i="31"/>
  <c r="K38" i="51"/>
  <c r="AA28" i="31"/>
  <c r="AA43" i="31"/>
  <c r="AE28" i="31"/>
  <c r="AE43" i="31"/>
  <c r="AE42" i="31"/>
  <c r="AH43" i="31"/>
  <c r="BZ42" i="31"/>
  <c r="Z43" i="33"/>
  <c r="AH42" i="31"/>
  <c r="AG42" i="31"/>
  <c r="AF42" i="31"/>
  <c r="CB44" i="33"/>
  <c r="AF44" i="33"/>
  <c r="AF43" i="33"/>
  <c r="AS43" i="33"/>
  <c r="Z44" i="33"/>
  <c r="AG43" i="31"/>
  <c r="BZ43" i="31"/>
  <c r="AF43" i="31"/>
  <c r="BB43" i="33"/>
  <c r="BI43" i="33"/>
  <c r="CB43" i="33"/>
  <c r="BU43" i="33"/>
  <c r="AU43" i="33"/>
  <c r="BP43" i="33"/>
  <c r="C43" i="33"/>
  <c r="BU44" i="33"/>
  <c r="BI44" i="33"/>
  <c r="AU44" i="33"/>
  <c r="BP44" i="33"/>
  <c r="BB44" i="33"/>
  <c r="BZ28" i="31"/>
  <c r="AG28" i="31"/>
  <c r="AH28" i="31"/>
  <c r="AF28" i="31"/>
  <c r="DW58" i="40" l="1"/>
  <c r="AA29" i="33" s="1"/>
  <c r="G43" i="33"/>
  <c r="G29" i="33"/>
  <c r="G44" i="33"/>
  <c r="F43" i="33"/>
  <c r="F44" i="33"/>
  <c r="F29" i="33"/>
  <c r="AE44" i="33"/>
  <c r="AE43" i="33"/>
  <c r="AB43" i="33"/>
  <c r="AC43" i="33" s="1"/>
  <c r="AB44" i="33"/>
  <c r="AC44" i="33" s="1"/>
  <c r="DU42" i="31"/>
  <c r="DU43" i="31"/>
  <c r="DU28" i="31"/>
  <c r="M38" i="51"/>
  <c r="Y58" i="40"/>
  <c r="AS43" i="31"/>
  <c r="Y73" i="40"/>
  <c r="BL43" i="31" s="1"/>
  <c r="AS42" i="31"/>
  <c r="Y72" i="40"/>
  <c r="BL42" i="31" s="1"/>
  <c r="AC43" i="31"/>
  <c r="AC42" i="31"/>
  <c r="AC28" i="31"/>
  <c r="AU42" i="31" l="1"/>
  <c r="CA42" i="31"/>
  <c r="DR42" i="31" s="1"/>
  <c r="DS42" i="31" s="1"/>
  <c r="AU43" i="31"/>
  <c r="CA43" i="31"/>
  <c r="DR43" i="31" s="1"/>
  <c r="DS43" i="31" s="1"/>
  <c r="BM42" i="31"/>
  <c r="DW42" i="31"/>
  <c r="AD43" i="33"/>
  <c r="AD44" i="33"/>
  <c r="BM43" i="31"/>
  <c r="DW43" i="31"/>
  <c r="DW28" i="31"/>
  <c r="DJ42" i="31"/>
  <c r="CR42" i="31"/>
  <c r="CR43" i="31"/>
  <c r="DJ43" i="31"/>
  <c r="BW42" i="31" l="1"/>
  <c r="D42" i="31" s="1"/>
  <c r="DY72" i="40" s="1"/>
  <c r="BW43" i="31"/>
  <c r="CB43" i="31"/>
  <c r="CB42" i="31"/>
  <c r="S43" i="40"/>
  <c r="V43" i="40"/>
  <c r="L43" i="40"/>
  <c r="T43" i="40"/>
  <c r="AT13" i="31"/>
  <c r="BP13" i="31"/>
  <c r="CQ13" i="31" s="1"/>
  <c r="DT13" i="31"/>
  <c r="DN13" i="31"/>
  <c r="DQ13" i="31"/>
  <c r="DZ13" i="31"/>
  <c r="AL13" i="31"/>
  <c r="F69" i="20"/>
  <c r="I69" i="20"/>
  <c r="G69" i="20" s="1"/>
  <c r="H69" i="20" s="1"/>
  <c r="J69" i="20"/>
  <c r="K69" i="20"/>
  <c r="AI13" i="31"/>
  <c r="W15" i="33"/>
  <c r="BI13" i="31" l="1"/>
  <c r="CO83" i="33"/>
  <c r="CJ43" i="26" s="1"/>
  <c r="CX83" i="33"/>
  <c r="CS43" i="26" s="1"/>
  <c r="O13" i="31"/>
  <c r="BX42" i="31"/>
  <c r="AN43" i="33"/>
  <c r="BY42" i="31"/>
  <c r="E43" i="33"/>
  <c r="D43" i="31"/>
  <c r="AN44" i="33"/>
  <c r="BY43" i="31"/>
  <c r="BX43" i="31"/>
  <c r="Z13" i="31"/>
  <c r="E13" i="31"/>
  <c r="AL75" i="31"/>
  <c r="CE14" i="33"/>
  <c r="AX14" i="33"/>
  <c r="BX14" i="33"/>
  <c r="BE14" i="33"/>
  <c r="BL14" i="33"/>
  <c r="V14" i="33"/>
  <c r="AH14" i="33"/>
  <c r="AL73" i="31"/>
  <c r="S14" i="33"/>
  <c r="R43" i="40"/>
  <c r="C13" i="31"/>
  <c r="AF14" i="33"/>
  <c r="AS14" i="33"/>
  <c r="W43" i="40"/>
  <c r="DV13" i="31"/>
  <c r="AG14" i="33"/>
  <c r="U43" i="40"/>
  <c r="AU14" i="33"/>
  <c r="BP14" i="33"/>
  <c r="BB14" i="33"/>
  <c r="CB14" i="33"/>
  <c r="BU14" i="33"/>
  <c r="BI14" i="33"/>
  <c r="AB13" i="31"/>
  <c r="T13" i="31"/>
  <c r="F68" i="20"/>
  <c r="Q48" i="33"/>
  <c r="EO47" i="31"/>
  <c r="DI47" i="31"/>
  <c r="DA47" i="31"/>
  <c r="DC47" i="31"/>
  <c r="CZ47" i="31"/>
  <c r="AL47" i="31"/>
  <c r="DT47" i="31"/>
  <c r="BP47" i="31"/>
  <c r="CQ47" i="31" s="1"/>
  <c r="DQ47" i="31"/>
  <c r="DZ47" i="31"/>
  <c r="AT47" i="31"/>
  <c r="S77" i="40"/>
  <c r="V77" i="40"/>
  <c r="L77" i="40"/>
  <c r="AI47" i="31"/>
  <c r="I68" i="20"/>
  <c r="G68" i="20" s="1"/>
  <c r="H68" i="20" s="1"/>
  <c r="J68" i="20"/>
  <c r="K68" i="20"/>
  <c r="D6" i="32"/>
  <c r="E6" i="32"/>
  <c r="BI47" i="31" l="1"/>
  <c r="O47" i="31"/>
  <c r="CH42" i="31"/>
  <c r="CF42" i="31"/>
  <c r="CH43" i="31"/>
  <c r="CF43" i="31"/>
  <c r="DY73" i="40"/>
  <c r="E44" i="33"/>
  <c r="AD13" i="31"/>
  <c r="I77" i="40"/>
  <c r="J77" i="40"/>
  <c r="DX77" i="40" s="1"/>
  <c r="CY43" i="40"/>
  <c r="Y13" i="31"/>
  <c r="Z47" i="31"/>
  <c r="S29" i="33"/>
  <c r="C43" i="40"/>
  <c r="F14" i="33"/>
  <c r="F13" i="31"/>
  <c r="F13" i="36" s="1"/>
  <c r="AL76" i="31"/>
  <c r="AL77" i="31" s="1"/>
  <c r="R77" i="40"/>
  <c r="AX48" i="33"/>
  <c r="DO18" i="31"/>
  <c r="V48" i="33"/>
  <c r="AH48" i="33"/>
  <c r="DO34" i="31"/>
  <c r="S48" i="33"/>
  <c r="BU13" i="31"/>
  <c r="DB47" i="31"/>
  <c r="AG48" i="33"/>
  <c r="X43" i="40"/>
  <c r="BT13" i="31" s="1"/>
  <c r="AE13" i="31"/>
  <c r="AA13" i="31"/>
  <c r="Z14" i="33"/>
  <c r="AB47" i="31"/>
  <c r="C47" i="31"/>
  <c r="T47" i="31"/>
  <c r="C14" i="33"/>
  <c r="BZ13" i="31"/>
  <c r="AH13" i="31"/>
  <c r="AF13" i="31"/>
  <c r="AG13" i="31"/>
  <c r="W77" i="40"/>
  <c r="DV47" i="31"/>
  <c r="DN47" i="31"/>
  <c r="DD47" i="31"/>
  <c r="U77" i="40"/>
  <c r="T77" i="40"/>
  <c r="CV47" i="31"/>
  <c r="CU47" i="31" s="1"/>
  <c r="F67" i="20"/>
  <c r="I67" i="20"/>
  <c r="G67" i="20" s="1"/>
  <c r="H67" i="20" s="1"/>
  <c r="J67" i="20"/>
  <c r="K67" i="20"/>
  <c r="AS47" i="33"/>
  <c r="AF47" i="33"/>
  <c r="AJ47" i="33"/>
  <c r="AL47" i="33"/>
  <c r="BP46" i="31"/>
  <c r="CQ46" i="31" s="1"/>
  <c r="CZ46" i="31"/>
  <c r="DA46" i="31"/>
  <c r="DC46" i="31"/>
  <c r="DI46" i="31"/>
  <c r="DQ46" i="31"/>
  <c r="AL46" i="31"/>
  <c r="T46" i="31" s="1"/>
  <c r="DZ46" i="31"/>
  <c r="EO46" i="31"/>
  <c r="AT46" i="31"/>
  <c r="S76" i="40"/>
  <c r="V76" i="40"/>
  <c r="L76" i="40"/>
  <c r="R76" i="40" s="1"/>
  <c r="G76" i="40"/>
  <c r="J76" i="40" s="1"/>
  <c r="DX76" i="40" s="1"/>
  <c r="AI46" i="31"/>
  <c r="AI9" i="31"/>
  <c r="AL9" i="31"/>
  <c r="AT9" i="31"/>
  <c r="CZ9" i="31"/>
  <c r="DA9" i="31"/>
  <c r="DC9" i="31"/>
  <c r="DI9" i="31"/>
  <c r="DQ9" i="31"/>
  <c r="DZ9" i="31"/>
  <c r="EO9" i="31"/>
  <c r="F65" i="20"/>
  <c r="I65" i="20"/>
  <c r="G65" i="20" s="1"/>
  <c r="H65" i="20" s="1"/>
  <c r="J65" i="20"/>
  <c r="K65" i="20"/>
  <c r="CH83" i="33"/>
  <c r="CC43" i="26" s="1"/>
  <c r="AJ28" i="33"/>
  <c r="AL28" i="33"/>
  <c r="EO27" i="31"/>
  <c r="DZ27" i="31"/>
  <c r="DQ27" i="31"/>
  <c r="DI27" i="31"/>
  <c r="DA27" i="31"/>
  <c r="DC27" i="31"/>
  <c r="CZ27" i="31"/>
  <c r="AL27" i="31"/>
  <c r="T27" i="31" s="1"/>
  <c r="BP27" i="31"/>
  <c r="CQ27" i="31" s="1"/>
  <c r="AT27" i="31"/>
  <c r="S57" i="40"/>
  <c r="V57" i="40"/>
  <c r="L57" i="40"/>
  <c r="G57" i="40"/>
  <c r="J57" i="40" s="1"/>
  <c r="DX57" i="40" s="1"/>
  <c r="AI27" i="31"/>
  <c r="DA11" i="31"/>
  <c r="DA17" i="31"/>
  <c r="DA36" i="31"/>
  <c r="DA49" i="31"/>
  <c r="DA45" i="31"/>
  <c r="DA7" i="31"/>
  <c r="DA15" i="31"/>
  <c r="DA51" i="31"/>
  <c r="DA14" i="31"/>
  <c r="DA29" i="31"/>
  <c r="DA50" i="31"/>
  <c r="DA40" i="31"/>
  <c r="DA8" i="31"/>
  <c r="DA19" i="31"/>
  <c r="DA22" i="31"/>
  <c r="DA33" i="31"/>
  <c r="DA24" i="31"/>
  <c r="DA55" i="31"/>
  <c r="DA41" i="31"/>
  <c r="DA30" i="31"/>
  <c r="DA53" i="31"/>
  <c r="DA16" i="31"/>
  <c r="CZ12" i="1"/>
  <c r="CZ17" i="1"/>
  <c r="CZ8" i="1"/>
  <c r="CZ15" i="1"/>
  <c r="CZ27" i="1"/>
  <c r="CZ29" i="1"/>
  <c r="CZ24" i="1"/>
  <c r="CZ11" i="1"/>
  <c r="CZ19" i="1"/>
  <c r="CZ13" i="1"/>
  <c r="CZ34" i="1"/>
  <c r="CZ28" i="1"/>
  <c r="CZ10" i="1"/>
  <c r="CZ22" i="1"/>
  <c r="CZ25" i="1"/>
  <c r="CZ21" i="1"/>
  <c r="CZ35" i="1"/>
  <c r="CZ20" i="1"/>
  <c r="CZ32" i="1"/>
  <c r="CZ23" i="1"/>
  <c r="CZ30" i="1"/>
  <c r="CZ18" i="1"/>
  <c r="CZ26" i="1"/>
  <c r="CZ14" i="1"/>
  <c r="CZ9" i="1"/>
  <c r="CZ33" i="1"/>
  <c r="CZ7" i="1"/>
  <c r="AJ30" i="33"/>
  <c r="EO29" i="31"/>
  <c r="R59" i="40"/>
  <c r="S59" i="40"/>
  <c r="V59" i="40"/>
  <c r="G59" i="40"/>
  <c r="AT29" i="31"/>
  <c r="CZ29" i="31"/>
  <c r="DC29" i="31"/>
  <c r="DI29" i="31"/>
  <c r="DQ29" i="31"/>
  <c r="DZ29" i="31"/>
  <c r="AL29" i="31"/>
  <c r="BP29" i="31"/>
  <c r="CQ29" i="31" s="1"/>
  <c r="AI29" i="31"/>
  <c r="F64" i="20"/>
  <c r="I64" i="20"/>
  <c r="G64" i="20" s="1"/>
  <c r="H64" i="20" s="1"/>
  <c r="J64" i="20"/>
  <c r="K64" i="20"/>
  <c r="AB5" i="15"/>
  <c r="AB3" i="15"/>
  <c r="AL3" i="15"/>
  <c r="AL4" i="15"/>
  <c r="AL5" i="15"/>
  <c r="BI46" i="31" l="1"/>
  <c r="BI27" i="31"/>
  <c r="BI29" i="31"/>
  <c r="DA7" i="36"/>
  <c r="DA10" i="36"/>
  <c r="O46" i="31"/>
  <c r="O27" i="31"/>
  <c r="O29" i="31"/>
  <c r="DA43" i="36"/>
  <c r="DA37" i="36"/>
  <c r="DA35" i="36"/>
  <c r="DA48" i="36"/>
  <c r="DA8" i="36"/>
  <c r="DA55" i="36"/>
  <c r="DA9" i="36"/>
  <c r="DA32" i="36"/>
  <c r="DA27" i="36"/>
  <c r="DA26" i="36"/>
  <c r="DA41" i="36"/>
  <c r="DA16" i="36"/>
  <c r="DA15" i="36"/>
  <c r="DA51" i="36"/>
  <c r="DA49" i="36"/>
  <c r="DA42" i="36"/>
  <c r="DA12" i="36"/>
  <c r="DA11" i="36"/>
  <c r="DA38" i="36"/>
  <c r="DA20" i="36"/>
  <c r="DA22" i="36"/>
  <c r="DA46" i="36"/>
  <c r="CG42" i="31"/>
  <c r="CI42" i="31"/>
  <c r="DA13" i="36"/>
  <c r="DA14" i="36"/>
  <c r="DA17" i="36"/>
  <c r="DA21" i="36"/>
  <c r="DA25" i="36"/>
  <c r="DA40" i="36"/>
  <c r="DA45" i="36"/>
  <c r="DA44" i="36"/>
  <c r="DA39" i="36"/>
  <c r="DA54" i="36"/>
  <c r="DA19" i="36"/>
  <c r="DA18" i="36"/>
  <c r="DA36" i="36"/>
  <c r="DA53" i="36"/>
  <c r="DA52" i="36"/>
  <c r="DA33" i="36"/>
  <c r="DA34" i="36"/>
  <c r="DA47" i="36"/>
  <c r="DA50" i="36"/>
  <c r="DA29" i="36"/>
  <c r="DA28" i="36"/>
  <c r="DA23" i="36"/>
  <c r="DA24" i="36"/>
  <c r="DA30" i="36"/>
  <c r="DA31" i="36"/>
  <c r="CG43" i="31"/>
  <c r="EP29" i="31"/>
  <c r="CI43" i="31"/>
  <c r="AD47" i="31"/>
  <c r="AL71" i="31"/>
  <c r="AK73" i="31"/>
  <c r="I59" i="40"/>
  <c r="J59" i="40"/>
  <c r="DX59" i="40" s="1"/>
  <c r="DW43" i="40"/>
  <c r="AA14" i="33" s="1"/>
  <c r="CW61" i="40"/>
  <c r="DU61" i="40" s="1"/>
  <c r="CW64" i="40"/>
  <c r="DU64" i="40" s="1"/>
  <c r="CW48" i="40"/>
  <c r="DU48" i="40" s="1"/>
  <c r="CW43" i="40"/>
  <c r="DU43" i="40" s="1"/>
  <c r="CY77" i="40"/>
  <c r="CW53" i="40" s="1"/>
  <c r="DU53" i="40" s="1"/>
  <c r="Y47" i="31"/>
  <c r="Z29" i="31"/>
  <c r="Z46" i="31"/>
  <c r="Z27" i="31"/>
  <c r="CU27" i="54"/>
  <c r="CU31" i="54"/>
  <c r="CU10" i="54"/>
  <c r="CU9" i="54"/>
  <c r="CU28" i="54"/>
  <c r="CU26" i="54"/>
  <c r="CU34" i="54"/>
  <c r="CU29" i="54"/>
  <c r="CU13" i="54"/>
  <c r="CU23" i="54"/>
  <c r="CU8" i="54"/>
  <c r="CU30" i="54"/>
  <c r="CU22" i="54"/>
  <c r="CU33" i="54"/>
  <c r="CU16" i="54"/>
  <c r="CU25" i="54"/>
  <c r="CU32" i="54"/>
  <c r="CU18" i="54"/>
  <c r="CU15" i="54"/>
  <c r="CU19" i="54"/>
  <c r="CU21" i="54"/>
  <c r="CU20" i="54"/>
  <c r="CU12" i="54"/>
  <c r="CU17" i="54"/>
  <c r="CU11" i="54"/>
  <c r="CU14" i="54"/>
  <c r="CU24" i="54"/>
  <c r="AS25" i="31"/>
  <c r="C77" i="40"/>
  <c r="CU7" i="54"/>
  <c r="F47" i="31"/>
  <c r="E47" i="31"/>
  <c r="G14" i="33"/>
  <c r="BL48" i="33"/>
  <c r="BX48" i="33"/>
  <c r="BE48" i="33"/>
  <c r="AX30" i="33"/>
  <c r="BE28" i="33"/>
  <c r="AX47" i="33"/>
  <c r="CE48" i="33"/>
  <c r="AE14" i="33"/>
  <c r="AH10" i="33"/>
  <c r="AH30" i="33"/>
  <c r="AH47" i="33"/>
  <c r="DU13" i="31"/>
  <c r="V30" i="33"/>
  <c r="AB14" i="33"/>
  <c r="AC14" i="33" s="1"/>
  <c r="V47" i="33"/>
  <c r="S47" i="33"/>
  <c r="S28" i="33"/>
  <c r="V28" i="33"/>
  <c r="S30" i="33"/>
  <c r="AH28" i="33"/>
  <c r="BU47" i="31"/>
  <c r="CZ2" i="1"/>
  <c r="CU2" i="54" s="1"/>
  <c r="X77" i="40"/>
  <c r="BT47" i="31" s="1"/>
  <c r="Y43" i="40"/>
  <c r="T57" i="40"/>
  <c r="I57" i="40"/>
  <c r="T76" i="40"/>
  <c r="I76" i="40"/>
  <c r="DA33" i="1"/>
  <c r="DA21" i="1"/>
  <c r="DA29" i="1"/>
  <c r="DA19" i="1"/>
  <c r="DA14" i="1"/>
  <c r="DA22" i="1"/>
  <c r="DA15" i="1"/>
  <c r="DA20" i="1"/>
  <c r="DA11" i="1"/>
  <c r="DA7" i="1"/>
  <c r="DA35" i="1"/>
  <c r="DA24" i="1"/>
  <c r="DA9" i="1"/>
  <c r="DA25" i="1"/>
  <c r="DA27" i="1"/>
  <c r="DA26" i="1"/>
  <c r="DA10" i="1"/>
  <c r="DA18" i="1"/>
  <c r="DA28" i="1"/>
  <c r="DA17" i="1"/>
  <c r="DA30" i="1"/>
  <c r="DA34" i="1"/>
  <c r="DA12" i="1"/>
  <c r="DA23" i="1"/>
  <c r="DA13" i="1"/>
  <c r="AA47" i="31"/>
  <c r="DA8" i="1"/>
  <c r="AE47" i="31"/>
  <c r="DA32" i="1"/>
  <c r="T9" i="31"/>
  <c r="Z48" i="33"/>
  <c r="R57" i="40"/>
  <c r="C29" i="31"/>
  <c r="C46" i="31"/>
  <c r="BZ47" i="31"/>
  <c r="AF47" i="31"/>
  <c r="AG47" i="31"/>
  <c r="AH47" i="31"/>
  <c r="AC13" i="31"/>
  <c r="BP48" i="33"/>
  <c r="AS48" i="33"/>
  <c r="AF48" i="33"/>
  <c r="BI48" i="33"/>
  <c r="CB48" i="33"/>
  <c r="BU48" i="33"/>
  <c r="AU48" i="33"/>
  <c r="BB48" i="33"/>
  <c r="C48" i="33"/>
  <c r="DB53" i="31"/>
  <c r="DT9" i="31"/>
  <c r="DB16" i="31"/>
  <c r="DB21" i="31"/>
  <c r="DB22" i="31"/>
  <c r="DB50" i="31"/>
  <c r="DB51" i="31"/>
  <c r="DB45" i="31"/>
  <c r="DB11" i="31"/>
  <c r="DB41" i="31"/>
  <c r="DB19" i="31"/>
  <c r="DB15" i="31"/>
  <c r="DB49" i="31"/>
  <c r="DB9" i="31"/>
  <c r="DT46" i="31"/>
  <c r="DV29" i="31"/>
  <c r="DB30" i="31"/>
  <c r="DB55" i="31"/>
  <c r="DB33" i="31"/>
  <c r="DB8" i="31"/>
  <c r="DB29" i="31"/>
  <c r="DB36" i="31"/>
  <c r="DT27" i="31"/>
  <c r="DB27" i="31"/>
  <c r="DB24" i="31"/>
  <c r="DB40" i="31"/>
  <c r="DB14" i="31"/>
  <c r="DB7" i="31"/>
  <c r="DB17" i="31"/>
  <c r="DV27" i="31"/>
  <c r="DV9" i="31"/>
  <c r="DV46" i="31"/>
  <c r="DB46" i="31"/>
  <c r="AB46" i="31"/>
  <c r="AB27" i="31"/>
  <c r="AB9" i="31"/>
  <c r="U59" i="40"/>
  <c r="DN9" i="31"/>
  <c r="T29" i="31"/>
  <c r="AG47" i="33"/>
  <c r="CV9" i="31"/>
  <c r="CU9" i="31" s="1"/>
  <c r="DD46" i="31"/>
  <c r="CV46" i="31"/>
  <c r="CU46" i="31" s="1"/>
  <c r="DN46" i="31"/>
  <c r="U76" i="40"/>
  <c r="W76" i="40"/>
  <c r="DD9" i="31"/>
  <c r="AG28" i="33"/>
  <c r="DN27" i="31"/>
  <c r="DD27" i="31"/>
  <c r="CV27" i="31"/>
  <c r="CU27" i="31" s="1"/>
  <c r="W57" i="40"/>
  <c r="U57" i="40"/>
  <c r="CV29" i="31"/>
  <c r="CU29" i="31" s="1"/>
  <c r="AG30" i="33"/>
  <c r="T59" i="40"/>
  <c r="AB29" i="31"/>
  <c r="W59" i="40"/>
  <c r="DD29" i="31"/>
  <c r="DN29" i="31"/>
  <c r="DT29" i="31"/>
  <c r="AJ3" i="15"/>
  <c r="AJ4" i="15"/>
  <c r="AJ5" i="15"/>
  <c r="AH3" i="15"/>
  <c r="AH4" i="15"/>
  <c r="AH5" i="15"/>
  <c r="Y33" i="32" l="1"/>
  <c r="Y34" i="32"/>
  <c r="Y32" i="32"/>
  <c r="Y35" i="32"/>
  <c r="Z35" i="15"/>
  <c r="Y46" i="32"/>
  <c r="Y26" i="32"/>
  <c r="Z27" i="15"/>
  <c r="Z34" i="15"/>
  <c r="Y49" i="32"/>
  <c r="Z12" i="15"/>
  <c r="Z11" i="15"/>
  <c r="Z10" i="15"/>
  <c r="Z8" i="15"/>
  <c r="Z14" i="15"/>
  <c r="Z29" i="15"/>
  <c r="Z17" i="15"/>
  <c r="Z18" i="15"/>
  <c r="Z9" i="15"/>
  <c r="Z28" i="15"/>
  <c r="Z33" i="15"/>
  <c r="Z22" i="15"/>
  <c r="Z16" i="15"/>
  <c r="Z20" i="15"/>
  <c r="Z30" i="15"/>
  <c r="Z25" i="15"/>
  <c r="Z26" i="15"/>
  <c r="Z24" i="15"/>
  <c r="Z23" i="15"/>
  <c r="Z13" i="15"/>
  <c r="Z32" i="15"/>
  <c r="Z31" i="15"/>
  <c r="Z19" i="15"/>
  <c r="Z21" i="15"/>
  <c r="Z15" i="15"/>
  <c r="Y15" i="32"/>
  <c r="Y38" i="32"/>
  <c r="Y41" i="32"/>
  <c r="Y16" i="32"/>
  <c r="Y29" i="32"/>
  <c r="Y28" i="32"/>
  <c r="Y27" i="32"/>
  <c r="Y23" i="32"/>
  <c r="Y45" i="32"/>
  <c r="Y19" i="32"/>
  <c r="Y7" i="32"/>
  <c r="Y53" i="32"/>
  <c r="Y8" i="32"/>
  <c r="Y10" i="32"/>
  <c r="Y44" i="32"/>
  <c r="Y40" i="32"/>
  <c r="Y39" i="32"/>
  <c r="Y55" i="32"/>
  <c r="Y54" i="32"/>
  <c r="Y48" i="32"/>
  <c r="Y47" i="32"/>
  <c r="Y12" i="32"/>
  <c r="Y11" i="32"/>
  <c r="Y14" i="32"/>
  <c r="Y13" i="32"/>
  <c r="Y9" i="32"/>
  <c r="Y51" i="32"/>
  <c r="Y50" i="32"/>
  <c r="Y52" i="32"/>
  <c r="Y21" i="32"/>
  <c r="Y20" i="32"/>
  <c r="Y31" i="32"/>
  <c r="Y30" i="32"/>
  <c r="Y25" i="32"/>
  <c r="Y24" i="32"/>
  <c r="Y18" i="32"/>
  <c r="Y17" i="32"/>
  <c r="Y43" i="32"/>
  <c r="Y42" i="32"/>
  <c r="Y22" i="32"/>
  <c r="Y37" i="32"/>
  <c r="Y36" i="32"/>
  <c r="DB48" i="36"/>
  <c r="DB7" i="36"/>
  <c r="DB10" i="36"/>
  <c r="DB25" i="36"/>
  <c r="DB37" i="36"/>
  <c r="DB43" i="36"/>
  <c r="DB35" i="36"/>
  <c r="DB9" i="36"/>
  <c r="DB8" i="36"/>
  <c r="DB55" i="36"/>
  <c r="DB27" i="36"/>
  <c r="DB26" i="36"/>
  <c r="DB41" i="36"/>
  <c r="DB51" i="36"/>
  <c r="DB49" i="36"/>
  <c r="DB16" i="36"/>
  <c r="DB15" i="36"/>
  <c r="DB42" i="36"/>
  <c r="DB32" i="36"/>
  <c r="DB38" i="36"/>
  <c r="DB12" i="36"/>
  <c r="DB11" i="36"/>
  <c r="DB17" i="36"/>
  <c r="DB20" i="36"/>
  <c r="DB22" i="36"/>
  <c r="DB13" i="36"/>
  <c r="DB14" i="36"/>
  <c r="DB46" i="36"/>
  <c r="DB54" i="36"/>
  <c r="DB39" i="36"/>
  <c r="DB45" i="36"/>
  <c r="DB44" i="36"/>
  <c r="DB36" i="36"/>
  <c r="DB21" i="36"/>
  <c r="DB19" i="36"/>
  <c r="DB18" i="36"/>
  <c r="DB40" i="36"/>
  <c r="DB31" i="36"/>
  <c r="DB52" i="36"/>
  <c r="DB30" i="36"/>
  <c r="DB53" i="36"/>
  <c r="DB29" i="36"/>
  <c r="DB28" i="36"/>
  <c r="DB47" i="36"/>
  <c r="DB50" i="36"/>
  <c r="DB23" i="36"/>
  <c r="DB24" i="36"/>
  <c r="DB33" i="36"/>
  <c r="DB34" i="36"/>
  <c r="AD46" i="31"/>
  <c r="AD29" i="31"/>
  <c r="AD9" i="31"/>
  <c r="AK71" i="31"/>
  <c r="DW77" i="40"/>
  <c r="AA48" i="33" s="1"/>
  <c r="CW84" i="40"/>
  <c r="DU84" i="40" s="1"/>
  <c r="BW25" i="31"/>
  <c r="G48" i="33"/>
  <c r="CA25" i="31"/>
  <c r="DR25" i="31" s="1"/>
  <c r="DS25" i="31" s="1"/>
  <c r="CY59" i="40"/>
  <c r="DW59" i="40" s="1"/>
  <c r="AA30" i="33" s="1"/>
  <c r="Y29" i="31"/>
  <c r="CY76" i="40"/>
  <c r="DW76" i="40" s="1"/>
  <c r="AA47" i="33" s="1"/>
  <c r="Y46" i="31"/>
  <c r="CY39" i="40"/>
  <c r="Y9" i="31"/>
  <c r="CV10" i="54"/>
  <c r="CV32" i="54"/>
  <c r="CV26" i="54"/>
  <c r="CV8" i="54"/>
  <c r="CV22" i="54"/>
  <c r="CV28" i="54"/>
  <c r="CV34" i="54"/>
  <c r="CV13" i="54"/>
  <c r="CV27" i="54"/>
  <c r="CV11" i="54"/>
  <c r="CV21" i="54"/>
  <c r="CV16" i="54"/>
  <c r="CV12" i="54"/>
  <c r="CV31" i="54"/>
  <c r="CV23" i="54"/>
  <c r="CV18" i="54"/>
  <c r="CV33" i="54"/>
  <c r="CV19" i="54"/>
  <c r="CV9" i="54"/>
  <c r="CV17" i="54"/>
  <c r="CV25" i="54"/>
  <c r="CV24" i="54"/>
  <c r="CV29" i="54"/>
  <c r="CV20" i="54"/>
  <c r="CV14" i="54"/>
  <c r="CV30" i="54"/>
  <c r="CV15" i="54"/>
  <c r="BL25" i="31"/>
  <c r="AU25" i="31"/>
  <c r="CR25" i="31"/>
  <c r="DJ25" i="31"/>
  <c r="C76" i="40"/>
  <c r="C39" i="40"/>
  <c r="C59" i="40"/>
  <c r="CV7" i="54"/>
  <c r="F29" i="31"/>
  <c r="F46" i="31"/>
  <c r="F9" i="31"/>
  <c r="F9" i="36" s="1"/>
  <c r="E46" i="31"/>
  <c r="E9" i="31"/>
  <c r="E27" i="31"/>
  <c r="E29" i="31"/>
  <c r="F27" i="31"/>
  <c r="F48" i="33"/>
  <c r="BX28" i="33"/>
  <c r="BL28" i="33"/>
  <c r="BE30" i="33"/>
  <c r="CE30" i="33"/>
  <c r="BX30" i="33"/>
  <c r="BL30" i="33"/>
  <c r="BE47" i="33"/>
  <c r="AX28" i="33"/>
  <c r="CE28" i="33"/>
  <c r="CE47" i="33"/>
  <c r="BL47" i="33"/>
  <c r="BX47" i="33"/>
  <c r="DW13" i="31"/>
  <c r="AE48" i="33"/>
  <c r="AD14" i="33"/>
  <c r="AB48" i="33"/>
  <c r="AC48" i="33" s="1"/>
  <c r="DU47" i="31"/>
  <c r="Y6" i="32"/>
  <c r="BU46" i="31"/>
  <c r="BU29" i="31"/>
  <c r="Y77" i="40"/>
  <c r="BL47" i="31" s="1"/>
  <c r="Z7" i="15"/>
  <c r="X76" i="40"/>
  <c r="BT46" i="31" s="1"/>
  <c r="X57" i="40"/>
  <c r="BT27" i="31" s="1"/>
  <c r="X59" i="40"/>
  <c r="BT29" i="31" s="1"/>
  <c r="K67" i="51"/>
  <c r="AA29" i="31"/>
  <c r="AE46" i="31"/>
  <c r="AA46" i="31"/>
  <c r="AE9" i="31"/>
  <c r="AA9" i="31"/>
  <c r="AC47" i="31"/>
  <c r="AE29" i="31"/>
  <c r="AS47" i="31"/>
  <c r="BU27" i="31"/>
  <c r="BU9" i="31"/>
  <c r="Z47" i="33"/>
  <c r="AF46" i="31"/>
  <c r="BZ46" i="31"/>
  <c r="AH29" i="31"/>
  <c r="AG46" i="31"/>
  <c r="AH46" i="31"/>
  <c r="Z30" i="33"/>
  <c r="AF29" i="31"/>
  <c r="BZ29" i="31"/>
  <c r="AG29" i="31"/>
  <c r="C47" i="33"/>
  <c r="CB47" i="33"/>
  <c r="BU47" i="33"/>
  <c r="BI47" i="33"/>
  <c r="AU47" i="33"/>
  <c r="BP47" i="33"/>
  <c r="BB47" i="33"/>
  <c r="AU30" i="33"/>
  <c r="BB30" i="33"/>
  <c r="CB30" i="33"/>
  <c r="BU30" i="33"/>
  <c r="BI30" i="33"/>
  <c r="AF30" i="33"/>
  <c r="BP30" i="33"/>
  <c r="C30" i="33"/>
  <c r="AA18" i="15" l="1"/>
  <c r="AA15" i="15"/>
  <c r="AA21" i="15"/>
  <c r="AA34" i="15"/>
  <c r="AA11" i="15"/>
  <c r="AA17" i="15"/>
  <c r="AA25" i="15"/>
  <c r="AA16" i="15"/>
  <c r="AA24" i="15"/>
  <c r="AA20" i="15"/>
  <c r="AA28" i="15"/>
  <c r="AA13" i="15"/>
  <c r="AA10" i="15"/>
  <c r="AA33" i="15"/>
  <c r="AA12" i="15"/>
  <c r="AA27" i="15"/>
  <c r="AA9" i="15"/>
  <c r="AA23" i="15"/>
  <c r="AA14" i="15"/>
  <c r="AA19" i="15"/>
  <c r="AA35" i="15"/>
  <c r="AA30" i="15"/>
  <c r="AA31" i="15"/>
  <c r="AA29" i="15"/>
  <c r="AA22" i="15"/>
  <c r="AA32" i="15"/>
  <c r="AA8" i="15"/>
  <c r="AA26" i="15"/>
  <c r="Z8" i="32"/>
  <c r="Z19" i="32"/>
  <c r="Z23" i="32"/>
  <c r="Z21" i="32"/>
  <c r="Z45" i="32"/>
  <c r="Z55" i="32"/>
  <c r="Z48" i="32"/>
  <c r="Z14" i="32"/>
  <c r="Z25" i="32"/>
  <c r="Z15" i="32"/>
  <c r="Z52" i="32"/>
  <c r="Z22" i="32"/>
  <c r="Z40" i="32"/>
  <c r="Z51" i="32"/>
  <c r="Z10" i="32"/>
  <c r="Z31" i="32"/>
  <c r="Z9" i="32"/>
  <c r="Z12" i="32"/>
  <c r="Z53" i="32"/>
  <c r="Z37" i="32"/>
  <c r="Z43" i="32"/>
  <c r="Z7" i="32"/>
  <c r="Z28" i="32"/>
  <c r="Z46" i="32"/>
  <c r="Z32" i="32"/>
  <c r="Z36" i="32"/>
  <c r="Z38" i="32"/>
  <c r="Z54" i="32"/>
  <c r="Z42" i="32"/>
  <c r="Z33" i="32"/>
  <c r="Z47" i="32"/>
  <c r="Z26" i="32"/>
  <c r="Z30" i="32"/>
  <c r="Z50" i="32"/>
  <c r="Z41" i="32"/>
  <c r="Z39" i="32"/>
  <c r="Z13" i="32"/>
  <c r="Z29" i="32"/>
  <c r="Z11" i="32"/>
  <c r="Z17" i="32"/>
  <c r="Z24" i="32"/>
  <c r="Z20" i="32"/>
  <c r="Z34" i="32"/>
  <c r="Z35" i="32"/>
  <c r="Z16" i="32"/>
  <c r="Z6" i="32"/>
  <c r="Z27" i="32"/>
  <c r="Z49" i="32"/>
  <c r="Z44" i="32"/>
  <c r="Z18" i="32"/>
  <c r="AD74" i="31"/>
  <c r="DW39" i="40"/>
  <c r="AA10" i="33" s="1"/>
  <c r="BY25" i="31"/>
  <c r="D25" i="31"/>
  <c r="BX25" i="31"/>
  <c r="AN26" i="33"/>
  <c r="G30" i="33"/>
  <c r="G10" i="33"/>
  <c r="G28" i="33"/>
  <c r="G47" i="33"/>
  <c r="AD64" i="31"/>
  <c r="AV32" i="31" s="1"/>
  <c r="BM25" i="31"/>
  <c r="CB25" i="31"/>
  <c r="AU47" i="31"/>
  <c r="CA47" i="31"/>
  <c r="DR47" i="31" s="1"/>
  <c r="DS47" i="31" s="1"/>
  <c r="F30" i="33"/>
  <c r="F28" i="33"/>
  <c r="F10" i="33"/>
  <c r="F47" i="33"/>
  <c r="AE30" i="33"/>
  <c r="DW47" i="31"/>
  <c r="AD48" i="33"/>
  <c r="AE47" i="33"/>
  <c r="BM47" i="31"/>
  <c r="AB30" i="33"/>
  <c r="AC30" i="33" s="1"/>
  <c r="AB10" i="33"/>
  <c r="AB47" i="33"/>
  <c r="AC47" i="33" s="1"/>
  <c r="DU46" i="31"/>
  <c r="DU29" i="31"/>
  <c r="CR47" i="31"/>
  <c r="Y59" i="40"/>
  <c r="BL29" i="31" s="1"/>
  <c r="Y76" i="40"/>
  <c r="BL46" i="31" s="1"/>
  <c r="AS27" i="31"/>
  <c r="Y57" i="40"/>
  <c r="BL27" i="31" s="1"/>
  <c r="DJ47" i="31"/>
  <c r="AS46" i="31"/>
  <c r="AS29" i="31"/>
  <c r="AC46" i="31"/>
  <c r="DU27" i="31"/>
  <c r="DU9" i="31"/>
  <c r="AC29" i="31"/>
  <c r="C572" i="45"/>
  <c r="A1" i="25" a="1"/>
  <c r="AK74" i="31" l="1"/>
  <c r="BW47" i="31"/>
  <c r="E26" i="33"/>
  <c r="CH25" i="31"/>
  <c r="AK64" i="31"/>
  <c r="AV54" i="31" s="1"/>
  <c r="CF25" i="31"/>
  <c r="DY55" i="40"/>
  <c r="B32" i="31"/>
  <c r="BW29" i="31"/>
  <c r="CA27" i="31"/>
  <c r="DR27" i="31" s="1"/>
  <c r="DS27" i="31" s="1"/>
  <c r="CB47" i="31"/>
  <c r="AU46" i="31"/>
  <c r="CA46" i="31"/>
  <c r="DR46" i="31" s="1"/>
  <c r="DS46" i="31" s="1"/>
  <c r="AU29" i="31"/>
  <c r="CA29" i="31"/>
  <c r="DR29" i="31" s="1"/>
  <c r="DS29" i="31" s="1"/>
  <c r="AD30" i="33"/>
  <c r="AD47" i="33"/>
  <c r="BM46" i="31"/>
  <c r="BM29" i="31"/>
  <c r="DW46" i="31"/>
  <c r="DW29" i="31"/>
  <c r="DJ29" i="31"/>
  <c r="CR29" i="31"/>
  <c r="DJ27" i="31"/>
  <c r="CR27" i="31"/>
  <c r="CR46" i="31"/>
  <c r="DJ46" i="31"/>
  <c r="DW27" i="31"/>
  <c r="DW9" i="31"/>
  <c r="G66" i="40"/>
  <c r="C581" i="45"/>
  <c r="T8" i="26"/>
  <c r="CT8" i="26" s="1"/>
  <c r="D47" i="31" l="1"/>
  <c r="BY47" i="31"/>
  <c r="BX47" i="31"/>
  <c r="AN48" i="33"/>
  <c r="BW27" i="31"/>
  <c r="BW46" i="31"/>
  <c r="CI25" i="31"/>
  <c r="CG25" i="31"/>
  <c r="D29" i="31"/>
  <c r="BX29" i="31"/>
  <c r="CB29" i="31"/>
  <c r="CB46" i="31"/>
  <c r="AC8" i="26"/>
  <c r="CD8" i="26"/>
  <c r="I66" i="40"/>
  <c r="J66" i="40"/>
  <c r="DX66" i="40" s="1"/>
  <c r="B572" i="45"/>
  <c r="AU53" i="26"/>
  <c r="C582" i="45"/>
  <c r="AN30" i="33"/>
  <c r="BY29" i="31"/>
  <c r="DY88" i="40" l="1"/>
  <c r="DY87" i="40"/>
  <c r="DY90" i="40"/>
  <c r="BY46" i="31"/>
  <c r="AN47" i="33"/>
  <c r="BX46" i="31"/>
  <c r="E48" i="33"/>
  <c r="DY77" i="40"/>
  <c r="CH47" i="31"/>
  <c r="CF47" i="31"/>
  <c r="D46" i="31"/>
  <c r="BX27" i="31"/>
  <c r="D27" i="31"/>
  <c r="AN28" i="33"/>
  <c r="CJ25" i="31"/>
  <c r="CJ22" i="36" s="1"/>
  <c r="DY59" i="40"/>
  <c r="E30" i="33"/>
  <c r="CH29" i="31"/>
  <c r="CF29" i="31"/>
  <c r="AJ16" i="33"/>
  <c r="F62" i="20"/>
  <c r="I62" i="20"/>
  <c r="G62" i="20" s="1"/>
  <c r="H62" i="20" s="1"/>
  <c r="J62" i="20"/>
  <c r="K62" i="20"/>
  <c r="DQ15" i="31"/>
  <c r="DI15" i="31"/>
  <c r="DC15" i="31"/>
  <c r="CZ15" i="31"/>
  <c r="BP15" i="31"/>
  <c r="CQ15" i="31" s="1"/>
  <c r="AT15" i="31"/>
  <c r="S45" i="40"/>
  <c r="V45" i="40"/>
  <c r="L45" i="40"/>
  <c r="G45" i="40"/>
  <c r="G83" i="40"/>
  <c r="DZ15" i="31"/>
  <c r="AL15" i="31"/>
  <c r="AI15" i="31"/>
  <c r="CJ20" i="36" l="1"/>
  <c r="CJ21" i="36"/>
  <c r="CJ23" i="36"/>
  <c r="BI15" i="31"/>
  <c r="CJ42" i="36"/>
  <c r="O15" i="31"/>
  <c r="CJ36" i="36"/>
  <c r="CJ38" i="36"/>
  <c r="CJ37" i="36"/>
  <c r="CJ34" i="36"/>
  <c r="E47" i="33"/>
  <c r="DY76" i="40"/>
  <c r="CF46" i="31"/>
  <c r="CH46" i="31"/>
  <c r="CG47" i="31"/>
  <c r="CI47" i="31"/>
  <c r="DY57" i="40"/>
  <c r="I83" i="40"/>
  <c r="J83" i="40"/>
  <c r="DX83" i="40" s="1"/>
  <c r="I45" i="40"/>
  <c r="J45" i="40"/>
  <c r="DX45" i="40" s="1"/>
  <c r="Z15" i="31"/>
  <c r="R45" i="40"/>
  <c r="BL16" i="33"/>
  <c r="CI29" i="31"/>
  <c r="CG29" i="31"/>
  <c r="S16" i="33"/>
  <c r="V16" i="33"/>
  <c r="AH16" i="33"/>
  <c r="C15" i="31"/>
  <c r="AG16" i="33"/>
  <c r="DT15" i="31"/>
  <c r="DN15" i="31"/>
  <c r="W45" i="40"/>
  <c r="T45" i="40"/>
  <c r="DD15" i="31"/>
  <c r="T15" i="31"/>
  <c r="DV15" i="31"/>
  <c r="U45" i="40"/>
  <c r="BI16" i="33"/>
  <c r="CV15" i="31"/>
  <c r="CU15" i="31" s="1"/>
  <c r="AB15" i="31"/>
  <c r="CG46" i="31" l="1"/>
  <c r="CI46" i="31"/>
  <c r="AD15" i="31"/>
  <c r="CY45" i="40"/>
  <c r="CW96" i="40" s="1"/>
  <c r="DU96" i="40" s="1"/>
  <c r="Y15" i="31"/>
  <c r="C45" i="40"/>
  <c r="F15" i="31"/>
  <c r="E15" i="31"/>
  <c r="BE16" i="33"/>
  <c r="CE16" i="33"/>
  <c r="BX16" i="33"/>
  <c r="AX16" i="33"/>
  <c r="K72" i="51"/>
  <c r="BU15" i="31"/>
  <c r="X45" i="40"/>
  <c r="BT15" i="31" s="1"/>
  <c r="AA15" i="31"/>
  <c r="K85" i="51"/>
  <c r="AE15" i="31"/>
  <c r="Z16" i="33"/>
  <c r="AF15" i="31"/>
  <c r="AH15" i="31"/>
  <c r="BZ15" i="31"/>
  <c r="AG15" i="31"/>
  <c r="BB16" i="33"/>
  <c r="BU16" i="33"/>
  <c r="BP16" i="33"/>
  <c r="AU16" i="33"/>
  <c r="CB16" i="33"/>
  <c r="AF16" i="33"/>
  <c r="C16" i="33"/>
  <c r="G16" i="33" l="1"/>
  <c r="DW45" i="40"/>
  <c r="AA16" i="33" s="1"/>
  <c r="AS13" i="31"/>
  <c r="F16" i="33"/>
  <c r="AE16" i="33"/>
  <c r="AB16" i="33"/>
  <c r="AC16" i="33" s="1"/>
  <c r="Y45" i="40"/>
  <c r="DU15" i="31"/>
  <c r="M85" i="51"/>
  <c r="M72" i="51"/>
  <c r="AS15" i="31"/>
  <c r="AC15" i="31"/>
  <c r="BW13" i="31" l="1"/>
  <c r="CA13" i="31"/>
  <c r="DR13" i="31" s="1"/>
  <c r="DS13" i="31" s="1"/>
  <c r="AU15" i="31"/>
  <c r="CA15" i="31"/>
  <c r="DR15" i="31" s="1"/>
  <c r="DS15" i="31" s="1"/>
  <c r="DJ13" i="31"/>
  <c r="CR13" i="31"/>
  <c r="AU13" i="31"/>
  <c r="BL15" i="31"/>
  <c r="BL13" i="31"/>
  <c r="AD16" i="33"/>
  <c r="DW15" i="31"/>
  <c r="CR15" i="31"/>
  <c r="DJ15" i="31"/>
  <c r="AZ84" i="33"/>
  <c r="AY84" i="33"/>
  <c r="AV84" i="33"/>
  <c r="AW84" i="33"/>
  <c r="AX84" i="33"/>
  <c r="EX37" i="1"/>
  <c r="J60" i="20"/>
  <c r="K60" i="20"/>
  <c r="F60" i="20"/>
  <c r="I60" i="20"/>
  <c r="G60" i="20" s="1"/>
  <c r="H60" i="20" s="1"/>
  <c r="C584" i="45"/>
  <c r="AJ15" i="33"/>
  <c r="AL15" i="33"/>
  <c r="O14" i="31" l="1"/>
  <c r="BW15" i="31"/>
  <c r="AN16" i="33" s="1"/>
  <c r="AN14" i="33"/>
  <c r="BY13" i="31"/>
  <c r="D13" i="31"/>
  <c r="BX13" i="31"/>
  <c r="BM13" i="31"/>
  <c r="BM15" i="31"/>
  <c r="CB15" i="31"/>
  <c r="CB13" i="31"/>
  <c r="AS15" i="33"/>
  <c r="BX15" i="31" l="1"/>
  <c r="BY15" i="31"/>
  <c r="D15" i="31"/>
  <c r="E16" i="33" s="1"/>
  <c r="DY43" i="40"/>
  <c r="CH13" i="31"/>
  <c r="E14" i="33"/>
  <c r="CF13" i="31"/>
  <c r="AM73" i="31"/>
  <c r="DO23" i="31"/>
  <c r="AU15" i="33"/>
  <c r="BU15" i="33"/>
  <c r="CB15" i="33"/>
  <c r="AF15" i="33"/>
  <c r="BP15" i="33"/>
  <c r="BB15" i="33"/>
  <c r="BI15" i="33"/>
  <c r="CF15" i="31" l="1"/>
  <c r="CG15" i="31" s="1"/>
  <c r="CH15" i="31"/>
  <c r="DY45" i="40"/>
  <c r="CI13" i="31"/>
  <c r="CG13" i="31"/>
  <c r="AM71" i="31"/>
  <c r="AS23" i="31"/>
  <c r="CI15" i="31" l="1"/>
  <c r="BW23" i="31"/>
  <c r="CA23" i="31"/>
  <c r="DR23" i="31" s="1"/>
  <c r="DS23" i="31" s="1"/>
  <c r="AU23" i="31"/>
  <c r="DJ23" i="31"/>
  <c r="CR23" i="31"/>
  <c r="BL23" i="31"/>
  <c r="G44" i="40"/>
  <c r="J44" i="40" s="1"/>
  <c r="DX44" i="40" s="1"/>
  <c r="S44" i="40"/>
  <c r="V44" i="40"/>
  <c r="AI14" i="31"/>
  <c r="AL14" i="31"/>
  <c r="BP14" i="31"/>
  <c r="CQ14" i="31" s="1"/>
  <c r="CZ14" i="31"/>
  <c r="DC14" i="31"/>
  <c r="DI14" i="31"/>
  <c r="DQ14" i="31"/>
  <c r="DT14" i="31"/>
  <c r="DZ14" i="31"/>
  <c r="CO44" i="40" l="1"/>
  <c r="CR44" i="40"/>
  <c r="BI14" i="31"/>
  <c r="AL74" i="31"/>
  <c r="CI44" i="40"/>
  <c r="CL44" i="40"/>
  <c r="CA44" i="40"/>
  <c r="BX44" i="40"/>
  <c r="BU44" i="40"/>
  <c r="L44" i="40"/>
  <c r="R44" i="40" s="1"/>
  <c r="AT44" i="40"/>
  <c r="BF44" i="40"/>
  <c r="BL44" i="40"/>
  <c r="BO44" i="40"/>
  <c r="BI44" i="40"/>
  <c r="AZ44" i="40"/>
  <c r="BR44" i="40"/>
  <c r="BC44" i="40"/>
  <c r="AW44" i="40"/>
  <c r="BY23" i="31"/>
  <c r="D23" i="31"/>
  <c r="BX23" i="31"/>
  <c r="BM23" i="31"/>
  <c r="CB23" i="31"/>
  <c r="S52" i="33"/>
  <c r="Z14" i="31"/>
  <c r="BL15" i="33"/>
  <c r="BX15" i="33"/>
  <c r="AX15" i="33"/>
  <c r="BE15" i="33"/>
  <c r="CE15" i="33"/>
  <c r="AH15" i="33"/>
  <c r="V15" i="33"/>
  <c r="S15" i="33"/>
  <c r="T44" i="40"/>
  <c r="I44" i="40"/>
  <c r="C14" i="31"/>
  <c r="DN14" i="31"/>
  <c r="AB14" i="31"/>
  <c r="W44" i="40"/>
  <c r="T14" i="31"/>
  <c r="AG15" i="33"/>
  <c r="DV14" i="31"/>
  <c r="DD14" i="31"/>
  <c r="CV14" i="31"/>
  <c r="CU14" i="31" s="1"/>
  <c r="U44" i="40"/>
  <c r="AD14" i="31" l="1"/>
  <c r="CH23" i="31"/>
  <c r="CF23" i="31"/>
  <c r="DY53" i="40"/>
  <c r="CY44" i="40"/>
  <c r="CW44" i="40" s="1"/>
  <c r="DU44" i="40" s="1"/>
  <c r="Y14" i="31"/>
  <c r="C44" i="40"/>
  <c r="F14" i="31"/>
  <c r="F14" i="36" s="1"/>
  <c r="AP76" i="31"/>
  <c r="AP75" i="31"/>
  <c r="E14" i="31"/>
  <c r="AP73" i="31"/>
  <c r="BU14" i="31"/>
  <c r="X44" i="40"/>
  <c r="BT14" i="31" s="1"/>
  <c r="AA14" i="31"/>
  <c r="AE14" i="31"/>
  <c r="Z15" i="33"/>
  <c r="BZ14" i="31"/>
  <c r="AG14" i="31"/>
  <c r="AF14" i="31"/>
  <c r="AH14" i="31"/>
  <c r="CI23" i="31" l="1"/>
  <c r="CG23" i="31"/>
  <c r="DW44" i="40"/>
  <c r="AA15" i="33" s="1"/>
  <c r="AP71" i="31"/>
  <c r="G15" i="33"/>
  <c r="AP77" i="31"/>
  <c r="F15" i="33"/>
  <c r="AE15" i="33"/>
  <c r="AB15" i="33"/>
  <c r="DU14" i="31"/>
  <c r="Y44" i="40"/>
  <c r="AC14" i="31"/>
  <c r="DW14" i="31" l="1"/>
  <c r="AM64" i="31" l="1"/>
  <c r="EY7" i="1"/>
  <c r="EY12" i="1"/>
  <c r="EY33" i="1"/>
  <c r="EY14" i="1"/>
  <c r="EY9" i="1"/>
  <c r="EY18" i="1"/>
  <c r="EY26" i="1"/>
  <c r="EY34" i="1"/>
  <c r="EY35" i="1"/>
  <c r="EY11" i="1"/>
  <c r="EY25" i="1"/>
  <c r="EY19" i="1"/>
  <c r="EY13" i="1"/>
  <c r="EY17" i="1"/>
  <c r="EY8" i="1"/>
  <c r="EY15" i="1"/>
  <c r="EY22" i="1"/>
  <c r="EY24" i="1"/>
  <c r="EY27" i="1"/>
  <c r="EY28" i="1"/>
  <c r="EY20" i="1"/>
  <c r="EY10" i="1"/>
  <c r="EY23" i="1"/>
  <c r="EY30" i="1"/>
  <c r="EY21" i="1"/>
  <c r="EY32" i="1"/>
  <c r="EY29" i="1"/>
  <c r="T30" i="26"/>
  <c r="CT30" i="26" s="1"/>
  <c r="Q30" i="26"/>
  <c r="EZ31" i="1" l="1"/>
  <c r="CK30" i="26"/>
  <c r="ET33" i="54"/>
  <c r="ET34" i="54"/>
  <c r="ET17" i="54"/>
  <c r="ET9" i="54"/>
  <c r="ET20" i="54"/>
  <c r="ET12" i="54"/>
  <c r="ET13" i="54"/>
  <c r="ET26" i="54"/>
  <c r="ET10" i="54"/>
  <c r="ET22" i="54"/>
  <c r="ET7" i="54"/>
  <c r="ET32" i="54"/>
  <c r="ET30" i="54"/>
  <c r="ET16" i="54"/>
  <c r="ET15" i="54"/>
  <c r="ET19" i="54"/>
  <c r="ET11" i="54"/>
  <c r="ET21" i="54"/>
  <c r="ET31" i="54"/>
  <c r="ET29" i="54"/>
  <c r="ET18" i="54"/>
  <c r="ET8" i="54"/>
  <c r="ET25" i="54"/>
  <c r="ET27" i="54"/>
  <c r="ET23" i="54"/>
  <c r="ET28" i="54"/>
  <c r="ET24" i="54"/>
  <c r="ET14" i="54"/>
  <c r="AO30" i="26"/>
  <c r="CD30" i="26"/>
  <c r="EZ30" i="1"/>
  <c r="EZ34" i="1"/>
  <c r="EZ17" i="1"/>
  <c r="EZ23" i="1"/>
  <c r="EZ33" i="1"/>
  <c r="EZ19" i="1"/>
  <c r="EZ20" i="1"/>
  <c r="EZ25" i="1"/>
  <c r="EZ16" i="1"/>
  <c r="EZ11" i="1"/>
  <c r="EZ15" i="1"/>
  <c r="EZ18" i="1"/>
  <c r="EZ32" i="1"/>
  <c r="EZ21" i="1"/>
  <c r="EZ8" i="1"/>
  <c r="EZ9" i="1"/>
  <c r="EZ27" i="1"/>
  <c r="EZ35" i="1"/>
  <c r="EZ14" i="1"/>
  <c r="EZ13" i="1"/>
  <c r="EZ10" i="1"/>
  <c r="EZ12" i="1"/>
  <c r="EZ7" i="1"/>
  <c r="EZ28" i="1"/>
  <c r="EZ24" i="1"/>
  <c r="EZ29" i="1"/>
  <c r="EZ22" i="1"/>
  <c r="EZ26" i="1"/>
  <c r="BP30" i="26"/>
  <c r="F3" i="49"/>
  <c r="E3" i="49"/>
  <c r="H3" i="49" s="1"/>
  <c r="Q24" i="26"/>
  <c r="AF56" i="33" l="1"/>
  <c r="AC22" i="26"/>
  <c r="U1" i="33" l="1"/>
  <c r="EO51" i="31" l="1"/>
  <c r="T19" i="26"/>
  <c r="CT19" i="26" s="1"/>
  <c r="CK19" i="26" l="1"/>
  <c r="EP51" i="31"/>
  <c r="AC19" i="26"/>
  <c r="CD19" i="26"/>
  <c r="AO19" i="26"/>
  <c r="BO23" i="1" l="1"/>
  <c r="CP23" i="1" s="1"/>
  <c r="BO32" i="1"/>
  <c r="CP32" i="1" s="1"/>
  <c r="V64" i="33"/>
  <c r="S64" i="33"/>
  <c r="T64" i="33"/>
  <c r="F23" i="1" l="1"/>
  <c r="F32" i="1"/>
  <c r="Q15" i="26"/>
  <c r="T15" i="26"/>
  <c r="CT15" i="26" s="1"/>
  <c r="CD15" i="26" l="1"/>
  <c r="CK16" i="26"/>
  <c r="F24" i="26"/>
  <c r="F33" i="26"/>
  <c r="AC15" i="26"/>
  <c r="BP15" i="26"/>
  <c r="U9" i="1"/>
  <c r="T21" i="26"/>
  <c r="CT21" i="26" s="1"/>
  <c r="Q21" i="26"/>
  <c r="CD21" i="26" l="1"/>
  <c r="BP21" i="26"/>
  <c r="AC21" i="26"/>
  <c r="AS20" i="1"/>
  <c r="DO11" i="25" l="1"/>
  <c r="DN11" i="25" s="1"/>
  <c r="EB8" i="1" s="1"/>
  <c r="DO6" i="25"/>
  <c r="DN6" i="25" s="1"/>
  <c r="EB12" i="1" s="1"/>
  <c r="DO17" i="25"/>
  <c r="DN17" i="25" s="1"/>
  <c r="EB25" i="1" s="1"/>
  <c r="DO35" i="25"/>
  <c r="DN35" i="25" s="1"/>
  <c r="EC25" i="1" l="1"/>
  <c r="EC12" i="1"/>
  <c r="EC8" i="1"/>
  <c r="DO15" i="25"/>
  <c r="DN15" i="25" s="1"/>
  <c r="EB11" i="1" s="1"/>
  <c r="DO18" i="25"/>
  <c r="DN18" i="25" s="1"/>
  <c r="EB9" i="1" s="1"/>
  <c r="DO28" i="25"/>
  <c r="DN28" i="25" s="1"/>
  <c r="EB30" i="1" s="1"/>
  <c r="DO23" i="25"/>
  <c r="DN23" i="25" s="1"/>
  <c r="EB34" i="1" s="1"/>
  <c r="DO9" i="25"/>
  <c r="DN9" i="25" s="1"/>
  <c r="EB14" i="1" s="1"/>
  <c r="DO21" i="25"/>
  <c r="DN21" i="25" s="1"/>
  <c r="EB24" i="1" s="1"/>
  <c r="DO16" i="25"/>
  <c r="DN16" i="25" s="1"/>
  <c r="EB28" i="1" s="1"/>
  <c r="DO26" i="25"/>
  <c r="DN26" i="25" s="1"/>
  <c r="EB26" i="1" s="1"/>
  <c r="DO5" i="25"/>
  <c r="DN5" i="25" s="1"/>
  <c r="EB7" i="1" s="1"/>
  <c r="DO12" i="25"/>
  <c r="DN12" i="25" s="1"/>
  <c r="EB19" i="1" s="1"/>
  <c r="DO30" i="25"/>
  <c r="DN30" i="25" s="1"/>
  <c r="EB17" i="1" s="1"/>
  <c r="DO7" i="25"/>
  <c r="DN7" i="25" s="1"/>
  <c r="EB20" i="1" s="1"/>
  <c r="DO10" i="25"/>
  <c r="DN10" i="25" s="1"/>
  <c r="EB32" i="1" s="1"/>
  <c r="DO31" i="25"/>
  <c r="DN31" i="25" s="1"/>
  <c r="EB35" i="1" s="1"/>
  <c r="DO25" i="25"/>
  <c r="DN25" i="25" s="1"/>
  <c r="EB18" i="1" s="1"/>
  <c r="DO20" i="25"/>
  <c r="DN20" i="25" s="1"/>
  <c r="EB10" i="1" s="1"/>
  <c r="DO22" i="25"/>
  <c r="DN22" i="25" s="1"/>
  <c r="EB13" i="1" s="1"/>
  <c r="DO14" i="25"/>
  <c r="DN14" i="25" s="1"/>
  <c r="EB23" i="1" s="1"/>
  <c r="DO19" i="25"/>
  <c r="DN19" i="25" s="1"/>
  <c r="EB21" i="1" s="1"/>
  <c r="DO29" i="25"/>
  <c r="DN29" i="25" s="1"/>
  <c r="EB29" i="1" s="1"/>
  <c r="DO13" i="25"/>
  <c r="DN13" i="25" s="1"/>
  <c r="EB22" i="1" s="1"/>
  <c r="DO32" i="25"/>
  <c r="DN32" i="25" s="1"/>
  <c r="EB33" i="1" s="1"/>
  <c r="DO27" i="25"/>
  <c r="DN27" i="25" s="1"/>
  <c r="EB27" i="1" s="1"/>
  <c r="DO8" i="25"/>
  <c r="DN8" i="25" s="1"/>
  <c r="EB15" i="1" s="1"/>
  <c r="AL17" i="33"/>
  <c r="AJ17" i="33"/>
  <c r="F59" i="20"/>
  <c r="I59" i="20"/>
  <c r="G59" i="20" s="1"/>
  <c r="H59" i="20" s="1"/>
  <c r="EO16" i="31"/>
  <c r="DQ16" i="31"/>
  <c r="DI16" i="31"/>
  <c r="CZ16" i="31"/>
  <c r="DC16" i="31"/>
  <c r="AT11" i="31"/>
  <c r="AT50" i="31"/>
  <c r="AT51" i="31"/>
  <c r="AT45" i="31"/>
  <c r="AT40" i="31"/>
  <c r="AT49" i="31"/>
  <c r="AT19" i="31"/>
  <c r="AT22" i="31"/>
  <c r="AT53" i="31"/>
  <c r="AT36" i="31"/>
  <c r="AT30" i="31"/>
  <c r="AT41" i="31"/>
  <c r="AT33" i="31"/>
  <c r="AT55" i="31"/>
  <c r="AT16" i="31"/>
  <c r="AT17" i="31"/>
  <c r="AT7" i="31"/>
  <c r="BP16" i="31"/>
  <c r="CQ16" i="31" s="1"/>
  <c r="DZ16" i="31"/>
  <c r="AL16" i="31"/>
  <c r="V11" i="33"/>
  <c r="AI16" i="31"/>
  <c r="BI16" i="31" l="1"/>
  <c r="O16" i="31"/>
  <c r="AT37" i="36"/>
  <c r="AT43" i="36"/>
  <c r="AT46" i="36"/>
  <c r="AT38" i="36"/>
  <c r="AT30" i="36"/>
  <c r="AT48" i="36"/>
  <c r="AT36" i="36"/>
  <c r="AT35" i="36"/>
  <c r="AT55" i="36"/>
  <c r="AT27" i="36"/>
  <c r="AT51" i="36"/>
  <c r="AT49" i="36"/>
  <c r="AT13" i="36"/>
  <c r="AT31" i="36"/>
  <c r="AT32" i="36"/>
  <c r="AT53" i="36"/>
  <c r="AT42" i="36"/>
  <c r="AT41" i="36"/>
  <c r="AT54" i="36"/>
  <c r="AT45" i="36"/>
  <c r="AT44" i="36"/>
  <c r="AT40" i="36"/>
  <c r="AT33" i="36"/>
  <c r="AT34" i="36"/>
  <c r="AT47" i="36"/>
  <c r="AT50" i="36"/>
  <c r="DW8" i="54"/>
  <c r="S11" i="33"/>
  <c r="Z16" i="31"/>
  <c r="DW10" i="54"/>
  <c r="DW31" i="54"/>
  <c r="DW11" i="54"/>
  <c r="DW9" i="54"/>
  <c r="DW28" i="54"/>
  <c r="DW27" i="54"/>
  <c r="DW34" i="54"/>
  <c r="DW23" i="54"/>
  <c r="DW26" i="54"/>
  <c r="DW30" i="54"/>
  <c r="DW29" i="54"/>
  <c r="DW13" i="54"/>
  <c r="DW22" i="54"/>
  <c r="DW32" i="54"/>
  <c r="DW33" i="54"/>
  <c r="DW25" i="54"/>
  <c r="DW18" i="54"/>
  <c r="DW19" i="54"/>
  <c r="DW16" i="54"/>
  <c r="DW21" i="54"/>
  <c r="DW15" i="54"/>
  <c r="DW20" i="54"/>
  <c r="DW17" i="54"/>
  <c r="DW24" i="54"/>
  <c r="DW14" i="54"/>
  <c r="DW12" i="54"/>
  <c r="DW7" i="54"/>
  <c r="AH11" i="33"/>
  <c r="C10" i="31"/>
  <c r="BL17" i="33"/>
  <c r="EC22" i="1"/>
  <c r="EC21" i="1"/>
  <c r="EC15" i="1"/>
  <c r="EC35" i="1"/>
  <c r="EC34" i="1"/>
  <c r="EC20" i="1"/>
  <c r="EC32" i="1"/>
  <c r="EC30" i="1"/>
  <c r="EC27" i="1"/>
  <c r="EC9" i="1"/>
  <c r="EC17" i="1"/>
  <c r="EC23" i="1"/>
  <c r="EC28" i="1"/>
  <c r="EC29" i="1"/>
  <c r="EC19" i="1"/>
  <c r="EC7" i="1"/>
  <c r="EC26" i="1"/>
  <c r="EC10" i="1"/>
  <c r="EC24" i="1"/>
  <c r="EC11" i="1"/>
  <c r="EC18" i="1"/>
  <c r="EC14" i="1"/>
  <c r="AH17" i="33"/>
  <c r="EC13" i="1"/>
  <c r="EC33" i="1"/>
  <c r="V17" i="33"/>
  <c r="S17" i="33"/>
  <c r="C16" i="31"/>
  <c r="DN16" i="31"/>
  <c r="DV16" i="31"/>
  <c r="DT16" i="31"/>
  <c r="BI17" i="33"/>
  <c r="AB16" i="31"/>
  <c r="AG17" i="33"/>
  <c r="T16" i="31"/>
  <c r="DD16" i="31"/>
  <c r="CV16" i="31"/>
  <c r="CU16" i="31" s="1"/>
  <c r="DW28" i="25"/>
  <c r="DW32" i="25"/>
  <c r="DW29" i="25"/>
  <c r="DW15" i="25"/>
  <c r="DW22" i="25"/>
  <c r="DW17" i="25"/>
  <c r="DW25" i="25"/>
  <c r="DW5" i="25"/>
  <c r="DW27" i="25"/>
  <c r="DW31" i="25"/>
  <c r="DW26" i="25"/>
  <c r="DW19" i="25"/>
  <c r="DW30" i="25"/>
  <c r="DW20" i="25"/>
  <c r="DW23" i="25"/>
  <c r="DW8" i="25"/>
  <c r="DW12" i="25"/>
  <c r="DW6" i="25"/>
  <c r="DW9" i="25"/>
  <c r="DW7" i="25"/>
  <c r="DW14" i="25"/>
  <c r="DW16" i="25"/>
  <c r="DW21" i="25"/>
  <c r="DW11" i="25"/>
  <c r="DW18" i="25"/>
  <c r="DW10" i="25"/>
  <c r="DW13" i="25"/>
  <c r="F58" i="20"/>
  <c r="K58" i="20"/>
  <c r="J58" i="20"/>
  <c r="I58" i="20"/>
  <c r="G58" i="20" s="1"/>
  <c r="H58" i="20" s="1"/>
  <c r="EO22" i="31"/>
  <c r="DQ22" i="31"/>
  <c r="DI22" i="31"/>
  <c r="DC22" i="31"/>
  <c r="CZ22" i="31"/>
  <c r="DZ22" i="31"/>
  <c r="BP22" i="31"/>
  <c r="CQ22" i="31" s="1"/>
  <c r="AL22" i="31"/>
  <c r="G52" i="40"/>
  <c r="L52" i="40"/>
  <c r="R52" i="40" s="1"/>
  <c r="S52" i="40"/>
  <c r="V52" i="40"/>
  <c r="AI22" i="31"/>
  <c r="Q23" i="33"/>
  <c r="DV10" i="25"/>
  <c r="DV11" i="25"/>
  <c r="DV18" i="25"/>
  <c r="DV7" i="25"/>
  <c r="DV14" i="25"/>
  <c r="DV21" i="25"/>
  <c r="DV9" i="25"/>
  <c r="DV8" i="25"/>
  <c r="DV12" i="25"/>
  <c r="DV6" i="25"/>
  <c r="DV19" i="25"/>
  <c r="DV30" i="25"/>
  <c r="DV20" i="25"/>
  <c r="DV23" i="25"/>
  <c r="DV31" i="25"/>
  <c r="DV26" i="25"/>
  <c r="DV25" i="25"/>
  <c r="DV5" i="25"/>
  <c r="DV27" i="25"/>
  <c r="DV15" i="25"/>
  <c r="DV22" i="25"/>
  <c r="DV17" i="25"/>
  <c r="DV28" i="25"/>
  <c r="DV32" i="25"/>
  <c r="DV29" i="25"/>
  <c r="DV13" i="25"/>
  <c r="AL35" i="15" l="1"/>
  <c r="AL10" i="15"/>
  <c r="AL28" i="15"/>
  <c r="AL34" i="15"/>
  <c r="AL27" i="15"/>
  <c r="BI22" i="31"/>
  <c r="AL12" i="15"/>
  <c r="AL11" i="15"/>
  <c r="AL21" i="15"/>
  <c r="AL15" i="15"/>
  <c r="AL18" i="15"/>
  <c r="AL14" i="15"/>
  <c r="AL8" i="15"/>
  <c r="AL17" i="15"/>
  <c r="AL26" i="15"/>
  <c r="AL9" i="15"/>
  <c r="AL29" i="15"/>
  <c r="AL13" i="15"/>
  <c r="AL32" i="15"/>
  <c r="AL31" i="15"/>
  <c r="AL30" i="15"/>
  <c r="AL19" i="15"/>
  <c r="AL20" i="15"/>
  <c r="AL33" i="15"/>
  <c r="AL25" i="15"/>
  <c r="AL22" i="15"/>
  <c r="AL24" i="15"/>
  <c r="AL23" i="15"/>
  <c r="AL16" i="15"/>
  <c r="O22" i="31"/>
  <c r="AD16" i="31"/>
  <c r="I52" i="40"/>
  <c r="J52" i="40"/>
  <c r="DX52" i="40" s="1"/>
  <c r="CY46" i="40"/>
  <c r="DW46" i="40" s="1"/>
  <c r="AA17" i="33" s="1"/>
  <c r="Y16" i="31"/>
  <c r="Z22" i="31"/>
  <c r="DX10" i="54"/>
  <c r="DX9" i="54"/>
  <c r="DX8" i="54"/>
  <c r="DX32" i="54"/>
  <c r="DX12" i="54"/>
  <c r="DX20" i="54"/>
  <c r="DX15" i="54"/>
  <c r="DX26" i="54"/>
  <c r="DX34" i="54"/>
  <c r="DX31" i="54"/>
  <c r="DX21" i="54"/>
  <c r="DX11" i="54"/>
  <c r="DX19" i="54"/>
  <c r="DX29" i="54"/>
  <c r="DX17" i="54"/>
  <c r="DX28" i="54"/>
  <c r="DX30" i="54"/>
  <c r="DX27" i="54"/>
  <c r="DX18" i="54"/>
  <c r="DX16" i="54"/>
  <c r="DX24" i="54"/>
  <c r="DX25" i="54"/>
  <c r="DX13" i="54"/>
  <c r="DX14" i="54"/>
  <c r="DX22" i="54"/>
  <c r="DX33" i="54"/>
  <c r="DX23" i="54"/>
  <c r="DX7" i="54"/>
  <c r="C40" i="40"/>
  <c r="Z11" i="33"/>
  <c r="C46" i="40"/>
  <c r="F16" i="31"/>
  <c r="E16" i="31"/>
  <c r="AX17" i="33"/>
  <c r="BE17" i="33"/>
  <c r="BX17" i="33"/>
  <c r="BL23" i="33"/>
  <c r="CE17" i="33"/>
  <c r="AL7" i="15"/>
  <c r="S23" i="33"/>
  <c r="V23" i="33"/>
  <c r="AH23" i="33"/>
  <c r="BU16" i="31"/>
  <c r="R6" i="32"/>
  <c r="AA16" i="31"/>
  <c r="K59" i="51"/>
  <c r="AE16" i="31"/>
  <c r="C22" i="31"/>
  <c r="DN22" i="31"/>
  <c r="BB17" i="33"/>
  <c r="BU17" i="33"/>
  <c r="AF17" i="33"/>
  <c r="BP17" i="33"/>
  <c r="AU17" i="33"/>
  <c r="AF16" i="31"/>
  <c r="CB17" i="33"/>
  <c r="DV22" i="31"/>
  <c r="Z17" i="33"/>
  <c r="DT22" i="31"/>
  <c r="AF23" i="33"/>
  <c r="AG16" i="31"/>
  <c r="C17" i="33"/>
  <c r="BZ16" i="31"/>
  <c r="AH16" i="31"/>
  <c r="AG23" i="33"/>
  <c r="DD22" i="31"/>
  <c r="CV22" i="31"/>
  <c r="CU22" i="31" s="1"/>
  <c r="T22" i="31"/>
  <c r="U52" i="40"/>
  <c r="T52" i="40"/>
  <c r="W52" i="40"/>
  <c r="AB22" i="31"/>
  <c r="AM34" i="15" l="1"/>
  <c r="AM28" i="15"/>
  <c r="AM12" i="15"/>
  <c r="AM24" i="15"/>
  <c r="AM32" i="15"/>
  <c r="AM27" i="15"/>
  <c r="AM10" i="15"/>
  <c r="AM29" i="15"/>
  <c r="AM8" i="15"/>
  <c r="AM9" i="15"/>
  <c r="AM23" i="15"/>
  <c r="AM14" i="15"/>
  <c r="AM13" i="15"/>
  <c r="AM16" i="15"/>
  <c r="AM22" i="15"/>
  <c r="AM30" i="15"/>
  <c r="AM21" i="15"/>
  <c r="AM11" i="15"/>
  <c r="AM35" i="15"/>
  <c r="AM19" i="15"/>
  <c r="AM20" i="15"/>
  <c r="AM26" i="15"/>
  <c r="AM25" i="15"/>
  <c r="AM31" i="15"/>
  <c r="AM33" i="15"/>
  <c r="AM15" i="15"/>
  <c r="AM17" i="15"/>
  <c r="AM18" i="15"/>
  <c r="S28" i="32"/>
  <c r="S6" i="32"/>
  <c r="S46" i="32"/>
  <c r="S32" i="32"/>
  <c r="S36" i="32"/>
  <c r="S38" i="32"/>
  <c r="S54" i="32"/>
  <c r="S42" i="32"/>
  <c r="S47" i="32"/>
  <c r="S30" i="32"/>
  <c r="S26" i="32"/>
  <c r="S50" i="32"/>
  <c r="S29" i="32"/>
  <c r="S39" i="32"/>
  <c r="S18" i="32"/>
  <c r="S15" i="32"/>
  <c r="S34" i="32"/>
  <c r="S33" i="32"/>
  <c r="S12" i="32"/>
  <c r="S9" i="32"/>
  <c r="S55" i="32"/>
  <c r="S53" i="32"/>
  <c r="S40" i="32"/>
  <c r="S11" i="32"/>
  <c r="S7" i="32"/>
  <c r="S17" i="32"/>
  <c r="S24" i="32"/>
  <c r="S8" i="32"/>
  <c r="S14" i="32"/>
  <c r="S51" i="32"/>
  <c r="S45" i="32"/>
  <c r="S49" i="32"/>
  <c r="S27" i="32"/>
  <c r="S31" i="32"/>
  <c r="S25" i="32"/>
  <c r="S20" i="32"/>
  <c r="S52" i="32"/>
  <c r="S35" i="32"/>
  <c r="S23" i="32"/>
  <c r="S43" i="32"/>
  <c r="S44" i="32"/>
  <c r="S22" i="32"/>
  <c r="S21" i="32"/>
  <c r="S41" i="32"/>
  <c r="S19" i="32"/>
  <c r="S16" i="32"/>
  <c r="S37" i="32"/>
  <c r="S10" i="32"/>
  <c r="S48" i="32"/>
  <c r="S13" i="32"/>
  <c r="AD22" i="31"/>
  <c r="G17" i="33"/>
  <c r="AE11" i="33"/>
  <c r="CY52" i="40"/>
  <c r="DW52" i="40" s="1"/>
  <c r="AA23" i="33" s="1"/>
  <c r="Y22" i="31"/>
  <c r="AB11" i="33"/>
  <c r="C52" i="40"/>
  <c r="F22" i="31"/>
  <c r="E22" i="31"/>
  <c r="F17" i="33"/>
  <c r="CE23" i="33"/>
  <c r="AX23" i="33"/>
  <c r="BE23" i="33"/>
  <c r="BX23" i="33"/>
  <c r="AM7" i="15"/>
  <c r="DU16" i="31"/>
  <c r="AE17" i="33"/>
  <c r="BM16" i="31"/>
  <c r="AB17" i="33"/>
  <c r="AC17" i="33" s="1"/>
  <c r="M59" i="51"/>
  <c r="K65" i="51"/>
  <c r="BU22" i="31"/>
  <c r="X52" i="40"/>
  <c r="BT22" i="31" s="1"/>
  <c r="AA22" i="31"/>
  <c r="AE22" i="31"/>
  <c r="AF22" i="31"/>
  <c r="AS23" i="33"/>
  <c r="CB23" i="33"/>
  <c r="BI23" i="33"/>
  <c r="BP23" i="33"/>
  <c r="BB23" i="33"/>
  <c r="AU23" i="33"/>
  <c r="AC16" i="31"/>
  <c r="BU23" i="33"/>
  <c r="C23" i="33"/>
  <c r="AS16" i="31"/>
  <c r="Z23" i="33"/>
  <c r="AH22" i="31"/>
  <c r="BZ22" i="31"/>
  <c r="AG22" i="31"/>
  <c r="G23" i="33" l="1"/>
  <c r="CA16" i="31"/>
  <c r="DR16" i="31" s="1"/>
  <c r="DS16" i="31" s="1"/>
  <c r="F23" i="33"/>
  <c r="AU16" i="31"/>
  <c r="DW16" i="31"/>
  <c r="AE23" i="33"/>
  <c r="AB23" i="33"/>
  <c r="AC23" i="33" s="1"/>
  <c r="CR16" i="31"/>
  <c r="Y52" i="40"/>
  <c r="BL22" i="31" s="1"/>
  <c r="DU22" i="31"/>
  <c r="M65" i="51"/>
  <c r="AD17" i="33"/>
  <c r="DJ16" i="31"/>
  <c r="AS22" i="31"/>
  <c r="AC22" i="31"/>
  <c r="BW16" i="31" l="1"/>
  <c r="CB16" i="31"/>
  <c r="AU22" i="31"/>
  <c r="CA22" i="31"/>
  <c r="DR22" i="31" s="1"/>
  <c r="BM22" i="31"/>
  <c r="DW22" i="31"/>
  <c r="CR22" i="31"/>
  <c r="AD23" i="33"/>
  <c r="DJ22" i="31"/>
  <c r="DS22" i="31" l="1"/>
  <c r="AN17" i="33"/>
  <c r="BY16" i="31"/>
  <c r="BX16" i="31"/>
  <c r="D16" i="31"/>
  <c r="BW22" i="31"/>
  <c r="CB22" i="31"/>
  <c r="Q8" i="26"/>
  <c r="DY46" i="40" l="1"/>
  <c r="E17" i="33"/>
  <c r="BY22" i="31"/>
  <c r="AN23" i="33"/>
  <c r="BX22" i="31"/>
  <c r="D22" i="31"/>
  <c r="CH16" i="31"/>
  <c r="CF16" i="31"/>
  <c r="DS11" i="25"/>
  <c r="DS17" i="25"/>
  <c r="DS14" i="25"/>
  <c r="DS21" i="25"/>
  <c r="DS10" i="25"/>
  <c r="DS31" i="25"/>
  <c r="DS28" i="25"/>
  <c r="DS20" i="25"/>
  <c r="DS7" i="25"/>
  <c r="DS19" i="25"/>
  <c r="DS32" i="25"/>
  <c r="DS6" i="25"/>
  <c r="DS23" i="25"/>
  <c r="DS30" i="25"/>
  <c r="DS29" i="25"/>
  <c r="DS15" i="25"/>
  <c r="DS12" i="25"/>
  <c r="DS26" i="25"/>
  <c r="DS8" i="25"/>
  <c r="DS16" i="25"/>
  <c r="DS27" i="25"/>
  <c r="DS13" i="25"/>
  <c r="DS25" i="25"/>
  <c r="DS35" i="25"/>
  <c r="DR35" i="25" s="1"/>
  <c r="DS9" i="25"/>
  <c r="DS5" i="25"/>
  <c r="DS22" i="25"/>
  <c r="DS18" i="25"/>
  <c r="I11" i="20"/>
  <c r="G11" i="20" s="1"/>
  <c r="H11" i="20" s="1"/>
  <c r="O23" i="1" l="1"/>
  <c r="CF22" i="31"/>
  <c r="CH22" i="31"/>
  <c r="CG16" i="31"/>
  <c r="CI16" i="31"/>
  <c r="E23" i="33"/>
  <c r="DY52" i="40"/>
  <c r="DR27" i="25"/>
  <c r="G27" i="25" s="1"/>
  <c r="DR23" i="25"/>
  <c r="G23" i="25" s="1"/>
  <c r="DR10" i="25"/>
  <c r="G10" i="25" s="1"/>
  <c r="DR11" i="25"/>
  <c r="G11" i="25" s="1"/>
  <c r="DR18" i="25"/>
  <c r="G18" i="25" s="1"/>
  <c r="DR16" i="25"/>
  <c r="G16" i="25" s="1"/>
  <c r="DR20" i="25"/>
  <c r="G20" i="25" s="1"/>
  <c r="DR22" i="25"/>
  <c r="G22" i="25" s="1"/>
  <c r="DR25" i="25"/>
  <c r="G25" i="25" s="1"/>
  <c r="DR8" i="25"/>
  <c r="G8" i="25" s="1"/>
  <c r="DR29" i="25"/>
  <c r="G29" i="25" s="1"/>
  <c r="DR32" i="25"/>
  <c r="G32" i="25" s="1"/>
  <c r="DR28" i="25"/>
  <c r="G28" i="25" s="1"/>
  <c r="DR14" i="25"/>
  <c r="G14" i="25" s="1"/>
  <c r="DR9" i="25"/>
  <c r="G9" i="25" s="1"/>
  <c r="DR12" i="25"/>
  <c r="G12" i="25" s="1"/>
  <c r="DR7" i="25"/>
  <c r="G7" i="25" s="1"/>
  <c r="DR15" i="25"/>
  <c r="G15" i="25" s="1"/>
  <c r="DR6" i="25"/>
  <c r="G6" i="25" s="1"/>
  <c r="DR21" i="25"/>
  <c r="G21" i="25" s="1"/>
  <c r="DR5" i="25"/>
  <c r="G5" i="25" s="1"/>
  <c r="DR13" i="25"/>
  <c r="G13" i="25" s="1"/>
  <c r="DR26" i="25"/>
  <c r="G26" i="25" s="1"/>
  <c r="DR30" i="25"/>
  <c r="G30" i="25" s="1"/>
  <c r="DR19" i="25"/>
  <c r="G19" i="25" s="1"/>
  <c r="DR31" i="25"/>
  <c r="G31" i="25" s="1"/>
  <c r="DR17" i="25"/>
  <c r="G17" i="25" s="1"/>
  <c r="DT17" i="25"/>
  <c r="DX35" i="25"/>
  <c r="DX39" i="25"/>
  <c r="DX41" i="25"/>
  <c r="DX52" i="25"/>
  <c r="DX58" i="25"/>
  <c r="DX62" i="25"/>
  <c r="DX66" i="25"/>
  <c r="DX68" i="25"/>
  <c r="DX71" i="25"/>
  <c r="DX73" i="25"/>
  <c r="CG22" i="31" l="1"/>
  <c r="CI22" i="31"/>
  <c r="DH81" i="25"/>
  <c r="DI81" i="25"/>
  <c r="AC81" i="25"/>
  <c r="AD81" i="25"/>
  <c r="AI81" i="25"/>
  <c r="AJ81" i="25"/>
  <c r="AO81" i="25"/>
  <c r="AP81" i="25"/>
  <c r="AU81" i="25"/>
  <c r="AV81" i="25"/>
  <c r="BA81" i="25"/>
  <c r="BB81" i="25"/>
  <c r="BG81" i="25"/>
  <c r="L13" i="25"/>
  <c r="L7" i="25"/>
  <c r="L11" i="25"/>
  <c r="L14" i="25"/>
  <c r="L16" i="25"/>
  <c r="L9" i="25"/>
  <c r="L19" i="25"/>
  <c r="L12" i="25"/>
  <c r="L21" i="25"/>
  <c r="L23" i="25"/>
  <c r="L20" i="25"/>
  <c r="L27" i="25"/>
  <c r="L25" i="25"/>
  <c r="L8" i="25"/>
  <c r="L17" i="25"/>
  <c r="L35" i="25"/>
  <c r="L26" i="25"/>
  <c r="L28" i="25"/>
  <c r="L22" i="25"/>
  <c r="L18" i="25"/>
  <c r="L6" i="25"/>
  <c r="L15" i="25"/>
  <c r="L31" i="25"/>
  <c r="L32" i="25"/>
  <c r="L29" i="25"/>
  <c r="L30" i="25"/>
  <c r="L5" i="25"/>
  <c r="L10" i="25"/>
  <c r="V27" i="25" l="1"/>
  <c r="T27" i="25"/>
  <c r="V10" i="25"/>
  <c r="V29" i="25"/>
  <c r="V6" i="25"/>
  <c r="V26" i="25"/>
  <c r="V25" i="25"/>
  <c r="V21" i="25"/>
  <c r="V13" i="25"/>
  <c r="T10" i="25"/>
  <c r="V30" i="25"/>
  <c r="V15" i="25"/>
  <c r="V28" i="25"/>
  <c r="V8" i="25"/>
  <c r="V23" i="25"/>
  <c r="V9" i="25"/>
  <c r="V7" i="25"/>
  <c r="T32" i="25"/>
  <c r="T22" i="25"/>
  <c r="T17" i="25"/>
  <c r="T20" i="25"/>
  <c r="T19" i="25"/>
  <c r="T11" i="25"/>
  <c r="T5" i="25"/>
  <c r="T31" i="25"/>
  <c r="T28" i="25"/>
  <c r="T8" i="25"/>
  <c r="T23" i="25"/>
  <c r="T9" i="25"/>
  <c r="T7" i="25"/>
  <c r="V32" i="25"/>
  <c r="V18" i="25"/>
  <c r="V12" i="25"/>
  <c r="V14" i="25"/>
  <c r="T15" i="25"/>
  <c r="T30" i="25"/>
  <c r="T6" i="25"/>
  <c r="T26" i="25"/>
  <c r="T25" i="25"/>
  <c r="T21" i="25"/>
  <c r="T16" i="25"/>
  <c r="T13" i="25"/>
  <c r="V5" i="25"/>
  <c r="V31" i="25"/>
  <c r="V22" i="25"/>
  <c r="V17" i="25"/>
  <c r="V20" i="25"/>
  <c r="V19" i="25"/>
  <c r="V11" i="25"/>
  <c r="T29" i="25"/>
  <c r="T18" i="25"/>
  <c r="T12" i="25"/>
  <c r="T14" i="25"/>
  <c r="AT81" i="25"/>
  <c r="DG81" i="25"/>
  <c r="AN81" i="25"/>
  <c r="AZ81" i="25"/>
  <c r="AB81" i="25"/>
  <c r="AH81" i="25"/>
  <c r="BW81" i="25"/>
  <c r="BX81" i="25"/>
  <c r="CE81" i="25"/>
  <c r="CG81" i="25"/>
  <c r="BQ81" i="25"/>
  <c r="BR81" i="25"/>
  <c r="CR81" i="25"/>
  <c r="CT81" i="25"/>
  <c r="DB81" i="25"/>
  <c r="V91" i="40"/>
  <c r="S91" i="40"/>
  <c r="L91" i="40"/>
  <c r="R91" i="40" s="1"/>
  <c r="E1" i="45"/>
  <c r="C578" i="45"/>
  <c r="C577" i="45"/>
  <c r="C574" i="45"/>
  <c r="C573" i="45"/>
  <c r="C3" i="45"/>
  <c r="C4" i="45" l="1"/>
  <c r="L569" i="45"/>
  <c r="I569" i="45"/>
  <c r="F569" i="45"/>
  <c r="E569" i="45" s="1"/>
  <c r="F568" i="45"/>
  <c r="E568" i="45" s="1"/>
  <c r="I568" i="45"/>
  <c r="L568" i="45"/>
  <c r="I566" i="45"/>
  <c r="L567" i="45"/>
  <c r="L566" i="45"/>
  <c r="F566" i="45"/>
  <c r="E566" i="45" s="1"/>
  <c r="F565" i="45"/>
  <c r="E565" i="45" s="1"/>
  <c r="L565" i="45"/>
  <c r="I565" i="45"/>
  <c r="L3" i="45"/>
  <c r="L13" i="45"/>
  <c r="L23" i="45"/>
  <c r="L33" i="45"/>
  <c r="L43" i="45"/>
  <c r="L53" i="45"/>
  <c r="L63" i="45"/>
  <c r="L73" i="45"/>
  <c r="L83" i="45"/>
  <c r="L93" i="45"/>
  <c r="L103" i="45"/>
  <c r="L113" i="45"/>
  <c r="L123" i="45"/>
  <c r="L133" i="45"/>
  <c r="L143" i="45"/>
  <c r="L153" i="45"/>
  <c r="L163" i="45"/>
  <c r="L173" i="45"/>
  <c r="L183" i="45"/>
  <c r="L193" i="45"/>
  <c r="L203" i="45"/>
  <c r="L213" i="45"/>
  <c r="L223" i="45"/>
  <c r="L233" i="45"/>
  <c r="L243" i="45"/>
  <c r="L253" i="45"/>
  <c r="L263" i="45"/>
  <c r="L273" i="45"/>
  <c r="L283" i="45"/>
  <c r="L293" i="45"/>
  <c r="L303" i="45"/>
  <c r="L313" i="45"/>
  <c r="L323" i="45"/>
  <c r="L333" i="45"/>
  <c r="L343" i="45"/>
  <c r="L353" i="45"/>
  <c r="L363" i="45"/>
  <c r="L373" i="45"/>
  <c r="L383" i="45"/>
  <c r="L393" i="45"/>
  <c r="L403" i="45"/>
  <c r="L413" i="45"/>
  <c r="L423" i="45"/>
  <c r="L433" i="45"/>
  <c r="L443" i="45"/>
  <c r="L453" i="45"/>
  <c r="L463" i="45"/>
  <c r="L473" i="45"/>
  <c r="L483" i="45"/>
  <c r="L493" i="45"/>
  <c r="L503" i="45"/>
  <c r="L513" i="45"/>
  <c r="L523" i="45"/>
  <c r="L533" i="45"/>
  <c r="L543" i="45"/>
  <c r="L553" i="45"/>
  <c r="L524" i="45"/>
  <c r="L544" i="45"/>
  <c r="L46" i="45"/>
  <c r="L146" i="45"/>
  <c r="L186" i="45"/>
  <c r="L236" i="45"/>
  <c r="L306" i="45"/>
  <c r="L336" i="45"/>
  <c r="L376" i="45"/>
  <c r="L426" i="45"/>
  <c r="L506" i="45"/>
  <c r="L546" i="45"/>
  <c r="L27" i="45"/>
  <c r="L57" i="45"/>
  <c r="L87" i="45"/>
  <c r="L127" i="45"/>
  <c r="L157" i="45"/>
  <c r="L197" i="45"/>
  <c r="L227" i="45"/>
  <c r="L257" i="45"/>
  <c r="L307" i="45"/>
  <c r="L357" i="45"/>
  <c r="L417" i="45"/>
  <c r="L467" i="45"/>
  <c r="L4" i="45"/>
  <c r="L14" i="45"/>
  <c r="L24" i="45"/>
  <c r="L34" i="45"/>
  <c r="L44" i="45"/>
  <c r="L54" i="45"/>
  <c r="L64" i="45"/>
  <c r="L74" i="45"/>
  <c r="L84" i="45"/>
  <c r="L94" i="45"/>
  <c r="L104" i="45"/>
  <c r="L114" i="45"/>
  <c r="L124" i="45"/>
  <c r="L134" i="45"/>
  <c r="L144" i="45"/>
  <c r="L154" i="45"/>
  <c r="L164" i="45"/>
  <c r="L174" i="45"/>
  <c r="L184" i="45"/>
  <c r="L194" i="45"/>
  <c r="L204" i="45"/>
  <c r="L214" i="45"/>
  <c r="L224" i="45"/>
  <c r="L234" i="45"/>
  <c r="L244" i="45"/>
  <c r="L254" i="45"/>
  <c r="L264" i="45"/>
  <c r="L274" i="45"/>
  <c r="L284" i="45"/>
  <c r="L294" i="45"/>
  <c r="L304" i="45"/>
  <c r="L314" i="45"/>
  <c r="L324" i="45"/>
  <c r="L334" i="45"/>
  <c r="L344" i="45"/>
  <c r="L354" i="45"/>
  <c r="L364" i="45"/>
  <c r="L374" i="45"/>
  <c r="L384" i="45"/>
  <c r="L394" i="45"/>
  <c r="L404" i="45"/>
  <c r="L414" i="45"/>
  <c r="L424" i="45"/>
  <c r="L434" i="45"/>
  <c r="L444" i="45"/>
  <c r="L454" i="45"/>
  <c r="L464" i="45"/>
  <c r="L474" i="45"/>
  <c r="L484" i="45"/>
  <c r="L494" i="45"/>
  <c r="L504" i="45"/>
  <c r="L514" i="45"/>
  <c r="L534" i="45"/>
  <c r="L554" i="45"/>
  <c r="L56" i="45"/>
  <c r="L136" i="45"/>
  <c r="L176" i="45"/>
  <c r="L216" i="45"/>
  <c r="L276" i="45"/>
  <c r="L326" i="45"/>
  <c r="L366" i="45"/>
  <c r="L396" i="45"/>
  <c r="L416" i="45"/>
  <c r="L496" i="45"/>
  <c r="L556" i="45"/>
  <c r="L37" i="45"/>
  <c r="L77" i="45"/>
  <c r="L97" i="45"/>
  <c r="L117" i="45"/>
  <c r="L147" i="45"/>
  <c r="L187" i="45"/>
  <c r="L237" i="45"/>
  <c r="L287" i="45"/>
  <c r="L347" i="45"/>
  <c r="L427" i="45"/>
  <c r="L477" i="45"/>
  <c r="L5" i="45"/>
  <c r="L15" i="45"/>
  <c r="L25" i="45"/>
  <c r="L35" i="45"/>
  <c r="L45" i="45"/>
  <c r="L55" i="45"/>
  <c r="L65" i="45"/>
  <c r="L75" i="45"/>
  <c r="L85" i="45"/>
  <c r="L95" i="45"/>
  <c r="L105" i="45"/>
  <c r="L115" i="45"/>
  <c r="L125" i="45"/>
  <c r="L135" i="45"/>
  <c r="L145" i="45"/>
  <c r="L155" i="45"/>
  <c r="L165" i="45"/>
  <c r="L175" i="45"/>
  <c r="L185" i="45"/>
  <c r="L195" i="45"/>
  <c r="L205" i="45"/>
  <c r="L215" i="45"/>
  <c r="L225" i="45"/>
  <c r="L235" i="45"/>
  <c r="L245" i="45"/>
  <c r="L255" i="45"/>
  <c r="L265" i="45"/>
  <c r="L275" i="45"/>
  <c r="L285" i="45"/>
  <c r="L295" i="45"/>
  <c r="L305" i="45"/>
  <c r="L315" i="45"/>
  <c r="L325" i="45"/>
  <c r="L335" i="45"/>
  <c r="L345" i="45"/>
  <c r="L355" i="45"/>
  <c r="L365" i="45"/>
  <c r="L375" i="45"/>
  <c r="L385" i="45"/>
  <c r="L395" i="45"/>
  <c r="L405" i="45"/>
  <c r="L415" i="45"/>
  <c r="L425" i="45"/>
  <c r="L435" i="45"/>
  <c r="L445" i="45"/>
  <c r="L455" i="45"/>
  <c r="L465" i="45"/>
  <c r="L475" i="45"/>
  <c r="L485" i="45"/>
  <c r="L495" i="45"/>
  <c r="L505" i="45"/>
  <c r="L515" i="45"/>
  <c r="L525" i="45"/>
  <c r="L535" i="45"/>
  <c r="L545" i="45"/>
  <c r="L555" i="45"/>
  <c r="L16" i="45"/>
  <c r="L156" i="45"/>
  <c r="L206" i="45"/>
  <c r="L226" i="45"/>
  <c r="L246" i="45"/>
  <c r="L256" i="45"/>
  <c r="L266" i="45"/>
  <c r="L286" i="45"/>
  <c r="L316" i="45"/>
  <c r="L346" i="45"/>
  <c r="L386" i="45"/>
  <c r="L436" i="45"/>
  <c r="L446" i="45"/>
  <c r="L456" i="45"/>
  <c r="L466" i="45"/>
  <c r="L486" i="45"/>
  <c r="L516" i="45"/>
  <c r="L526" i="45"/>
  <c r="L536" i="45"/>
  <c r="L17" i="45"/>
  <c r="L67" i="45"/>
  <c r="L107" i="45"/>
  <c r="L137" i="45"/>
  <c r="L167" i="45"/>
  <c r="L217" i="45"/>
  <c r="L247" i="45"/>
  <c r="L297" i="45"/>
  <c r="L367" i="45"/>
  <c r="L437" i="45"/>
  <c r="L6" i="45"/>
  <c r="L26" i="45"/>
  <c r="L36" i="45"/>
  <c r="L66" i="45"/>
  <c r="L76" i="45"/>
  <c r="L86" i="45"/>
  <c r="L96" i="45"/>
  <c r="L106" i="45"/>
  <c r="L116" i="45"/>
  <c r="L126" i="45"/>
  <c r="L166" i="45"/>
  <c r="L196" i="45"/>
  <c r="L296" i="45"/>
  <c r="L356" i="45"/>
  <c r="L406" i="45"/>
  <c r="L476" i="45"/>
  <c r="L47" i="45"/>
  <c r="L207" i="45"/>
  <c r="L277" i="45"/>
  <c r="L327" i="45"/>
  <c r="L387" i="45"/>
  <c r="L407" i="45"/>
  <c r="L457" i="45"/>
  <c r="L7" i="45"/>
  <c r="L177" i="45"/>
  <c r="L267" i="45"/>
  <c r="L317" i="45"/>
  <c r="L337" i="45"/>
  <c r="L377" i="45"/>
  <c r="L397" i="45"/>
  <c r="L447" i="45"/>
  <c r="L8" i="45"/>
  <c r="L18" i="45"/>
  <c r="L11" i="45"/>
  <c r="L21" i="45"/>
  <c r="L31" i="45"/>
  <c r="L41" i="45"/>
  <c r="L51" i="45"/>
  <c r="L61" i="45"/>
  <c r="L71" i="45"/>
  <c r="L81" i="45"/>
  <c r="L91" i="45"/>
  <c r="L101" i="45"/>
  <c r="L111" i="45"/>
  <c r="L121" i="45"/>
  <c r="L131" i="45"/>
  <c r="L141" i="45"/>
  <c r="L151" i="45"/>
  <c r="L161" i="45"/>
  <c r="L171" i="45"/>
  <c r="L181" i="45"/>
  <c r="L191" i="45"/>
  <c r="L201" i="45"/>
  <c r="L211" i="45"/>
  <c r="L221" i="45"/>
  <c r="L231" i="45"/>
  <c r="L241" i="45"/>
  <c r="L251" i="45"/>
  <c r="L261" i="45"/>
  <c r="L271" i="45"/>
  <c r="L281" i="45"/>
  <c r="L291" i="45"/>
  <c r="L301" i="45"/>
  <c r="L311" i="45"/>
  <c r="L321" i="45"/>
  <c r="L331" i="45"/>
  <c r="L341" i="45"/>
  <c r="L351" i="45"/>
  <c r="L361" i="45"/>
  <c r="L371" i="45"/>
  <c r="L381" i="45"/>
  <c r="L391" i="45"/>
  <c r="L401" i="45"/>
  <c r="L411" i="45"/>
  <c r="L421" i="45"/>
  <c r="L431" i="45"/>
  <c r="L441" i="45"/>
  <c r="L451" i="45"/>
  <c r="L461" i="45"/>
  <c r="L471" i="45"/>
  <c r="L481" i="45"/>
  <c r="L491" i="45"/>
  <c r="L501" i="45"/>
  <c r="L511" i="45"/>
  <c r="L521" i="45"/>
  <c r="L531" i="45"/>
  <c r="L541" i="45"/>
  <c r="L551" i="45"/>
  <c r="L9" i="45"/>
  <c r="L38" i="45"/>
  <c r="L60" i="45"/>
  <c r="L88" i="45"/>
  <c r="L110" i="45"/>
  <c r="L138" i="45"/>
  <c r="L160" i="45"/>
  <c r="L188" i="45"/>
  <c r="L210" i="45"/>
  <c r="L238" i="45"/>
  <c r="L260" i="45"/>
  <c r="L288" i="45"/>
  <c r="L310" i="45"/>
  <c r="L338" i="45"/>
  <c r="L360" i="45"/>
  <c r="L388" i="45"/>
  <c r="L410" i="45"/>
  <c r="L438" i="45"/>
  <c r="L460" i="45"/>
  <c r="L487" i="45"/>
  <c r="L507" i="45"/>
  <c r="L527" i="45"/>
  <c r="L547" i="45"/>
  <c r="L488" i="45"/>
  <c r="L528" i="45"/>
  <c r="L548" i="45"/>
  <c r="L390" i="45"/>
  <c r="L440" i="45"/>
  <c r="L468" i="45"/>
  <c r="L529" i="45"/>
  <c r="L92" i="45"/>
  <c r="L242" i="45"/>
  <c r="L369" i="45"/>
  <c r="L419" i="45"/>
  <c r="L490" i="45"/>
  <c r="L550" i="45"/>
  <c r="L20" i="45"/>
  <c r="L148" i="45"/>
  <c r="L248" i="45"/>
  <c r="L348" i="45"/>
  <c r="L370" i="45"/>
  <c r="L448" i="45"/>
  <c r="L470" i="45"/>
  <c r="L532" i="45"/>
  <c r="L552" i="45"/>
  <c r="L72" i="45"/>
  <c r="L99" i="45"/>
  <c r="L199" i="45"/>
  <c r="L299" i="45"/>
  <c r="L372" i="45"/>
  <c r="L472" i="45"/>
  <c r="L537" i="45"/>
  <c r="L78" i="45"/>
  <c r="L150" i="45"/>
  <c r="L250" i="45"/>
  <c r="L278" i="45"/>
  <c r="L350" i="45"/>
  <c r="L450" i="45"/>
  <c r="L518" i="45"/>
  <c r="L102" i="45"/>
  <c r="L129" i="45"/>
  <c r="L229" i="45"/>
  <c r="L302" i="45"/>
  <c r="L402" i="45"/>
  <c r="L519" i="45"/>
  <c r="L58" i="45"/>
  <c r="L230" i="45"/>
  <c r="L330" i="45"/>
  <c r="L430" i="45"/>
  <c r="L540" i="45"/>
  <c r="L10" i="45"/>
  <c r="L39" i="45"/>
  <c r="L62" i="45"/>
  <c r="L89" i="45"/>
  <c r="L112" i="45"/>
  <c r="L139" i="45"/>
  <c r="L162" i="45"/>
  <c r="L189" i="45"/>
  <c r="L212" i="45"/>
  <c r="L239" i="45"/>
  <c r="L262" i="45"/>
  <c r="L289" i="45"/>
  <c r="L312" i="45"/>
  <c r="L339" i="45"/>
  <c r="L362" i="45"/>
  <c r="L389" i="45"/>
  <c r="L412" i="45"/>
  <c r="L439" i="45"/>
  <c r="L462" i="45"/>
  <c r="L508" i="45"/>
  <c r="L489" i="45"/>
  <c r="L549" i="45"/>
  <c r="L119" i="45"/>
  <c r="L192" i="45"/>
  <c r="L269" i="45"/>
  <c r="L292" i="45"/>
  <c r="L530" i="45"/>
  <c r="L70" i="45"/>
  <c r="L98" i="45"/>
  <c r="L120" i="45"/>
  <c r="L198" i="45"/>
  <c r="L270" i="45"/>
  <c r="L320" i="45"/>
  <c r="L398" i="45"/>
  <c r="L492" i="45"/>
  <c r="L22" i="45"/>
  <c r="L149" i="45"/>
  <c r="L249" i="45"/>
  <c r="L272" i="45"/>
  <c r="L349" i="45"/>
  <c r="L399" i="45"/>
  <c r="L449" i="45"/>
  <c r="L517" i="45"/>
  <c r="L28" i="45"/>
  <c r="L100" i="45"/>
  <c r="L200" i="45"/>
  <c r="L300" i="45"/>
  <c r="L378" i="45"/>
  <c r="L478" i="45"/>
  <c r="L538" i="45"/>
  <c r="L79" i="45"/>
  <c r="L152" i="45"/>
  <c r="L252" i="45"/>
  <c r="L379" i="45"/>
  <c r="L499" i="45"/>
  <c r="L80" i="45"/>
  <c r="L180" i="45"/>
  <c r="L258" i="45"/>
  <c r="L358" i="45"/>
  <c r="L480" i="45"/>
  <c r="L520" i="45"/>
  <c r="L12" i="45"/>
  <c r="L40" i="45"/>
  <c r="L68" i="45"/>
  <c r="L90" i="45"/>
  <c r="L118" i="45"/>
  <c r="L140" i="45"/>
  <c r="L168" i="45"/>
  <c r="L190" i="45"/>
  <c r="L218" i="45"/>
  <c r="L240" i="45"/>
  <c r="L268" i="45"/>
  <c r="L290" i="45"/>
  <c r="L318" i="45"/>
  <c r="L340" i="45"/>
  <c r="L368" i="45"/>
  <c r="L418" i="45"/>
  <c r="L509" i="45"/>
  <c r="L142" i="45"/>
  <c r="L219" i="45"/>
  <c r="L319" i="45"/>
  <c r="L342" i="45"/>
  <c r="L392" i="45"/>
  <c r="L442" i="45"/>
  <c r="L510" i="45"/>
  <c r="L48" i="45"/>
  <c r="L170" i="45"/>
  <c r="L220" i="45"/>
  <c r="L298" i="45"/>
  <c r="L420" i="45"/>
  <c r="L512" i="45"/>
  <c r="L49" i="45"/>
  <c r="L122" i="45"/>
  <c r="L222" i="45"/>
  <c r="L322" i="45"/>
  <c r="L422" i="45"/>
  <c r="L497" i="45"/>
  <c r="L557" i="45"/>
  <c r="L50" i="45"/>
  <c r="L128" i="45"/>
  <c r="L228" i="45"/>
  <c r="L328" i="45"/>
  <c r="L428" i="45"/>
  <c r="L498" i="45"/>
  <c r="L29" i="45"/>
  <c r="L179" i="45"/>
  <c r="L329" i="45"/>
  <c r="L452" i="45"/>
  <c r="L30" i="45"/>
  <c r="L158" i="45"/>
  <c r="L308" i="45"/>
  <c r="L458" i="45"/>
  <c r="L19" i="45"/>
  <c r="L42" i="45"/>
  <c r="L69" i="45"/>
  <c r="L169" i="45"/>
  <c r="L469" i="45"/>
  <c r="L172" i="45"/>
  <c r="L178" i="45"/>
  <c r="L400" i="45"/>
  <c r="L279" i="45"/>
  <c r="L429" i="45"/>
  <c r="L130" i="45"/>
  <c r="L408" i="45"/>
  <c r="L32" i="45"/>
  <c r="L59" i="45"/>
  <c r="L82" i="45"/>
  <c r="L109" i="45"/>
  <c r="L132" i="45"/>
  <c r="L159" i="45"/>
  <c r="L182" i="45"/>
  <c r="L209" i="45"/>
  <c r="L232" i="45"/>
  <c r="L259" i="45"/>
  <c r="L282" i="45"/>
  <c r="L309" i="45"/>
  <c r="L332" i="45"/>
  <c r="L359" i="45"/>
  <c r="L382" i="45"/>
  <c r="L409" i="45"/>
  <c r="L432" i="45"/>
  <c r="L459" i="45"/>
  <c r="L482" i="45"/>
  <c r="L502" i="45"/>
  <c r="L522" i="45"/>
  <c r="L542" i="45"/>
  <c r="L52" i="45"/>
  <c r="L202" i="45"/>
  <c r="L352" i="45"/>
  <c r="L479" i="45"/>
  <c r="L539" i="45"/>
  <c r="L108" i="45"/>
  <c r="L208" i="45"/>
  <c r="L280" i="45"/>
  <c r="L380" i="45"/>
  <c r="L500" i="45"/>
  <c r="L564" i="45"/>
  <c r="L558" i="45"/>
  <c r="L563" i="45"/>
  <c r="L559" i="45"/>
  <c r="L560" i="45"/>
  <c r="L561" i="45"/>
  <c r="L562" i="45"/>
  <c r="F564" i="45"/>
  <c r="E564" i="45" s="1"/>
  <c r="I564" i="45"/>
  <c r="F561" i="45"/>
  <c r="E561" i="45" s="1"/>
  <c r="I561" i="45"/>
  <c r="F563" i="45"/>
  <c r="E563" i="45" s="1"/>
  <c r="I563" i="45"/>
  <c r="F562" i="45"/>
  <c r="E562" i="45" s="1"/>
  <c r="I562" i="45"/>
  <c r="F560" i="45"/>
  <c r="E560" i="45" s="1"/>
  <c r="I560" i="45"/>
  <c r="F559" i="45"/>
  <c r="E559" i="45" s="1"/>
  <c r="I559" i="45"/>
  <c r="F558" i="45"/>
  <c r="E558" i="45" s="1"/>
  <c r="I558" i="45"/>
  <c r="F557" i="45"/>
  <c r="E557" i="45" s="1"/>
  <c r="I557" i="45"/>
  <c r="F556" i="45"/>
  <c r="E556" i="45" s="1"/>
  <c r="I556" i="45"/>
  <c r="F555" i="45"/>
  <c r="E555" i="45" s="1"/>
  <c r="I555" i="45"/>
  <c r="F554" i="45"/>
  <c r="E554" i="45" s="1"/>
  <c r="I554" i="45"/>
  <c r="I552" i="45"/>
  <c r="F552" i="45"/>
  <c r="E552" i="45" s="1"/>
  <c r="F551" i="45"/>
  <c r="E551" i="45" s="1"/>
  <c r="I551" i="45"/>
  <c r="F550" i="45"/>
  <c r="E550" i="45" s="1"/>
  <c r="I550" i="45"/>
  <c r="F549" i="45"/>
  <c r="E549" i="45" s="1"/>
  <c r="I549" i="45"/>
  <c r="F548" i="45"/>
  <c r="E548" i="45" s="1"/>
  <c r="I548" i="45"/>
  <c r="F547" i="45"/>
  <c r="E547" i="45" s="1"/>
  <c r="I547" i="45"/>
  <c r="F546" i="45"/>
  <c r="E546" i="45" s="1"/>
  <c r="I546" i="45"/>
  <c r="F544" i="45"/>
  <c r="E544" i="45" s="1"/>
  <c r="I544" i="45"/>
  <c r="F543" i="45"/>
  <c r="E543" i="45" s="1"/>
  <c r="I543" i="45"/>
  <c r="F542" i="45"/>
  <c r="E542" i="45" s="1"/>
  <c r="I542" i="45"/>
  <c r="F541" i="45"/>
  <c r="E541" i="45" s="1"/>
  <c r="I541" i="45"/>
  <c r="F540" i="45"/>
  <c r="E540" i="45" s="1"/>
  <c r="I540" i="45"/>
  <c r="F538" i="45"/>
  <c r="E538" i="45" s="1"/>
  <c r="I538" i="45"/>
  <c r="F537" i="45"/>
  <c r="E537" i="45" s="1"/>
  <c r="I537" i="45"/>
  <c r="F535" i="45"/>
  <c r="E535" i="45" s="1"/>
  <c r="I535" i="45"/>
  <c r="F534" i="45"/>
  <c r="E534" i="45" s="1"/>
  <c r="I534" i="45"/>
  <c r="F533" i="45"/>
  <c r="E533" i="45" s="1"/>
  <c r="I533" i="45"/>
  <c r="F529" i="45"/>
  <c r="E529" i="45" s="1"/>
  <c r="I529" i="45"/>
  <c r="F532" i="45"/>
  <c r="E532" i="45" s="1"/>
  <c r="I532" i="45"/>
  <c r="F531" i="45"/>
  <c r="E531" i="45" s="1"/>
  <c r="I531" i="45"/>
  <c r="F530" i="45"/>
  <c r="E530" i="45" s="1"/>
  <c r="I530" i="45"/>
  <c r="F528" i="45"/>
  <c r="E528" i="45" s="1"/>
  <c r="I528" i="45"/>
  <c r="F527" i="45"/>
  <c r="E527" i="45" s="1"/>
  <c r="I527" i="45"/>
  <c r="F525" i="45"/>
  <c r="E525" i="45" s="1"/>
  <c r="I525" i="45"/>
  <c r="F524" i="45"/>
  <c r="E524" i="45" s="1"/>
  <c r="I524" i="45"/>
  <c r="F523" i="45"/>
  <c r="E523" i="45" s="1"/>
  <c r="I523" i="45"/>
  <c r="F521" i="45"/>
  <c r="E521" i="45" s="1"/>
  <c r="I521" i="45"/>
  <c r="F520" i="45"/>
  <c r="E520" i="45" s="1"/>
  <c r="I520" i="45"/>
  <c r="F519" i="45"/>
  <c r="E519" i="45" s="1"/>
  <c r="I519" i="45"/>
  <c r="F517" i="45"/>
  <c r="E517" i="45" s="1"/>
  <c r="I517" i="45"/>
  <c r="F516" i="45"/>
  <c r="E516" i="45" s="1"/>
  <c r="I516" i="45"/>
  <c r="F515" i="45"/>
  <c r="E515" i="45" s="1"/>
  <c r="I515" i="45"/>
  <c r="F514" i="45"/>
  <c r="E514" i="45" s="1"/>
  <c r="I514" i="45"/>
  <c r="I295" i="45"/>
  <c r="F295" i="45"/>
  <c r="E295" i="45" s="1"/>
  <c r="F512" i="45"/>
  <c r="E512" i="45" s="1"/>
  <c r="I512" i="45"/>
  <c r="I510" i="45"/>
  <c r="F510" i="45"/>
  <c r="E510" i="45" s="1"/>
  <c r="F509" i="45"/>
  <c r="E509" i="45" s="1"/>
  <c r="F511" i="45"/>
  <c r="E511" i="45" s="1"/>
  <c r="I509" i="45"/>
  <c r="I511" i="45"/>
  <c r="F508" i="45"/>
  <c r="E508" i="45" s="1"/>
  <c r="I508" i="45"/>
  <c r="F507" i="45"/>
  <c r="E507" i="45" s="1"/>
  <c r="I507" i="45"/>
  <c r="F506" i="45"/>
  <c r="E506" i="45" s="1"/>
  <c r="I506" i="45"/>
  <c r="F503" i="45"/>
  <c r="E503" i="45" s="1"/>
  <c r="I505" i="45"/>
  <c r="I503" i="45"/>
  <c r="F505" i="45"/>
  <c r="E505" i="45" s="1"/>
  <c r="F502" i="45"/>
  <c r="E502" i="45" s="1"/>
  <c r="I502" i="45"/>
  <c r="I501" i="45"/>
  <c r="F501" i="45"/>
  <c r="E501" i="45" s="1"/>
  <c r="R27" i="25"/>
  <c r="P27" i="25"/>
  <c r="Q27" i="25" s="1"/>
  <c r="W27" i="25"/>
  <c r="F499" i="45"/>
  <c r="E499" i="45" s="1"/>
  <c r="I499" i="45"/>
  <c r="F498" i="45"/>
  <c r="E498" i="45" s="1"/>
  <c r="I498" i="45"/>
  <c r="F497" i="45"/>
  <c r="E497" i="45" s="1"/>
  <c r="I497" i="45"/>
  <c r="F496" i="45"/>
  <c r="E496" i="45" s="1"/>
  <c r="I496" i="45"/>
  <c r="F495" i="45"/>
  <c r="E495" i="45" s="1"/>
  <c r="I495" i="45"/>
  <c r="F492" i="45"/>
  <c r="E492" i="45" s="1"/>
  <c r="I492" i="45"/>
  <c r="F493" i="45"/>
  <c r="E493" i="45" s="1"/>
  <c r="F494" i="45"/>
  <c r="E494" i="45" s="1"/>
  <c r="I493" i="45"/>
  <c r="I494" i="45"/>
  <c r="F491" i="45"/>
  <c r="E491" i="45" s="1"/>
  <c r="I491" i="45"/>
  <c r="I490" i="45"/>
  <c r="F490" i="45"/>
  <c r="E490" i="45" s="1"/>
  <c r="I488" i="45"/>
  <c r="I489" i="45"/>
  <c r="F488" i="45"/>
  <c r="E488" i="45" s="1"/>
  <c r="F489" i="45"/>
  <c r="E489" i="45" s="1"/>
  <c r="I487" i="45"/>
  <c r="F487" i="45"/>
  <c r="E487" i="45" s="1"/>
  <c r="I485" i="45"/>
  <c r="F485" i="45"/>
  <c r="E485" i="45" s="1"/>
  <c r="I484" i="45"/>
  <c r="F484" i="45"/>
  <c r="E484" i="45" s="1"/>
  <c r="I483" i="45"/>
  <c r="F483" i="45"/>
  <c r="E483" i="45" s="1"/>
  <c r="I482" i="45"/>
  <c r="F482" i="45"/>
  <c r="E482" i="45" s="1"/>
  <c r="F481" i="45"/>
  <c r="E481" i="45" s="1"/>
  <c r="I481" i="45"/>
  <c r="F477" i="45"/>
  <c r="E477" i="45" s="1"/>
  <c r="F479" i="45"/>
  <c r="E479" i="45" s="1"/>
  <c r="I477" i="45"/>
  <c r="I479" i="45"/>
  <c r="F478" i="45"/>
  <c r="E478" i="45" s="1"/>
  <c r="F480" i="45"/>
  <c r="E480" i="45" s="1"/>
  <c r="I480" i="45"/>
  <c r="I478" i="45"/>
  <c r="F476" i="45"/>
  <c r="E476" i="45" s="1"/>
  <c r="I476" i="45"/>
  <c r="F475" i="45"/>
  <c r="E475" i="45" s="1"/>
  <c r="I475" i="45"/>
  <c r="F474" i="45"/>
  <c r="E474" i="45" s="1"/>
  <c r="I474" i="45"/>
  <c r="F473" i="45"/>
  <c r="E473" i="45" s="1"/>
  <c r="I473" i="45"/>
  <c r="I471" i="45"/>
  <c r="F471" i="45"/>
  <c r="E471" i="45" s="1"/>
  <c r="F470" i="45"/>
  <c r="E470" i="45" s="1"/>
  <c r="I470" i="45"/>
  <c r="F468" i="45"/>
  <c r="E468" i="45" s="1"/>
  <c r="I468" i="45"/>
  <c r="F467" i="45"/>
  <c r="E467" i="45" s="1"/>
  <c r="I467" i="45"/>
  <c r="F466" i="45"/>
  <c r="E466" i="45" s="1"/>
  <c r="I466" i="45"/>
  <c r="F465" i="45"/>
  <c r="E465" i="45" s="1"/>
  <c r="I465" i="45"/>
  <c r="F464" i="45"/>
  <c r="E464" i="45" s="1"/>
  <c r="I464" i="45"/>
  <c r="F463" i="45"/>
  <c r="E463" i="45" s="1"/>
  <c r="I463" i="45"/>
  <c r="F469" i="45"/>
  <c r="E469" i="45" s="1"/>
  <c r="I469" i="45"/>
  <c r="F462" i="45"/>
  <c r="E462" i="45" s="1"/>
  <c r="I462" i="45"/>
  <c r="F460" i="45"/>
  <c r="E460" i="45" s="1"/>
  <c r="I460" i="45"/>
  <c r="F461" i="45"/>
  <c r="E461" i="45" s="1"/>
  <c r="I461" i="45"/>
  <c r="I459" i="45"/>
  <c r="F459" i="45"/>
  <c r="E459" i="45" s="1"/>
  <c r="F458" i="45"/>
  <c r="E458" i="45" s="1"/>
  <c r="I458" i="45"/>
  <c r="F457" i="45"/>
  <c r="E457" i="45" s="1"/>
  <c r="I457" i="45"/>
  <c r="F455" i="45"/>
  <c r="E455" i="45" s="1"/>
  <c r="I455" i="45"/>
  <c r="F454" i="45"/>
  <c r="E454" i="45" s="1"/>
  <c r="I454" i="45"/>
  <c r="F453" i="45"/>
  <c r="E453" i="45" s="1"/>
  <c r="I453" i="45"/>
  <c r="F452" i="45"/>
  <c r="E452" i="45" s="1"/>
  <c r="I452" i="45"/>
  <c r="F451" i="45"/>
  <c r="E451" i="45" s="1"/>
  <c r="I451" i="45"/>
  <c r="F450" i="45"/>
  <c r="E450" i="45" s="1"/>
  <c r="I450" i="45"/>
  <c r="F449" i="45"/>
  <c r="E449" i="45" s="1"/>
  <c r="I449" i="45"/>
  <c r="I239" i="45"/>
  <c r="I271" i="45"/>
  <c r="I291" i="45"/>
  <c r="I299" i="45"/>
  <c r="I307" i="45"/>
  <c r="I315" i="45"/>
  <c r="I319" i="45"/>
  <c r="I327" i="45"/>
  <c r="I335" i="45"/>
  <c r="I351" i="45"/>
  <c r="I359" i="45"/>
  <c r="I367" i="45"/>
  <c r="I371" i="45"/>
  <c r="I379" i="45"/>
  <c r="I387" i="45"/>
  <c r="I395" i="45"/>
  <c r="I403" i="45"/>
  <c r="I419" i="45"/>
  <c r="I427" i="45"/>
  <c r="I439" i="45"/>
  <c r="I447" i="45"/>
  <c r="I166" i="45"/>
  <c r="I206" i="45"/>
  <c r="I7" i="45"/>
  <c r="I11" i="45"/>
  <c r="I15" i="45"/>
  <c r="I19" i="45"/>
  <c r="I23" i="45"/>
  <c r="I27" i="45"/>
  <c r="I31" i="45"/>
  <c r="I35" i="45"/>
  <c r="I39" i="45"/>
  <c r="I43" i="45"/>
  <c r="I47" i="45"/>
  <c r="I51" i="45"/>
  <c r="I55" i="45"/>
  <c r="I59" i="45"/>
  <c r="I63" i="45"/>
  <c r="I67" i="45"/>
  <c r="I71" i="45"/>
  <c r="I75" i="45"/>
  <c r="I79" i="45"/>
  <c r="I83" i="45"/>
  <c r="I87" i="45"/>
  <c r="I91" i="45"/>
  <c r="I95" i="45"/>
  <c r="I99" i="45"/>
  <c r="I115" i="45"/>
  <c r="I119" i="45"/>
  <c r="I123" i="45"/>
  <c r="I127" i="45"/>
  <c r="I131" i="45"/>
  <c r="I135" i="45"/>
  <c r="I139" i="45"/>
  <c r="I143" i="45"/>
  <c r="I147" i="45"/>
  <c r="I155" i="45"/>
  <c r="I159" i="45"/>
  <c r="I163" i="45"/>
  <c r="I167" i="45"/>
  <c r="I171" i="45"/>
  <c r="I175" i="45"/>
  <c r="I179" i="45"/>
  <c r="I183" i="45"/>
  <c r="I187" i="45"/>
  <c r="I191" i="45"/>
  <c r="I195" i="45"/>
  <c r="I199" i="45"/>
  <c r="I207" i="45"/>
  <c r="I211" i="45"/>
  <c r="I215" i="45"/>
  <c r="I219" i="45"/>
  <c r="I223" i="45"/>
  <c r="I227" i="45"/>
  <c r="I231" i="45"/>
  <c r="I235" i="45"/>
  <c r="I243" i="45"/>
  <c r="I247" i="45"/>
  <c r="I251" i="45"/>
  <c r="I255" i="45"/>
  <c r="I259" i="45"/>
  <c r="I263" i="45"/>
  <c r="I267" i="45"/>
  <c r="I275" i="45"/>
  <c r="I279" i="45"/>
  <c r="I287" i="45"/>
  <c r="I303" i="45"/>
  <c r="I311" i="45"/>
  <c r="I323" i="45"/>
  <c r="I331" i="45"/>
  <c r="I339" i="45"/>
  <c r="I347" i="45"/>
  <c r="I355" i="45"/>
  <c r="I363" i="45"/>
  <c r="I383" i="45"/>
  <c r="I391" i="45"/>
  <c r="I399" i="45"/>
  <c r="I407" i="45"/>
  <c r="I415" i="45"/>
  <c r="I431" i="45"/>
  <c r="I443" i="45"/>
  <c r="I106" i="45"/>
  <c r="I154" i="45"/>
  <c r="I182" i="45"/>
  <c r="I240" i="45"/>
  <c r="I284" i="45"/>
  <c r="I296" i="45"/>
  <c r="I308" i="45"/>
  <c r="I316" i="45"/>
  <c r="I324" i="45"/>
  <c r="I332" i="45"/>
  <c r="I340" i="45"/>
  <c r="I360" i="45"/>
  <c r="I368" i="45"/>
  <c r="I376" i="45"/>
  <c r="I384" i="45"/>
  <c r="I392" i="45"/>
  <c r="I400" i="45"/>
  <c r="I416" i="45"/>
  <c r="I424" i="45"/>
  <c r="I432" i="45"/>
  <c r="I440" i="45"/>
  <c r="I122" i="45"/>
  <c r="I190" i="45"/>
  <c r="I8" i="45"/>
  <c r="I12" i="45"/>
  <c r="I16" i="45"/>
  <c r="I20" i="45"/>
  <c r="I24" i="45"/>
  <c r="I28" i="45"/>
  <c r="I32" i="45"/>
  <c r="I36" i="45"/>
  <c r="I40" i="45"/>
  <c r="I44" i="45"/>
  <c r="I48" i="45"/>
  <c r="I52" i="45"/>
  <c r="I56" i="45"/>
  <c r="I60" i="45"/>
  <c r="I64" i="45"/>
  <c r="I68" i="45"/>
  <c r="I72" i="45"/>
  <c r="I76" i="45"/>
  <c r="I80" i="45"/>
  <c r="I84" i="45"/>
  <c r="I88" i="45"/>
  <c r="I92" i="45"/>
  <c r="I96" i="45"/>
  <c r="I100" i="45"/>
  <c r="I104" i="45"/>
  <c r="I108" i="45"/>
  <c r="I112" i="45"/>
  <c r="I120" i="45"/>
  <c r="I128" i="45"/>
  <c r="I132" i="45"/>
  <c r="I140" i="45"/>
  <c r="I144" i="45"/>
  <c r="I148" i="45"/>
  <c r="I152" i="45"/>
  <c r="I156" i="45"/>
  <c r="I160" i="45"/>
  <c r="I164" i="45"/>
  <c r="I168" i="45"/>
  <c r="I172" i="45"/>
  <c r="I180" i="45"/>
  <c r="I184" i="45"/>
  <c r="I188" i="45"/>
  <c r="I192" i="45"/>
  <c r="I196" i="45"/>
  <c r="I200" i="45"/>
  <c r="I204" i="45"/>
  <c r="I208" i="45"/>
  <c r="I212" i="45"/>
  <c r="I216" i="45"/>
  <c r="I220" i="45"/>
  <c r="I224" i="45"/>
  <c r="I228" i="45"/>
  <c r="I232" i="45"/>
  <c r="I236" i="45"/>
  <c r="I244" i="45"/>
  <c r="I248" i="45"/>
  <c r="I252" i="45"/>
  <c r="I256" i="45"/>
  <c r="I260" i="45"/>
  <c r="I264" i="45"/>
  <c r="I268" i="45"/>
  <c r="I272" i="45"/>
  <c r="I276" i="45"/>
  <c r="I280" i="45"/>
  <c r="I288" i="45"/>
  <c r="I304" i="45"/>
  <c r="I312" i="45"/>
  <c r="I320" i="45"/>
  <c r="I336" i="45"/>
  <c r="I344" i="45"/>
  <c r="I352" i="45"/>
  <c r="I356" i="45"/>
  <c r="I364" i="45"/>
  <c r="I372" i="45"/>
  <c r="I380" i="45"/>
  <c r="I388" i="45"/>
  <c r="I404" i="45"/>
  <c r="I412" i="45"/>
  <c r="I420" i="45"/>
  <c r="I428" i="45"/>
  <c r="I436" i="45"/>
  <c r="I448" i="45"/>
  <c r="I118" i="45"/>
  <c r="I265" i="45"/>
  <c r="I325" i="45"/>
  <c r="I333" i="45"/>
  <c r="I341" i="45"/>
  <c r="I349" i="45"/>
  <c r="I357" i="45"/>
  <c r="I365" i="45"/>
  <c r="I369" i="45"/>
  <c r="I377" i="45"/>
  <c r="I385" i="45"/>
  <c r="I397" i="45"/>
  <c r="I413" i="45"/>
  <c r="I421" i="45"/>
  <c r="I429" i="45"/>
  <c r="I437" i="45"/>
  <c r="I445" i="45"/>
  <c r="I82" i="45"/>
  <c r="I150" i="45"/>
  <c r="I174" i="45"/>
  <c r="I194" i="45"/>
  <c r="I9" i="45"/>
  <c r="I13" i="45"/>
  <c r="I17" i="45"/>
  <c r="I21" i="45"/>
  <c r="I25" i="45"/>
  <c r="I29" i="45"/>
  <c r="I33" i="45"/>
  <c r="I37" i="45"/>
  <c r="I41" i="45"/>
  <c r="I45" i="45"/>
  <c r="I49" i="45"/>
  <c r="I53" i="45"/>
  <c r="I57" i="45"/>
  <c r="I61" i="45"/>
  <c r="I65" i="45"/>
  <c r="I69" i="45"/>
  <c r="I77" i="45"/>
  <c r="I81" i="45"/>
  <c r="I93" i="45"/>
  <c r="I97" i="45"/>
  <c r="I101" i="45"/>
  <c r="I105" i="45"/>
  <c r="I109" i="45"/>
  <c r="I113" i="45"/>
  <c r="I117" i="45"/>
  <c r="I125" i="45"/>
  <c r="I129" i="45"/>
  <c r="I133" i="45"/>
  <c r="I137" i="45"/>
  <c r="I141" i="45"/>
  <c r="I149" i="45"/>
  <c r="I153" i="45"/>
  <c r="I161" i="45"/>
  <c r="I169" i="45"/>
  <c r="I173" i="45"/>
  <c r="I177" i="45"/>
  <c r="I185" i="45"/>
  <c r="I193" i="45"/>
  <c r="I197" i="45"/>
  <c r="I201" i="45"/>
  <c r="I205" i="45"/>
  <c r="I209" i="45"/>
  <c r="I217" i="45"/>
  <c r="I221" i="45"/>
  <c r="I225" i="45"/>
  <c r="I229" i="45"/>
  <c r="I233" i="45"/>
  <c r="I237" i="45"/>
  <c r="I241" i="45"/>
  <c r="I245" i="45"/>
  <c r="I249" i="45"/>
  <c r="I253" i="45"/>
  <c r="I257" i="45"/>
  <c r="I261" i="45"/>
  <c r="I269" i="45"/>
  <c r="I273" i="45"/>
  <c r="I277" i="45"/>
  <c r="I281" i="45"/>
  <c r="I285" i="45"/>
  <c r="I289" i="45"/>
  <c r="I293" i="45"/>
  <c r="I297" i="45"/>
  <c r="I301" i="45"/>
  <c r="I305" i="45"/>
  <c r="I309" i="45"/>
  <c r="I317" i="45"/>
  <c r="I321" i="45"/>
  <c r="I329" i="45"/>
  <c r="I337" i="45"/>
  <c r="I345" i="45"/>
  <c r="I353" i="45"/>
  <c r="I361" i="45"/>
  <c r="I373" i="45"/>
  <c r="I381" i="45"/>
  <c r="I389" i="45"/>
  <c r="I401" i="45"/>
  <c r="I409" i="45"/>
  <c r="I417" i="45"/>
  <c r="I425" i="45"/>
  <c r="I433" i="45"/>
  <c r="I441" i="45"/>
  <c r="I86" i="45"/>
  <c r="I142" i="45"/>
  <c r="I162" i="45"/>
  <c r="I178" i="45"/>
  <c r="I10" i="45"/>
  <c r="I14" i="45"/>
  <c r="I18" i="45"/>
  <c r="I22" i="45"/>
  <c r="I26" i="45"/>
  <c r="I30" i="45"/>
  <c r="I34" i="45"/>
  <c r="I38" i="45"/>
  <c r="I42" i="45"/>
  <c r="I46" i="45"/>
  <c r="I50" i="45"/>
  <c r="I54" i="45"/>
  <c r="I58" i="45"/>
  <c r="I66" i="45"/>
  <c r="I70" i="45"/>
  <c r="I74" i="45"/>
  <c r="I78" i="45"/>
  <c r="I90" i="45"/>
  <c r="I94" i="45"/>
  <c r="I98" i="45"/>
  <c r="I102" i="45"/>
  <c r="I110" i="45"/>
  <c r="I126" i="45"/>
  <c r="I130" i="45"/>
  <c r="I134" i="45"/>
  <c r="I138" i="45"/>
  <c r="I170" i="45"/>
  <c r="I186" i="45"/>
  <c r="I238" i="45"/>
  <c r="I294" i="45"/>
  <c r="I342" i="45"/>
  <c r="I366" i="45"/>
  <c r="I378" i="45"/>
  <c r="I226" i="45"/>
  <c r="I258" i="45"/>
  <c r="I306" i="45"/>
  <c r="I318" i="45"/>
  <c r="I330" i="45"/>
  <c r="I354" i="45"/>
  <c r="I202" i="45"/>
  <c r="I214" i="45"/>
  <c r="I246" i="45"/>
  <c r="I278" i="45"/>
  <c r="I290" i="45"/>
  <c r="I374" i="45"/>
  <c r="I386" i="45"/>
  <c r="I438" i="45"/>
  <c r="I234" i="45"/>
  <c r="I326" i="45"/>
  <c r="I338" i="45"/>
  <c r="I398" i="45"/>
  <c r="I390" i="45"/>
  <c r="I442" i="45"/>
  <c r="I210" i="45"/>
  <c r="I254" i="45"/>
  <c r="I302" i="45"/>
  <c r="I314" i="45"/>
  <c r="I350" i="45"/>
  <c r="I410" i="45"/>
  <c r="I422" i="45"/>
  <c r="I434" i="45"/>
  <c r="I198" i="45"/>
  <c r="I274" i="45"/>
  <c r="I286" i="45"/>
  <c r="I370" i="45"/>
  <c r="I394" i="45"/>
  <c r="I446" i="45"/>
  <c r="I218" i="45"/>
  <c r="I282" i="45"/>
  <c r="I418" i="45"/>
  <c r="I230" i="45"/>
  <c r="I262" i="45"/>
  <c r="I298" i="45"/>
  <c r="I310" i="45"/>
  <c r="I322" i="45"/>
  <c r="I346" i="45"/>
  <c r="I358" i="45"/>
  <c r="I406" i="45"/>
  <c r="I430" i="45"/>
  <c r="I6" i="45"/>
  <c r="I5" i="45"/>
  <c r="F445" i="45"/>
  <c r="E445" i="45" s="1"/>
  <c r="F443" i="45"/>
  <c r="E443" i="45" s="1"/>
  <c r="F442" i="45"/>
  <c r="E442" i="45" s="1"/>
  <c r="DU7" i="25"/>
  <c r="AO20" i="1" s="1"/>
  <c r="R7" i="25"/>
  <c r="U7" i="25" s="1"/>
  <c r="F447" i="45"/>
  <c r="E447" i="45" s="1"/>
  <c r="F448" i="45"/>
  <c r="E448" i="45" s="1"/>
  <c r="F437" i="45"/>
  <c r="E437" i="45" s="1"/>
  <c r="F440" i="45"/>
  <c r="E440" i="45" s="1"/>
  <c r="F441" i="45"/>
  <c r="E441" i="45" s="1"/>
  <c r="F446" i="45"/>
  <c r="E446" i="45" s="1"/>
  <c r="F439" i="45"/>
  <c r="E439" i="45" s="1"/>
  <c r="F434" i="45"/>
  <c r="E434" i="45" s="1"/>
  <c r="F432" i="45"/>
  <c r="E432" i="45" s="1"/>
  <c r="I3" i="45"/>
  <c r="I4" i="45"/>
  <c r="F438" i="45"/>
  <c r="E438" i="45" s="1"/>
  <c r="F433" i="45"/>
  <c r="E433" i="45" s="1"/>
  <c r="F436" i="45"/>
  <c r="E436" i="45" s="1"/>
  <c r="F425" i="45"/>
  <c r="E425" i="45" s="1"/>
  <c r="F430" i="45"/>
  <c r="E430" i="45" s="1"/>
  <c r="F429" i="45"/>
  <c r="E429" i="45" s="1"/>
  <c r="F431" i="45"/>
  <c r="E431" i="45" s="1"/>
  <c r="F427" i="45"/>
  <c r="E427" i="45" s="1"/>
  <c r="F428" i="45"/>
  <c r="E428" i="45" s="1"/>
  <c r="F421" i="45"/>
  <c r="E421" i="45" s="1"/>
  <c r="T91" i="40"/>
  <c r="I91" i="40"/>
  <c r="F422" i="45"/>
  <c r="E422" i="45" s="1"/>
  <c r="F424" i="45"/>
  <c r="E424" i="45" s="1"/>
  <c r="P18" i="25"/>
  <c r="Q18" i="25" s="1"/>
  <c r="P7" i="25"/>
  <c r="Q7" i="25" s="1"/>
  <c r="P23" i="25"/>
  <c r="Q23" i="25" s="1"/>
  <c r="P25" i="25"/>
  <c r="Q25" i="25" s="1"/>
  <c r="P11" i="25"/>
  <c r="Q11" i="25" s="1"/>
  <c r="F420" i="45"/>
  <c r="E420" i="45" s="1"/>
  <c r="F418" i="45"/>
  <c r="E418" i="45" s="1"/>
  <c r="F419" i="45"/>
  <c r="E419" i="45" s="1"/>
  <c r="F416" i="45"/>
  <c r="E416" i="45" s="1"/>
  <c r="F417" i="45"/>
  <c r="E417" i="45" s="1"/>
  <c r="F413" i="45"/>
  <c r="E413" i="45" s="1"/>
  <c r="F415" i="45"/>
  <c r="E415" i="45" s="1"/>
  <c r="P14" i="25"/>
  <c r="Q14" i="25" s="1"/>
  <c r="P20" i="25"/>
  <c r="Q20" i="25" s="1"/>
  <c r="P30" i="25"/>
  <c r="Q30" i="25" s="1"/>
  <c r="P5" i="25"/>
  <c r="Q5" i="25" s="1"/>
  <c r="P28" i="25"/>
  <c r="Q28" i="25" s="1"/>
  <c r="P16" i="25"/>
  <c r="P22" i="25"/>
  <c r="Q22" i="25" s="1"/>
  <c r="P13" i="25"/>
  <c r="Q13" i="25" s="1"/>
  <c r="P21" i="25"/>
  <c r="Q21" i="25" s="1"/>
  <c r="P26" i="25"/>
  <c r="Q26" i="25" s="1"/>
  <c r="P19" i="25"/>
  <c r="Q19" i="25" s="1"/>
  <c r="P17" i="25"/>
  <c r="Q17" i="25" s="1"/>
  <c r="P31" i="25"/>
  <c r="Q31" i="25" s="1"/>
  <c r="W5" i="25"/>
  <c r="P12" i="25"/>
  <c r="Q12" i="25" s="1"/>
  <c r="P32" i="25"/>
  <c r="Q32" i="25" s="1"/>
  <c r="P29" i="25"/>
  <c r="Q29" i="25" s="1"/>
  <c r="P9" i="25"/>
  <c r="Q9" i="25" s="1"/>
  <c r="P8" i="25"/>
  <c r="Q8" i="25" s="1"/>
  <c r="P15" i="25"/>
  <c r="Q15" i="25" s="1"/>
  <c r="W31" i="25"/>
  <c r="F63" i="45"/>
  <c r="E63" i="45" s="1"/>
  <c r="F71" i="45"/>
  <c r="E71" i="45" s="1"/>
  <c r="F79" i="45"/>
  <c r="E79" i="45" s="1"/>
  <c r="F87" i="45"/>
  <c r="E87" i="45" s="1"/>
  <c r="F95" i="45"/>
  <c r="E95" i="45" s="1"/>
  <c r="F119" i="45"/>
  <c r="E119" i="45" s="1"/>
  <c r="F127" i="45"/>
  <c r="E127" i="45" s="1"/>
  <c r="F135" i="45"/>
  <c r="E135" i="45" s="1"/>
  <c r="F143" i="45"/>
  <c r="E143" i="45" s="1"/>
  <c r="F159" i="45"/>
  <c r="E159" i="45" s="1"/>
  <c r="F167" i="45"/>
  <c r="E167" i="45" s="1"/>
  <c r="F175" i="45"/>
  <c r="E175" i="45" s="1"/>
  <c r="F183" i="45"/>
  <c r="E183" i="45" s="1"/>
  <c r="F191" i="45"/>
  <c r="E191" i="45" s="1"/>
  <c r="F199" i="45"/>
  <c r="E199" i="45" s="1"/>
  <c r="F207" i="45"/>
  <c r="E207" i="45" s="1"/>
  <c r="F215" i="45"/>
  <c r="E215" i="45" s="1"/>
  <c r="F223" i="45"/>
  <c r="E223" i="45" s="1"/>
  <c r="F231" i="45"/>
  <c r="E231" i="45" s="1"/>
  <c r="F239" i="45"/>
  <c r="E239" i="45" s="1"/>
  <c r="F247" i="45"/>
  <c r="E247" i="45" s="1"/>
  <c r="F255" i="45"/>
  <c r="E255" i="45" s="1"/>
  <c r="F263" i="45"/>
  <c r="E263" i="45" s="1"/>
  <c r="F271" i="45"/>
  <c r="E271" i="45" s="1"/>
  <c r="F279" i="45"/>
  <c r="E279" i="45" s="1"/>
  <c r="F287" i="45"/>
  <c r="E287" i="45" s="1"/>
  <c r="F303" i="45"/>
  <c r="E303" i="45" s="1"/>
  <c r="F311" i="45"/>
  <c r="E311" i="45" s="1"/>
  <c r="F319" i="45"/>
  <c r="E319" i="45" s="1"/>
  <c r="F327" i="45"/>
  <c r="E327" i="45" s="1"/>
  <c r="F335" i="45"/>
  <c r="E335" i="45" s="1"/>
  <c r="F351" i="45"/>
  <c r="E351" i="45" s="1"/>
  <c r="F359" i="45"/>
  <c r="E359" i="45" s="1"/>
  <c r="F367" i="45"/>
  <c r="E367" i="45" s="1"/>
  <c r="F383" i="45"/>
  <c r="E383" i="45" s="1"/>
  <c r="F391" i="45"/>
  <c r="E391" i="45" s="1"/>
  <c r="F399" i="45"/>
  <c r="E399" i="45" s="1"/>
  <c r="F407" i="45"/>
  <c r="E407" i="45" s="1"/>
  <c r="F100" i="45"/>
  <c r="E100" i="45" s="1"/>
  <c r="F108" i="45"/>
  <c r="E108" i="45" s="1"/>
  <c r="F148" i="45"/>
  <c r="E148" i="45" s="1"/>
  <c r="F172" i="45"/>
  <c r="E172" i="45" s="1"/>
  <c r="F212" i="45"/>
  <c r="E212" i="45" s="1"/>
  <c r="F252" i="45"/>
  <c r="E252" i="45" s="1"/>
  <c r="F324" i="45"/>
  <c r="E324" i="45" s="1"/>
  <c r="F356" i="45"/>
  <c r="E356" i="45" s="1"/>
  <c r="F214" i="45"/>
  <c r="E214" i="45" s="1"/>
  <c r="F318" i="45"/>
  <c r="E318" i="45" s="1"/>
  <c r="F64" i="45"/>
  <c r="E64" i="45" s="1"/>
  <c r="F72" i="45"/>
  <c r="E72" i="45" s="1"/>
  <c r="F80" i="45"/>
  <c r="E80" i="45" s="1"/>
  <c r="F88" i="45"/>
  <c r="E88" i="45" s="1"/>
  <c r="F96" i="45"/>
  <c r="E96" i="45" s="1"/>
  <c r="F104" i="45"/>
  <c r="E104" i="45" s="1"/>
  <c r="F112" i="45"/>
  <c r="E112" i="45" s="1"/>
  <c r="F120" i="45"/>
  <c r="E120" i="45" s="1"/>
  <c r="F128" i="45"/>
  <c r="E128" i="45" s="1"/>
  <c r="F144" i="45"/>
  <c r="E144" i="45" s="1"/>
  <c r="F152" i="45"/>
  <c r="E152" i="45" s="1"/>
  <c r="F160" i="45"/>
  <c r="E160" i="45" s="1"/>
  <c r="F168" i="45"/>
  <c r="E168" i="45" s="1"/>
  <c r="F184" i="45"/>
  <c r="E184" i="45" s="1"/>
  <c r="F192" i="45"/>
  <c r="E192" i="45" s="1"/>
  <c r="F200" i="45"/>
  <c r="E200" i="45" s="1"/>
  <c r="F208" i="45"/>
  <c r="E208" i="45" s="1"/>
  <c r="F216" i="45"/>
  <c r="E216" i="45" s="1"/>
  <c r="F224" i="45"/>
  <c r="E224" i="45" s="1"/>
  <c r="F232" i="45"/>
  <c r="E232" i="45" s="1"/>
  <c r="F240" i="45"/>
  <c r="E240" i="45" s="1"/>
  <c r="F248" i="45"/>
  <c r="E248" i="45" s="1"/>
  <c r="F256" i="45"/>
  <c r="E256" i="45" s="1"/>
  <c r="F264" i="45"/>
  <c r="E264" i="45" s="1"/>
  <c r="F272" i="45"/>
  <c r="E272" i="45" s="1"/>
  <c r="F280" i="45"/>
  <c r="E280" i="45" s="1"/>
  <c r="F288" i="45"/>
  <c r="E288" i="45" s="1"/>
  <c r="F296" i="45"/>
  <c r="E296" i="45" s="1"/>
  <c r="F304" i="45"/>
  <c r="E304" i="45" s="1"/>
  <c r="F312" i="45"/>
  <c r="E312" i="45" s="1"/>
  <c r="F320" i="45"/>
  <c r="E320" i="45" s="1"/>
  <c r="F336" i="45"/>
  <c r="E336" i="45" s="1"/>
  <c r="F344" i="45"/>
  <c r="E344" i="45" s="1"/>
  <c r="F352" i="45"/>
  <c r="E352" i="45" s="1"/>
  <c r="F360" i="45"/>
  <c r="E360" i="45" s="1"/>
  <c r="F368" i="45"/>
  <c r="E368" i="45" s="1"/>
  <c r="F376" i="45"/>
  <c r="E376" i="45" s="1"/>
  <c r="F384" i="45"/>
  <c r="E384" i="45" s="1"/>
  <c r="F392" i="45"/>
  <c r="E392" i="45" s="1"/>
  <c r="F400" i="45"/>
  <c r="E400" i="45" s="1"/>
  <c r="F92" i="45"/>
  <c r="E92" i="45" s="1"/>
  <c r="F164" i="45"/>
  <c r="E164" i="45" s="1"/>
  <c r="F204" i="45"/>
  <c r="E204" i="45" s="1"/>
  <c r="F244" i="45"/>
  <c r="E244" i="45" s="1"/>
  <c r="F284" i="45"/>
  <c r="E284" i="45" s="1"/>
  <c r="F340" i="45"/>
  <c r="E340" i="45" s="1"/>
  <c r="F380" i="45"/>
  <c r="E380" i="45" s="1"/>
  <c r="F198" i="45"/>
  <c r="E198" i="45" s="1"/>
  <c r="F278" i="45"/>
  <c r="E278" i="45" s="1"/>
  <c r="F326" i="45"/>
  <c r="E326" i="45" s="1"/>
  <c r="F366" i="45"/>
  <c r="E366" i="45" s="1"/>
  <c r="F406" i="45"/>
  <c r="E406" i="45" s="1"/>
  <c r="F65" i="45"/>
  <c r="E65" i="45" s="1"/>
  <c r="F81" i="45"/>
  <c r="E81" i="45" s="1"/>
  <c r="F97" i="45"/>
  <c r="E97" i="45" s="1"/>
  <c r="F105" i="45"/>
  <c r="E105" i="45" s="1"/>
  <c r="F113" i="45"/>
  <c r="E113" i="45" s="1"/>
  <c r="F129" i="45"/>
  <c r="E129" i="45" s="1"/>
  <c r="F137" i="45"/>
  <c r="E137" i="45" s="1"/>
  <c r="F153" i="45"/>
  <c r="E153" i="45" s="1"/>
  <c r="F161" i="45"/>
  <c r="E161" i="45" s="1"/>
  <c r="F169" i="45"/>
  <c r="E169" i="45" s="1"/>
  <c r="F177" i="45"/>
  <c r="E177" i="45" s="1"/>
  <c r="F185" i="45"/>
  <c r="E185" i="45" s="1"/>
  <c r="F193" i="45"/>
  <c r="E193" i="45" s="1"/>
  <c r="F201" i="45"/>
  <c r="E201" i="45" s="1"/>
  <c r="F209" i="45"/>
  <c r="E209" i="45" s="1"/>
  <c r="F217" i="45"/>
  <c r="E217" i="45" s="1"/>
  <c r="F225" i="45"/>
  <c r="E225" i="45" s="1"/>
  <c r="F233" i="45"/>
  <c r="E233" i="45" s="1"/>
  <c r="F241" i="45"/>
  <c r="E241" i="45" s="1"/>
  <c r="F249" i="45"/>
  <c r="E249" i="45" s="1"/>
  <c r="F257" i="45"/>
  <c r="E257" i="45" s="1"/>
  <c r="F265" i="45"/>
  <c r="E265" i="45" s="1"/>
  <c r="F273" i="45"/>
  <c r="E273" i="45" s="1"/>
  <c r="F281" i="45"/>
  <c r="E281" i="45" s="1"/>
  <c r="F289" i="45"/>
  <c r="E289" i="45" s="1"/>
  <c r="F297" i="45"/>
  <c r="E297" i="45" s="1"/>
  <c r="F305" i="45"/>
  <c r="E305" i="45" s="1"/>
  <c r="F321" i="45"/>
  <c r="E321" i="45" s="1"/>
  <c r="F329" i="45"/>
  <c r="E329" i="45" s="1"/>
  <c r="F337" i="45"/>
  <c r="E337" i="45" s="1"/>
  <c r="F345" i="45"/>
  <c r="E345" i="45" s="1"/>
  <c r="F353" i="45"/>
  <c r="E353" i="45" s="1"/>
  <c r="F361" i="45"/>
  <c r="E361" i="45" s="1"/>
  <c r="F369" i="45"/>
  <c r="E369" i="45" s="1"/>
  <c r="F377" i="45"/>
  <c r="E377" i="45" s="1"/>
  <c r="F385" i="45"/>
  <c r="E385" i="45" s="1"/>
  <c r="F401" i="45"/>
  <c r="E401" i="45" s="1"/>
  <c r="F409" i="45"/>
  <c r="E409" i="45" s="1"/>
  <c r="F84" i="45"/>
  <c r="E84" i="45" s="1"/>
  <c r="F140" i="45"/>
  <c r="E140" i="45" s="1"/>
  <c r="F180" i="45"/>
  <c r="E180" i="45" s="1"/>
  <c r="F220" i="45"/>
  <c r="E220" i="45" s="1"/>
  <c r="F260" i="45"/>
  <c r="E260" i="45" s="1"/>
  <c r="F332" i="45"/>
  <c r="E332" i="45" s="1"/>
  <c r="F372" i="45"/>
  <c r="E372" i="45" s="1"/>
  <c r="F412" i="45"/>
  <c r="E412" i="45" s="1"/>
  <c r="F206" i="45"/>
  <c r="E206" i="45" s="1"/>
  <c r="F286" i="45"/>
  <c r="E286" i="45" s="1"/>
  <c r="F342" i="45"/>
  <c r="E342" i="45" s="1"/>
  <c r="F390" i="45"/>
  <c r="E390" i="45" s="1"/>
  <c r="F66" i="45"/>
  <c r="E66" i="45" s="1"/>
  <c r="F74" i="45"/>
  <c r="E74" i="45" s="1"/>
  <c r="F82" i="45"/>
  <c r="E82" i="45" s="1"/>
  <c r="F90" i="45"/>
  <c r="E90" i="45" s="1"/>
  <c r="F98" i="45"/>
  <c r="E98" i="45" s="1"/>
  <c r="F106" i="45"/>
  <c r="E106" i="45" s="1"/>
  <c r="F122" i="45"/>
  <c r="E122" i="45" s="1"/>
  <c r="F130" i="45"/>
  <c r="E130" i="45" s="1"/>
  <c r="F138" i="45"/>
  <c r="E138" i="45" s="1"/>
  <c r="F154" i="45"/>
  <c r="E154" i="45" s="1"/>
  <c r="F162" i="45"/>
  <c r="E162" i="45" s="1"/>
  <c r="F170" i="45"/>
  <c r="E170" i="45" s="1"/>
  <c r="F178" i="45"/>
  <c r="E178" i="45" s="1"/>
  <c r="F186" i="45"/>
  <c r="E186" i="45" s="1"/>
  <c r="F194" i="45"/>
  <c r="E194" i="45" s="1"/>
  <c r="F202" i="45"/>
  <c r="E202" i="45" s="1"/>
  <c r="F210" i="45"/>
  <c r="E210" i="45" s="1"/>
  <c r="F218" i="45"/>
  <c r="E218" i="45" s="1"/>
  <c r="F226" i="45"/>
  <c r="E226" i="45" s="1"/>
  <c r="F234" i="45"/>
  <c r="E234" i="45" s="1"/>
  <c r="F258" i="45"/>
  <c r="E258" i="45" s="1"/>
  <c r="F274" i="45"/>
  <c r="E274" i="45" s="1"/>
  <c r="F282" i="45"/>
  <c r="E282" i="45" s="1"/>
  <c r="F290" i="45"/>
  <c r="E290" i="45" s="1"/>
  <c r="F298" i="45"/>
  <c r="E298" i="45" s="1"/>
  <c r="F306" i="45"/>
  <c r="E306" i="45" s="1"/>
  <c r="F314" i="45"/>
  <c r="E314" i="45" s="1"/>
  <c r="F322" i="45"/>
  <c r="E322" i="45" s="1"/>
  <c r="F330" i="45"/>
  <c r="E330" i="45" s="1"/>
  <c r="F338" i="45"/>
  <c r="E338" i="45" s="1"/>
  <c r="F346" i="45"/>
  <c r="E346" i="45" s="1"/>
  <c r="F354" i="45"/>
  <c r="E354" i="45" s="1"/>
  <c r="F370" i="45"/>
  <c r="E370" i="45" s="1"/>
  <c r="F378" i="45"/>
  <c r="E378" i="45" s="1"/>
  <c r="F386" i="45"/>
  <c r="E386" i="45" s="1"/>
  <c r="F394" i="45"/>
  <c r="E394" i="45" s="1"/>
  <c r="F410" i="45"/>
  <c r="E410" i="45" s="1"/>
  <c r="F76" i="45"/>
  <c r="E76" i="45" s="1"/>
  <c r="F156" i="45"/>
  <c r="E156" i="45" s="1"/>
  <c r="F196" i="45"/>
  <c r="E196" i="45" s="1"/>
  <c r="F236" i="45"/>
  <c r="E236" i="45" s="1"/>
  <c r="F276" i="45"/>
  <c r="E276" i="45" s="1"/>
  <c r="F308" i="45"/>
  <c r="E308" i="45" s="1"/>
  <c r="F388" i="45"/>
  <c r="E388" i="45" s="1"/>
  <c r="F262" i="45"/>
  <c r="E262" i="45" s="1"/>
  <c r="F310" i="45"/>
  <c r="E310" i="45" s="1"/>
  <c r="F358" i="45"/>
  <c r="E358" i="45" s="1"/>
  <c r="F67" i="45"/>
  <c r="E67" i="45" s="1"/>
  <c r="F75" i="45"/>
  <c r="E75" i="45" s="1"/>
  <c r="F83" i="45"/>
  <c r="E83" i="45" s="1"/>
  <c r="F91" i="45"/>
  <c r="E91" i="45" s="1"/>
  <c r="F99" i="45"/>
  <c r="E99" i="45" s="1"/>
  <c r="F115" i="45"/>
  <c r="E115" i="45" s="1"/>
  <c r="F123" i="45"/>
  <c r="E123" i="45" s="1"/>
  <c r="F131" i="45"/>
  <c r="E131" i="45" s="1"/>
  <c r="F139" i="45"/>
  <c r="E139" i="45" s="1"/>
  <c r="F147" i="45"/>
  <c r="E147" i="45" s="1"/>
  <c r="F155" i="45"/>
  <c r="E155" i="45" s="1"/>
  <c r="F163" i="45"/>
  <c r="E163" i="45" s="1"/>
  <c r="F171" i="45"/>
  <c r="E171" i="45" s="1"/>
  <c r="F179" i="45"/>
  <c r="E179" i="45" s="1"/>
  <c r="F187" i="45"/>
  <c r="E187" i="45" s="1"/>
  <c r="F195" i="45"/>
  <c r="E195" i="45" s="1"/>
  <c r="F211" i="45"/>
  <c r="E211" i="45" s="1"/>
  <c r="F219" i="45"/>
  <c r="E219" i="45" s="1"/>
  <c r="F227" i="45"/>
  <c r="E227" i="45" s="1"/>
  <c r="F235" i="45"/>
  <c r="E235" i="45" s="1"/>
  <c r="F243" i="45"/>
  <c r="E243" i="45" s="1"/>
  <c r="F251" i="45"/>
  <c r="E251" i="45" s="1"/>
  <c r="F259" i="45"/>
  <c r="E259" i="45" s="1"/>
  <c r="F267" i="45"/>
  <c r="E267" i="45" s="1"/>
  <c r="F275" i="45"/>
  <c r="E275" i="45" s="1"/>
  <c r="F291" i="45"/>
  <c r="E291" i="45" s="1"/>
  <c r="F299" i="45"/>
  <c r="E299" i="45" s="1"/>
  <c r="F307" i="45"/>
  <c r="E307" i="45" s="1"/>
  <c r="F315" i="45"/>
  <c r="E315" i="45" s="1"/>
  <c r="F323" i="45"/>
  <c r="E323" i="45" s="1"/>
  <c r="F331" i="45"/>
  <c r="E331" i="45" s="1"/>
  <c r="F339" i="45"/>
  <c r="E339" i="45" s="1"/>
  <c r="F347" i="45"/>
  <c r="E347" i="45" s="1"/>
  <c r="F355" i="45"/>
  <c r="E355" i="45" s="1"/>
  <c r="F363" i="45"/>
  <c r="E363" i="45" s="1"/>
  <c r="F371" i="45"/>
  <c r="E371" i="45" s="1"/>
  <c r="F379" i="45"/>
  <c r="E379" i="45" s="1"/>
  <c r="F387" i="45"/>
  <c r="E387" i="45" s="1"/>
  <c r="F395" i="45"/>
  <c r="E395" i="45" s="1"/>
  <c r="F403" i="45"/>
  <c r="E403" i="45" s="1"/>
  <c r="F68" i="45"/>
  <c r="E68" i="45" s="1"/>
  <c r="F132" i="45"/>
  <c r="E132" i="45" s="1"/>
  <c r="F188" i="45"/>
  <c r="E188" i="45" s="1"/>
  <c r="F228" i="45"/>
  <c r="E228" i="45" s="1"/>
  <c r="F268" i="45"/>
  <c r="E268" i="45" s="1"/>
  <c r="F316" i="45"/>
  <c r="E316" i="45" s="1"/>
  <c r="F364" i="45"/>
  <c r="E364" i="45" s="1"/>
  <c r="F404" i="45"/>
  <c r="E404" i="45" s="1"/>
  <c r="F238" i="45"/>
  <c r="E238" i="45" s="1"/>
  <c r="F302" i="45"/>
  <c r="E302" i="45" s="1"/>
  <c r="F350" i="45"/>
  <c r="E350" i="45" s="1"/>
  <c r="F398" i="45"/>
  <c r="E398" i="45" s="1"/>
  <c r="F69" i="45"/>
  <c r="E69" i="45" s="1"/>
  <c r="F77" i="45"/>
  <c r="E77" i="45" s="1"/>
  <c r="F93" i="45"/>
  <c r="E93" i="45" s="1"/>
  <c r="F101" i="45"/>
  <c r="E101" i="45" s="1"/>
  <c r="F109" i="45"/>
  <c r="E109" i="45" s="1"/>
  <c r="F117" i="45"/>
  <c r="E117" i="45" s="1"/>
  <c r="F125" i="45"/>
  <c r="E125" i="45" s="1"/>
  <c r="F133" i="45"/>
  <c r="E133" i="45" s="1"/>
  <c r="F141" i="45"/>
  <c r="E141" i="45" s="1"/>
  <c r="F149" i="45"/>
  <c r="E149" i="45" s="1"/>
  <c r="F173" i="45"/>
  <c r="E173" i="45" s="1"/>
  <c r="F197" i="45"/>
  <c r="E197" i="45" s="1"/>
  <c r="F205" i="45"/>
  <c r="E205" i="45" s="1"/>
  <c r="F221" i="45"/>
  <c r="E221" i="45" s="1"/>
  <c r="F229" i="45"/>
  <c r="E229" i="45" s="1"/>
  <c r="F237" i="45"/>
  <c r="E237" i="45" s="1"/>
  <c r="F245" i="45"/>
  <c r="E245" i="45" s="1"/>
  <c r="F253" i="45"/>
  <c r="E253" i="45" s="1"/>
  <c r="F261" i="45"/>
  <c r="E261" i="45" s="1"/>
  <c r="F269" i="45"/>
  <c r="E269" i="45" s="1"/>
  <c r="F277" i="45"/>
  <c r="E277" i="45" s="1"/>
  <c r="F285" i="45"/>
  <c r="E285" i="45" s="1"/>
  <c r="F293" i="45"/>
  <c r="E293" i="45" s="1"/>
  <c r="F301" i="45"/>
  <c r="E301" i="45" s="1"/>
  <c r="F309" i="45"/>
  <c r="E309" i="45" s="1"/>
  <c r="F317" i="45"/>
  <c r="E317" i="45" s="1"/>
  <c r="F325" i="45"/>
  <c r="E325" i="45" s="1"/>
  <c r="F333" i="45"/>
  <c r="E333" i="45" s="1"/>
  <c r="F341" i="45"/>
  <c r="E341" i="45" s="1"/>
  <c r="F349" i="45"/>
  <c r="E349" i="45" s="1"/>
  <c r="F357" i="45"/>
  <c r="E357" i="45" s="1"/>
  <c r="F365" i="45"/>
  <c r="E365" i="45" s="1"/>
  <c r="F373" i="45"/>
  <c r="E373" i="45" s="1"/>
  <c r="F381" i="45"/>
  <c r="E381" i="45" s="1"/>
  <c r="F389" i="45"/>
  <c r="E389" i="45" s="1"/>
  <c r="F397" i="45"/>
  <c r="E397" i="45" s="1"/>
  <c r="F70" i="45"/>
  <c r="E70" i="45" s="1"/>
  <c r="F78" i="45"/>
  <c r="E78" i="45" s="1"/>
  <c r="F86" i="45"/>
  <c r="E86" i="45" s="1"/>
  <c r="F94" i="45"/>
  <c r="E94" i="45" s="1"/>
  <c r="F102" i="45"/>
  <c r="E102" i="45" s="1"/>
  <c r="F110" i="45"/>
  <c r="E110" i="45" s="1"/>
  <c r="F118" i="45"/>
  <c r="E118" i="45" s="1"/>
  <c r="F126" i="45"/>
  <c r="E126" i="45" s="1"/>
  <c r="F134" i="45"/>
  <c r="E134" i="45" s="1"/>
  <c r="F142" i="45"/>
  <c r="E142" i="45" s="1"/>
  <c r="F150" i="45"/>
  <c r="E150" i="45" s="1"/>
  <c r="F166" i="45"/>
  <c r="E166" i="45" s="1"/>
  <c r="F174" i="45"/>
  <c r="E174" i="45" s="1"/>
  <c r="F182" i="45"/>
  <c r="E182" i="45" s="1"/>
  <c r="F190" i="45"/>
  <c r="E190" i="45" s="1"/>
  <c r="F230" i="45"/>
  <c r="E230" i="45" s="1"/>
  <c r="F246" i="45"/>
  <c r="E246" i="45" s="1"/>
  <c r="F254" i="45"/>
  <c r="E254" i="45" s="1"/>
  <c r="F294" i="45"/>
  <c r="E294" i="45" s="1"/>
  <c r="F374" i="45"/>
  <c r="E374" i="45" s="1"/>
  <c r="F7" i="45"/>
  <c r="E7" i="45" s="1"/>
  <c r="F8" i="45"/>
  <c r="E8" i="45" s="1"/>
  <c r="F16" i="45"/>
  <c r="E16" i="45" s="1"/>
  <c r="F24" i="45"/>
  <c r="E24" i="45" s="1"/>
  <c r="F32" i="45"/>
  <c r="E32" i="45" s="1"/>
  <c r="F40" i="45"/>
  <c r="E40" i="45" s="1"/>
  <c r="F48" i="45"/>
  <c r="E48" i="45" s="1"/>
  <c r="F56" i="45"/>
  <c r="E56" i="45" s="1"/>
  <c r="F9" i="45"/>
  <c r="E9" i="45" s="1"/>
  <c r="F17" i="45"/>
  <c r="E17" i="45" s="1"/>
  <c r="F25" i="45"/>
  <c r="E25" i="45" s="1"/>
  <c r="F33" i="45"/>
  <c r="E33" i="45" s="1"/>
  <c r="F41" i="45"/>
  <c r="E41" i="45" s="1"/>
  <c r="F49" i="45"/>
  <c r="E49" i="45" s="1"/>
  <c r="F57" i="45"/>
  <c r="E57" i="45" s="1"/>
  <c r="F47" i="45"/>
  <c r="E47" i="45" s="1"/>
  <c r="F10" i="45"/>
  <c r="E10" i="45" s="1"/>
  <c r="F18" i="45"/>
  <c r="E18" i="45" s="1"/>
  <c r="F26" i="45"/>
  <c r="E26" i="45" s="1"/>
  <c r="F34" i="45"/>
  <c r="E34" i="45" s="1"/>
  <c r="F42" i="45"/>
  <c r="E42" i="45" s="1"/>
  <c r="F50" i="45"/>
  <c r="E50" i="45" s="1"/>
  <c r="F58" i="45"/>
  <c r="E58" i="45" s="1"/>
  <c r="F55" i="45"/>
  <c r="E55" i="45" s="1"/>
  <c r="F11" i="45"/>
  <c r="E11" i="45" s="1"/>
  <c r="F19" i="45"/>
  <c r="E19" i="45" s="1"/>
  <c r="F27" i="45"/>
  <c r="E27" i="45" s="1"/>
  <c r="F35" i="45"/>
  <c r="E35" i="45" s="1"/>
  <c r="F43" i="45"/>
  <c r="E43" i="45" s="1"/>
  <c r="F51" i="45"/>
  <c r="E51" i="45" s="1"/>
  <c r="F59" i="45"/>
  <c r="E59" i="45" s="1"/>
  <c r="F31" i="45"/>
  <c r="E31" i="45" s="1"/>
  <c r="F12" i="45"/>
  <c r="E12" i="45" s="1"/>
  <c r="F20" i="45"/>
  <c r="E20" i="45" s="1"/>
  <c r="F28" i="45"/>
  <c r="E28" i="45" s="1"/>
  <c r="F36" i="45"/>
  <c r="E36" i="45" s="1"/>
  <c r="F44" i="45"/>
  <c r="E44" i="45" s="1"/>
  <c r="F52" i="45"/>
  <c r="E52" i="45" s="1"/>
  <c r="F60" i="45"/>
  <c r="E60" i="45" s="1"/>
  <c r="F39" i="45"/>
  <c r="E39" i="45" s="1"/>
  <c r="F13" i="45"/>
  <c r="E13" i="45" s="1"/>
  <c r="F21" i="45"/>
  <c r="E21" i="45" s="1"/>
  <c r="F29" i="45"/>
  <c r="E29" i="45" s="1"/>
  <c r="F37" i="45"/>
  <c r="E37" i="45" s="1"/>
  <c r="F45" i="45"/>
  <c r="E45" i="45" s="1"/>
  <c r="F53" i="45"/>
  <c r="E53" i="45" s="1"/>
  <c r="F61" i="45"/>
  <c r="E61" i="45" s="1"/>
  <c r="F23" i="45"/>
  <c r="E23" i="45" s="1"/>
  <c r="F14" i="45"/>
  <c r="E14" i="45" s="1"/>
  <c r="F22" i="45"/>
  <c r="E22" i="45" s="1"/>
  <c r="F30" i="45"/>
  <c r="E30" i="45" s="1"/>
  <c r="F38" i="45"/>
  <c r="E38" i="45" s="1"/>
  <c r="F46" i="45"/>
  <c r="E46" i="45" s="1"/>
  <c r="F54" i="45"/>
  <c r="E54" i="45" s="1"/>
  <c r="F15" i="45"/>
  <c r="E15" i="45" s="1"/>
  <c r="F3" i="45"/>
  <c r="E3" i="45" s="1"/>
  <c r="F4" i="45"/>
  <c r="E4" i="45" s="1"/>
  <c r="F5" i="45"/>
  <c r="E5" i="45" s="1"/>
  <c r="F6" i="45"/>
  <c r="E6" i="45" s="1"/>
  <c r="P6" i="25"/>
  <c r="Q6" i="25" s="1"/>
  <c r="W20" i="25"/>
  <c r="W6" i="25"/>
  <c r="W32" i="25"/>
  <c r="W30" i="25"/>
  <c r="W9" i="25"/>
  <c r="W21" i="25"/>
  <c r="W22" i="25"/>
  <c r="W12" i="25"/>
  <c r="W8" i="25"/>
  <c r="W25" i="25"/>
  <c r="W10" i="25"/>
  <c r="W19" i="25"/>
  <c r="W7" i="25"/>
  <c r="W28" i="25"/>
  <c r="W13" i="25"/>
  <c r="W26" i="25"/>
  <c r="W18" i="25"/>
  <c r="W15" i="25"/>
  <c r="W17" i="25"/>
  <c r="W14" i="25"/>
  <c r="W23" i="25"/>
  <c r="W29" i="25"/>
  <c r="W11" i="25"/>
  <c r="R32" i="25"/>
  <c r="R18" i="25"/>
  <c r="R10" i="25"/>
  <c r="U10" i="25" s="1"/>
  <c r="R29" i="25"/>
  <c r="R6" i="25"/>
  <c r="R13" i="25"/>
  <c r="R12" i="25"/>
  <c r="R14" i="25"/>
  <c r="P10" i="25"/>
  <c r="Q10" i="25" s="1"/>
  <c r="R9" i="25"/>
  <c r="R26" i="25"/>
  <c r="R25" i="25"/>
  <c r="R21" i="25"/>
  <c r="R16" i="25"/>
  <c r="R5" i="25"/>
  <c r="R31" i="25"/>
  <c r="R22" i="25"/>
  <c r="R17" i="25"/>
  <c r="R20" i="25"/>
  <c r="R19" i="25"/>
  <c r="R11" i="25"/>
  <c r="R30" i="25"/>
  <c r="R15" i="25"/>
  <c r="R28" i="25"/>
  <c r="R8" i="25"/>
  <c r="R23" i="25"/>
  <c r="DU20" i="25"/>
  <c r="AO10" i="1" s="1"/>
  <c r="DU77" i="25"/>
  <c r="DU73" i="25"/>
  <c r="DU62" i="25"/>
  <c r="DU38" i="25"/>
  <c r="DU41" i="25"/>
  <c r="DU15" i="25"/>
  <c r="AO11" i="1" s="1"/>
  <c r="DU22" i="25"/>
  <c r="AO13" i="1" s="1"/>
  <c r="DU9" i="25"/>
  <c r="AO14" i="1" s="1"/>
  <c r="DU35" i="25"/>
  <c r="DU27" i="25"/>
  <c r="AO27" i="1" s="1"/>
  <c r="DU78" i="25"/>
  <c r="DU74" i="25"/>
  <c r="DU63" i="25"/>
  <c r="DU59" i="25"/>
  <c r="DU47" i="25"/>
  <c r="DU43" i="25"/>
  <c r="DU32" i="25"/>
  <c r="AO33" i="1" s="1"/>
  <c r="DU45" i="25"/>
  <c r="DU53" i="25"/>
  <c r="DU57" i="25"/>
  <c r="DU61" i="25"/>
  <c r="DU68" i="25"/>
  <c r="DU72" i="25"/>
  <c r="DU76" i="25"/>
  <c r="DU19" i="25"/>
  <c r="AO21" i="1" s="1"/>
  <c r="DU5" i="25"/>
  <c r="AO7" i="1" s="1"/>
  <c r="DU58" i="25"/>
  <c r="DU28" i="25"/>
  <c r="AO30" i="1" s="1"/>
  <c r="DU8" i="25"/>
  <c r="AO15" i="1" s="1"/>
  <c r="DU11" i="25"/>
  <c r="AO8" i="1" s="1"/>
  <c r="DU17" i="25"/>
  <c r="AO25" i="1" s="1"/>
  <c r="DU31" i="25"/>
  <c r="AO35" i="1" s="1"/>
  <c r="DU42" i="25"/>
  <c r="DU46" i="25"/>
  <c r="DU50" i="25"/>
  <c r="DU54" i="25"/>
  <c r="DU65" i="25"/>
  <c r="DU69" i="25"/>
  <c r="DU14" i="25"/>
  <c r="AO23" i="1" s="1"/>
  <c r="DU12" i="25"/>
  <c r="AO19" i="1" s="1"/>
  <c r="DU36" i="25"/>
  <c r="DU39" i="25"/>
  <c r="DU51" i="25"/>
  <c r="DU55" i="25"/>
  <c r="DU66" i="25"/>
  <c r="DU70" i="25"/>
  <c r="DU49" i="25"/>
  <c r="DU30" i="25"/>
  <c r="AO17" i="1" s="1"/>
  <c r="DU23" i="25"/>
  <c r="AO34" i="1" s="1"/>
  <c r="DU13" i="25"/>
  <c r="AO22" i="1" s="1"/>
  <c r="DU21" i="25"/>
  <c r="AO24" i="1" s="1"/>
  <c r="DU25" i="25"/>
  <c r="AO18" i="1" s="1"/>
  <c r="DU26" i="25"/>
  <c r="AO26" i="1" s="1"/>
  <c r="DU6" i="25"/>
  <c r="AO12" i="1" s="1"/>
  <c r="DU37" i="25"/>
  <c r="DU40" i="25"/>
  <c r="DU44" i="25"/>
  <c r="DU48" i="25"/>
  <c r="DU52" i="25"/>
  <c r="DU56" i="25"/>
  <c r="DU60" i="25"/>
  <c r="DU64" i="25"/>
  <c r="DU67" i="25"/>
  <c r="DU71" i="25"/>
  <c r="DU75" i="25"/>
  <c r="DU79" i="25"/>
  <c r="DU10" i="25"/>
  <c r="AO32" i="1" s="1"/>
  <c r="DU29" i="25"/>
  <c r="AO29" i="1" s="1"/>
  <c r="DU18" i="25"/>
  <c r="AO9" i="1" s="1"/>
  <c r="DW35" i="25"/>
  <c r="DW42" i="25"/>
  <c r="DW46" i="25"/>
  <c r="DW50" i="25"/>
  <c r="DW54" i="25"/>
  <c r="DW58" i="25"/>
  <c r="DW62" i="25"/>
  <c r="DW65" i="25"/>
  <c r="DW69" i="25"/>
  <c r="DW73" i="25"/>
  <c r="DW77" i="25"/>
  <c r="DW37" i="25"/>
  <c r="DW40" i="25"/>
  <c r="DW44" i="25"/>
  <c r="DW48" i="25"/>
  <c r="DW52" i="25"/>
  <c r="DW56" i="25"/>
  <c r="DW60" i="25"/>
  <c r="DW64" i="25"/>
  <c r="DW67" i="25"/>
  <c r="DW71" i="25"/>
  <c r="DW75" i="25"/>
  <c r="DW79" i="25"/>
  <c r="DW38" i="25"/>
  <c r="DW41" i="25"/>
  <c r="DW45" i="25"/>
  <c r="DW49" i="25"/>
  <c r="DW53" i="25"/>
  <c r="DW57" i="25"/>
  <c r="DW61" i="25"/>
  <c r="DW68" i="25"/>
  <c r="DW72" i="25"/>
  <c r="DW76" i="25"/>
  <c r="DW36" i="25"/>
  <c r="DW39" i="25"/>
  <c r="DW43" i="25"/>
  <c r="DW47" i="25"/>
  <c r="DW51" i="25"/>
  <c r="DW55" i="25"/>
  <c r="DW59" i="25"/>
  <c r="DW63" i="25"/>
  <c r="DW66" i="25"/>
  <c r="DW70" i="25"/>
  <c r="DW74" i="25"/>
  <c r="DW78" i="25"/>
  <c r="BV81" i="25"/>
  <c r="CC81" i="25"/>
  <c r="BP81" i="25"/>
  <c r="CP81" i="25"/>
  <c r="DA81" i="25"/>
  <c r="U91" i="40"/>
  <c r="W91" i="40"/>
  <c r="C579" i="45"/>
  <c r="AV48" i="26" s="1"/>
  <c r="C5" i="45" l="1"/>
  <c r="AR58" i="26"/>
  <c r="AU48" i="26"/>
  <c r="M116" i="51"/>
  <c r="AZ85" i="33"/>
  <c r="AM9" i="54"/>
  <c r="AM10" i="54"/>
  <c r="AM34" i="54"/>
  <c r="AM13" i="54"/>
  <c r="AM8" i="54"/>
  <c r="AM33" i="54"/>
  <c r="AM32" i="54"/>
  <c r="AM19" i="54"/>
  <c r="AM11" i="54"/>
  <c r="AM15" i="54"/>
  <c r="AM12" i="54"/>
  <c r="AM16" i="54"/>
  <c r="AM14" i="54"/>
  <c r="S27" i="25"/>
  <c r="U27" i="25"/>
  <c r="AM7" i="54"/>
  <c r="S18" i="25"/>
  <c r="I572" i="45"/>
  <c r="I573" i="45" s="1"/>
  <c r="S7" i="25"/>
  <c r="S19" i="25"/>
  <c r="S30" i="25"/>
  <c r="S26" i="25"/>
  <c r="S25" i="25"/>
  <c r="S21" i="25"/>
  <c r="S8" i="25"/>
  <c r="S11" i="25"/>
  <c r="S14" i="25"/>
  <c r="S23" i="25"/>
  <c r="S9" i="25"/>
  <c r="S20" i="25"/>
  <c r="S29" i="25"/>
  <c r="S28" i="25"/>
  <c r="S31" i="25"/>
  <c r="S17" i="25"/>
  <c r="S15" i="25"/>
  <c r="S5" i="25"/>
  <c r="S22" i="25"/>
  <c r="S16" i="25"/>
  <c r="S13" i="25"/>
  <c r="S32" i="25"/>
  <c r="S12" i="25"/>
  <c r="S6" i="25"/>
  <c r="U25" i="25"/>
  <c r="U26" i="25"/>
  <c r="U5" i="25"/>
  <c r="U9" i="25"/>
  <c r="U14" i="25"/>
  <c r="U23" i="25"/>
  <c r="U30" i="25"/>
  <c r="U28" i="25"/>
  <c r="U12" i="25"/>
  <c r="U22" i="25"/>
  <c r="U11" i="25"/>
  <c r="U13" i="25"/>
  <c r="U18" i="25"/>
  <c r="U32" i="25"/>
  <c r="U8" i="25"/>
  <c r="U20" i="25"/>
  <c r="S10" i="25"/>
  <c r="U16" i="25"/>
  <c r="U29" i="25"/>
  <c r="U17" i="25"/>
  <c r="U15" i="25"/>
  <c r="U31" i="25"/>
  <c r="U21" i="25"/>
  <c r="U19" i="25"/>
  <c r="U6" i="25"/>
  <c r="X91" i="40"/>
  <c r="F572" i="45"/>
  <c r="C6" i="45" l="1"/>
  <c r="Y91" i="40"/>
  <c r="E572" i="45"/>
  <c r="C7" i="45" l="1"/>
  <c r="DZ24" i="31"/>
  <c r="DZ17" i="31"/>
  <c r="DZ7" i="31"/>
  <c r="DZ50" i="31"/>
  <c r="DZ51" i="31"/>
  <c r="DZ45" i="31"/>
  <c r="DZ21" i="31"/>
  <c r="DZ19" i="31"/>
  <c r="DZ40" i="31"/>
  <c r="DZ8" i="31"/>
  <c r="DZ49" i="31"/>
  <c r="DZ53" i="31"/>
  <c r="DZ36" i="31"/>
  <c r="DZ30" i="31"/>
  <c r="DZ33" i="31"/>
  <c r="DZ41" i="31"/>
  <c r="DZ55" i="31"/>
  <c r="DZ11" i="31"/>
  <c r="EJ14" i="1"/>
  <c r="EJ24" i="1"/>
  <c r="EJ19" i="1"/>
  <c r="EJ17" i="1"/>
  <c r="EJ26" i="1"/>
  <c r="EJ28" i="1"/>
  <c r="EJ15" i="1"/>
  <c r="EJ22" i="1"/>
  <c r="EJ27" i="1"/>
  <c r="EJ25" i="1"/>
  <c r="EJ23" i="1"/>
  <c r="EJ18" i="1"/>
  <c r="EJ8" i="1"/>
  <c r="EJ30" i="1"/>
  <c r="EJ32" i="1"/>
  <c r="EJ35" i="1"/>
  <c r="EJ10" i="1"/>
  <c r="EJ20" i="1"/>
  <c r="EJ21" i="1"/>
  <c r="EJ7" i="1"/>
  <c r="EJ9" i="1"/>
  <c r="EJ13" i="1"/>
  <c r="EJ12" i="1"/>
  <c r="EJ34" i="1"/>
  <c r="EJ11" i="1"/>
  <c r="Q34" i="26"/>
  <c r="T34" i="26"/>
  <c r="CT34" i="26" s="1"/>
  <c r="C8" i="45" l="1"/>
  <c r="CD34" i="26"/>
  <c r="CK21" i="26"/>
  <c r="DZ48" i="36"/>
  <c r="DZ25" i="36"/>
  <c r="DZ7" i="36"/>
  <c r="DZ10" i="36"/>
  <c r="DZ40" i="36"/>
  <c r="DZ43" i="36"/>
  <c r="DZ38" i="36"/>
  <c r="DZ37" i="36"/>
  <c r="DZ46" i="36"/>
  <c r="DZ17" i="36"/>
  <c r="DZ15" i="36"/>
  <c r="DZ16" i="36"/>
  <c r="DZ36" i="36"/>
  <c r="DZ35" i="36"/>
  <c r="DZ55" i="36"/>
  <c r="DZ9" i="36"/>
  <c r="DZ27" i="36"/>
  <c r="DZ26" i="36"/>
  <c r="DZ51" i="36"/>
  <c r="DZ49" i="36"/>
  <c r="DZ32" i="36"/>
  <c r="DZ12" i="36"/>
  <c r="DZ11" i="36"/>
  <c r="DZ20" i="36"/>
  <c r="DZ22" i="36"/>
  <c r="DZ13" i="36"/>
  <c r="DZ14" i="36"/>
  <c r="DZ19" i="36"/>
  <c r="DZ18" i="36"/>
  <c r="DZ21" i="36"/>
  <c r="DZ54" i="36"/>
  <c r="DZ42" i="36"/>
  <c r="DZ41" i="36"/>
  <c r="DZ39" i="36"/>
  <c r="DZ45" i="36"/>
  <c r="DZ44" i="36"/>
  <c r="DZ29" i="36"/>
  <c r="DZ28" i="36"/>
  <c r="DZ33" i="36"/>
  <c r="DZ34" i="36"/>
  <c r="DZ52" i="36"/>
  <c r="DZ53" i="36"/>
  <c r="DZ23" i="36"/>
  <c r="DZ24" i="36"/>
  <c r="DZ47" i="36"/>
  <c r="DZ50" i="36"/>
  <c r="DZ31" i="36"/>
  <c r="DZ30" i="36"/>
  <c r="AX20" i="33"/>
  <c r="DZ8" i="36"/>
  <c r="EE8" i="54"/>
  <c r="EE7" i="54"/>
  <c r="C9" i="31"/>
  <c r="AC34" i="26"/>
  <c r="BP34" i="26"/>
  <c r="C9" i="45" l="1"/>
  <c r="V50" i="33"/>
  <c r="AG25" i="26"/>
  <c r="CW25" i="26" s="1"/>
  <c r="Q25" i="26"/>
  <c r="C10" i="45" l="1"/>
  <c r="CG25" i="26"/>
  <c r="CN11" i="26"/>
  <c r="C11" i="45" l="1"/>
  <c r="AS56" i="33"/>
  <c r="V13" i="33"/>
  <c r="C12" i="45" l="1"/>
  <c r="S13" i="33"/>
  <c r="AH13" i="33"/>
  <c r="C12" i="31"/>
  <c r="C13" i="45" l="1"/>
  <c r="C13" i="33"/>
  <c r="Z13" i="33"/>
  <c r="C42" i="40"/>
  <c r="K73" i="51"/>
  <c r="AI76" i="31"/>
  <c r="AI75" i="31"/>
  <c r="AI73" i="31"/>
  <c r="DO35" i="31" s="1"/>
  <c r="C14" i="45" l="1"/>
  <c r="AI71" i="31"/>
  <c r="DO26" i="31"/>
  <c r="DO39" i="31"/>
  <c r="CW45" i="40"/>
  <c r="DU45" i="40" s="1"/>
  <c r="CW65" i="40"/>
  <c r="DU65" i="40" s="1"/>
  <c r="CW69" i="40"/>
  <c r="DU69" i="40" s="1"/>
  <c r="AE13" i="33"/>
  <c r="CW67" i="40"/>
  <c r="DU67" i="40" s="1"/>
  <c r="CW56" i="40"/>
  <c r="DU56" i="40" s="1"/>
  <c r="CW58" i="40"/>
  <c r="DU58" i="40" s="1"/>
  <c r="CW42" i="40"/>
  <c r="DU42" i="40" s="1"/>
  <c r="AB13" i="33"/>
  <c r="AC13" i="33" s="1"/>
  <c r="AS10" i="31"/>
  <c r="DO10" i="31"/>
  <c r="DO13" i="31"/>
  <c r="AI77" i="31"/>
  <c r="DO37" i="31"/>
  <c r="C15" i="45" l="1"/>
  <c r="BW10" i="31"/>
  <c r="CA10" i="31"/>
  <c r="DR10" i="31" s="1"/>
  <c r="DS10" i="31" s="1"/>
  <c r="AD13" i="33"/>
  <c r="AU10" i="31"/>
  <c r="CR10" i="31"/>
  <c r="DJ10" i="31"/>
  <c r="BL10" i="31"/>
  <c r="AJ10" i="33"/>
  <c r="C16" i="45" l="1"/>
  <c r="L32" i="32"/>
  <c r="AO74" i="31"/>
  <c r="BY10" i="31"/>
  <c r="AN11" i="33"/>
  <c r="D10" i="31"/>
  <c r="BX10" i="31"/>
  <c r="BM10" i="31"/>
  <c r="CB10" i="31"/>
  <c r="AO64" i="31"/>
  <c r="AV10" i="31" s="1"/>
  <c r="C17" i="45" l="1"/>
  <c r="DY40" i="40"/>
  <c r="CF10" i="31"/>
  <c r="CH10" i="31"/>
  <c r="E11" i="33"/>
  <c r="BP41" i="31"/>
  <c r="CQ41" i="31" s="1"/>
  <c r="BP40" i="31"/>
  <c r="CQ40" i="31" s="1"/>
  <c r="BP33" i="31"/>
  <c r="CQ33" i="31" s="1"/>
  <c r="BP30" i="31"/>
  <c r="CQ30" i="31" s="1"/>
  <c r="BP8" i="31"/>
  <c r="CQ8" i="31" s="1"/>
  <c r="BP55" i="31"/>
  <c r="CQ55" i="31" s="1"/>
  <c r="BP50" i="31"/>
  <c r="CQ50" i="31" s="1"/>
  <c r="BP19" i="31"/>
  <c r="CQ19" i="31" s="1"/>
  <c r="BP36" i="31"/>
  <c r="CQ36" i="31" s="1"/>
  <c r="BP49" i="31"/>
  <c r="CQ49" i="31" s="1"/>
  <c r="BP17" i="31"/>
  <c r="CQ17" i="31" s="1"/>
  <c r="BP11" i="31"/>
  <c r="CQ11" i="31" s="1"/>
  <c r="BP24" i="31"/>
  <c r="CQ24" i="31" s="1"/>
  <c r="BP51" i="31"/>
  <c r="CQ51" i="31" s="1"/>
  <c r="BP45" i="31"/>
  <c r="CQ45" i="31" s="1"/>
  <c r="BO33" i="1"/>
  <c r="CP33" i="1" s="1"/>
  <c r="BO14" i="1"/>
  <c r="CP14" i="1" s="1"/>
  <c r="BO29" i="1"/>
  <c r="CP29" i="1" s="1"/>
  <c r="BO34" i="1"/>
  <c r="CP34" i="1" s="1"/>
  <c r="BO12" i="1"/>
  <c r="CP12" i="1" s="1"/>
  <c r="BO27" i="1"/>
  <c r="CP27" i="1" s="1"/>
  <c r="BO28" i="1"/>
  <c r="CP28" i="1" s="1"/>
  <c r="BO19" i="1"/>
  <c r="CP19" i="1" s="1"/>
  <c r="BO25" i="1"/>
  <c r="CP25" i="1" s="1"/>
  <c r="BO9" i="1"/>
  <c r="CP9" i="1" s="1"/>
  <c r="BO7" i="1"/>
  <c r="CP7" i="1" s="1"/>
  <c r="BO17" i="1"/>
  <c r="CP17" i="1" s="1"/>
  <c r="BO24" i="1"/>
  <c r="CP24" i="1" s="1"/>
  <c r="BO21" i="1"/>
  <c r="CP21" i="1" s="1"/>
  <c r="BO10" i="1"/>
  <c r="CP10" i="1" s="1"/>
  <c r="BO35" i="1"/>
  <c r="CP35" i="1" s="1"/>
  <c r="BO20" i="1"/>
  <c r="CP20" i="1" s="1"/>
  <c r="BO11" i="1"/>
  <c r="CP11" i="1" s="1"/>
  <c r="BO15" i="1"/>
  <c r="CP15" i="1" s="1"/>
  <c r="BO30" i="1"/>
  <c r="CP30" i="1" s="1"/>
  <c r="BO22" i="1"/>
  <c r="CP22" i="1" s="1"/>
  <c r="BO26" i="1"/>
  <c r="CP26" i="1" s="1"/>
  <c r="BO8" i="1"/>
  <c r="CP8" i="1" s="1"/>
  <c r="BO18" i="1"/>
  <c r="CP18" i="1" s="1"/>
  <c r="C18" i="45" l="1"/>
  <c r="BI41" i="31"/>
  <c r="BI40" i="31"/>
  <c r="BI33" i="31"/>
  <c r="BI30" i="31"/>
  <c r="BI8" i="31"/>
  <c r="BI55" i="31"/>
  <c r="BI50" i="31"/>
  <c r="BI19" i="31"/>
  <c r="BI36" i="31"/>
  <c r="BI49" i="31"/>
  <c r="BI17" i="31"/>
  <c r="BI11" i="31"/>
  <c r="BI24" i="31"/>
  <c r="BI7" i="31"/>
  <c r="BI51" i="31"/>
  <c r="BI45" i="31"/>
  <c r="BP25" i="36"/>
  <c r="BP7" i="36"/>
  <c r="BP10" i="36"/>
  <c r="BP49" i="36"/>
  <c r="BP48" i="36"/>
  <c r="BP51" i="36"/>
  <c r="BP50" i="36"/>
  <c r="BP46" i="36"/>
  <c r="BP43" i="36"/>
  <c r="BP38" i="36"/>
  <c r="BP37" i="36"/>
  <c r="BP35" i="36"/>
  <c r="BP47" i="36"/>
  <c r="BP17" i="36"/>
  <c r="BP15" i="36"/>
  <c r="BP16" i="36"/>
  <c r="BP55" i="36"/>
  <c r="BP8" i="36"/>
  <c r="BP9" i="36"/>
  <c r="BP27" i="36"/>
  <c r="BP26" i="36"/>
  <c r="BP40" i="36"/>
  <c r="BP12" i="36"/>
  <c r="BP11" i="36"/>
  <c r="BP36" i="36"/>
  <c r="BP13" i="36"/>
  <c r="BP14" i="36"/>
  <c r="BP20" i="36"/>
  <c r="BP22" i="36"/>
  <c r="BP32" i="36"/>
  <c r="BP21" i="36"/>
  <c r="BP42" i="36"/>
  <c r="BP41" i="36"/>
  <c r="BP45" i="36"/>
  <c r="BP44" i="36"/>
  <c r="BP19" i="36"/>
  <c r="BP18" i="36"/>
  <c r="BP39" i="36"/>
  <c r="BP54" i="36"/>
  <c r="BP52" i="36"/>
  <c r="BP53" i="36"/>
  <c r="BP23" i="36"/>
  <c r="BP24" i="36"/>
  <c r="BP31" i="36"/>
  <c r="BP30" i="36"/>
  <c r="BP29" i="36"/>
  <c r="BP28" i="36"/>
  <c r="BP33" i="36"/>
  <c r="BP34" i="36"/>
  <c r="CI10" i="31"/>
  <c r="CG10" i="31"/>
  <c r="BK31" i="54"/>
  <c r="BK28" i="54"/>
  <c r="BK17" i="54"/>
  <c r="BK34" i="54"/>
  <c r="BK21" i="54"/>
  <c r="BK26" i="54"/>
  <c r="BK9" i="54"/>
  <c r="BK27" i="54"/>
  <c r="BK29" i="54"/>
  <c r="BK8" i="54"/>
  <c r="BK22" i="54"/>
  <c r="BK30" i="54"/>
  <c r="BK13" i="54"/>
  <c r="BK12" i="54"/>
  <c r="BK10" i="54"/>
  <c r="BK24" i="54"/>
  <c r="BK16" i="54"/>
  <c r="BK33" i="54"/>
  <c r="BK32" i="54"/>
  <c r="BK25" i="54"/>
  <c r="BK19" i="54"/>
  <c r="BK20" i="54"/>
  <c r="BK11" i="54"/>
  <c r="BK15" i="54"/>
  <c r="BK23" i="54"/>
  <c r="BK14" i="54"/>
  <c r="BK18" i="54"/>
  <c r="BK7" i="54"/>
  <c r="E36" i="31"/>
  <c r="E8" i="26"/>
  <c r="T28" i="26"/>
  <c r="CT28" i="26" s="1"/>
  <c r="Q28" i="26"/>
  <c r="C19" i="45" l="1"/>
  <c r="CQ48" i="36"/>
  <c r="CQ10" i="36"/>
  <c r="CQ7" i="36"/>
  <c r="CQ43" i="36"/>
  <c r="CQ35" i="36"/>
  <c r="CQ46" i="36"/>
  <c r="CQ38" i="36"/>
  <c r="CQ37" i="36"/>
  <c r="CQ17" i="36"/>
  <c r="CQ15" i="36"/>
  <c r="CQ16" i="36"/>
  <c r="CQ25" i="36"/>
  <c r="CQ9" i="36"/>
  <c r="CQ8" i="36"/>
  <c r="CQ55" i="36"/>
  <c r="CQ27" i="36"/>
  <c r="CQ26" i="36"/>
  <c r="CQ51" i="36"/>
  <c r="CQ49" i="36"/>
  <c r="CQ40" i="36"/>
  <c r="CQ12" i="36"/>
  <c r="CQ11" i="36"/>
  <c r="CQ36" i="36"/>
  <c r="CQ54" i="36"/>
  <c r="CQ13" i="36"/>
  <c r="CQ14" i="36"/>
  <c r="CQ20" i="36"/>
  <c r="CQ22" i="36"/>
  <c r="CQ32" i="36"/>
  <c r="CQ21" i="36"/>
  <c r="CQ39" i="36"/>
  <c r="CQ45" i="36"/>
  <c r="CQ44" i="36"/>
  <c r="CQ19" i="36"/>
  <c r="CQ18" i="36"/>
  <c r="CQ42" i="36"/>
  <c r="CQ41" i="36"/>
  <c r="CQ23" i="36"/>
  <c r="CQ24" i="36"/>
  <c r="CQ52" i="36"/>
  <c r="CQ53" i="36"/>
  <c r="CQ33" i="36"/>
  <c r="CQ34" i="36"/>
  <c r="CQ29" i="36"/>
  <c r="CQ28" i="36"/>
  <c r="CQ47" i="36"/>
  <c r="CQ50" i="36"/>
  <c r="CQ31" i="36"/>
  <c r="CQ30" i="36"/>
  <c r="AC28" i="26"/>
  <c r="CD28" i="26"/>
  <c r="CK10" i="54"/>
  <c r="CK31" i="54"/>
  <c r="CK27" i="54"/>
  <c r="CK26" i="54"/>
  <c r="CK28" i="54"/>
  <c r="CK9" i="54"/>
  <c r="CK34" i="54"/>
  <c r="CK29" i="54"/>
  <c r="CK23" i="54"/>
  <c r="CK22" i="54"/>
  <c r="CK8" i="54"/>
  <c r="CK13" i="54"/>
  <c r="CK30" i="54"/>
  <c r="CK33" i="54"/>
  <c r="CK32" i="54"/>
  <c r="CK25" i="54"/>
  <c r="CK20" i="54"/>
  <c r="CK19" i="54"/>
  <c r="CK14" i="54"/>
  <c r="CK11" i="54"/>
  <c r="CK18" i="54"/>
  <c r="CK21" i="54"/>
  <c r="CK15" i="54"/>
  <c r="CK24" i="54"/>
  <c r="CK16" i="54"/>
  <c r="CK12" i="54"/>
  <c r="CK17" i="54"/>
  <c r="CK7" i="54"/>
  <c r="E28" i="1"/>
  <c r="E34" i="1"/>
  <c r="F15" i="1"/>
  <c r="F19" i="1"/>
  <c r="BA7" i="54"/>
  <c r="F30" i="1"/>
  <c r="F18" i="1"/>
  <c r="F26" i="1"/>
  <c r="BG8" i="1"/>
  <c r="BH8" i="1" s="1"/>
  <c r="BC17" i="31"/>
  <c r="F8" i="31"/>
  <c r="F8" i="36" s="1"/>
  <c r="F11" i="31"/>
  <c r="F11" i="36" s="1"/>
  <c r="F53" i="31"/>
  <c r="F54" i="36" s="1"/>
  <c r="F55" i="31"/>
  <c r="BC19" i="31"/>
  <c r="F33" i="1"/>
  <c r="F22" i="1"/>
  <c r="F12" i="1"/>
  <c r="F8" i="1"/>
  <c r="BG15" i="1"/>
  <c r="BH15" i="1" s="1"/>
  <c r="BG12" i="1"/>
  <c r="BH12" i="1" s="1"/>
  <c r="F24" i="1"/>
  <c r="BG14" i="1"/>
  <c r="BH14" i="1" s="1"/>
  <c r="BG13" i="1"/>
  <c r="BH13" i="1" s="1"/>
  <c r="F14" i="1"/>
  <c r="F21" i="1"/>
  <c r="BG21" i="1"/>
  <c r="BH21" i="1" s="1"/>
  <c r="F17" i="31"/>
  <c r="AG76" i="31"/>
  <c r="F45" i="31"/>
  <c r="F43" i="36" s="1"/>
  <c r="F40" i="31"/>
  <c r="AE76" i="31"/>
  <c r="F19" i="31"/>
  <c r="AF76" i="31"/>
  <c r="AJ76" i="31"/>
  <c r="F51" i="31"/>
  <c r="F30" i="31"/>
  <c r="BG17" i="1"/>
  <c r="BH17" i="1" s="1"/>
  <c r="BG22" i="1"/>
  <c r="BH22" i="1" s="1"/>
  <c r="BG25" i="1"/>
  <c r="BH25" i="1" s="1"/>
  <c r="F13" i="1"/>
  <c r="BG9" i="1"/>
  <c r="BH9" i="1" s="1"/>
  <c r="BG35" i="1"/>
  <c r="BH35" i="1" s="1"/>
  <c r="BG19" i="1"/>
  <c r="BH19" i="1" s="1"/>
  <c r="F17" i="1"/>
  <c r="F28" i="1"/>
  <c r="BG30" i="1"/>
  <c r="BH30" i="1" s="1"/>
  <c r="F25" i="1"/>
  <c r="F35" i="1"/>
  <c r="BG27" i="1"/>
  <c r="BH27" i="1" s="1"/>
  <c r="F9" i="1"/>
  <c r="BG29" i="1"/>
  <c r="BH29" i="1" s="1"/>
  <c r="E14" i="1"/>
  <c r="E25" i="1"/>
  <c r="E35" i="1"/>
  <c r="E12" i="1"/>
  <c r="E29" i="1"/>
  <c r="E24" i="1"/>
  <c r="E9" i="1"/>
  <c r="E32" i="1"/>
  <c r="BG32" i="1"/>
  <c r="BH32" i="1" s="1"/>
  <c r="E30" i="1"/>
  <c r="E11" i="1"/>
  <c r="F7" i="1"/>
  <c r="E21" i="1"/>
  <c r="BG7" i="1"/>
  <c r="BH7" i="1" s="1"/>
  <c r="E26" i="1"/>
  <c r="BG24" i="1"/>
  <c r="BH24" i="1" s="1"/>
  <c r="E22" i="1"/>
  <c r="E33" i="1"/>
  <c r="E13" i="1"/>
  <c r="E17" i="1"/>
  <c r="E18" i="1"/>
  <c r="BG28" i="1"/>
  <c r="BH28" i="1" s="1"/>
  <c r="E23" i="1"/>
  <c r="BG23" i="1"/>
  <c r="BH23" i="1" s="1"/>
  <c r="E27" i="1"/>
  <c r="F20" i="1"/>
  <c r="BC2" i="1"/>
  <c r="BA2" i="54" s="1"/>
  <c r="F34" i="1"/>
  <c r="F11" i="1"/>
  <c r="F10" i="1"/>
  <c r="BG20" i="1"/>
  <c r="BH20" i="1" s="1"/>
  <c r="BG33" i="1"/>
  <c r="BH33" i="1" s="1"/>
  <c r="F29" i="1"/>
  <c r="F27" i="1"/>
  <c r="BG10" i="1"/>
  <c r="BH10" i="1" s="1"/>
  <c r="E19" i="1"/>
  <c r="E10" i="1"/>
  <c r="E8" i="1"/>
  <c r="E15" i="1"/>
  <c r="E20" i="1"/>
  <c r="BG34" i="1"/>
  <c r="BH34" i="1" s="1"/>
  <c r="BG18" i="1"/>
  <c r="BG11" i="1"/>
  <c r="BH11" i="1" s="1"/>
  <c r="BG26" i="1"/>
  <c r="BH26" i="1" s="1"/>
  <c r="AB76" i="31"/>
  <c r="AA76" i="31"/>
  <c r="F7" i="31"/>
  <c r="F7" i="36" s="1"/>
  <c r="U76" i="31"/>
  <c r="F33" i="31"/>
  <c r="AE75" i="31"/>
  <c r="E53" i="31"/>
  <c r="AA75" i="31"/>
  <c r="E8" i="31"/>
  <c r="X76" i="31"/>
  <c r="W75" i="31"/>
  <c r="E51" i="31"/>
  <c r="E21" i="31"/>
  <c r="E33" i="31"/>
  <c r="AC75" i="31"/>
  <c r="E24" i="31"/>
  <c r="E49" i="31"/>
  <c r="F21" i="31"/>
  <c r="F21" i="36" s="1"/>
  <c r="X75" i="31"/>
  <c r="E50" i="31"/>
  <c r="F37" i="33"/>
  <c r="AH76" i="31"/>
  <c r="F24" i="31"/>
  <c r="F26" i="36" s="1"/>
  <c r="V75" i="31"/>
  <c r="E30" i="31"/>
  <c r="U75" i="31"/>
  <c r="E7" i="31"/>
  <c r="AB75" i="31"/>
  <c r="W76" i="31"/>
  <c r="F49" i="31"/>
  <c r="BC24" i="31"/>
  <c r="E45" i="31"/>
  <c r="F41" i="31"/>
  <c r="E40" i="31"/>
  <c r="AG75" i="31"/>
  <c r="AH75" i="31"/>
  <c r="E17" i="31"/>
  <c r="E11" i="31"/>
  <c r="E41" i="31"/>
  <c r="AC76" i="31"/>
  <c r="F50" i="31"/>
  <c r="E55" i="31"/>
  <c r="AF75" i="31"/>
  <c r="AJ75" i="31"/>
  <c r="E19" i="31"/>
  <c r="F36" i="31"/>
  <c r="F34" i="36" s="1"/>
  <c r="V76" i="31"/>
  <c r="CP2" i="1"/>
  <c r="CK2" i="54" s="1"/>
  <c r="CQ2" i="31"/>
  <c r="CQ2" i="36" s="1"/>
  <c r="BP28" i="26"/>
  <c r="AF18" i="33"/>
  <c r="J61" i="20"/>
  <c r="K61" i="20"/>
  <c r="I61" i="20"/>
  <c r="G61" i="20" s="1"/>
  <c r="H61" i="20" s="1"/>
  <c r="F61" i="20"/>
  <c r="BL20" i="33"/>
  <c r="T20" i="33"/>
  <c r="AF20" i="33"/>
  <c r="DT19" i="31"/>
  <c r="DQ19" i="31"/>
  <c r="DI19" i="31"/>
  <c r="DC19" i="31"/>
  <c r="CZ19" i="31"/>
  <c r="S49" i="40"/>
  <c r="V49" i="40"/>
  <c r="L49" i="40"/>
  <c r="G49" i="40"/>
  <c r="J49" i="40" s="1"/>
  <c r="DX49" i="40" s="1"/>
  <c r="BU19" i="31"/>
  <c r="EO19" i="31"/>
  <c r="AL19" i="31"/>
  <c r="V21" i="33"/>
  <c r="AI19" i="31"/>
  <c r="C20" i="45" l="1"/>
  <c r="F49" i="36"/>
  <c r="F53" i="36"/>
  <c r="F51" i="36"/>
  <c r="F50" i="36"/>
  <c r="F46" i="36"/>
  <c r="F47" i="36"/>
  <c r="F19" i="36"/>
  <c r="F16" i="36"/>
  <c r="F18" i="36"/>
  <c r="F39" i="36"/>
  <c r="F40" i="36"/>
  <c r="F30" i="36"/>
  <c r="F29" i="36"/>
  <c r="F32" i="36"/>
  <c r="F33" i="36"/>
  <c r="F15" i="36"/>
  <c r="F17" i="36"/>
  <c r="F52" i="36"/>
  <c r="F48" i="36"/>
  <c r="F27" i="36"/>
  <c r="F28" i="36"/>
  <c r="F38" i="36"/>
  <c r="F37" i="36"/>
  <c r="F24" i="36"/>
  <c r="F25" i="36"/>
  <c r="F22" i="36"/>
  <c r="F20" i="36"/>
  <c r="F41" i="36"/>
  <c r="F42" i="36"/>
  <c r="F45" i="36"/>
  <c r="F44" i="36"/>
  <c r="F35" i="36"/>
  <c r="F36" i="36"/>
  <c r="J24" i="32"/>
  <c r="J25" i="32"/>
  <c r="J40" i="32"/>
  <c r="J23" i="32"/>
  <c r="J49" i="32"/>
  <c r="BC50" i="36"/>
  <c r="J41" i="32"/>
  <c r="BC42" i="36"/>
  <c r="BC7" i="36"/>
  <c r="J22" i="32"/>
  <c r="J10" i="32"/>
  <c r="BC11" i="36"/>
  <c r="J11" i="32"/>
  <c r="BC12" i="36"/>
  <c r="J15" i="32"/>
  <c r="CO84" i="33"/>
  <c r="CO85" i="33" s="1"/>
  <c r="CX84" i="33"/>
  <c r="BH18" i="1"/>
  <c r="BG2" i="1"/>
  <c r="J9" i="32"/>
  <c r="J12" i="32"/>
  <c r="BC13" i="36"/>
  <c r="J13" i="32"/>
  <c r="J14" i="32"/>
  <c r="CH84" i="33"/>
  <c r="CH85" i="33" s="1"/>
  <c r="CC45" i="26" s="1"/>
  <c r="J16" i="32"/>
  <c r="J17" i="32"/>
  <c r="J8" i="32"/>
  <c r="J7" i="32"/>
  <c r="J19" i="32"/>
  <c r="J18" i="32"/>
  <c r="J21" i="32"/>
  <c r="J20" i="32"/>
  <c r="BC34" i="36"/>
  <c r="E7" i="36"/>
  <c r="BC14" i="36"/>
  <c r="BC10" i="36"/>
  <c r="BH7" i="36"/>
  <c r="BC41" i="36"/>
  <c r="BC33" i="36"/>
  <c r="BC40" i="36"/>
  <c r="BC37" i="36"/>
  <c r="BC39" i="36"/>
  <c r="E10" i="36"/>
  <c r="BC38" i="36"/>
  <c r="BC24" i="36"/>
  <c r="BC32" i="36"/>
  <c r="O19" i="31"/>
  <c r="BC31" i="36"/>
  <c r="BH37" i="36"/>
  <c r="E37" i="36"/>
  <c r="BH35" i="36"/>
  <c r="BH55" i="36"/>
  <c r="E48" i="36"/>
  <c r="E35" i="36"/>
  <c r="E43" i="36"/>
  <c r="BC30" i="36"/>
  <c r="BC29" i="36"/>
  <c r="BH46" i="36"/>
  <c r="BH43" i="36"/>
  <c r="BC17" i="36"/>
  <c r="E46" i="36"/>
  <c r="E16" i="36"/>
  <c r="BH17" i="36"/>
  <c r="BH39" i="36"/>
  <c r="BH38" i="36"/>
  <c r="E39" i="36"/>
  <c r="E38" i="36"/>
  <c r="BC28" i="36"/>
  <c r="BC27" i="36"/>
  <c r="E17" i="36"/>
  <c r="BC25" i="36"/>
  <c r="BC15" i="36"/>
  <c r="BC16" i="36"/>
  <c r="BC26" i="36"/>
  <c r="BH26" i="36"/>
  <c r="BH18" i="36"/>
  <c r="BH15" i="36"/>
  <c r="BH16" i="36"/>
  <c r="BH25" i="36"/>
  <c r="E25" i="36"/>
  <c r="BH28" i="36"/>
  <c r="BC22" i="36"/>
  <c r="BC23" i="36"/>
  <c r="E8" i="36"/>
  <c r="E15" i="36"/>
  <c r="BH49" i="36"/>
  <c r="BH48" i="36"/>
  <c r="BH11" i="36"/>
  <c r="BH10" i="36"/>
  <c r="E32" i="36"/>
  <c r="BH30" i="36"/>
  <c r="BH8" i="36"/>
  <c r="BC8" i="36"/>
  <c r="BC9" i="36"/>
  <c r="E9" i="36"/>
  <c r="E55" i="36"/>
  <c r="E23" i="36"/>
  <c r="E27" i="36"/>
  <c r="E26" i="36"/>
  <c r="BH22" i="36"/>
  <c r="BH14" i="36"/>
  <c r="BH27" i="36"/>
  <c r="E51" i="36"/>
  <c r="E49" i="36"/>
  <c r="E54" i="36"/>
  <c r="E40" i="36"/>
  <c r="E12" i="36"/>
  <c r="E11" i="36"/>
  <c r="BH36" i="36"/>
  <c r="E36" i="36"/>
  <c r="E13" i="36"/>
  <c r="E14" i="36"/>
  <c r="BH41" i="36"/>
  <c r="BH53" i="36"/>
  <c r="BH12" i="36"/>
  <c r="E20" i="36"/>
  <c r="E22" i="36"/>
  <c r="BH24" i="36"/>
  <c r="BH32" i="36"/>
  <c r="E19" i="36"/>
  <c r="E18" i="36"/>
  <c r="BH45" i="36"/>
  <c r="BH44" i="36"/>
  <c r="E45" i="36"/>
  <c r="E44" i="36"/>
  <c r="BC19" i="36"/>
  <c r="BC18" i="36"/>
  <c r="E21" i="36"/>
  <c r="BH50" i="36"/>
  <c r="BH51" i="36"/>
  <c r="BC20" i="36"/>
  <c r="BC21" i="36"/>
  <c r="E24" i="36"/>
  <c r="E42" i="36"/>
  <c r="E41" i="36"/>
  <c r="E52" i="36"/>
  <c r="E53" i="36"/>
  <c r="BH33" i="36"/>
  <c r="BH34" i="36"/>
  <c r="E31" i="36"/>
  <c r="E30" i="36"/>
  <c r="E33" i="36"/>
  <c r="E34" i="36"/>
  <c r="E29" i="36"/>
  <c r="E28" i="36"/>
  <c r="E47" i="36"/>
  <c r="E50" i="36"/>
  <c r="BH19" i="36"/>
  <c r="BH40" i="36"/>
  <c r="BH52" i="36"/>
  <c r="BH13" i="36"/>
  <c r="BH42" i="36"/>
  <c r="BH47" i="36"/>
  <c r="BH9" i="36"/>
  <c r="BH21" i="36"/>
  <c r="BH29" i="36"/>
  <c r="BH20" i="36"/>
  <c r="BH31" i="36"/>
  <c r="BH54" i="36"/>
  <c r="BH23" i="36"/>
  <c r="AQ71" i="31"/>
  <c r="U71" i="31"/>
  <c r="AB71" i="31"/>
  <c r="AJ71" i="31"/>
  <c r="L33" i="32" s="1"/>
  <c r="E34" i="54"/>
  <c r="AA71" i="31"/>
  <c r="Y71" i="31"/>
  <c r="G56" i="33"/>
  <c r="G20" i="33"/>
  <c r="G41" i="33"/>
  <c r="G46" i="33"/>
  <c r="G12" i="33"/>
  <c r="G9" i="33"/>
  <c r="G18" i="33"/>
  <c r="G51" i="33"/>
  <c r="F31" i="54"/>
  <c r="E26" i="54"/>
  <c r="F9" i="54"/>
  <c r="F10" i="54"/>
  <c r="E9" i="54"/>
  <c r="F28" i="54"/>
  <c r="E28" i="54"/>
  <c r="F34" i="54"/>
  <c r="BE34" i="54"/>
  <c r="F20" i="54"/>
  <c r="E31" i="54"/>
  <c r="E21" i="54"/>
  <c r="E20" i="54"/>
  <c r="F21" i="54"/>
  <c r="E10" i="54"/>
  <c r="E33" i="54"/>
  <c r="F14" i="54"/>
  <c r="E8" i="54"/>
  <c r="F8" i="54"/>
  <c r="F11" i="54"/>
  <c r="E11" i="54"/>
  <c r="AN71" i="31"/>
  <c r="E14" i="54"/>
  <c r="F26" i="54"/>
  <c r="E32" i="54"/>
  <c r="E18" i="54"/>
  <c r="F32" i="54"/>
  <c r="F33" i="54"/>
  <c r="F22" i="54"/>
  <c r="F16" i="54"/>
  <c r="F19" i="54"/>
  <c r="E15" i="54"/>
  <c r="F23" i="54"/>
  <c r="E22" i="54"/>
  <c r="E16" i="54"/>
  <c r="F24" i="54"/>
  <c r="F12" i="54"/>
  <c r="E24" i="54"/>
  <c r="E19" i="54"/>
  <c r="E12" i="54"/>
  <c r="E27" i="54"/>
  <c r="F13" i="54"/>
  <c r="E13" i="54"/>
  <c r="E25" i="54"/>
  <c r="E23" i="54"/>
  <c r="F17" i="54"/>
  <c r="F18" i="54"/>
  <c r="E30" i="54"/>
  <c r="E29" i="54"/>
  <c r="F30" i="54"/>
  <c r="F29" i="54"/>
  <c r="E17" i="54"/>
  <c r="F15" i="54"/>
  <c r="F25" i="54"/>
  <c r="F27" i="54"/>
  <c r="S21" i="33"/>
  <c r="Z19" i="31"/>
  <c r="BE10" i="54"/>
  <c r="BE27" i="54"/>
  <c r="BE28" i="54"/>
  <c r="AZ26" i="54"/>
  <c r="AZ32" i="54"/>
  <c r="BE9" i="54"/>
  <c r="BE26" i="54"/>
  <c r="BE31" i="54"/>
  <c r="BE13" i="54"/>
  <c r="BE23" i="54"/>
  <c r="BE22" i="54"/>
  <c r="BE29" i="54"/>
  <c r="BE8" i="54"/>
  <c r="BE30" i="54"/>
  <c r="AZ10" i="54"/>
  <c r="BE33" i="54"/>
  <c r="BE25" i="54"/>
  <c r="BE32" i="54"/>
  <c r="BE20" i="54"/>
  <c r="BE19" i="54"/>
  <c r="BE15" i="54"/>
  <c r="BE21" i="54"/>
  <c r="BE14" i="54"/>
  <c r="BE12" i="54"/>
  <c r="BE16" i="54"/>
  <c r="BE24" i="54"/>
  <c r="BE18" i="54"/>
  <c r="BE17" i="54"/>
  <c r="BE11" i="54"/>
  <c r="AZ8" i="54"/>
  <c r="AZ27" i="54"/>
  <c r="AZ9" i="54"/>
  <c r="F16" i="26"/>
  <c r="AZ29" i="54"/>
  <c r="AZ22" i="54"/>
  <c r="AZ28" i="54"/>
  <c r="AZ23" i="54"/>
  <c r="AZ21" i="54"/>
  <c r="AZ34" i="54"/>
  <c r="AZ17" i="54"/>
  <c r="AZ33" i="54"/>
  <c r="AZ24" i="54"/>
  <c r="AZ12" i="54"/>
  <c r="AZ16" i="54"/>
  <c r="AZ18" i="54"/>
  <c r="F34" i="26"/>
  <c r="AZ25" i="54"/>
  <c r="AZ20" i="54"/>
  <c r="AZ14" i="54"/>
  <c r="AZ30" i="54"/>
  <c r="AZ31" i="54"/>
  <c r="AZ19" i="54"/>
  <c r="AZ15" i="54"/>
  <c r="AZ11" i="54"/>
  <c r="AZ13" i="54"/>
  <c r="AH21" i="33"/>
  <c r="C20" i="31"/>
  <c r="W71" i="31"/>
  <c r="AC71" i="31"/>
  <c r="AE71" i="31"/>
  <c r="AG71" i="31"/>
  <c r="AF71" i="31"/>
  <c r="L46" i="32" s="1"/>
  <c r="F7" i="54"/>
  <c r="BE7" i="54"/>
  <c r="E7" i="54"/>
  <c r="AZ7" i="54"/>
  <c r="E29" i="26"/>
  <c r="J6" i="32"/>
  <c r="G54" i="33"/>
  <c r="F31" i="26"/>
  <c r="F27" i="26"/>
  <c r="F29" i="26"/>
  <c r="F14" i="26"/>
  <c r="F19" i="26"/>
  <c r="F12" i="26"/>
  <c r="F20" i="26"/>
  <c r="L7" i="15"/>
  <c r="E35" i="26"/>
  <c r="F9" i="26"/>
  <c r="F26" i="26"/>
  <c r="F22" i="26"/>
  <c r="F15" i="26"/>
  <c r="F25" i="26"/>
  <c r="F36" i="26"/>
  <c r="F35" i="26"/>
  <c r="F23" i="26"/>
  <c r="F13" i="26"/>
  <c r="AG77" i="31"/>
  <c r="AH71" i="31"/>
  <c r="G8" i="33"/>
  <c r="X71" i="31"/>
  <c r="AE77" i="31"/>
  <c r="G52" i="33"/>
  <c r="G31" i="33"/>
  <c r="AF77" i="31"/>
  <c r="AJ77" i="31"/>
  <c r="G22" i="33"/>
  <c r="G37" i="33"/>
  <c r="AC77" i="31"/>
  <c r="AB77" i="31"/>
  <c r="U77" i="31"/>
  <c r="AA77" i="31"/>
  <c r="F11" i="26"/>
  <c r="F30" i="26"/>
  <c r="F18" i="26"/>
  <c r="F10" i="26"/>
  <c r="F21" i="26"/>
  <c r="E12" i="26"/>
  <c r="E24" i="26"/>
  <c r="E22" i="26"/>
  <c r="E10" i="26"/>
  <c r="E26" i="26"/>
  <c r="E23" i="26"/>
  <c r="E15" i="26"/>
  <c r="F8" i="26"/>
  <c r="E21" i="26"/>
  <c r="E19" i="26"/>
  <c r="E30" i="26"/>
  <c r="E16" i="26"/>
  <c r="E18" i="26"/>
  <c r="E27" i="26"/>
  <c r="E31" i="26"/>
  <c r="E13" i="26"/>
  <c r="F28" i="26"/>
  <c r="E9" i="26"/>
  <c r="E28" i="26"/>
  <c r="E14" i="26"/>
  <c r="E33" i="26"/>
  <c r="E36" i="26"/>
  <c r="E20" i="26"/>
  <c r="E25" i="26"/>
  <c r="E11" i="26"/>
  <c r="E34" i="26"/>
  <c r="G50" i="33"/>
  <c r="G34" i="33"/>
  <c r="G25" i="33"/>
  <c r="W77" i="31"/>
  <c r="G42" i="33"/>
  <c r="V71" i="31"/>
  <c r="F50" i="33"/>
  <c r="F52" i="33"/>
  <c r="F31" i="33"/>
  <c r="F51" i="33"/>
  <c r="F54" i="33"/>
  <c r="F20" i="33"/>
  <c r="F42" i="33"/>
  <c r="F41" i="33"/>
  <c r="F25" i="33"/>
  <c r="F12" i="33"/>
  <c r="F56" i="33"/>
  <c r="F34" i="33"/>
  <c r="F46" i="33"/>
  <c r="F8" i="33"/>
  <c r="AH77" i="31"/>
  <c r="X77" i="31"/>
  <c r="V77" i="31"/>
  <c r="F18" i="33"/>
  <c r="F22" i="33"/>
  <c r="F9" i="33"/>
  <c r="S20" i="33"/>
  <c r="V20" i="33"/>
  <c r="AH20" i="33"/>
  <c r="R49" i="40"/>
  <c r="T49" i="40"/>
  <c r="I49" i="40"/>
  <c r="C19" i="31"/>
  <c r="DN19" i="31"/>
  <c r="T19" i="31"/>
  <c r="DU19" i="31"/>
  <c r="AB19" i="31"/>
  <c r="BI20" i="33"/>
  <c r="DD19" i="31"/>
  <c r="DV19" i="31"/>
  <c r="AG20" i="33"/>
  <c r="BE20" i="33"/>
  <c r="BB20" i="33"/>
  <c r="BP20" i="33"/>
  <c r="CE20" i="33"/>
  <c r="BX20" i="33"/>
  <c r="AU20" i="33"/>
  <c r="CB20" i="33"/>
  <c r="BU20" i="33"/>
  <c r="CV19" i="31"/>
  <c r="CU19" i="31" s="1"/>
  <c r="W49" i="40"/>
  <c r="U49" i="40"/>
  <c r="C21" i="45" l="1"/>
  <c r="M23" i="15"/>
  <c r="M14" i="15"/>
  <c r="M24" i="15"/>
  <c r="M21" i="15"/>
  <c r="M9" i="15"/>
  <c r="M33" i="15"/>
  <c r="M13" i="15"/>
  <c r="M20" i="15"/>
  <c r="M32" i="15"/>
  <c r="M27" i="15"/>
  <c r="M10" i="15"/>
  <c r="M35" i="15"/>
  <c r="M15" i="15"/>
  <c r="M16" i="15"/>
  <c r="M12" i="15"/>
  <c r="M34" i="15"/>
  <c r="M19" i="15"/>
  <c r="M25" i="15"/>
  <c r="M8" i="15"/>
  <c r="M26" i="15"/>
  <c r="M30" i="15"/>
  <c r="M31" i="15"/>
  <c r="M17" i="15"/>
  <c r="M22" i="15"/>
  <c r="M18" i="15"/>
  <c r="M29" i="15"/>
  <c r="M11" i="15"/>
  <c r="M28" i="15"/>
  <c r="CX85" i="33"/>
  <c r="CS45" i="26" s="1"/>
  <c r="CS44" i="26"/>
  <c r="CC44" i="26"/>
  <c r="CJ44" i="26"/>
  <c r="CJ45" i="26"/>
  <c r="K42" i="32"/>
  <c r="L35" i="32"/>
  <c r="L34" i="32"/>
  <c r="K21" i="32"/>
  <c r="K6" i="32"/>
  <c r="K28" i="32"/>
  <c r="K14" i="32"/>
  <c r="K46" i="32"/>
  <c r="K32" i="32"/>
  <c r="K36" i="32"/>
  <c r="K54" i="32"/>
  <c r="K52" i="32"/>
  <c r="K33" i="32"/>
  <c r="K55" i="32"/>
  <c r="K17" i="32"/>
  <c r="K26" i="32"/>
  <c r="K23" i="32"/>
  <c r="K11" i="32"/>
  <c r="K22" i="32"/>
  <c r="K27" i="32"/>
  <c r="K45" i="32"/>
  <c r="K30" i="32"/>
  <c r="K7" i="32"/>
  <c r="K53" i="32"/>
  <c r="K35" i="32"/>
  <c r="K44" i="32"/>
  <c r="K40" i="32"/>
  <c r="K47" i="32"/>
  <c r="K29" i="32"/>
  <c r="K51" i="32"/>
  <c r="K37" i="32"/>
  <c r="K25" i="32"/>
  <c r="K38" i="32"/>
  <c r="K16" i="32"/>
  <c r="K34" i="32"/>
  <c r="K43" i="32"/>
  <c r="K24" i="32"/>
  <c r="K20" i="32"/>
  <c r="K48" i="32"/>
  <c r="K41" i="32"/>
  <c r="K50" i="32"/>
  <c r="K18" i="32"/>
  <c r="K49" i="32"/>
  <c r="K12" i="32"/>
  <c r="K15" i="32"/>
  <c r="K31" i="32"/>
  <c r="K10" i="32"/>
  <c r="K39" i="32"/>
  <c r="K13" i="32"/>
  <c r="K19" i="32"/>
  <c r="K9" i="32"/>
  <c r="K8" i="32"/>
  <c r="BI48" i="36"/>
  <c r="BI7" i="36"/>
  <c r="BI43" i="36"/>
  <c r="BI10" i="36"/>
  <c r="BI25" i="36"/>
  <c r="BI37" i="36"/>
  <c r="BI35" i="36"/>
  <c r="BI46" i="36"/>
  <c r="BI39" i="36"/>
  <c r="BI38" i="36"/>
  <c r="BI17" i="36"/>
  <c r="BI15" i="36"/>
  <c r="BI16" i="36"/>
  <c r="BI8" i="36"/>
  <c r="BI9" i="36"/>
  <c r="BI55" i="36"/>
  <c r="BI27" i="36"/>
  <c r="BI26" i="36"/>
  <c r="BI51" i="36"/>
  <c r="BI49" i="36"/>
  <c r="BI54" i="36"/>
  <c r="BI12" i="36"/>
  <c r="BI11" i="36"/>
  <c r="BI36" i="36"/>
  <c r="BI20" i="36"/>
  <c r="BI22" i="36"/>
  <c r="BI32" i="36"/>
  <c r="BI13" i="36"/>
  <c r="BI14" i="36"/>
  <c r="BI21" i="36"/>
  <c r="BI19" i="36"/>
  <c r="BI18" i="36"/>
  <c r="BI45" i="36"/>
  <c r="BI44" i="36"/>
  <c r="BI42" i="36"/>
  <c r="BI41" i="36"/>
  <c r="BI40" i="36"/>
  <c r="BI31" i="36"/>
  <c r="BI30" i="36"/>
  <c r="BI47" i="36"/>
  <c r="BI50" i="36"/>
  <c r="BI52" i="36"/>
  <c r="BI53" i="36"/>
  <c r="BI33" i="36"/>
  <c r="BI34" i="36"/>
  <c r="BI29" i="36"/>
  <c r="BI28" i="36"/>
  <c r="BI23" i="36"/>
  <c r="BI24" i="36"/>
  <c r="AD19" i="31"/>
  <c r="C21" i="33"/>
  <c r="CY49" i="40"/>
  <c r="CW49" i="40" s="1"/>
  <c r="DU49" i="40" s="1"/>
  <c r="Y19" i="31"/>
  <c r="L17" i="32"/>
  <c r="L50" i="32"/>
  <c r="K84" i="51"/>
  <c r="C50" i="40"/>
  <c r="Z21" i="33"/>
  <c r="M70" i="51"/>
  <c r="C49" i="40"/>
  <c r="Q49" i="1"/>
  <c r="BE2" i="54"/>
  <c r="M7" i="15"/>
  <c r="AJ73" i="31"/>
  <c r="X49" i="40"/>
  <c r="BT19" i="31" s="1"/>
  <c r="AA19" i="31"/>
  <c r="AE19" i="31"/>
  <c r="AF19" i="31"/>
  <c r="AG19" i="31"/>
  <c r="AH19" i="31"/>
  <c r="BZ19" i="31"/>
  <c r="Z20" i="33"/>
  <c r="DW19" i="31"/>
  <c r="C20" i="33"/>
  <c r="C22" i="45" l="1"/>
  <c r="L49" i="32"/>
  <c r="L45" i="32"/>
  <c r="L15" i="32"/>
  <c r="L16" i="32"/>
  <c r="L30" i="32"/>
  <c r="L27" i="32"/>
  <c r="L38" i="32"/>
  <c r="L39" i="32"/>
  <c r="L31" i="32"/>
  <c r="L19" i="32"/>
  <c r="L52" i="32"/>
  <c r="L51" i="32"/>
  <c r="L8" i="32"/>
  <c r="L10" i="32"/>
  <c r="L7" i="32"/>
  <c r="L55" i="32"/>
  <c r="L26" i="32"/>
  <c r="L9" i="32"/>
  <c r="L43" i="32"/>
  <c r="L42" i="32"/>
  <c r="L29" i="32"/>
  <c r="L28" i="32"/>
  <c r="L14" i="32"/>
  <c r="L13" i="32"/>
  <c r="L44" i="32"/>
  <c r="L18" i="32"/>
  <c r="L12" i="32"/>
  <c r="L11" i="32"/>
  <c r="L37" i="32"/>
  <c r="L36" i="32"/>
  <c r="L23" i="32"/>
  <c r="L22" i="32"/>
  <c r="L41" i="32"/>
  <c r="L40" i="32"/>
  <c r="L21" i="32"/>
  <c r="L20" i="32"/>
  <c r="L48" i="32"/>
  <c r="L47" i="32"/>
  <c r="L53" i="32"/>
  <c r="L25" i="32"/>
  <c r="L24" i="32"/>
  <c r="L54" i="32"/>
  <c r="BK7" i="36"/>
  <c r="BK10" i="36"/>
  <c r="BK48" i="36"/>
  <c r="BK49" i="36"/>
  <c r="BK18" i="36"/>
  <c r="BK37" i="36"/>
  <c r="BK51" i="36"/>
  <c r="BK50" i="36"/>
  <c r="BK17" i="36"/>
  <c r="BK43" i="36"/>
  <c r="BK40" i="36"/>
  <c r="BK35" i="36"/>
  <c r="BK14" i="36"/>
  <c r="BK45" i="36"/>
  <c r="BK15" i="36"/>
  <c r="BK16" i="36"/>
  <c r="BK34" i="36"/>
  <c r="BK55" i="36"/>
  <c r="BK8" i="36"/>
  <c r="BK9" i="36"/>
  <c r="BK26" i="36"/>
  <c r="BK20" i="36"/>
  <c r="BK25" i="36"/>
  <c r="BK44" i="36"/>
  <c r="BK42" i="36"/>
  <c r="BK12" i="36"/>
  <c r="BK11" i="36"/>
  <c r="BK29" i="36"/>
  <c r="BK46" i="36"/>
  <c r="BK22" i="36"/>
  <c r="BK21" i="36"/>
  <c r="BK54" i="36"/>
  <c r="BK32" i="36"/>
  <c r="BK36" i="36"/>
  <c r="BK38" i="36"/>
  <c r="BK41" i="36"/>
  <c r="BK39" i="36"/>
  <c r="BK53" i="36"/>
  <c r="BK47" i="36"/>
  <c r="BK30" i="36"/>
  <c r="BK23" i="36"/>
  <c r="BK24" i="36"/>
  <c r="BK31" i="36"/>
  <c r="BK33" i="36"/>
  <c r="BK28" i="36"/>
  <c r="BK27" i="36"/>
  <c r="BK52" i="36"/>
  <c r="BK13" i="36"/>
  <c r="BK19" i="36"/>
  <c r="AE21" i="33"/>
  <c r="DW49" i="40"/>
  <c r="AA20" i="33" s="1"/>
  <c r="CW73" i="40"/>
  <c r="DU73" i="40" s="1"/>
  <c r="AB21" i="33"/>
  <c r="AC21" i="33" s="1"/>
  <c r="AS28" i="31"/>
  <c r="DO54" i="31"/>
  <c r="DO28" i="31"/>
  <c r="H10" i="53"/>
  <c r="AE20" i="33"/>
  <c r="AB20" i="33"/>
  <c r="AC20" i="33" s="1"/>
  <c r="DO43" i="31"/>
  <c r="Y49" i="40"/>
  <c r="AS19" i="31"/>
  <c r="AC19" i="31"/>
  <c r="C23" i="45" l="1"/>
  <c r="BW19" i="31"/>
  <c r="BW28" i="31"/>
  <c r="CA19" i="31"/>
  <c r="DR19" i="31" s="1"/>
  <c r="DS19" i="31" s="1"/>
  <c r="CA28" i="31"/>
  <c r="DR28" i="31" s="1"/>
  <c r="DS28" i="31" s="1"/>
  <c r="AD21" i="33"/>
  <c r="BF10" i="54"/>
  <c r="BF32" i="54"/>
  <c r="BF19" i="54"/>
  <c r="BF16" i="54"/>
  <c r="BF25" i="54"/>
  <c r="BF24" i="54"/>
  <c r="BF30" i="54"/>
  <c r="BF18" i="54"/>
  <c r="BF31" i="54"/>
  <c r="BF22" i="54"/>
  <c r="BF34" i="54"/>
  <c r="BF29" i="54"/>
  <c r="BF27" i="54"/>
  <c r="BF11" i="54"/>
  <c r="BF12" i="54"/>
  <c r="BF14" i="54"/>
  <c r="BF15" i="54"/>
  <c r="BF26" i="54"/>
  <c r="BF13" i="54"/>
  <c r="BF8" i="54"/>
  <c r="BF20" i="54"/>
  <c r="BF9" i="54"/>
  <c r="BF23" i="54"/>
  <c r="BF33" i="54"/>
  <c r="BF28" i="54"/>
  <c r="BF21" i="54"/>
  <c r="BF17" i="54"/>
  <c r="AN21" i="33"/>
  <c r="E21" i="33"/>
  <c r="BL19" i="31"/>
  <c r="BL28" i="31"/>
  <c r="AU28" i="31"/>
  <c r="DJ28" i="31"/>
  <c r="CR28" i="31"/>
  <c r="BF7" i="54"/>
  <c r="N7" i="15"/>
  <c r="AU19" i="31"/>
  <c r="CR19" i="31"/>
  <c r="DJ19" i="31"/>
  <c r="AD20" i="33"/>
  <c r="C24" i="45" l="1"/>
  <c r="O34" i="15"/>
  <c r="O30" i="15"/>
  <c r="O32" i="15"/>
  <c r="O29" i="15"/>
  <c r="O26" i="15"/>
  <c r="O24" i="15"/>
  <c r="O9" i="15"/>
  <c r="O18" i="15"/>
  <c r="O15" i="15"/>
  <c r="O11" i="15"/>
  <c r="O27" i="15"/>
  <c r="O14" i="15"/>
  <c r="O19" i="15"/>
  <c r="O31" i="15"/>
  <c r="O8" i="15"/>
  <c r="O33" i="15"/>
  <c r="O22" i="15"/>
  <c r="O16" i="15"/>
  <c r="O28" i="15"/>
  <c r="O21" i="15"/>
  <c r="O17" i="15"/>
  <c r="O10" i="15"/>
  <c r="O13" i="15"/>
  <c r="O35" i="15"/>
  <c r="O23" i="15"/>
  <c r="O25" i="15"/>
  <c r="O20" i="15"/>
  <c r="O12" i="15"/>
  <c r="AJ74" i="31"/>
  <c r="D19" i="31"/>
  <c r="D28" i="31"/>
  <c r="AN20" i="33"/>
  <c r="BY28" i="31"/>
  <c r="BX28" i="31"/>
  <c r="BX19" i="31"/>
  <c r="BY19" i="31"/>
  <c r="BM28" i="31"/>
  <c r="CB28" i="31"/>
  <c r="BM19" i="31"/>
  <c r="CB19" i="31"/>
  <c r="G32" i="40"/>
  <c r="G21" i="40"/>
  <c r="G10" i="40"/>
  <c r="J10" i="40" s="1"/>
  <c r="DX10" i="40" s="1"/>
  <c r="G25" i="40"/>
  <c r="G17" i="40"/>
  <c r="G26" i="40"/>
  <c r="G23" i="40"/>
  <c r="G11" i="40"/>
  <c r="G31" i="40"/>
  <c r="G9" i="40"/>
  <c r="G14" i="40"/>
  <c r="J14" i="40" s="1"/>
  <c r="DX14" i="40" s="1"/>
  <c r="G4" i="40"/>
  <c r="G6" i="40"/>
  <c r="G20" i="40"/>
  <c r="G24" i="40"/>
  <c r="G16" i="40"/>
  <c r="G12" i="40"/>
  <c r="G5" i="40"/>
  <c r="G19" i="40"/>
  <c r="G27" i="40"/>
  <c r="G8" i="40"/>
  <c r="G18" i="40"/>
  <c r="G29" i="40"/>
  <c r="G7" i="40"/>
  <c r="G15" i="40"/>
  <c r="C25" i="45" l="1"/>
  <c r="E20" i="33"/>
  <c r="DY49" i="40"/>
  <c r="DY58" i="40"/>
  <c r="CF19" i="31"/>
  <c r="CF28" i="31"/>
  <c r="CH28" i="31"/>
  <c r="CH19" i="31"/>
  <c r="I17" i="40"/>
  <c r="DP12" i="25" s="1"/>
  <c r="DT12" i="25" s="1"/>
  <c r="J17" i="40"/>
  <c r="DX17" i="40" s="1"/>
  <c r="I12" i="40"/>
  <c r="DP8" i="25" s="1"/>
  <c r="DT8" i="25" s="1"/>
  <c r="J12" i="40"/>
  <c r="DX12" i="40" s="1"/>
  <c r="I23" i="40"/>
  <c r="DP26" i="25" s="1"/>
  <c r="DT26" i="25" s="1"/>
  <c r="J23" i="40"/>
  <c r="DX23" i="40" s="1"/>
  <c r="I16" i="40"/>
  <c r="DP25" i="25" s="1"/>
  <c r="DT25" i="25" s="1"/>
  <c r="J16" i="40"/>
  <c r="DX16" i="40" s="1"/>
  <c r="I26" i="40"/>
  <c r="DP29" i="25" s="1"/>
  <c r="DT29" i="25" s="1"/>
  <c r="J26" i="40"/>
  <c r="DX26" i="40" s="1"/>
  <c r="I25" i="40"/>
  <c r="DP16" i="25" s="1"/>
  <c r="DT16" i="25" s="1"/>
  <c r="J25" i="40"/>
  <c r="DX25" i="40" s="1"/>
  <c r="I6" i="40"/>
  <c r="DP18" i="25" s="1"/>
  <c r="DT18" i="25" s="1"/>
  <c r="J6" i="40"/>
  <c r="DX6" i="40" s="1"/>
  <c r="I4" i="40"/>
  <c r="DP5" i="25" s="1"/>
  <c r="DT5" i="25" s="1"/>
  <c r="J4" i="40"/>
  <c r="DX4" i="40" s="1"/>
  <c r="I21" i="40"/>
  <c r="DP21" i="25" s="1"/>
  <c r="DT21" i="25" s="1"/>
  <c r="J21" i="40"/>
  <c r="DX21" i="40" s="1"/>
  <c r="I32" i="40"/>
  <c r="DP31" i="25" s="1"/>
  <c r="DT31" i="25" s="1"/>
  <c r="J32" i="40"/>
  <c r="DX32" i="40" s="1"/>
  <c r="I15" i="40"/>
  <c r="DP19" i="25" s="1"/>
  <c r="DT19" i="25" s="1"/>
  <c r="J15" i="40"/>
  <c r="DX15" i="40" s="1"/>
  <c r="I29" i="40"/>
  <c r="DP10" i="25" s="1"/>
  <c r="DT10" i="25" s="1"/>
  <c r="J29" i="40"/>
  <c r="DX29" i="40" s="1"/>
  <c r="I18" i="40"/>
  <c r="DP7" i="25" s="1"/>
  <c r="DT7" i="25" s="1"/>
  <c r="J18" i="40"/>
  <c r="DX18" i="40" s="1"/>
  <c r="I27" i="40"/>
  <c r="DP28" i="25" s="1"/>
  <c r="DT28" i="25" s="1"/>
  <c r="J27" i="40"/>
  <c r="DX27" i="40" s="1"/>
  <c r="I9" i="40"/>
  <c r="DP22" i="25" s="1"/>
  <c r="DT22" i="25" s="1"/>
  <c r="J9" i="40"/>
  <c r="DX9" i="40" s="1"/>
  <c r="I19" i="40"/>
  <c r="DP13" i="25" s="1"/>
  <c r="DT13" i="25" s="1"/>
  <c r="J19" i="40"/>
  <c r="DX19" i="40" s="1"/>
  <c r="I31" i="40"/>
  <c r="DP23" i="25" s="1"/>
  <c r="DT23" i="25" s="1"/>
  <c r="J31" i="40"/>
  <c r="DX31" i="40" s="1"/>
  <c r="I24" i="40"/>
  <c r="DP27" i="25" s="1"/>
  <c r="DT27" i="25" s="1"/>
  <c r="J24" i="40"/>
  <c r="DX24" i="40" s="1"/>
  <c r="I7" i="40"/>
  <c r="DP20" i="25" s="1"/>
  <c r="DT20" i="25" s="1"/>
  <c r="J7" i="40"/>
  <c r="DX7" i="40" s="1"/>
  <c r="I20" i="40"/>
  <c r="DP14" i="25" s="1"/>
  <c r="DT14" i="25" s="1"/>
  <c r="J20" i="40"/>
  <c r="DX20" i="40" s="1"/>
  <c r="I8" i="40"/>
  <c r="DP15" i="25" s="1"/>
  <c r="DT15" i="25" s="1"/>
  <c r="J8" i="40"/>
  <c r="DX8" i="40" s="1"/>
  <c r="I5" i="40"/>
  <c r="DP11" i="25" s="1"/>
  <c r="DT11" i="25" s="1"/>
  <c r="J5" i="40"/>
  <c r="DX5" i="40" s="1"/>
  <c r="I11" i="40"/>
  <c r="DP6" i="25" s="1"/>
  <c r="DT6" i="25" s="1"/>
  <c r="J11" i="40"/>
  <c r="DX11" i="40" s="1"/>
  <c r="AJ64" i="31"/>
  <c r="I14" i="40"/>
  <c r="I10" i="40"/>
  <c r="C26" i="45" l="1"/>
  <c r="CG19" i="31"/>
  <c r="CI19" i="31"/>
  <c r="CG28" i="31"/>
  <c r="CI28" i="31"/>
  <c r="AV43" i="31"/>
  <c r="AV19" i="31"/>
  <c r="B54" i="31"/>
  <c r="DP30" i="25"/>
  <c r="DT30" i="25" s="1"/>
  <c r="DP9" i="25"/>
  <c r="DT9" i="25" s="1"/>
  <c r="EO53" i="31"/>
  <c r="F57" i="20"/>
  <c r="I57" i="20"/>
  <c r="G57" i="20" s="1"/>
  <c r="H57" i="20" s="1"/>
  <c r="J57" i="20"/>
  <c r="K57" i="20"/>
  <c r="Q54" i="33"/>
  <c r="BE54" i="33"/>
  <c r="AL54" i="33"/>
  <c r="DQ53" i="31"/>
  <c r="CZ53" i="31"/>
  <c r="DC53" i="31"/>
  <c r="BU53" i="31"/>
  <c r="S83" i="40"/>
  <c r="V83" i="40"/>
  <c r="AL53" i="31"/>
  <c r="AI53" i="31"/>
  <c r="C27" i="45" l="1"/>
  <c r="CO83" i="40"/>
  <c r="CR83" i="40"/>
  <c r="CI83" i="40"/>
  <c r="CL83" i="40"/>
  <c r="O53" i="31"/>
  <c r="CA83" i="40"/>
  <c r="BX83" i="40"/>
  <c r="BU83" i="40"/>
  <c r="L83" i="40"/>
  <c r="R83" i="40" s="1"/>
  <c r="BF83" i="40"/>
  <c r="BL83" i="40"/>
  <c r="BR83" i="40"/>
  <c r="AT83" i="40"/>
  <c r="AZ83" i="40"/>
  <c r="BC83" i="40"/>
  <c r="AW83" i="40"/>
  <c r="BI83" i="40"/>
  <c r="BO83" i="40"/>
  <c r="Z53" i="31"/>
  <c r="AH54" i="33"/>
  <c r="V54" i="33"/>
  <c r="S54" i="33"/>
  <c r="C53" i="31"/>
  <c r="DN53" i="31"/>
  <c r="AC15" i="33"/>
  <c r="AG54" i="33"/>
  <c r="DU53" i="31"/>
  <c r="W83" i="40"/>
  <c r="DD53" i="31"/>
  <c r="DV53" i="31"/>
  <c r="T53" i="31"/>
  <c r="CE54" i="33"/>
  <c r="AX54" i="33"/>
  <c r="AF54" i="33"/>
  <c r="BL54" i="33"/>
  <c r="BX54" i="33"/>
  <c r="CV53" i="31"/>
  <c r="U83" i="40"/>
  <c r="T83" i="40"/>
  <c r="AB53" i="31"/>
  <c r="C28" i="45" l="1"/>
  <c r="CU53" i="31"/>
  <c r="AD53" i="31"/>
  <c r="CY83" i="40"/>
  <c r="Y53" i="31"/>
  <c r="C83" i="40"/>
  <c r="AE73" i="31"/>
  <c r="X83" i="40"/>
  <c r="BT53" i="31" s="1"/>
  <c r="K69" i="51"/>
  <c r="AA53" i="31"/>
  <c r="AE53" i="31"/>
  <c r="AF53" i="31"/>
  <c r="C15" i="33"/>
  <c r="DW53" i="31"/>
  <c r="AH53" i="31"/>
  <c r="AG53" i="31"/>
  <c r="AU54" i="33"/>
  <c r="BZ53" i="31"/>
  <c r="Z54" i="33"/>
  <c r="BB54" i="33"/>
  <c r="C54" i="33"/>
  <c r="BI54" i="33"/>
  <c r="BP54" i="33"/>
  <c r="BU54" i="33"/>
  <c r="CB54" i="33"/>
  <c r="C29" i="45" l="1"/>
  <c r="CW83" i="40"/>
  <c r="DU83" i="40" s="1"/>
  <c r="CW68" i="40"/>
  <c r="DU68" i="40" s="1"/>
  <c r="BW53" i="31"/>
  <c r="DW83" i="40"/>
  <c r="AA54" i="33" s="1"/>
  <c r="AE54" i="33"/>
  <c r="AB54" i="33"/>
  <c r="AC54" i="33" s="1"/>
  <c r="Y83" i="40"/>
  <c r="BL53" i="31" s="1"/>
  <c r="M69" i="51"/>
  <c r="AC53" i="31"/>
  <c r="AS53" i="31"/>
  <c r="C30" i="45" l="1"/>
  <c r="D53" i="31"/>
  <c r="BX53" i="31"/>
  <c r="CA53" i="31"/>
  <c r="DR53" i="31" s="1"/>
  <c r="DS53" i="31" s="1"/>
  <c r="AU53" i="31"/>
  <c r="AN54" i="33"/>
  <c r="BY53" i="31"/>
  <c r="AD15" i="33"/>
  <c r="BM53" i="31"/>
  <c r="CR53" i="31"/>
  <c r="AD54" i="33"/>
  <c r="DJ53" i="31"/>
  <c r="C31" i="45" l="1"/>
  <c r="AE74" i="31"/>
  <c r="DY83" i="40"/>
  <c r="CB53" i="31"/>
  <c r="E54" i="33"/>
  <c r="CH53" i="31"/>
  <c r="CF53" i="31"/>
  <c r="C32" i="45" l="1"/>
  <c r="AE64" i="31"/>
  <c r="AV53" i="31" s="1"/>
  <c r="CI53" i="31"/>
  <c r="CG53" i="31"/>
  <c r="C33" i="45" l="1"/>
  <c r="T1" i="26"/>
  <c r="C34" i="45" l="1"/>
  <c r="EH27" i="1"/>
  <c r="EH17" i="1"/>
  <c r="C35" i="45" l="1"/>
  <c r="Z51" i="31"/>
  <c r="C36" i="45" l="1"/>
  <c r="V29" i="33"/>
  <c r="V52" i="33"/>
  <c r="CE41" i="33"/>
  <c r="AL41" i="33"/>
  <c r="C37" i="45" l="1"/>
  <c r="BE41" i="33"/>
  <c r="AX41" i="33"/>
  <c r="BL41" i="33"/>
  <c r="BX41" i="33"/>
  <c r="C38" i="45" l="1"/>
  <c r="DB26" i="1"/>
  <c r="C39" i="45" l="1"/>
  <c r="AX31" i="33"/>
  <c r="AJ31" i="33"/>
  <c r="AL31" i="33"/>
  <c r="F53" i="20"/>
  <c r="F54" i="20"/>
  <c r="F56" i="20"/>
  <c r="J53" i="20"/>
  <c r="J54" i="20"/>
  <c r="J56" i="20"/>
  <c r="I54" i="20"/>
  <c r="G54" i="20" s="1"/>
  <c r="H54" i="20" s="1"/>
  <c r="S60" i="40"/>
  <c r="V60" i="40"/>
  <c r="L60" i="40"/>
  <c r="R60" i="40" s="1"/>
  <c r="G60" i="40"/>
  <c r="AI30" i="31"/>
  <c r="AL30" i="31"/>
  <c r="DT30" i="31"/>
  <c r="BU30" i="31"/>
  <c r="CZ30" i="31"/>
  <c r="DC30" i="31"/>
  <c r="DI30" i="31"/>
  <c r="DQ30" i="31"/>
  <c r="EO30" i="31"/>
  <c r="C40" i="45" l="1"/>
  <c r="O30" i="31"/>
  <c r="I60" i="40"/>
  <c r="J60" i="40"/>
  <c r="DX60" i="40" s="1"/>
  <c r="Z30" i="31"/>
  <c r="S31" i="33"/>
  <c r="V31" i="33"/>
  <c r="AH31" i="33"/>
  <c r="T60" i="40"/>
  <c r="C30" i="31"/>
  <c r="DN30" i="31"/>
  <c r="AS31" i="33"/>
  <c r="AF31" i="33"/>
  <c r="DV30" i="31"/>
  <c r="DU30" i="31"/>
  <c r="AB30" i="31"/>
  <c r="W60" i="40"/>
  <c r="U60" i="40"/>
  <c r="AG31" i="33"/>
  <c r="AU31" i="33"/>
  <c r="BU31" i="33"/>
  <c r="CB31" i="33"/>
  <c r="BI31" i="33"/>
  <c r="BB31" i="33"/>
  <c r="BP31" i="33"/>
  <c r="BL31" i="33"/>
  <c r="CE31" i="33"/>
  <c r="BE31" i="33"/>
  <c r="BX31" i="33"/>
  <c r="DD30" i="31"/>
  <c r="CV30" i="31"/>
  <c r="T30" i="31"/>
  <c r="C41" i="45" l="1"/>
  <c r="CU30" i="31"/>
  <c r="AD30" i="31"/>
  <c r="CY60" i="40"/>
  <c r="CW78" i="40" s="1"/>
  <c r="DU78" i="40" s="1"/>
  <c r="Y30" i="31"/>
  <c r="C60" i="40"/>
  <c r="U73" i="31"/>
  <c r="DO31" i="31" s="1"/>
  <c r="X60" i="40"/>
  <c r="BT30" i="31" s="1"/>
  <c r="AA30" i="31"/>
  <c r="AE30" i="31"/>
  <c r="AF30" i="31"/>
  <c r="DW30" i="31"/>
  <c r="AG30" i="31"/>
  <c r="AH30" i="31"/>
  <c r="Z31" i="33"/>
  <c r="C31" i="33"/>
  <c r="BZ30" i="31"/>
  <c r="C42" i="45" l="1"/>
  <c r="BW30" i="31"/>
  <c r="DW60" i="40"/>
  <c r="AA31" i="33" s="1"/>
  <c r="CW72" i="40"/>
  <c r="DU72" i="40" s="1"/>
  <c r="CW60" i="40"/>
  <c r="DU60" i="40" s="1"/>
  <c r="AE31" i="33"/>
  <c r="DO42" i="31"/>
  <c r="DO30" i="31"/>
  <c r="AB31" i="33"/>
  <c r="AC31" i="33" s="1"/>
  <c r="Y60" i="40"/>
  <c r="BL30" i="31" s="1"/>
  <c r="AC30" i="31"/>
  <c r="AS30" i="31"/>
  <c r="C43" i="45" l="1"/>
  <c r="D30" i="31"/>
  <c r="BX30" i="31"/>
  <c r="AU30" i="31"/>
  <c r="CA30" i="31"/>
  <c r="DR30" i="31" s="1"/>
  <c r="DS30" i="31" s="1"/>
  <c r="AN31" i="33"/>
  <c r="BY30" i="31"/>
  <c r="BM30" i="31"/>
  <c r="CR30" i="31"/>
  <c r="AD31" i="33"/>
  <c r="DJ30" i="31"/>
  <c r="C44" i="45" l="1"/>
  <c r="DY60" i="40"/>
  <c r="CB30" i="31"/>
  <c r="E31" i="33"/>
  <c r="CF30" i="31"/>
  <c r="CH30" i="31"/>
  <c r="DU24" i="1"/>
  <c r="C45" i="45" l="1"/>
  <c r="CG30" i="31"/>
  <c r="CI30" i="31"/>
  <c r="C46" i="45" l="1"/>
  <c r="EJ33" i="1"/>
  <c r="EE33" i="54" s="1"/>
  <c r="EJ29" i="1"/>
  <c r="C47" i="45" l="1"/>
  <c r="EE31" i="54"/>
  <c r="EE32" i="54"/>
  <c r="EE11" i="54"/>
  <c r="EE9" i="54"/>
  <c r="EE14" i="54"/>
  <c r="EE34" i="54"/>
  <c r="EE29" i="54"/>
  <c r="EE20" i="54"/>
  <c r="EE22" i="54"/>
  <c r="EE27" i="54"/>
  <c r="EE19" i="54"/>
  <c r="EE10" i="54"/>
  <c r="EE30" i="54"/>
  <c r="EE26" i="54"/>
  <c r="EE28" i="54"/>
  <c r="EE15" i="54"/>
  <c r="EE12" i="54"/>
  <c r="EE23" i="54"/>
  <c r="EE13" i="54"/>
  <c r="EE21" i="54"/>
  <c r="EE16" i="54"/>
  <c r="EE25" i="54"/>
  <c r="EE24" i="54"/>
  <c r="EE18" i="54"/>
  <c r="EE17" i="54"/>
  <c r="C48" i="45" l="1"/>
  <c r="AC30" i="26"/>
  <c r="AF52" i="33"/>
  <c r="C49" i="45" l="1"/>
  <c r="AO22" i="26"/>
  <c r="AO11" i="26"/>
  <c r="AS58" i="33"/>
  <c r="C50" i="45" l="1"/>
  <c r="A2" i="36"/>
  <c r="AU54" i="26"/>
  <c r="S70" i="40"/>
  <c r="V70" i="40"/>
  <c r="S75" i="40"/>
  <c r="V75" i="40"/>
  <c r="C51" i="45" l="1"/>
  <c r="I53" i="20"/>
  <c r="G53" i="20" s="1"/>
  <c r="H53" i="20" s="1"/>
  <c r="Q46" i="33"/>
  <c r="G75" i="40"/>
  <c r="G81" i="40"/>
  <c r="G70" i="40"/>
  <c r="L75" i="40"/>
  <c r="AI45" i="31"/>
  <c r="AL45" i="31"/>
  <c r="DT45" i="31"/>
  <c r="CZ45" i="31"/>
  <c r="DC45" i="31"/>
  <c r="DI45" i="31"/>
  <c r="DQ45" i="31"/>
  <c r="C52" i="45" l="1"/>
  <c r="O45" i="31"/>
  <c r="I70" i="40"/>
  <c r="J70" i="40"/>
  <c r="DX70" i="40" s="1"/>
  <c r="I81" i="40"/>
  <c r="J81" i="40"/>
  <c r="DX81" i="40" s="1"/>
  <c r="I75" i="40"/>
  <c r="J75" i="40"/>
  <c r="DX75" i="40" s="1"/>
  <c r="Z45" i="31"/>
  <c r="AH46" i="33"/>
  <c r="V46" i="33"/>
  <c r="S46" i="33"/>
  <c r="CE46" i="33"/>
  <c r="BX46" i="33"/>
  <c r="R75" i="40"/>
  <c r="C45" i="31"/>
  <c r="DN45" i="31"/>
  <c r="BL46" i="33"/>
  <c r="AX46" i="33"/>
  <c r="BE46" i="33"/>
  <c r="BU45" i="31"/>
  <c r="DV45" i="31"/>
  <c r="AB45" i="31"/>
  <c r="W70" i="40"/>
  <c r="T70" i="40"/>
  <c r="U70" i="40"/>
  <c r="T75" i="40"/>
  <c r="W75" i="40"/>
  <c r="U75" i="40"/>
  <c r="AG46" i="33"/>
  <c r="AF46" i="33"/>
  <c r="CV45" i="31"/>
  <c r="DD45" i="31"/>
  <c r="T45" i="31"/>
  <c r="C53" i="45" l="1"/>
  <c r="CU45" i="31"/>
  <c r="AD45" i="31"/>
  <c r="CY75" i="40"/>
  <c r="DW75" i="40" s="1"/>
  <c r="AA46" i="33" s="1"/>
  <c r="Y45" i="31"/>
  <c r="C75" i="40"/>
  <c r="X75" i="40"/>
  <c r="BT45" i="31" s="1"/>
  <c r="K54" i="51"/>
  <c r="AA45" i="31"/>
  <c r="AE45" i="31"/>
  <c r="AF45" i="31"/>
  <c r="DU45" i="31"/>
  <c r="AH45" i="31"/>
  <c r="AG45" i="31"/>
  <c r="AS46" i="33"/>
  <c r="BP46" i="33"/>
  <c r="Z46" i="33"/>
  <c r="C46" i="33"/>
  <c r="CB46" i="33"/>
  <c r="BU46" i="33"/>
  <c r="AU46" i="33"/>
  <c r="BI46" i="33"/>
  <c r="BB46" i="33"/>
  <c r="BZ45" i="31"/>
  <c r="C54" i="45" l="1"/>
  <c r="BW45" i="31"/>
  <c r="AE46" i="33"/>
  <c r="AB46" i="33"/>
  <c r="AC46" i="33" s="1"/>
  <c r="M54" i="51"/>
  <c r="AS45" i="31"/>
  <c r="Y75" i="40"/>
  <c r="BL45" i="31" s="1"/>
  <c r="DW45" i="31"/>
  <c r="AC45" i="31"/>
  <c r="C55" i="45" l="1"/>
  <c r="D45" i="31"/>
  <c r="BX45" i="31"/>
  <c r="AU45" i="31"/>
  <c r="CA45" i="31"/>
  <c r="DR45" i="31" s="1"/>
  <c r="DS45" i="31" s="1"/>
  <c r="AN46" i="33"/>
  <c r="BY45" i="31"/>
  <c r="BM45" i="31"/>
  <c r="CR45" i="31"/>
  <c r="DJ45" i="31"/>
  <c r="AD46" i="33"/>
  <c r="C56" i="45" l="1"/>
  <c r="DY75" i="40"/>
  <c r="CB45" i="31"/>
  <c r="E46" i="33"/>
  <c r="CF45" i="31"/>
  <c r="CH45" i="31"/>
  <c r="ED11" i="25"/>
  <c r="ED19" i="25"/>
  <c r="ED21" i="25"/>
  <c r="ED23" i="25"/>
  <c r="ED27" i="25"/>
  <c r="ED35" i="25"/>
  <c r="ED29" i="25"/>
  <c r="ED37" i="25"/>
  <c r="ED46" i="25"/>
  <c r="ED67" i="25"/>
  <c r="ED68" i="25"/>
  <c r="ED71" i="25"/>
  <c r="ED73" i="25"/>
  <c r="ED75" i="25"/>
  <c r="C57" i="45" l="1"/>
  <c r="CG45" i="31"/>
  <c r="CI45" i="31"/>
  <c r="ED76" i="25"/>
  <c r="ED45" i="25"/>
  <c r="ED38" i="25"/>
  <c r="ED18" i="25"/>
  <c r="ED31" i="25"/>
  <c r="ED22" i="25"/>
  <c r="ED12" i="25"/>
  <c r="ED28" i="25"/>
  <c r="ED20" i="25"/>
  <c r="ED16" i="25"/>
  <c r="ED44" i="25"/>
  <c r="ED15" i="25"/>
  <c r="ED78" i="25"/>
  <c r="ED64" i="25"/>
  <c r="ED60" i="25"/>
  <c r="ED56" i="25"/>
  <c r="ED52" i="25"/>
  <c r="ED8" i="25"/>
  <c r="ED72" i="25"/>
  <c r="ED70" i="25"/>
  <c r="ED14" i="25"/>
  <c r="ED79" i="25"/>
  <c r="ED63" i="25"/>
  <c r="ED61" i="25"/>
  <c r="ED53" i="25"/>
  <c r="ED26" i="25"/>
  <c r="ED17" i="25"/>
  <c r="ED49" i="25"/>
  <c r="ED47" i="25"/>
  <c r="ED42" i="25"/>
  <c r="ED40" i="25"/>
  <c r="ED6" i="25"/>
  <c r="ED69" i="25"/>
  <c r="ED54" i="25"/>
  <c r="ED57" i="25"/>
  <c r="ED55" i="25"/>
  <c r="ED48" i="25"/>
  <c r="ED41" i="25"/>
  <c r="ED39" i="25"/>
  <c r="ED30" i="25"/>
  <c r="ED62" i="25"/>
  <c r="ED65" i="25"/>
  <c r="ED58" i="25"/>
  <c r="ED50" i="25"/>
  <c r="ED5" i="25"/>
  <c r="ED9" i="25"/>
  <c r="ED77" i="25"/>
  <c r="ED74" i="25"/>
  <c r="ED66" i="25"/>
  <c r="ED59" i="25"/>
  <c r="ED51" i="25"/>
  <c r="ED43" i="25"/>
  <c r="ED36" i="25"/>
  <c r="ED32" i="25"/>
  <c r="ED25" i="25"/>
  <c r="ED10" i="25"/>
  <c r="ED13" i="25"/>
  <c r="C58" i="45" l="1"/>
  <c r="G63" i="40"/>
  <c r="G30" i="40"/>
  <c r="J30" i="40" s="1"/>
  <c r="DX30" i="40" s="1"/>
  <c r="C59" i="45" l="1"/>
  <c r="I63" i="40"/>
  <c r="J63" i="40"/>
  <c r="DX63" i="40" s="1"/>
  <c r="I30" i="40"/>
  <c r="C60" i="45" l="1"/>
  <c r="DP32" i="25"/>
  <c r="DT32" i="25" s="1"/>
  <c r="AF41" i="33"/>
  <c r="BB41" i="33"/>
  <c r="AU41" i="33"/>
  <c r="CB41" i="33"/>
  <c r="BI41" i="33"/>
  <c r="BU41" i="33"/>
  <c r="BP41" i="33"/>
  <c r="C61" i="45" l="1"/>
  <c r="M83" i="51"/>
  <c r="I56" i="20"/>
  <c r="G56" i="20" s="1"/>
  <c r="H56" i="20" s="1"/>
  <c r="K56" i="20"/>
  <c r="L70" i="40"/>
  <c r="AI40" i="31"/>
  <c r="AL40" i="31"/>
  <c r="DT40" i="31"/>
  <c r="CZ40" i="31"/>
  <c r="DC40" i="31"/>
  <c r="DI40" i="31"/>
  <c r="DQ40" i="31"/>
  <c r="EO40" i="31"/>
  <c r="C62" i="45" l="1"/>
  <c r="O40" i="31"/>
  <c r="Z40" i="31"/>
  <c r="S41" i="33"/>
  <c r="V41" i="33"/>
  <c r="AH41" i="33"/>
  <c r="R70" i="40"/>
  <c r="X70" i="40" s="1"/>
  <c r="BT40" i="31" s="1"/>
  <c r="DN40" i="31"/>
  <c r="C40" i="31"/>
  <c r="AG41" i="33"/>
  <c r="DV40" i="31"/>
  <c r="BU40" i="31"/>
  <c r="T40" i="31"/>
  <c r="CV40" i="31"/>
  <c r="DD40" i="31"/>
  <c r="AB40" i="31"/>
  <c r="C63" i="45" l="1"/>
  <c r="CU40" i="31"/>
  <c r="AD40" i="31"/>
  <c r="CY70" i="40"/>
  <c r="DW70" i="40" s="1"/>
  <c r="AA41" i="33" s="1"/>
  <c r="Y40" i="31"/>
  <c r="BW40" i="31"/>
  <c r="C70" i="40"/>
  <c r="AG73" i="31"/>
  <c r="K83" i="51"/>
  <c r="AS40" i="31"/>
  <c r="Y70" i="40"/>
  <c r="BL40" i="31" s="1"/>
  <c r="AE40" i="31"/>
  <c r="AA40" i="31"/>
  <c r="AF40" i="31"/>
  <c r="DU40" i="31"/>
  <c r="C41" i="33"/>
  <c r="Z41" i="33"/>
  <c r="AG40" i="31"/>
  <c r="BZ40" i="31"/>
  <c r="AH40" i="31"/>
  <c r="C64" i="45" l="1"/>
  <c r="DO19" i="31"/>
  <c r="DO38" i="31"/>
  <c r="CA40" i="31"/>
  <c r="DR40" i="31" s="1"/>
  <c r="DS40" i="31" s="1"/>
  <c r="BX40" i="31"/>
  <c r="D40" i="31"/>
  <c r="AU40" i="31"/>
  <c r="AN41" i="33"/>
  <c r="DO27" i="31"/>
  <c r="DO40" i="31"/>
  <c r="DO46" i="31"/>
  <c r="AE41" i="33"/>
  <c r="BM40" i="31"/>
  <c r="AB41" i="33"/>
  <c r="AC41" i="33" s="1"/>
  <c r="CR40" i="31"/>
  <c r="DW40" i="31"/>
  <c r="AC40" i="31"/>
  <c r="BY40" i="31"/>
  <c r="DJ40" i="31"/>
  <c r="C65" i="45" l="1"/>
  <c r="AG74" i="31"/>
  <c r="CB40" i="31"/>
  <c r="DY70" i="40"/>
  <c r="CH40" i="31"/>
  <c r="CF40" i="31"/>
  <c r="E41" i="33"/>
  <c r="AD41" i="33"/>
  <c r="EC81" i="25"/>
  <c r="EG75" i="25"/>
  <c r="EG77" i="25"/>
  <c r="EG79" i="25"/>
  <c r="C66" i="45" l="1"/>
  <c r="CG40" i="31"/>
  <c r="CI40" i="31"/>
  <c r="EG76" i="25"/>
  <c r="EG78" i="25"/>
  <c r="EC84" i="25"/>
  <c r="EB84" i="25"/>
  <c r="EB81" i="25"/>
  <c r="EF84" i="25"/>
  <c r="C67" i="45" l="1"/>
  <c r="EG19" i="25"/>
  <c r="EG14" i="25"/>
  <c r="EG64" i="25"/>
  <c r="EG65" i="25"/>
  <c r="EG67" i="25"/>
  <c r="EG69" i="25"/>
  <c r="EG23" i="25"/>
  <c r="EG35" i="25"/>
  <c r="EG27" i="25"/>
  <c r="EG28" i="25"/>
  <c r="EG9" i="25"/>
  <c r="EG25" i="25"/>
  <c r="EG6" i="25"/>
  <c r="EG12" i="25"/>
  <c r="EG32" i="25"/>
  <c r="EG22" i="25"/>
  <c r="EG29" i="25"/>
  <c r="EG26" i="25"/>
  <c r="EG31" i="25"/>
  <c r="EG30" i="25"/>
  <c r="EG18" i="25"/>
  <c r="EG36" i="25"/>
  <c r="EG37" i="25"/>
  <c r="EG39" i="25"/>
  <c r="EG40" i="25"/>
  <c r="EG42" i="25"/>
  <c r="EG43" i="25"/>
  <c r="EG44" i="25"/>
  <c r="EG46" i="25"/>
  <c r="EG47" i="25"/>
  <c r="EG48" i="25"/>
  <c r="EG50" i="25"/>
  <c r="EG51" i="25"/>
  <c r="EG52" i="25"/>
  <c r="EG54" i="25"/>
  <c r="EG55" i="25"/>
  <c r="EG56" i="25"/>
  <c r="EG58" i="25"/>
  <c r="EG59" i="25"/>
  <c r="EG60" i="25"/>
  <c r="EG62" i="25"/>
  <c r="EG63" i="25"/>
  <c r="EG66" i="25"/>
  <c r="C68" i="45" l="1"/>
  <c r="EG61" i="25"/>
  <c r="EG57" i="25"/>
  <c r="EG53" i="25"/>
  <c r="EG49" i="25"/>
  <c r="EG45" i="25"/>
  <c r="EG41" i="25"/>
  <c r="EG38" i="25"/>
  <c r="EG5" i="25"/>
  <c r="EG8" i="25"/>
  <c r="EG15" i="25"/>
  <c r="EG10" i="25"/>
  <c r="EG17" i="25"/>
  <c r="EG21" i="25"/>
  <c r="EG20" i="25"/>
  <c r="EG16" i="25"/>
  <c r="EG72" i="25"/>
  <c r="EG68" i="25"/>
  <c r="EG71" i="25"/>
  <c r="EG73" i="25"/>
  <c r="EG74" i="25"/>
  <c r="EG70" i="25"/>
  <c r="EG11" i="25"/>
  <c r="EG7" i="25"/>
  <c r="C69" i="45" l="1"/>
  <c r="CB60" i="33"/>
  <c r="C70" i="45" l="1"/>
  <c r="AH8" i="26"/>
  <c r="F52" i="20"/>
  <c r="I52" i="20"/>
  <c r="G52" i="20" s="1"/>
  <c r="H52" i="20" s="1"/>
  <c r="J52" i="20"/>
  <c r="K52" i="20"/>
  <c r="Q52" i="33"/>
  <c r="AJ52" i="33"/>
  <c r="AL52" i="33"/>
  <c r="S81" i="40"/>
  <c r="V81" i="40"/>
  <c r="L81" i="40"/>
  <c r="AI51" i="31"/>
  <c r="AL51" i="31"/>
  <c r="BU51" i="31"/>
  <c r="CZ51" i="31"/>
  <c r="DC51" i="31"/>
  <c r="DI51" i="31"/>
  <c r="DQ51" i="31"/>
  <c r="AI55" i="31"/>
  <c r="AL55" i="31"/>
  <c r="BU55" i="31"/>
  <c r="CZ55" i="31"/>
  <c r="DC55" i="31"/>
  <c r="DI55" i="31"/>
  <c r="EO55" i="31"/>
  <c r="C71" i="45" l="1"/>
  <c r="O51" i="31"/>
  <c r="CV55" i="31"/>
  <c r="CU55" i="31" s="1"/>
  <c r="Z55" i="31"/>
  <c r="C28" i="31"/>
  <c r="AH29" i="33"/>
  <c r="V56" i="33"/>
  <c r="S56" i="33"/>
  <c r="AH56" i="33"/>
  <c r="AH52" i="33"/>
  <c r="R81" i="40"/>
  <c r="C51" i="31"/>
  <c r="C55" i="31"/>
  <c r="T51" i="31"/>
  <c r="DN55" i="31"/>
  <c r="DN51" i="31"/>
  <c r="BE52" i="33"/>
  <c r="BL52" i="33"/>
  <c r="CE52" i="33"/>
  <c r="DV55" i="31"/>
  <c r="AG52" i="33"/>
  <c r="AB51" i="31"/>
  <c r="AB55" i="31"/>
  <c r="DU55" i="31"/>
  <c r="DT55" i="31"/>
  <c r="DU51" i="31"/>
  <c r="DT51" i="31"/>
  <c r="U81" i="40"/>
  <c r="DV51" i="31"/>
  <c r="AX52" i="33"/>
  <c r="BX52" i="33"/>
  <c r="W81" i="40"/>
  <c r="T81" i="40"/>
  <c r="DD51" i="31"/>
  <c r="CV51" i="31"/>
  <c r="CU51" i="31" s="1"/>
  <c r="T55" i="31"/>
  <c r="DD55" i="31"/>
  <c r="C72" i="45" l="1"/>
  <c r="AD55" i="31"/>
  <c r="AD51" i="31"/>
  <c r="W73" i="31"/>
  <c r="DO14" i="31" s="1"/>
  <c r="C29" i="33"/>
  <c r="CY86" i="40"/>
  <c r="Y55" i="31"/>
  <c r="CY81" i="40"/>
  <c r="CW81" i="40" s="1"/>
  <c r="DU81" i="40" s="1"/>
  <c r="Y51" i="31"/>
  <c r="C58" i="40"/>
  <c r="Z29" i="33"/>
  <c r="K70" i="51"/>
  <c r="C86" i="40"/>
  <c r="C81" i="40"/>
  <c r="AF73" i="31"/>
  <c r="DO52" i="31" s="1"/>
  <c r="K66" i="51"/>
  <c r="X81" i="40"/>
  <c r="BT51" i="31" s="1"/>
  <c r="AA55" i="31"/>
  <c r="AA51" i="31"/>
  <c r="AE55" i="31"/>
  <c r="AE51" i="31"/>
  <c r="AF55" i="31"/>
  <c r="AF51" i="31"/>
  <c r="AG51" i="31"/>
  <c r="AG55" i="31"/>
  <c r="CB52" i="33"/>
  <c r="DW55" i="31"/>
  <c r="DW51" i="31"/>
  <c r="BZ55" i="31"/>
  <c r="AH51" i="31"/>
  <c r="BZ51" i="31"/>
  <c r="Z52" i="33"/>
  <c r="BU52" i="33"/>
  <c r="BP52" i="33"/>
  <c r="BI52" i="33"/>
  <c r="BB52" i="33"/>
  <c r="AU52" i="33"/>
  <c r="C52" i="33"/>
  <c r="AH55" i="31"/>
  <c r="C73" i="45" l="1"/>
  <c r="CW39" i="40"/>
  <c r="DU39" i="40" s="1"/>
  <c r="CW82" i="40"/>
  <c r="DU82" i="40" s="1"/>
  <c r="DO51" i="31"/>
  <c r="AE29" i="33"/>
  <c r="DW81" i="40"/>
  <c r="AA52" i="33" s="1"/>
  <c r="DW86" i="40"/>
  <c r="AA56" i="33" s="1"/>
  <c r="CW86" i="40"/>
  <c r="DU86" i="40" s="1"/>
  <c r="AB29" i="33"/>
  <c r="AC29" i="33" s="1"/>
  <c r="AS14" i="31"/>
  <c r="AE56" i="33"/>
  <c r="AE52" i="33"/>
  <c r="AB52" i="33"/>
  <c r="AC52" i="33" s="1"/>
  <c r="AB56" i="33"/>
  <c r="AS51" i="31"/>
  <c r="Y81" i="40"/>
  <c r="AC51" i="31"/>
  <c r="AC55" i="31"/>
  <c r="AH13" i="26"/>
  <c r="C74" i="45" l="1"/>
  <c r="BW14" i="31"/>
  <c r="BW51" i="31"/>
  <c r="CA14" i="31"/>
  <c r="DR14" i="31" s="1"/>
  <c r="DS14" i="31" s="1"/>
  <c r="AD29" i="33"/>
  <c r="AU51" i="31"/>
  <c r="CA51" i="31"/>
  <c r="DR51" i="31" s="1"/>
  <c r="DS51" i="31" s="1"/>
  <c r="E29" i="33"/>
  <c r="AN29" i="33"/>
  <c r="BL51" i="31"/>
  <c r="BL14" i="31"/>
  <c r="AU14" i="31"/>
  <c r="CR14" i="31"/>
  <c r="DJ14" i="31"/>
  <c r="DJ51" i="31"/>
  <c r="CR51" i="31"/>
  <c r="AD52" i="33"/>
  <c r="C75" i="45" l="1"/>
  <c r="W74" i="31"/>
  <c r="AP74" i="31"/>
  <c r="AN15" i="33"/>
  <c r="BX14" i="31"/>
  <c r="BY14" i="31"/>
  <c r="AN52" i="33"/>
  <c r="D51" i="31"/>
  <c r="D14" i="31"/>
  <c r="BY51" i="31"/>
  <c r="BX51" i="31"/>
  <c r="BM14" i="31"/>
  <c r="BM51" i="31"/>
  <c r="CB51" i="31"/>
  <c r="CB14" i="31"/>
  <c r="W64" i="31"/>
  <c r="AV51" i="31" s="1"/>
  <c r="AP64" i="31"/>
  <c r="AV14" i="31" s="1"/>
  <c r="AH9" i="26"/>
  <c r="AH30" i="26"/>
  <c r="AH27" i="26"/>
  <c r="AH14" i="26"/>
  <c r="C76" i="45" l="1"/>
  <c r="CH14" i="31"/>
  <c r="CF14" i="31"/>
  <c r="DY81" i="40"/>
  <c r="E52" i="33"/>
  <c r="CH51" i="31"/>
  <c r="CF51" i="31"/>
  <c r="DY44" i="40"/>
  <c r="E15" i="33"/>
  <c r="G54" i="40"/>
  <c r="C77" i="45" l="1"/>
  <c r="CI14" i="31"/>
  <c r="CG14" i="31"/>
  <c r="CG51" i="31"/>
  <c r="CI51" i="31"/>
  <c r="I54" i="40"/>
  <c r="J54" i="40"/>
  <c r="DX54" i="40" s="1"/>
  <c r="C78" i="45" l="1"/>
  <c r="G80" i="40"/>
  <c r="G41" i="40"/>
  <c r="G39" i="40"/>
  <c r="G38" i="40"/>
  <c r="G37" i="40"/>
  <c r="G71" i="40"/>
  <c r="G79" i="40"/>
  <c r="G51" i="40"/>
  <c r="G47" i="40"/>
  <c r="J47" i="40" s="1"/>
  <c r="DX47" i="40" s="1"/>
  <c r="C79" i="45" l="1"/>
  <c r="I79" i="40"/>
  <c r="J79" i="40"/>
  <c r="DX79" i="40" s="1"/>
  <c r="I71" i="40"/>
  <c r="J71" i="40"/>
  <c r="DX71" i="40" s="1"/>
  <c r="I37" i="40"/>
  <c r="J37" i="40"/>
  <c r="DX37" i="40" s="1"/>
  <c r="I38" i="40"/>
  <c r="J38" i="40"/>
  <c r="DX38" i="40" s="1"/>
  <c r="I86" i="40"/>
  <c r="J86" i="40"/>
  <c r="DX86" i="40" s="1"/>
  <c r="I41" i="40"/>
  <c r="J41" i="40"/>
  <c r="DX41" i="40" s="1"/>
  <c r="I51" i="40"/>
  <c r="J51" i="40"/>
  <c r="DX51" i="40" s="1"/>
  <c r="I39" i="40"/>
  <c r="J39" i="40"/>
  <c r="DX39" i="40" s="1"/>
  <c r="I80" i="40"/>
  <c r="J80" i="40"/>
  <c r="DX80" i="40" s="1"/>
  <c r="I47" i="40"/>
  <c r="AH36" i="26"/>
  <c r="BL9" i="33"/>
  <c r="C80" i="45" l="1"/>
  <c r="AG21" i="26"/>
  <c r="CW21" i="26" s="1"/>
  <c r="C81" i="45" l="1"/>
  <c r="CG21" i="26"/>
  <c r="ED2" i="31"/>
  <c r="ED2" i="36" s="1"/>
  <c r="C82" i="45" l="1"/>
  <c r="AI8" i="31"/>
  <c r="C83" i="45" l="1"/>
  <c r="AH9" i="33"/>
  <c r="AB8" i="31"/>
  <c r="C84" i="45" l="1"/>
  <c r="CB83" i="33"/>
  <c r="BU83" i="33"/>
  <c r="C85" i="45" l="1"/>
  <c r="DI41" i="31"/>
  <c r="DI7" i="31"/>
  <c r="DI8" i="31"/>
  <c r="DI11" i="31"/>
  <c r="DI36" i="31"/>
  <c r="DI33" i="31"/>
  <c r="DI49" i="31"/>
  <c r="DI50" i="31"/>
  <c r="DI21" i="31"/>
  <c r="DI24" i="31"/>
  <c r="DI17" i="31"/>
  <c r="DH28" i="1"/>
  <c r="DH12" i="1"/>
  <c r="DH27" i="1"/>
  <c r="DH24" i="1"/>
  <c r="DH34" i="1"/>
  <c r="DH33" i="1"/>
  <c r="DH29" i="1"/>
  <c r="DH19" i="1"/>
  <c r="DH30" i="1"/>
  <c r="DH14" i="1"/>
  <c r="DH13" i="1"/>
  <c r="DH26" i="1"/>
  <c r="DH32" i="1"/>
  <c r="DH22" i="1"/>
  <c r="DH9" i="1"/>
  <c r="DH15" i="1"/>
  <c r="DH8" i="1"/>
  <c r="DH21" i="1"/>
  <c r="DH17" i="1"/>
  <c r="DH20" i="1"/>
  <c r="DH25" i="1"/>
  <c r="DH23" i="1"/>
  <c r="DH35" i="1"/>
  <c r="DH10" i="1"/>
  <c r="DH7" i="1"/>
  <c r="DH11" i="1"/>
  <c r="DH18" i="1"/>
  <c r="C86" i="45" l="1"/>
  <c r="DI48" i="36"/>
  <c r="DI52" i="36"/>
  <c r="DI7" i="36"/>
  <c r="DI10" i="36"/>
  <c r="DI37" i="36"/>
  <c r="DI38" i="36"/>
  <c r="DI11" i="36"/>
  <c r="DI12" i="36"/>
  <c r="DI17" i="36"/>
  <c r="DI50" i="36"/>
  <c r="DI49" i="36"/>
  <c r="DI43" i="36"/>
  <c r="DI53" i="36"/>
  <c r="DI51" i="36"/>
  <c r="DI47" i="36"/>
  <c r="DI46" i="36"/>
  <c r="DI15" i="36"/>
  <c r="DI16" i="36"/>
  <c r="DI25" i="36"/>
  <c r="DI8" i="36"/>
  <c r="DI9" i="36"/>
  <c r="DI36" i="36"/>
  <c r="DI35" i="36"/>
  <c r="DI55" i="36"/>
  <c r="DI27" i="36"/>
  <c r="DI26" i="36"/>
  <c r="DI42" i="36"/>
  <c r="DI41" i="36"/>
  <c r="DI32" i="36"/>
  <c r="DI13" i="36"/>
  <c r="DI14" i="36"/>
  <c r="DI20" i="36"/>
  <c r="DI22" i="36"/>
  <c r="DI54" i="36"/>
  <c r="DI21" i="36"/>
  <c r="DI40" i="36"/>
  <c r="DI39" i="36"/>
  <c r="DI45" i="36"/>
  <c r="DI44" i="36"/>
  <c r="DI19" i="36"/>
  <c r="DI18" i="36"/>
  <c r="DI31" i="36"/>
  <c r="DI30" i="36"/>
  <c r="DI23" i="36"/>
  <c r="DI24" i="36"/>
  <c r="DI33" i="36"/>
  <c r="DI34" i="36"/>
  <c r="DI29" i="36"/>
  <c r="DI28" i="36"/>
  <c r="DI2" i="31"/>
  <c r="DI2" i="36" s="1"/>
  <c r="DC34" i="54"/>
  <c r="DC31" i="54"/>
  <c r="DC28" i="54"/>
  <c r="DC27" i="54"/>
  <c r="DC13" i="54"/>
  <c r="DC26" i="54"/>
  <c r="DC9" i="54"/>
  <c r="DC29" i="54"/>
  <c r="DC17" i="54"/>
  <c r="DC12" i="54"/>
  <c r="DC10" i="54"/>
  <c r="DC30" i="54"/>
  <c r="DC8" i="54"/>
  <c r="DC22" i="54"/>
  <c r="DC19" i="54"/>
  <c r="DC25" i="54"/>
  <c r="DC32" i="54"/>
  <c r="DC24" i="54"/>
  <c r="DC33" i="54"/>
  <c r="DC18" i="54"/>
  <c r="DC20" i="54"/>
  <c r="DC15" i="54"/>
  <c r="DC21" i="54"/>
  <c r="DC23" i="54"/>
  <c r="DC14" i="54"/>
  <c r="DC16" i="54"/>
  <c r="DC11" i="54"/>
  <c r="DC7" i="54"/>
  <c r="DH2" i="1"/>
  <c r="DC2" i="54" s="1"/>
  <c r="C87" i="45" l="1"/>
  <c r="AR2" i="33"/>
  <c r="BI2" i="26"/>
  <c r="C88" i="45" l="1"/>
  <c r="CF81" i="33"/>
  <c r="CF2" i="33"/>
  <c r="CD2" i="33"/>
  <c r="CA2" i="33"/>
  <c r="CA38" i="26"/>
  <c r="CA2" i="26"/>
  <c r="BL29" i="26"/>
  <c r="BL30" i="26"/>
  <c r="BL25" i="26"/>
  <c r="BL28" i="26"/>
  <c r="BL13" i="26"/>
  <c r="BL34" i="26"/>
  <c r="BL31" i="26"/>
  <c r="BL35" i="26"/>
  <c r="BL14" i="26"/>
  <c r="BL20" i="26"/>
  <c r="BL33" i="26"/>
  <c r="BL15" i="26"/>
  <c r="BL27" i="26"/>
  <c r="BL23" i="26"/>
  <c r="BL9" i="26"/>
  <c r="BL22" i="26"/>
  <c r="BL16" i="26"/>
  <c r="BL18" i="26"/>
  <c r="BL10" i="26"/>
  <c r="BL21" i="26"/>
  <c r="BL26" i="26"/>
  <c r="BL24" i="26"/>
  <c r="BL36" i="26"/>
  <c r="BL11" i="26"/>
  <c r="BL8" i="26"/>
  <c r="BL12" i="26"/>
  <c r="BL19" i="26"/>
  <c r="BY81" i="33"/>
  <c r="BT39" i="26" s="1"/>
  <c r="BY2" i="33"/>
  <c r="BW2" i="33"/>
  <c r="BT2" i="33"/>
  <c r="C89" i="45" l="1"/>
  <c r="CA3" i="33"/>
  <c r="BV3" i="26"/>
  <c r="BX32" i="26" s="1"/>
  <c r="CA39" i="26"/>
  <c r="BL2" i="26"/>
  <c r="C90" i="45" l="1"/>
  <c r="AF11" i="26"/>
  <c r="W9" i="1"/>
  <c r="Y9" i="1" s="1"/>
  <c r="C91" i="45" l="1"/>
  <c r="AO8" i="26"/>
  <c r="AS10" i="1"/>
  <c r="AS8" i="1"/>
  <c r="AS11" i="1"/>
  <c r="AS23" i="1"/>
  <c r="AS25" i="1"/>
  <c r="AS7" i="1"/>
  <c r="AS32" i="1"/>
  <c r="AS9" i="1"/>
  <c r="AS35" i="1"/>
  <c r="AS21" i="1"/>
  <c r="AS15" i="1"/>
  <c r="AS17" i="1"/>
  <c r="AS33" i="1"/>
  <c r="AS19" i="1"/>
  <c r="AS24" i="1"/>
  <c r="AS14" i="1"/>
  <c r="AS34" i="1"/>
  <c r="AS30" i="1"/>
  <c r="AS22" i="1"/>
  <c r="AS26" i="1"/>
  <c r="AS12" i="1"/>
  <c r="AS29" i="1"/>
  <c r="AS13" i="1"/>
  <c r="AS28" i="1"/>
  <c r="AS27" i="1"/>
  <c r="AS18" i="1"/>
  <c r="U34" i="1"/>
  <c r="C92" i="45" l="1"/>
  <c r="AQ34" i="54"/>
  <c r="AQ10" i="54"/>
  <c r="AQ26" i="54"/>
  <c r="AQ27" i="54"/>
  <c r="AQ22" i="54"/>
  <c r="AQ28" i="54"/>
  <c r="AQ9" i="54"/>
  <c r="AQ31" i="54"/>
  <c r="AQ15" i="54"/>
  <c r="AQ18" i="54"/>
  <c r="AQ13" i="54"/>
  <c r="AQ30" i="54"/>
  <c r="AQ8" i="54"/>
  <c r="AQ29" i="54"/>
  <c r="AQ11" i="54"/>
  <c r="AQ33" i="54"/>
  <c r="AQ25" i="54"/>
  <c r="AQ19" i="54"/>
  <c r="AQ24" i="54"/>
  <c r="AQ32" i="54"/>
  <c r="AQ21" i="54"/>
  <c r="AQ20" i="54"/>
  <c r="AQ12" i="54"/>
  <c r="AQ14" i="54"/>
  <c r="AQ16" i="54"/>
  <c r="AQ23" i="54"/>
  <c r="AQ17" i="54"/>
  <c r="AQ7" i="54"/>
  <c r="BW8" i="26"/>
  <c r="BE8" i="26"/>
  <c r="BP8" i="26"/>
  <c r="AX8" i="26"/>
  <c r="AQ8" i="26"/>
  <c r="U14" i="1"/>
  <c r="C93" i="45" l="1"/>
  <c r="R8" i="26"/>
  <c r="AF28" i="26"/>
  <c r="C94" i="45" l="1"/>
  <c r="EO41" i="31"/>
  <c r="EO11" i="31"/>
  <c r="EO8" i="31"/>
  <c r="EO50" i="31"/>
  <c r="EO49" i="31"/>
  <c r="EO21" i="31"/>
  <c r="EO24" i="31"/>
  <c r="AH10" i="26"/>
  <c r="C95" i="45" l="1"/>
  <c r="EO52" i="36"/>
  <c r="EO50" i="36"/>
  <c r="EO49" i="36"/>
  <c r="EO53" i="36"/>
  <c r="EO51" i="36"/>
  <c r="EO46" i="36"/>
  <c r="EO47" i="36"/>
  <c r="EO42" i="36"/>
  <c r="EO54" i="36"/>
  <c r="AJ18" i="33"/>
  <c r="AJ22" i="33"/>
  <c r="AJ50" i="33"/>
  <c r="AJ51" i="33"/>
  <c r="AJ37" i="33"/>
  <c r="AJ12" i="33"/>
  <c r="AJ8" i="33"/>
  <c r="AJ42" i="33"/>
  <c r="AJ56" i="33"/>
  <c r="AF29" i="26"/>
  <c r="AF30" i="26"/>
  <c r="AF14" i="26"/>
  <c r="AF19" i="26"/>
  <c r="AF15" i="26"/>
  <c r="AF27" i="26"/>
  <c r="AF31" i="26"/>
  <c r="AF34" i="26"/>
  <c r="AF33" i="26"/>
  <c r="AF36" i="26"/>
  <c r="AF9" i="26"/>
  <c r="AF16" i="26"/>
  <c r="AF10" i="26"/>
  <c r="AF22" i="26"/>
  <c r="AF21" i="26"/>
  <c r="AF12" i="26"/>
  <c r="AF24" i="26"/>
  <c r="AG16" i="26"/>
  <c r="CW16" i="26" s="1"/>
  <c r="C96" i="45" l="1"/>
  <c r="AT16" i="26"/>
  <c r="CG16" i="26"/>
  <c r="BS16" i="26"/>
  <c r="S54" i="40"/>
  <c r="T54" i="40"/>
  <c r="V54" i="40"/>
  <c r="W54" i="40" s="1"/>
  <c r="S47" i="40"/>
  <c r="T47" i="40"/>
  <c r="V47" i="40"/>
  <c r="W47" i="40" s="1"/>
  <c r="S51" i="40"/>
  <c r="T51" i="40"/>
  <c r="V51" i="40"/>
  <c r="W51" i="40" s="1"/>
  <c r="S79" i="40"/>
  <c r="T79" i="40"/>
  <c r="V79" i="40"/>
  <c r="W79" i="40" s="1"/>
  <c r="S63" i="40"/>
  <c r="T63" i="40"/>
  <c r="V63" i="40"/>
  <c r="S80" i="40"/>
  <c r="T80" i="40"/>
  <c r="V80" i="40"/>
  <c r="W80" i="40" s="1"/>
  <c r="S66" i="40"/>
  <c r="T66" i="40"/>
  <c r="V66" i="40"/>
  <c r="W66" i="40" s="1"/>
  <c r="S41" i="40"/>
  <c r="T41" i="40"/>
  <c r="V41" i="40"/>
  <c r="W41" i="40" s="1"/>
  <c r="S39" i="40"/>
  <c r="T39" i="40"/>
  <c r="V39" i="40"/>
  <c r="W39" i="40" s="1"/>
  <c r="S38" i="40"/>
  <c r="T38" i="40"/>
  <c r="V38" i="40"/>
  <c r="W38" i="40" s="1"/>
  <c r="S37" i="40"/>
  <c r="T37" i="40"/>
  <c r="V37" i="40"/>
  <c r="W37" i="40" s="1"/>
  <c r="S71" i="40"/>
  <c r="T71" i="40"/>
  <c r="V71" i="40"/>
  <c r="W71" i="40" s="1"/>
  <c r="S86" i="40"/>
  <c r="T86" i="40"/>
  <c r="V86" i="40"/>
  <c r="W86" i="40" s="1"/>
  <c r="CR12" i="40"/>
  <c r="S23" i="40"/>
  <c r="S17" i="40"/>
  <c r="S25" i="40"/>
  <c r="S24" i="40"/>
  <c r="S21" i="40"/>
  <c r="S9" i="40"/>
  <c r="S22" i="40"/>
  <c r="S31" i="40"/>
  <c r="S16" i="40"/>
  <c r="S26" i="40"/>
  <c r="S10" i="40"/>
  <c r="S30" i="40"/>
  <c r="S6" i="40"/>
  <c r="S32" i="40"/>
  <c r="S27" i="40"/>
  <c r="S5" i="40"/>
  <c r="S14" i="40"/>
  <c r="S12" i="40"/>
  <c r="S29" i="40"/>
  <c r="S19" i="40"/>
  <c r="S15" i="40"/>
  <c r="S7" i="40"/>
  <c r="S20" i="40"/>
  <c r="S18" i="40"/>
  <c r="S4" i="40"/>
  <c r="S8" i="40"/>
  <c r="S11" i="40"/>
  <c r="W23" i="1"/>
  <c r="T24" i="40"/>
  <c r="V24" i="40"/>
  <c r="W24" i="40" s="1"/>
  <c r="T21" i="40"/>
  <c r="V21" i="40"/>
  <c r="W21" i="40" s="1"/>
  <c r="T9" i="40"/>
  <c r="V9" i="40"/>
  <c r="W9" i="40" s="1"/>
  <c r="T22" i="40"/>
  <c r="V22" i="40"/>
  <c r="W22" i="40" s="1"/>
  <c r="T31" i="40"/>
  <c r="V31" i="40"/>
  <c r="W31" i="40" s="1"/>
  <c r="T16" i="40"/>
  <c r="V16" i="40"/>
  <c r="W16" i="40" s="1"/>
  <c r="T26" i="40"/>
  <c r="V26" i="40"/>
  <c r="W26" i="40" s="1"/>
  <c r="T10" i="40"/>
  <c r="V10" i="40"/>
  <c r="W10" i="40" s="1"/>
  <c r="T30" i="40"/>
  <c r="V30" i="40"/>
  <c r="W30" i="40" s="1"/>
  <c r="T6" i="40"/>
  <c r="V6" i="40"/>
  <c r="W6" i="40" s="1"/>
  <c r="T32" i="40"/>
  <c r="V32" i="40"/>
  <c r="W32" i="40" s="1"/>
  <c r="T27" i="40"/>
  <c r="V27" i="40"/>
  <c r="W27" i="40" s="1"/>
  <c r="T5" i="40"/>
  <c r="V5" i="40"/>
  <c r="T14" i="40"/>
  <c r="V14" i="40"/>
  <c r="W14" i="40" s="1"/>
  <c r="T12" i="40"/>
  <c r="V12" i="40"/>
  <c r="W12" i="40" s="1"/>
  <c r="T29" i="40"/>
  <c r="V29" i="40"/>
  <c r="W29" i="40" s="1"/>
  <c r="T19" i="40"/>
  <c r="V19" i="40"/>
  <c r="W19" i="40" s="1"/>
  <c r="T15" i="40"/>
  <c r="V15" i="40"/>
  <c r="W15" i="40" s="1"/>
  <c r="T7" i="40"/>
  <c r="V7" i="40"/>
  <c r="W7" i="40" s="1"/>
  <c r="T20" i="40"/>
  <c r="V20" i="40"/>
  <c r="W20" i="40" s="1"/>
  <c r="T18" i="40"/>
  <c r="V18" i="40"/>
  <c r="W18" i="40" s="1"/>
  <c r="T4" i="40"/>
  <c r="V4" i="40"/>
  <c r="W4" i="40" s="1"/>
  <c r="T8" i="40"/>
  <c r="V8" i="40"/>
  <c r="W8" i="40" s="1"/>
  <c r="T11" i="40"/>
  <c r="V11" i="40"/>
  <c r="W11" i="40" s="1"/>
  <c r="T23" i="40"/>
  <c r="V23" i="40"/>
  <c r="W23" i="40" s="1"/>
  <c r="T17" i="40"/>
  <c r="V17" i="40"/>
  <c r="W17" i="40" s="1"/>
  <c r="V25" i="40"/>
  <c r="W25" i="40" s="1"/>
  <c r="T25" i="40"/>
  <c r="CY11" i="1"/>
  <c r="C97" i="45" l="1"/>
  <c r="CO54" i="40"/>
  <c r="CR54" i="40"/>
  <c r="CO71" i="40"/>
  <c r="CR71" i="40"/>
  <c r="CO22" i="40"/>
  <c r="CR22" i="40"/>
  <c r="CO29" i="40"/>
  <c r="CR29" i="40"/>
  <c r="CO20" i="40"/>
  <c r="CR20" i="40"/>
  <c r="CO80" i="40"/>
  <c r="CR80" i="40"/>
  <c r="CO24" i="40"/>
  <c r="CR24" i="40"/>
  <c r="CO15" i="40"/>
  <c r="CR15" i="40"/>
  <c r="CO38" i="40"/>
  <c r="CR38" i="40"/>
  <c r="CO27" i="40"/>
  <c r="CR27" i="40"/>
  <c r="CO39" i="40"/>
  <c r="CR39" i="40"/>
  <c r="CO86" i="40"/>
  <c r="CR86" i="40"/>
  <c r="CO7" i="40"/>
  <c r="CR7" i="40"/>
  <c r="CO37" i="40"/>
  <c r="CR37" i="40"/>
  <c r="CO32" i="40"/>
  <c r="CR32" i="40"/>
  <c r="CO23" i="40"/>
  <c r="CR23" i="40"/>
  <c r="CO30" i="40"/>
  <c r="CR30" i="40"/>
  <c r="CO8" i="40"/>
  <c r="CR8" i="40"/>
  <c r="CO41" i="40"/>
  <c r="CR41" i="40"/>
  <c r="CO9" i="40"/>
  <c r="CR9" i="40"/>
  <c r="CO21" i="40"/>
  <c r="CR21" i="40"/>
  <c r="CO14" i="40"/>
  <c r="CR14" i="40"/>
  <c r="CO51" i="40"/>
  <c r="CR51" i="40"/>
  <c r="CO11" i="40"/>
  <c r="CR11" i="40"/>
  <c r="CO47" i="40"/>
  <c r="CR47" i="40"/>
  <c r="CO17" i="40"/>
  <c r="CR17" i="40"/>
  <c r="CO6" i="40"/>
  <c r="CR6" i="40"/>
  <c r="CO16" i="40"/>
  <c r="CR16" i="40"/>
  <c r="CO4" i="40"/>
  <c r="CR4" i="40"/>
  <c r="CO63" i="40"/>
  <c r="CR63" i="40"/>
  <c r="CO79" i="40"/>
  <c r="CR79" i="40"/>
  <c r="CO5" i="40"/>
  <c r="CR5" i="40"/>
  <c r="CO25" i="40"/>
  <c r="CR25" i="40"/>
  <c r="CO19" i="40"/>
  <c r="CR19" i="40"/>
  <c r="CO10" i="40"/>
  <c r="CR10" i="40"/>
  <c r="CO31" i="40"/>
  <c r="CR31" i="40"/>
  <c r="CO26" i="40"/>
  <c r="CR26" i="40"/>
  <c r="CO18" i="40"/>
  <c r="CR18" i="40"/>
  <c r="CO66" i="40"/>
  <c r="CR66" i="40"/>
  <c r="CO12" i="40"/>
  <c r="L12" i="40"/>
  <c r="M8" i="25" s="1"/>
  <c r="L38" i="40"/>
  <c r="CL66" i="40"/>
  <c r="CI47" i="40"/>
  <c r="CL47" i="40"/>
  <c r="CI51" i="40"/>
  <c r="CL51" i="40"/>
  <c r="CI79" i="40"/>
  <c r="CL79" i="40"/>
  <c r="CI63" i="40"/>
  <c r="CL63" i="40"/>
  <c r="CI80" i="40"/>
  <c r="CL80" i="40"/>
  <c r="CI41" i="40"/>
  <c r="CL41" i="40"/>
  <c r="CI39" i="40"/>
  <c r="CL39" i="40"/>
  <c r="CI38" i="40"/>
  <c r="CL38" i="40"/>
  <c r="CI37" i="40"/>
  <c r="CL37" i="40"/>
  <c r="CI71" i="40"/>
  <c r="CL71" i="40"/>
  <c r="CI86" i="40"/>
  <c r="CL86" i="40"/>
  <c r="CI54" i="40"/>
  <c r="CL54" i="40"/>
  <c r="CI20" i="40"/>
  <c r="CL20" i="40"/>
  <c r="CI18" i="40"/>
  <c r="CL18" i="40"/>
  <c r="CI4" i="40"/>
  <c r="CL4" i="40"/>
  <c r="CI8" i="40"/>
  <c r="CL8" i="40"/>
  <c r="CI19" i="40"/>
  <c r="CL19" i="40"/>
  <c r="CI15" i="40"/>
  <c r="CL15" i="40"/>
  <c r="CI7" i="40"/>
  <c r="CL7" i="40"/>
  <c r="CI5" i="40"/>
  <c r="CL5" i="40"/>
  <c r="CI14" i="40"/>
  <c r="CL14" i="40"/>
  <c r="CI12" i="40"/>
  <c r="CL12" i="40"/>
  <c r="CI29" i="40"/>
  <c r="CL29" i="40"/>
  <c r="CI26" i="40"/>
  <c r="CL26" i="40"/>
  <c r="CI10" i="40"/>
  <c r="CL10" i="40"/>
  <c r="CI30" i="40"/>
  <c r="CL30" i="40"/>
  <c r="CI6" i="40"/>
  <c r="CL6" i="40"/>
  <c r="CI32" i="40"/>
  <c r="CL32" i="40"/>
  <c r="CI27" i="40"/>
  <c r="CL27" i="40"/>
  <c r="CI24" i="40"/>
  <c r="CL24" i="40"/>
  <c r="CI21" i="40"/>
  <c r="CL21" i="40"/>
  <c r="CI9" i="40"/>
  <c r="CL9" i="40"/>
  <c r="CI22" i="40"/>
  <c r="CL22" i="40"/>
  <c r="CI31" i="40"/>
  <c r="CL31" i="40"/>
  <c r="CI16" i="40"/>
  <c r="CL16" i="40"/>
  <c r="CI23" i="40"/>
  <c r="CL23" i="40"/>
  <c r="CI17" i="40"/>
  <c r="CL17" i="40"/>
  <c r="CI25" i="40"/>
  <c r="CL25" i="40"/>
  <c r="CI11" i="40"/>
  <c r="CL11" i="40"/>
  <c r="CI66" i="40"/>
  <c r="L66" i="40"/>
  <c r="CA9" i="40"/>
  <c r="CA27" i="40"/>
  <c r="CA22" i="40"/>
  <c r="CA29" i="40"/>
  <c r="CA20" i="40"/>
  <c r="CA80" i="40"/>
  <c r="CA12" i="40"/>
  <c r="CA54" i="40"/>
  <c r="CA63" i="40"/>
  <c r="CA79" i="40"/>
  <c r="CA71" i="40"/>
  <c r="CA51" i="40"/>
  <c r="CA24" i="40"/>
  <c r="CA7" i="40"/>
  <c r="CA37" i="40"/>
  <c r="CA47" i="40"/>
  <c r="CA14" i="40"/>
  <c r="CA32" i="40"/>
  <c r="CA38" i="40"/>
  <c r="CA39" i="40"/>
  <c r="CA86" i="40"/>
  <c r="CA8" i="40"/>
  <c r="CA41" i="40"/>
  <c r="CA21" i="40"/>
  <c r="CA5" i="40"/>
  <c r="CA15" i="40"/>
  <c r="CA19" i="40"/>
  <c r="CA30" i="40"/>
  <c r="CA16" i="40"/>
  <c r="CA10" i="40"/>
  <c r="CA4" i="40"/>
  <c r="CA11" i="40"/>
  <c r="CA25" i="40"/>
  <c r="CA17" i="40"/>
  <c r="CA6" i="40"/>
  <c r="CA23" i="40"/>
  <c r="CA31" i="40"/>
  <c r="CA26" i="40"/>
  <c r="CA18" i="40"/>
  <c r="CA66" i="40"/>
  <c r="BX20" i="40"/>
  <c r="BX54" i="40"/>
  <c r="BX63" i="40"/>
  <c r="BX9" i="40"/>
  <c r="BX86" i="40"/>
  <c r="BX79" i="40"/>
  <c r="BX5" i="40"/>
  <c r="BX51" i="40"/>
  <c r="BX29" i="40"/>
  <c r="BX24" i="40"/>
  <c r="BX37" i="40"/>
  <c r="BX47" i="40"/>
  <c r="BX21" i="40"/>
  <c r="BX25" i="40"/>
  <c r="BX38" i="40"/>
  <c r="BX80" i="40"/>
  <c r="BX14" i="40"/>
  <c r="BX6" i="40"/>
  <c r="BX39" i="40"/>
  <c r="BX22" i="40"/>
  <c r="BX12" i="40"/>
  <c r="BX11" i="40"/>
  <c r="BX27" i="40"/>
  <c r="BX32" i="40"/>
  <c r="BX19" i="40"/>
  <c r="BX23" i="40"/>
  <c r="BX30" i="40"/>
  <c r="BX8" i="40"/>
  <c r="BX41" i="40"/>
  <c r="BX71" i="40"/>
  <c r="BX7" i="40"/>
  <c r="BX17" i="40"/>
  <c r="BX10" i="40"/>
  <c r="BX4" i="40"/>
  <c r="BX15" i="40"/>
  <c r="BX31" i="40"/>
  <c r="BX26" i="40"/>
  <c r="BX18" i="40"/>
  <c r="BX66" i="40"/>
  <c r="BU19" i="40"/>
  <c r="BU26" i="40"/>
  <c r="BU8" i="40"/>
  <c r="BU38" i="40"/>
  <c r="BU51" i="40"/>
  <c r="BU21" i="40"/>
  <c r="BU29" i="40"/>
  <c r="BU4" i="40"/>
  <c r="BU39" i="40"/>
  <c r="BU47" i="40"/>
  <c r="BU10" i="40"/>
  <c r="BU11" i="40"/>
  <c r="BU12" i="40"/>
  <c r="BU41" i="40"/>
  <c r="BU17" i="40"/>
  <c r="BU27" i="40"/>
  <c r="BU14" i="40"/>
  <c r="BU20" i="40"/>
  <c r="BU22" i="40"/>
  <c r="BU24" i="40"/>
  <c r="BU23" i="40"/>
  <c r="BU54" i="40"/>
  <c r="BU66" i="40"/>
  <c r="BU79" i="40"/>
  <c r="BU9" i="40"/>
  <c r="BU18" i="40"/>
  <c r="BU32" i="40"/>
  <c r="BU16" i="40"/>
  <c r="BU7" i="40"/>
  <c r="BU86" i="40"/>
  <c r="BU80" i="40"/>
  <c r="BU37" i="40"/>
  <c r="BU25" i="40"/>
  <c r="BU5" i="40"/>
  <c r="BU6" i="40"/>
  <c r="BU31" i="40"/>
  <c r="BU30" i="40"/>
  <c r="BU15" i="40"/>
  <c r="BU71" i="40"/>
  <c r="BU63" i="40"/>
  <c r="L14" i="40"/>
  <c r="R14" i="40" s="1"/>
  <c r="BF14" i="40"/>
  <c r="BR14" i="40"/>
  <c r="BI14" i="40"/>
  <c r="AT14" i="40"/>
  <c r="BL14" i="40"/>
  <c r="BC14" i="40"/>
  <c r="AZ14" i="40"/>
  <c r="BO14" i="40"/>
  <c r="AW14" i="40"/>
  <c r="L6" i="40"/>
  <c r="R6" i="40" s="1"/>
  <c r="BL6" i="40"/>
  <c r="AT6" i="40"/>
  <c r="BF6" i="40"/>
  <c r="BR6" i="40"/>
  <c r="AW6" i="40"/>
  <c r="AZ6" i="40"/>
  <c r="BO6" i="40"/>
  <c r="BI6" i="40"/>
  <c r="BC6" i="40"/>
  <c r="L9" i="40"/>
  <c r="M22" i="25" s="1"/>
  <c r="AW9" i="40"/>
  <c r="BR9" i="40"/>
  <c r="BO9" i="40"/>
  <c r="BL9" i="40"/>
  <c r="AZ9" i="40"/>
  <c r="AT9" i="40"/>
  <c r="BC9" i="40"/>
  <c r="BF9" i="40"/>
  <c r="BI9" i="40"/>
  <c r="BL12" i="40"/>
  <c r="AT12" i="40"/>
  <c r="BF12" i="40"/>
  <c r="BO12" i="40"/>
  <c r="BI12" i="40"/>
  <c r="BR12" i="40"/>
  <c r="AZ12" i="40"/>
  <c r="AW12" i="40"/>
  <c r="BC12" i="40"/>
  <c r="L54" i="40"/>
  <c r="R54" i="40" s="1"/>
  <c r="AZ54" i="40"/>
  <c r="BR54" i="40"/>
  <c r="BI54" i="40"/>
  <c r="AW54" i="40"/>
  <c r="BO54" i="40"/>
  <c r="BL54" i="40"/>
  <c r="BF54" i="40"/>
  <c r="AT54" i="40"/>
  <c r="BC54" i="40"/>
  <c r="L80" i="40"/>
  <c r="R80" i="40" s="1"/>
  <c r="BR80" i="40"/>
  <c r="BI80" i="40"/>
  <c r="AW80" i="40"/>
  <c r="AZ80" i="40"/>
  <c r="BO80" i="40"/>
  <c r="BF80" i="40"/>
  <c r="BC80" i="40"/>
  <c r="BL80" i="40"/>
  <c r="AT80" i="40"/>
  <c r="L63" i="40"/>
  <c r="R63" i="40" s="1"/>
  <c r="BF63" i="40"/>
  <c r="BL63" i="40"/>
  <c r="BR63" i="40"/>
  <c r="BC63" i="40"/>
  <c r="AT63" i="40"/>
  <c r="AW63" i="40"/>
  <c r="BO63" i="40"/>
  <c r="AZ63" i="40"/>
  <c r="BI63" i="40"/>
  <c r="L24" i="40"/>
  <c r="R24" i="40" s="1"/>
  <c r="BI24" i="40"/>
  <c r="BC24" i="40"/>
  <c r="AW24" i="40"/>
  <c r="AZ24" i="40"/>
  <c r="BO24" i="40"/>
  <c r="BR24" i="40"/>
  <c r="BF24" i="40"/>
  <c r="AT24" i="40"/>
  <c r="BL24" i="40"/>
  <c r="R86" i="40"/>
  <c r="AZ86" i="40"/>
  <c r="BO86" i="40"/>
  <c r="BC86" i="40"/>
  <c r="BR86" i="40"/>
  <c r="BI86" i="40"/>
  <c r="AW86" i="40"/>
  <c r="BL86" i="40"/>
  <c r="AT86" i="40"/>
  <c r="BF86" i="40"/>
  <c r="L79" i="40"/>
  <c r="R79" i="40" s="1"/>
  <c r="BR79" i="40"/>
  <c r="BI79" i="40"/>
  <c r="AW79" i="40"/>
  <c r="AZ79" i="40"/>
  <c r="BO79" i="40"/>
  <c r="BL79" i="40"/>
  <c r="BF79" i="40"/>
  <c r="AT79" i="40"/>
  <c r="BC79" i="40"/>
  <c r="L71" i="40"/>
  <c r="R71" i="40" s="1"/>
  <c r="BL71" i="40"/>
  <c r="BR71" i="40"/>
  <c r="BI71" i="40"/>
  <c r="AW71" i="40"/>
  <c r="BF71" i="40"/>
  <c r="AT71" i="40"/>
  <c r="AZ71" i="40"/>
  <c r="BC71" i="40"/>
  <c r="BO71" i="40"/>
  <c r="BR51" i="40"/>
  <c r="BI51" i="40"/>
  <c r="AW51" i="40"/>
  <c r="AZ51" i="40"/>
  <c r="BO51" i="40"/>
  <c r="BL51" i="40"/>
  <c r="BC51" i="40"/>
  <c r="BF51" i="40"/>
  <c r="AT51" i="40"/>
  <c r="L27" i="40"/>
  <c r="R27" i="40" s="1"/>
  <c r="BR27" i="40"/>
  <c r="BI27" i="40"/>
  <c r="BC27" i="40"/>
  <c r="AW27" i="40"/>
  <c r="BO27" i="40"/>
  <c r="AZ27" i="40"/>
  <c r="BL27" i="40"/>
  <c r="BF27" i="40"/>
  <c r="AT27" i="40"/>
  <c r="L32" i="40"/>
  <c r="M31" i="25" s="1"/>
  <c r="AT32" i="40"/>
  <c r="BC32" i="40"/>
  <c r="BR32" i="40"/>
  <c r="AZ32" i="40"/>
  <c r="BO32" i="40"/>
  <c r="AW32" i="40"/>
  <c r="BI32" i="40"/>
  <c r="BL32" i="40"/>
  <c r="BF32" i="40"/>
  <c r="L15" i="40"/>
  <c r="R15" i="40" s="1"/>
  <c r="BL15" i="40"/>
  <c r="BR15" i="40"/>
  <c r="BC15" i="40"/>
  <c r="BI15" i="40"/>
  <c r="AW15" i="40"/>
  <c r="BF15" i="40"/>
  <c r="AZ15" i="40"/>
  <c r="AT15" i="40"/>
  <c r="BO15" i="40"/>
  <c r="L37" i="40"/>
  <c r="R37" i="40" s="1"/>
  <c r="BR37" i="40"/>
  <c r="BI37" i="40"/>
  <c r="AW37" i="40"/>
  <c r="AZ37" i="40"/>
  <c r="BO37" i="40"/>
  <c r="BF37" i="40"/>
  <c r="BC37" i="40"/>
  <c r="BL37" i="40"/>
  <c r="AT37" i="40"/>
  <c r="L47" i="40"/>
  <c r="R47" i="40" s="1"/>
  <c r="BF47" i="40"/>
  <c r="BL47" i="40"/>
  <c r="BC47" i="40"/>
  <c r="BR47" i="40"/>
  <c r="BI47" i="40"/>
  <c r="AT47" i="40"/>
  <c r="BO47" i="40"/>
  <c r="AW47" i="40"/>
  <c r="AZ47" i="40"/>
  <c r="L21" i="40"/>
  <c r="M21" i="25" s="1"/>
  <c r="AZ21" i="40"/>
  <c r="BI21" i="40"/>
  <c r="BC21" i="40"/>
  <c r="AW21" i="40"/>
  <c r="BO21" i="40"/>
  <c r="AT21" i="40"/>
  <c r="BL21" i="40"/>
  <c r="BR21" i="40"/>
  <c r="BF21" i="40"/>
  <c r="L19" i="40"/>
  <c r="R19" i="40" s="1"/>
  <c r="BO19" i="40"/>
  <c r="AT19" i="40"/>
  <c r="AZ19" i="40"/>
  <c r="BF19" i="40"/>
  <c r="BI19" i="40"/>
  <c r="AW19" i="40"/>
  <c r="BC19" i="40"/>
  <c r="BR19" i="40"/>
  <c r="BL19" i="40"/>
  <c r="AZ38" i="40"/>
  <c r="BR38" i="40"/>
  <c r="BI38" i="40"/>
  <c r="AW38" i="40"/>
  <c r="BO38" i="40"/>
  <c r="BL38" i="40"/>
  <c r="BF38" i="40"/>
  <c r="BC38" i="40"/>
  <c r="AT38" i="40"/>
  <c r="L11" i="40"/>
  <c r="R11" i="40" s="1"/>
  <c r="AT11" i="40"/>
  <c r="BF11" i="40"/>
  <c r="BL11" i="40"/>
  <c r="BR11" i="40"/>
  <c r="BI11" i="40"/>
  <c r="AW11" i="40"/>
  <c r="BO11" i="40"/>
  <c r="BC11" i="40"/>
  <c r="AZ11" i="40"/>
  <c r="L39" i="40"/>
  <c r="R39" i="40" s="1"/>
  <c r="BI39" i="40"/>
  <c r="AW39" i="40"/>
  <c r="BR39" i="40"/>
  <c r="AZ39" i="40"/>
  <c r="BO39" i="40"/>
  <c r="BL39" i="40"/>
  <c r="AT39" i="40"/>
  <c r="BF39" i="40"/>
  <c r="BC39" i="40"/>
  <c r="L25" i="40"/>
  <c r="R25" i="40" s="1"/>
  <c r="BF25" i="40"/>
  <c r="BI25" i="40"/>
  <c r="BR25" i="40"/>
  <c r="AT25" i="40"/>
  <c r="BL25" i="40"/>
  <c r="BO25" i="40"/>
  <c r="BC25" i="40"/>
  <c r="AZ25" i="40"/>
  <c r="AW25" i="40"/>
  <c r="L16" i="40"/>
  <c r="M25" i="25" s="1"/>
  <c r="AW16" i="40"/>
  <c r="AZ16" i="40"/>
  <c r="BR16" i="40"/>
  <c r="BO16" i="40"/>
  <c r="BC16" i="40"/>
  <c r="BI16" i="40"/>
  <c r="BF16" i="40"/>
  <c r="BL16" i="40"/>
  <c r="AT16" i="40"/>
  <c r="L10" i="40"/>
  <c r="M9" i="25" s="1"/>
  <c r="BO10" i="40"/>
  <c r="BI10" i="40"/>
  <c r="AT10" i="40"/>
  <c r="BL10" i="40"/>
  <c r="BC10" i="40"/>
  <c r="AZ10" i="40"/>
  <c r="BF10" i="40"/>
  <c r="BR10" i="40"/>
  <c r="AW10" i="40"/>
  <c r="L4" i="40"/>
  <c r="M5" i="25" s="1"/>
  <c r="BF4" i="40"/>
  <c r="BC4" i="40"/>
  <c r="AZ4" i="40"/>
  <c r="BR4" i="40"/>
  <c r="BO4" i="40"/>
  <c r="AW4" i="40"/>
  <c r="AT4" i="40"/>
  <c r="BI4" i="40"/>
  <c r="BL4" i="40"/>
  <c r="L41" i="40"/>
  <c r="R41" i="40" s="1"/>
  <c r="BO41" i="40"/>
  <c r="AT41" i="40"/>
  <c r="AZ41" i="40"/>
  <c r="BI41" i="40"/>
  <c r="BR41" i="40"/>
  <c r="AW41" i="40"/>
  <c r="BC41" i="40"/>
  <c r="BL41" i="40"/>
  <c r="BF41" i="40"/>
  <c r="L5" i="40"/>
  <c r="M11" i="25" s="1"/>
  <c r="AT5" i="40"/>
  <c r="BL5" i="40"/>
  <c r="BF5" i="40"/>
  <c r="BO5" i="40"/>
  <c r="BI5" i="40"/>
  <c r="AW5" i="40"/>
  <c r="BC5" i="40"/>
  <c r="BR5" i="40"/>
  <c r="AZ5" i="40"/>
  <c r="L31" i="40"/>
  <c r="R31" i="40" s="1"/>
  <c r="BC31" i="40"/>
  <c r="AW31" i="40"/>
  <c r="AZ31" i="40"/>
  <c r="BO31" i="40"/>
  <c r="BR31" i="40"/>
  <c r="BI31" i="40"/>
  <c r="AT31" i="40"/>
  <c r="BF31" i="40"/>
  <c r="BL31" i="40"/>
  <c r="L18" i="40"/>
  <c r="R18" i="40" s="1"/>
  <c r="AT18" i="40"/>
  <c r="BF18" i="40"/>
  <c r="BR18" i="40"/>
  <c r="BL18" i="40"/>
  <c r="BI18" i="40"/>
  <c r="AW18" i="40"/>
  <c r="BC18" i="40"/>
  <c r="AZ18" i="40"/>
  <c r="BO18" i="40"/>
  <c r="L7" i="40"/>
  <c r="R7" i="40" s="1"/>
  <c r="BR7" i="40"/>
  <c r="AT7" i="40"/>
  <c r="BF7" i="40"/>
  <c r="BL7" i="40"/>
  <c r="AW7" i="40"/>
  <c r="BO7" i="40"/>
  <c r="AZ7" i="40"/>
  <c r="BI7" i="40"/>
  <c r="BC7" i="40"/>
  <c r="L17" i="40"/>
  <c r="R17" i="40" s="1"/>
  <c r="BR17" i="40"/>
  <c r="BI17" i="40"/>
  <c r="BC17" i="40"/>
  <c r="AW17" i="40"/>
  <c r="AZ17" i="40"/>
  <c r="BO17" i="40"/>
  <c r="BL17" i="40"/>
  <c r="BF17" i="40"/>
  <c r="AT17" i="40"/>
  <c r="L23" i="40"/>
  <c r="R23" i="40" s="1"/>
  <c r="BI23" i="40"/>
  <c r="BC23" i="40"/>
  <c r="AW23" i="40"/>
  <c r="AZ23" i="40"/>
  <c r="BO23" i="40"/>
  <c r="BL23" i="40"/>
  <c r="BF23" i="40"/>
  <c r="AT23" i="40"/>
  <c r="BR23" i="40"/>
  <c r="L30" i="40"/>
  <c r="R30" i="40" s="1"/>
  <c r="AZ30" i="40"/>
  <c r="BO30" i="40"/>
  <c r="BI30" i="40"/>
  <c r="BL30" i="40"/>
  <c r="BC30" i="40"/>
  <c r="AW30" i="40"/>
  <c r="BR30" i="40"/>
  <c r="BF30" i="40"/>
  <c r="AT30" i="40"/>
  <c r="L8" i="40"/>
  <c r="R8" i="40" s="1"/>
  <c r="BL8" i="40"/>
  <c r="BR8" i="40"/>
  <c r="BI8" i="40"/>
  <c r="BC8" i="40"/>
  <c r="AW8" i="40"/>
  <c r="BF8" i="40"/>
  <c r="AT8" i="40"/>
  <c r="BO8" i="40"/>
  <c r="AZ8" i="40"/>
  <c r="L26" i="40"/>
  <c r="M29" i="25" s="1"/>
  <c r="BC26" i="40"/>
  <c r="AW26" i="40"/>
  <c r="AZ26" i="40"/>
  <c r="BO26" i="40"/>
  <c r="BR26" i="40"/>
  <c r="BI26" i="40"/>
  <c r="BF26" i="40"/>
  <c r="BL26" i="40"/>
  <c r="AT26" i="40"/>
  <c r="L22" i="40"/>
  <c r="R22" i="40" s="1"/>
  <c r="BI22" i="40"/>
  <c r="AT22" i="40"/>
  <c r="BF22" i="40"/>
  <c r="BR22" i="40"/>
  <c r="BL22" i="40"/>
  <c r="AZ22" i="40"/>
  <c r="BC22" i="40"/>
  <c r="AW22" i="40"/>
  <c r="BO22" i="40"/>
  <c r="L29" i="40"/>
  <c r="R29" i="40" s="1"/>
  <c r="BR29" i="40"/>
  <c r="BF29" i="40"/>
  <c r="BL29" i="40"/>
  <c r="AT29" i="40"/>
  <c r="AZ29" i="40"/>
  <c r="BO29" i="40"/>
  <c r="BI29" i="40"/>
  <c r="AW29" i="40"/>
  <c r="BC29" i="40"/>
  <c r="L20" i="40"/>
  <c r="R20" i="40" s="1"/>
  <c r="BC20" i="40"/>
  <c r="AZ20" i="40"/>
  <c r="AW20" i="40"/>
  <c r="BI20" i="40"/>
  <c r="BF20" i="40"/>
  <c r="BO20" i="40"/>
  <c r="BR20" i="40"/>
  <c r="AT20" i="40"/>
  <c r="BL20" i="40"/>
  <c r="BR66" i="40"/>
  <c r="BI66" i="40"/>
  <c r="AW66" i="40"/>
  <c r="AZ66" i="40"/>
  <c r="BO66" i="40"/>
  <c r="BC66" i="40"/>
  <c r="BL66" i="40"/>
  <c r="BF66" i="40"/>
  <c r="AT66" i="40"/>
  <c r="W63" i="40"/>
  <c r="W5" i="40"/>
  <c r="V34" i="40"/>
  <c r="V88" i="40" s="1"/>
  <c r="S1" i="40"/>
  <c r="T1" i="40"/>
  <c r="U11" i="40"/>
  <c r="U14" i="40"/>
  <c r="U7" i="40"/>
  <c r="U30" i="40"/>
  <c r="U17" i="40"/>
  <c r="U15" i="40"/>
  <c r="U10" i="40"/>
  <c r="U23" i="40"/>
  <c r="U19" i="40"/>
  <c r="U26" i="40"/>
  <c r="U31" i="40"/>
  <c r="U22" i="40"/>
  <c r="U8" i="40"/>
  <c r="U5" i="40"/>
  <c r="U9" i="40"/>
  <c r="U12" i="40"/>
  <c r="U29" i="40"/>
  <c r="U18" i="40"/>
  <c r="U32" i="40"/>
  <c r="U24" i="40"/>
  <c r="U16" i="40"/>
  <c r="U20" i="40"/>
  <c r="U6" i="40"/>
  <c r="U4" i="40"/>
  <c r="U27" i="40"/>
  <c r="U21" i="40"/>
  <c r="U25" i="40"/>
  <c r="U41" i="40"/>
  <c r="U37" i="40"/>
  <c r="U47" i="40"/>
  <c r="U63" i="40"/>
  <c r="U38" i="40"/>
  <c r="U54" i="40"/>
  <c r="U86" i="40"/>
  <c r="U79" i="40"/>
  <c r="U66" i="40"/>
  <c r="U39" i="40"/>
  <c r="U71" i="40"/>
  <c r="U51" i="40"/>
  <c r="U80" i="40"/>
  <c r="L51" i="40"/>
  <c r="R51" i="40" s="1"/>
  <c r="C98" i="45" l="1"/>
  <c r="CR1" i="40"/>
  <c r="CO1" i="40"/>
  <c r="CL1" i="40"/>
  <c r="R38" i="40"/>
  <c r="X38" i="40" s="1"/>
  <c r="BT8" i="31" s="1"/>
  <c r="AT8" i="31"/>
  <c r="AT15" i="36" s="1"/>
  <c r="R66" i="40"/>
  <c r="M28" i="25"/>
  <c r="M30" i="25"/>
  <c r="CJ1" i="40"/>
  <c r="AT1" i="40"/>
  <c r="CA1" i="40"/>
  <c r="R10" i="40"/>
  <c r="X10" i="40" s="1"/>
  <c r="BS14" i="1" s="1"/>
  <c r="BU1" i="40"/>
  <c r="M6" i="25"/>
  <c r="BX1" i="40"/>
  <c r="M19" i="25"/>
  <c r="R9" i="40"/>
  <c r="X9" i="40" s="1"/>
  <c r="BS13" i="1" s="1"/>
  <c r="M18" i="25"/>
  <c r="M16" i="25"/>
  <c r="M15" i="25"/>
  <c r="M20" i="25"/>
  <c r="M7" i="25"/>
  <c r="M17" i="25"/>
  <c r="M23" i="25"/>
  <c r="R5" i="40"/>
  <c r="X5" i="40" s="1"/>
  <c r="BS8" i="1" s="1"/>
  <c r="M26" i="25"/>
  <c r="R4" i="40"/>
  <c r="X4" i="40" s="1"/>
  <c r="BS7" i="1" s="1"/>
  <c r="M14" i="25"/>
  <c r="M10" i="25"/>
  <c r="R12" i="40"/>
  <c r="X12" i="40" s="1"/>
  <c r="BS15" i="1" s="1"/>
  <c r="M32" i="25"/>
  <c r="M27" i="25"/>
  <c r="M13" i="25"/>
  <c r="R16" i="40"/>
  <c r="X16" i="40" s="1"/>
  <c r="BS18" i="1" s="1"/>
  <c r="M12" i="25"/>
  <c r="R26" i="40"/>
  <c r="X26" i="40" s="1"/>
  <c r="BS29" i="1" s="1"/>
  <c r="R21" i="40"/>
  <c r="X21" i="40" s="1"/>
  <c r="BS24" i="1" s="1"/>
  <c r="R32" i="40"/>
  <c r="X32" i="40" s="1"/>
  <c r="BS35" i="1" s="1"/>
  <c r="BR1" i="40"/>
  <c r="X86" i="40"/>
  <c r="BT55" i="31" s="1"/>
  <c r="BL1" i="40"/>
  <c r="X80" i="40"/>
  <c r="BT50" i="31" s="1"/>
  <c r="X54" i="40"/>
  <c r="BT24" i="31" s="1"/>
  <c r="X71" i="40"/>
  <c r="BT41" i="31" s="1"/>
  <c r="BO1" i="40"/>
  <c r="BF1" i="40"/>
  <c r="X39" i="40"/>
  <c r="BT9" i="31" s="1"/>
  <c r="BI1" i="40"/>
  <c r="AZ1" i="40"/>
  <c r="AS48" i="31"/>
  <c r="W34" i="40"/>
  <c r="W88" i="40" s="1"/>
  <c r="X79" i="40"/>
  <c r="BT49" i="31" s="1"/>
  <c r="X25" i="40"/>
  <c r="BS28" i="1" s="1"/>
  <c r="X23" i="40"/>
  <c r="BS26" i="1" s="1"/>
  <c r="X15" i="40"/>
  <c r="BS21" i="1" s="1"/>
  <c r="X30" i="40"/>
  <c r="BS33" i="1" s="1"/>
  <c r="X27" i="40"/>
  <c r="BS30" i="1" s="1"/>
  <c r="X7" i="40"/>
  <c r="BS10" i="1" s="1"/>
  <c r="X17" i="40"/>
  <c r="BS19" i="1" s="1"/>
  <c r="X8" i="40"/>
  <c r="BS11" i="1" s="1"/>
  <c r="X6" i="40"/>
  <c r="BS9" i="1" s="1"/>
  <c r="X11" i="40"/>
  <c r="BS12" i="1" s="1"/>
  <c r="X14" i="40"/>
  <c r="BS17" i="1" s="1"/>
  <c r="X31" i="40"/>
  <c r="BS34" i="1" s="1"/>
  <c r="X18" i="40"/>
  <c r="BS20" i="1" s="1"/>
  <c r="X20" i="40"/>
  <c r="BS23" i="1" s="1"/>
  <c r="X22" i="40"/>
  <c r="BS25" i="1" s="1"/>
  <c r="X41" i="40"/>
  <c r="BT11" i="31" s="1"/>
  <c r="X47" i="40"/>
  <c r="BT17" i="31" s="1"/>
  <c r="X51" i="40"/>
  <c r="BT21" i="31" s="1"/>
  <c r="X63" i="40"/>
  <c r="BT33" i="31" s="1"/>
  <c r="X37" i="40"/>
  <c r="BT7" i="31" s="1"/>
  <c r="X24" i="40"/>
  <c r="BS27" i="1" s="1"/>
  <c r="X19" i="40"/>
  <c r="BS22" i="1" s="1"/>
  <c r="X29" i="40"/>
  <c r="BS32" i="1" s="1"/>
  <c r="DX36" i="25"/>
  <c r="DX43" i="25"/>
  <c r="DX47" i="25"/>
  <c r="DX51" i="25"/>
  <c r="DX55" i="25"/>
  <c r="DX59" i="25"/>
  <c r="DX63" i="25"/>
  <c r="DX70" i="25"/>
  <c r="DX74" i="25"/>
  <c r="DX78" i="25"/>
  <c r="DX72" i="25"/>
  <c r="DX69" i="25"/>
  <c r="DX77" i="25"/>
  <c r="DX37" i="25"/>
  <c r="DX40" i="25"/>
  <c r="DX44" i="25"/>
  <c r="DX48" i="25"/>
  <c r="DX56" i="25"/>
  <c r="DX60" i="25"/>
  <c r="DX64" i="25"/>
  <c r="DX67" i="25"/>
  <c r="DX75" i="25"/>
  <c r="DX79" i="25"/>
  <c r="DX76" i="25"/>
  <c r="DX65" i="25"/>
  <c r="DX38" i="25"/>
  <c r="DX45" i="25"/>
  <c r="DX49" i="25"/>
  <c r="DX53" i="25"/>
  <c r="DX57" i="25"/>
  <c r="DX61" i="25"/>
  <c r="DX42" i="25"/>
  <c r="DX46" i="25"/>
  <c r="DX50" i="25"/>
  <c r="DX54" i="25"/>
  <c r="BI83" i="33"/>
  <c r="C99" i="45" l="1"/>
  <c r="AT28" i="36"/>
  <c r="AT29" i="36"/>
  <c r="AT23" i="36"/>
  <c r="AT39" i="36"/>
  <c r="AT16" i="36"/>
  <c r="AT22" i="36"/>
  <c r="AT18" i="36"/>
  <c r="AT17" i="36"/>
  <c r="AT21" i="36"/>
  <c r="AT20" i="36"/>
  <c r="AT24" i="36"/>
  <c r="AT26" i="36"/>
  <c r="AT14" i="36"/>
  <c r="AT25" i="36"/>
  <c r="AT12" i="36"/>
  <c r="AT52" i="36"/>
  <c r="AT7" i="36"/>
  <c r="AT11" i="36"/>
  <c r="AT9" i="36"/>
  <c r="AT8" i="36"/>
  <c r="AT19" i="36"/>
  <c r="AT10" i="36"/>
  <c r="X66" i="40"/>
  <c r="BT36" i="31" s="1"/>
  <c r="K7" i="36"/>
  <c r="K10" i="36"/>
  <c r="K8" i="36"/>
  <c r="K55" i="36"/>
  <c r="K12" i="36"/>
  <c r="K9" i="36"/>
  <c r="BT42" i="36"/>
  <c r="BT41" i="36"/>
  <c r="K42" i="36"/>
  <c r="CI1" i="40"/>
  <c r="K38" i="36"/>
  <c r="K16" i="36"/>
  <c r="K11" i="36"/>
  <c r="K39" i="36"/>
  <c r="K14" i="36"/>
  <c r="K46" i="36"/>
  <c r="K20" i="36"/>
  <c r="K17" i="36"/>
  <c r="K25" i="36"/>
  <c r="K13" i="36"/>
  <c r="K15" i="36"/>
  <c r="K23" i="36"/>
  <c r="K21" i="36"/>
  <c r="K44" i="36"/>
  <c r="K18" i="36"/>
  <c r="K45" i="36"/>
  <c r="K37" i="36"/>
  <c r="K36" i="36"/>
  <c r="K40" i="36"/>
  <c r="K22" i="36"/>
  <c r="K43" i="36"/>
  <c r="K19" i="36"/>
  <c r="K54" i="36"/>
  <c r="K41" i="36"/>
  <c r="K51" i="36"/>
  <c r="K47" i="36"/>
  <c r="K31" i="36"/>
  <c r="K29" i="36"/>
  <c r="K50" i="36"/>
  <c r="K26" i="36"/>
  <c r="K52" i="36"/>
  <c r="K33" i="36"/>
  <c r="K49" i="36"/>
  <c r="K34" i="36"/>
  <c r="K32" i="36"/>
  <c r="K28" i="36"/>
  <c r="K27" i="36"/>
  <c r="K30" i="36"/>
  <c r="K48" i="36"/>
  <c r="K24" i="36"/>
  <c r="K35" i="36"/>
  <c r="K53" i="36"/>
  <c r="AS50" i="31"/>
  <c r="BT46" i="36"/>
  <c r="Y54" i="40"/>
  <c r="BL24" i="31" s="1"/>
  <c r="AS24" i="31"/>
  <c r="AS9" i="31"/>
  <c r="Y86" i="40"/>
  <c r="BL55" i="31" s="1"/>
  <c r="AS55" i="31"/>
  <c r="Y80" i="40"/>
  <c r="BL50" i="31" s="1"/>
  <c r="R34" i="40"/>
  <c r="R88" i="40" s="1"/>
  <c r="BW9" i="31"/>
  <c r="AS41" i="31"/>
  <c r="Y71" i="40"/>
  <c r="BL41" i="31" s="1"/>
  <c r="Y39" i="40"/>
  <c r="BL9" i="31" s="1"/>
  <c r="BW48" i="31"/>
  <c r="CA48" i="31"/>
  <c r="DR48" i="31" s="1"/>
  <c r="DS48" i="31" s="1"/>
  <c r="K11" i="54"/>
  <c r="K8" i="54"/>
  <c r="K28" i="54"/>
  <c r="K34" i="54"/>
  <c r="K21" i="54"/>
  <c r="K20" i="54"/>
  <c r="K33" i="54"/>
  <c r="K31" i="54"/>
  <c r="K10" i="54"/>
  <c r="K9" i="54"/>
  <c r="K14" i="54"/>
  <c r="K32" i="54"/>
  <c r="K26" i="54"/>
  <c r="K24" i="54"/>
  <c r="K22" i="54"/>
  <c r="K13" i="54"/>
  <c r="K25" i="54"/>
  <c r="K27" i="54"/>
  <c r="K16" i="54"/>
  <c r="K18" i="54"/>
  <c r="K15" i="54"/>
  <c r="K19" i="54"/>
  <c r="K17" i="54"/>
  <c r="K30" i="54"/>
  <c r="K12" i="54"/>
  <c r="K29" i="54"/>
  <c r="K23" i="54"/>
  <c r="AS12" i="31"/>
  <c r="AU48" i="31"/>
  <c r="DJ48" i="31"/>
  <c r="CR48" i="31"/>
  <c r="BL48" i="31"/>
  <c r="K7" i="54"/>
  <c r="AS8" i="31"/>
  <c r="Y38" i="40"/>
  <c r="BL8" i="31" s="1"/>
  <c r="U34" i="40"/>
  <c r="U88" i="40" s="1"/>
  <c r="Y79" i="40"/>
  <c r="BL49" i="31" s="1"/>
  <c r="AS49" i="31"/>
  <c r="Y23" i="40"/>
  <c r="BK26" i="1" s="1"/>
  <c r="Y25" i="40"/>
  <c r="Y30" i="40"/>
  <c r="BK33" i="1" s="1"/>
  <c r="Y16" i="40"/>
  <c r="Y17" i="40"/>
  <c r="Y5" i="40"/>
  <c r="Y9" i="40"/>
  <c r="Y24" i="40"/>
  <c r="Y11" i="40"/>
  <c r="Y26" i="40"/>
  <c r="Y10" i="40"/>
  <c r="Y22" i="40"/>
  <c r="BK25" i="1" s="1"/>
  <c r="AS17" i="31"/>
  <c r="Y47" i="40"/>
  <c r="AS33" i="31"/>
  <c r="Y63" i="40"/>
  <c r="BL33" i="31" s="1"/>
  <c r="AS11" i="31"/>
  <c r="Y41" i="40"/>
  <c r="BL11" i="31" s="1"/>
  <c r="AS7" i="31"/>
  <c r="Y37" i="40"/>
  <c r="BL7" i="31" s="1"/>
  <c r="AS21" i="31"/>
  <c r="Y51" i="40"/>
  <c r="BL21" i="31" s="1"/>
  <c r="AR35" i="1"/>
  <c r="Y32" i="40"/>
  <c r="BK35" i="1" s="1"/>
  <c r="AR11" i="1"/>
  <c r="Y8" i="40"/>
  <c r="BK11" i="1" s="1"/>
  <c r="AR34" i="1"/>
  <c r="BZ34" i="1" s="1"/>
  <c r="DO34" i="1" s="1"/>
  <c r="DP34" i="1" s="1"/>
  <c r="Y31" i="40"/>
  <c r="BK34" i="1" s="1"/>
  <c r="AR15" i="1"/>
  <c r="Y12" i="40"/>
  <c r="BK15" i="1" s="1"/>
  <c r="AR22" i="1"/>
  <c r="BZ22" i="1" s="1"/>
  <c r="DO22" i="1" s="1"/>
  <c r="DP22" i="1" s="1"/>
  <c r="Y19" i="40"/>
  <c r="BK22" i="1" s="1"/>
  <c r="AR21" i="1"/>
  <c r="Y15" i="40"/>
  <c r="BK21" i="1" s="1"/>
  <c r="AR9" i="1"/>
  <c r="Y6" i="40"/>
  <c r="AR32" i="1"/>
  <c r="Y29" i="40"/>
  <c r="AR17" i="1"/>
  <c r="Y14" i="40"/>
  <c r="BK17" i="1" s="1"/>
  <c r="AR7" i="1"/>
  <c r="Y4" i="40"/>
  <c r="AR30" i="1"/>
  <c r="Y27" i="40"/>
  <c r="AR23" i="1"/>
  <c r="Y20" i="40"/>
  <c r="AR20" i="1"/>
  <c r="BZ20" i="1" s="1"/>
  <c r="DO20" i="1" s="1"/>
  <c r="DP20" i="1" s="1"/>
  <c r="Y18" i="40"/>
  <c r="AR10" i="1"/>
  <c r="Y7" i="40"/>
  <c r="AR24" i="1"/>
  <c r="Y21" i="40"/>
  <c r="BK24" i="1" s="1"/>
  <c r="AR8" i="1"/>
  <c r="AR14" i="1"/>
  <c r="BZ14" i="1" s="1"/>
  <c r="DO14" i="1" s="1"/>
  <c r="DP14" i="1" s="1"/>
  <c r="AR19" i="1"/>
  <c r="BZ19" i="1" s="1"/>
  <c r="DO19" i="1" s="1"/>
  <c r="DP19" i="1" s="1"/>
  <c r="AR29" i="1"/>
  <c r="BZ29" i="1" s="1"/>
  <c r="DO29" i="1" s="1"/>
  <c r="DP29" i="1" s="1"/>
  <c r="AR25" i="1"/>
  <c r="BZ25" i="1" s="1"/>
  <c r="DO25" i="1" s="1"/>
  <c r="DP25" i="1" s="1"/>
  <c r="AR12" i="1"/>
  <c r="BZ12" i="1" s="1"/>
  <c r="DO12" i="1" s="1"/>
  <c r="DP12" i="1" s="1"/>
  <c r="AR18" i="1"/>
  <c r="BZ18" i="1" s="1"/>
  <c r="DO18" i="1" s="1"/>
  <c r="DP18" i="1" s="1"/>
  <c r="AR26" i="1"/>
  <c r="AR13" i="1"/>
  <c r="AR28" i="1"/>
  <c r="AR27" i="1"/>
  <c r="BZ27" i="1" s="1"/>
  <c r="DO27" i="1" s="1"/>
  <c r="DP27" i="1" s="1"/>
  <c r="AR33" i="1"/>
  <c r="C100" i="45" l="1"/>
  <c r="BT9" i="36"/>
  <c r="BT16" i="36"/>
  <c r="BT25" i="36"/>
  <c r="BT15" i="36"/>
  <c r="BT17" i="36"/>
  <c r="BT21" i="36"/>
  <c r="BT18" i="36"/>
  <c r="BT22" i="36"/>
  <c r="BT30" i="36"/>
  <c r="U74" i="31"/>
  <c r="BT19" i="36"/>
  <c r="BT20" i="36"/>
  <c r="BT12" i="36"/>
  <c r="BT11" i="36"/>
  <c r="BT10" i="36"/>
  <c r="BT52" i="36"/>
  <c r="BT44" i="36"/>
  <c r="BT43" i="36"/>
  <c r="BT45" i="36"/>
  <c r="BT36" i="36"/>
  <c r="AS52" i="36"/>
  <c r="BT28" i="36"/>
  <c r="BT29" i="36"/>
  <c r="BT8" i="36"/>
  <c r="BT7" i="36"/>
  <c r="Y66" i="40"/>
  <c r="BL36" i="31" s="1"/>
  <c r="AS36" i="31"/>
  <c r="AS38" i="36" s="1"/>
  <c r="BT35" i="36"/>
  <c r="BT40" i="36"/>
  <c r="BT34" i="36"/>
  <c r="BT39" i="36"/>
  <c r="BT33" i="36"/>
  <c r="BT38" i="36"/>
  <c r="BT37" i="36"/>
  <c r="BT32" i="36"/>
  <c r="AS49" i="36"/>
  <c r="AS48" i="36"/>
  <c r="BL49" i="36"/>
  <c r="BL48" i="36"/>
  <c r="BT49" i="36"/>
  <c r="BT48" i="36"/>
  <c r="BT47" i="36"/>
  <c r="BL51" i="36"/>
  <c r="BL50" i="36"/>
  <c r="BT51" i="36"/>
  <c r="BT50" i="36"/>
  <c r="AS51" i="36"/>
  <c r="AS50" i="36"/>
  <c r="BT31" i="36"/>
  <c r="AS43" i="36"/>
  <c r="AS47" i="36"/>
  <c r="BL47" i="36"/>
  <c r="AS17" i="36"/>
  <c r="BT24" i="36"/>
  <c r="AS26" i="36"/>
  <c r="BT23" i="36"/>
  <c r="AS18" i="36"/>
  <c r="AS25" i="36"/>
  <c r="BT55" i="36"/>
  <c r="BL55" i="36"/>
  <c r="AS55" i="36"/>
  <c r="BT27" i="36"/>
  <c r="BT26" i="36"/>
  <c r="BT53" i="36"/>
  <c r="BL42" i="36"/>
  <c r="AS42" i="36"/>
  <c r="AS41" i="36"/>
  <c r="AS53" i="36"/>
  <c r="AS44" i="36"/>
  <c r="AS46" i="36"/>
  <c r="BL45" i="36"/>
  <c r="BL46" i="36"/>
  <c r="AS20" i="36"/>
  <c r="BT13" i="36"/>
  <c r="BT14" i="36"/>
  <c r="BL44" i="36"/>
  <c r="BL43" i="36"/>
  <c r="AS27" i="36"/>
  <c r="AS40" i="36"/>
  <c r="AS39" i="36"/>
  <c r="AS31" i="36"/>
  <c r="AS28" i="36"/>
  <c r="CR50" i="31"/>
  <c r="CA50" i="31"/>
  <c r="DR50" i="31" s="1"/>
  <c r="DJ50" i="31"/>
  <c r="CA24" i="31"/>
  <c r="DR24" i="31" s="1"/>
  <c r="DS24" i="31" s="1"/>
  <c r="AS19" i="36"/>
  <c r="AS45" i="36"/>
  <c r="CA55" i="31"/>
  <c r="AS54" i="36"/>
  <c r="BW55" i="31"/>
  <c r="BT54" i="36"/>
  <c r="BM55" i="31"/>
  <c r="BL54" i="36"/>
  <c r="CA9" i="31"/>
  <c r="DR9" i="31" s="1"/>
  <c r="DJ24" i="31"/>
  <c r="CR24" i="31"/>
  <c r="AU9" i="31"/>
  <c r="DJ9" i="31"/>
  <c r="CR9" i="31"/>
  <c r="DJ55" i="31"/>
  <c r="CR55" i="31"/>
  <c r="AU55" i="31"/>
  <c r="D9" i="31"/>
  <c r="AN10" i="33"/>
  <c r="BX9" i="31"/>
  <c r="CR41" i="31"/>
  <c r="BM9" i="31"/>
  <c r="CA41" i="31"/>
  <c r="DR41" i="31" s="1"/>
  <c r="DS41" i="31" s="1"/>
  <c r="DJ41" i="31"/>
  <c r="AN49" i="33"/>
  <c r="D48" i="31"/>
  <c r="BY48" i="31"/>
  <c r="BX48" i="31"/>
  <c r="BW12" i="31"/>
  <c r="CA7" i="31"/>
  <c r="DR7" i="31" s="1"/>
  <c r="DS7" i="31" s="1"/>
  <c r="CA12" i="31"/>
  <c r="DR12" i="31" s="1"/>
  <c r="DS12" i="31" s="1"/>
  <c r="CA11" i="31"/>
  <c r="DR11" i="31" s="1"/>
  <c r="DS11" i="31" s="1"/>
  <c r="BM48" i="31"/>
  <c r="CA21" i="31"/>
  <c r="DR21" i="31" s="1"/>
  <c r="DS21" i="31" s="1"/>
  <c r="CB48" i="31"/>
  <c r="BZ23" i="1"/>
  <c r="DO23" i="1" s="1"/>
  <c r="DP23" i="1" s="1"/>
  <c r="BZ8" i="1"/>
  <c r="DO8" i="1" s="1"/>
  <c r="DP8" i="1" s="1"/>
  <c r="CA17" i="31"/>
  <c r="DR17" i="31" s="1"/>
  <c r="DS17" i="31" s="1"/>
  <c r="DI15" i="1"/>
  <c r="BZ15" i="1"/>
  <c r="DO15" i="1" s="1"/>
  <c r="DP15" i="1" s="1"/>
  <c r="BZ26" i="1"/>
  <c r="DO26" i="1" s="1"/>
  <c r="DP26" i="1" s="1"/>
  <c r="BZ10" i="1"/>
  <c r="DO10" i="1" s="1"/>
  <c r="DP10" i="1" s="1"/>
  <c r="CR8" i="31"/>
  <c r="CA8" i="31"/>
  <c r="DR8" i="31" s="1"/>
  <c r="DS8" i="31" s="1"/>
  <c r="CA33" i="31"/>
  <c r="DR33" i="31" s="1"/>
  <c r="DS33" i="31" s="1"/>
  <c r="DI32" i="1"/>
  <c r="BZ32" i="1"/>
  <c r="DO32" i="1" s="1"/>
  <c r="DP32" i="1" s="1"/>
  <c r="BZ30" i="1"/>
  <c r="DO30" i="1" s="1"/>
  <c r="DI17" i="1"/>
  <c r="BZ17" i="1"/>
  <c r="DO17" i="1" s="1"/>
  <c r="DP17" i="1" s="1"/>
  <c r="DI9" i="1"/>
  <c r="BZ9" i="1"/>
  <c r="DO9" i="1" s="1"/>
  <c r="DP9" i="1" s="1"/>
  <c r="DI11" i="1"/>
  <c r="BZ11" i="1"/>
  <c r="DO11" i="1" s="1"/>
  <c r="DP11" i="1" s="1"/>
  <c r="DI33" i="1"/>
  <c r="BZ33" i="1"/>
  <c r="DO33" i="1" s="1"/>
  <c r="DP33" i="1" s="1"/>
  <c r="CR49" i="31"/>
  <c r="CA49" i="31"/>
  <c r="DR49" i="31" s="1"/>
  <c r="DS49" i="31" s="1"/>
  <c r="BZ21" i="1"/>
  <c r="DO21" i="1" s="1"/>
  <c r="DP21" i="1" s="1"/>
  <c r="DI35" i="1"/>
  <c r="BZ35" i="1"/>
  <c r="DO35" i="1" s="1"/>
  <c r="DP35" i="1" s="1"/>
  <c r="DI28" i="1"/>
  <c r="BZ28" i="1"/>
  <c r="DO28" i="1" s="1"/>
  <c r="DP28" i="1" s="1"/>
  <c r="DI13" i="1"/>
  <c r="BZ13" i="1"/>
  <c r="DO13" i="1" s="1"/>
  <c r="DP13" i="1" s="1"/>
  <c r="BZ24" i="1"/>
  <c r="DO24" i="1" s="1"/>
  <c r="DP24" i="1" s="1"/>
  <c r="DI7" i="1"/>
  <c r="BZ7" i="1"/>
  <c r="DO7" i="1" s="1"/>
  <c r="DP7" i="1" s="1"/>
  <c r="DI25" i="1"/>
  <c r="DI18" i="1"/>
  <c r="DI34" i="1"/>
  <c r="DI29" i="1"/>
  <c r="DI27" i="1"/>
  <c r="DI19" i="1"/>
  <c r="DI20" i="1"/>
  <c r="DI22" i="1"/>
  <c r="DI14" i="1"/>
  <c r="BO10" i="54"/>
  <c r="BO7" i="54"/>
  <c r="BO31" i="54"/>
  <c r="U64" i="31"/>
  <c r="AV48" i="31" s="1"/>
  <c r="DI26" i="1"/>
  <c r="CQ26" i="1"/>
  <c r="BO24" i="54"/>
  <c r="BO13" i="54"/>
  <c r="BO27" i="54"/>
  <c r="BO15" i="54"/>
  <c r="BO26" i="54"/>
  <c r="BO9" i="54"/>
  <c r="BO28" i="54"/>
  <c r="BO21" i="54"/>
  <c r="BO30" i="54"/>
  <c r="BO34" i="54"/>
  <c r="AP27" i="54"/>
  <c r="DI30" i="1"/>
  <c r="AP34" i="54"/>
  <c r="DI21" i="1"/>
  <c r="AP28" i="54"/>
  <c r="DI24" i="1"/>
  <c r="AP31" i="54"/>
  <c r="DI10" i="1"/>
  <c r="AP9" i="54"/>
  <c r="DI12" i="1"/>
  <c r="AP26" i="54"/>
  <c r="DI23" i="1"/>
  <c r="AP10" i="54"/>
  <c r="DI8" i="1"/>
  <c r="AP22" i="54"/>
  <c r="AP30" i="54"/>
  <c r="AP8" i="54"/>
  <c r="AP29" i="54"/>
  <c r="BO17" i="54"/>
  <c r="AP13" i="54"/>
  <c r="BO22" i="54"/>
  <c r="BO8" i="54"/>
  <c r="BO29" i="54"/>
  <c r="BO33" i="54"/>
  <c r="AP32" i="54"/>
  <c r="AP25" i="54"/>
  <c r="BO32" i="54"/>
  <c r="AP33" i="54"/>
  <c r="BO25" i="54"/>
  <c r="BO16" i="54"/>
  <c r="AP19" i="54"/>
  <c r="BO19" i="54"/>
  <c r="AP21" i="54"/>
  <c r="BO20" i="54"/>
  <c r="AP20" i="54"/>
  <c r="BO12" i="54"/>
  <c r="AP15" i="54"/>
  <c r="AP16" i="54"/>
  <c r="BO14" i="54"/>
  <c r="AP24" i="54"/>
  <c r="AP17" i="54"/>
  <c r="AP11" i="54"/>
  <c r="AP23" i="54"/>
  <c r="BO11" i="54"/>
  <c r="BO18" i="54"/>
  <c r="BO23" i="54"/>
  <c r="AP18" i="54"/>
  <c r="AP14" i="54"/>
  <c r="AP12" i="54"/>
  <c r="BK12" i="1"/>
  <c r="BK20" i="1"/>
  <c r="BK32" i="1"/>
  <c r="BK7" i="1"/>
  <c r="BK23" i="1"/>
  <c r="BK19" i="1"/>
  <c r="BK9" i="1"/>
  <c r="BK10" i="1"/>
  <c r="BK18" i="1"/>
  <c r="BK14" i="1"/>
  <c r="BK29" i="1"/>
  <c r="BK30" i="1"/>
  <c r="BK27" i="1"/>
  <c r="BK28" i="1"/>
  <c r="BK13" i="1"/>
  <c r="BK8" i="1"/>
  <c r="DJ12" i="31"/>
  <c r="CR12" i="31"/>
  <c r="AU12" i="31"/>
  <c r="BL17" i="31"/>
  <c r="BL19" i="36" s="1"/>
  <c r="BL12" i="31"/>
  <c r="AP7" i="54"/>
  <c r="DJ8" i="31"/>
  <c r="DJ49" i="31"/>
  <c r="CQ18" i="1"/>
  <c r="CQ12" i="1"/>
  <c r="CQ24" i="1"/>
  <c r="CQ7" i="1"/>
  <c r="CQ22" i="1"/>
  <c r="CQ10" i="1"/>
  <c r="CQ25" i="1"/>
  <c r="CQ29" i="1"/>
  <c r="CQ17" i="1"/>
  <c r="CQ15" i="1"/>
  <c r="CQ19" i="1"/>
  <c r="CQ33" i="1"/>
  <c r="CQ20" i="1"/>
  <c r="DX23" i="25"/>
  <c r="D23" i="25" s="1"/>
  <c r="CQ11" i="1"/>
  <c r="CQ13" i="1"/>
  <c r="CQ32" i="1"/>
  <c r="CQ27" i="1"/>
  <c r="CQ28" i="1"/>
  <c r="CQ23" i="1"/>
  <c r="CQ9" i="1"/>
  <c r="CQ8" i="1"/>
  <c r="CQ30" i="1"/>
  <c r="CQ21" i="1"/>
  <c r="CQ35" i="1"/>
  <c r="DJ11" i="31"/>
  <c r="CR11" i="31"/>
  <c r="CR33" i="31"/>
  <c r="CR21" i="31"/>
  <c r="DJ17" i="31"/>
  <c r="CR17" i="31"/>
  <c r="CR7" i="31"/>
  <c r="DX15" i="1"/>
  <c r="DX17" i="1"/>
  <c r="DX8" i="25"/>
  <c r="D8" i="25" s="1"/>
  <c r="DX30" i="25"/>
  <c r="D30" i="25" s="1"/>
  <c r="DJ7" i="31"/>
  <c r="DX10" i="25"/>
  <c r="D10" i="25" s="1"/>
  <c r="DX5" i="25"/>
  <c r="D5" i="25" s="1"/>
  <c r="DX22" i="1"/>
  <c r="DJ21" i="31"/>
  <c r="DX7" i="1"/>
  <c r="DX13" i="25"/>
  <c r="D13" i="25" s="1"/>
  <c r="DX31" i="25"/>
  <c r="D31" i="25" s="1"/>
  <c r="DX21" i="25"/>
  <c r="D21" i="25" s="1"/>
  <c r="DX24" i="1"/>
  <c r="DX18" i="25"/>
  <c r="D18" i="25" s="1"/>
  <c r="DJ33" i="31"/>
  <c r="DX20" i="1"/>
  <c r="DX23" i="1"/>
  <c r="DX14" i="25"/>
  <c r="D14" i="25" s="1"/>
  <c r="DX34" i="1"/>
  <c r="DX11" i="25"/>
  <c r="D11" i="25" s="1"/>
  <c r="DX35" i="1"/>
  <c r="DX15" i="25"/>
  <c r="D15" i="25" s="1"/>
  <c r="DX7" i="25"/>
  <c r="D7" i="25" s="1"/>
  <c r="DX11" i="1"/>
  <c r="DX8" i="1"/>
  <c r="DX32" i="1"/>
  <c r="DX21" i="1"/>
  <c r="DX20" i="25"/>
  <c r="D20" i="25" s="1"/>
  <c r="DX10" i="1"/>
  <c r="DX9" i="1"/>
  <c r="DX28" i="25"/>
  <c r="D28" i="25" s="1"/>
  <c r="CQ34" i="1"/>
  <c r="DX30" i="1"/>
  <c r="DX19" i="25"/>
  <c r="D19" i="25" s="1"/>
  <c r="CQ14" i="1"/>
  <c r="DX14" i="1"/>
  <c r="DX9" i="25"/>
  <c r="DX17" i="25"/>
  <c r="D17" i="25" s="1"/>
  <c r="DX13" i="1"/>
  <c r="DX22" i="25"/>
  <c r="D22" i="25" s="1"/>
  <c r="DX18" i="1"/>
  <c r="DX25" i="25"/>
  <c r="D25" i="25" s="1"/>
  <c r="DX6" i="25"/>
  <c r="D6" i="25" s="1"/>
  <c r="DX12" i="25"/>
  <c r="D12" i="25" s="1"/>
  <c r="DX29" i="25"/>
  <c r="D29" i="25" s="1"/>
  <c r="DX19" i="1"/>
  <c r="DX25" i="1"/>
  <c r="DX29" i="1"/>
  <c r="DX12" i="1"/>
  <c r="DX16" i="25"/>
  <c r="DX28" i="1"/>
  <c r="DX27" i="25"/>
  <c r="D27" i="25" s="1"/>
  <c r="DX27" i="1"/>
  <c r="DX26" i="25"/>
  <c r="D26" i="25" s="1"/>
  <c r="DX26" i="1"/>
  <c r="DX33" i="1"/>
  <c r="DX32" i="25"/>
  <c r="C101" i="45" l="1"/>
  <c r="DR55" i="31"/>
  <c r="DS55" i="31" s="1"/>
  <c r="AS37" i="36"/>
  <c r="AS7" i="36"/>
  <c r="AS35" i="36"/>
  <c r="BL14" i="36"/>
  <c r="AS36" i="36"/>
  <c r="BL36" i="36"/>
  <c r="BL34" i="36"/>
  <c r="AS34" i="36"/>
  <c r="AS33" i="36"/>
  <c r="BL52" i="36"/>
  <c r="AS32" i="36"/>
  <c r="AS30" i="36"/>
  <c r="AS29" i="36"/>
  <c r="BL18" i="36"/>
  <c r="AS24" i="36"/>
  <c r="AS23" i="36"/>
  <c r="AS22" i="36"/>
  <c r="AS21" i="36"/>
  <c r="DS50" i="31"/>
  <c r="DR47" i="36"/>
  <c r="AS16" i="36"/>
  <c r="DS9" i="31"/>
  <c r="DP30" i="1"/>
  <c r="AD30" i="15" s="1"/>
  <c r="AS15" i="36"/>
  <c r="AS14" i="36"/>
  <c r="AD21" i="15"/>
  <c r="AD34" i="15"/>
  <c r="AD14" i="15"/>
  <c r="AD8" i="15"/>
  <c r="AD28" i="15"/>
  <c r="BL7" i="36"/>
  <c r="DR28" i="36"/>
  <c r="DR27" i="36"/>
  <c r="AD17" i="15"/>
  <c r="AD32" i="15"/>
  <c r="AD11" i="15"/>
  <c r="AD10" i="15"/>
  <c r="AD12" i="15"/>
  <c r="AD16" i="15"/>
  <c r="DR41" i="36"/>
  <c r="AD29" i="15"/>
  <c r="AD13" i="15"/>
  <c r="AD18" i="15"/>
  <c r="AD9" i="15"/>
  <c r="AD20" i="15"/>
  <c r="DR54" i="36"/>
  <c r="AD31" i="15"/>
  <c r="AD26" i="15"/>
  <c r="AD19" i="15"/>
  <c r="AD23" i="15"/>
  <c r="AD15" i="15"/>
  <c r="AD33" i="15"/>
  <c r="BL35" i="36"/>
  <c r="DR17" i="36"/>
  <c r="BL17" i="36"/>
  <c r="BL16" i="36"/>
  <c r="DR31" i="36"/>
  <c r="DR19" i="36"/>
  <c r="DR25" i="36"/>
  <c r="DR26" i="36"/>
  <c r="DR20" i="36"/>
  <c r="DR39" i="36"/>
  <c r="DR40" i="36"/>
  <c r="BL53" i="36"/>
  <c r="DR52" i="36"/>
  <c r="DR45" i="36"/>
  <c r="DR18" i="36"/>
  <c r="DR43" i="36"/>
  <c r="DR44" i="36"/>
  <c r="DR49" i="36"/>
  <c r="DR48" i="36"/>
  <c r="AF74" i="31"/>
  <c r="DR46" i="36"/>
  <c r="AH74" i="31"/>
  <c r="AC74" i="31"/>
  <c r="DR51" i="36"/>
  <c r="X74" i="31"/>
  <c r="DR42" i="36"/>
  <c r="Y74" i="31"/>
  <c r="AQ74" i="31"/>
  <c r="AN74" i="31"/>
  <c r="AI74" i="31"/>
  <c r="DR53" i="36"/>
  <c r="DR50" i="36"/>
  <c r="AB74" i="31"/>
  <c r="DR55" i="36"/>
  <c r="AS13" i="36"/>
  <c r="BL13" i="36"/>
  <c r="AS12" i="36"/>
  <c r="BL12" i="36"/>
  <c r="AS11" i="36"/>
  <c r="BL11" i="36"/>
  <c r="BL15" i="36"/>
  <c r="BL10" i="36"/>
  <c r="AS10" i="36"/>
  <c r="AS9" i="36"/>
  <c r="BL33" i="36"/>
  <c r="BL41" i="36"/>
  <c r="BL40" i="36"/>
  <c r="BL38" i="36"/>
  <c r="BL37" i="36"/>
  <c r="BL39" i="36"/>
  <c r="CR52" i="36"/>
  <c r="CA52" i="36"/>
  <c r="DJ52" i="36"/>
  <c r="CR36" i="31"/>
  <c r="CR38" i="36" s="1"/>
  <c r="CA36" i="31"/>
  <c r="CA38" i="36" s="1"/>
  <c r="AS8" i="36"/>
  <c r="AS2" i="31"/>
  <c r="AS2" i="36" s="1"/>
  <c r="DJ36" i="31"/>
  <c r="DJ38" i="36" s="1"/>
  <c r="CR17" i="36"/>
  <c r="DJ17" i="36"/>
  <c r="CA17" i="36"/>
  <c r="CR47" i="36"/>
  <c r="DJ49" i="36"/>
  <c r="DJ48" i="36"/>
  <c r="CA49" i="36"/>
  <c r="CA48" i="36"/>
  <c r="CR49" i="36"/>
  <c r="CR48" i="36"/>
  <c r="CA51" i="36"/>
  <c r="CA50" i="36"/>
  <c r="DJ51" i="36"/>
  <c r="DJ50" i="36"/>
  <c r="CR51" i="36"/>
  <c r="CR50" i="36"/>
  <c r="CB9" i="31"/>
  <c r="CR43" i="36"/>
  <c r="CA43" i="36"/>
  <c r="DJ43" i="36"/>
  <c r="DJ47" i="36"/>
  <c r="BL30" i="36"/>
  <c r="CA47" i="36"/>
  <c r="BL25" i="36"/>
  <c r="CR26" i="36"/>
  <c r="DJ26" i="36"/>
  <c r="CA26" i="36"/>
  <c r="BL26" i="36"/>
  <c r="CR25" i="36"/>
  <c r="DJ25" i="36"/>
  <c r="CA25" i="36"/>
  <c r="BL8" i="36"/>
  <c r="BL9" i="36"/>
  <c r="DJ55" i="36"/>
  <c r="CA55" i="36"/>
  <c r="CR55" i="36"/>
  <c r="BL28" i="36"/>
  <c r="DJ42" i="36"/>
  <c r="DJ41" i="36"/>
  <c r="CA42" i="36"/>
  <c r="CA41" i="36"/>
  <c r="CR42" i="36"/>
  <c r="CR41" i="36"/>
  <c r="BL31" i="36"/>
  <c r="CA45" i="36"/>
  <c r="CA46" i="36"/>
  <c r="DJ45" i="36"/>
  <c r="DJ46" i="36"/>
  <c r="CR45" i="36"/>
  <c r="CR46" i="36"/>
  <c r="CA20" i="36"/>
  <c r="CA22" i="36"/>
  <c r="BL20" i="36"/>
  <c r="BL22" i="36"/>
  <c r="CR20" i="36"/>
  <c r="DJ20" i="36"/>
  <c r="DJ44" i="36"/>
  <c r="CR31" i="36"/>
  <c r="DJ40" i="36"/>
  <c r="DJ39" i="36"/>
  <c r="CA44" i="36"/>
  <c r="CR54" i="36"/>
  <c r="CR53" i="36"/>
  <c r="CR44" i="36"/>
  <c r="DJ54" i="36"/>
  <c r="DJ53" i="36"/>
  <c r="BL32" i="36"/>
  <c r="BL27" i="36"/>
  <c r="CA27" i="36"/>
  <c r="CA40" i="36"/>
  <c r="CA39" i="36"/>
  <c r="CA54" i="36"/>
  <c r="CA53" i="36"/>
  <c r="CR19" i="36"/>
  <c r="CR18" i="36"/>
  <c r="DJ19" i="36"/>
  <c r="DJ18" i="36"/>
  <c r="CR27" i="36"/>
  <c r="DJ27" i="36"/>
  <c r="CR40" i="36"/>
  <c r="CR39" i="36"/>
  <c r="CA19" i="36"/>
  <c r="CA18" i="36"/>
  <c r="BL21" i="36"/>
  <c r="DJ31" i="36"/>
  <c r="CA31" i="36"/>
  <c r="BL23" i="36"/>
  <c r="BL24" i="36"/>
  <c r="BL29" i="36"/>
  <c r="CA28" i="36"/>
  <c r="CR28" i="36"/>
  <c r="DJ28" i="36"/>
  <c r="AN56" i="33"/>
  <c r="BX55" i="31"/>
  <c r="D55" i="31"/>
  <c r="CB55" i="31"/>
  <c r="BY55" i="31"/>
  <c r="DY39" i="40"/>
  <c r="DD34" i="54"/>
  <c r="E49" i="33"/>
  <c r="CH48" i="31"/>
  <c r="BX12" i="31"/>
  <c r="CF48" i="31"/>
  <c r="BY12" i="31"/>
  <c r="AN13" i="33"/>
  <c r="D12" i="31"/>
  <c r="DY78" i="40"/>
  <c r="BM12" i="31"/>
  <c r="CB12" i="31"/>
  <c r="DD31" i="54"/>
  <c r="DD27" i="54"/>
  <c r="DD9" i="54"/>
  <c r="BG31" i="54"/>
  <c r="AV42" i="31"/>
  <c r="AV30" i="31"/>
  <c r="AI64" i="31"/>
  <c r="BG30" i="54"/>
  <c r="CL10" i="54"/>
  <c r="DS9" i="54"/>
  <c r="BG8" i="54"/>
  <c r="DS31" i="54"/>
  <c r="DD26" i="54"/>
  <c r="BG15" i="54"/>
  <c r="BG27" i="54"/>
  <c r="DD28" i="54"/>
  <c r="DS27" i="54"/>
  <c r="BG28" i="54"/>
  <c r="CL26" i="54"/>
  <c r="BG26" i="54"/>
  <c r="DS34" i="54"/>
  <c r="CL31" i="54"/>
  <c r="BG34" i="54"/>
  <c r="DS10" i="54"/>
  <c r="DS28" i="54"/>
  <c r="CL34" i="54"/>
  <c r="CL27" i="54"/>
  <c r="CL28" i="54"/>
  <c r="BG25" i="54"/>
  <c r="DS26" i="54"/>
  <c r="CL9" i="54"/>
  <c r="DD15" i="54"/>
  <c r="CL15" i="54"/>
  <c r="BG13" i="54"/>
  <c r="DD29" i="54"/>
  <c r="BG22" i="54"/>
  <c r="DD22" i="54"/>
  <c r="BG17" i="54"/>
  <c r="CL23" i="54"/>
  <c r="CL30" i="54"/>
  <c r="CL8" i="54"/>
  <c r="DS30" i="54"/>
  <c r="DS22" i="54"/>
  <c r="DD8" i="54"/>
  <c r="BG19" i="54"/>
  <c r="BG23" i="54"/>
  <c r="DS8" i="54"/>
  <c r="DD30" i="54"/>
  <c r="DS13" i="54"/>
  <c r="BG12" i="54"/>
  <c r="BG10" i="54"/>
  <c r="DD10" i="54"/>
  <c r="DD13" i="54"/>
  <c r="CL29" i="54"/>
  <c r="CL13" i="54"/>
  <c r="DS29" i="54"/>
  <c r="CL22" i="54"/>
  <c r="BG29" i="54"/>
  <c r="DK10" i="54"/>
  <c r="BG21" i="54"/>
  <c r="BG33" i="54"/>
  <c r="DS32" i="54"/>
  <c r="CL33" i="54"/>
  <c r="DD32" i="54"/>
  <c r="BG24" i="54"/>
  <c r="DK32" i="54"/>
  <c r="CL25" i="54"/>
  <c r="CL32" i="54"/>
  <c r="DD33" i="54"/>
  <c r="BG32" i="54"/>
  <c r="DS33" i="54"/>
  <c r="DD25" i="54"/>
  <c r="DS18" i="54"/>
  <c r="CL20" i="54"/>
  <c r="DS25" i="54"/>
  <c r="DS17" i="54"/>
  <c r="CL17" i="54"/>
  <c r="DD20" i="54"/>
  <c r="DS15" i="54"/>
  <c r="BG20" i="54"/>
  <c r="DS20" i="54"/>
  <c r="DD21" i="54"/>
  <c r="DD19" i="54"/>
  <c r="DS19" i="54"/>
  <c r="CL21" i="54"/>
  <c r="DD12" i="54"/>
  <c r="CL19" i="54"/>
  <c r="DS21" i="54"/>
  <c r="DD14" i="54"/>
  <c r="CL16" i="54"/>
  <c r="DD24" i="54"/>
  <c r="CL12" i="54"/>
  <c r="BG16" i="54"/>
  <c r="DS24" i="54"/>
  <c r="BG14" i="54"/>
  <c r="DS12" i="54"/>
  <c r="DS14" i="54"/>
  <c r="CL18" i="54"/>
  <c r="BG18" i="54"/>
  <c r="DD23" i="54"/>
  <c r="CL11" i="54"/>
  <c r="DD16" i="54"/>
  <c r="DD11" i="54"/>
  <c r="DD18" i="54"/>
  <c r="DD17" i="54"/>
  <c r="DS11" i="54"/>
  <c r="DS16" i="54"/>
  <c r="CL24" i="54"/>
  <c r="DS23" i="54"/>
  <c r="CL14" i="54"/>
  <c r="BG11" i="54"/>
  <c r="DK14" i="54"/>
  <c r="DK21" i="54"/>
  <c r="DK20" i="54"/>
  <c r="DK17" i="54"/>
  <c r="DK11" i="54"/>
  <c r="DK8" i="54"/>
  <c r="DK16" i="54"/>
  <c r="DK19" i="54"/>
  <c r="BG7" i="54"/>
  <c r="BG9" i="54"/>
  <c r="DK9" i="54"/>
  <c r="DK33" i="54"/>
  <c r="DK12" i="54"/>
  <c r="DK31" i="54"/>
  <c r="DK34" i="54"/>
  <c r="DK18" i="54"/>
  <c r="DK26" i="54"/>
  <c r="DK15" i="54"/>
  <c r="DK13" i="54"/>
  <c r="DK29" i="54"/>
  <c r="DK28" i="54"/>
  <c r="DS7" i="54"/>
  <c r="DK7" i="54"/>
  <c r="DD7" i="54"/>
  <c r="CL7" i="54"/>
  <c r="DY23" i="25"/>
  <c r="AD7" i="15"/>
  <c r="DY30" i="25"/>
  <c r="DY8" i="25"/>
  <c r="DY10" i="25"/>
  <c r="DY5" i="25"/>
  <c r="DY31" i="25"/>
  <c r="DY19" i="25"/>
  <c r="DY21" i="25"/>
  <c r="DY11" i="25"/>
  <c r="DY14" i="25"/>
  <c r="DY13" i="25"/>
  <c r="DY28" i="25"/>
  <c r="DY18" i="25"/>
  <c r="DY7" i="25"/>
  <c r="DY15" i="25"/>
  <c r="DY20" i="25"/>
  <c r="D9" i="25"/>
  <c r="DY9" i="25"/>
  <c r="DY17" i="25"/>
  <c r="DY25" i="25"/>
  <c r="DY12" i="25"/>
  <c r="DY22" i="25"/>
  <c r="DY6" i="25"/>
  <c r="DY29" i="25"/>
  <c r="DY27" i="25"/>
  <c r="D16" i="25"/>
  <c r="DY16" i="25"/>
  <c r="DY26" i="25"/>
  <c r="D32" i="25"/>
  <c r="DY32" i="25"/>
  <c r="Q12" i="26"/>
  <c r="BK85" i="33"/>
  <c r="BK84" i="33"/>
  <c r="BK83" i="33"/>
  <c r="BK82" i="33"/>
  <c r="C102" i="45" l="1"/>
  <c r="DK25" i="54"/>
  <c r="DK30" i="54"/>
  <c r="CA34" i="36"/>
  <c r="CR37" i="36"/>
  <c r="CA37" i="36"/>
  <c r="DJ37" i="36"/>
  <c r="DK27" i="54"/>
  <c r="AD27" i="15"/>
  <c r="CR7" i="36"/>
  <c r="CR35" i="36"/>
  <c r="CA11" i="36"/>
  <c r="CA35" i="36"/>
  <c r="DJ7" i="36"/>
  <c r="DJ35" i="36"/>
  <c r="CR36" i="36"/>
  <c r="CA36" i="36"/>
  <c r="DJ36" i="36"/>
  <c r="DJ34" i="36"/>
  <c r="CR34" i="36"/>
  <c r="CA33" i="36"/>
  <c r="DJ33" i="36"/>
  <c r="CR33" i="36"/>
  <c r="DJ32" i="36"/>
  <c r="CR32" i="36"/>
  <c r="CA32" i="36"/>
  <c r="DJ30" i="36"/>
  <c r="CA30" i="36"/>
  <c r="CR29" i="36"/>
  <c r="DJ29" i="36"/>
  <c r="CA29" i="36"/>
  <c r="CA24" i="36"/>
  <c r="CR24" i="36"/>
  <c r="DJ24" i="36"/>
  <c r="CA23" i="36"/>
  <c r="DJ23" i="36"/>
  <c r="CR23" i="36"/>
  <c r="DJ22" i="36"/>
  <c r="CR22" i="36"/>
  <c r="CR21" i="36"/>
  <c r="DJ21" i="36"/>
  <c r="CA21" i="36"/>
  <c r="DJ15" i="36"/>
  <c r="AD24" i="15"/>
  <c r="DK23" i="54"/>
  <c r="AD25" i="15"/>
  <c r="DS47" i="36"/>
  <c r="AC46" i="32"/>
  <c r="AD35" i="15"/>
  <c r="DK24" i="54"/>
  <c r="DK22" i="54"/>
  <c r="AD22" i="15"/>
  <c r="CA16" i="36"/>
  <c r="DJ16" i="36"/>
  <c r="CR16" i="36"/>
  <c r="CR15" i="36"/>
  <c r="CA15" i="36"/>
  <c r="CA14" i="36"/>
  <c r="DJ14" i="36"/>
  <c r="CR14" i="36"/>
  <c r="AC55" i="32"/>
  <c r="AC54" i="32"/>
  <c r="AC27" i="32"/>
  <c r="DS27" i="36"/>
  <c r="AC26" i="32"/>
  <c r="DZ24" i="25"/>
  <c r="C24" i="25"/>
  <c r="AC49" i="32"/>
  <c r="AC41" i="32"/>
  <c r="AC44" i="32"/>
  <c r="AC45" i="32"/>
  <c r="AC18" i="32"/>
  <c r="AC17" i="32"/>
  <c r="AC16" i="32"/>
  <c r="DS17" i="36"/>
  <c r="AC40" i="32"/>
  <c r="DS41" i="36"/>
  <c r="AC25" i="32"/>
  <c r="DS26" i="36"/>
  <c r="DS40" i="36"/>
  <c r="AC39" i="32"/>
  <c r="AC38" i="32"/>
  <c r="DS39" i="36"/>
  <c r="AC19" i="32"/>
  <c r="DS20" i="36"/>
  <c r="AC24" i="32"/>
  <c r="DS25" i="36"/>
  <c r="AC53" i="32"/>
  <c r="AC52" i="32"/>
  <c r="AC43" i="32"/>
  <c r="AC42" i="32"/>
  <c r="AC51" i="32"/>
  <c r="AC50" i="32"/>
  <c r="AC48" i="32"/>
  <c r="AC47" i="32"/>
  <c r="AC30" i="32"/>
  <c r="DS28" i="36"/>
  <c r="DS19" i="36"/>
  <c r="CR30" i="36"/>
  <c r="DS18" i="36"/>
  <c r="DS44" i="36"/>
  <c r="DS52" i="36"/>
  <c r="DS54" i="36"/>
  <c r="CR11" i="36"/>
  <c r="DS31" i="36"/>
  <c r="DS49" i="36"/>
  <c r="DS45" i="36"/>
  <c r="DS43" i="36"/>
  <c r="DS48" i="36"/>
  <c r="DS51" i="36"/>
  <c r="DS55" i="36"/>
  <c r="CA7" i="36"/>
  <c r="DR36" i="31"/>
  <c r="DR37" i="36" s="1"/>
  <c r="DS50" i="36"/>
  <c r="DS42" i="36"/>
  <c r="DS53" i="36"/>
  <c r="DS46" i="36"/>
  <c r="CA13" i="36"/>
  <c r="CR12" i="36"/>
  <c r="CR13" i="36"/>
  <c r="DJ13" i="36"/>
  <c r="DJ12" i="36"/>
  <c r="CA12" i="36"/>
  <c r="DJ11" i="36"/>
  <c r="CR10" i="36"/>
  <c r="DJ10" i="36"/>
  <c r="CA10" i="36"/>
  <c r="DJ9" i="36"/>
  <c r="CA9" i="36"/>
  <c r="CR9" i="36"/>
  <c r="DJ8" i="36"/>
  <c r="CA8" i="36"/>
  <c r="CR8" i="36"/>
  <c r="DY86" i="40"/>
  <c r="CF55" i="31"/>
  <c r="CH55" i="31"/>
  <c r="CI48" i="31"/>
  <c r="DY42" i="40"/>
  <c r="E13" i="33"/>
  <c r="CG48" i="31"/>
  <c r="CH12" i="31"/>
  <c r="CF12" i="31"/>
  <c r="AV35" i="31"/>
  <c r="AV39" i="31"/>
  <c r="AV12" i="31"/>
  <c r="AV15" i="31"/>
  <c r="AV37" i="31"/>
  <c r="AV26" i="31"/>
  <c r="AV28" i="31"/>
  <c r="DZ33" i="25"/>
  <c r="C33" i="25"/>
  <c r="DZ5" i="25"/>
  <c r="DZ23" i="25"/>
  <c r="DZ26" i="25"/>
  <c r="DZ9" i="25"/>
  <c r="DZ21" i="25"/>
  <c r="DZ16" i="25"/>
  <c r="DZ19" i="25"/>
  <c r="DZ27" i="25"/>
  <c r="DZ15" i="25"/>
  <c r="DZ7" i="25"/>
  <c r="DZ13" i="25"/>
  <c r="DZ20" i="25"/>
  <c r="DZ31" i="25"/>
  <c r="DZ29" i="25"/>
  <c r="DZ10" i="25"/>
  <c r="DZ14" i="25"/>
  <c r="DZ6" i="25"/>
  <c r="DZ18" i="25"/>
  <c r="DZ8" i="25"/>
  <c r="DZ22" i="25"/>
  <c r="DZ28" i="25"/>
  <c r="DZ30" i="25"/>
  <c r="DZ12" i="25"/>
  <c r="DZ32" i="25"/>
  <c r="DZ25" i="25"/>
  <c r="DZ17" i="25"/>
  <c r="DZ11" i="25"/>
  <c r="C21" i="25"/>
  <c r="C32" i="25"/>
  <c r="C30" i="25"/>
  <c r="C11" i="25"/>
  <c r="C9" i="25"/>
  <c r="C15" i="25"/>
  <c r="C12" i="25"/>
  <c r="C20" i="25"/>
  <c r="C8" i="25"/>
  <c r="C16" i="25"/>
  <c r="C31" i="25"/>
  <c r="C10" i="25"/>
  <c r="C7" i="25"/>
  <c r="C5" i="25"/>
  <c r="C28" i="25"/>
  <c r="C26" i="25"/>
  <c r="C6" i="25"/>
  <c r="C14" i="25"/>
  <c r="C13" i="25"/>
  <c r="C17" i="25"/>
  <c r="C18" i="25"/>
  <c r="C23" i="25"/>
  <c r="C27" i="25"/>
  <c r="C22" i="25"/>
  <c r="C25" i="25"/>
  <c r="C19" i="25"/>
  <c r="C29" i="25"/>
  <c r="Q18" i="26"/>
  <c r="Q31" i="26"/>
  <c r="Q22" i="26"/>
  <c r="BB83" i="33"/>
  <c r="Q36" i="26"/>
  <c r="C103" i="45" l="1"/>
  <c r="DR35" i="36"/>
  <c r="DR38" i="36"/>
  <c r="DR34" i="36"/>
  <c r="DR36" i="36"/>
  <c r="DR32" i="36"/>
  <c r="DR33" i="36"/>
  <c r="DR24" i="36"/>
  <c r="DR29" i="36"/>
  <c r="DR22" i="36"/>
  <c r="DR23" i="36"/>
  <c r="DR16" i="36"/>
  <c r="DR21" i="36"/>
  <c r="AE11" i="15"/>
  <c r="AE13" i="15"/>
  <c r="AE32" i="15"/>
  <c r="AE28" i="15"/>
  <c r="AE24" i="15"/>
  <c r="AE30" i="15"/>
  <c r="AE22" i="15"/>
  <c r="AE8" i="15"/>
  <c r="AE35" i="15"/>
  <c r="AE25" i="15"/>
  <c r="AE12" i="15"/>
  <c r="AE20" i="15"/>
  <c r="AE29" i="15"/>
  <c r="AE17" i="15"/>
  <c r="AE16" i="15"/>
  <c r="AE18" i="15"/>
  <c r="AE15" i="15"/>
  <c r="AE10" i="15"/>
  <c r="AE26" i="15"/>
  <c r="AE33" i="15"/>
  <c r="AE19" i="15"/>
  <c r="AE21" i="15"/>
  <c r="AE9" i="15"/>
  <c r="AE27" i="15"/>
  <c r="AE14" i="15"/>
  <c r="AE23" i="15"/>
  <c r="AE34" i="15"/>
  <c r="AE31" i="15"/>
  <c r="DS36" i="31"/>
  <c r="DR15" i="36"/>
  <c r="DR7" i="36"/>
  <c r="DR14" i="36"/>
  <c r="DR13" i="36"/>
  <c r="DR12" i="36"/>
  <c r="DR10" i="36"/>
  <c r="DR9" i="36"/>
  <c r="DR11" i="36"/>
  <c r="DR30" i="36"/>
  <c r="DR8" i="36"/>
  <c r="V74" i="31"/>
  <c r="DR2" i="31"/>
  <c r="DR2" i="36" s="1"/>
  <c r="CG55" i="31"/>
  <c r="CI55" i="31"/>
  <c r="CI12" i="31"/>
  <c r="CG12" i="31"/>
  <c r="B39" i="31"/>
  <c r="B35" i="31"/>
  <c r="B26" i="31"/>
  <c r="B37" i="31"/>
  <c r="AS51" i="33"/>
  <c r="AF51" i="33"/>
  <c r="CB51" i="33"/>
  <c r="BU51" i="33"/>
  <c r="BI51" i="33"/>
  <c r="AU51" i="33"/>
  <c r="BB51" i="33"/>
  <c r="Q1" i="26"/>
  <c r="AW83" i="33"/>
  <c r="AW82" i="33"/>
  <c r="AV82" i="33"/>
  <c r="AV83" i="33"/>
  <c r="C104" i="45" l="1"/>
  <c r="DS37" i="36"/>
  <c r="AC36" i="32"/>
  <c r="AC37" i="32"/>
  <c r="DS38" i="36"/>
  <c r="AC34" i="32"/>
  <c r="DS35" i="36"/>
  <c r="AC35" i="32"/>
  <c r="DS36" i="36"/>
  <c r="DS34" i="36"/>
  <c r="AC33" i="32"/>
  <c r="AC32" i="32"/>
  <c r="DS33" i="36"/>
  <c r="AC29" i="32"/>
  <c r="DS32" i="36"/>
  <c r="AC31" i="32"/>
  <c r="DS29" i="36"/>
  <c r="AC28" i="32"/>
  <c r="DS24" i="36"/>
  <c r="AC23" i="32"/>
  <c r="DS23" i="36"/>
  <c r="AC22" i="32"/>
  <c r="DS22" i="36"/>
  <c r="AC21" i="32"/>
  <c r="DS21" i="36"/>
  <c r="AC20" i="32"/>
  <c r="AC15" i="32"/>
  <c r="DS16" i="36"/>
  <c r="AC14" i="32"/>
  <c r="DS15" i="36"/>
  <c r="AC13" i="32"/>
  <c r="DS14" i="36"/>
  <c r="AC7" i="32"/>
  <c r="DS7" i="36"/>
  <c r="AC6" i="32"/>
  <c r="DS12" i="36"/>
  <c r="AC11" i="32"/>
  <c r="AC12" i="32"/>
  <c r="DS13" i="36"/>
  <c r="AC8" i="32"/>
  <c r="DS9" i="36"/>
  <c r="AC10" i="32"/>
  <c r="AC9" i="32"/>
  <c r="DS10" i="36"/>
  <c r="DS30" i="36"/>
  <c r="DS11" i="36"/>
  <c r="DS8" i="36"/>
  <c r="DS2" i="31"/>
  <c r="DS2" i="36" s="1"/>
  <c r="M55" i="51"/>
  <c r="M57" i="51"/>
  <c r="U23" i="1"/>
  <c r="Y23" i="1" s="1"/>
  <c r="C105" i="45" l="1"/>
  <c r="AD53" i="32"/>
  <c r="AD33" i="32"/>
  <c r="AD19" i="32"/>
  <c r="AD48" i="32"/>
  <c r="AD31" i="32"/>
  <c r="AD43" i="32"/>
  <c r="AD40" i="32"/>
  <c r="AD47" i="32"/>
  <c r="AD45" i="32"/>
  <c r="AD7" i="32"/>
  <c r="AD13" i="32"/>
  <c r="AD16" i="32"/>
  <c r="AD44" i="32"/>
  <c r="AD27" i="32"/>
  <c r="AD6" i="32"/>
  <c r="AD12" i="32"/>
  <c r="AD36" i="32"/>
  <c r="AD15" i="32"/>
  <c r="AD11" i="32"/>
  <c r="AD52" i="32"/>
  <c r="AD14" i="32"/>
  <c r="AD42" i="32"/>
  <c r="AD18" i="32"/>
  <c r="AD23" i="32"/>
  <c r="AD20" i="32"/>
  <c r="AD8" i="32"/>
  <c r="AD24" i="32"/>
  <c r="AD28" i="32"/>
  <c r="AD35" i="32"/>
  <c r="AD46" i="32"/>
  <c r="AD54" i="32"/>
  <c r="AD50" i="32"/>
  <c r="AD9" i="32"/>
  <c r="AD22" i="32"/>
  <c r="AD39" i="32"/>
  <c r="AD37" i="32"/>
  <c r="AD41" i="32"/>
  <c r="AD51" i="32"/>
  <c r="AD49" i="32"/>
  <c r="AD38" i="32"/>
  <c r="AD30" i="32"/>
  <c r="AD10" i="32"/>
  <c r="AD55" i="32"/>
  <c r="AD34" i="32"/>
  <c r="AD17" i="32"/>
  <c r="AD29" i="32"/>
  <c r="AD26" i="32"/>
  <c r="AD21" i="32"/>
  <c r="AD32" i="32"/>
  <c r="AD25" i="32"/>
  <c r="AS22" i="33"/>
  <c r="AF22" i="33"/>
  <c r="CB22" i="33"/>
  <c r="BU22" i="33"/>
  <c r="BI22" i="33"/>
  <c r="AU22" i="33"/>
  <c r="BB22" i="33"/>
  <c r="BT23" i="1"/>
  <c r="AL18" i="33"/>
  <c r="AL22" i="33"/>
  <c r="AL8" i="33"/>
  <c r="AL12" i="33"/>
  <c r="AL51" i="33"/>
  <c r="AL10" i="33"/>
  <c r="AL50" i="33"/>
  <c r="AL42" i="33"/>
  <c r="AL56" i="33"/>
  <c r="AL25" i="33"/>
  <c r="AH20" i="26"/>
  <c r="AH28" i="26"/>
  <c r="AH19" i="26"/>
  <c r="AH15" i="26"/>
  <c r="AH29" i="26"/>
  <c r="AH31" i="26"/>
  <c r="AH23" i="26"/>
  <c r="AH16" i="26"/>
  <c r="AH11" i="26"/>
  <c r="AH21" i="26"/>
  <c r="AH22" i="26"/>
  <c r="AU83" i="33"/>
  <c r="Q20" i="26"/>
  <c r="C106" i="45" l="1"/>
  <c r="M79" i="51"/>
  <c r="C107" i="45" l="1"/>
  <c r="AO29" i="26"/>
  <c r="Q29" i="26"/>
  <c r="Q33" i="26"/>
  <c r="C108" i="45" l="1"/>
  <c r="W25" i="1"/>
  <c r="AH25" i="1"/>
  <c r="AM25" i="1"/>
  <c r="C109" i="45" l="1"/>
  <c r="AA25" i="1"/>
  <c r="BU41" i="31"/>
  <c r="BT15" i="1"/>
  <c r="BV15" i="1" s="1"/>
  <c r="D15" i="1" s="1"/>
  <c r="DY12" i="40" s="1"/>
  <c r="BU17" i="31"/>
  <c r="BU24" i="31"/>
  <c r="BU7" i="31"/>
  <c r="BU36" i="31"/>
  <c r="BU50" i="31"/>
  <c r="BU11" i="31"/>
  <c r="BU33" i="31"/>
  <c r="BU8" i="31"/>
  <c r="BU21" i="31"/>
  <c r="BT26" i="1"/>
  <c r="BV26" i="1" s="1"/>
  <c r="D26" i="1" s="1"/>
  <c r="DY23" i="40" s="1"/>
  <c r="BT8" i="1"/>
  <c r="BV8" i="1" s="1"/>
  <c r="D8" i="1" s="1"/>
  <c r="DY5" i="40" s="1"/>
  <c r="BT25" i="1"/>
  <c r="BV25" i="1" s="1"/>
  <c r="D25" i="1" s="1"/>
  <c r="DY22" i="40" s="1"/>
  <c r="BT12" i="1"/>
  <c r="BV12" i="1" s="1"/>
  <c r="D12" i="1" s="1"/>
  <c r="DY11" i="40" s="1"/>
  <c r="CL2" i="1"/>
  <c r="CG2" i="54" s="1"/>
  <c r="ED24" i="1"/>
  <c r="X21" i="25"/>
  <c r="I33" i="20"/>
  <c r="G33" i="20" s="1"/>
  <c r="H33" i="20" s="1"/>
  <c r="J33" i="20"/>
  <c r="R33" i="20" s="1"/>
  <c r="L33" i="20" s="1"/>
  <c r="K33" i="20"/>
  <c r="F33" i="20"/>
  <c r="V25" i="26"/>
  <c r="S25" i="26"/>
  <c r="EH24" i="1"/>
  <c r="DR24" i="1"/>
  <c r="CY24" i="1"/>
  <c r="DB24" i="1"/>
  <c r="CY29" i="1"/>
  <c r="AM24" i="1"/>
  <c r="U24" i="1"/>
  <c r="W24" i="1"/>
  <c r="AH24" i="1"/>
  <c r="BO2" i="26"/>
  <c r="BO3" i="26" s="1"/>
  <c r="BL12" i="33"/>
  <c r="Q12" i="33"/>
  <c r="AL11" i="31"/>
  <c r="DQ11" i="31"/>
  <c r="DT11" i="31"/>
  <c r="CZ11" i="31"/>
  <c r="DC11" i="31"/>
  <c r="AI11" i="31"/>
  <c r="L50" i="20"/>
  <c r="I50" i="20"/>
  <c r="G50" i="20" s="1"/>
  <c r="H50" i="20" s="1"/>
  <c r="J50" i="20"/>
  <c r="K50" i="20"/>
  <c r="F50" i="20"/>
  <c r="C110" i="45" l="1"/>
  <c r="BU10" i="36"/>
  <c r="BU37" i="36"/>
  <c r="BU38" i="36"/>
  <c r="BU52" i="36"/>
  <c r="BU11" i="36"/>
  <c r="BU12" i="36"/>
  <c r="BU17" i="36"/>
  <c r="O24" i="1"/>
  <c r="O11" i="31"/>
  <c r="BU35" i="36"/>
  <c r="BU15" i="36"/>
  <c r="BU8" i="36"/>
  <c r="BU9" i="36"/>
  <c r="BU27" i="36"/>
  <c r="BU26" i="36"/>
  <c r="BU42" i="36"/>
  <c r="BU41" i="36"/>
  <c r="BU36" i="36"/>
  <c r="BU13" i="36"/>
  <c r="BU14" i="36"/>
  <c r="BU32" i="36"/>
  <c r="BU21" i="36"/>
  <c r="BU25" i="36"/>
  <c r="BU20" i="36"/>
  <c r="BU22" i="36"/>
  <c r="BU18" i="36"/>
  <c r="BU31" i="36"/>
  <c r="BU30" i="36"/>
  <c r="BU29" i="36"/>
  <c r="BU28" i="36"/>
  <c r="BU24" i="36"/>
  <c r="BU23" i="36"/>
  <c r="BU34" i="36"/>
  <c r="BU33" i="36"/>
  <c r="BW8" i="31"/>
  <c r="BW33" i="31"/>
  <c r="BW11" i="31"/>
  <c r="BW7" i="31"/>
  <c r="BW21" i="31"/>
  <c r="BW17" i="31"/>
  <c r="BW41" i="31"/>
  <c r="BW50" i="31"/>
  <c r="BW36" i="31"/>
  <c r="BW24" i="31"/>
  <c r="Z11" i="31"/>
  <c r="Y24" i="1"/>
  <c r="AH12" i="33"/>
  <c r="S12" i="33"/>
  <c r="V12" i="33"/>
  <c r="C11" i="31"/>
  <c r="DM24" i="1"/>
  <c r="DN11" i="31"/>
  <c r="AF12" i="33"/>
  <c r="O21" i="25"/>
  <c r="N21" i="25"/>
  <c r="CB12" i="33"/>
  <c r="BU12" i="33"/>
  <c r="BI12" i="33"/>
  <c r="AU12" i="33"/>
  <c r="BB12" i="33"/>
  <c r="AB11" i="31"/>
  <c r="BT11" i="1"/>
  <c r="BV11" i="1" s="1"/>
  <c r="D11" i="1" s="1"/>
  <c r="DY8" i="40" s="1"/>
  <c r="BT32" i="1"/>
  <c r="BV32" i="1" s="1"/>
  <c r="D32" i="1" s="1"/>
  <c r="DY29" i="40" s="1"/>
  <c r="BT22" i="1"/>
  <c r="BV22" i="1" s="1"/>
  <c r="D22" i="1" s="1"/>
  <c r="DY19" i="40" s="1"/>
  <c r="BT27" i="1"/>
  <c r="BV27" i="1" s="1"/>
  <c r="D27" i="1" s="1"/>
  <c r="DY24" i="40" s="1"/>
  <c r="BT33" i="1"/>
  <c r="BV33" i="1" s="1"/>
  <c r="D33" i="1" s="1"/>
  <c r="DY30" i="40" s="1"/>
  <c r="BT21" i="1"/>
  <c r="BV21" i="1" s="1"/>
  <c r="D21" i="1" s="1"/>
  <c r="DY15" i="40" s="1"/>
  <c r="BT28" i="1"/>
  <c r="BT7" i="1"/>
  <c r="BV7" i="1" s="1"/>
  <c r="D7" i="1" s="1"/>
  <c r="DY4" i="40" s="1"/>
  <c r="BT30" i="1"/>
  <c r="BV30" i="1" s="1"/>
  <c r="D30" i="1" s="1"/>
  <c r="DY27" i="40" s="1"/>
  <c r="BT18" i="1"/>
  <c r="BV18" i="1" s="1"/>
  <c r="D18" i="1" s="1"/>
  <c r="DY16" i="40" s="1"/>
  <c r="BT19" i="1"/>
  <c r="BV19" i="1" s="1"/>
  <c r="D19" i="1" s="1"/>
  <c r="DY17" i="40" s="1"/>
  <c r="BT10" i="1"/>
  <c r="BV10" i="1" s="1"/>
  <c r="D10" i="1" s="1"/>
  <c r="DY7" i="40" s="1"/>
  <c r="BT17" i="1"/>
  <c r="BV17" i="1" s="1"/>
  <c r="D17" i="1" s="1"/>
  <c r="DY14" i="40" s="1"/>
  <c r="BT13" i="1"/>
  <c r="BV13" i="1" s="1"/>
  <c r="D13" i="1" s="1"/>
  <c r="DY9" i="40" s="1"/>
  <c r="BT34" i="1"/>
  <c r="BV34" i="1" s="1"/>
  <c r="D34" i="1" s="1"/>
  <c r="DY31" i="40" s="1"/>
  <c r="BT9" i="1"/>
  <c r="BV9" i="1" s="1"/>
  <c r="D9" i="1" s="1"/>
  <c r="DY6" i="40" s="1"/>
  <c r="BT20" i="1"/>
  <c r="BV20" i="1" s="1"/>
  <c r="D20" i="1" s="1"/>
  <c r="DY18" i="40" s="1"/>
  <c r="BT14" i="1"/>
  <c r="BV14" i="1" s="1"/>
  <c r="D14" i="1" s="1"/>
  <c r="DY10" i="40" s="1"/>
  <c r="BT35" i="1"/>
  <c r="BT29" i="1"/>
  <c r="BV29" i="1" s="1"/>
  <c r="D29" i="1" s="1"/>
  <c r="DY26" i="40" s="1"/>
  <c r="AA24" i="1"/>
  <c r="BE12" i="33"/>
  <c r="AX12" i="33"/>
  <c r="DD11" i="31"/>
  <c r="BT3" i="33"/>
  <c r="DC24" i="1"/>
  <c r="BA25" i="26"/>
  <c r="AT25" i="26"/>
  <c r="BS25" i="26"/>
  <c r="CU24" i="1"/>
  <c r="CT24" i="1" s="1"/>
  <c r="CV11" i="31"/>
  <c r="BT24" i="1"/>
  <c r="BV24" i="1" s="1"/>
  <c r="D24" i="1" s="1"/>
  <c r="DY21" i="40" s="1"/>
  <c r="BU49" i="31"/>
  <c r="BU16" i="36" s="1"/>
  <c r="DU11" i="31"/>
  <c r="AG12" i="33"/>
  <c r="S24" i="1"/>
  <c r="O33" i="20"/>
  <c r="N33" i="20"/>
  <c r="M33" i="20"/>
  <c r="BH25" i="26"/>
  <c r="AD25" i="26"/>
  <c r="EF24" i="1"/>
  <c r="DV11" i="31"/>
  <c r="T11" i="31"/>
  <c r="C111" i="45" l="1"/>
  <c r="BU45" i="36"/>
  <c r="BU40" i="36"/>
  <c r="BU39" i="36"/>
  <c r="CU11" i="31"/>
  <c r="BU46" i="36"/>
  <c r="BU44" i="36"/>
  <c r="BU43" i="36"/>
  <c r="BU7" i="36"/>
  <c r="BU19" i="36"/>
  <c r="BW10" i="36"/>
  <c r="BW38" i="36"/>
  <c r="BW37" i="36"/>
  <c r="BW52" i="36"/>
  <c r="BW11" i="36"/>
  <c r="BW12" i="36"/>
  <c r="BW17" i="36"/>
  <c r="BU55" i="36"/>
  <c r="BU47" i="36"/>
  <c r="BU48" i="36"/>
  <c r="BU50" i="36"/>
  <c r="BU49" i="36"/>
  <c r="BU53" i="36"/>
  <c r="BU51" i="36"/>
  <c r="BW25" i="36"/>
  <c r="BW15" i="36"/>
  <c r="BW16" i="36"/>
  <c r="BW8" i="36"/>
  <c r="BW9" i="36"/>
  <c r="BW36" i="36"/>
  <c r="BW35" i="36"/>
  <c r="BW27" i="36"/>
  <c r="BW26" i="36"/>
  <c r="BW42" i="36"/>
  <c r="BW41" i="36"/>
  <c r="BW32" i="36"/>
  <c r="BW20" i="36"/>
  <c r="BW22" i="36"/>
  <c r="BW13" i="36"/>
  <c r="BW14" i="36"/>
  <c r="BW19" i="36"/>
  <c r="BW18" i="36"/>
  <c r="BU54" i="36"/>
  <c r="BW21" i="36"/>
  <c r="BW31" i="36"/>
  <c r="BW30" i="36"/>
  <c r="BW29" i="36"/>
  <c r="BW28" i="36"/>
  <c r="BW34" i="36"/>
  <c r="BW33" i="36"/>
  <c r="BW24" i="36"/>
  <c r="BW23" i="36"/>
  <c r="AD11" i="31"/>
  <c r="BX7" i="31"/>
  <c r="BX21" i="31"/>
  <c r="BX8" i="31"/>
  <c r="BX11" i="31"/>
  <c r="P53" i="32"/>
  <c r="D7" i="31"/>
  <c r="AQ73" i="31"/>
  <c r="D11" i="31"/>
  <c r="D36" i="31"/>
  <c r="D17" i="31"/>
  <c r="D33" i="31"/>
  <c r="BX17" i="31"/>
  <c r="BX33" i="31"/>
  <c r="D21" i="31"/>
  <c r="D8" i="31"/>
  <c r="D41" i="31"/>
  <c r="BX41" i="31"/>
  <c r="D50" i="31"/>
  <c r="BX50" i="31"/>
  <c r="X24" i="1"/>
  <c r="CA24" i="1" s="1"/>
  <c r="CY41" i="40"/>
  <c r="CW41" i="40" s="1"/>
  <c r="DU41" i="40" s="1"/>
  <c r="Y11" i="31"/>
  <c r="BX24" i="31"/>
  <c r="D24" i="31"/>
  <c r="BX36" i="31"/>
  <c r="P36" i="32" s="1"/>
  <c r="BW49" i="31"/>
  <c r="BW39" i="36" s="1"/>
  <c r="CY21" i="40"/>
  <c r="DW21" i="40" s="1"/>
  <c r="X25" i="26" s="1"/>
  <c r="AC24" i="1"/>
  <c r="BP10" i="54"/>
  <c r="BP34" i="54"/>
  <c r="AN73" i="31"/>
  <c r="DO11" i="31" s="1"/>
  <c r="BP31" i="54"/>
  <c r="BP11" i="54"/>
  <c r="BP9" i="54"/>
  <c r="BP26" i="54"/>
  <c r="BP8" i="54"/>
  <c r="BP27" i="54"/>
  <c r="BP28" i="54"/>
  <c r="BP13" i="54"/>
  <c r="BP17" i="54"/>
  <c r="BP21" i="54"/>
  <c r="BP19" i="54"/>
  <c r="BP20" i="54"/>
  <c r="BP23" i="54"/>
  <c r="BP18" i="54"/>
  <c r="BP32" i="54"/>
  <c r="BP12" i="54"/>
  <c r="BP22" i="54"/>
  <c r="BP24" i="54"/>
  <c r="BP14" i="54"/>
  <c r="BP29" i="54"/>
  <c r="BP15" i="54"/>
  <c r="BP16" i="54"/>
  <c r="BP33" i="54"/>
  <c r="BP30" i="54"/>
  <c r="BP25" i="54"/>
  <c r="BP7" i="54"/>
  <c r="E24" i="33"/>
  <c r="AN24" i="33"/>
  <c r="E32" i="33"/>
  <c r="AN32" i="33"/>
  <c r="AU11" i="31"/>
  <c r="C41" i="40"/>
  <c r="AT24" i="1"/>
  <c r="AN34" i="33"/>
  <c r="AN42" i="33"/>
  <c r="AN25" i="33"/>
  <c r="AN37" i="33"/>
  <c r="AN18" i="33"/>
  <c r="AN51" i="33"/>
  <c r="AN9" i="33"/>
  <c r="AN12" i="33"/>
  <c r="AN22" i="33"/>
  <c r="AN8" i="33"/>
  <c r="BW15" i="1"/>
  <c r="BW8" i="1"/>
  <c r="BW26" i="1"/>
  <c r="BW25" i="1"/>
  <c r="BW12" i="1"/>
  <c r="M36" i="51"/>
  <c r="M48" i="51"/>
  <c r="K48" i="51"/>
  <c r="AA11" i="31"/>
  <c r="K36" i="51"/>
  <c r="AE11" i="31"/>
  <c r="AD24" i="1"/>
  <c r="AE24" i="1"/>
  <c r="AF11" i="31"/>
  <c r="AG11" i="31"/>
  <c r="DV24" i="1"/>
  <c r="DW24" i="1" s="1"/>
  <c r="AF24" i="1"/>
  <c r="AH11" i="31"/>
  <c r="EE24" i="1"/>
  <c r="Z24" i="1"/>
  <c r="AG24" i="1"/>
  <c r="C12" i="33"/>
  <c r="DW11" i="31"/>
  <c r="BY24" i="1"/>
  <c r="DT24" i="1"/>
  <c r="BZ11" i="31"/>
  <c r="Z12" i="33"/>
  <c r="C112" i="45" l="1"/>
  <c r="BW44" i="36"/>
  <c r="P33" i="32"/>
  <c r="P37" i="32"/>
  <c r="BW45" i="36"/>
  <c r="BW40" i="36"/>
  <c r="P34" i="32"/>
  <c r="P35" i="32"/>
  <c r="P28" i="32"/>
  <c r="P40" i="32"/>
  <c r="BW46" i="36"/>
  <c r="BW43" i="36"/>
  <c r="P25" i="32"/>
  <c r="P27" i="32"/>
  <c r="P26" i="32"/>
  <c r="P14" i="32"/>
  <c r="P29" i="32"/>
  <c r="P32" i="32"/>
  <c r="P39" i="32"/>
  <c r="P41" i="32"/>
  <c r="P16" i="32"/>
  <c r="P18" i="32"/>
  <c r="P15" i="32"/>
  <c r="P19" i="32"/>
  <c r="P17" i="32"/>
  <c r="P13" i="32"/>
  <c r="P24" i="32"/>
  <c r="P10" i="32"/>
  <c r="P7" i="32"/>
  <c r="P9" i="32"/>
  <c r="P51" i="32"/>
  <c r="P50" i="32"/>
  <c r="P8" i="32"/>
  <c r="P23" i="32"/>
  <c r="P22" i="32"/>
  <c r="P31" i="32"/>
  <c r="P30" i="32"/>
  <c r="P21" i="32"/>
  <c r="P20" i="32"/>
  <c r="P12" i="32"/>
  <c r="P11" i="32"/>
  <c r="BW7" i="36"/>
  <c r="BX10" i="36"/>
  <c r="D10" i="36"/>
  <c r="D38" i="36"/>
  <c r="BX38" i="36"/>
  <c r="D37" i="36"/>
  <c r="BX37" i="36"/>
  <c r="D52" i="36"/>
  <c r="BX11" i="36"/>
  <c r="BX12" i="36"/>
  <c r="BX9" i="36"/>
  <c r="D11" i="36"/>
  <c r="D12" i="36"/>
  <c r="BX17" i="36"/>
  <c r="D17" i="36"/>
  <c r="BW55" i="36"/>
  <c r="BW47" i="36"/>
  <c r="BW48" i="36"/>
  <c r="BX52" i="36"/>
  <c r="BW50" i="36"/>
  <c r="BW49" i="36"/>
  <c r="BW53" i="36"/>
  <c r="BW51" i="36"/>
  <c r="D15" i="36"/>
  <c r="BX15" i="36"/>
  <c r="D25" i="36"/>
  <c r="D8" i="36"/>
  <c r="D9" i="36"/>
  <c r="BX8" i="36"/>
  <c r="BX36" i="36"/>
  <c r="BX35" i="36"/>
  <c r="D36" i="36"/>
  <c r="D35" i="36"/>
  <c r="BX27" i="36"/>
  <c r="BX26" i="36"/>
  <c r="D27" i="36"/>
  <c r="D26" i="36"/>
  <c r="BX42" i="36"/>
  <c r="BX41" i="36"/>
  <c r="D42" i="36"/>
  <c r="D41" i="36"/>
  <c r="BX32" i="36"/>
  <c r="BX13" i="36"/>
  <c r="BX14" i="36"/>
  <c r="BX20" i="36"/>
  <c r="BX22" i="36"/>
  <c r="D13" i="36"/>
  <c r="D14" i="36"/>
  <c r="D20" i="36"/>
  <c r="D22" i="36"/>
  <c r="BX21" i="36"/>
  <c r="BX25" i="36"/>
  <c r="D32" i="36"/>
  <c r="D21" i="36"/>
  <c r="BX40" i="36"/>
  <c r="D40" i="36"/>
  <c r="BW54" i="36"/>
  <c r="D18" i="36"/>
  <c r="BX18" i="36"/>
  <c r="BX31" i="36"/>
  <c r="BX30" i="36"/>
  <c r="D29" i="36"/>
  <c r="D28" i="36"/>
  <c r="D31" i="36"/>
  <c r="D30" i="36"/>
  <c r="BX29" i="36"/>
  <c r="BX28" i="36"/>
  <c r="D34" i="36"/>
  <c r="D33" i="36"/>
  <c r="BX34" i="36"/>
  <c r="BX33" i="36"/>
  <c r="BX24" i="36"/>
  <c r="BX23" i="36"/>
  <c r="D24" i="36"/>
  <c r="D23" i="36"/>
  <c r="CB11" i="31"/>
  <c r="DY41" i="40"/>
  <c r="DY63" i="40"/>
  <c r="DY80" i="40"/>
  <c r="DY47" i="40"/>
  <c r="DY71" i="40"/>
  <c r="DY54" i="40"/>
  <c r="DY38" i="40"/>
  <c r="DY37" i="40"/>
  <c r="DY51" i="40"/>
  <c r="DY66" i="40"/>
  <c r="AQ64" i="31"/>
  <c r="DW41" i="40"/>
  <c r="AA12" i="33" s="1"/>
  <c r="BX49" i="31"/>
  <c r="P46" i="32" s="1"/>
  <c r="D49" i="31"/>
  <c r="D16" i="36" s="1"/>
  <c r="AN64" i="31"/>
  <c r="AV11" i="31" s="1"/>
  <c r="AN50" i="33"/>
  <c r="BW19" i="1"/>
  <c r="BW17" i="1"/>
  <c r="BW27" i="1"/>
  <c r="BW10" i="1"/>
  <c r="BW32" i="1"/>
  <c r="BW13" i="1"/>
  <c r="BW18" i="1"/>
  <c r="BW22" i="1"/>
  <c r="BW21" i="1"/>
  <c r="BL24" i="1"/>
  <c r="BW7" i="1"/>
  <c r="BW14" i="1"/>
  <c r="BW33" i="1"/>
  <c r="BW29" i="1"/>
  <c r="BW9" i="1"/>
  <c r="BW30" i="1"/>
  <c r="BW34" i="1"/>
  <c r="BW11" i="1"/>
  <c r="BW24" i="1"/>
  <c r="BW20" i="1"/>
  <c r="BM11" i="31"/>
  <c r="AE12" i="33"/>
  <c r="AB12" i="33"/>
  <c r="AC12" i="33" s="1"/>
  <c r="EG24" i="1"/>
  <c r="DZ24" i="1"/>
  <c r="AC11" i="31"/>
  <c r="AB24" i="1"/>
  <c r="BX24" i="1"/>
  <c r="BY11" i="31"/>
  <c r="C113" i="45" l="1"/>
  <c r="P48" i="32"/>
  <c r="D45" i="36"/>
  <c r="P44" i="32"/>
  <c r="BX45" i="36"/>
  <c r="D39" i="36"/>
  <c r="BX39" i="36"/>
  <c r="P38" i="32"/>
  <c r="BX16" i="36"/>
  <c r="P47" i="32"/>
  <c r="BX43" i="36"/>
  <c r="P45" i="32"/>
  <c r="BX46" i="36"/>
  <c r="D46" i="36"/>
  <c r="D44" i="36"/>
  <c r="BX44" i="36"/>
  <c r="P43" i="32"/>
  <c r="D43" i="36"/>
  <c r="P42" i="32"/>
  <c r="P54" i="32"/>
  <c r="R10" i="15"/>
  <c r="R33" i="15"/>
  <c r="R18" i="15"/>
  <c r="R32" i="15"/>
  <c r="R16" i="15"/>
  <c r="P6" i="32"/>
  <c r="P52" i="32"/>
  <c r="P49" i="32"/>
  <c r="BX7" i="36"/>
  <c r="D7" i="36"/>
  <c r="P55" i="32"/>
  <c r="D19" i="36"/>
  <c r="BX19" i="36"/>
  <c r="BX55" i="36"/>
  <c r="D55" i="36"/>
  <c r="D47" i="36"/>
  <c r="D48" i="36"/>
  <c r="BX47" i="36"/>
  <c r="BX48" i="36"/>
  <c r="D50" i="36"/>
  <c r="D49" i="36"/>
  <c r="BX50" i="36"/>
  <c r="BX49" i="36"/>
  <c r="D53" i="36"/>
  <c r="D51" i="36"/>
  <c r="BX53" i="36"/>
  <c r="BX51" i="36"/>
  <c r="D54" i="36"/>
  <c r="BX54" i="36"/>
  <c r="DY79" i="40"/>
  <c r="CH11" i="31"/>
  <c r="CF11" i="31"/>
  <c r="CG24" i="1"/>
  <c r="CE24" i="1"/>
  <c r="AD12" i="33"/>
  <c r="E12" i="33"/>
  <c r="C114" i="45" l="1"/>
  <c r="Q55" i="32"/>
  <c r="Q43" i="32"/>
  <c r="Q38" i="32"/>
  <c r="Q12" i="32"/>
  <c r="Q49" i="32"/>
  <c r="Q9" i="32"/>
  <c r="Q11" i="32"/>
  <c r="Q45" i="32"/>
  <c r="Q7" i="32"/>
  <c r="Q44" i="32"/>
  <c r="Q27" i="32"/>
  <c r="Q51" i="32"/>
  <c r="Q48" i="32"/>
  <c r="Q42" i="32"/>
  <c r="Q33" i="32"/>
  <c r="Q41" i="32"/>
  <c r="Q47" i="32"/>
  <c r="Q34" i="32"/>
  <c r="Q10" i="32"/>
  <c r="Q19" i="32"/>
  <c r="Q54" i="32"/>
  <c r="Q53" i="32"/>
  <c r="Q16" i="32"/>
  <c r="Q29" i="32"/>
  <c r="Q35" i="32"/>
  <c r="Q52" i="32"/>
  <c r="Q30" i="32"/>
  <c r="Q22" i="32"/>
  <c r="Q20" i="32"/>
  <c r="Q26" i="32"/>
  <c r="Q28" i="32"/>
  <c r="Q31" i="32"/>
  <c r="Q25" i="32"/>
  <c r="Q39" i="32"/>
  <c r="Q46" i="32"/>
  <c r="Q14" i="32"/>
  <c r="Q15" i="32"/>
  <c r="Q50" i="32"/>
  <c r="Q6" i="32"/>
  <c r="Q8" i="32"/>
  <c r="Q18" i="32"/>
  <c r="Q37" i="32"/>
  <c r="Q17" i="32"/>
  <c r="Q36" i="32"/>
  <c r="Q23" i="32"/>
  <c r="Q40" i="32"/>
  <c r="Q24" i="32"/>
  <c r="Q13" i="32"/>
  <c r="Q32" i="32"/>
  <c r="Q21" i="32"/>
  <c r="CF24" i="1"/>
  <c r="CG11" i="31"/>
  <c r="CH24" i="1"/>
  <c r="CI11" i="31"/>
  <c r="C115" i="45" l="1"/>
  <c r="CJ11" i="31"/>
  <c r="C116" i="45" l="1"/>
  <c r="CJ11" i="36"/>
  <c r="CJ10" i="36"/>
  <c r="CJ29" i="36"/>
  <c r="CJ35" i="36"/>
  <c r="CJ26" i="36"/>
  <c r="CJ25" i="36"/>
  <c r="CJ28" i="36"/>
  <c r="CJ27" i="36"/>
  <c r="CJ30" i="36"/>
  <c r="CJ33" i="36"/>
  <c r="CJ32" i="36"/>
  <c r="CJ31" i="36"/>
  <c r="BH16" i="26"/>
  <c r="BA16" i="26"/>
  <c r="Q16" i="26"/>
  <c r="AL17" i="31"/>
  <c r="C117" i="45" l="1"/>
  <c r="AY2" i="31"/>
  <c r="AY2" i="36" s="1"/>
  <c r="DJ2" i="31"/>
  <c r="DJ2" i="36" s="1"/>
  <c r="C118" i="45" l="1"/>
  <c r="Q56" i="33"/>
  <c r="C119" i="45" l="1"/>
  <c r="EH19" i="1"/>
  <c r="EH12" i="1"/>
  <c r="EH18" i="1"/>
  <c r="EH26" i="1"/>
  <c r="EH7" i="1"/>
  <c r="EH35" i="1"/>
  <c r="EH15" i="1"/>
  <c r="EH32" i="1"/>
  <c r="EH23" i="1"/>
  <c r="EH30" i="1"/>
  <c r="EH9" i="1"/>
  <c r="EH29" i="1"/>
  <c r="EH13" i="1"/>
  <c r="EH22" i="1"/>
  <c r="EH8" i="1"/>
  <c r="EH34" i="1"/>
  <c r="EH10" i="1"/>
  <c r="EH20" i="1"/>
  <c r="EH21" i="1"/>
  <c r="EH28" i="1"/>
  <c r="EH25" i="1"/>
  <c r="EH14" i="1"/>
  <c r="EH11" i="1"/>
  <c r="EH33" i="1"/>
  <c r="C120" i="45" l="1"/>
  <c r="EC34" i="54"/>
  <c r="EC27" i="54"/>
  <c r="EC10" i="54"/>
  <c r="EC13" i="54"/>
  <c r="EC26" i="54"/>
  <c r="EC9" i="54"/>
  <c r="EC28" i="54"/>
  <c r="EC23" i="54"/>
  <c r="EC31" i="54"/>
  <c r="EC29" i="54"/>
  <c r="EC30" i="54"/>
  <c r="EC8" i="54"/>
  <c r="EC22" i="54"/>
  <c r="EC16" i="54"/>
  <c r="EC32" i="54"/>
  <c r="EC33" i="54"/>
  <c r="EC20" i="54"/>
  <c r="EC25" i="54"/>
  <c r="EC14" i="54"/>
  <c r="EC15" i="54"/>
  <c r="EC18" i="54"/>
  <c r="EC19" i="54"/>
  <c r="EC21" i="54"/>
  <c r="EC24" i="54"/>
  <c r="EC12" i="54"/>
  <c r="EC11" i="54"/>
  <c r="EC17" i="54"/>
  <c r="EC7" i="54"/>
  <c r="C121" i="45" l="1"/>
  <c r="BM81" i="33"/>
  <c r="BM2" i="33"/>
  <c r="BF81" i="33"/>
  <c r="BF2" i="33"/>
  <c r="AY81" i="33"/>
  <c r="AY2" i="33"/>
  <c r="BI38" i="26"/>
  <c r="BB38" i="26"/>
  <c r="BB2" i="26"/>
  <c r="AU2" i="26"/>
  <c r="AU38" i="26"/>
  <c r="C122" i="45" l="1"/>
  <c r="AS53" i="26"/>
  <c r="AU39" i="26"/>
  <c r="Q25" i="33"/>
  <c r="Q22" i="33"/>
  <c r="C123" i="45" l="1"/>
  <c r="BX25" i="33"/>
  <c r="CE25" i="33"/>
  <c r="BX22" i="33"/>
  <c r="CE22" i="33"/>
  <c r="AX25" i="33"/>
  <c r="BE25" i="33"/>
  <c r="BL25" i="33"/>
  <c r="AX22" i="33"/>
  <c r="BL22" i="33"/>
  <c r="BE22" i="33"/>
  <c r="C124" i="45" l="1"/>
  <c r="F47" i="20"/>
  <c r="I47" i="20"/>
  <c r="G47" i="20" s="1"/>
  <c r="H47" i="20" s="1"/>
  <c r="J47" i="20"/>
  <c r="K47" i="20"/>
  <c r="L47" i="20"/>
  <c r="DQ24" i="31"/>
  <c r="AC262" i="24" s="1"/>
  <c r="DC24" i="31"/>
  <c r="CZ24" i="31"/>
  <c r="AL24" i="31"/>
  <c r="F49" i="20"/>
  <c r="I49" i="20"/>
  <c r="G49" i="20" s="1"/>
  <c r="H49" i="20" s="1"/>
  <c r="J49" i="20"/>
  <c r="K49" i="20"/>
  <c r="L49" i="20"/>
  <c r="DQ21" i="31"/>
  <c r="DC21" i="31"/>
  <c r="CZ21" i="31"/>
  <c r="AL21" i="31"/>
  <c r="AI21" i="31"/>
  <c r="V24" i="31"/>
  <c r="X24" i="31"/>
  <c r="AI24" i="31"/>
  <c r="F48" i="20"/>
  <c r="I48" i="20"/>
  <c r="G48" i="20" s="1"/>
  <c r="H48" i="20" s="1"/>
  <c r="J48" i="20"/>
  <c r="K48" i="20"/>
  <c r="L48" i="20"/>
  <c r="CB56" i="33"/>
  <c r="C125" i="45" l="1"/>
  <c r="V25" i="36"/>
  <c r="V26" i="36"/>
  <c r="X25" i="36"/>
  <c r="X26" i="36"/>
  <c r="V22" i="36"/>
  <c r="V24" i="36"/>
  <c r="X22" i="36"/>
  <c r="X24" i="36"/>
  <c r="V11" i="36"/>
  <c r="V42" i="36"/>
  <c r="X11" i="36"/>
  <c r="X42" i="36"/>
  <c r="V13" i="36"/>
  <c r="V12" i="36"/>
  <c r="X13" i="36"/>
  <c r="X12" i="36"/>
  <c r="V8" i="36"/>
  <c r="V23" i="36"/>
  <c r="X8" i="36"/>
  <c r="X23" i="36"/>
  <c r="V9" i="36"/>
  <c r="V10" i="36"/>
  <c r="X9" i="36"/>
  <c r="X10" i="36"/>
  <c r="V17" i="36"/>
  <c r="V14" i="36"/>
  <c r="X17" i="36"/>
  <c r="X14" i="36"/>
  <c r="O24" i="31"/>
  <c r="O21" i="31"/>
  <c r="O55" i="31"/>
  <c r="V15" i="36"/>
  <c r="V16" i="36"/>
  <c r="X15" i="36"/>
  <c r="X16" i="36"/>
  <c r="V21" i="36"/>
  <c r="V20" i="36"/>
  <c r="X21" i="36"/>
  <c r="X20" i="36"/>
  <c r="V19" i="36"/>
  <c r="V18" i="36"/>
  <c r="X19" i="36"/>
  <c r="X18" i="36"/>
  <c r="Z24" i="31"/>
  <c r="Z21" i="31"/>
  <c r="AH22" i="33"/>
  <c r="V25" i="33"/>
  <c r="S25" i="33"/>
  <c r="V22" i="33"/>
  <c r="S22" i="33"/>
  <c r="AH25" i="33"/>
  <c r="C24" i="31"/>
  <c r="C21" i="31"/>
  <c r="DN24" i="31"/>
  <c r="DN21" i="31"/>
  <c r="AS25" i="33"/>
  <c r="AF25" i="33"/>
  <c r="CV21" i="31"/>
  <c r="CU21" i="31" s="1"/>
  <c r="CB25" i="33"/>
  <c r="BU25" i="33"/>
  <c r="BU56" i="33"/>
  <c r="BI25" i="33"/>
  <c r="BI56" i="33"/>
  <c r="BB25" i="33"/>
  <c r="AU25" i="33"/>
  <c r="BB56" i="33"/>
  <c r="AU56" i="33"/>
  <c r="AB24" i="31"/>
  <c r="AB21" i="31"/>
  <c r="DD21" i="31"/>
  <c r="DD24" i="31"/>
  <c r="CV24" i="31"/>
  <c r="AG56" i="33"/>
  <c r="AG25" i="33"/>
  <c r="AG22" i="33"/>
  <c r="DU24" i="31"/>
  <c r="DT24" i="31"/>
  <c r="T24" i="31"/>
  <c r="DV24" i="31"/>
  <c r="DT21" i="31"/>
  <c r="DU21" i="31"/>
  <c r="T21" i="31"/>
  <c r="DV21" i="31"/>
  <c r="C126" i="45" l="1"/>
  <c r="CU24" i="31"/>
  <c r="Q262" i="24"/>
  <c r="AD21" i="31"/>
  <c r="AD24" i="31"/>
  <c r="CY51" i="40"/>
  <c r="DW51" i="40" s="1"/>
  <c r="AA22" i="33" s="1"/>
  <c r="Y21" i="31"/>
  <c r="CY54" i="40"/>
  <c r="Y24" i="31"/>
  <c r="C51" i="40"/>
  <c r="C54" i="40"/>
  <c r="AU21" i="31"/>
  <c r="AU24" i="31"/>
  <c r="K78" i="51"/>
  <c r="M43" i="51"/>
  <c r="M78" i="51"/>
  <c r="M66" i="51"/>
  <c r="AA21" i="31"/>
  <c r="K79" i="51"/>
  <c r="AA24" i="31"/>
  <c r="AE24" i="31"/>
  <c r="AE21" i="31"/>
  <c r="AF21" i="31"/>
  <c r="AF24" i="31"/>
  <c r="AG21" i="31"/>
  <c r="AG24" i="31"/>
  <c r="AH21" i="31"/>
  <c r="AH24" i="31"/>
  <c r="BZ24" i="31"/>
  <c r="C25" i="33"/>
  <c r="Z56" i="33"/>
  <c r="C22" i="33"/>
  <c r="Z25" i="33"/>
  <c r="Z22" i="33"/>
  <c r="DW24" i="31"/>
  <c r="DW21" i="31"/>
  <c r="BZ21" i="31"/>
  <c r="Q50" i="33"/>
  <c r="F51" i="20"/>
  <c r="I51" i="20"/>
  <c r="G51" i="20" s="1"/>
  <c r="H51" i="20" s="1"/>
  <c r="J51" i="20"/>
  <c r="K51" i="20"/>
  <c r="L51" i="20"/>
  <c r="DQ49" i="31"/>
  <c r="AC266" i="24" s="1"/>
  <c r="CZ49" i="31"/>
  <c r="DC49" i="31"/>
  <c r="AL49" i="31"/>
  <c r="AI49" i="31"/>
  <c r="DT49" i="31"/>
  <c r="Z49" i="31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4" i="20"/>
  <c r="F35" i="20"/>
  <c r="F38" i="20"/>
  <c r="F39" i="20"/>
  <c r="F40" i="20"/>
  <c r="F41" i="20"/>
  <c r="F42" i="20"/>
  <c r="F43" i="20"/>
  <c r="F44" i="20"/>
  <c r="F46" i="20"/>
  <c r="F45" i="20"/>
  <c r="K46" i="20"/>
  <c r="L46" i="20"/>
  <c r="J46" i="20"/>
  <c r="I46" i="20"/>
  <c r="G46" i="20" s="1"/>
  <c r="H46" i="20" s="1"/>
  <c r="DQ33" i="31"/>
  <c r="CZ33" i="31"/>
  <c r="DC33" i="31"/>
  <c r="AL33" i="31"/>
  <c r="AI33" i="31"/>
  <c r="C127" i="45" l="1"/>
  <c r="AC218" i="24"/>
  <c r="AC202" i="24"/>
  <c r="AC146" i="24"/>
  <c r="O49" i="31"/>
  <c r="O33" i="31"/>
  <c r="DW54" i="40"/>
  <c r="AA25" i="33" s="1"/>
  <c r="AL27" i="36"/>
  <c r="CB21" i="31"/>
  <c r="CB24" i="31"/>
  <c r="BM21" i="31"/>
  <c r="AE22" i="33"/>
  <c r="AH34" i="33"/>
  <c r="BM24" i="31"/>
  <c r="AE25" i="33"/>
  <c r="AH50" i="33"/>
  <c r="S50" i="33"/>
  <c r="AB25" i="33"/>
  <c r="AC25" i="33" s="1"/>
  <c r="AB22" i="33"/>
  <c r="AC22" i="33" s="1"/>
  <c r="C33" i="31"/>
  <c r="C49" i="31"/>
  <c r="DN49" i="31"/>
  <c r="DN33" i="31"/>
  <c r="AS50" i="33"/>
  <c r="AF50" i="33"/>
  <c r="AC21" i="31"/>
  <c r="AC24" i="31"/>
  <c r="CV49" i="31"/>
  <c r="EF33" i="31"/>
  <c r="CB50" i="33"/>
  <c r="BU50" i="33"/>
  <c r="BP50" i="33"/>
  <c r="BI50" i="33"/>
  <c r="BB50" i="33"/>
  <c r="AU50" i="33"/>
  <c r="AB49" i="31"/>
  <c r="AB33" i="31"/>
  <c r="BE34" i="33"/>
  <c r="AX34" i="33"/>
  <c r="AD56" i="33"/>
  <c r="DD49" i="31"/>
  <c r="DD33" i="31"/>
  <c r="BX50" i="33"/>
  <c r="CE50" i="33"/>
  <c r="BX34" i="33"/>
  <c r="CE34" i="33"/>
  <c r="CV33" i="31"/>
  <c r="Q218" i="24" s="1"/>
  <c r="BL34" i="33"/>
  <c r="AX50" i="33"/>
  <c r="BL50" i="33"/>
  <c r="BE50" i="33"/>
  <c r="DV49" i="31"/>
  <c r="AG34" i="33"/>
  <c r="E56" i="33"/>
  <c r="BY24" i="31"/>
  <c r="BY21" i="31"/>
  <c r="DU49" i="31"/>
  <c r="AG50" i="33"/>
  <c r="T49" i="31"/>
  <c r="DV33" i="31"/>
  <c r="DT33" i="31"/>
  <c r="C128" i="45" l="1"/>
  <c r="C30" i="32"/>
  <c r="Q202" i="24"/>
  <c r="Q266" i="24"/>
  <c r="CU49" i="31"/>
  <c r="CU33" i="31"/>
  <c r="Q146" i="24"/>
  <c r="EF17" i="36"/>
  <c r="EF18" i="36"/>
  <c r="EF48" i="36"/>
  <c r="EF20" i="36"/>
  <c r="EF19" i="36"/>
  <c r="EF39" i="36"/>
  <c r="EF43" i="36"/>
  <c r="EF44" i="36"/>
  <c r="EF45" i="36"/>
  <c r="EF25" i="36"/>
  <c r="EF27" i="36"/>
  <c r="EF26" i="36"/>
  <c r="AD49" i="31"/>
  <c r="CY79" i="40"/>
  <c r="DW79" i="40" s="1"/>
  <c r="AA50" i="33" s="1"/>
  <c r="Y49" i="31"/>
  <c r="C79" i="40"/>
  <c r="AU49" i="31"/>
  <c r="AC73" i="31"/>
  <c r="CF24" i="31"/>
  <c r="CH21" i="31"/>
  <c r="CF21" i="31"/>
  <c r="CH24" i="31"/>
  <c r="M51" i="51"/>
  <c r="M52" i="51"/>
  <c r="K52" i="51"/>
  <c r="AA49" i="31"/>
  <c r="K51" i="51"/>
  <c r="AE49" i="31"/>
  <c r="AF49" i="31"/>
  <c r="AG49" i="31"/>
  <c r="AD22" i="33"/>
  <c r="EO33" i="31"/>
  <c r="AD25" i="33"/>
  <c r="E25" i="33"/>
  <c r="AH49" i="31"/>
  <c r="E22" i="33"/>
  <c r="C50" i="33"/>
  <c r="Z50" i="33"/>
  <c r="DW49" i="31"/>
  <c r="DU33" i="31"/>
  <c r="BZ49" i="31"/>
  <c r="C129" i="45" l="1"/>
  <c r="EO44" i="36"/>
  <c r="EO48" i="36"/>
  <c r="EO45" i="36"/>
  <c r="EO43" i="36"/>
  <c r="CB49" i="31"/>
  <c r="AE50" i="33"/>
  <c r="BM49" i="31"/>
  <c r="AB50" i="33"/>
  <c r="AC50" i="33" s="1"/>
  <c r="CG21" i="31"/>
  <c r="CG24" i="31"/>
  <c r="CI24" i="31"/>
  <c r="CI21" i="31"/>
  <c r="AC49" i="31"/>
  <c r="DW33" i="31"/>
  <c r="BY49" i="31"/>
  <c r="C130" i="45" l="1"/>
  <c r="CH49" i="31"/>
  <c r="CF49" i="31"/>
  <c r="AD50" i="33"/>
  <c r="E50" i="33"/>
  <c r="C131" i="45" l="1"/>
  <c r="CG49" i="31"/>
  <c r="CI49" i="31"/>
  <c r="AX51" i="33"/>
  <c r="DQ50" i="31"/>
  <c r="CZ50" i="31"/>
  <c r="DC50" i="31"/>
  <c r="AL50" i="31"/>
  <c r="T50" i="31" s="1"/>
  <c r="AI50" i="31"/>
  <c r="Q51" i="33"/>
  <c r="K45" i="20"/>
  <c r="J45" i="20"/>
  <c r="L45" i="20" s="1"/>
  <c r="I45" i="20"/>
  <c r="G45" i="20" s="1"/>
  <c r="H45" i="20" s="1"/>
  <c r="CZ7" i="31"/>
  <c r="DC7" i="31"/>
  <c r="DQ7" i="31"/>
  <c r="AC318" i="24" s="1"/>
  <c r="AL7" i="31"/>
  <c r="AI7" i="31"/>
  <c r="AL36" i="31"/>
  <c r="AI36" i="31"/>
  <c r="AI35" i="36" s="1"/>
  <c r="DQ36" i="31"/>
  <c r="AC242" i="24" s="1"/>
  <c r="CZ36" i="31"/>
  <c r="DC36" i="31"/>
  <c r="AI17" i="31"/>
  <c r="DQ17" i="31"/>
  <c r="CZ17" i="31"/>
  <c r="CZ27" i="36" s="1"/>
  <c r="DC17" i="31"/>
  <c r="DC27" i="36" s="1"/>
  <c r="AC314" i="24"/>
  <c r="I43" i="20"/>
  <c r="G43" i="20" s="1"/>
  <c r="H43" i="20" s="1"/>
  <c r="J43" i="20"/>
  <c r="O43" i="20" s="1"/>
  <c r="K43" i="20"/>
  <c r="I44" i="20"/>
  <c r="G44" i="20" s="1"/>
  <c r="H44" i="20" s="1"/>
  <c r="J44" i="20"/>
  <c r="R44" i="20" s="1"/>
  <c r="L44" i="20" s="1"/>
  <c r="K44" i="20"/>
  <c r="C132" i="45" l="1"/>
  <c r="AC234" i="24"/>
  <c r="AC246" i="24"/>
  <c r="AI34" i="36"/>
  <c r="AI36" i="36"/>
  <c r="AC230" i="24"/>
  <c r="AC238" i="24"/>
  <c r="AC222" i="24"/>
  <c r="AC226" i="24"/>
  <c r="AC214" i="24"/>
  <c r="AC278" i="24"/>
  <c r="AC282" i="24"/>
  <c r="AC138" i="24"/>
  <c r="AC310" i="24"/>
  <c r="AC134" i="24"/>
  <c r="AC270" i="24"/>
  <c r="AC274" i="24"/>
  <c r="AC122" i="24"/>
  <c r="AC150" i="24"/>
  <c r="DQ27" i="36"/>
  <c r="AC130" i="24"/>
  <c r="AI14" i="36"/>
  <c r="AI16" i="36"/>
  <c r="AI18" i="36"/>
  <c r="AI15" i="36"/>
  <c r="AI17" i="36"/>
  <c r="CZ13" i="36"/>
  <c r="DC13" i="36"/>
  <c r="DQ13" i="36"/>
  <c r="AL13" i="36"/>
  <c r="AI10" i="36"/>
  <c r="AI13" i="36"/>
  <c r="AI37" i="36"/>
  <c r="AI33" i="36"/>
  <c r="AI11" i="36"/>
  <c r="AI9" i="36"/>
  <c r="AI7" i="36"/>
  <c r="O50" i="31"/>
  <c r="O7" i="31"/>
  <c r="C55" i="32" s="1"/>
  <c r="O9" i="31"/>
  <c r="AI27" i="36"/>
  <c r="AI30" i="36"/>
  <c r="DC38" i="36"/>
  <c r="DC47" i="36"/>
  <c r="CZ38" i="36"/>
  <c r="CZ47" i="36"/>
  <c r="DQ38" i="36"/>
  <c r="DQ47" i="36"/>
  <c r="AL46" i="36"/>
  <c r="AL43" i="36"/>
  <c r="AI46" i="36"/>
  <c r="AI43" i="36"/>
  <c r="DC46" i="36"/>
  <c r="DC43" i="36"/>
  <c r="CZ46" i="36"/>
  <c r="CZ43" i="36"/>
  <c r="AI38" i="36"/>
  <c r="AI47" i="36"/>
  <c r="DQ46" i="36"/>
  <c r="DQ43" i="36"/>
  <c r="AL38" i="36"/>
  <c r="AL47" i="36"/>
  <c r="AI25" i="36"/>
  <c r="AI19" i="36"/>
  <c r="AI26" i="36"/>
  <c r="AI28" i="36"/>
  <c r="AI8" i="36"/>
  <c r="DC42" i="36"/>
  <c r="CZ42" i="36"/>
  <c r="DQ42" i="36"/>
  <c r="AI42" i="36"/>
  <c r="AL42" i="36"/>
  <c r="AI29" i="36"/>
  <c r="AI20" i="36"/>
  <c r="AI22" i="36"/>
  <c r="AI31" i="36"/>
  <c r="AI32" i="36"/>
  <c r="AL45" i="36"/>
  <c r="AL44" i="36"/>
  <c r="DQ45" i="36"/>
  <c r="DQ44" i="36"/>
  <c r="AI45" i="36"/>
  <c r="AI44" i="36"/>
  <c r="DC45" i="36"/>
  <c r="DC44" i="36"/>
  <c r="CZ45" i="36"/>
  <c r="CZ44" i="36"/>
  <c r="AI39" i="36"/>
  <c r="AI21" i="36"/>
  <c r="AI23" i="36"/>
  <c r="CJ49" i="31"/>
  <c r="CJ45" i="36" s="1"/>
  <c r="Z33" i="31"/>
  <c r="Z50" i="31"/>
  <c r="AH24" i="33"/>
  <c r="C23" i="31"/>
  <c r="AH32" i="33"/>
  <c r="C31" i="31"/>
  <c r="AH37" i="33"/>
  <c r="AH8" i="33"/>
  <c r="AH51" i="33"/>
  <c r="AH18" i="33"/>
  <c r="S51" i="33"/>
  <c r="V51" i="33"/>
  <c r="S34" i="33"/>
  <c r="V34" i="33"/>
  <c r="C17" i="31"/>
  <c r="C50" i="31"/>
  <c r="C36" i="31"/>
  <c r="C7" i="31"/>
  <c r="DN17" i="31"/>
  <c r="DN27" i="36" s="1"/>
  <c r="DN36" i="31"/>
  <c r="DN7" i="31"/>
  <c r="DN50" i="31"/>
  <c r="EF36" i="31"/>
  <c r="AB50" i="31"/>
  <c r="AB36" i="31"/>
  <c r="AB35" i="36" s="1"/>
  <c r="AB7" i="31"/>
  <c r="AB17" i="31"/>
  <c r="DD17" i="31"/>
  <c r="DD27" i="36" s="1"/>
  <c r="DD36" i="31"/>
  <c r="DD7" i="31"/>
  <c r="DD50" i="31"/>
  <c r="BX51" i="33"/>
  <c r="CE51" i="33"/>
  <c r="CV17" i="31"/>
  <c r="CU17" i="31" s="1"/>
  <c r="CV7" i="31"/>
  <c r="CV50" i="31"/>
  <c r="CU50" i="31" s="1"/>
  <c r="CV36" i="31"/>
  <c r="EO7" i="31"/>
  <c r="EO55" i="36" s="1"/>
  <c r="BE51" i="33"/>
  <c r="BL51" i="33"/>
  <c r="DV50" i="31"/>
  <c r="DT50" i="31"/>
  <c r="T33" i="31"/>
  <c r="AG51" i="33"/>
  <c r="DU50" i="31"/>
  <c r="O45" i="20"/>
  <c r="N45" i="20"/>
  <c r="M45" i="20"/>
  <c r="DV36" i="31"/>
  <c r="DV7" i="31"/>
  <c r="DV17" i="31"/>
  <c r="DV27" i="36" s="1"/>
  <c r="O44" i="20"/>
  <c r="N44" i="20"/>
  <c r="M44" i="20"/>
  <c r="M43" i="20"/>
  <c r="N43" i="20"/>
  <c r="R43" i="20"/>
  <c r="L43" i="20" s="1"/>
  <c r="C133" i="45" l="1"/>
  <c r="Q246" i="24"/>
  <c r="Q242" i="24"/>
  <c r="EF38" i="36"/>
  <c r="EF37" i="36"/>
  <c r="CJ39" i="36"/>
  <c r="EF36" i="36"/>
  <c r="EF35" i="36"/>
  <c r="Q238" i="24"/>
  <c r="Q234" i="24"/>
  <c r="AB34" i="36"/>
  <c r="AB36" i="36"/>
  <c r="Q226" i="24"/>
  <c r="Q230" i="24"/>
  <c r="EF33" i="36"/>
  <c r="EF34" i="36"/>
  <c r="F30" i="32"/>
  <c r="CU7" i="31"/>
  <c r="Q318" i="24"/>
  <c r="CJ46" i="36"/>
  <c r="CJ16" i="36"/>
  <c r="F26" i="32"/>
  <c r="Q214" i="24"/>
  <c r="Q222" i="24"/>
  <c r="CU36" i="31"/>
  <c r="Q314" i="24"/>
  <c r="EF21" i="36"/>
  <c r="EF22" i="36"/>
  <c r="C45" i="32"/>
  <c r="C46" i="32"/>
  <c r="Q278" i="24"/>
  <c r="Q282" i="24"/>
  <c r="CJ43" i="36"/>
  <c r="CJ44" i="36"/>
  <c r="EF15" i="36"/>
  <c r="EF16" i="36"/>
  <c r="Q138" i="24"/>
  <c r="Q310" i="24"/>
  <c r="EF30" i="36"/>
  <c r="EF14" i="36"/>
  <c r="Q134" i="24"/>
  <c r="Q270" i="24"/>
  <c r="Q274" i="24"/>
  <c r="C26" i="32"/>
  <c r="Q150" i="24"/>
  <c r="Q122" i="24"/>
  <c r="CV27" i="36"/>
  <c r="Q130" i="24"/>
  <c r="AB14" i="36"/>
  <c r="C41" i="32"/>
  <c r="C42" i="32"/>
  <c r="C44" i="32"/>
  <c r="CJ19" i="36"/>
  <c r="CJ7" i="36"/>
  <c r="O47" i="36"/>
  <c r="C43" i="32"/>
  <c r="EF12" i="36"/>
  <c r="EF13" i="36"/>
  <c r="EF10" i="36"/>
  <c r="EF11" i="36"/>
  <c r="AB16" i="36"/>
  <c r="AB18" i="36"/>
  <c r="AB15" i="36"/>
  <c r="AB17" i="36"/>
  <c r="DN13" i="36"/>
  <c r="DD13" i="36"/>
  <c r="CV13" i="36"/>
  <c r="DV13" i="36"/>
  <c r="AB10" i="36"/>
  <c r="AB13" i="36"/>
  <c r="AB37" i="36"/>
  <c r="AB33" i="36"/>
  <c r="C38" i="36"/>
  <c r="EF9" i="36"/>
  <c r="EF7" i="36"/>
  <c r="AB11" i="36"/>
  <c r="AB9" i="36"/>
  <c r="AB7" i="36"/>
  <c r="CJ47" i="36"/>
  <c r="AB27" i="36"/>
  <c r="AB30" i="36"/>
  <c r="DV46" i="36"/>
  <c r="DV43" i="36"/>
  <c r="AB46" i="36"/>
  <c r="AB43" i="36"/>
  <c r="DT47" i="36"/>
  <c r="Z47" i="36"/>
  <c r="DV38" i="36"/>
  <c r="DV47" i="36"/>
  <c r="DD38" i="36"/>
  <c r="DD47" i="36"/>
  <c r="CV46" i="36"/>
  <c r="CV43" i="36"/>
  <c r="AB38" i="36"/>
  <c r="AB47" i="36"/>
  <c r="DN38" i="36"/>
  <c r="DN47" i="36"/>
  <c r="DD46" i="36"/>
  <c r="DD43" i="36"/>
  <c r="CV38" i="36"/>
  <c r="CV47" i="36"/>
  <c r="DN46" i="36"/>
  <c r="DN43" i="36"/>
  <c r="DU47" i="36"/>
  <c r="AB25" i="36"/>
  <c r="AB19" i="36"/>
  <c r="AB26" i="36"/>
  <c r="C13" i="36"/>
  <c r="EF28" i="36"/>
  <c r="EF8" i="36"/>
  <c r="AB28" i="36"/>
  <c r="AB8" i="36"/>
  <c r="CV42" i="36"/>
  <c r="DD42" i="36"/>
  <c r="DU42" i="36"/>
  <c r="DT42" i="36"/>
  <c r="AB42" i="36"/>
  <c r="DV42" i="36"/>
  <c r="DN42" i="36"/>
  <c r="O42" i="36"/>
  <c r="EF29" i="36"/>
  <c r="AB29" i="36"/>
  <c r="AB20" i="36"/>
  <c r="AB22" i="36"/>
  <c r="AB31" i="36"/>
  <c r="AB32" i="36"/>
  <c r="EF31" i="36"/>
  <c r="EF32" i="36"/>
  <c r="DD45" i="36"/>
  <c r="DD44" i="36"/>
  <c r="AB21" i="36"/>
  <c r="DV45" i="36"/>
  <c r="DV44" i="36"/>
  <c r="DN45" i="36"/>
  <c r="DN44" i="36"/>
  <c r="AB45" i="36"/>
  <c r="AB44" i="36"/>
  <c r="AB39" i="36"/>
  <c r="CV45" i="36"/>
  <c r="CV44" i="36"/>
  <c r="EF23" i="36"/>
  <c r="EF24" i="36"/>
  <c r="AB23" i="36"/>
  <c r="AD50" i="31"/>
  <c r="AD33" i="31"/>
  <c r="C32" i="33"/>
  <c r="C24" i="33"/>
  <c r="CY63" i="40"/>
  <c r="DW63" i="40" s="1"/>
  <c r="AA34" i="33" s="1"/>
  <c r="Y33" i="31"/>
  <c r="CY80" i="40"/>
  <c r="DW80" i="40" s="1"/>
  <c r="AA51" i="33" s="1"/>
  <c r="Y50" i="31"/>
  <c r="C63" i="40"/>
  <c r="C80" i="40"/>
  <c r="AU50" i="31"/>
  <c r="AU33" i="31"/>
  <c r="AB73" i="31"/>
  <c r="DO48" i="31" s="1"/>
  <c r="V73" i="31"/>
  <c r="EF2" i="31"/>
  <c r="EF2" i="36" s="1"/>
  <c r="AH73" i="31"/>
  <c r="K64" i="51"/>
  <c r="K57" i="51"/>
  <c r="K39" i="51"/>
  <c r="AA50" i="31"/>
  <c r="K55" i="51"/>
  <c r="AE33" i="31"/>
  <c r="AA33" i="31"/>
  <c r="AE50" i="31"/>
  <c r="CU27" i="36"/>
  <c r="AF33" i="31"/>
  <c r="AF50" i="31"/>
  <c r="AS34" i="33"/>
  <c r="AF34" i="33"/>
  <c r="AG50" i="31"/>
  <c r="AG33" i="31"/>
  <c r="CB34" i="33"/>
  <c r="EO36" i="31"/>
  <c r="AH50" i="31"/>
  <c r="AH33" i="31"/>
  <c r="BU34" i="33"/>
  <c r="BP34" i="33"/>
  <c r="BI34" i="33"/>
  <c r="BB34" i="33"/>
  <c r="AU34" i="33"/>
  <c r="EO17" i="31"/>
  <c r="EO18" i="36" s="1"/>
  <c r="EN2" i="31"/>
  <c r="EN2" i="36" s="1"/>
  <c r="C51" i="33"/>
  <c r="C34" i="33"/>
  <c r="Z34" i="33"/>
  <c r="Z51" i="33"/>
  <c r="DW50" i="31"/>
  <c r="BZ33" i="31"/>
  <c r="BZ50" i="31"/>
  <c r="DQ41" i="31"/>
  <c r="DC41" i="31"/>
  <c r="CZ41" i="31"/>
  <c r="AI41" i="31"/>
  <c r="CE18" i="33"/>
  <c r="AX8" i="33"/>
  <c r="AG37" i="33"/>
  <c r="AG8" i="33"/>
  <c r="AG10" i="33"/>
  <c r="Q42" i="33"/>
  <c r="Q18" i="33"/>
  <c r="AG18" i="33" s="1"/>
  <c r="Q37" i="33"/>
  <c r="Q8" i="33"/>
  <c r="Q10" i="33"/>
  <c r="AL41" i="31"/>
  <c r="AL40" i="36" s="1"/>
  <c r="Q9" i="33"/>
  <c r="BP51" i="33"/>
  <c r="BP22" i="33"/>
  <c r="BP25" i="33"/>
  <c r="BP56" i="33"/>
  <c r="BP12" i="33"/>
  <c r="BQ9" i="33"/>
  <c r="AG4" i="33"/>
  <c r="BK2" i="33"/>
  <c r="BD2" i="33"/>
  <c r="BA2" i="33"/>
  <c r="AW2" i="33"/>
  <c r="AT2" i="33"/>
  <c r="Q1" i="33"/>
  <c r="AG5" i="32"/>
  <c r="AC5" i="32"/>
  <c r="AA5" i="32"/>
  <c r="Y5" i="32"/>
  <c r="L5" i="32"/>
  <c r="V5" i="32"/>
  <c r="T5" i="32"/>
  <c r="R5" i="32"/>
  <c r="P5" i="32"/>
  <c r="N5" i="32"/>
  <c r="H5" i="32"/>
  <c r="G5" i="32"/>
  <c r="F5" i="32"/>
  <c r="E5" i="32"/>
  <c r="D5" i="32"/>
  <c r="B5" i="32"/>
  <c r="A5" i="32"/>
  <c r="G3" i="32"/>
  <c r="F3" i="32"/>
  <c r="E3" i="32"/>
  <c r="D3" i="32"/>
  <c r="C3" i="32"/>
  <c r="B3" i="32"/>
  <c r="A3" i="32"/>
  <c r="AG2" i="32"/>
  <c r="AD2" i="32"/>
  <c r="AA2" i="32"/>
  <c r="Y2" i="32"/>
  <c r="L2" i="32"/>
  <c r="V2" i="32"/>
  <c r="T2" i="32"/>
  <c r="R2" i="32"/>
  <c r="N2" i="32"/>
  <c r="H2" i="32"/>
  <c r="E2" i="32"/>
  <c r="C2" i="32"/>
  <c r="B2" i="32"/>
  <c r="A2" i="32"/>
  <c r="I38" i="20"/>
  <c r="G38" i="20" s="1"/>
  <c r="H38" i="20" s="1"/>
  <c r="J38" i="20"/>
  <c r="O38" i="20" s="1"/>
  <c r="K38" i="20"/>
  <c r="I39" i="20"/>
  <c r="G39" i="20" s="1"/>
  <c r="H39" i="20" s="1"/>
  <c r="J39" i="20"/>
  <c r="R39" i="20" s="1"/>
  <c r="L39" i="20" s="1"/>
  <c r="K39" i="20"/>
  <c r="I40" i="20"/>
  <c r="G40" i="20" s="1"/>
  <c r="H40" i="20" s="1"/>
  <c r="J40" i="20"/>
  <c r="O40" i="20" s="1"/>
  <c r="K40" i="20"/>
  <c r="I41" i="20"/>
  <c r="G41" i="20" s="1"/>
  <c r="H41" i="20" s="1"/>
  <c r="J41" i="20"/>
  <c r="M41" i="20" s="1"/>
  <c r="K41" i="20"/>
  <c r="I42" i="20"/>
  <c r="G42" i="20" s="1"/>
  <c r="H42" i="20" s="1"/>
  <c r="J42" i="20"/>
  <c r="R42" i="20" s="1"/>
  <c r="L42" i="20" s="1"/>
  <c r="K42" i="20"/>
  <c r="AH26" i="1"/>
  <c r="AH19" i="1"/>
  <c r="AH9" i="1"/>
  <c r="AH7" i="1"/>
  <c r="AH12" i="1"/>
  <c r="AH35" i="1"/>
  <c r="AH27" i="1"/>
  <c r="AH18" i="1"/>
  <c r="AH29" i="1"/>
  <c r="AH23" i="1"/>
  <c r="AH15" i="1"/>
  <c r="AH17" i="1"/>
  <c r="AH30" i="1"/>
  <c r="AH32" i="1"/>
  <c r="AH22" i="1"/>
  <c r="AH13" i="1"/>
  <c r="AH8" i="1"/>
  <c r="AH20" i="1"/>
  <c r="AH10" i="1"/>
  <c r="AH28" i="1"/>
  <c r="AH34" i="1"/>
  <c r="AH21" i="1"/>
  <c r="AH11" i="1"/>
  <c r="AH14" i="1"/>
  <c r="AH33" i="1"/>
  <c r="DW3" i="31"/>
  <c r="DW3" i="36" s="1"/>
  <c r="B2" i="31"/>
  <c r="B2" i="36" s="1"/>
  <c r="BU5" i="31"/>
  <c r="I8" i="20"/>
  <c r="G8" i="20" s="1"/>
  <c r="H8" i="20" s="1"/>
  <c r="I9" i="20"/>
  <c r="G9" i="20" s="1"/>
  <c r="H9" i="20" s="1"/>
  <c r="I10" i="20"/>
  <c r="G10" i="20" s="1"/>
  <c r="H10" i="20" s="1"/>
  <c r="I12" i="20"/>
  <c r="G12" i="20" s="1"/>
  <c r="H12" i="20" s="1"/>
  <c r="I13" i="20"/>
  <c r="G13" i="20" s="1"/>
  <c r="H13" i="20" s="1"/>
  <c r="I14" i="20"/>
  <c r="G14" i="20" s="1"/>
  <c r="H14" i="20" s="1"/>
  <c r="I15" i="20"/>
  <c r="G15" i="20" s="1"/>
  <c r="H15" i="20" s="1"/>
  <c r="I16" i="20"/>
  <c r="G16" i="20" s="1"/>
  <c r="H16" i="20" s="1"/>
  <c r="I17" i="20"/>
  <c r="G17" i="20" s="1"/>
  <c r="H17" i="20" s="1"/>
  <c r="I18" i="20"/>
  <c r="G18" i="20" s="1"/>
  <c r="H18" i="20" s="1"/>
  <c r="I19" i="20"/>
  <c r="G19" i="20" s="1"/>
  <c r="H19" i="20" s="1"/>
  <c r="I20" i="20"/>
  <c r="G20" i="20" s="1"/>
  <c r="H20" i="20" s="1"/>
  <c r="I21" i="20"/>
  <c r="G21" i="20" s="1"/>
  <c r="H21" i="20" s="1"/>
  <c r="I22" i="20"/>
  <c r="G22" i="20" s="1"/>
  <c r="H22" i="20" s="1"/>
  <c r="I23" i="20"/>
  <c r="G23" i="20" s="1"/>
  <c r="H23" i="20" s="1"/>
  <c r="I24" i="20"/>
  <c r="G24" i="20" s="1"/>
  <c r="H24" i="20" s="1"/>
  <c r="I25" i="20"/>
  <c r="G25" i="20" s="1"/>
  <c r="H25" i="20" s="1"/>
  <c r="I26" i="20"/>
  <c r="G26" i="20" s="1"/>
  <c r="H26" i="20" s="1"/>
  <c r="I27" i="20"/>
  <c r="G27" i="20" s="1"/>
  <c r="H27" i="20" s="1"/>
  <c r="I28" i="20"/>
  <c r="G28" i="20" s="1"/>
  <c r="H28" i="20" s="1"/>
  <c r="I29" i="20"/>
  <c r="G29" i="20" s="1"/>
  <c r="H29" i="20" s="1"/>
  <c r="I30" i="20"/>
  <c r="G30" i="20" s="1"/>
  <c r="H30" i="20" s="1"/>
  <c r="I31" i="20"/>
  <c r="G31" i="20" s="1"/>
  <c r="H31" i="20" s="1"/>
  <c r="I32" i="20"/>
  <c r="G32" i="20" s="1"/>
  <c r="H32" i="20" s="1"/>
  <c r="I34" i="20"/>
  <c r="G34" i="20" s="1"/>
  <c r="H34" i="20" s="1"/>
  <c r="I35" i="20"/>
  <c r="G35" i="20" s="1"/>
  <c r="H35" i="20" s="1"/>
  <c r="I7" i="20"/>
  <c r="G7" i="20" s="1"/>
  <c r="H7" i="20" s="1"/>
  <c r="C134" i="45" l="1"/>
  <c r="AI41" i="36"/>
  <c r="AI40" i="36"/>
  <c r="CZ41" i="36"/>
  <c r="CZ40" i="36"/>
  <c r="DC41" i="36"/>
  <c r="DC40" i="36"/>
  <c r="AC254" i="24"/>
  <c r="DQ40" i="36"/>
  <c r="T41" i="31"/>
  <c r="F39" i="32" s="1"/>
  <c r="AL41" i="36"/>
  <c r="AC290" i="24"/>
  <c r="DQ41" i="36"/>
  <c r="AC258" i="24"/>
  <c r="AC142" i="24"/>
  <c r="AC286" i="24"/>
  <c r="EO36" i="36"/>
  <c r="EO35" i="36"/>
  <c r="EO14" i="36"/>
  <c r="EO34" i="36"/>
  <c r="AI24" i="36"/>
  <c r="AI12" i="36"/>
  <c r="AC306" i="24"/>
  <c r="AC302" i="24"/>
  <c r="AC294" i="24"/>
  <c r="AC298" i="24"/>
  <c r="EO7" i="36"/>
  <c r="EO33" i="36"/>
  <c r="EP38" i="31"/>
  <c r="EO17" i="36"/>
  <c r="EO16" i="36"/>
  <c r="DQ50" i="36"/>
  <c r="CZ49" i="36"/>
  <c r="CZ50" i="36"/>
  <c r="AI49" i="36"/>
  <c r="AI50" i="36"/>
  <c r="DC49" i="36"/>
  <c r="DC50" i="36"/>
  <c r="AL49" i="36"/>
  <c r="AL50" i="36"/>
  <c r="EO11" i="36"/>
  <c r="DQ49" i="36"/>
  <c r="AI51" i="36"/>
  <c r="AI48" i="36"/>
  <c r="DQ51" i="36"/>
  <c r="DQ48" i="36"/>
  <c r="CZ51" i="36"/>
  <c r="CZ48" i="36"/>
  <c r="DC51" i="36"/>
  <c r="DC48" i="36"/>
  <c r="AL51" i="36"/>
  <c r="AL48" i="36"/>
  <c r="EO13" i="36"/>
  <c r="EO12" i="36"/>
  <c r="EO15" i="36"/>
  <c r="EO10" i="36"/>
  <c r="CU13" i="36"/>
  <c r="EO40" i="36"/>
  <c r="EO41" i="36"/>
  <c r="EO37" i="36"/>
  <c r="EO38" i="36"/>
  <c r="EO30" i="36"/>
  <c r="EO39" i="36"/>
  <c r="AL53" i="36"/>
  <c r="AI53" i="36"/>
  <c r="AI52" i="36"/>
  <c r="CZ53" i="36"/>
  <c r="DC53" i="36"/>
  <c r="DQ53" i="36"/>
  <c r="O8" i="31"/>
  <c r="O41" i="31"/>
  <c r="C39" i="32" s="1"/>
  <c r="O17" i="31"/>
  <c r="O36" i="31"/>
  <c r="C36" i="32" s="1"/>
  <c r="O29" i="1"/>
  <c r="O33" i="1"/>
  <c r="O17" i="1"/>
  <c r="O28" i="1"/>
  <c r="O21" i="1"/>
  <c r="O32" i="1"/>
  <c r="O12" i="1"/>
  <c r="O10" i="1"/>
  <c r="O30" i="1"/>
  <c r="O15" i="1"/>
  <c r="O35" i="1"/>
  <c r="O22" i="1"/>
  <c r="O8" i="1"/>
  <c r="O13" i="1"/>
  <c r="O14" i="1"/>
  <c r="O20" i="1"/>
  <c r="O7" i="1"/>
  <c r="O9" i="1"/>
  <c r="O19" i="1"/>
  <c r="O27" i="1"/>
  <c r="O11" i="1"/>
  <c r="O18" i="1"/>
  <c r="O26" i="1"/>
  <c r="O25" i="1"/>
  <c r="O34" i="1"/>
  <c r="EO9" i="36"/>
  <c r="EP56" i="31"/>
  <c r="EP35" i="31"/>
  <c r="EP39" i="31"/>
  <c r="CZ54" i="36"/>
  <c r="DC54" i="36"/>
  <c r="DQ54" i="36"/>
  <c r="AL54" i="36"/>
  <c r="AI54" i="36"/>
  <c r="DW47" i="36"/>
  <c r="CU46" i="36"/>
  <c r="CU43" i="36"/>
  <c r="CU38" i="36"/>
  <c r="CU47" i="36"/>
  <c r="EO25" i="36"/>
  <c r="EO27" i="36"/>
  <c r="EO19" i="36"/>
  <c r="EO26" i="36"/>
  <c r="DC55" i="36"/>
  <c r="DQ55" i="36"/>
  <c r="AL55" i="36"/>
  <c r="AI55" i="36"/>
  <c r="EO28" i="36"/>
  <c r="EO8" i="36"/>
  <c r="CZ55" i="36"/>
  <c r="DW42" i="36"/>
  <c r="CU42" i="36"/>
  <c r="EO29" i="36"/>
  <c r="EO20" i="36"/>
  <c r="EO22" i="36"/>
  <c r="EO31" i="36"/>
  <c r="EO32" i="36"/>
  <c r="CU45" i="36"/>
  <c r="CU44" i="36"/>
  <c r="EO21" i="36"/>
  <c r="EO23" i="36"/>
  <c r="EO24" i="36"/>
  <c r="CB33" i="31"/>
  <c r="CB50" i="31"/>
  <c r="EP52" i="31"/>
  <c r="EP32" i="31"/>
  <c r="CW63" i="40"/>
  <c r="DU63" i="40" s="1"/>
  <c r="CW52" i="40"/>
  <c r="DU52" i="40" s="1"/>
  <c r="EP36" i="31"/>
  <c r="EP17" i="31"/>
  <c r="EP21" i="31"/>
  <c r="EP20" i="31"/>
  <c r="EP47" i="31"/>
  <c r="EP55" i="31"/>
  <c r="EP43" i="31"/>
  <c r="EP12" i="31"/>
  <c r="EP42" i="31"/>
  <c r="EP53" i="31"/>
  <c r="EP11" i="31"/>
  <c r="EP25" i="31"/>
  <c r="EP46" i="31"/>
  <c r="EP50" i="31"/>
  <c r="EP16" i="31"/>
  <c r="EP48" i="31"/>
  <c r="EP13" i="31"/>
  <c r="EP28" i="31"/>
  <c r="EP40" i="31"/>
  <c r="EP34" i="31"/>
  <c r="EP27" i="31"/>
  <c r="EP31" i="31"/>
  <c r="EP10" i="31"/>
  <c r="EP37" i="31"/>
  <c r="EP9" i="31"/>
  <c r="EP49" i="31"/>
  <c r="EP24" i="31"/>
  <c r="EP8" i="31"/>
  <c r="EP23" i="31"/>
  <c r="EP22" i="31"/>
  <c r="EP26" i="31"/>
  <c r="EP19" i="31"/>
  <c r="EP41" i="31"/>
  <c r="EP30" i="31"/>
  <c r="EP18" i="31"/>
  <c r="EP33" i="31"/>
  <c r="EP7" i="31"/>
  <c r="DO15" i="31"/>
  <c r="Z17" i="31"/>
  <c r="Z36" i="31"/>
  <c r="Z9" i="31"/>
  <c r="Z42" i="36" s="1"/>
  <c r="Z41" i="31"/>
  <c r="Z7" i="31"/>
  <c r="AF28" i="54"/>
  <c r="AF31" i="54"/>
  <c r="AF26" i="54"/>
  <c r="AF10" i="54"/>
  <c r="AF8" i="54"/>
  <c r="AF9" i="54"/>
  <c r="AF27" i="54"/>
  <c r="AF34" i="54"/>
  <c r="AF13" i="54"/>
  <c r="AF19" i="54"/>
  <c r="AF20" i="54"/>
  <c r="AF21" i="54"/>
  <c r="AF12" i="54"/>
  <c r="AF17" i="54"/>
  <c r="AF11" i="54"/>
  <c r="AF22" i="54"/>
  <c r="AF33" i="54"/>
  <c r="AF30" i="54"/>
  <c r="AF24" i="54"/>
  <c r="AF14" i="54"/>
  <c r="AF18" i="54"/>
  <c r="AF25" i="54"/>
  <c r="AF32" i="54"/>
  <c r="AF29" i="54"/>
  <c r="AF15" i="54"/>
  <c r="AF23" i="54"/>
  <c r="AE25" i="26"/>
  <c r="AF16" i="54"/>
  <c r="V24" i="33"/>
  <c r="S24" i="33"/>
  <c r="S32" i="33"/>
  <c r="V32" i="33"/>
  <c r="DO12" i="31"/>
  <c r="DO20" i="31"/>
  <c r="AF7" i="54"/>
  <c r="AC64" i="31"/>
  <c r="AV22" i="31" s="1"/>
  <c r="BM50" i="31"/>
  <c r="AE34" i="33"/>
  <c r="AE51" i="33"/>
  <c r="BM33" i="31"/>
  <c r="AH42" i="33"/>
  <c r="DO25" i="31"/>
  <c r="DO21" i="31"/>
  <c r="DO17" i="31"/>
  <c r="DO24" i="31"/>
  <c r="V37" i="33"/>
  <c r="S42" i="33"/>
  <c r="S37" i="33"/>
  <c r="V18" i="33"/>
  <c r="AB34" i="33"/>
  <c r="AC34" i="33" s="1"/>
  <c r="S18" i="33"/>
  <c r="AB51" i="33"/>
  <c r="AC51" i="33" s="1"/>
  <c r="V10" i="33"/>
  <c r="S10" i="33"/>
  <c r="V42" i="33"/>
  <c r="V8" i="33"/>
  <c r="S8" i="33"/>
  <c r="M39" i="51"/>
  <c r="M64" i="51"/>
  <c r="AA19" i="1"/>
  <c r="C41" i="31"/>
  <c r="DN41" i="31"/>
  <c r="AA18" i="1"/>
  <c r="AC33" i="31"/>
  <c r="AC50" i="31"/>
  <c r="BX37" i="33"/>
  <c r="CE37" i="33"/>
  <c r="AX37" i="33"/>
  <c r="BE37" i="33"/>
  <c r="AB41" i="31"/>
  <c r="AA10" i="1"/>
  <c r="AA15" i="1"/>
  <c r="AA9" i="1"/>
  <c r="AA33" i="1"/>
  <c r="AA20" i="1"/>
  <c r="AA23" i="1"/>
  <c r="AA34" i="1"/>
  <c r="AA8" i="1"/>
  <c r="AA30" i="1"/>
  <c r="AA29" i="1"/>
  <c r="AA12" i="1"/>
  <c r="AA26" i="1"/>
  <c r="AA11" i="1"/>
  <c r="AA22" i="1"/>
  <c r="AA27" i="1"/>
  <c r="AA21" i="1"/>
  <c r="AA32" i="1"/>
  <c r="AA35" i="1"/>
  <c r="AA14" i="1"/>
  <c r="AA28" i="1"/>
  <c r="AA13" i="1"/>
  <c r="AA17" i="1"/>
  <c r="AA7" i="1"/>
  <c r="DD41" i="31"/>
  <c r="BX10" i="33"/>
  <c r="CE10" i="33"/>
  <c r="CE12" i="33"/>
  <c r="BL37" i="33"/>
  <c r="BX42" i="33"/>
  <c r="CE42" i="33"/>
  <c r="CA83" i="33"/>
  <c r="BV43" i="26" s="1"/>
  <c r="BX18" i="33"/>
  <c r="BX12" i="33"/>
  <c r="CA84" i="33"/>
  <c r="BV44" i="26" s="1"/>
  <c r="BX9" i="33"/>
  <c r="CE9" i="33"/>
  <c r="BX8" i="33"/>
  <c r="CE8" i="33"/>
  <c r="BT84" i="33"/>
  <c r="BO44" i="26" s="1"/>
  <c r="BT83" i="33"/>
  <c r="BO43" i="26" s="1"/>
  <c r="CV41" i="31"/>
  <c r="BE8" i="33"/>
  <c r="BL8" i="33"/>
  <c r="AX42" i="33"/>
  <c r="BE42" i="33"/>
  <c r="BL42" i="33"/>
  <c r="AX9" i="33"/>
  <c r="BE9" i="33"/>
  <c r="AX10" i="33"/>
  <c r="BE10" i="33"/>
  <c r="BL10" i="33"/>
  <c r="AX18" i="33"/>
  <c r="BL18" i="33"/>
  <c r="BE18" i="33"/>
  <c r="AG42" i="33"/>
  <c r="DU41" i="31"/>
  <c r="DU48" i="36" s="1"/>
  <c r="DT41" i="31"/>
  <c r="DT48" i="36" s="1"/>
  <c r="C37" i="33"/>
  <c r="BY33" i="31"/>
  <c r="DT36" i="31"/>
  <c r="DT17" i="31"/>
  <c r="T17" i="31"/>
  <c r="F40" i="32" s="1"/>
  <c r="BY50" i="31"/>
  <c r="T7" i="31"/>
  <c r="T36" i="31"/>
  <c r="DT7" i="31"/>
  <c r="DV41" i="31"/>
  <c r="AS18" i="33"/>
  <c r="BU8" i="33"/>
  <c r="BH83" i="33"/>
  <c r="BD43" i="26" s="1"/>
  <c r="BA83" i="33"/>
  <c r="AW43" i="26" s="1"/>
  <c r="AT83" i="33"/>
  <c r="AP43" i="26" s="1"/>
  <c r="BH84" i="33"/>
  <c r="BD44" i="26" s="1"/>
  <c r="BA84" i="33"/>
  <c r="AW44" i="26" s="1"/>
  <c r="AT84" i="33"/>
  <c r="AP44" i="26" s="1"/>
  <c r="N41" i="20"/>
  <c r="O39" i="20"/>
  <c r="N39" i="20"/>
  <c r="R41" i="20"/>
  <c r="L41" i="20" s="1"/>
  <c r="O41" i="20"/>
  <c r="N42" i="20"/>
  <c r="M42" i="20"/>
  <c r="M39" i="20"/>
  <c r="O42" i="20"/>
  <c r="N40" i="20"/>
  <c r="N38" i="20"/>
  <c r="M38" i="20"/>
  <c r="M40" i="20"/>
  <c r="R40" i="20"/>
  <c r="L40" i="20" s="1"/>
  <c r="R38" i="20"/>
  <c r="L38" i="20" s="1"/>
  <c r="C135" i="45" l="1"/>
  <c r="DV41" i="36"/>
  <c r="DV40" i="36"/>
  <c r="DD41" i="36"/>
  <c r="DD40" i="36"/>
  <c r="Q254" i="24"/>
  <c r="CV40" i="36"/>
  <c r="DN41" i="36"/>
  <c r="DN40" i="36"/>
  <c r="AB41" i="36"/>
  <c r="AB40" i="36"/>
  <c r="C41" i="36"/>
  <c r="C40" i="36"/>
  <c r="C40" i="32"/>
  <c r="DT41" i="36"/>
  <c r="CV41" i="36"/>
  <c r="Q258" i="24"/>
  <c r="Q286" i="24"/>
  <c r="Q290" i="24"/>
  <c r="C48" i="32"/>
  <c r="C47" i="32"/>
  <c r="F37" i="32"/>
  <c r="F36" i="32"/>
  <c r="C34" i="32"/>
  <c r="C37" i="32"/>
  <c r="F35" i="32"/>
  <c r="F34" i="32"/>
  <c r="C33" i="32"/>
  <c r="C35" i="32"/>
  <c r="F32" i="32"/>
  <c r="F33" i="32"/>
  <c r="N30" i="32"/>
  <c r="C31" i="32"/>
  <c r="C32" i="32"/>
  <c r="C38" i="32"/>
  <c r="C27" i="32"/>
  <c r="CU41" i="31"/>
  <c r="Q142" i="24"/>
  <c r="AB24" i="36"/>
  <c r="AB12" i="36"/>
  <c r="F29" i="32"/>
  <c r="F31" i="32"/>
  <c r="C28" i="32"/>
  <c r="C29" i="32"/>
  <c r="C54" i="32"/>
  <c r="C17" i="32"/>
  <c r="C14" i="32"/>
  <c r="C22" i="32"/>
  <c r="D35" i="15"/>
  <c r="Q306" i="24"/>
  <c r="Q302" i="24"/>
  <c r="D34" i="15"/>
  <c r="Q294" i="24"/>
  <c r="Q298" i="24"/>
  <c r="D11" i="15"/>
  <c r="D12" i="15"/>
  <c r="D10" i="15"/>
  <c r="C11" i="32"/>
  <c r="C7" i="32"/>
  <c r="C52" i="32"/>
  <c r="C53" i="32"/>
  <c r="D29" i="15"/>
  <c r="D27" i="15"/>
  <c r="D14" i="15"/>
  <c r="D8" i="15"/>
  <c r="D18" i="15"/>
  <c r="D17" i="15"/>
  <c r="D9" i="15"/>
  <c r="D28" i="15"/>
  <c r="D21" i="15"/>
  <c r="D30" i="15"/>
  <c r="D33" i="15"/>
  <c r="D15" i="15"/>
  <c r="D16" i="15"/>
  <c r="D24" i="15"/>
  <c r="D23" i="15"/>
  <c r="D25" i="15"/>
  <c r="D26" i="15"/>
  <c r="D22" i="15"/>
  <c r="D19" i="15"/>
  <c r="D20" i="15"/>
  <c r="D32" i="15"/>
  <c r="D13" i="15"/>
  <c r="D31" i="15"/>
  <c r="C15" i="32"/>
  <c r="C16" i="32"/>
  <c r="F11" i="32"/>
  <c r="F10" i="32"/>
  <c r="F12" i="32"/>
  <c r="C10" i="32"/>
  <c r="C12" i="32"/>
  <c r="C19" i="32"/>
  <c r="C18" i="32"/>
  <c r="C23" i="32"/>
  <c r="C25" i="32"/>
  <c r="C13" i="32"/>
  <c r="C24" i="32"/>
  <c r="F49" i="32"/>
  <c r="C21" i="32"/>
  <c r="C20" i="32"/>
  <c r="C51" i="32"/>
  <c r="C50" i="32"/>
  <c r="C9" i="32"/>
  <c r="C8" i="32"/>
  <c r="T41" i="36"/>
  <c r="O48" i="36"/>
  <c r="C49" i="32"/>
  <c r="O14" i="36"/>
  <c r="CV50" i="36"/>
  <c r="DV49" i="36"/>
  <c r="DV50" i="36"/>
  <c r="DD49" i="36"/>
  <c r="DD50" i="36"/>
  <c r="DN49" i="36"/>
  <c r="DN50" i="36"/>
  <c r="AB49" i="36"/>
  <c r="AB50" i="36"/>
  <c r="CV49" i="36"/>
  <c r="Z48" i="36"/>
  <c r="DV51" i="36"/>
  <c r="DV48" i="36"/>
  <c r="DD51" i="36"/>
  <c r="DD48" i="36"/>
  <c r="CV51" i="36"/>
  <c r="CV48" i="36"/>
  <c r="DN51" i="36"/>
  <c r="DN48" i="36"/>
  <c r="AB51" i="36"/>
  <c r="AB48" i="36"/>
  <c r="O13" i="36"/>
  <c r="O50" i="36"/>
  <c r="O49" i="36"/>
  <c r="DT50" i="36"/>
  <c r="DT49" i="36"/>
  <c r="Z50" i="36"/>
  <c r="Z49" i="36"/>
  <c r="O12" i="36"/>
  <c r="O11" i="36"/>
  <c r="O15" i="36"/>
  <c r="Z13" i="36"/>
  <c r="DT13" i="36"/>
  <c r="O27" i="36"/>
  <c r="T13" i="36"/>
  <c r="Z27" i="36"/>
  <c r="O7" i="36"/>
  <c r="O40" i="36"/>
  <c r="O41" i="36"/>
  <c r="O18" i="36"/>
  <c r="O10" i="36"/>
  <c r="T38" i="36"/>
  <c r="T40" i="36"/>
  <c r="DT38" i="36"/>
  <c r="DT40" i="36"/>
  <c r="O39" i="36"/>
  <c r="O38" i="36"/>
  <c r="DT27" i="36"/>
  <c r="T27" i="36"/>
  <c r="AB53" i="36"/>
  <c r="AB52" i="36"/>
  <c r="CV53" i="36"/>
  <c r="DV53" i="36"/>
  <c r="DD53" i="36"/>
  <c r="DN53" i="36"/>
  <c r="O17" i="36"/>
  <c r="O16" i="36"/>
  <c r="O5" i="31"/>
  <c r="O5" i="1"/>
  <c r="O37" i="36"/>
  <c r="Z41" i="36"/>
  <c r="O36" i="36"/>
  <c r="O34" i="36"/>
  <c r="O35" i="36"/>
  <c r="DN54" i="36"/>
  <c r="AB54" i="36"/>
  <c r="O54" i="36"/>
  <c r="Z54" i="36"/>
  <c r="DV54" i="36"/>
  <c r="DD54" i="36"/>
  <c r="CV54" i="36"/>
  <c r="DT54" i="36"/>
  <c r="Z38" i="36"/>
  <c r="Z40" i="36"/>
  <c r="Z51" i="36"/>
  <c r="O52" i="36"/>
  <c r="DT51" i="36"/>
  <c r="O51" i="36"/>
  <c r="DT53" i="36"/>
  <c r="O53" i="36"/>
  <c r="Z53" i="36"/>
  <c r="DT46" i="36"/>
  <c r="DT43" i="36"/>
  <c r="EP44" i="36"/>
  <c r="Z46" i="36"/>
  <c r="Z43" i="36"/>
  <c r="O46" i="36"/>
  <c r="O43" i="36"/>
  <c r="EP37" i="36"/>
  <c r="O26" i="36"/>
  <c r="O25" i="36"/>
  <c r="EP55" i="36"/>
  <c r="EP17" i="36"/>
  <c r="O22" i="36"/>
  <c r="O19" i="36"/>
  <c r="EP7" i="36"/>
  <c r="EP45" i="36"/>
  <c r="O9" i="36"/>
  <c r="CV55" i="36"/>
  <c r="DT55" i="36"/>
  <c r="DN55" i="36"/>
  <c r="AB55" i="36"/>
  <c r="O8" i="36"/>
  <c r="O55" i="36"/>
  <c r="Z55" i="36"/>
  <c r="DV55" i="36"/>
  <c r="DD55" i="36"/>
  <c r="EP8" i="36"/>
  <c r="EP39" i="36"/>
  <c r="EP12" i="36"/>
  <c r="EP11" i="36"/>
  <c r="EP49" i="36"/>
  <c r="EP10" i="36"/>
  <c r="EP9" i="36"/>
  <c r="O30" i="36"/>
  <c r="O33" i="36"/>
  <c r="EP19" i="36"/>
  <c r="EP46" i="36"/>
  <c r="EP13" i="36"/>
  <c r="EP21" i="36"/>
  <c r="EP35" i="36"/>
  <c r="O32" i="36"/>
  <c r="EP15" i="36"/>
  <c r="EP16" i="36"/>
  <c r="EP14" i="36"/>
  <c r="EP54" i="36"/>
  <c r="EP20" i="36"/>
  <c r="EP18" i="36"/>
  <c r="EP40" i="36"/>
  <c r="O45" i="36"/>
  <c r="O44" i="36"/>
  <c r="DT45" i="36"/>
  <c r="DT44" i="36"/>
  <c r="EP42" i="36"/>
  <c r="EP41" i="36"/>
  <c r="O20" i="36"/>
  <c r="O21" i="36"/>
  <c r="O31" i="36"/>
  <c r="EP26" i="36"/>
  <c r="EP22" i="36"/>
  <c r="Z45" i="36"/>
  <c r="Z44" i="36"/>
  <c r="EP36" i="36"/>
  <c r="EP38" i="36"/>
  <c r="EP24" i="36"/>
  <c r="EP43" i="36"/>
  <c r="EP51" i="36"/>
  <c r="EP30" i="36"/>
  <c r="EP48" i="36"/>
  <c r="EP29" i="36"/>
  <c r="EP25" i="36"/>
  <c r="EP32" i="36"/>
  <c r="EP53" i="36"/>
  <c r="EP52" i="36"/>
  <c r="EP28" i="36"/>
  <c r="EP27" i="36"/>
  <c r="O29" i="36"/>
  <c r="O28" i="36"/>
  <c r="EP31" i="36"/>
  <c r="EP33" i="36"/>
  <c r="EP34" i="36"/>
  <c r="EP23" i="36"/>
  <c r="EP47" i="36"/>
  <c r="EP50" i="36"/>
  <c r="O24" i="36"/>
  <c r="O23" i="36"/>
  <c r="AD41" i="31"/>
  <c r="AD17" i="31"/>
  <c r="AD7" i="31"/>
  <c r="AD36" i="31"/>
  <c r="Y36" i="31"/>
  <c r="CY37" i="40"/>
  <c r="DW37" i="40" s="1"/>
  <c r="AA8" i="33" s="1"/>
  <c r="Y7" i="31"/>
  <c r="CY71" i="40"/>
  <c r="DW71" i="40" s="1"/>
  <c r="AA42" i="33" s="1"/>
  <c r="Y41" i="31"/>
  <c r="CY47" i="40"/>
  <c r="DW47" i="40" s="1"/>
  <c r="AA18" i="33" s="1"/>
  <c r="Y17" i="31"/>
  <c r="CY66" i="40"/>
  <c r="AV33" i="31"/>
  <c r="Z31" i="54"/>
  <c r="Z28" i="54"/>
  <c r="Z10" i="54"/>
  <c r="Z8" i="54"/>
  <c r="Z9" i="54"/>
  <c r="Z27" i="54"/>
  <c r="Z26" i="54"/>
  <c r="Z34" i="54"/>
  <c r="Z13" i="54"/>
  <c r="Z21" i="54"/>
  <c r="Z19" i="54"/>
  <c r="Z20" i="54"/>
  <c r="Z11" i="54"/>
  <c r="Z12" i="54"/>
  <c r="Z17" i="54"/>
  <c r="Z22" i="54"/>
  <c r="Z30" i="54"/>
  <c r="Z15" i="54"/>
  <c r="Z33" i="54"/>
  <c r="Z25" i="54"/>
  <c r="Z16" i="54"/>
  <c r="Z29" i="54"/>
  <c r="Z14" i="54"/>
  <c r="Z18" i="54"/>
  <c r="Z32" i="54"/>
  <c r="Z24" i="54"/>
  <c r="Z23" i="54"/>
  <c r="C53" i="40"/>
  <c r="K42" i="51"/>
  <c r="Z24" i="33"/>
  <c r="C61" i="40"/>
  <c r="Z32" i="33"/>
  <c r="K43" i="51"/>
  <c r="C47" i="40"/>
  <c r="C66" i="40"/>
  <c r="C37" i="40"/>
  <c r="C71" i="40"/>
  <c r="Z7" i="54"/>
  <c r="AU7" i="31"/>
  <c r="AU41" i="31"/>
  <c r="AU17" i="31"/>
  <c r="AU36" i="31"/>
  <c r="X73" i="31"/>
  <c r="DO47" i="31"/>
  <c r="K50" i="51"/>
  <c r="CH50" i="31"/>
  <c r="CF50" i="31"/>
  <c r="CH33" i="31"/>
  <c r="CF33" i="31"/>
  <c r="K53" i="51"/>
  <c r="AA7" i="31"/>
  <c r="K77" i="51"/>
  <c r="AA41" i="31"/>
  <c r="K47" i="51"/>
  <c r="K56" i="51"/>
  <c r="AA17" i="31"/>
  <c r="K41" i="51"/>
  <c r="AA36" i="31"/>
  <c r="K61" i="51"/>
  <c r="AE41" i="31"/>
  <c r="AE17" i="31"/>
  <c r="AE7" i="31"/>
  <c r="AE36" i="31"/>
  <c r="C6" i="32"/>
  <c r="AG9" i="31"/>
  <c r="AH9" i="31"/>
  <c r="BZ9" i="31"/>
  <c r="AF9" i="31"/>
  <c r="AF36" i="31"/>
  <c r="AF7" i="31"/>
  <c r="AF41" i="31"/>
  <c r="AF17" i="31"/>
  <c r="AS42" i="33"/>
  <c r="AF42" i="33"/>
  <c r="AS37" i="33"/>
  <c r="AF37" i="33"/>
  <c r="AS10" i="33"/>
  <c r="AF10" i="33"/>
  <c r="AS8" i="33"/>
  <c r="AF8" i="33"/>
  <c r="AG41" i="31"/>
  <c r="AG7" i="31"/>
  <c r="AG17" i="31"/>
  <c r="AG36" i="31"/>
  <c r="CB8" i="33"/>
  <c r="CB42" i="33"/>
  <c r="CB18" i="33"/>
  <c r="CB37" i="33"/>
  <c r="CB10" i="33"/>
  <c r="AD51" i="33"/>
  <c r="E51" i="33"/>
  <c r="AD34" i="33"/>
  <c r="E34" i="33"/>
  <c r="AH41" i="31"/>
  <c r="AH36" i="31"/>
  <c r="BU42" i="33"/>
  <c r="BP42" i="33"/>
  <c r="BU10" i="33"/>
  <c r="BP10" i="33"/>
  <c r="BU18" i="33"/>
  <c r="BP18" i="33"/>
  <c r="BU37" i="33"/>
  <c r="BP37" i="33"/>
  <c r="BP8" i="33"/>
  <c r="BI42" i="33"/>
  <c r="BI37" i="33"/>
  <c r="BI10" i="33"/>
  <c r="BI18" i="33"/>
  <c r="BI8" i="33"/>
  <c r="BB37" i="33"/>
  <c r="AU37" i="33"/>
  <c r="AU10" i="33"/>
  <c r="BB10" i="33"/>
  <c r="AU18" i="33"/>
  <c r="BB18" i="33"/>
  <c r="AU8" i="33"/>
  <c r="BB8" i="33"/>
  <c r="AU42" i="33"/>
  <c r="BB42" i="33"/>
  <c r="AH7" i="31"/>
  <c r="AH17" i="31"/>
  <c r="C42" i="33"/>
  <c r="C10" i="33"/>
  <c r="C18" i="33"/>
  <c r="Z37" i="33"/>
  <c r="Z42" i="33"/>
  <c r="Z18" i="33"/>
  <c r="C8" i="33"/>
  <c r="Z8" i="33"/>
  <c r="Z10" i="33"/>
  <c r="DU36" i="31"/>
  <c r="DW41" i="31"/>
  <c r="DW48" i="36" s="1"/>
  <c r="BZ17" i="31"/>
  <c r="BZ36" i="31"/>
  <c r="BZ7" i="31"/>
  <c r="DU7" i="31"/>
  <c r="DU55" i="36" s="1"/>
  <c r="DU17" i="31"/>
  <c r="DU41" i="36" s="1"/>
  <c r="DU54" i="36"/>
  <c r="BZ41" i="31"/>
  <c r="BP84" i="33"/>
  <c r="BK44" i="26" s="1"/>
  <c r="BP83" i="33"/>
  <c r="BK43" i="26" s="1"/>
  <c r="C136" i="45" l="1"/>
  <c r="CU41" i="36"/>
  <c r="CU40" i="36"/>
  <c r="AE41" i="36"/>
  <c r="AA41" i="36"/>
  <c r="Y41" i="36"/>
  <c r="AD41" i="36"/>
  <c r="AU41" i="36"/>
  <c r="CU49" i="36"/>
  <c r="CU50" i="36"/>
  <c r="CU51" i="36"/>
  <c r="CU48" i="36"/>
  <c r="DU50" i="36"/>
  <c r="DU49" i="36"/>
  <c r="AD13" i="36"/>
  <c r="Y13" i="36"/>
  <c r="AU13" i="36"/>
  <c r="AA13" i="36"/>
  <c r="AE13" i="36"/>
  <c r="AF13" i="36"/>
  <c r="AG13" i="36"/>
  <c r="AH13" i="36"/>
  <c r="BZ13" i="36"/>
  <c r="DU13" i="36"/>
  <c r="AA38" i="36"/>
  <c r="AA40" i="36"/>
  <c r="Y38" i="36"/>
  <c r="Y40" i="36"/>
  <c r="AD38" i="36"/>
  <c r="AD40" i="36"/>
  <c r="DU38" i="36"/>
  <c r="DU40" i="36"/>
  <c r="AE38" i="36"/>
  <c r="AE40" i="36"/>
  <c r="AU38" i="36"/>
  <c r="AU40" i="36"/>
  <c r="DU27" i="36"/>
  <c r="CU53" i="36"/>
  <c r="N5" i="36"/>
  <c r="AF41" i="36"/>
  <c r="BZ41" i="36"/>
  <c r="AG41" i="36"/>
  <c r="AH41" i="36"/>
  <c r="CU54" i="36"/>
  <c r="BZ38" i="36"/>
  <c r="BZ40" i="36"/>
  <c r="AH38" i="36"/>
  <c r="AH40" i="36"/>
  <c r="AG38" i="36"/>
  <c r="AG40" i="36"/>
  <c r="AF38" i="36"/>
  <c r="AF40" i="36"/>
  <c r="DU51" i="36"/>
  <c r="DU53" i="36"/>
  <c r="DU46" i="36"/>
  <c r="DU43" i="36"/>
  <c r="DW55" i="36"/>
  <c r="CU55" i="36"/>
  <c r="DU45" i="36"/>
  <c r="DU44" i="36"/>
  <c r="CB7" i="31"/>
  <c r="CB36" i="31"/>
  <c r="CB17" i="31"/>
  <c r="CB41" i="31"/>
  <c r="AE32" i="33"/>
  <c r="DU55" i="40"/>
  <c r="CW71" i="40"/>
  <c r="DU71" i="40" s="1"/>
  <c r="CW54" i="40"/>
  <c r="DU54" i="40" s="1"/>
  <c r="CW80" i="40"/>
  <c r="DU80" i="40" s="1"/>
  <c r="CW47" i="40"/>
  <c r="DU47" i="40" s="1"/>
  <c r="CW51" i="40"/>
  <c r="DU51" i="40" s="1"/>
  <c r="CW66" i="40"/>
  <c r="DU66" i="40" s="1"/>
  <c r="CW59" i="40"/>
  <c r="DU59" i="40" s="1"/>
  <c r="DW66" i="40"/>
  <c r="AA37" i="33" s="1"/>
  <c r="CW75" i="40"/>
  <c r="DU75" i="40" s="1"/>
  <c r="CW77" i="40"/>
  <c r="DU77" i="40" s="1"/>
  <c r="CW46" i="40"/>
  <c r="DU46" i="40" s="1"/>
  <c r="CW79" i="40"/>
  <c r="DU79" i="40" s="1"/>
  <c r="CW37" i="40"/>
  <c r="DU37" i="40" s="1"/>
  <c r="AB32" i="33"/>
  <c r="AC32" i="33" s="1"/>
  <c r="AB24" i="33"/>
  <c r="AC24" i="33" s="1"/>
  <c r="AE24" i="33"/>
  <c r="AL64" i="31"/>
  <c r="AB64" i="31"/>
  <c r="B48" i="31" s="1"/>
  <c r="AF64" i="31"/>
  <c r="AV52" i="31" s="1"/>
  <c r="X64" i="31"/>
  <c r="AV50" i="31" s="1"/>
  <c r="V64" i="31"/>
  <c r="AE10" i="33"/>
  <c r="BM41" i="31"/>
  <c r="N39" i="32" s="1"/>
  <c r="BM7" i="31"/>
  <c r="AE42" i="33"/>
  <c r="AE8" i="33"/>
  <c r="BM17" i="31"/>
  <c r="AE18" i="33"/>
  <c r="BM36" i="31"/>
  <c r="AE37" i="33"/>
  <c r="DO16" i="31"/>
  <c r="DO29" i="31"/>
  <c r="DO7" i="31"/>
  <c r="DO49" i="31"/>
  <c r="DO36" i="31"/>
  <c r="DO41" i="31"/>
  <c r="DO45" i="31"/>
  <c r="DO50" i="31"/>
  <c r="AH64" i="31"/>
  <c r="AV17" i="31" s="1"/>
  <c r="AB18" i="33"/>
  <c r="AC18" i="33" s="1"/>
  <c r="AB42" i="33"/>
  <c r="AC42" i="33" s="1"/>
  <c r="AB8" i="33"/>
  <c r="AC8" i="33" s="1"/>
  <c r="AB37" i="33"/>
  <c r="AC37" i="33" s="1"/>
  <c r="M47" i="51"/>
  <c r="M67" i="51"/>
  <c r="M41" i="51"/>
  <c r="CG33" i="31"/>
  <c r="CG50" i="31"/>
  <c r="M77" i="51"/>
  <c r="M50" i="51"/>
  <c r="M61" i="51"/>
  <c r="M53" i="51"/>
  <c r="M56" i="51"/>
  <c r="AC9" i="31"/>
  <c r="CI33" i="31"/>
  <c r="BY9" i="31"/>
  <c r="CI50" i="31"/>
  <c r="AC36" i="31"/>
  <c r="AC17" i="31"/>
  <c r="AC7" i="31"/>
  <c r="AC41" i="31"/>
  <c r="DW36" i="31"/>
  <c r="AC10" i="33"/>
  <c r="DW54" i="36"/>
  <c r="DW7" i="31"/>
  <c r="DW17" i="31"/>
  <c r="DW41" i="36" s="1"/>
  <c r="BY41" i="31"/>
  <c r="BY7" i="31"/>
  <c r="BY36" i="31"/>
  <c r="BY17" i="31"/>
  <c r="C137" i="45" l="1"/>
  <c r="N40" i="32"/>
  <c r="CB41" i="36"/>
  <c r="N37" i="32"/>
  <c r="N36" i="32"/>
  <c r="N35" i="32"/>
  <c r="N34" i="32"/>
  <c r="N32" i="32"/>
  <c r="N33" i="32"/>
  <c r="T30" i="32"/>
  <c r="V30" i="32"/>
  <c r="N29" i="32"/>
  <c r="N31" i="32"/>
  <c r="AA34" i="32"/>
  <c r="AA33" i="32"/>
  <c r="AA49" i="32"/>
  <c r="N11" i="32"/>
  <c r="N10" i="32"/>
  <c r="N12" i="32"/>
  <c r="N49" i="32"/>
  <c r="BM41" i="36"/>
  <c r="DW50" i="36"/>
  <c r="DW49" i="36"/>
  <c r="CB13" i="36"/>
  <c r="AC13" i="36"/>
  <c r="DW13" i="36"/>
  <c r="BY13" i="36"/>
  <c r="BM13" i="36"/>
  <c r="BM38" i="36"/>
  <c r="BM40" i="36"/>
  <c r="CB38" i="36"/>
  <c r="CB40" i="36"/>
  <c r="DW38" i="36"/>
  <c r="DW40" i="36"/>
  <c r="DW27" i="36"/>
  <c r="BY41" i="36"/>
  <c r="AC41" i="36"/>
  <c r="BY38" i="36"/>
  <c r="BY40" i="36"/>
  <c r="AC38" i="36"/>
  <c r="AC40" i="36"/>
  <c r="DW51" i="36"/>
  <c r="DW53" i="36"/>
  <c r="DW46" i="36"/>
  <c r="DW43" i="36"/>
  <c r="DW45" i="36"/>
  <c r="DW44" i="36"/>
  <c r="B52" i="31"/>
  <c r="AD32" i="33"/>
  <c r="AV47" i="31"/>
  <c r="AV29" i="31"/>
  <c r="AV16" i="31"/>
  <c r="AV45" i="31"/>
  <c r="AV49" i="31"/>
  <c r="AV9" i="31"/>
  <c r="AV55" i="31"/>
  <c r="AV13" i="31"/>
  <c r="AV18" i="31"/>
  <c r="AV34" i="31"/>
  <c r="AV31" i="31"/>
  <c r="AV23" i="31"/>
  <c r="AV41" i="31"/>
  <c r="B12" i="31"/>
  <c r="AV25" i="31"/>
  <c r="AV24" i="31"/>
  <c r="AV21" i="31"/>
  <c r="AV7" i="31"/>
  <c r="AV36" i="31"/>
  <c r="AD24" i="33"/>
  <c r="CF9" i="31"/>
  <c r="CH17" i="31"/>
  <c r="CF17" i="31"/>
  <c r="CH36" i="31"/>
  <c r="CF36" i="31"/>
  <c r="CH7" i="31"/>
  <c r="CF7" i="31"/>
  <c r="CH41" i="31"/>
  <c r="CF41" i="31"/>
  <c r="CH9" i="31"/>
  <c r="AN64" i="33"/>
  <c r="AC11" i="33"/>
  <c r="C11" i="33"/>
  <c r="AD18" i="33"/>
  <c r="AD10" i="33"/>
  <c r="AD42" i="33"/>
  <c r="AD8" i="33"/>
  <c r="AD37" i="33"/>
  <c r="E37" i="33"/>
  <c r="E18" i="33"/>
  <c r="E42" i="33"/>
  <c r="E8" i="33"/>
  <c r="E10" i="33"/>
  <c r="C138" i="45" l="1"/>
  <c r="CH13" i="36"/>
  <c r="CF13" i="36"/>
  <c r="CH41" i="36"/>
  <c r="CF41" i="36"/>
  <c r="CH38" i="36"/>
  <c r="CH40" i="36"/>
  <c r="CF38" i="36"/>
  <c r="CF40" i="36"/>
  <c r="B34" i="31"/>
  <c r="B18" i="31"/>
  <c r="CG7" i="31"/>
  <c r="CG17" i="31"/>
  <c r="CG9" i="31"/>
  <c r="CG36" i="31"/>
  <c r="T34" i="32" s="1"/>
  <c r="CG41" i="31"/>
  <c r="T49" i="32" s="1"/>
  <c r="L6" i="32"/>
  <c r="BL11" i="33"/>
  <c r="BX11" i="33"/>
  <c r="BE11" i="33"/>
  <c r="AX11" i="33"/>
  <c r="CE11" i="33"/>
  <c r="CI9" i="31"/>
  <c r="CI7" i="31"/>
  <c r="CI41" i="31"/>
  <c r="V49" i="32" s="1"/>
  <c r="CI17" i="31"/>
  <c r="CI36" i="31"/>
  <c r="V34" i="32" s="1"/>
  <c r="V19" i="26"/>
  <c r="V36" i="26"/>
  <c r="V30" i="26"/>
  <c r="V24" i="26"/>
  <c r="V31" i="26"/>
  <c r="V9" i="26"/>
  <c r="V11" i="26"/>
  <c r="V29" i="26"/>
  <c r="V35" i="26"/>
  <c r="V23" i="26"/>
  <c r="V33" i="26"/>
  <c r="V14" i="26"/>
  <c r="V16" i="26"/>
  <c r="V26" i="26"/>
  <c r="V22" i="26"/>
  <c r="V15" i="26"/>
  <c r="V21" i="26"/>
  <c r="V12" i="26"/>
  <c r="V18" i="26"/>
  <c r="V27" i="26"/>
  <c r="V20" i="26"/>
  <c r="V10" i="26"/>
  <c r="V8" i="26"/>
  <c r="V13" i="26"/>
  <c r="V28" i="26"/>
  <c r="V34" i="26"/>
  <c r="C139" i="45" l="1"/>
  <c r="T33" i="32"/>
  <c r="T35" i="32"/>
  <c r="V33" i="32"/>
  <c r="V35" i="32"/>
  <c r="V31" i="32"/>
  <c r="V32" i="32"/>
  <c r="T31" i="32"/>
  <c r="T32" i="32"/>
  <c r="T36" i="32"/>
  <c r="T29" i="32"/>
  <c r="V36" i="32"/>
  <c r="V29" i="32"/>
  <c r="T37" i="32"/>
  <c r="V37" i="32"/>
  <c r="CS40" i="26"/>
  <c r="CS46" i="26" s="1"/>
  <c r="CJ40" i="26"/>
  <c r="CJ46" i="26" s="1"/>
  <c r="T11" i="32"/>
  <c r="V11" i="32"/>
  <c r="V10" i="32"/>
  <c r="V12" i="32"/>
  <c r="V39" i="32"/>
  <c r="V40" i="32"/>
  <c r="T39" i="32"/>
  <c r="T40" i="32"/>
  <c r="T10" i="32"/>
  <c r="T12" i="32"/>
  <c r="M28" i="32"/>
  <c r="M6" i="32"/>
  <c r="M50" i="32"/>
  <c r="M38" i="32"/>
  <c r="M11" i="32"/>
  <c r="M24" i="32"/>
  <c r="M17" i="32"/>
  <c r="M20" i="32"/>
  <c r="M30" i="32"/>
  <c r="M39" i="32"/>
  <c r="M47" i="32"/>
  <c r="M40" i="32"/>
  <c r="M13" i="32"/>
  <c r="M36" i="32"/>
  <c r="M42" i="32"/>
  <c r="M32" i="32"/>
  <c r="M34" i="32"/>
  <c r="M22" i="32"/>
  <c r="M33" i="32"/>
  <c r="M54" i="32"/>
  <c r="M46" i="32"/>
  <c r="M35" i="32"/>
  <c r="M18" i="32"/>
  <c r="M52" i="32"/>
  <c r="M31" i="32"/>
  <c r="M51" i="32"/>
  <c r="M16" i="32"/>
  <c r="M9" i="32"/>
  <c r="M48" i="32"/>
  <c r="M43" i="32"/>
  <c r="M21" i="32"/>
  <c r="M45" i="32"/>
  <c r="M55" i="32"/>
  <c r="M29" i="32"/>
  <c r="M23" i="32"/>
  <c r="M27" i="32"/>
  <c r="M8" i="32"/>
  <c r="M53" i="32"/>
  <c r="M14" i="32"/>
  <c r="M7" i="32"/>
  <c r="M25" i="32"/>
  <c r="M44" i="32"/>
  <c r="M49" i="32"/>
  <c r="M10" i="32"/>
  <c r="M26" i="32"/>
  <c r="M41" i="32"/>
  <c r="M15" i="32"/>
  <c r="M37" i="32"/>
  <c r="M12" i="32"/>
  <c r="M19" i="32"/>
  <c r="CG13" i="36"/>
  <c r="CI13" i="36"/>
  <c r="CI41" i="36"/>
  <c r="CG41" i="36"/>
  <c r="CI38" i="36"/>
  <c r="CI40" i="36"/>
  <c r="CG38" i="36"/>
  <c r="CG40" i="36"/>
  <c r="CC40" i="26"/>
  <c r="CC46" i="26" s="1"/>
  <c r="CJ41" i="31"/>
  <c r="B10" i="31"/>
  <c r="B23" i="31"/>
  <c r="AP40" i="26"/>
  <c r="AP46" i="26" s="1"/>
  <c r="BV40" i="26"/>
  <c r="BV46" i="26" s="1"/>
  <c r="AW40" i="26"/>
  <c r="AW46" i="26" s="1"/>
  <c r="BO40" i="26"/>
  <c r="BO46" i="26" s="1"/>
  <c r="C140" i="45" l="1"/>
  <c r="CJ41" i="36"/>
  <c r="CJ40" i="36"/>
  <c r="CJ24" i="36"/>
  <c r="CJ12" i="36"/>
  <c r="CJ49" i="36"/>
  <c r="CJ50" i="36"/>
  <c r="CJ51" i="36"/>
  <c r="CJ48" i="36"/>
  <c r="CJ53" i="36"/>
  <c r="CJ52" i="36"/>
  <c r="CJ54" i="36"/>
  <c r="CJ55" i="36"/>
  <c r="Q35" i="26"/>
  <c r="C141" i="45" l="1"/>
  <c r="Q11" i="26"/>
  <c r="C142" i="45" l="1"/>
  <c r="Q10" i="26"/>
  <c r="C143" i="45" l="1"/>
  <c r="R1" i="33"/>
  <c r="C144" i="45" l="1"/>
  <c r="AS2" i="26"/>
  <c r="AP2" i="26"/>
  <c r="AZ2" i="26"/>
  <c r="Q14" i="26"/>
  <c r="U27" i="1"/>
  <c r="W27" i="1"/>
  <c r="AG28" i="26"/>
  <c r="CW28" i="26" s="1"/>
  <c r="S28" i="26"/>
  <c r="Q23" i="26"/>
  <c r="Q19" i="26"/>
  <c r="T11" i="26"/>
  <c r="CT11" i="26" s="1"/>
  <c r="BP19" i="26"/>
  <c r="T10" i="26"/>
  <c r="C145" i="45" l="1"/>
  <c r="CK15" i="26"/>
  <c r="CT10" i="26"/>
  <c r="CD11" i="26"/>
  <c r="BP10" i="26"/>
  <c r="CD10" i="26"/>
  <c r="Y27" i="1"/>
  <c r="BW11" i="26"/>
  <c r="BP11" i="26"/>
  <c r="AO10" i="26"/>
  <c r="AC10" i="26"/>
  <c r="BW19" i="26"/>
  <c r="BW28" i="26"/>
  <c r="BW10" i="26"/>
  <c r="BE19" i="26"/>
  <c r="BE11" i="26"/>
  <c r="BE28" i="26"/>
  <c r="BE10" i="26"/>
  <c r="AX11" i="26"/>
  <c r="AQ11" i="26"/>
  <c r="AQ19" i="26"/>
  <c r="AX19" i="26"/>
  <c r="AX28" i="26"/>
  <c r="AQ28" i="26"/>
  <c r="AQ10" i="26"/>
  <c r="AX10" i="26"/>
  <c r="AT28" i="26"/>
  <c r="BS28" i="26"/>
  <c r="BK10" i="26"/>
  <c r="BK11" i="26"/>
  <c r="BK19" i="26"/>
  <c r="BK28" i="26"/>
  <c r="AT3" i="33"/>
  <c r="AP3" i="26"/>
  <c r="BA28" i="26"/>
  <c r="BH28" i="26"/>
  <c r="T23" i="26"/>
  <c r="C146" i="45" l="1"/>
  <c r="CK23" i="26"/>
  <c r="CT23" i="26"/>
  <c r="CD23" i="26"/>
  <c r="L104" i="51"/>
  <c r="BP23" i="26"/>
  <c r="M27" i="51"/>
  <c r="AC23" i="26"/>
  <c r="BW23" i="26"/>
  <c r="BE23" i="26"/>
  <c r="AX23" i="26"/>
  <c r="AQ23" i="26"/>
  <c r="BK23" i="26"/>
  <c r="J28" i="20"/>
  <c r="R28" i="20" s="1"/>
  <c r="L28" i="20" s="1"/>
  <c r="K28" i="20"/>
  <c r="AG31" i="26"/>
  <c r="CW31" i="26" s="1"/>
  <c r="AG9" i="26"/>
  <c r="AG15" i="26"/>
  <c r="CW15" i="26" s="1"/>
  <c r="AG33" i="26"/>
  <c r="AG35" i="26"/>
  <c r="CW35" i="26" s="1"/>
  <c r="AG12" i="26"/>
  <c r="CW12" i="26" s="1"/>
  <c r="AG18" i="26"/>
  <c r="CW18" i="26" s="1"/>
  <c r="AG13" i="26"/>
  <c r="CW13" i="26" s="1"/>
  <c r="AG20" i="26"/>
  <c r="CW20" i="26" s="1"/>
  <c r="AG30" i="26"/>
  <c r="AG26" i="26"/>
  <c r="AG23" i="26"/>
  <c r="CW23" i="26" s="1"/>
  <c r="AG27" i="26"/>
  <c r="CW27" i="26" s="1"/>
  <c r="AG22" i="26"/>
  <c r="CW22" i="26" s="1"/>
  <c r="AG29" i="26"/>
  <c r="CW29" i="26" s="1"/>
  <c r="AG19" i="26"/>
  <c r="AG10" i="26"/>
  <c r="CW10" i="26" s="1"/>
  <c r="AG24" i="26"/>
  <c r="CW24" i="26" s="1"/>
  <c r="AG36" i="26"/>
  <c r="AG8" i="26"/>
  <c r="AG34" i="26"/>
  <c r="CW34" i="26" s="1"/>
  <c r="AO15" i="26"/>
  <c r="T14" i="26"/>
  <c r="X7" i="25"/>
  <c r="X14" i="25"/>
  <c r="X13" i="25"/>
  <c r="X20" i="25"/>
  <c r="X16" i="25"/>
  <c r="X12" i="25"/>
  <c r="X9" i="25"/>
  <c r="X28" i="25"/>
  <c r="X17" i="25"/>
  <c r="X19" i="25"/>
  <c r="X22" i="25"/>
  <c r="X35" i="25"/>
  <c r="X8" i="25"/>
  <c r="X23" i="25"/>
  <c r="X15" i="25"/>
  <c r="X25" i="25"/>
  <c r="X32" i="25"/>
  <c r="X6" i="25"/>
  <c r="X10" i="25"/>
  <c r="X29" i="25"/>
  <c r="X31" i="25"/>
  <c r="X26" i="25"/>
  <c r="X5" i="25"/>
  <c r="X30" i="25"/>
  <c r="X18" i="25"/>
  <c r="X11" i="25"/>
  <c r="C147" i="45" l="1"/>
  <c r="CW8" i="26"/>
  <c r="CG8" i="26"/>
  <c r="CN31" i="26"/>
  <c r="CW33" i="26"/>
  <c r="CK14" i="26"/>
  <c r="CT14" i="26"/>
  <c r="CN28" i="26"/>
  <c r="CW26" i="26"/>
  <c r="CN30" i="26"/>
  <c r="CW30" i="26"/>
  <c r="CN17" i="26"/>
  <c r="CW9" i="26"/>
  <c r="CN36" i="26"/>
  <c r="CW36" i="26"/>
  <c r="CN9" i="26"/>
  <c r="CW19" i="26"/>
  <c r="CN35" i="26"/>
  <c r="CN33" i="26"/>
  <c r="CN25" i="26"/>
  <c r="CN20" i="26"/>
  <c r="CN27" i="26"/>
  <c r="CN23" i="26"/>
  <c r="CG12" i="26"/>
  <c r="CG29" i="26"/>
  <c r="CN34" i="26"/>
  <c r="CG35" i="26"/>
  <c r="CN8" i="26"/>
  <c r="CG15" i="26"/>
  <c r="CN16" i="26"/>
  <c r="CG22" i="26"/>
  <c r="CN22" i="26"/>
  <c r="CG30" i="26"/>
  <c r="CN18" i="26"/>
  <c r="CG34" i="26"/>
  <c r="CN21" i="26"/>
  <c r="CN19" i="26"/>
  <c r="CG20" i="26"/>
  <c r="CG24" i="26"/>
  <c r="CG13" i="26"/>
  <c r="CN10" i="26"/>
  <c r="CG27" i="26"/>
  <c r="CN29" i="26"/>
  <c r="CG26" i="26"/>
  <c r="CG36" i="26"/>
  <c r="CN13" i="26"/>
  <c r="CG10" i="26"/>
  <c r="CN15" i="26"/>
  <c r="BA18" i="26"/>
  <c r="CG18" i="26"/>
  <c r="BA33" i="26"/>
  <c r="CG33" i="26"/>
  <c r="BZ19" i="26"/>
  <c r="CG19" i="26"/>
  <c r="AT31" i="26"/>
  <c r="CG31" i="26"/>
  <c r="AT23" i="26"/>
  <c r="CG23" i="26"/>
  <c r="AO14" i="26"/>
  <c r="CD14" i="26"/>
  <c r="AT9" i="26"/>
  <c r="CG9" i="26"/>
  <c r="BS30" i="26"/>
  <c r="BH30" i="26"/>
  <c r="AC14" i="26"/>
  <c r="BP14" i="26"/>
  <c r="O10" i="25"/>
  <c r="N10" i="25"/>
  <c r="O15" i="25"/>
  <c r="N15" i="25"/>
  <c r="O28" i="25"/>
  <c r="N28" i="25"/>
  <c r="O20" i="25"/>
  <c r="N20" i="25"/>
  <c r="O5" i="25"/>
  <c r="N5" i="25"/>
  <c r="O27" i="25"/>
  <c r="N27" i="25"/>
  <c r="O22" i="25"/>
  <c r="N22" i="25"/>
  <c r="O9" i="25"/>
  <c r="N9" i="25"/>
  <c r="O26" i="25"/>
  <c r="N26" i="25"/>
  <c r="O13" i="25"/>
  <c r="N13" i="25"/>
  <c r="O18" i="25"/>
  <c r="N18" i="25"/>
  <c r="O32" i="25"/>
  <c r="N32" i="25"/>
  <c r="O19" i="25"/>
  <c r="N19" i="25"/>
  <c r="O12" i="25"/>
  <c r="N12" i="25"/>
  <c r="O14" i="25"/>
  <c r="N14" i="25"/>
  <c r="O11" i="25"/>
  <c r="N11" i="25"/>
  <c r="O6" i="25"/>
  <c r="N6" i="25"/>
  <c r="O31" i="25"/>
  <c r="N31" i="25"/>
  <c r="O23" i="25"/>
  <c r="N23" i="25"/>
  <c r="O30" i="25"/>
  <c r="N30" i="25"/>
  <c r="O29" i="25"/>
  <c r="N29" i="25"/>
  <c r="O25" i="25"/>
  <c r="N25" i="25"/>
  <c r="O8" i="25"/>
  <c r="N8" i="25"/>
  <c r="O17" i="25"/>
  <c r="N17" i="25"/>
  <c r="N16" i="25"/>
  <c r="O7" i="25"/>
  <c r="N7" i="25"/>
  <c r="AQ14" i="26"/>
  <c r="AT34" i="26"/>
  <c r="BH34" i="26"/>
  <c r="BW14" i="26"/>
  <c r="BW15" i="26"/>
  <c r="BA11" i="26"/>
  <c r="AT11" i="26"/>
  <c r="BH8" i="26"/>
  <c r="AT8" i="26"/>
  <c r="BE15" i="26"/>
  <c r="BE14" i="26"/>
  <c r="AX14" i="26"/>
  <c r="AX15" i="26"/>
  <c r="AQ15" i="26"/>
  <c r="BZ9" i="26"/>
  <c r="BA30" i="26"/>
  <c r="AT30" i="26"/>
  <c r="BZ34" i="26"/>
  <c r="BA34" i="26"/>
  <c r="BZ30" i="26"/>
  <c r="BS36" i="26"/>
  <c r="BZ36" i="26"/>
  <c r="BS29" i="26"/>
  <c r="BZ29" i="26"/>
  <c r="BS23" i="26"/>
  <c r="BZ27" i="26"/>
  <c r="BS13" i="26"/>
  <c r="BZ13" i="26"/>
  <c r="BS33" i="26"/>
  <c r="BZ23" i="26"/>
  <c r="BS9" i="26"/>
  <c r="BZ18" i="26"/>
  <c r="BS24" i="26"/>
  <c r="BZ21" i="26"/>
  <c r="BS22" i="26"/>
  <c r="BZ16" i="26"/>
  <c r="BS26" i="26"/>
  <c r="BZ26" i="26"/>
  <c r="BS18" i="26"/>
  <c r="BZ22" i="26"/>
  <c r="BS11" i="26"/>
  <c r="BZ11" i="26"/>
  <c r="BS31" i="26"/>
  <c r="BZ15" i="26"/>
  <c r="BS34" i="26"/>
  <c r="BZ25" i="26"/>
  <c r="BS10" i="26"/>
  <c r="BZ10" i="26"/>
  <c r="BS14" i="26"/>
  <c r="BZ35" i="26"/>
  <c r="BS12" i="26"/>
  <c r="BZ12" i="26"/>
  <c r="BS21" i="26"/>
  <c r="BZ24" i="26"/>
  <c r="BS8" i="26"/>
  <c r="BZ8" i="26"/>
  <c r="BS27" i="26"/>
  <c r="BZ33" i="26"/>
  <c r="BS20" i="26"/>
  <c r="BZ31" i="26"/>
  <c r="BS35" i="26"/>
  <c r="BZ20" i="26"/>
  <c r="BS15" i="26"/>
  <c r="BZ14" i="26"/>
  <c r="AT19" i="26"/>
  <c r="BS19" i="26"/>
  <c r="Q26" i="26"/>
  <c r="BK15" i="26"/>
  <c r="BK14" i="26"/>
  <c r="X80" i="25"/>
  <c r="BH36" i="26"/>
  <c r="AT36" i="26"/>
  <c r="BA36" i="26"/>
  <c r="BH23" i="26"/>
  <c r="BA23" i="26"/>
  <c r="BA24" i="26"/>
  <c r="BH24" i="26"/>
  <c r="AT24" i="26"/>
  <c r="BH18" i="26"/>
  <c r="AT18" i="26"/>
  <c r="BA10" i="26"/>
  <c r="BH10" i="26"/>
  <c r="AT10" i="26"/>
  <c r="BA14" i="26"/>
  <c r="AT14" i="26"/>
  <c r="BH14" i="26"/>
  <c r="BH11" i="26"/>
  <c r="BA9" i="26"/>
  <c r="BH9" i="26"/>
  <c r="BA29" i="26"/>
  <c r="AT29" i="26"/>
  <c r="BH29" i="26"/>
  <c r="BA13" i="26"/>
  <c r="BH13" i="26"/>
  <c r="AT13" i="26"/>
  <c r="BH35" i="26"/>
  <c r="BA35" i="26"/>
  <c r="AT35" i="26"/>
  <c r="BH22" i="26"/>
  <c r="AT22" i="26"/>
  <c r="BA22" i="26"/>
  <c r="BA26" i="26"/>
  <c r="AT26" i="26"/>
  <c r="BH26" i="26"/>
  <c r="AT33" i="26"/>
  <c r="BH33" i="26"/>
  <c r="AT15" i="26"/>
  <c r="BH15" i="26"/>
  <c r="BA15" i="26"/>
  <c r="BA8" i="26"/>
  <c r="BH19" i="26"/>
  <c r="BA19" i="26"/>
  <c r="BH27" i="26"/>
  <c r="AT27" i="26"/>
  <c r="BA27" i="26"/>
  <c r="BH20" i="26"/>
  <c r="BA20" i="26"/>
  <c r="AT20" i="26"/>
  <c r="BA12" i="26"/>
  <c r="AT12" i="26"/>
  <c r="BH12" i="26"/>
  <c r="BA21" i="26"/>
  <c r="BH21" i="26"/>
  <c r="AT21" i="26"/>
  <c r="BH31" i="26"/>
  <c r="BA31" i="26"/>
  <c r="T26" i="26"/>
  <c r="CT26" i="26" s="1"/>
  <c r="O28" i="20"/>
  <c r="N28" i="20"/>
  <c r="M28" i="20"/>
  <c r="C148" i="45" l="1"/>
  <c r="A24" i="25"/>
  <c r="CW38" i="26"/>
  <c r="CW2" i="26"/>
  <c r="CW3" i="26" s="1"/>
  <c r="AO26" i="26"/>
  <c r="CK28" i="26"/>
  <c r="CN38" i="26"/>
  <c r="CM2" i="26" s="1"/>
  <c r="CM3" i="26" s="1"/>
  <c r="BZ2" i="26"/>
  <c r="CG38" i="26"/>
  <c r="CF2" i="26" s="1"/>
  <c r="CF3" i="26" s="1"/>
  <c r="AC26" i="26"/>
  <c r="CD26" i="26"/>
  <c r="BS2" i="26"/>
  <c r="BS3" i="26" s="1"/>
  <c r="A33" i="25"/>
  <c r="M32" i="51"/>
  <c r="M9" i="51"/>
  <c r="M8" i="51"/>
  <c r="BP26" i="26"/>
  <c r="A25" i="25"/>
  <c r="A20" i="25"/>
  <c r="A13" i="25"/>
  <c r="A6" i="25"/>
  <c r="A23" i="25"/>
  <c r="A17" i="25"/>
  <c r="A9" i="25"/>
  <c r="A22" i="25"/>
  <c r="A5" i="25"/>
  <c r="A21" i="25"/>
  <c r="A26" i="25"/>
  <c r="A8" i="25"/>
  <c r="A31" i="25"/>
  <c r="A18" i="25"/>
  <c r="A7" i="25"/>
  <c r="A30" i="25"/>
  <c r="A10" i="25"/>
  <c r="A32" i="25"/>
  <c r="A15" i="25"/>
  <c r="A14" i="25"/>
  <c r="A29" i="25"/>
  <c r="A27" i="25"/>
  <c r="A19" i="25"/>
  <c r="A11" i="25"/>
  <c r="A16" i="25"/>
  <c r="A12" i="25"/>
  <c r="A28" i="25"/>
  <c r="BW26" i="26"/>
  <c r="BE26" i="26"/>
  <c r="AX26" i="26"/>
  <c r="AQ26" i="26"/>
  <c r="BR2" i="26"/>
  <c r="BH2" i="26"/>
  <c r="BH3" i="26" s="1"/>
  <c r="BZ38" i="26"/>
  <c r="BY2" i="26" s="1"/>
  <c r="BS38" i="26"/>
  <c r="BK26" i="26"/>
  <c r="AV2" i="26"/>
  <c r="BC2" i="26"/>
  <c r="AM21" i="1"/>
  <c r="AM23" i="1"/>
  <c r="T27" i="26"/>
  <c r="Q27" i="26"/>
  <c r="C149" i="45" l="1"/>
  <c r="BY3" i="26"/>
  <c r="CK27" i="26"/>
  <c r="CT27" i="26"/>
  <c r="CD27" i="26"/>
  <c r="AC27" i="26"/>
  <c r="BP27" i="26"/>
  <c r="BW27" i="26"/>
  <c r="BE27" i="26"/>
  <c r="AX27" i="26"/>
  <c r="AQ27" i="26"/>
  <c r="BK27" i="26"/>
  <c r="AD22" i="26"/>
  <c r="AD24" i="26"/>
  <c r="BA38" i="26"/>
  <c r="AT38" i="26"/>
  <c r="T12" i="26"/>
  <c r="BA2" i="26"/>
  <c r="BA3" i="26" s="1"/>
  <c r="AT2" i="26"/>
  <c r="C150" i="45" l="1"/>
  <c r="CK26" i="26"/>
  <c r="CT12" i="26"/>
  <c r="AO12" i="26"/>
  <c r="CD12" i="26"/>
  <c r="AC12" i="26"/>
  <c r="BP12" i="26"/>
  <c r="BW12" i="26"/>
  <c r="AQ12" i="26"/>
  <c r="AT3" i="26"/>
  <c r="BE12" i="26"/>
  <c r="AX12" i="26"/>
  <c r="BK12" i="26"/>
  <c r="DQ8" i="31"/>
  <c r="AC126" i="24" s="1"/>
  <c r="DC8" i="31"/>
  <c r="CZ8" i="31"/>
  <c r="AL8" i="31"/>
  <c r="Q9" i="26"/>
  <c r="C151" i="45" l="1"/>
  <c r="CZ39" i="36"/>
  <c r="CZ15" i="36"/>
  <c r="DC39" i="36"/>
  <c r="DC15" i="36"/>
  <c r="AL39" i="36"/>
  <c r="AL15" i="36"/>
  <c r="AC154" i="24"/>
  <c r="DQ15" i="36"/>
  <c r="AC206" i="24"/>
  <c r="AC210" i="24"/>
  <c r="AC194" i="24"/>
  <c r="AC198" i="24"/>
  <c r="AC190" i="24"/>
  <c r="AC250" i="24"/>
  <c r="DQ39" i="36"/>
  <c r="AL21" i="36"/>
  <c r="AL23" i="36"/>
  <c r="CZ21" i="36"/>
  <c r="CZ23" i="36"/>
  <c r="DC21" i="36"/>
  <c r="DC23" i="36"/>
  <c r="DQ23" i="36"/>
  <c r="AC186" i="24"/>
  <c r="AC182" i="24"/>
  <c r="AC178" i="24"/>
  <c r="AC162" i="24"/>
  <c r="AC174" i="24"/>
  <c r="AC166" i="24"/>
  <c r="AC158" i="24"/>
  <c r="DQ21" i="36"/>
  <c r="AC170" i="24"/>
  <c r="DC24" i="36"/>
  <c r="DC26" i="36"/>
  <c r="AL24" i="36"/>
  <c r="AL26" i="36"/>
  <c r="CZ24" i="36"/>
  <c r="CZ26" i="36"/>
  <c r="DQ24" i="36"/>
  <c r="DQ26" i="36"/>
  <c r="DC14" i="36"/>
  <c r="DC25" i="36"/>
  <c r="AL14" i="36"/>
  <c r="AL25" i="36"/>
  <c r="CZ14" i="36"/>
  <c r="CZ25" i="36"/>
  <c r="DQ14" i="36"/>
  <c r="DQ25" i="36"/>
  <c r="AL12" i="36"/>
  <c r="AL52" i="36"/>
  <c r="CZ12" i="36"/>
  <c r="CZ52" i="36"/>
  <c r="DC12" i="36"/>
  <c r="DC52" i="36"/>
  <c r="DQ52" i="36"/>
  <c r="DQ11" i="36"/>
  <c r="DQ12" i="36"/>
  <c r="DC7" i="36"/>
  <c r="DC11" i="36"/>
  <c r="AL7" i="36"/>
  <c r="AL11" i="36"/>
  <c r="CZ7" i="36"/>
  <c r="CZ11" i="36"/>
  <c r="DQ8" i="36"/>
  <c r="DQ7" i="36"/>
  <c r="DC9" i="36"/>
  <c r="DC8" i="36"/>
  <c r="CZ9" i="36"/>
  <c r="CZ8" i="36"/>
  <c r="AL9" i="36"/>
  <c r="AL8" i="36"/>
  <c r="DQ10" i="36"/>
  <c r="DQ9" i="36"/>
  <c r="CZ20" i="36"/>
  <c r="CZ10" i="36"/>
  <c r="AL20" i="36"/>
  <c r="AL10" i="36"/>
  <c r="DC20" i="36"/>
  <c r="DC10" i="36"/>
  <c r="DQ18" i="36"/>
  <c r="DQ20" i="36"/>
  <c r="AL16" i="36"/>
  <c r="AL18" i="36"/>
  <c r="CZ16" i="36"/>
  <c r="CZ18" i="36"/>
  <c r="DC16" i="36"/>
  <c r="DC18" i="36"/>
  <c r="DQ17" i="36"/>
  <c r="DQ16" i="36"/>
  <c r="CZ19" i="36"/>
  <c r="CZ17" i="36"/>
  <c r="AL19" i="36"/>
  <c r="AL17" i="36"/>
  <c r="DC19" i="36"/>
  <c r="DC17" i="36"/>
  <c r="DQ22" i="36"/>
  <c r="DQ19" i="36"/>
  <c r="AL37" i="36"/>
  <c r="AL22" i="36"/>
  <c r="DC37" i="36"/>
  <c r="DC22" i="36"/>
  <c r="CZ37" i="36"/>
  <c r="CZ22" i="36"/>
  <c r="DQ37" i="36"/>
  <c r="AL35" i="36"/>
  <c r="AL36" i="36"/>
  <c r="CZ35" i="36"/>
  <c r="CZ36" i="36"/>
  <c r="DC35" i="36"/>
  <c r="DC36" i="36"/>
  <c r="DQ36" i="36"/>
  <c r="DQ35" i="36"/>
  <c r="AL31" i="36"/>
  <c r="AL34" i="36"/>
  <c r="CZ31" i="36"/>
  <c r="CZ34" i="36"/>
  <c r="DC31" i="36"/>
  <c r="DC34" i="36"/>
  <c r="DQ31" i="36"/>
  <c r="DQ34" i="36"/>
  <c r="AL32" i="36"/>
  <c r="DC32" i="36"/>
  <c r="CZ32" i="36"/>
  <c r="DQ32" i="36"/>
  <c r="CZ30" i="36"/>
  <c r="CZ33" i="36"/>
  <c r="DC30" i="36"/>
  <c r="DC33" i="36"/>
  <c r="AL30" i="36"/>
  <c r="AL33" i="36"/>
  <c r="DQ30" i="36"/>
  <c r="DQ33" i="36"/>
  <c r="DC29" i="36"/>
  <c r="DC28" i="36"/>
  <c r="AL29" i="36"/>
  <c r="AL28" i="36"/>
  <c r="CZ29" i="36"/>
  <c r="CZ28" i="36"/>
  <c r="DQ29" i="36"/>
  <c r="DQ28" i="36"/>
  <c r="DQ2" i="31"/>
  <c r="DQ2" i="36" s="1"/>
  <c r="CZ2" i="31"/>
  <c r="CZ2" i="36" s="1"/>
  <c r="AL2" i="31"/>
  <c r="DC2" i="31"/>
  <c r="DC2" i="36" s="1"/>
  <c r="Z8" i="31"/>
  <c r="V9" i="33"/>
  <c r="S9" i="33"/>
  <c r="C8" i="31"/>
  <c r="DN8" i="31"/>
  <c r="BH82" i="33"/>
  <c r="DD8" i="31"/>
  <c r="CV8" i="31"/>
  <c r="Q126" i="24" s="1"/>
  <c r="T8" i="31"/>
  <c r="F7" i="32" s="1"/>
  <c r="AG9" i="33"/>
  <c r="Q13" i="26"/>
  <c r="CC39" i="26" s="1"/>
  <c r="CD39" i="26" s="1"/>
  <c r="CE48" i="26" s="1"/>
  <c r="CF48" i="26" s="1"/>
  <c r="DU8" i="31"/>
  <c r="T13" i="26"/>
  <c r="DV8" i="31"/>
  <c r="DT8" i="31"/>
  <c r="C152" i="45" l="1"/>
  <c r="DD39" i="36"/>
  <c r="DD15" i="36"/>
  <c r="DT39" i="36"/>
  <c r="DT15" i="36"/>
  <c r="DN39" i="36"/>
  <c r="DN15" i="36"/>
  <c r="DU39" i="36"/>
  <c r="DU15" i="36"/>
  <c r="C39" i="36"/>
  <c r="C15" i="36"/>
  <c r="DV39" i="36"/>
  <c r="DV15" i="36"/>
  <c r="Z39" i="36"/>
  <c r="Z15" i="36"/>
  <c r="F14" i="32"/>
  <c r="T15" i="36"/>
  <c r="Q154" i="24"/>
  <c r="CV15" i="36"/>
  <c r="F27" i="32"/>
  <c r="F28" i="32"/>
  <c r="Q206" i="24"/>
  <c r="Q210" i="24"/>
  <c r="Q194" i="24"/>
  <c r="Q198" i="24"/>
  <c r="F38" i="32"/>
  <c r="T39" i="36"/>
  <c r="Q190" i="24"/>
  <c r="Q250" i="24"/>
  <c r="CV39" i="36"/>
  <c r="DU21" i="36"/>
  <c r="DU23" i="36"/>
  <c r="Z21" i="36"/>
  <c r="Z23" i="36"/>
  <c r="F22" i="32"/>
  <c r="T23" i="36"/>
  <c r="CU8" i="31"/>
  <c r="CU15" i="36" s="1"/>
  <c r="Q186" i="24"/>
  <c r="CV23" i="36"/>
  <c r="DD21" i="36"/>
  <c r="DD23" i="36"/>
  <c r="DT21" i="36"/>
  <c r="DT23" i="36"/>
  <c r="DN21" i="36"/>
  <c r="DN23" i="36"/>
  <c r="C21" i="36"/>
  <c r="C23" i="36"/>
  <c r="DV21" i="36"/>
  <c r="DV23" i="36"/>
  <c r="Q182" i="24"/>
  <c r="Q178" i="24"/>
  <c r="F15" i="32"/>
  <c r="F21" i="32"/>
  <c r="Q162" i="24"/>
  <c r="Q174" i="24"/>
  <c r="Q166" i="24"/>
  <c r="Q158" i="24"/>
  <c r="CV21" i="36"/>
  <c r="Q170" i="24"/>
  <c r="F17" i="32"/>
  <c r="F16" i="32"/>
  <c r="CK10" i="26"/>
  <c r="CT13" i="26"/>
  <c r="CS39" i="26"/>
  <c r="F19" i="32"/>
  <c r="CJ39" i="26"/>
  <c r="CP82" i="33" s="1"/>
  <c r="CP85" i="33" s="1"/>
  <c r="F20" i="32"/>
  <c r="T21" i="36"/>
  <c r="F25" i="32"/>
  <c r="T26" i="36"/>
  <c r="DV24" i="36"/>
  <c r="DV26" i="36"/>
  <c r="Z24" i="36"/>
  <c r="Z26" i="36"/>
  <c r="DU24" i="36"/>
  <c r="DU26" i="36"/>
  <c r="CV24" i="36"/>
  <c r="CV26" i="36"/>
  <c r="DT24" i="36"/>
  <c r="DT26" i="36"/>
  <c r="DD24" i="36"/>
  <c r="DD26" i="36"/>
  <c r="DN24" i="36"/>
  <c r="DN26" i="36"/>
  <c r="C24" i="36"/>
  <c r="C26" i="36"/>
  <c r="F24" i="32"/>
  <c r="F23" i="32"/>
  <c r="T24" i="36"/>
  <c r="DD14" i="36"/>
  <c r="DD25" i="36"/>
  <c r="DT14" i="36"/>
  <c r="DT25" i="36"/>
  <c r="DV14" i="36"/>
  <c r="DV25" i="36"/>
  <c r="Z14" i="36"/>
  <c r="Z25" i="36"/>
  <c r="CV14" i="36"/>
  <c r="CV25" i="36"/>
  <c r="DN14" i="36"/>
  <c r="DN25" i="36"/>
  <c r="DU14" i="36"/>
  <c r="DU25" i="36"/>
  <c r="F13" i="32"/>
  <c r="T14" i="36"/>
  <c r="C12" i="36"/>
  <c r="C14" i="36"/>
  <c r="F9" i="32"/>
  <c r="F8" i="32"/>
  <c r="DU12" i="36"/>
  <c r="DU52" i="36"/>
  <c r="CV52" i="36"/>
  <c r="DN12" i="36"/>
  <c r="DN52" i="36"/>
  <c r="DD12" i="36"/>
  <c r="DD52" i="36"/>
  <c r="DT12" i="36"/>
  <c r="DT52" i="36"/>
  <c r="DV12" i="36"/>
  <c r="DV52" i="36"/>
  <c r="Z12" i="36"/>
  <c r="Z52" i="36"/>
  <c r="CV11" i="36"/>
  <c r="CV12" i="36"/>
  <c r="T12" i="36"/>
  <c r="DU7" i="36"/>
  <c r="DU11" i="36"/>
  <c r="DD7" i="36"/>
  <c r="DD11" i="36"/>
  <c r="DN7" i="36"/>
  <c r="DN11" i="36"/>
  <c r="C11" i="36"/>
  <c r="DT7" i="36"/>
  <c r="DT11" i="36"/>
  <c r="T11" i="36"/>
  <c r="DV7" i="36"/>
  <c r="DV11" i="36"/>
  <c r="Z7" i="36"/>
  <c r="Z11" i="36"/>
  <c r="CV8" i="36"/>
  <c r="CV7" i="36"/>
  <c r="Z9" i="36"/>
  <c r="Z8" i="36"/>
  <c r="C9" i="36"/>
  <c r="C8" i="36"/>
  <c r="DN9" i="36"/>
  <c r="DN8" i="36"/>
  <c r="DD9" i="36"/>
  <c r="DD8" i="36"/>
  <c r="T8" i="36"/>
  <c r="DU9" i="36"/>
  <c r="DU8" i="36"/>
  <c r="DV9" i="36"/>
  <c r="DV8" i="36"/>
  <c r="DT9" i="36"/>
  <c r="DT8" i="36"/>
  <c r="CV10" i="36"/>
  <c r="CV9" i="36"/>
  <c r="T9" i="36"/>
  <c r="DN20" i="36"/>
  <c r="DN10" i="36"/>
  <c r="DU20" i="36"/>
  <c r="DU10" i="36"/>
  <c r="C20" i="36"/>
  <c r="C10" i="36"/>
  <c r="DD20" i="36"/>
  <c r="DD10" i="36"/>
  <c r="Z20" i="36"/>
  <c r="Z10" i="36"/>
  <c r="DT20" i="36"/>
  <c r="DT10" i="36"/>
  <c r="DV20" i="36"/>
  <c r="DV10" i="36"/>
  <c r="T10" i="36"/>
  <c r="T20" i="36"/>
  <c r="CV18" i="36"/>
  <c r="CV20" i="36"/>
  <c r="DN16" i="36"/>
  <c r="DN18" i="36"/>
  <c r="DT16" i="36"/>
  <c r="DT18" i="36"/>
  <c r="DV16" i="36"/>
  <c r="DV18" i="36"/>
  <c r="T18" i="36"/>
  <c r="C16" i="36"/>
  <c r="C18" i="36"/>
  <c r="DD16" i="36"/>
  <c r="DD18" i="36"/>
  <c r="Z16" i="36"/>
  <c r="Z18" i="36"/>
  <c r="DU16" i="36"/>
  <c r="DU18" i="36"/>
  <c r="CV17" i="36"/>
  <c r="CV16" i="36"/>
  <c r="T16" i="36"/>
  <c r="T17" i="36"/>
  <c r="C17" i="36"/>
  <c r="DU19" i="36"/>
  <c r="DU17" i="36"/>
  <c r="DV19" i="36"/>
  <c r="DV17" i="36"/>
  <c r="DD19" i="36"/>
  <c r="DD17" i="36"/>
  <c r="Z19" i="36"/>
  <c r="Z17" i="36"/>
  <c r="DN19" i="36"/>
  <c r="DN17" i="36"/>
  <c r="DT19" i="36"/>
  <c r="DT17" i="36"/>
  <c r="CV22" i="36"/>
  <c r="CV19" i="36"/>
  <c r="DV37" i="36"/>
  <c r="DV22" i="36"/>
  <c r="T22" i="36"/>
  <c r="DT37" i="36"/>
  <c r="DT22" i="36"/>
  <c r="C37" i="36"/>
  <c r="C22" i="36"/>
  <c r="DU37" i="36"/>
  <c r="DU22" i="36"/>
  <c r="DD37" i="36"/>
  <c r="DD22" i="36"/>
  <c r="Z37" i="36"/>
  <c r="Z22" i="36"/>
  <c r="DN37" i="36"/>
  <c r="DN22" i="36"/>
  <c r="CV37" i="36"/>
  <c r="T36" i="36"/>
  <c r="T37" i="36"/>
  <c r="DD35" i="36"/>
  <c r="DD36" i="36"/>
  <c r="Z35" i="36"/>
  <c r="Z36" i="36"/>
  <c r="DN35" i="36"/>
  <c r="DN36" i="36"/>
  <c r="DT35" i="36"/>
  <c r="DT36" i="36"/>
  <c r="DV35" i="36"/>
  <c r="DV36" i="36"/>
  <c r="C35" i="36"/>
  <c r="C36" i="36"/>
  <c r="DU35" i="36"/>
  <c r="DU36" i="36"/>
  <c r="CV36" i="36"/>
  <c r="T34" i="36"/>
  <c r="T35" i="36"/>
  <c r="CV35" i="36"/>
  <c r="DD31" i="36"/>
  <c r="DD34" i="36"/>
  <c r="Z31" i="36"/>
  <c r="Z34" i="36"/>
  <c r="DV31" i="36"/>
  <c r="DV34" i="36"/>
  <c r="C31" i="36"/>
  <c r="C34" i="36"/>
  <c r="DN31" i="36"/>
  <c r="DN34" i="36"/>
  <c r="DT31" i="36"/>
  <c r="DT34" i="36"/>
  <c r="DU31" i="36"/>
  <c r="DU34" i="36"/>
  <c r="CV31" i="36"/>
  <c r="CV34" i="36"/>
  <c r="T32" i="36"/>
  <c r="T31" i="36"/>
  <c r="Z32" i="36"/>
  <c r="DN32" i="36"/>
  <c r="DT32" i="36"/>
  <c r="DV32" i="36"/>
  <c r="C32" i="36"/>
  <c r="DU32" i="36"/>
  <c r="CV32" i="36"/>
  <c r="DD32" i="36"/>
  <c r="T33" i="36"/>
  <c r="DN30" i="36"/>
  <c r="DN33" i="36"/>
  <c r="DT30" i="36"/>
  <c r="DT33" i="36"/>
  <c r="C30" i="36"/>
  <c r="C33" i="36"/>
  <c r="DV30" i="36"/>
  <c r="DV33" i="36"/>
  <c r="DU30" i="36"/>
  <c r="DU33" i="36"/>
  <c r="DD30" i="36"/>
  <c r="DD33" i="36"/>
  <c r="CV30" i="36"/>
  <c r="CV33" i="36"/>
  <c r="Z30" i="36"/>
  <c r="Z33" i="36"/>
  <c r="T28" i="36"/>
  <c r="T30" i="36"/>
  <c r="DV29" i="36"/>
  <c r="DV28" i="36"/>
  <c r="DD29" i="36"/>
  <c r="DD28" i="36"/>
  <c r="DU29" i="36"/>
  <c r="DU28" i="36"/>
  <c r="C29" i="36"/>
  <c r="CV29" i="36"/>
  <c r="CV28" i="36"/>
  <c r="DN29" i="36"/>
  <c r="DN28" i="36"/>
  <c r="Z29" i="36"/>
  <c r="Z28" i="36"/>
  <c r="DT29" i="36"/>
  <c r="DT28" i="36"/>
  <c r="CC2" i="31"/>
  <c r="CC2" i="36" s="1"/>
  <c r="AL2" i="36"/>
  <c r="AD8" i="31"/>
  <c r="T29" i="36"/>
  <c r="Y73" i="31"/>
  <c r="CI82" i="33"/>
  <c r="CI85" i="33" s="1"/>
  <c r="BP16" i="26"/>
  <c r="CD16" i="26"/>
  <c r="AC13" i="26"/>
  <c r="CD13" i="26"/>
  <c r="Y8" i="31"/>
  <c r="Y15" i="36" s="1"/>
  <c r="BU2" i="31"/>
  <c r="BU2" i="36" s="1"/>
  <c r="CV2" i="31"/>
  <c r="CV2" i="36" s="1"/>
  <c r="CY38" i="40"/>
  <c r="C38" i="40"/>
  <c r="BP13" i="26"/>
  <c r="M18" i="51"/>
  <c r="AU8" i="31"/>
  <c r="AA73" i="31"/>
  <c r="DO56" i="31" s="1"/>
  <c r="K62" i="51"/>
  <c r="K49" i="51"/>
  <c r="AE8" i="31"/>
  <c r="AA8" i="31"/>
  <c r="CU21" i="36"/>
  <c r="AF8" i="31"/>
  <c r="AS9" i="33"/>
  <c r="AF9" i="33"/>
  <c r="AO13" i="26"/>
  <c r="AO16" i="26"/>
  <c r="AC16" i="26"/>
  <c r="AG8" i="31"/>
  <c r="CB9" i="33"/>
  <c r="BW16" i="26"/>
  <c r="BW13" i="26"/>
  <c r="AX13" i="26"/>
  <c r="BO39" i="26"/>
  <c r="BV39" i="26"/>
  <c r="BU9" i="33"/>
  <c r="BP9" i="33"/>
  <c r="BE13" i="26"/>
  <c r="BE16" i="26"/>
  <c r="BD39" i="26"/>
  <c r="BI9" i="33"/>
  <c r="AP39" i="26"/>
  <c r="AW39" i="26"/>
  <c r="BB9" i="33"/>
  <c r="AU9" i="33"/>
  <c r="AX16" i="26"/>
  <c r="AQ16" i="26"/>
  <c r="AQ13" i="26"/>
  <c r="AH8" i="31"/>
  <c r="DD2" i="31"/>
  <c r="DD2" i="36" s="1"/>
  <c r="EO2" i="31"/>
  <c r="EO2" i="36" s="1"/>
  <c r="BK16" i="26"/>
  <c r="Z9" i="33"/>
  <c r="C9" i="33"/>
  <c r="DW8" i="31"/>
  <c r="BZ8" i="31"/>
  <c r="C153" i="45" l="1"/>
  <c r="AE39" i="36"/>
  <c r="AE15" i="36"/>
  <c r="AH39" i="36"/>
  <c r="AH15" i="36"/>
  <c r="AG39" i="36"/>
  <c r="AG15" i="36"/>
  <c r="AD39" i="36"/>
  <c r="AD15" i="36"/>
  <c r="AA39" i="36"/>
  <c r="AA15" i="36"/>
  <c r="BZ39" i="36"/>
  <c r="BZ15" i="36"/>
  <c r="AU39" i="36"/>
  <c r="AU15" i="36"/>
  <c r="DW39" i="36"/>
  <c r="DW15" i="36"/>
  <c r="AF39" i="36"/>
  <c r="AF15" i="36"/>
  <c r="Y23" i="36"/>
  <c r="Y39" i="36"/>
  <c r="CU23" i="36"/>
  <c r="CU39" i="36"/>
  <c r="AU21" i="36"/>
  <c r="AU23" i="36"/>
  <c r="DW21" i="36"/>
  <c r="DW23" i="36"/>
  <c r="BZ21" i="36"/>
  <c r="BZ23" i="36"/>
  <c r="AA21" i="36"/>
  <c r="AA23" i="36"/>
  <c r="AD21" i="36"/>
  <c r="AD23" i="36"/>
  <c r="AF21" i="36"/>
  <c r="AF23" i="36"/>
  <c r="AE21" i="36"/>
  <c r="AE23" i="36"/>
  <c r="AH21" i="36"/>
  <c r="AH23" i="36"/>
  <c r="AG21" i="36"/>
  <c r="AG23" i="36"/>
  <c r="CT39" i="26"/>
  <c r="CY82" i="33" s="1"/>
  <c r="CK39" i="26"/>
  <c r="CL48" i="26" s="1"/>
  <c r="CM48" i="26" s="1"/>
  <c r="Y26" i="36"/>
  <c r="Y21" i="36"/>
  <c r="AE24" i="36"/>
  <c r="AE26" i="36"/>
  <c r="AD24" i="36"/>
  <c r="AD26" i="36"/>
  <c r="AF24" i="36"/>
  <c r="AF26" i="36"/>
  <c r="AU24" i="36"/>
  <c r="AU26" i="36"/>
  <c r="AG24" i="36"/>
  <c r="AG26" i="36"/>
  <c r="CU24" i="36"/>
  <c r="CU26" i="36"/>
  <c r="BZ24" i="36"/>
  <c r="BZ26" i="36"/>
  <c r="DW24" i="36"/>
  <c r="DW26" i="36"/>
  <c r="AH24" i="36"/>
  <c r="AH26" i="36"/>
  <c r="AA24" i="36"/>
  <c r="AA26" i="36"/>
  <c r="Y14" i="36"/>
  <c r="Y24" i="36"/>
  <c r="DW14" i="36"/>
  <c r="DW25" i="36"/>
  <c r="CU14" i="36"/>
  <c r="CU25" i="36"/>
  <c r="AG12" i="36"/>
  <c r="AG14" i="36"/>
  <c r="AE12" i="36"/>
  <c r="AE14" i="36"/>
  <c r="AH12" i="36"/>
  <c r="AH14" i="36"/>
  <c r="AA12" i="36"/>
  <c r="AA14" i="36"/>
  <c r="BZ12" i="36"/>
  <c r="BZ14" i="36"/>
  <c r="AU12" i="36"/>
  <c r="AU14" i="36"/>
  <c r="AD12" i="36"/>
  <c r="AD14" i="36"/>
  <c r="AF12" i="36"/>
  <c r="AF14" i="36"/>
  <c r="DW12" i="36"/>
  <c r="DW52" i="36"/>
  <c r="CU12" i="36"/>
  <c r="CU52" i="36"/>
  <c r="Y11" i="36"/>
  <c r="Y12" i="36"/>
  <c r="BZ11" i="36"/>
  <c r="AG11" i="36"/>
  <c r="CU7" i="36"/>
  <c r="CU11" i="36"/>
  <c r="DW7" i="36"/>
  <c r="DW11" i="36"/>
  <c r="AH11" i="36"/>
  <c r="AD11" i="36"/>
  <c r="AA11" i="36"/>
  <c r="AE11" i="36"/>
  <c r="AF11" i="36"/>
  <c r="AU11" i="36"/>
  <c r="Y8" i="36"/>
  <c r="AD9" i="36"/>
  <c r="AD8" i="36"/>
  <c r="AU9" i="36"/>
  <c r="AU8" i="36"/>
  <c r="AE9" i="36"/>
  <c r="AE8" i="36"/>
  <c r="AA9" i="36"/>
  <c r="AA8" i="36"/>
  <c r="CU9" i="36"/>
  <c r="CU8" i="36"/>
  <c r="AF9" i="36"/>
  <c r="AF8" i="36"/>
  <c r="AG9" i="36"/>
  <c r="AG8" i="36"/>
  <c r="AH9" i="36"/>
  <c r="AH8" i="36"/>
  <c r="DW9" i="36"/>
  <c r="DW8" i="36"/>
  <c r="BZ9" i="36"/>
  <c r="BZ8" i="36"/>
  <c r="Y10" i="36"/>
  <c r="Y9" i="36"/>
  <c r="BZ20" i="36"/>
  <c r="BZ10" i="36"/>
  <c r="AG20" i="36"/>
  <c r="AG10" i="36"/>
  <c r="DW20" i="36"/>
  <c r="DW10" i="36"/>
  <c r="CU20" i="36"/>
  <c r="CU10" i="36"/>
  <c r="AH20" i="36"/>
  <c r="AH10" i="36"/>
  <c r="AE20" i="36"/>
  <c r="AE10" i="36"/>
  <c r="AD20" i="36"/>
  <c r="AD10" i="36"/>
  <c r="AA20" i="36"/>
  <c r="AA10" i="36"/>
  <c r="AF20" i="36"/>
  <c r="AF10" i="36"/>
  <c r="AU20" i="36"/>
  <c r="AU10" i="36"/>
  <c r="Y18" i="36"/>
  <c r="Y20" i="36"/>
  <c r="BZ16" i="36"/>
  <c r="BZ18" i="36"/>
  <c r="DW16" i="36"/>
  <c r="DW18" i="36"/>
  <c r="AA16" i="36"/>
  <c r="AA18" i="36"/>
  <c r="AE16" i="36"/>
  <c r="AE18" i="36"/>
  <c r="AD16" i="36"/>
  <c r="AD18" i="36"/>
  <c r="AH16" i="36"/>
  <c r="AH18" i="36"/>
  <c r="AU16" i="36"/>
  <c r="AU18" i="36"/>
  <c r="CU16" i="36"/>
  <c r="CU18" i="36"/>
  <c r="AF16" i="36"/>
  <c r="AF18" i="36"/>
  <c r="AG16" i="36"/>
  <c r="AG18" i="36"/>
  <c r="Y17" i="36"/>
  <c r="Y16" i="36"/>
  <c r="BZ17" i="36"/>
  <c r="DW19" i="36"/>
  <c r="DW17" i="36"/>
  <c r="CU19" i="36"/>
  <c r="CU17" i="36"/>
  <c r="AA17" i="36"/>
  <c r="AE17" i="36"/>
  <c r="AH17" i="36"/>
  <c r="AD17" i="36"/>
  <c r="AF17" i="36"/>
  <c r="AU17" i="36"/>
  <c r="AG17" i="36"/>
  <c r="Y22" i="36"/>
  <c r="BZ37" i="36"/>
  <c r="BZ22" i="36"/>
  <c r="DW37" i="36"/>
  <c r="DW22" i="36"/>
  <c r="AU37" i="36"/>
  <c r="AU22" i="36"/>
  <c r="CU37" i="36"/>
  <c r="CU22" i="36"/>
  <c r="AH37" i="36"/>
  <c r="AH22" i="36"/>
  <c r="AA37" i="36"/>
  <c r="AA22" i="36"/>
  <c r="AF37" i="36"/>
  <c r="AF22" i="36"/>
  <c r="AE37" i="36"/>
  <c r="AE22" i="36"/>
  <c r="AD37" i="36"/>
  <c r="AD22" i="36"/>
  <c r="AG37" i="36"/>
  <c r="AG22" i="36"/>
  <c r="Y36" i="36"/>
  <c r="Y37" i="36"/>
  <c r="CU35" i="36"/>
  <c r="CU36" i="36"/>
  <c r="DW35" i="36"/>
  <c r="DW36" i="36"/>
  <c r="AF35" i="36"/>
  <c r="AF36" i="36"/>
  <c r="AD35" i="36"/>
  <c r="AD36" i="36"/>
  <c r="AU35" i="36"/>
  <c r="AU36" i="36"/>
  <c r="BZ35" i="36"/>
  <c r="BZ36" i="36"/>
  <c r="AH35" i="36"/>
  <c r="AH36" i="36"/>
  <c r="AA35" i="36"/>
  <c r="AA36" i="36"/>
  <c r="AE35" i="36"/>
  <c r="AE36" i="36"/>
  <c r="AG35" i="36"/>
  <c r="AG36" i="36"/>
  <c r="Y34" i="36"/>
  <c r="Y35" i="36"/>
  <c r="AA31" i="36"/>
  <c r="AA34" i="36"/>
  <c r="AE31" i="36"/>
  <c r="AE34" i="36"/>
  <c r="AF31" i="36"/>
  <c r="AF34" i="36"/>
  <c r="BZ31" i="36"/>
  <c r="BZ34" i="36"/>
  <c r="DW31" i="36"/>
  <c r="DW34" i="36"/>
  <c r="CU31" i="36"/>
  <c r="CU34" i="36"/>
  <c r="AH31" i="36"/>
  <c r="AH34" i="36"/>
  <c r="AD31" i="36"/>
  <c r="AD34" i="36"/>
  <c r="AU31" i="36"/>
  <c r="AU34" i="36"/>
  <c r="AG31" i="36"/>
  <c r="AG34" i="36"/>
  <c r="Y32" i="36"/>
  <c r="Y31" i="36"/>
  <c r="AF32" i="36"/>
  <c r="BZ32" i="36"/>
  <c r="DW32" i="36"/>
  <c r="AH32" i="36"/>
  <c r="AA32" i="36"/>
  <c r="AE32" i="36"/>
  <c r="AU32" i="36"/>
  <c r="AG32" i="36"/>
  <c r="AD32" i="36"/>
  <c r="CU32" i="36"/>
  <c r="Y33" i="36"/>
  <c r="AU30" i="36"/>
  <c r="AU33" i="36"/>
  <c r="AH30" i="36"/>
  <c r="AH33" i="36"/>
  <c r="AA30" i="36"/>
  <c r="AA33" i="36"/>
  <c r="AE30" i="36"/>
  <c r="AE33" i="36"/>
  <c r="AD30" i="36"/>
  <c r="AD33" i="36"/>
  <c r="AF30" i="36"/>
  <c r="AF33" i="36"/>
  <c r="AG30" i="36"/>
  <c r="AG33" i="36"/>
  <c r="BZ30" i="36"/>
  <c r="BZ33" i="36"/>
  <c r="DW30" i="36"/>
  <c r="DW33" i="36"/>
  <c r="CU30" i="36"/>
  <c r="CU33" i="36"/>
  <c r="Y30" i="36"/>
  <c r="AD29" i="36"/>
  <c r="AF29" i="36"/>
  <c r="AU29" i="36"/>
  <c r="AG29" i="36"/>
  <c r="BZ29" i="36"/>
  <c r="DW29" i="36"/>
  <c r="DW28" i="36"/>
  <c r="AH29" i="36"/>
  <c r="AA29" i="36"/>
  <c r="CU29" i="36"/>
  <c r="CU28" i="36"/>
  <c r="AE29" i="36"/>
  <c r="CB8" i="31"/>
  <c r="Y29" i="36"/>
  <c r="Y64" i="31"/>
  <c r="CW38" i="40"/>
  <c r="DU38" i="40" s="1"/>
  <c r="CW85" i="40"/>
  <c r="DU85" i="40" s="1"/>
  <c r="DW38" i="40"/>
  <c r="AA9" i="33" s="1"/>
  <c r="BM8" i="31"/>
  <c r="N7" i="32" s="1"/>
  <c r="AE9" i="33"/>
  <c r="DO55" i="31"/>
  <c r="DO33" i="31"/>
  <c r="AA31" i="32" s="1"/>
  <c r="DO9" i="31"/>
  <c r="DO53" i="31"/>
  <c r="AA55" i="32" s="1"/>
  <c r="DO22" i="31"/>
  <c r="DO8" i="31"/>
  <c r="AA64" i="31"/>
  <c r="AB9" i="33"/>
  <c r="AC9" i="33" s="1"/>
  <c r="M49" i="51"/>
  <c r="M62" i="51"/>
  <c r="M14" i="51"/>
  <c r="M13" i="51"/>
  <c r="AC8" i="31"/>
  <c r="BK39" i="26"/>
  <c r="BD40" i="26"/>
  <c r="BD2" i="26"/>
  <c r="BY8" i="31"/>
  <c r="C154" i="45" l="1"/>
  <c r="AA32" i="32"/>
  <c r="BM15" i="36"/>
  <c r="N14" i="32"/>
  <c r="CB39" i="36"/>
  <c r="CB15" i="36"/>
  <c r="AC39" i="36"/>
  <c r="AC15" i="36"/>
  <c r="BY39" i="36"/>
  <c r="BY15" i="36"/>
  <c r="AA35" i="32"/>
  <c r="AA30" i="32"/>
  <c r="N28" i="32"/>
  <c r="N38" i="32"/>
  <c r="BM39" i="36"/>
  <c r="BY21" i="36"/>
  <c r="BY23" i="36"/>
  <c r="N22" i="32"/>
  <c r="BM23" i="36"/>
  <c r="AC21" i="36"/>
  <c r="AC23" i="36"/>
  <c r="CB21" i="36"/>
  <c r="CB23" i="36"/>
  <c r="AA15" i="32"/>
  <c r="AA27" i="32"/>
  <c r="AA7" i="32"/>
  <c r="N15" i="32"/>
  <c r="N21" i="32"/>
  <c r="AA45" i="32"/>
  <c r="AA46" i="32"/>
  <c r="AA11" i="32"/>
  <c r="AA10" i="32"/>
  <c r="AA14" i="32"/>
  <c r="AA12" i="32"/>
  <c r="AA28" i="32"/>
  <c r="AA26" i="32"/>
  <c r="AA36" i="32"/>
  <c r="AA29" i="32"/>
  <c r="AA42" i="32"/>
  <c r="AA37" i="32"/>
  <c r="AA53" i="32"/>
  <c r="N17" i="32"/>
  <c r="N16" i="32"/>
  <c r="CU48" i="26"/>
  <c r="CW39" i="26" s="1"/>
  <c r="DA82" i="33" s="1"/>
  <c r="AA54" i="32"/>
  <c r="N19" i="32"/>
  <c r="CN39" i="26"/>
  <c r="AA16" i="32"/>
  <c r="AA18" i="32"/>
  <c r="BM21" i="36"/>
  <c r="N20" i="32"/>
  <c r="AA40" i="32"/>
  <c r="AA41" i="32"/>
  <c r="BY24" i="36"/>
  <c r="BY26" i="36"/>
  <c r="N25" i="32"/>
  <c r="BM26" i="36"/>
  <c r="AA24" i="32"/>
  <c r="AA25" i="32"/>
  <c r="AC24" i="36"/>
  <c r="AC26" i="36"/>
  <c r="CB24" i="36"/>
  <c r="CB26" i="36"/>
  <c r="AA17" i="32"/>
  <c r="AA20" i="32"/>
  <c r="AA38" i="32"/>
  <c r="AA39" i="32"/>
  <c r="AA21" i="32"/>
  <c r="AA19" i="32"/>
  <c r="N24" i="32"/>
  <c r="N23" i="32"/>
  <c r="BM24" i="36"/>
  <c r="AC12" i="36"/>
  <c r="AC14" i="36"/>
  <c r="AA8" i="32"/>
  <c r="AA13" i="32"/>
  <c r="CB12" i="36"/>
  <c r="CB14" i="36"/>
  <c r="BY12" i="36"/>
  <c r="BY14" i="36"/>
  <c r="N13" i="32"/>
  <c r="BM14" i="36"/>
  <c r="AA48" i="32"/>
  <c r="AA47" i="32"/>
  <c r="AA44" i="32"/>
  <c r="AA43" i="32"/>
  <c r="AA51" i="32"/>
  <c r="AA50" i="32"/>
  <c r="AA23" i="32"/>
  <c r="AA22" i="32"/>
  <c r="N9" i="32"/>
  <c r="N8" i="32"/>
  <c r="AA52" i="32"/>
  <c r="DO12" i="36"/>
  <c r="AA9" i="32"/>
  <c r="DO55" i="36"/>
  <c r="BM12" i="36"/>
  <c r="CB11" i="36"/>
  <c r="BM11" i="36"/>
  <c r="DO7" i="36"/>
  <c r="DO11" i="36"/>
  <c r="AC11" i="36"/>
  <c r="BY11" i="36"/>
  <c r="DO49" i="36"/>
  <c r="CB9" i="36"/>
  <c r="CB8" i="36"/>
  <c r="BM8" i="36"/>
  <c r="DO8" i="36"/>
  <c r="AC9" i="36"/>
  <c r="AC8" i="36"/>
  <c r="BY9" i="36"/>
  <c r="BY8" i="36"/>
  <c r="BM9" i="36"/>
  <c r="DO21" i="36"/>
  <c r="DO10" i="36"/>
  <c r="DO9" i="36"/>
  <c r="AC20" i="36"/>
  <c r="AC10" i="36"/>
  <c r="BM10" i="36"/>
  <c r="CB20" i="36"/>
  <c r="CB10" i="36"/>
  <c r="BY20" i="36"/>
  <c r="BY10" i="36"/>
  <c r="DO15" i="36"/>
  <c r="DO20" i="36"/>
  <c r="BM20" i="36"/>
  <c r="DO18" i="36"/>
  <c r="BY16" i="36"/>
  <c r="BY18" i="36"/>
  <c r="CB16" i="36"/>
  <c r="CB18" i="36"/>
  <c r="AC16" i="36"/>
  <c r="AC18" i="36"/>
  <c r="BM18" i="36"/>
  <c r="BM16" i="36"/>
  <c r="DO17" i="36"/>
  <c r="DO16" i="36"/>
  <c r="BY17" i="36"/>
  <c r="CB17" i="36"/>
  <c r="AC17" i="36"/>
  <c r="BM17" i="36"/>
  <c r="DO19" i="36"/>
  <c r="CB37" i="36"/>
  <c r="CB22" i="36"/>
  <c r="BM22" i="36"/>
  <c r="BY37" i="36"/>
  <c r="BY22" i="36"/>
  <c r="AC37" i="36"/>
  <c r="AC22" i="36"/>
  <c r="DO22" i="36"/>
  <c r="DO39" i="36"/>
  <c r="DO37" i="36"/>
  <c r="BM36" i="36"/>
  <c r="BM37" i="36"/>
  <c r="DO41" i="36"/>
  <c r="BY35" i="36"/>
  <c r="BY36" i="36"/>
  <c r="CB35" i="36"/>
  <c r="CB36" i="36"/>
  <c r="AC35" i="36"/>
  <c r="AC36" i="36"/>
  <c r="BM34" i="36"/>
  <c r="BM35" i="36"/>
  <c r="DO36" i="36"/>
  <c r="DO40" i="36"/>
  <c r="CB31" i="36"/>
  <c r="CB34" i="36"/>
  <c r="AC31" i="36"/>
  <c r="AC34" i="36"/>
  <c r="BY31" i="36"/>
  <c r="BY34" i="36"/>
  <c r="DO35" i="36"/>
  <c r="DO38" i="36"/>
  <c r="DO46" i="36"/>
  <c r="DO43" i="36"/>
  <c r="DO42" i="36"/>
  <c r="DO33" i="36"/>
  <c r="DO34" i="36"/>
  <c r="DO24" i="36"/>
  <c r="BM32" i="36"/>
  <c r="BM31" i="36"/>
  <c r="DO25" i="36"/>
  <c r="DO23" i="36"/>
  <c r="CB32" i="36"/>
  <c r="AC32" i="36"/>
  <c r="BY32" i="36"/>
  <c r="DO48" i="36"/>
  <c r="DO27" i="36"/>
  <c r="DO26" i="36"/>
  <c r="BY30" i="36"/>
  <c r="BY33" i="36"/>
  <c r="DO32" i="36"/>
  <c r="AC30" i="36"/>
  <c r="AC33" i="36"/>
  <c r="CB30" i="36"/>
  <c r="CB33" i="36"/>
  <c r="BM30" i="36"/>
  <c r="BM33" i="36"/>
  <c r="DO51" i="36"/>
  <c r="DO52" i="36"/>
  <c r="DO13" i="36"/>
  <c r="DO14" i="36"/>
  <c r="DO45" i="36"/>
  <c r="DO44" i="36"/>
  <c r="DO54" i="36"/>
  <c r="DO53" i="36"/>
  <c r="DO47" i="36"/>
  <c r="DO50" i="36"/>
  <c r="DO29" i="36"/>
  <c r="DO28" i="36"/>
  <c r="DO30" i="36"/>
  <c r="DO31" i="36"/>
  <c r="BY29" i="36"/>
  <c r="CB29" i="36"/>
  <c r="AC29" i="36"/>
  <c r="BM29" i="36"/>
  <c r="AV8" i="31"/>
  <c r="H7" i="32" s="1"/>
  <c r="AV56" i="31"/>
  <c r="AA6" i="32"/>
  <c r="CH8" i="31"/>
  <c r="CF8" i="31"/>
  <c r="AD9" i="33"/>
  <c r="BK40" i="26"/>
  <c r="BD46" i="26"/>
  <c r="BK46" i="26" s="1"/>
  <c r="BD3" i="26"/>
  <c r="BH3" i="33"/>
  <c r="E9" i="33"/>
  <c r="S23" i="26"/>
  <c r="S14" i="26"/>
  <c r="S35" i="26"/>
  <c r="S19" i="26"/>
  <c r="S36" i="26"/>
  <c r="S15" i="26"/>
  <c r="S10" i="26"/>
  <c r="S26" i="26"/>
  <c r="S12" i="26"/>
  <c r="S27" i="26"/>
  <c r="S21" i="26"/>
  <c r="S34" i="26"/>
  <c r="S18" i="26"/>
  <c r="S29" i="26"/>
  <c r="S30" i="26"/>
  <c r="S24" i="26"/>
  <c r="S22" i="26"/>
  <c r="S33" i="26"/>
  <c r="S31" i="26"/>
  <c r="S13" i="26"/>
  <c r="S16" i="26"/>
  <c r="S8" i="26"/>
  <c r="S9" i="26"/>
  <c r="S20" i="26"/>
  <c r="S11" i="26"/>
  <c r="C155" i="45" l="1"/>
  <c r="CH39" i="36"/>
  <c r="CH15" i="36"/>
  <c r="CF39" i="36"/>
  <c r="CF15" i="36"/>
  <c r="CH21" i="36"/>
  <c r="CH23" i="36"/>
  <c r="CF21" i="36"/>
  <c r="CF23" i="36"/>
  <c r="CS41" i="26"/>
  <c r="CS47" i="26" s="1"/>
  <c r="CJ41" i="26"/>
  <c r="CF24" i="36"/>
  <c r="CF26" i="36"/>
  <c r="CH24" i="36"/>
  <c r="CH26" i="36"/>
  <c r="CF12" i="36"/>
  <c r="CF14" i="36"/>
  <c r="CH12" i="36"/>
  <c r="CH14" i="36"/>
  <c r="AB48" i="32"/>
  <c r="AB9" i="32"/>
  <c r="AB52" i="32"/>
  <c r="AB53" i="32"/>
  <c r="AB6" i="32"/>
  <c r="AB23" i="32"/>
  <c r="AB28" i="32"/>
  <c r="AB50" i="32"/>
  <c r="AB38" i="32"/>
  <c r="AB39" i="32"/>
  <c r="AB30" i="32"/>
  <c r="AB24" i="32"/>
  <c r="AB32" i="32"/>
  <c r="AB20" i="32"/>
  <c r="AB11" i="32"/>
  <c r="AB42" i="32"/>
  <c r="AB13" i="32"/>
  <c r="AB36" i="32"/>
  <c r="AB34" i="32"/>
  <c r="AB47" i="32"/>
  <c r="AB35" i="32"/>
  <c r="AB17" i="32"/>
  <c r="AB16" i="32"/>
  <c r="AB15" i="32"/>
  <c r="AB19" i="32"/>
  <c r="AB25" i="32"/>
  <c r="AB55" i="32"/>
  <c r="AB40" i="32"/>
  <c r="AB46" i="32"/>
  <c r="AB18" i="32"/>
  <c r="AB31" i="32"/>
  <c r="AB29" i="32"/>
  <c r="AB8" i="32"/>
  <c r="AB21" i="32"/>
  <c r="AB12" i="32"/>
  <c r="AB26" i="32"/>
  <c r="AB41" i="32"/>
  <c r="AB33" i="32"/>
  <c r="AB22" i="32"/>
  <c r="AB27" i="32"/>
  <c r="AB49" i="32"/>
  <c r="AB10" i="32"/>
  <c r="AB45" i="32"/>
  <c r="AB7" i="32"/>
  <c r="AB37" i="32"/>
  <c r="AB43" i="32"/>
  <c r="AB14" i="32"/>
  <c r="AB54" i="32"/>
  <c r="AB51" i="32"/>
  <c r="AB44" i="32"/>
  <c r="CF11" i="36"/>
  <c r="CH11" i="36"/>
  <c r="AV8" i="36"/>
  <c r="CH9" i="36"/>
  <c r="CH8" i="36"/>
  <c r="CF9" i="36"/>
  <c r="CF8" i="36"/>
  <c r="CH20" i="36"/>
  <c r="CH10" i="36"/>
  <c r="CF20" i="36"/>
  <c r="CF10" i="36"/>
  <c r="CH16" i="36"/>
  <c r="CH18" i="36"/>
  <c r="CF16" i="36"/>
  <c r="CF18" i="36"/>
  <c r="CF17" i="36"/>
  <c r="CH17" i="36"/>
  <c r="CF37" i="36"/>
  <c r="CF22" i="36"/>
  <c r="CH37" i="36"/>
  <c r="CH22" i="36"/>
  <c r="CF35" i="36"/>
  <c r="CF36" i="36"/>
  <c r="CH35" i="36"/>
  <c r="CH36" i="36"/>
  <c r="CF31" i="36"/>
  <c r="CF34" i="36"/>
  <c r="CH31" i="36"/>
  <c r="CH34" i="36"/>
  <c r="CF32" i="36"/>
  <c r="CH32" i="36"/>
  <c r="CF30" i="36"/>
  <c r="CF33" i="36"/>
  <c r="CH30" i="36"/>
  <c r="CH33" i="36"/>
  <c r="CF29" i="36"/>
  <c r="CH29" i="36"/>
  <c r="CC41" i="26"/>
  <c r="B56" i="31"/>
  <c r="CG8" i="31"/>
  <c r="T7" i="32" s="1"/>
  <c r="B43" i="31"/>
  <c r="B28" i="31"/>
  <c r="CI8" i="31"/>
  <c r="V7" i="32" s="1"/>
  <c r="C56" i="33"/>
  <c r="AP41" i="26"/>
  <c r="AP47" i="26" s="1"/>
  <c r="BV41" i="26"/>
  <c r="BV42" i="26" s="1"/>
  <c r="BD41" i="26"/>
  <c r="BO41" i="26"/>
  <c r="BO47" i="26" s="1"/>
  <c r="AW41" i="26"/>
  <c r="AW47" i="26" s="1"/>
  <c r="C156" i="45" l="1"/>
  <c r="B7" i="32"/>
  <c r="AE7" i="32"/>
  <c r="CI15" i="36"/>
  <c r="V14" i="32"/>
  <c r="CG15" i="36"/>
  <c r="T14" i="32"/>
  <c r="V28" i="32"/>
  <c r="T28" i="32"/>
  <c r="CG39" i="36"/>
  <c r="T38" i="32"/>
  <c r="V38" i="32"/>
  <c r="CI39" i="36"/>
  <c r="T22" i="32"/>
  <c r="CG23" i="36"/>
  <c r="CI23" i="36"/>
  <c r="V22" i="32"/>
  <c r="V15" i="32"/>
  <c r="V21" i="32"/>
  <c r="T15" i="32"/>
  <c r="T21" i="32"/>
  <c r="T17" i="32"/>
  <c r="T16" i="32"/>
  <c r="V17" i="32"/>
  <c r="V16" i="32"/>
  <c r="CS48" i="26"/>
  <c r="CS42" i="26"/>
  <c r="V19" i="32"/>
  <c r="T19" i="32"/>
  <c r="CJ42" i="26"/>
  <c r="CJ47" i="26"/>
  <c r="CJ48" i="26" s="1"/>
  <c r="CG21" i="36"/>
  <c r="T20" i="32"/>
  <c r="CI21" i="36"/>
  <c r="V20" i="32"/>
  <c r="V25" i="32"/>
  <c r="CI26" i="36"/>
  <c r="T25" i="32"/>
  <c r="CG26" i="36"/>
  <c r="T24" i="32"/>
  <c r="T23" i="32"/>
  <c r="CG24" i="36"/>
  <c r="V24" i="32"/>
  <c r="V23" i="32"/>
  <c r="CI24" i="36"/>
  <c r="V13" i="32"/>
  <c r="CI14" i="36"/>
  <c r="T13" i="32"/>
  <c r="CG14" i="36"/>
  <c r="T9" i="32"/>
  <c r="T8" i="32"/>
  <c r="V9" i="32"/>
  <c r="V8" i="32"/>
  <c r="CG12" i="36"/>
  <c r="CI12" i="36"/>
  <c r="CG11" i="36"/>
  <c r="CI11" i="36"/>
  <c r="CG8" i="36"/>
  <c r="CI8" i="36"/>
  <c r="CG9" i="36"/>
  <c r="CI9" i="36"/>
  <c r="CI10" i="36"/>
  <c r="CG10" i="36"/>
  <c r="CG20" i="36"/>
  <c r="CI20" i="36"/>
  <c r="CG18" i="36"/>
  <c r="CI18" i="36"/>
  <c r="CG16" i="36"/>
  <c r="CI16" i="36"/>
  <c r="CG17" i="36"/>
  <c r="CI17" i="36"/>
  <c r="CI22" i="36"/>
  <c r="CG22" i="36"/>
  <c r="CG36" i="36"/>
  <c r="CG37" i="36"/>
  <c r="CI36" i="36"/>
  <c r="CI37" i="36"/>
  <c r="CG34" i="36"/>
  <c r="CG35" i="36"/>
  <c r="CI34" i="36"/>
  <c r="CI35" i="36"/>
  <c r="CI32" i="36"/>
  <c r="CI31" i="36"/>
  <c r="CG32" i="36"/>
  <c r="CG31" i="36"/>
  <c r="CI30" i="36"/>
  <c r="CI33" i="36"/>
  <c r="CG30" i="36"/>
  <c r="CG33" i="36"/>
  <c r="CI29" i="36"/>
  <c r="CG29" i="36"/>
  <c r="CC47" i="26"/>
  <c r="CC48" i="26" s="1"/>
  <c r="CC42" i="26"/>
  <c r="BK41" i="26"/>
  <c r="AC56" i="33"/>
  <c r="B13" i="31"/>
  <c r="B47" i="31"/>
  <c r="B15" i="31"/>
  <c r="B29" i="31"/>
  <c r="B14" i="31"/>
  <c r="B16" i="31"/>
  <c r="B45" i="31"/>
  <c r="B51" i="31"/>
  <c r="BX56" i="33"/>
  <c r="CE56" i="33"/>
  <c r="AX56" i="33"/>
  <c r="BL56" i="33"/>
  <c r="BE56" i="33"/>
  <c r="BV47" i="26"/>
  <c r="BD47" i="26"/>
  <c r="B11" i="31"/>
  <c r="C157" i="45" l="1"/>
  <c r="BK47" i="26"/>
  <c r="BE2" i="33"/>
  <c r="BE3" i="33" s="1"/>
  <c r="BE81" i="33"/>
  <c r="BB39" i="26" s="1"/>
  <c r="BX2" i="33"/>
  <c r="BX81" i="33"/>
  <c r="CE81" i="33"/>
  <c r="CE2" i="33"/>
  <c r="BL2" i="33"/>
  <c r="BL3" i="33" s="1"/>
  <c r="BL82" i="33" s="1"/>
  <c r="BL81" i="33"/>
  <c r="AW2" i="26"/>
  <c r="C158" i="45" l="1"/>
  <c r="BX3" i="33"/>
  <c r="CE3" i="33"/>
  <c r="AW4" i="26"/>
  <c r="BA3" i="33"/>
  <c r="AW3" i="26"/>
  <c r="K10" i="20"/>
  <c r="K20" i="20"/>
  <c r="K18" i="20"/>
  <c r="K32" i="20"/>
  <c r="K19" i="20"/>
  <c r="K31" i="20"/>
  <c r="K12" i="20"/>
  <c r="K13" i="20"/>
  <c r="K17" i="20"/>
  <c r="K24" i="20"/>
  <c r="K8" i="20"/>
  <c r="K25" i="20"/>
  <c r="K7" i="20"/>
  <c r="K23" i="20"/>
  <c r="K29" i="20"/>
  <c r="K16" i="20"/>
  <c r="K14" i="20"/>
  <c r="K34" i="20"/>
  <c r="K35" i="20"/>
  <c r="K22" i="20"/>
  <c r="K15" i="20"/>
  <c r="K30" i="20"/>
  <c r="K11" i="20"/>
  <c r="K21" i="20"/>
  <c r="K26" i="20"/>
  <c r="K27" i="20"/>
  <c r="K9" i="20"/>
  <c r="J34" i="20"/>
  <c r="J35" i="20"/>
  <c r="J10" i="20"/>
  <c r="J20" i="20"/>
  <c r="J18" i="20"/>
  <c r="J32" i="20"/>
  <c r="J19" i="20"/>
  <c r="J31" i="20"/>
  <c r="J12" i="20"/>
  <c r="J13" i="20"/>
  <c r="J17" i="20"/>
  <c r="J24" i="20"/>
  <c r="J8" i="20"/>
  <c r="J25" i="20"/>
  <c r="J7" i="20"/>
  <c r="J23" i="20"/>
  <c r="J29" i="20"/>
  <c r="J16" i="20"/>
  <c r="J14" i="20"/>
  <c r="J11" i="20"/>
  <c r="J21" i="20"/>
  <c r="J26" i="20"/>
  <c r="J22" i="20"/>
  <c r="J15" i="20"/>
  <c r="J30" i="20"/>
  <c r="J27" i="20"/>
  <c r="J9" i="20"/>
  <c r="C159" i="45" l="1"/>
  <c r="AR2" i="1"/>
  <c r="AP2" i="54" s="1"/>
  <c r="W20" i="1"/>
  <c r="W11" i="1"/>
  <c r="W22" i="1"/>
  <c r="W35" i="1"/>
  <c r="W14" i="1"/>
  <c r="Y14" i="1" s="1"/>
  <c r="W33" i="1"/>
  <c r="W17" i="1"/>
  <c r="W28" i="1"/>
  <c r="W29" i="1"/>
  <c r="W26" i="1"/>
  <c r="W21" i="1"/>
  <c r="W32" i="1"/>
  <c r="W30" i="1"/>
  <c r="W7" i="1"/>
  <c r="Y7" i="1" s="1"/>
  <c r="W10" i="1"/>
  <c r="W19" i="1"/>
  <c r="W13" i="1"/>
  <c r="W8" i="1"/>
  <c r="W18" i="1"/>
  <c r="W34" i="1"/>
  <c r="Y34" i="1" s="1"/>
  <c r="W12" i="1"/>
  <c r="W15" i="1"/>
  <c r="U19" i="1"/>
  <c r="U13" i="1"/>
  <c r="U8" i="1"/>
  <c r="U18" i="1"/>
  <c r="U25" i="1"/>
  <c r="Y25" i="1" s="1"/>
  <c r="U20" i="1"/>
  <c r="U11" i="1"/>
  <c r="U22" i="1"/>
  <c r="U35" i="1"/>
  <c r="U33" i="1"/>
  <c r="U17" i="1"/>
  <c r="U28" i="1"/>
  <c r="U29" i="1"/>
  <c r="U26" i="1"/>
  <c r="U21" i="1"/>
  <c r="U32" i="1"/>
  <c r="U30" i="1"/>
  <c r="U12" i="1"/>
  <c r="U10" i="1"/>
  <c r="T35" i="26"/>
  <c r="CT35" i="26" s="1"/>
  <c r="BW21" i="26"/>
  <c r="C160" i="45" l="1"/>
  <c r="AO35" i="26"/>
  <c r="CK8" i="26"/>
  <c r="BP35" i="26"/>
  <c r="CD35" i="26"/>
  <c r="Y22" i="1"/>
  <c r="Y11" i="1"/>
  <c r="Y21" i="1"/>
  <c r="Y8" i="1"/>
  <c r="Y26" i="1"/>
  <c r="Y35" i="1"/>
  <c r="Y32" i="1"/>
  <c r="Y28" i="1"/>
  <c r="Y20" i="1"/>
  <c r="Y29" i="1"/>
  <c r="Y33" i="1"/>
  <c r="Y10" i="1"/>
  <c r="Y17" i="1"/>
  <c r="Y12" i="1"/>
  <c r="Y30" i="1"/>
  <c r="Y18" i="1"/>
  <c r="Y15" i="1"/>
  <c r="Y13" i="1"/>
  <c r="Y19" i="1"/>
  <c r="U31" i="54"/>
  <c r="U27" i="54"/>
  <c r="W31" i="54"/>
  <c r="U10" i="54"/>
  <c r="W26" i="54"/>
  <c r="U26" i="54"/>
  <c r="W9" i="54"/>
  <c r="U13" i="54"/>
  <c r="U28" i="54"/>
  <c r="W28" i="54"/>
  <c r="W10" i="54"/>
  <c r="W27" i="54"/>
  <c r="U9" i="54"/>
  <c r="W8" i="54"/>
  <c r="W34" i="54"/>
  <c r="W13" i="54"/>
  <c r="U8" i="54"/>
  <c r="U16" i="54"/>
  <c r="U19" i="54"/>
  <c r="U20" i="54"/>
  <c r="W17" i="54"/>
  <c r="W19" i="54"/>
  <c r="U17" i="54"/>
  <c r="U21" i="54"/>
  <c r="W21" i="54"/>
  <c r="W20" i="54"/>
  <c r="U11" i="54"/>
  <c r="W12" i="54"/>
  <c r="W25" i="54"/>
  <c r="U24" i="54"/>
  <c r="U32" i="54"/>
  <c r="W11" i="54"/>
  <c r="U12" i="54"/>
  <c r="W33" i="54"/>
  <c r="W18" i="54"/>
  <c r="U25" i="54"/>
  <c r="W16" i="54"/>
  <c r="W32" i="54"/>
  <c r="W23" i="54"/>
  <c r="W15" i="54"/>
  <c r="U23" i="54"/>
  <c r="U22" i="54"/>
  <c r="W30" i="54"/>
  <c r="W29" i="54"/>
  <c r="U15" i="54"/>
  <c r="U18" i="54"/>
  <c r="W14" i="54"/>
  <c r="U30" i="54"/>
  <c r="U29" i="54"/>
  <c r="U33" i="54"/>
  <c r="U14" i="54"/>
  <c r="W24" i="54"/>
  <c r="R28" i="26"/>
  <c r="U34" i="54"/>
  <c r="U28" i="26"/>
  <c r="W22" i="54"/>
  <c r="R25" i="26"/>
  <c r="U25" i="26"/>
  <c r="W7" i="54"/>
  <c r="U7" i="54"/>
  <c r="AC35" i="26"/>
  <c r="BW35" i="26"/>
  <c r="BE21" i="26"/>
  <c r="BE35" i="26"/>
  <c r="AQ35" i="26"/>
  <c r="AX35" i="26"/>
  <c r="AX21" i="26"/>
  <c r="AQ21" i="26"/>
  <c r="DI2" i="1"/>
  <c r="DD2" i="54" s="1"/>
  <c r="BK21" i="26"/>
  <c r="BK35" i="26"/>
  <c r="BK8" i="26"/>
  <c r="C21" i="1"/>
  <c r="R16" i="26"/>
  <c r="R11" i="26"/>
  <c r="R13" i="26"/>
  <c r="R31" i="26"/>
  <c r="R33" i="26"/>
  <c r="R24" i="26"/>
  <c r="R22" i="26"/>
  <c r="R27" i="26"/>
  <c r="R30" i="26"/>
  <c r="R29" i="26"/>
  <c r="R18" i="26"/>
  <c r="R34" i="26"/>
  <c r="R15" i="26"/>
  <c r="R36" i="26"/>
  <c r="R23" i="26"/>
  <c r="R12" i="26"/>
  <c r="R21" i="26"/>
  <c r="R26" i="26"/>
  <c r="R10" i="26"/>
  <c r="R35" i="26"/>
  <c r="R19" i="26"/>
  <c r="R9" i="26"/>
  <c r="R14" i="26"/>
  <c r="R20" i="26"/>
  <c r="U10" i="26"/>
  <c r="U31" i="26"/>
  <c r="U29" i="26"/>
  <c r="U36" i="26"/>
  <c r="U35" i="26"/>
  <c r="U20" i="26"/>
  <c r="U22" i="26"/>
  <c r="U18" i="26"/>
  <c r="U23" i="26"/>
  <c r="U16" i="26"/>
  <c r="U19" i="26"/>
  <c r="U11" i="26"/>
  <c r="U8" i="26"/>
  <c r="U27" i="26"/>
  <c r="U34" i="26"/>
  <c r="U12" i="26"/>
  <c r="U14" i="26"/>
  <c r="U24" i="26"/>
  <c r="U26" i="26"/>
  <c r="T18" i="26"/>
  <c r="CT18" i="26" s="1"/>
  <c r="U13" i="26"/>
  <c r="U9" i="26"/>
  <c r="U33" i="26"/>
  <c r="U30" i="26"/>
  <c r="U15" i="26"/>
  <c r="U21" i="26"/>
  <c r="T22" i="26"/>
  <c r="CT22" i="26" s="1"/>
  <c r="C161" i="45" l="1"/>
  <c r="CK35" i="26"/>
  <c r="CK18" i="26"/>
  <c r="CD22" i="26"/>
  <c r="CK22" i="26"/>
  <c r="AC18" i="26"/>
  <c r="CD18" i="26"/>
  <c r="X34" i="54"/>
  <c r="X31" i="54"/>
  <c r="X27" i="54"/>
  <c r="X26" i="54"/>
  <c r="X9" i="54"/>
  <c r="X28" i="54"/>
  <c r="X10" i="54"/>
  <c r="X8" i="54"/>
  <c r="X13" i="54"/>
  <c r="X21" i="54"/>
  <c r="X19" i="54"/>
  <c r="X20" i="54"/>
  <c r="X11" i="54"/>
  <c r="X24" i="54"/>
  <c r="X12" i="54"/>
  <c r="X17" i="54"/>
  <c r="X25" i="54"/>
  <c r="X23" i="54"/>
  <c r="X16" i="54"/>
  <c r="X18" i="54"/>
  <c r="X33" i="54"/>
  <c r="X30" i="54"/>
  <c r="X29" i="54"/>
  <c r="X15" i="54"/>
  <c r="X32" i="54"/>
  <c r="X14" i="54"/>
  <c r="X22" i="54"/>
  <c r="BP18" i="26"/>
  <c r="X7" i="54"/>
  <c r="M26" i="51"/>
  <c r="M22" i="51"/>
  <c r="M19" i="51"/>
  <c r="BW22" i="26"/>
  <c r="BP22" i="26"/>
  <c r="BW18" i="26"/>
  <c r="AO18" i="26"/>
  <c r="AN2" i="26" s="1"/>
  <c r="BW34" i="26"/>
  <c r="BW30" i="26"/>
  <c r="BE18" i="26"/>
  <c r="BE22" i="26"/>
  <c r="BE34" i="26"/>
  <c r="BE30" i="26"/>
  <c r="AX22" i="26"/>
  <c r="AQ22" i="26"/>
  <c r="AX18" i="26"/>
  <c r="AQ18" i="26"/>
  <c r="AX34" i="26"/>
  <c r="AQ34" i="26"/>
  <c r="AX30" i="26"/>
  <c r="AQ30" i="26"/>
  <c r="BK22" i="26"/>
  <c r="BK30" i="26"/>
  <c r="BK18" i="26"/>
  <c r="BK34" i="26"/>
  <c r="C22" i="26"/>
  <c r="C162" i="45" l="1"/>
  <c r="M11" i="51"/>
  <c r="M15" i="51"/>
  <c r="M28" i="51"/>
  <c r="M29" i="51"/>
  <c r="M25" i="51"/>
  <c r="M6" i="51"/>
  <c r="M10" i="51"/>
  <c r="M7" i="51"/>
  <c r="BD42" i="26"/>
  <c r="C163" i="45" l="1"/>
  <c r="CK2" i="1"/>
  <c r="CF2" i="54" s="1"/>
  <c r="CN2" i="1"/>
  <c r="CI2" i="54" s="1"/>
  <c r="CR2" i="1"/>
  <c r="CM2" i="54" s="1"/>
  <c r="CS2" i="1"/>
  <c r="CN2" i="54" s="1"/>
  <c r="CJ2" i="1"/>
  <c r="CE2" i="54" s="1"/>
  <c r="C164" i="45" l="1"/>
  <c r="AE28" i="26"/>
  <c r="AE12" i="26"/>
  <c r="AE15" i="26"/>
  <c r="AE26" i="26"/>
  <c r="AE10" i="26"/>
  <c r="AE35" i="26"/>
  <c r="AE22" i="26"/>
  <c r="AE27" i="26"/>
  <c r="AE36" i="26"/>
  <c r="AE20" i="26"/>
  <c r="AE23" i="26"/>
  <c r="AE13" i="26"/>
  <c r="AE16" i="26"/>
  <c r="AE33" i="26"/>
  <c r="AE30" i="26"/>
  <c r="AE8" i="26"/>
  <c r="AE21" i="26"/>
  <c r="AE31" i="26"/>
  <c r="AE18" i="26"/>
  <c r="AE11" i="26"/>
  <c r="AE14" i="26"/>
  <c r="AE9" i="26"/>
  <c r="AE24" i="26"/>
  <c r="C165" i="45" l="1"/>
  <c r="AE29" i="26"/>
  <c r="AE19" i="26"/>
  <c r="AE34" i="26"/>
  <c r="AP2" i="1"/>
  <c r="AN2" i="54" s="1"/>
  <c r="AK2" i="1"/>
  <c r="AI2" i="54" s="1"/>
  <c r="C166" i="45" l="1"/>
  <c r="AY2" i="1"/>
  <c r="AW2" i="54" s="1"/>
  <c r="DX2" i="1"/>
  <c r="DS2" i="54" s="1"/>
  <c r="C167" i="45" l="1"/>
  <c r="Q54" i="1"/>
  <c r="DY31" i="1" s="1"/>
  <c r="C168" i="45" l="1"/>
  <c r="H15" i="53"/>
  <c r="DY16" i="1"/>
  <c r="DY17" i="1"/>
  <c r="DY23" i="1"/>
  <c r="DY30" i="1"/>
  <c r="DY22" i="1"/>
  <c r="DY7" i="1"/>
  <c r="DY21" i="1"/>
  <c r="DY8" i="1"/>
  <c r="DY26" i="1"/>
  <c r="DY25" i="1"/>
  <c r="DY10" i="1"/>
  <c r="DY34" i="1"/>
  <c r="DY18" i="1"/>
  <c r="DY28" i="1"/>
  <c r="DY14" i="1"/>
  <c r="DY27" i="1"/>
  <c r="DY11" i="1"/>
  <c r="DY35" i="1"/>
  <c r="DY29" i="1"/>
  <c r="DY33" i="1"/>
  <c r="DY15" i="1"/>
  <c r="DY13" i="1"/>
  <c r="DY24" i="1"/>
  <c r="DY19" i="1"/>
  <c r="DY20" i="1"/>
  <c r="DY32" i="1"/>
  <c r="DY12" i="1"/>
  <c r="DY9" i="1"/>
  <c r="C169" i="45" l="1"/>
  <c r="AH35" i="15"/>
  <c r="AH34" i="15"/>
  <c r="AH29" i="15"/>
  <c r="AH11" i="15"/>
  <c r="AH10" i="15"/>
  <c r="AH27" i="15"/>
  <c r="AH9" i="15"/>
  <c r="AH17" i="15"/>
  <c r="AH14" i="15"/>
  <c r="AH12" i="15"/>
  <c r="AH24" i="15"/>
  <c r="AH18" i="15"/>
  <c r="AH8" i="15"/>
  <c r="AH28" i="15"/>
  <c r="AH21" i="15"/>
  <c r="AH30" i="15"/>
  <c r="AH25" i="15"/>
  <c r="AH31" i="15"/>
  <c r="AH19" i="15"/>
  <c r="AH33" i="15"/>
  <c r="AH15" i="15"/>
  <c r="AH13" i="15"/>
  <c r="AH16" i="15"/>
  <c r="AH26" i="15"/>
  <c r="AH22" i="15"/>
  <c r="AH20" i="15"/>
  <c r="AH32" i="15"/>
  <c r="AH23" i="15"/>
  <c r="DT25" i="54"/>
  <c r="DT9" i="54"/>
  <c r="DT32" i="54"/>
  <c r="DT16" i="54"/>
  <c r="DT14" i="54"/>
  <c r="DT20" i="54"/>
  <c r="DT12" i="54"/>
  <c r="DT29" i="54"/>
  <c r="DT13" i="54"/>
  <c r="DT19" i="54"/>
  <c r="DT33" i="54"/>
  <c r="DT28" i="54"/>
  <c r="DT10" i="54"/>
  <c r="DT17" i="54"/>
  <c r="DT34" i="54"/>
  <c r="DT30" i="54"/>
  <c r="DT15" i="54"/>
  <c r="DT22" i="54"/>
  <c r="DT27" i="54"/>
  <c r="DT21" i="54"/>
  <c r="DT26" i="54"/>
  <c r="DT24" i="54"/>
  <c r="DT11" i="54"/>
  <c r="DT23" i="54"/>
  <c r="DT31" i="54"/>
  <c r="DT18" i="54"/>
  <c r="DT8" i="54"/>
  <c r="DT7" i="54"/>
  <c r="AH7" i="15"/>
  <c r="C170" i="45" l="1"/>
  <c r="AI23" i="15"/>
  <c r="AI27" i="15"/>
  <c r="AI24" i="15"/>
  <c r="AI20" i="15"/>
  <c r="AI14" i="15"/>
  <c r="AI11" i="15"/>
  <c r="AI34" i="15"/>
  <c r="AI31" i="15"/>
  <c r="AI15" i="15"/>
  <c r="AI8" i="15"/>
  <c r="AI32" i="15"/>
  <c r="AI30" i="15"/>
  <c r="AI33" i="15"/>
  <c r="AI26" i="15"/>
  <c r="AI25" i="15"/>
  <c r="AI22" i="15"/>
  <c r="AI28" i="15"/>
  <c r="AI12" i="15"/>
  <c r="AI10" i="15"/>
  <c r="AI17" i="15"/>
  <c r="AI21" i="15"/>
  <c r="AI19" i="15"/>
  <c r="AI29" i="15"/>
  <c r="AI16" i="15"/>
  <c r="AI13" i="15"/>
  <c r="AI9" i="15"/>
  <c r="AI35" i="15"/>
  <c r="AI18" i="15"/>
  <c r="BO42" i="26"/>
  <c r="AP42" i="26"/>
  <c r="AW42" i="26"/>
  <c r="C171" i="45" l="1"/>
  <c r="ED27" i="1"/>
  <c r="ED17" i="1"/>
  <c r="C172" i="45" l="1"/>
  <c r="ED20" i="1"/>
  <c r="ED33" i="1"/>
  <c r="ED29" i="1"/>
  <c r="C173" i="45" l="1"/>
  <c r="ED81" i="25"/>
  <c r="C174" i="45" l="1"/>
  <c r="ED15" i="1"/>
  <c r="C175" i="45" l="1"/>
  <c r="ED11" i="1"/>
  <c r="ED35" i="1"/>
  <c r="C176" i="45" l="1"/>
  <c r="R34" i="20"/>
  <c r="L34" i="20" s="1"/>
  <c r="R35" i="20"/>
  <c r="L35" i="20" s="1"/>
  <c r="P1" i="26"/>
  <c r="AD4" i="26"/>
  <c r="C177" i="45" l="1"/>
  <c r="O10" i="54"/>
  <c r="O13" i="54"/>
  <c r="O11" i="54"/>
  <c r="O29" i="54"/>
  <c r="O23" i="54"/>
  <c r="O30" i="54"/>
  <c r="O21" i="54"/>
  <c r="O32" i="54"/>
  <c r="O33" i="54"/>
  <c r="O20" i="54"/>
  <c r="O17" i="54"/>
  <c r="O18" i="54"/>
  <c r="O9" i="54"/>
  <c r="O12" i="54"/>
  <c r="O8" i="54"/>
  <c r="O31" i="54"/>
  <c r="O15" i="54"/>
  <c r="O26" i="54"/>
  <c r="O27" i="54"/>
  <c r="O16" i="54"/>
  <c r="O24" i="54"/>
  <c r="O25" i="54"/>
  <c r="O14" i="54"/>
  <c r="O34" i="54"/>
  <c r="O22" i="54"/>
  <c r="O19" i="54"/>
  <c r="O28" i="54"/>
  <c r="O7" i="54"/>
  <c r="O5" i="54"/>
  <c r="M14" i="20"/>
  <c r="R14" i="20"/>
  <c r="L14" i="20" s="1"/>
  <c r="M29" i="20"/>
  <c r="R29" i="20"/>
  <c r="L29" i="20" s="1"/>
  <c r="M7" i="20"/>
  <c r="R7" i="20"/>
  <c r="L7" i="20" s="1"/>
  <c r="M8" i="20"/>
  <c r="R8" i="20"/>
  <c r="L8" i="20" s="1"/>
  <c r="M17" i="20"/>
  <c r="R17" i="20"/>
  <c r="L17" i="20" s="1"/>
  <c r="M12" i="20"/>
  <c r="R12" i="20"/>
  <c r="L12" i="20" s="1"/>
  <c r="M19" i="20"/>
  <c r="R19" i="20"/>
  <c r="L19" i="20" s="1"/>
  <c r="M18" i="20"/>
  <c r="R18" i="20"/>
  <c r="L18" i="20" s="1"/>
  <c r="M10" i="20"/>
  <c r="R10" i="20"/>
  <c r="L10" i="20" s="1"/>
  <c r="R15" i="20"/>
  <c r="L15" i="20" s="1"/>
  <c r="M22" i="20"/>
  <c r="R22" i="20"/>
  <c r="L22" i="20" s="1"/>
  <c r="M21" i="20"/>
  <c r="R21" i="20"/>
  <c r="L21" i="20" s="1"/>
  <c r="R27" i="20"/>
  <c r="M16" i="20"/>
  <c r="R16" i="20"/>
  <c r="L16" i="20" s="1"/>
  <c r="M23" i="20"/>
  <c r="R23" i="20"/>
  <c r="L23" i="20" s="1"/>
  <c r="M25" i="20"/>
  <c r="R25" i="20"/>
  <c r="L25" i="20" s="1"/>
  <c r="M24" i="20"/>
  <c r="R24" i="20"/>
  <c r="L24" i="20" s="1"/>
  <c r="M13" i="20"/>
  <c r="R13" i="20"/>
  <c r="L13" i="20" s="1"/>
  <c r="M31" i="20"/>
  <c r="R31" i="20"/>
  <c r="L31" i="20" s="1"/>
  <c r="M32" i="20"/>
  <c r="R32" i="20"/>
  <c r="L32" i="20" s="1"/>
  <c r="M20" i="20"/>
  <c r="R20" i="20"/>
  <c r="L20" i="20" s="1"/>
  <c r="M30" i="20"/>
  <c r="R30" i="20"/>
  <c r="L30" i="20" s="1"/>
  <c r="M26" i="20"/>
  <c r="R26" i="20"/>
  <c r="L26" i="20" s="1"/>
  <c r="R11" i="20"/>
  <c r="M9" i="20"/>
  <c r="R9" i="20"/>
  <c r="L9" i="20" s="1"/>
  <c r="EE14" i="1"/>
  <c r="EE34" i="1"/>
  <c r="O34" i="20"/>
  <c r="M34" i="20"/>
  <c r="O35" i="20"/>
  <c r="M35" i="20"/>
  <c r="EE27" i="1"/>
  <c r="C178" i="45" l="1"/>
  <c r="L27" i="20"/>
  <c r="M27" i="20"/>
  <c r="L11" i="20"/>
  <c r="M11" i="20"/>
  <c r="M15" i="20"/>
  <c r="N35" i="20"/>
  <c r="N34" i="20"/>
  <c r="EE23" i="1"/>
  <c r="C179" i="45" l="1"/>
  <c r="EE22" i="1"/>
  <c r="EE25" i="1"/>
  <c r="EE19" i="1"/>
  <c r="EE21" i="1"/>
  <c r="EE13" i="1"/>
  <c r="EE8" i="1"/>
  <c r="EE9" i="1"/>
  <c r="EE26" i="1"/>
  <c r="EE10" i="1"/>
  <c r="EE12" i="1"/>
  <c r="EE7" i="1"/>
  <c r="EE18" i="1"/>
  <c r="EE15" i="1"/>
  <c r="EE11" i="1"/>
  <c r="EE35" i="1"/>
  <c r="EE20" i="1"/>
  <c r="EE17" i="1"/>
  <c r="C180" i="45" l="1"/>
  <c r="DZ8" i="54"/>
  <c r="ED7" i="25"/>
  <c r="C181" i="45" l="1"/>
  <c r="EG3" i="1"/>
  <c r="EB3" i="54" s="1"/>
  <c r="A2" i="1"/>
  <c r="A2" i="54" s="1"/>
  <c r="DR27" i="1"/>
  <c r="DU27" i="1"/>
  <c r="CY27" i="1"/>
  <c r="DB27" i="1"/>
  <c r="AM27" i="1"/>
  <c r="C182" i="45" l="1"/>
  <c r="DM27" i="1"/>
  <c r="DC27" i="1"/>
  <c r="CU27" i="1"/>
  <c r="CT27" i="1" s="1"/>
  <c r="C27" i="1"/>
  <c r="AD28" i="26"/>
  <c r="P1" i="33"/>
  <c r="EF27" i="1"/>
  <c r="O1" i="26"/>
  <c r="C183" i="45" l="1"/>
  <c r="C28" i="26"/>
  <c r="EG27" i="1"/>
  <c r="F7" i="20"/>
  <c r="C184" i="45" l="1"/>
  <c r="S27" i="1"/>
  <c r="C185" i="45" l="1"/>
  <c r="X27" i="1"/>
  <c r="CA27" i="1" s="1"/>
  <c r="CY24" i="40"/>
  <c r="DW24" i="40" s="1"/>
  <c r="X28" i="26" s="1"/>
  <c r="AC27" i="1"/>
  <c r="AT27" i="1"/>
  <c r="AD27" i="1"/>
  <c r="AF27" i="1"/>
  <c r="AE27" i="1"/>
  <c r="AG27" i="1"/>
  <c r="Z27" i="1"/>
  <c r="EE33" i="1"/>
  <c r="DV27" i="1"/>
  <c r="DW27" i="1" s="1"/>
  <c r="DT27" i="1"/>
  <c r="AJ28" i="26"/>
  <c r="C186" i="45" l="1"/>
  <c r="BL27" i="1"/>
  <c r="DZ27" i="1"/>
  <c r="AB27" i="1"/>
  <c r="BX27" i="1"/>
  <c r="C187" i="45" l="1"/>
  <c r="DJ34" i="54"/>
  <c r="DJ27" i="54"/>
  <c r="DJ31" i="54"/>
  <c r="DJ22" i="54"/>
  <c r="DJ9" i="54"/>
  <c r="DJ28" i="54"/>
  <c r="DJ8" i="54"/>
  <c r="DJ10" i="54"/>
  <c r="DJ26" i="54"/>
  <c r="DJ13" i="54"/>
  <c r="DJ29" i="54"/>
  <c r="DJ30" i="54"/>
  <c r="DJ23" i="54"/>
  <c r="DJ33" i="54"/>
  <c r="DJ32" i="54"/>
  <c r="DJ25" i="54"/>
  <c r="DJ16" i="54"/>
  <c r="DJ20" i="54"/>
  <c r="DJ12" i="54"/>
  <c r="DJ19" i="54"/>
  <c r="DJ18" i="54"/>
  <c r="DJ15" i="54"/>
  <c r="DJ21" i="54"/>
  <c r="DJ17" i="54"/>
  <c r="DJ24" i="54"/>
  <c r="DJ11" i="54"/>
  <c r="DJ14" i="54"/>
  <c r="DJ7" i="54"/>
  <c r="CG27" i="1"/>
  <c r="CE27" i="1"/>
  <c r="D28" i="26"/>
  <c r="BY27" i="1"/>
  <c r="ED18" i="1"/>
  <c r="ED28" i="1"/>
  <c r="DU33" i="1"/>
  <c r="DU23" i="1"/>
  <c r="DU8" i="1"/>
  <c r="DU19" i="1"/>
  <c r="DU25" i="1"/>
  <c r="DU9" i="1"/>
  <c r="DU13" i="1"/>
  <c r="DU18" i="1"/>
  <c r="DU12" i="1"/>
  <c r="DU26" i="1"/>
  <c r="DU17" i="1"/>
  <c r="DU22" i="1"/>
  <c r="DU35" i="1"/>
  <c r="DU15" i="1"/>
  <c r="DU28" i="1"/>
  <c r="DU30" i="1"/>
  <c r="DU21" i="1"/>
  <c r="DU20" i="1"/>
  <c r="DU29" i="1"/>
  <c r="DU7" i="1"/>
  <c r="DU14" i="1"/>
  <c r="DU34" i="1"/>
  <c r="DU10" i="1"/>
  <c r="DU11" i="1"/>
  <c r="DU32" i="1"/>
  <c r="AM26" i="1"/>
  <c r="AM17" i="1"/>
  <c r="AM22" i="1"/>
  <c r="AM35" i="1"/>
  <c r="AM15" i="1"/>
  <c r="AM28" i="1"/>
  <c r="AM30" i="1"/>
  <c r="AM20" i="1"/>
  <c r="AM29" i="1"/>
  <c r="AM7" i="1"/>
  <c r="AM14" i="1"/>
  <c r="AM34" i="1"/>
  <c r="AM10" i="1"/>
  <c r="AM11" i="1"/>
  <c r="AM32" i="1"/>
  <c r="AM9" i="1"/>
  <c r="AM13" i="1"/>
  <c r="AM18" i="1"/>
  <c r="S18" i="1" s="1"/>
  <c r="AM12" i="1"/>
  <c r="C12" i="1" s="1"/>
  <c r="AM19" i="1"/>
  <c r="AM8" i="1"/>
  <c r="AM33" i="1"/>
  <c r="O2" i="20"/>
  <c r="N2" i="20"/>
  <c r="C188" i="45" l="1"/>
  <c r="DP34" i="54"/>
  <c r="AK10" i="54"/>
  <c r="DP31" i="54"/>
  <c r="AK27" i="54"/>
  <c r="AK28" i="54"/>
  <c r="DP9" i="54"/>
  <c r="DP26" i="54"/>
  <c r="AK26" i="54"/>
  <c r="DP28" i="54"/>
  <c r="AK8" i="54"/>
  <c r="AK31" i="54"/>
  <c r="AK34" i="54"/>
  <c r="DP27" i="54"/>
  <c r="AK9" i="54"/>
  <c r="DP10" i="54"/>
  <c r="AK13" i="54"/>
  <c r="DP22" i="54"/>
  <c r="DP13" i="54"/>
  <c r="DP23" i="54"/>
  <c r="DP8" i="54"/>
  <c r="AK22" i="54"/>
  <c r="DP29" i="54"/>
  <c r="DP30" i="54"/>
  <c r="AK29" i="54"/>
  <c r="AK30" i="54"/>
  <c r="AK33" i="54"/>
  <c r="DP32" i="54"/>
  <c r="DP25" i="54"/>
  <c r="AK24" i="54"/>
  <c r="AK25" i="54"/>
  <c r="DP33" i="54"/>
  <c r="AK32" i="54"/>
  <c r="AK12" i="54"/>
  <c r="DP19" i="54"/>
  <c r="DP20" i="54"/>
  <c r="AK14" i="54"/>
  <c r="AK21" i="54"/>
  <c r="AK17" i="54"/>
  <c r="DP15" i="54"/>
  <c r="DP16" i="54"/>
  <c r="AK16" i="54"/>
  <c r="DP12" i="54"/>
  <c r="AK19" i="54"/>
  <c r="DP21" i="54"/>
  <c r="AK15" i="54"/>
  <c r="AK20" i="54"/>
  <c r="DP17" i="54"/>
  <c r="DP14" i="54"/>
  <c r="AK11" i="54"/>
  <c r="DP24" i="54"/>
  <c r="DP18" i="54"/>
  <c r="AK23" i="54"/>
  <c r="DP11" i="54"/>
  <c r="AK18" i="54"/>
  <c r="AK7" i="54"/>
  <c r="DP7" i="54"/>
  <c r="S11" i="1"/>
  <c r="C25" i="1"/>
  <c r="CF27" i="1"/>
  <c r="C20" i="1"/>
  <c r="AM2" i="1"/>
  <c r="AK2" i="54" s="1"/>
  <c r="CH27" i="1"/>
  <c r="C34" i="1"/>
  <c r="S20" i="1"/>
  <c r="S12" i="1"/>
  <c r="C10" i="1"/>
  <c r="C11" i="1"/>
  <c r="C22" i="1"/>
  <c r="C14" i="1"/>
  <c r="C9" i="1"/>
  <c r="C13" i="1"/>
  <c r="C7" i="1"/>
  <c r="C17" i="1"/>
  <c r="C18" i="1"/>
  <c r="C29" i="1"/>
  <c r="C15" i="1"/>
  <c r="C26" i="1"/>
  <c r="AD9" i="26"/>
  <c r="AD31" i="26"/>
  <c r="AD35" i="26"/>
  <c r="AD21" i="26"/>
  <c r="AD29" i="26"/>
  <c r="AD12" i="26"/>
  <c r="AD15" i="26"/>
  <c r="AD23" i="26"/>
  <c r="AD20" i="26"/>
  <c r="AD14" i="26"/>
  <c r="AD8" i="26"/>
  <c r="AD18" i="26"/>
  <c r="AD13" i="26"/>
  <c r="AD10" i="26"/>
  <c r="AD11" i="26"/>
  <c r="AD30" i="26"/>
  <c r="AD16" i="26"/>
  <c r="AD27" i="26"/>
  <c r="AD19" i="26"/>
  <c r="AD33" i="26"/>
  <c r="AD36" i="26"/>
  <c r="AD34" i="26"/>
  <c r="S33" i="1"/>
  <c r="S7" i="1"/>
  <c r="S29" i="1"/>
  <c r="S17" i="1"/>
  <c r="S30" i="1"/>
  <c r="S32" i="1"/>
  <c r="S21" i="1"/>
  <c r="EE28" i="1"/>
  <c r="EE30" i="1"/>
  <c r="S14" i="1"/>
  <c r="S10" i="1"/>
  <c r="S34" i="1"/>
  <c r="EF23" i="1"/>
  <c r="EF18" i="1"/>
  <c r="EF11" i="1"/>
  <c r="EF21" i="1"/>
  <c r="EF35" i="1"/>
  <c r="EF8" i="1"/>
  <c r="EF7" i="1"/>
  <c r="EF30" i="1"/>
  <c r="EF22" i="1"/>
  <c r="EF28" i="1"/>
  <c r="EF19" i="1"/>
  <c r="EF13" i="1"/>
  <c r="EF29" i="1"/>
  <c r="EF17" i="1"/>
  <c r="EF33" i="1"/>
  <c r="EF12" i="1"/>
  <c r="EF9" i="1"/>
  <c r="EF32" i="1"/>
  <c r="EF20" i="1"/>
  <c r="EF15" i="1"/>
  <c r="EF26" i="1"/>
  <c r="EF14" i="1"/>
  <c r="BK13" i="26"/>
  <c r="EF34" i="1"/>
  <c r="EF10" i="1"/>
  <c r="ED26" i="1"/>
  <c r="ED34" i="1"/>
  <c r="ED30" i="1"/>
  <c r="ED25" i="1"/>
  <c r="ED10" i="1"/>
  <c r="ED32" i="1"/>
  <c r="ED14" i="1"/>
  <c r="ED13" i="1"/>
  <c r="ED19" i="1"/>
  <c r="ED7" i="1"/>
  <c r="ED22" i="1"/>
  <c r="ED8" i="1"/>
  <c r="ED21" i="1"/>
  <c r="ED9" i="1"/>
  <c r="ED23" i="1"/>
  <c r="ED12" i="1"/>
  <c r="D3" i="15"/>
  <c r="D4" i="15"/>
  <c r="D5" i="15"/>
  <c r="D2" i="15"/>
  <c r="B3" i="15"/>
  <c r="C3" i="15"/>
  <c r="A3" i="15"/>
  <c r="B4" i="15"/>
  <c r="C4" i="15"/>
  <c r="A4" i="15"/>
  <c r="B5" i="15"/>
  <c r="C5" i="15"/>
  <c r="A5" i="15"/>
  <c r="C2" i="15"/>
  <c r="A2" i="15"/>
  <c r="B2" i="15"/>
  <c r="E3" i="15"/>
  <c r="F3" i="15"/>
  <c r="G3" i="15"/>
  <c r="H3" i="15"/>
  <c r="I3" i="15"/>
  <c r="J3" i="15"/>
  <c r="P3" i="15"/>
  <c r="R3" i="15"/>
  <c r="T3" i="15"/>
  <c r="V3" i="15"/>
  <c r="X3" i="15"/>
  <c r="N3" i="15"/>
  <c r="Z3" i="15"/>
  <c r="AD3" i="15"/>
  <c r="AF3" i="15"/>
  <c r="E4" i="15"/>
  <c r="F4" i="15"/>
  <c r="G4" i="15"/>
  <c r="H4" i="15"/>
  <c r="I4" i="15"/>
  <c r="J4" i="15"/>
  <c r="P4" i="15"/>
  <c r="R4" i="15"/>
  <c r="T4" i="15"/>
  <c r="V4" i="15"/>
  <c r="X4" i="15"/>
  <c r="N4" i="15"/>
  <c r="Z4" i="15"/>
  <c r="AD4" i="15"/>
  <c r="AF4" i="15"/>
  <c r="E5" i="15"/>
  <c r="F5" i="15"/>
  <c r="G5" i="15"/>
  <c r="H5" i="15"/>
  <c r="I5" i="15"/>
  <c r="J5" i="15"/>
  <c r="P5" i="15"/>
  <c r="R5" i="15"/>
  <c r="T5" i="15"/>
  <c r="V5" i="15"/>
  <c r="X5" i="15"/>
  <c r="N5" i="15"/>
  <c r="Z5" i="15"/>
  <c r="AD5" i="15"/>
  <c r="AF5" i="15"/>
  <c r="G7" i="15"/>
  <c r="F2" i="15"/>
  <c r="G2" i="15"/>
  <c r="C189" i="45" l="1"/>
  <c r="X11" i="1"/>
  <c r="CA11" i="1" s="1"/>
  <c r="X29" i="1"/>
  <c r="CA29" i="1" s="1"/>
  <c r="DY9" i="54"/>
  <c r="CY7" i="40"/>
  <c r="DW7" i="40" s="1"/>
  <c r="X11" i="26" s="1"/>
  <c r="AC10" i="1"/>
  <c r="CY30" i="40"/>
  <c r="DW30" i="40" s="1"/>
  <c r="X34" i="26" s="1"/>
  <c r="AC33" i="1"/>
  <c r="CY8" i="40"/>
  <c r="DW8" i="40" s="1"/>
  <c r="X12" i="26" s="1"/>
  <c r="AC11" i="1"/>
  <c r="CY15" i="40"/>
  <c r="DW15" i="40" s="1"/>
  <c r="X22" i="26" s="1"/>
  <c r="AC21" i="1"/>
  <c r="CY11" i="40"/>
  <c r="DW11" i="40" s="1"/>
  <c r="X13" i="26" s="1"/>
  <c r="AC12" i="1"/>
  <c r="CY18" i="40"/>
  <c r="DW18" i="40" s="1"/>
  <c r="X21" i="26" s="1"/>
  <c r="AC20" i="1"/>
  <c r="CY26" i="40"/>
  <c r="DW26" i="40" s="1"/>
  <c r="X30" i="26" s="1"/>
  <c r="AC29" i="1"/>
  <c r="CY10" i="40"/>
  <c r="DW10" i="40" s="1"/>
  <c r="X15" i="26" s="1"/>
  <c r="AC14" i="1"/>
  <c r="CY29" i="40"/>
  <c r="DW29" i="40" s="1"/>
  <c r="X33" i="26" s="1"/>
  <c r="AC32" i="1"/>
  <c r="CY27" i="40"/>
  <c r="DW27" i="40" s="1"/>
  <c r="X31" i="26" s="1"/>
  <c r="AC30" i="1"/>
  <c r="CY14" i="40"/>
  <c r="DW14" i="40" s="1"/>
  <c r="X18" i="26" s="1"/>
  <c r="AC17" i="1"/>
  <c r="CY31" i="40"/>
  <c r="DW31" i="40" s="1"/>
  <c r="X35" i="26" s="1"/>
  <c r="AC34" i="1"/>
  <c r="CY4" i="40"/>
  <c r="DW4" i="40" s="1"/>
  <c r="X8" i="26" s="1"/>
  <c r="AC7" i="1"/>
  <c r="DY27" i="54"/>
  <c r="EA27" i="54"/>
  <c r="DY29" i="54"/>
  <c r="EA31" i="54"/>
  <c r="DY30" i="54"/>
  <c r="EA28" i="54"/>
  <c r="DY26" i="54"/>
  <c r="DY23" i="54"/>
  <c r="DY21" i="54"/>
  <c r="DY31" i="54"/>
  <c r="DY25" i="54"/>
  <c r="DY34" i="54"/>
  <c r="DY10" i="54"/>
  <c r="EA34" i="54"/>
  <c r="DY33" i="54"/>
  <c r="DY28" i="54"/>
  <c r="DY8" i="54"/>
  <c r="EA29" i="54"/>
  <c r="EA30" i="54"/>
  <c r="DY20" i="54"/>
  <c r="DY13" i="54"/>
  <c r="EA32" i="54"/>
  <c r="DY19" i="54"/>
  <c r="EA33" i="54"/>
  <c r="DY17" i="54"/>
  <c r="DY12" i="54"/>
  <c r="DY11" i="54"/>
  <c r="DY16" i="54"/>
  <c r="DY14" i="54"/>
  <c r="DY18" i="54"/>
  <c r="DY15" i="54"/>
  <c r="DY32" i="54"/>
  <c r="DY22" i="54"/>
  <c r="DY24" i="54"/>
  <c r="C24" i="40"/>
  <c r="W28" i="26"/>
  <c r="C26" i="40"/>
  <c r="C30" i="40"/>
  <c r="C15" i="40"/>
  <c r="C4" i="40"/>
  <c r="DY7" i="54"/>
  <c r="AT17" i="1"/>
  <c r="AT10" i="1"/>
  <c r="AT29" i="1"/>
  <c r="AT14" i="1"/>
  <c r="AT7" i="1"/>
  <c r="AT12" i="1"/>
  <c r="AT33" i="1"/>
  <c r="AT20" i="1"/>
  <c r="AT34" i="1"/>
  <c r="AT11" i="1"/>
  <c r="AT32" i="1"/>
  <c r="AT21" i="1"/>
  <c r="AT30" i="1"/>
  <c r="AF11" i="1"/>
  <c r="AD11" i="1"/>
  <c r="AE11" i="1"/>
  <c r="EG11" i="1"/>
  <c r="EG15" i="1"/>
  <c r="EG20" i="1"/>
  <c r="BT2" i="1"/>
  <c r="BP2" i="54" s="1"/>
  <c r="EG33" i="1"/>
  <c r="BY14" i="1"/>
  <c r="AE14" i="1"/>
  <c r="K15" i="51"/>
  <c r="K26" i="51"/>
  <c r="K25" i="51"/>
  <c r="K7" i="51"/>
  <c r="C21" i="26"/>
  <c r="AD32" i="1"/>
  <c r="AD30" i="1"/>
  <c r="AD20" i="1"/>
  <c r="AD17" i="1"/>
  <c r="AD34" i="1"/>
  <c r="AD10" i="1"/>
  <c r="AD29" i="1"/>
  <c r="AD33" i="1"/>
  <c r="AD14" i="1"/>
  <c r="AD7" i="1"/>
  <c r="AD12" i="1"/>
  <c r="AD21" i="1"/>
  <c r="AF12" i="1"/>
  <c r="AE12" i="1"/>
  <c r="AF34" i="1"/>
  <c r="AE34" i="1"/>
  <c r="AF32" i="1"/>
  <c r="AE32" i="1"/>
  <c r="AF29" i="1"/>
  <c r="AE29" i="1"/>
  <c r="AF14" i="1"/>
  <c r="AF17" i="1"/>
  <c r="AE17" i="1"/>
  <c r="AF10" i="1"/>
  <c r="AE10" i="1"/>
  <c r="AF21" i="1"/>
  <c r="AE21" i="1"/>
  <c r="AF30" i="1"/>
  <c r="AE30" i="1"/>
  <c r="AF20" i="1"/>
  <c r="AE20" i="1"/>
  <c r="AF33" i="1"/>
  <c r="AE33" i="1"/>
  <c r="AF7" i="1"/>
  <c r="AE7" i="1"/>
  <c r="AG10" i="1"/>
  <c r="AG21" i="1"/>
  <c r="AG30" i="1"/>
  <c r="AG7" i="1"/>
  <c r="AG12" i="1"/>
  <c r="AG14" i="1"/>
  <c r="AG11" i="1"/>
  <c r="AG17" i="1"/>
  <c r="AG33" i="1"/>
  <c r="AG34" i="1"/>
  <c r="AG32" i="1"/>
  <c r="AG29" i="1"/>
  <c r="W34" i="26"/>
  <c r="Z10" i="1"/>
  <c r="Z14" i="1"/>
  <c r="Z21" i="1"/>
  <c r="Z11" i="1"/>
  <c r="Z30" i="1"/>
  <c r="EG35" i="1"/>
  <c r="EG18" i="1"/>
  <c r="EG17" i="1"/>
  <c r="Z7" i="1"/>
  <c r="Z34" i="1"/>
  <c r="Z32" i="1"/>
  <c r="Z17" i="1"/>
  <c r="Z33" i="1"/>
  <c r="EX2" i="1"/>
  <c r="ES2" i="54" s="1"/>
  <c r="Z29" i="1"/>
  <c r="W8" i="26"/>
  <c r="W22" i="26"/>
  <c r="W30" i="26"/>
  <c r="C27" i="26"/>
  <c r="C30" i="26"/>
  <c r="C18" i="26"/>
  <c r="C35" i="26"/>
  <c r="C19" i="26"/>
  <c r="C16" i="26"/>
  <c r="C11" i="26"/>
  <c r="C10" i="26"/>
  <c r="C14" i="26"/>
  <c r="C8" i="26"/>
  <c r="C23" i="26"/>
  <c r="C12" i="26"/>
  <c r="C15" i="26"/>
  <c r="EE32" i="1"/>
  <c r="EG28" i="1"/>
  <c r="EG9" i="1"/>
  <c r="EG22" i="1"/>
  <c r="EG13" i="1"/>
  <c r="EG14" i="1"/>
  <c r="EG30" i="1"/>
  <c r="EG12" i="1"/>
  <c r="EG8" i="1"/>
  <c r="EG19" i="1"/>
  <c r="EG26" i="1"/>
  <c r="EG7" i="1"/>
  <c r="EG23" i="1"/>
  <c r="EG34" i="1"/>
  <c r="EG10" i="1"/>
  <c r="EG21" i="1"/>
  <c r="EE29" i="1"/>
  <c r="DZ15" i="54" s="1"/>
  <c r="C190" i="45" l="1"/>
  <c r="DZ34" i="54"/>
  <c r="DZ7" i="54"/>
  <c r="DZ12" i="54"/>
  <c r="DZ9" i="54"/>
  <c r="DZ10" i="54"/>
  <c r="DZ11" i="54"/>
  <c r="DZ17" i="54"/>
  <c r="DZ16" i="54"/>
  <c r="DZ18" i="54"/>
  <c r="DZ31" i="54"/>
  <c r="DZ29" i="54"/>
  <c r="DZ20" i="54"/>
  <c r="DZ14" i="54"/>
  <c r="DZ22" i="54"/>
  <c r="DZ27" i="54"/>
  <c r="DZ19" i="54"/>
  <c r="DZ30" i="54"/>
  <c r="DZ13" i="54"/>
  <c r="DZ26" i="54"/>
  <c r="DZ33" i="54"/>
  <c r="DZ28" i="54"/>
  <c r="DZ21" i="54"/>
  <c r="DZ23" i="54"/>
  <c r="DZ24" i="54"/>
  <c r="DZ25" i="54"/>
  <c r="DZ32" i="54"/>
  <c r="AB28" i="26"/>
  <c r="E27" i="25"/>
  <c r="F27" i="25" s="1"/>
  <c r="Y28" i="26"/>
  <c r="Z28" i="26" s="1"/>
  <c r="BL11" i="1"/>
  <c r="BL33" i="1"/>
  <c r="BL21" i="1"/>
  <c r="BL14" i="1"/>
  <c r="BL32" i="1"/>
  <c r="BL10" i="1"/>
  <c r="BL17" i="1"/>
  <c r="BL7" i="1"/>
  <c r="BL34" i="1"/>
  <c r="BL29" i="1"/>
  <c r="BL30" i="1"/>
  <c r="AB8" i="26"/>
  <c r="AB34" i="26"/>
  <c r="AB22" i="26"/>
  <c r="E32" i="25"/>
  <c r="F32" i="25" s="1"/>
  <c r="E5" i="25"/>
  <c r="F5" i="25" s="1"/>
  <c r="E19" i="25"/>
  <c r="F19" i="25" s="1"/>
  <c r="AB30" i="1"/>
  <c r="AB11" i="1"/>
  <c r="AB21" i="1"/>
  <c r="AB17" i="1"/>
  <c r="AB14" i="1"/>
  <c r="AB32" i="1"/>
  <c r="AB10" i="1"/>
  <c r="AB29" i="1"/>
  <c r="AB34" i="1"/>
  <c r="AB33" i="1"/>
  <c r="Y34" i="26"/>
  <c r="Z34" i="26" s="1"/>
  <c r="AB7" i="1"/>
  <c r="Y8" i="26"/>
  <c r="Z8" i="26" s="1"/>
  <c r="EG32" i="1"/>
  <c r="EG29" i="1"/>
  <c r="Y22" i="26"/>
  <c r="Z22" i="26" s="1"/>
  <c r="DQ2" i="1"/>
  <c r="DL2" i="54" s="1"/>
  <c r="DD2" i="1"/>
  <c r="CY2" i="54" s="1"/>
  <c r="DE2" i="1"/>
  <c r="CZ2" i="54" s="1"/>
  <c r="DG2" i="1"/>
  <c r="DB2" i="54" s="1"/>
  <c r="DJ2" i="1"/>
  <c r="DE2" i="54" s="1"/>
  <c r="DK2" i="1"/>
  <c r="DF2" i="54" s="1"/>
  <c r="DL2" i="1"/>
  <c r="DG2" i="54" s="1"/>
  <c r="CX2" i="1"/>
  <c r="CS2" i="54" s="1"/>
  <c r="CV2" i="1"/>
  <c r="CQ2" i="54" s="1"/>
  <c r="DB19" i="1"/>
  <c r="DB15" i="1"/>
  <c r="DB13" i="1"/>
  <c r="DB18" i="1"/>
  <c r="DB17" i="1"/>
  <c r="DB21" i="1"/>
  <c r="DB35" i="1"/>
  <c r="DB22" i="1"/>
  <c r="DB25" i="1"/>
  <c r="DB30" i="1"/>
  <c r="DB20" i="1"/>
  <c r="DB28" i="1"/>
  <c r="DB29" i="1"/>
  <c r="DB11" i="1"/>
  <c r="DB34" i="1"/>
  <c r="DB7" i="1"/>
  <c r="DB8" i="1"/>
  <c r="DB12" i="1"/>
  <c r="DB10" i="1"/>
  <c r="DB9" i="1"/>
  <c r="DB32" i="1"/>
  <c r="DB14" i="1"/>
  <c r="DB23" i="1"/>
  <c r="DB33" i="1"/>
  <c r="CY23" i="1"/>
  <c r="CY19" i="1"/>
  <c r="CY15" i="1"/>
  <c r="CY13" i="1"/>
  <c r="CY18" i="1"/>
  <c r="CY17" i="1"/>
  <c r="X17" i="1" s="1"/>
  <c r="CA17" i="1" s="1"/>
  <c r="CY21" i="1"/>
  <c r="X21" i="1" s="1"/>
  <c r="CA21" i="1" s="1"/>
  <c r="CY35" i="1"/>
  <c r="CY22" i="1"/>
  <c r="CY25" i="1"/>
  <c r="CY30" i="1"/>
  <c r="X30" i="1" s="1"/>
  <c r="CA30" i="1" s="1"/>
  <c r="CY26" i="1"/>
  <c r="CY20" i="1"/>
  <c r="X20" i="1" s="1"/>
  <c r="CA20" i="1" s="1"/>
  <c r="CY28" i="1"/>
  <c r="CY34" i="1"/>
  <c r="X34" i="1" s="1"/>
  <c r="CA34" i="1" s="1"/>
  <c r="CY7" i="1"/>
  <c r="X7" i="1" s="1"/>
  <c r="CA7" i="1" s="1"/>
  <c r="CY8" i="1"/>
  <c r="CY12" i="1"/>
  <c r="X12" i="1" s="1"/>
  <c r="CA12" i="1" s="1"/>
  <c r="CY10" i="1"/>
  <c r="X10" i="1" s="1"/>
  <c r="CA10" i="1" s="1"/>
  <c r="CY9" i="1"/>
  <c r="CY32" i="1"/>
  <c r="X32" i="1" s="1"/>
  <c r="CA32" i="1" s="1"/>
  <c r="CY14" i="1"/>
  <c r="X14" i="1" s="1"/>
  <c r="CA14" i="1" s="1"/>
  <c r="CY33" i="1"/>
  <c r="X33" i="1" s="1"/>
  <c r="CA33" i="1" s="1"/>
  <c r="DR19" i="1"/>
  <c r="DR15" i="1"/>
  <c r="DR13" i="1"/>
  <c r="DR18" i="1"/>
  <c r="DR17" i="1"/>
  <c r="DR21" i="1"/>
  <c r="DR35" i="1"/>
  <c r="DR22" i="1"/>
  <c r="DR30" i="1"/>
  <c r="DR26" i="1"/>
  <c r="DR20" i="1"/>
  <c r="DR28" i="1"/>
  <c r="DR29" i="1"/>
  <c r="DR11" i="1"/>
  <c r="DR34" i="1"/>
  <c r="DR7" i="1"/>
  <c r="DR8" i="1"/>
  <c r="DR12" i="1"/>
  <c r="DR9" i="1"/>
  <c r="DR32" i="1"/>
  <c r="DR14" i="1"/>
  <c r="DR33" i="1"/>
  <c r="S19" i="1"/>
  <c r="S15" i="1"/>
  <c r="S22" i="1"/>
  <c r="S26" i="1"/>
  <c r="S8" i="1"/>
  <c r="S9" i="1"/>
  <c r="Z12" i="1"/>
  <c r="S13" i="1"/>
  <c r="AS5" i="1"/>
  <c r="BN5" i="1"/>
  <c r="E4" i="24" s="1"/>
  <c r="DA10" i="54"/>
  <c r="DA26" i="54"/>
  <c r="C191" i="45" l="1"/>
  <c r="H10" i="15"/>
  <c r="AC86" i="24"/>
  <c r="EB31" i="54"/>
  <c r="AC110" i="24"/>
  <c r="AC82" i="24"/>
  <c r="AC118" i="24"/>
  <c r="AC66" i="24"/>
  <c r="AC10" i="24"/>
  <c r="AC70" i="24"/>
  <c r="AC98" i="24"/>
  <c r="AC18" i="24"/>
  <c r="AC114" i="24"/>
  <c r="AC22" i="24"/>
  <c r="AC102" i="24"/>
  <c r="AC106" i="24"/>
  <c r="AC54" i="24"/>
  <c r="AC38" i="24"/>
  <c r="AC50" i="24"/>
  <c r="AC90" i="24"/>
  <c r="AC78" i="24"/>
  <c r="AC74" i="24"/>
  <c r="AC58" i="24"/>
  <c r="AC6" i="24"/>
  <c r="AC62" i="24"/>
  <c r="AC34" i="24"/>
  <c r="AC94" i="24"/>
  <c r="AC14" i="24"/>
  <c r="AC46" i="24"/>
  <c r="AC42" i="24"/>
  <c r="AC30" i="24"/>
  <c r="AC26" i="24"/>
  <c r="H32" i="15"/>
  <c r="H33" i="15"/>
  <c r="BJ5" i="54"/>
  <c r="BM5" i="36"/>
  <c r="AQ5" i="54"/>
  <c r="AR5" i="36"/>
  <c r="EB34" i="54"/>
  <c r="EB29" i="54"/>
  <c r="X8" i="1"/>
  <c r="CA8" i="1" s="1"/>
  <c r="X9" i="1"/>
  <c r="CA9" i="1" s="1"/>
  <c r="X26" i="1"/>
  <c r="CA26" i="1" s="1"/>
  <c r="X18" i="1"/>
  <c r="CA18" i="1" s="1"/>
  <c r="X15" i="1"/>
  <c r="CA15" i="1" s="1"/>
  <c r="X19" i="1"/>
  <c r="CA19" i="1" s="1"/>
  <c r="X13" i="1"/>
  <c r="CA13" i="1" s="1"/>
  <c r="AC22" i="1"/>
  <c r="X22" i="1"/>
  <c r="CA22" i="1" s="1"/>
  <c r="CW34" i="54"/>
  <c r="CY6" i="40"/>
  <c r="DW6" i="40" s="1"/>
  <c r="X10" i="26" s="1"/>
  <c r="AC9" i="1"/>
  <c r="CY5" i="40"/>
  <c r="DW5" i="40" s="1"/>
  <c r="X9" i="26" s="1"/>
  <c r="AC8" i="1"/>
  <c r="CY23" i="40"/>
  <c r="DW23" i="40" s="1"/>
  <c r="X27" i="26" s="1"/>
  <c r="AC26" i="1"/>
  <c r="CY16" i="40"/>
  <c r="AC18" i="1"/>
  <c r="CY12" i="40"/>
  <c r="DW12" i="40" s="1"/>
  <c r="X16" i="26" s="1"/>
  <c r="AC15" i="1"/>
  <c r="CY9" i="40"/>
  <c r="DW9" i="40" s="1"/>
  <c r="X14" i="26" s="1"/>
  <c r="AC13" i="1"/>
  <c r="CY17" i="40"/>
  <c r="DW17" i="40" s="1"/>
  <c r="X20" i="26" s="1"/>
  <c r="AC19" i="1"/>
  <c r="EB30" i="54"/>
  <c r="CT9" i="54"/>
  <c r="CT31" i="54"/>
  <c r="CY19" i="40"/>
  <c r="DW19" i="40" s="1"/>
  <c r="X23" i="26" s="1"/>
  <c r="CT27" i="54"/>
  <c r="CT28" i="54"/>
  <c r="DM28" i="54"/>
  <c r="CW26" i="54"/>
  <c r="CW9" i="54"/>
  <c r="CT10" i="54"/>
  <c r="CT29" i="54"/>
  <c r="CT30" i="54"/>
  <c r="DM27" i="54"/>
  <c r="DM9" i="54"/>
  <c r="CW27" i="54"/>
  <c r="EB27" i="54"/>
  <c r="CT26" i="54"/>
  <c r="DM26" i="54"/>
  <c r="DA15" i="54"/>
  <c r="DA12" i="54"/>
  <c r="CW28" i="54"/>
  <c r="CW10" i="54"/>
  <c r="DM31" i="54"/>
  <c r="DM10" i="54"/>
  <c r="DM8" i="54"/>
  <c r="DM34" i="54"/>
  <c r="DA23" i="54"/>
  <c r="DA13" i="54"/>
  <c r="CT34" i="54"/>
  <c r="CW31" i="54"/>
  <c r="EB33" i="54"/>
  <c r="EB28" i="54"/>
  <c r="DM15" i="54"/>
  <c r="CW13" i="54"/>
  <c r="CW17" i="54"/>
  <c r="CW8" i="54"/>
  <c r="DM23" i="54"/>
  <c r="CT13" i="54"/>
  <c r="DM22" i="54"/>
  <c r="DM29" i="54"/>
  <c r="DM30" i="54"/>
  <c r="CW23" i="54"/>
  <c r="CW22" i="54"/>
  <c r="CT22" i="54"/>
  <c r="DM13" i="54"/>
  <c r="CT8" i="54"/>
  <c r="CW29" i="54"/>
  <c r="CW30" i="54"/>
  <c r="DA21" i="54"/>
  <c r="DA16" i="54"/>
  <c r="CW12" i="54"/>
  <c r="CT32" i="54"/>
  <c r="CW25" i="54"/>
  <c r="CW33" i="54"/>
  <c r="DM25" i="54"/>
  <c r="DM32" i="54"/>
  <c r="CT24" i="54"/>
  <c r="CT25" i="54"/>
  <c r="CT33" i="54"/>
  <c r="DA25" i="54"/>
  <c r="DA24" i="54"/>
  <c r="CW32" i="54"/>
  <c r="CW16" i="54"/>
  <c r="CT15" i="54"/>
  <c r="CT21" i="54"/>
  <c r="CT16" i="54"/>
  <c r="DM18" i="54"/>
  <c r="CT11" i="54"/>
  <c r="CT14" i="54"/>
  <c r="DM20" i="54"/>
  <c r="DM11" i="54"/>
  <c r="CT19" i="54"/>
  <c r="DM21" i="54"/>
  <c r="CW15" i="54"/>
  <c r="DM14" i="54"/>
  <c r="CW19" i="54"/>
  <c r="CT20" i="54"/>
  <c r="DM19" i="54"/>
  <c r="CW21" i="54"/>
  <c r="CW20" i="54"/>
  <c r="DM17" i="54"/>
  <c r="DA18" i="54"/>
  <c r="DA17" i="54"/>
  <c r="DM24" i="54"/>
  <c r="CW14" i="54"/>
  <c r="CT12" i="54"/>
  <c r="DM16" i="54"/>
  <c r="CT23" i="54"/>
  <c r="CW24" i="54"/>
  <c r="CW11" i="54"/>
  <c r="CT18" i="54"/>
  <c r="DM12" i="54"/>
  <c r="CT17" i="54"/>
  <c r="CW18" i="54"/>
  <c r="EB32" i="54"/>
  <c r="DM33" i="54"/>
  <c r="AA28" i="26"/>
  <c r="C18" i="40"/>
  <c r="C14" i="40"/>
  <c r="W18" i="26"/>
  <c r="K6" i="51"/>
  <c r="C8" i="40"/>
  <c r="W12" i="26"/>
  <c r="W15" i="26"/>
  <c r="C10" i="40"/>
  <c r="C7" i="40"/>
  <c r="W11" i="26"/>
  <c r="K22" i="51"/>
  <c r="C31" i="40"/>
  <c r="W35" i="26"/>
  <c r="K29" i="51"/>
  <c r="C23" i="40"/>
  <c r="C16" i="40"/>
  <c r="C9" i="40"/>
  <c r="C6" i="40"/>
  <c r="C12" i="40"/>
  <c r="CT7" i="54"/>
  <c r="CW7" i="54"/>
  <c r="DM7" i="54"/>
  <c r="C19" i="40"/>
  <c r="AT18" i="1"/>
  <c r="AT15" i="1"/>
  <c r="AT26" i="1"/>
  <c r="AT22" i="1"/>
  <c r="AT9" i="1"/>
  <c r="AA8" i="26"/>
  <c r="AT8" i="1"/>
  <c r="AT19" i="1"/>
  <c r="AT13" i="1"/>
  <c r="K9" i="51"/>
  <c r="BL12" i="1"/>
  <c r="K28" i="51"/>
  <c r="K27" i="51"/>
  <c r="DM29" i="1"/>
  <c r="DM11" i="1"/>
  <c r="DM26" i="1"/>
  <c r="K8" i="51"/>
  <c r="K32" i="51"/>
  <c r="K10" i="51"/>
  <c r="K18" i="51"/>
  <c r="AD26" i="1"/>
  <c r="AD9" i="1"/>
  <c r="AD8" i="1"/>
  <c r="AD22" i="1"/>
  <c r="AD18" i="1"/>
  <c r="AD15" i="1"/>
  <c r="AD19" i="1"/>
  <c r="AD13" i="1"/>
  <c r="DM34" i="1"/>
  <c r="DM9" i="1"/>
  <c r="DM10" i="1"/>
  <c r="DM32" i="1"/>
  <c r="DM14" i="1"/>
  <c r="DM8" i="1"/>
  <c r="DM7" i="1"/>
  <c r="DM12" i="1"/>
  <c r="DM33" i="1"/>
  <c r="DM22" i="1"/>
  <c r="DM18" i="1"/>
  <c r="DM28" i="1"/>
  <c r="DM30" i="1"/>
  <c r="DM21" i="1"/>
  <c r="DM15" i="1"/>
  <c r="DM25" i="1"/>
  <c r="DM17" i="1"/>
  <c r="DM19" i="1"/>
  <c r="DM20" i="1"/>
  <c r="DM23" i="1"/>
  <c r="DM35" i="1"/>
  <c r="DM13" i="1"/>
  <c r="AE18" i="1"/>
  <c r="AF13" i="1"/>
  <c r="AE13" i="1"/>
  <c r="AF26" i="1"/>
  <c r="AE26" i="1"/>
  <c r="AF15" i="1"/>
  <c r="AE15" i="1"/>
  <c r="AF9" i="1"/>
  <c r="AE9" i="1"/>
  <c r="AF22" i="1"/>
  <c r="AE22" i="1"/>
  <c r="Z19" i="1"/>
  <c r="AE19" i="1"/>
  <c r="AF8" i="1"/>
  <c r="AE8" i="1"/>
  <c r="AF18" i="1"/>
  <c r="Z18" i="1"/>
  <c r="AB12" i="1"/>
  <c r="AF19" i="1"/>
  <c r="AG22" i="1"/>
  <c r="AG13" i="1"/>
  <c r="AG26" i="1"/>
  <c r="AG18" i="1"/>
  <c r="DC10" i="1"/>
  <c r="AG20" i="1"/>
  <c r="AG15" i="1"/>
  <c r="DC14" i="1"/>
  <c r="AG9" i="1"/>
  <c r="AG19" i="1"/>
  <c r="DC32" i="1"/>
  <c r="DC8" i="1"/>
  <c r="AG8" i="1"/>
  <c r="AA34" i="26"/>
  <c r="AA22" i="26"/>
  <c r="DC7" i="1"/>
  <c r="DC34" i="1"/>
  <c r="DC12" i="1"/>
  <c r="DC9" i="1"/>
  <c r="DC35" i="1"/>
  <c r="DC26" i="1"/>
  <c r="DC30" i="1"/>
  <c r="DC21" i="1"/>
  <c r="DC15" i="1"/>
  <c r="DC33" i="1"/>
  <c r="DC13" i="1"/>
  <c r="DC28" i="1"/>
  <c r="DC25" i="1"/>
  <c r="DC17" i="1"/>
  <c r="DC19" i="1"/>
  <c r="CU11" i="1"/>
  <c r="CT11" i="1" s="1"/>
  <c r="DC11" i="1"/>
  <c r="DC20" i="1"/>
  <c r="DC22" i="1"/>
  <c r="DC23" i="1"/>
  <c r="CU29" i="1"/>
  <c r="CT29" i="1" s="1"/>
  <c r="DC29" i="1"/>
  <c r="DC18" i="1"/>
  <c r="CU33" i="1"/>
  <c r="CT33" i="1" s="1"/>
  <c r="CU30" i="1"/>
  <c r="CT30" i="1" s="1"/>
  <c r="CU21" i="1"/>
  <c r="CT21" i="1" s="1"/>
  <c r="CU15" i="1"/>
  <c r="CT15" i="1" s="1"/>
  <c r="CU26" i="1"/>
  <c r="CT26" i="1" s="1"/>
  <c r="CU35" i="1"/>
  <c r="CT35" i="1" s="1"/>
  <c r="CU13" i="1"/>
  <c r="CT13" i="1" s="1"/>
  <c r="CU12" i="1"/>
  <c r="CT12" i="1" s="1"/>
  <c r="CU32" i="1"/>
  <c r="CT32" i="1" s="1"/>
  <c r="CU8" i="1"/>
  <c r="CT8" i="1" s="1"/>
  <c r="CU14" i="1"/>
  <c r="CT14" i="1" s="1"/>
  <c r="CU9" i="1"/>
  <c r="CT9" i="1" s="1"/>
  <c r="CU28" i="1"/>
  <c r="CT28" i="1" s="1"/>
  <c r="CU17" i="1"/>
  <c r="CT17" i="1" s="1"/>
  <c r="CU19" i="1"/>
  <c r="CT19" i="1" s="1"/>
  <c r="CU7" i="1"/>
  <c r="CT7" i="1" s="1"/>
  <c r="CU25" i="1"/>
  <c r="CT25" i="1" s="1"/>
  <c r="CU23" i="1"/>
  <c r="CT23" i="1" s="1"/>
  <c r="CU10" i="1"/>
  <c r="CT10" i="1" s="1"/>
  <c r="CU34" i="1"/>
  <c r="CT34" i="1" s="1"/>
  <c r="CU20" i="1"/>
  <c r="CT20" i="1" s="1"/>
  <c r="CU22" i="1"/>
  <c r="CT22" i="1" s="1"/>
  <c r="CU18" i="1"/>
  <c r="CT18" i="1" s="1"/>
  <c r="Z9" i="1"/>
  <c r="Z8" i="1"/>
  <c r="Z20" i="1"/>
  <c r="Z15" i="1"/>
  <c r="Z13" i="1"/>
  <c r="Z26" i="1"/>
  <c r="Z22" i="1"/>
  <c r="W21" i="26"/>
  <c r="W19" i="26"/>
  <c r="W16" i="26"/>
  <c r="W10" i="26"/>
  <c r="W14" i="26"/>
  <c r="W27" i="26"/>
  <c r="W23" i="26"/>
  <c r="C5" i="32"/>
  <c r="D7" i="15"/>
  <c r="DU2" i="1"/>
  <c r="DP2" i="54" s="1"/>
  <c r="DF2" i="1"/>
  <c r="DA2" i="54" s="1"/>
  <c r="DR2" i="1"/>
  <c r="DM2" i="54" s="1"/>
  <c r="DB2" i="1"/>
  <c r="CW2" i="54" s="1"/>
  <c r="CY2" i="1"/>
  <c r="CT2" i="54" s="1"/>
  <c r="DT21" i="1"/>
  <c r="DT29" i="1"/>
  <c r="DT20" i="1"/>
  <c r="DT15" i="1"/>
  <c r="AJ13" i="26"/>
  <c r="AJ12" i="26"/>
  <c r="AJ8" i="26"/>
  <c r="AJ11" i="26"/>
  <c r="DT14" i="1"/>
  <c r="DT10" i="1"/>
  <c r="DT17" i="1"/>
  <c r="DT19" i="1"/>
  <c r="DT12" i="1"/>
  <c r="DT11" i="1"/>
  <c r="DT26" i="1"/>
  <c r="DT7" i="1"/>
  <c r="DT32" i="1"/>
  <c r="DT9" i="1"/>
  <c r="DT34" i="1"/>
  <c r="DT30" i="1"/>
  <c r="DT18" i="1"/>
  <c r="DT8" i="1"/>
  <c r="DT22" i="1"/>
  <c r="DT13" i="1"/>
  <c r="AJ22" i="26"/>
  <c r="AJ30" i="26"/>
  <c r="AJ21" i="26"/>
  <c r="AJ16" i="26"/>
  <c r="AJ15" i="26"/>
  <c r="AJ18" i="26"/>
  <c r="AJ19" i="26"/>
  <c r="AJ27" i="26"/>
  <c r="AJ10" i="26"/>
  <c r="AJ35" i="26"/>
  <c r="AJ14" i="26"/>
  <c r="AJ23" i="26"/>
  <c r="DV11" i="1"/>
  <c r="DW11" i="1" s="1"/>
  <c r="DV12" i="1"/>
  <c r="DW12" i="1" s="1"/>
  <c r="DV29" i="1"/>
  <c r="DW29" i="1" s="1"/>
  <c r="DV30" i="1"/>
  <c r="DW30" i="1" s="1"/>
  <c r="DV32" i="1"/>
  <c r="DW32" i="1" s="1"/>
  <c r="DV15" i="1"/>
  <c r="DW15" i="1" s="1"/>
  <c r="DV13" i="1"/>
  <c r="DW13" i="1" s="1"/>
  <c r="DV19" i="1"/>
  <c r="DW19" i="1" s="1"/>
  <c r="DV21" i="1"/>
  <c r="DV14" i="1"/>
  <c r="DW14" i="1" s="1"/>
  <c r="DV9" i="1"/>
  <c r="DW9" i="1" s="1"/>
  <c r="DV34" i="1"/>
  <c r="DW34" i="1" s="1"/>
  <c r="DV26" i="1"/>
  <c r="DW26" i="1" s="1"/>
  <c r="DV8" i="1"/>
  <c r="DW8" i="1" s="1"/>
  <c r="DV22" i="1"/>
  <c r="DW22" i="1" s="1"/>
  <c r="DV7" i="1"/>
  <c r="DW7" i="1" s="1"/>
  <c r="DV17" i="1"/>
  <c r="DW17" i="1" s="1"/>
  <c r="DV18" i="1"/>
  <c r="DW18" i="1" s="1"/>
  <c r="DV10" i="1"/>
  <c r="DW10" i="1" s="1"/>
  <c r="DV20" i="1"/>
  <c r="DW20" i="1" s="1"/>
  <c r="C192" i="45" l="1"/>
  <c r="Q82" i="24"/>
  <c r="Q118" i="24"/>
  <c r="Q54" i="24"/>
  <c r="Q42" i="24"/>
  <c r="Q110" i="24"/>
  <c r="Q98" i="24"/>
  <c r="Q114" i="24"/>
  <c r="Q102" i="24"/>
  <c r="Q10" i="24"/>
  <c r="Q86" i="24"/>
  <c r="Q106" i="24"/>
  <c r="Q14" i="24"/>
  <c r="Q22" i="24"/>
  <c r="Q58" i="24"/>
  <c r="Q38" i="24"/>
  <c r="Q46" i="24"/>
  <c r="Q18" i="24"/>
  <c r="Q78" i="24"/>
  <c r="Q74" i="24"/>
  <c r="Q94" i="24"/>
  <c r="Q90" i="24"/>
  <c r="Q34" i="24"/>
  <c r="Q62" i="24"/>
  <c r="Q50" i="24"/>
  <c r="Q6" i="24"/>
  <c r="Q30" i="24"/>
  <c r="Q26" i="24"/>
  <c r="Q70" i="24"/>
  <c r="Q66" i="24"/>
  <c r="AF10" i="15"/>
  <c r="DW16" i="40"/>
  <c r="X19" i="26" s="1"/>
  <c r="CP34" i="54"/>
  <c r="DW21" i="1"/>
  <c r="AF32" i="15" s="1"/>
  <c r="CP31" i="54"/>
  <c r="CP27" i="54"/>
  <c r="CX31" i="54"/>
  <c r="CX10" i="54"/>
  <c r="DH27" i="54"/>
  <c r="CP28" i="54"/>
  <c r="DH26" i="54"/>
  <c r="CX26" i="54"/>
  <c r="DH9" i="54"/>
  <c r="DH28" i="54"/>
  <c r="CX28" i="54"/>
  <c r="CP10" i="54"/>
  <c r="CX9" i="54"/>
  <c r="CP26" i="54"/>
  <c r="CP9" i="54"/>
  <c r="DH10" i="54"/>
  <c r="CX34" i="54"/>
  <c r="DH34" i="54"/>
  <c r="CX27" i="54"/>
  <c r="DH31" i="54"/>
  <c r="DH13" i="54"/>
  <c r="CX13" i="54"/>
  <c r="CP13" i="54"/>
  <c r="CX22" i="54"/>
  <c r="CP8" i="54"/>
  <c r="DH22" i="54"/>
  <c r="CP22" i="54"/>
  <c r="CX29" i="54"/>
  <c r="CX30" i="54"/>
  <c r="DH8" i="54"/>
  <c r="DH29" i="54"/>
  <c r="DH30" i="54"/>
  <c r="CP29" i="54"/>
  <c r="CP30" i="54"/>
  <c r="CX8" i="54"/>
  <c r="CX25" i="54"/>
  <c r="CP32" i="54"/>
  <c r="CX33" i="54"/>
  <c r="DH24" i="54"/>
  <c r="DH33" i="54"/>
  <c r="CP25" i="54"/>
  <c r="CP24" i="54"/>
  <c r="CX24" i="54"/>
  <c r="DH25" i="54"/>
  <c r="CX32" i="54"/>
  <c r="DH32" i="54"/>
  <c r="CP12" i="54"/>
  <c r="DH14" i="54"/>
  <c r="CX21" i="54"/>
  <c r="DH17" i="54"/>
  <c r="DH21" i="54"/>
  <c r="CP15" i="54"/>
  <c r="CX14" i="54"/>
  <c r="CP14" i="54"/>
  <c r="CX18" i="54"/>
  <c r="CX19" i="54"/>
  <c r="CP21" i="54"/>
  <c r="CX20" i="54"/>
  <c r="CX12" i="54"/>
  <c r="DH15" i="54"/>
  <c r="CP19" i="54"/>
  <c r="CP17" i="54"/>
  <c r="CX15" i="54"/>
  <c r="DH19" i="54"/>
  <c r="CP20" i="54"/>
  <c r="DH20" i="54"/>
  <c r="DH12" i="54"/>
  <c r="DH16" i="54"/>
  <c r="DH18" i="54"/>
  <c r="CX23" i="54"/>
  <c r="CX16" i="54"/>
  <c r="DH11" i="54"/>
  <c r="CP11" i="54"/>
  <c r="CP23" i="54"/>
  <c r="DH23" i="54"/>
  <c r="CP16" i="54"/>
  <c r="CP18" i="54"/>
  <c r="CX11" i="54"/>
  <c r="CX17" i="54"/>
  <c r="BV29" i="54"/>
  <c r="CP33" i="54"/>
  <c r="AB35" i="26"/>
  <c r="AB30" i="26"/>
  <c r="E15" i="25"/>
  <c r="F15" i="25" s="1"/>
  <c r="Y12" i="26"/>
  <c r="Z12" i="26" s="1"/>
  <c r="AB11" i="26"/>
  <c r="AB12" i="26"/>
  <c r="E30" i="25"/>
  <c r="F30" i="25" s="1"/>
  <c r="Y18" i="26"/>
  <c r="Z18" i="26" s="1"/>
  <c r="AB15" i="26"/>
  <c r="AB18" i="26"/>
  <c r="E29" i="25"/>
  <c r="F29" i="25" s="1"/>
  <c r="Y30" i="26"/>
  <c r="Z30" i="26" s="1"/>
  <c r="E23" i="25"/>
  <c r="F23" i="25" s="1"/>
  <c r="Y35" i="26"/>
  <c r="Z35" i="26" s="1"/>
  <c r="E20" i="25"/>
  <c r="F20" i="25" s="1"/>
  <c r="Y11" i="26"/>
  <c r="Z11" i="26" s="1"/>
  <c r="E9" i="25"/>
  <c r="F9" i="25" s="1"/>
  <c r="Y15" i="26"/>
  <c r="Z15" i="26" s="1"/>
  <c r="DH7" i="54"/>
  <c r="CX7" i="54"/>
  <c r="CP7" i="54"/>
  <c r="BL9" i="1"/>
  <c r="BL22" i="1"/>
  <c r="BL13" i="1"/>
  <c r="BL26" i="1"/>
  <c r="BL15" i="1"/>
  <c r="BL20" i="1"/>
  <c r="BL8" i="1"/>
  <c r="BL19" i="1"/>
  <c r="BL18" i="1"/>
  <c r="DM2" i="1"/>
  <c r="DH2" i="54" s="1"/>
  <c r="AB16" i="26"/>
  <c r="AB21" i="26"/>
  <c r="AB14" i="26"/>
  <c r="AB10" i="26"/>
  <c r="AB23" i="26"/>
  <c r="AB19" i="26"/>
  <c r="DZ20" i="1"/>
  <c r="DZ12" i="1"/>
  <c r="AB27" i="26"/>
  <c r="E13" i="25"/>
  <c r="F13" i="25" s="1"/>
  <c r="E8" i="25"/>
  <c r="F8" i="25" s="1"/>
  <c r="E18" i="25"/>
  <c r="F18" i="25" s="1"/>
  <c r="E26" i="25"/>
  <c r="F26" i="25" s="1"/>
  <c r="E7" i="25"/>
  <c r="F7" i="25" s="1"/>
  <c r="E22" i="25"/>
  <c r="F22" i="25" s="1"/>
  <c r="DZ19" i="1"/>
  <c r="DZ15" i="1"/>
  <c r="DZ8" i="1"/>
  <c r="DZ30" i="1"/>
  <c r="DZ10" i="1"/>
  <c r="DZ34" i="1"/>
  <c r="DZ7" i="1"/>
  <c r="DZ26" i="1"/>
  <c r="DZ17" i="1"/>
  <c r="DZ11" i="1"/>
  <c r="DZ13" i="1"/>
  <c r="DZ22" i="1"/>
  <c r="DZ29" i="1"/>
  <c r="DZ32" i="1"/>
  <c r="DZ14" i="1"/>
  <c r="DZ21" i="1"/>
  <c r="DZ18" i="1"/>
  <c r="DZ9" i="1"/>
  <c r="Y19" i="26"/>
  <c r="Z19" i="26" s="1"/>
  <c r="E25" i="25"/>
  <c r="F25" i="25" s="1"/>
  <c r="AB22" i="1"/>
  <c r="AB18" i="1"/>
  <c r="AB8" i="1"/>
  <c r="AB26" i="1"/>
  <c r="AB9" i="1"/>
  <c r="AB13" i="1"/>
  <c r="AB15" i="1"/>
  <c r="AB19" i="1"/>
  <c r="AB20" i="1"/>
  <c r="Y21" i="26"/>
  <c r="Z21" i="26" s="1"/>
  <c r="DC2" i="1"/>
  <c r="CX2" i="54" s="1"/>
  <c r="Y27" i="26"/>
  <c r="Z27" i="26" s="1"/>
  <c r="Y14" i="26"/>
  <c r="Z14" i="26" s="1"/>
  <c r="Y16" i="26"/>
  <c r="Z16" i="26" s="1"/>
  <c r="Y10" i="26"/>
  <c r="Z10" i="26" s="1"/>
  <c r="Y23" i="26"/>
  <c r="Z23" i="26" s="1"/>
  <c r="BX13" i="1"/>
  <c r="BX21" i="1"/>
  <c r="BY7" i="1"/>
  <c r="BY26" i="1"/>
  <c r="BX9" i="1"/>
  <c r="BY20" i="1"/>
  <c r="BY22" i="1"/>
  <c r="BX14" i="1"/>
  <c r="BY12" i="1"/>
  <c r="BX32" i="1"/>
  <c r="BY8" i="1"/>
  <c r="BX17" i="1"/>
  <c r="BX7" i="1"/>
  <c r="BY9" i="1"/>
  <c r="BX26" i="1"/>
  <c r="BX34" i="1"/>
  <c r="BX20" i="1"/>
  <c r="BY11" i="1"/>
  <c r="BX30" i="1"/>
  <c r="BX11" i="1"/>
  <c r="BX8" i="1"/>
  <c r="BY34" i="1"/>
  <c r="BX12" i="1"/>
  <c r="BX22" i="1"/>
  <c r="BX18" i="1"/>
  <c r="BX10" i="1"/>
  <c r="BY21" i="1"/>
  <c r="BX19" i="1"/>
  <c r="BX29" i="1"/>
  <c r="BX15" i="1"/>
  <c r="BY15" i="1"/>
  <c r="BY10" i="1"/>
  <c r="BY19" i="1"/>
  <c r="BY18" i="1"/>
  <c r="BY30" i="1"/>
  <c r="BY29" i="1"/>
  <c r="BY13" i="1"/>
  <c r="BY32" i="1"/>
  <c r="BY17" i="1"/>
  <c r="C193" i="45" l="1"/>
  <c r="P10" i="15"/>
  <c r="P32" i="15"/>
  <c r="P33" i="15"/>
  <c r="CO34" i="54"/>
  <c r="CO10" i="54"/>
  <c r="CO26" i="54"/>
  <c r="CO28" i="54"/>
  <c r="CO27" i="54"/>
  <c r="CO31" i="54"/>
  <c r="CO9" i="54"/>
  <c r="CO8" i="54"/>
  <c r="CO22" i="54"/>
  <c r="CO29" i="54"/>
  <c r="CO30" i="54"/>
  <c r="CO13" i="54"/>
  <c r="CO33" i="54"/>
  <c r="CO25" i="54"/>
  <c r="CO32" i="54"/>
  <c r="CO24" i="54"/>
  <c r="CO14" i="54"/>
  <c r="CO21" i="54"/>
  <c r="CO18" i="54"/>
  <c r="CO20" i="54"/>
  <c r="CO15" i="54"/>
  <c r="CO12" i="54"/>
  <c r="CO19" i="54"/>
  <c r="CO23" i="54"/>
  <c r="CO17" i="54"/>
  <c r="CO16" i="54"/>
  <c r="CO11" i="54"/>
  <c r="AA35" i="26"/>
  <c r="AA30" i="26"/>
  <c r="AA15" i="26"/>
  <c r="AA18" i="26"/>
  <c r="AA11" i="26"/>
  <c r="AA12" i="26"/>
  <c r="CO7" i="54"/>
  <c r="CG19" i="1"/>
  <c r="CE19" i="1"/>
  <c r="CG14" i="1"/>
  <c r="CE14" i="1"/>
  <c r="CG20" i="1"/>
  <c r="CE20" i="1"/>
  <c r="CG10" i="1"/>
  <c r="CE10" i="1"/>
  <c r="CG18" i="1"/>
  <c r="CE18" i="1"/>
  <c r="CG26" i="1"/>
  <c r="CE26" i="1"/>
  <c r="CG9" i="1"/>
  <c r="CE9" i="1"/>
  <c r="CG22" i="1"/>
  <c r="CE22" i="1"/>
  <c r="CG12" i="1"/>
  <c r="CE12" i="1"/>
  <c r="CG7" i="1"/>
  <c r="CE7" i="1"/>
  <c r="CG15" i="1"/>
  <c r="CE15" i="1"/>
  <c r="CG11" i="1"/>
  <c r="CE11" i="1"/>
  <c r="CG32" i="1"/>
  <c r="CE32" i="1"/>
  <c r="CG34" i="1"/>
  <c r="CE34" i="1"/>
  <c r="CG17" i="1"/>
  <c r="CE17" i="1"/>
  <c r="CG21" i="1"/>
  <c r="CE21" i="1"/>
  <c r="CG8" i="1"/>
  <c r="CE8" i="1"/>
  <c r="CG13" i="1"/>
  <c r="CE13" i="1"/>
  <c r="CG29" i="1"/>
  <c r="CE29" i="1"/>
  <c r="CG30" i="1"/>
  <c r="CE30" i="1"/>
  <c r="Q51" i="1"/>
  <c r="AI7" i="15"/>
  <c r="D27" i="26"/>
  <c r="AA21" i="26"/>
  <c r="D14" i="26"/>
  <c r="D12" i="26"/>
  <c r="D21" i="26"/>
  <c r="D30" i="26"/>
  <c r="D16" i="26"/>
  <c r="D35" i="26"/>
  <c r="D22" i="26"/>
  <c r="D23" i="26"/>
  <c r="D8" i="26"/>
  <c r="D11" i="26"/>
  <c r="D15" i="26"/>
  <c r="D19" i="26"/>
  <c r="D18" i="26"/>
  <c r="D10" i="26"/>
  <c r="AA10" i="26"/>
  <c r="AA14" i="26"/>
  <c r="AA23" i="26"/>
  <c r="AA16" i="26"/>
  <c r="AA19" i="26"/>
  <c r="AA27" i="26"/>
  <c r="BH38" i="26"/>
  <c r="C194" i="45" l="1"/>
  <c r="DN16" i="1"/>
  <c r="DN31" i="1"/>
  <c r="H12" i="53"/>
  <c r="DN19" i="1"/>
  <c r="CF21" i="1"/>
  <c r="CF15" i="1"/>
  <c r="CF26" i="1"/>
  <c r="CF19" i="1"/>
  <c r="CF29" i="1"/>
  <c r="CF34" i="1"/>
  <c r="CF12" i="1"/>
  <c r="CF10" i="1"/>
  <c r="CF20" i="1"/>
  <c r="CF8" i="1"/>
  <c r="CF32" i="1"/>
  <c r="CF30" i="1"/>
  <c r="CF17" i="1"/>
  <c r="CF7" i="1"/>
  <c r="CF18" i="1"/>
  <c r="CF22" i="1"/>
  <c r="CF11" i="1"/>
  <c r="CF9" i="1"/>
  <c r="CF14" i="1"/>
  <c r="CF13" i="1"/>
  <c r="CH18" i="1"/>
  <c r="CH7" i="1"/>
  <c r="CH21" i="1"/>
  <c r="CH30" i="1"/>
  <c r="CH19" i="1"/>
  <c r="CH20" i="1"/>
  <c r="CH10" i="1"/>
  <c r="CH14" i="1"/>
  <c r="CH9" i="1"/>
  <c r="CH8" i="1"/>
  <c r="CH13" i="1"/>
  <c r="CH17" i="1"/>
  <c r="CH11" i="1"/>
  <c r="CH22" i="1"/>
  <c r="CH34" i="1"/>
  <c r="CH29" i="1"/>
  <c r="CH15" i="1"/>
  <c r="CH26" i="1"/>
  <c r="CH12" i="1"/>
  <c r="DN21" i="1"/>
  <c r="DN34" i="1"/>
  <c r="DN8" i="1"/>
  <c r="DN20" i="1"/>
  <c r="DN18" i="1"/>
  <c r="DN24" i="1"/>
  <c r="DN17" i="1"/>
  <c r="DN25" i="1"/>
  <c r="DN13" i="1"/>
  <c r="DN12" i="1"/>
  <c r="DN11" i="1"/>
  <c r="DN14" i="1"/>
  <c r="DN30" i="1"/>
  <c r="DN9" i="1"/>
  <c r="DN35" i="1"/>
  <c r="DN27" i="1"/>
  <c r="DN28" i="1"/>
  <c r="DN33" i="1"/>
  <c r="DN26" i="1"/>
  <c r="DN23" i="1"/>
  <c r="DN10" i="1"/>
  <c r="DN29" i="1"/>
  <c r="DN7" i="1"/>
  <c r="DN22" i="1"/>
  <c r="DN15" i="1"/>
  <c r="DN32" i="1"/>
  <c r="AB34" i="15" s="1"/>
  <c r="CH32" i="1"/>
  <c r="C195" i="45" l="1"/>
  <c r="AB35" i="15"/>
  <c r="AB25" i="15"/>
  <c r="AB10" i="15"/>
  <c r="AB27" i="15"/>
  <c r="V10" i="15"/>
  <c r="X10" i="15"/>
  <c r="AB11" i="15"/>
  <c r="AB12" i="15"/>
  <c r="AB29" i="15"/>
  <c r="AB31" i="15"/>
  <c r="AB17" i="15"/>
  <c r="AB8" i="15"/>
  <c r="AB9" i="15"/>
  <c r="AB18" i="15"/>
  <c r="AB13" i="15"/>
  <c r="AB28" i="15"/>
  <c r="AB14" i="15"/>
  <c r="V32" i="15"/>
  <c r="AB21" i="15"/>
  <c r="X32" i="15"/>
  <c r="AB32" i="15"/>
  <c r="AB24" i="15"/>
  <c r="AB33" i="15"/>
  <c r="AB16" i="15"/>
  <c r="AB19" i="15"/>
  <c r="AB22" i="15"/>
  <c r="AB20" i="15"/>
  <c r="AB15" i="15"/>
  <c r="AB30" i="15"/>
  <c r="AB26" i="15"/>
  <c r="AB23" i="15"/>
  <c r="DI10" i="54"/>
  <c r="DI32" i="54"/>
  <c r="DI25" i="54"/>
  <c r="DI12" i="54"/>
  <c r="DI24" i="54"/>
  <c r="DI27" i="54"/>
  <c r="DI31" i="54"/>
  <c r="DI15" i="54"/>
  <c r="DI26" i="54"/>
  <c r="DI29" i="54"/>
  <c r="DI34" i="54"/>
  <c r="DI20" i="54"/>
  <c r="DI9" i="54"/>
  <c r="DI18" i="54"/>
  <c r="DI14" i="54"/>
  <c r="DI8" i="54"/>
  <c r="DI33" i="54"/>
  <c r="DI11" i="54"/>
  <c r="DI28" i="54"/>
  <c r="DI22" i="54"/>
  <c r="DI19" i="54"/>
  <c r="DI21" i="54"/>
  <c r="DI23" i="54"/>
  <c r="DI30" i="54"/>
  <c r="DI13" i="54"/>
  <c r="DI17" i="54"/>
  <c r="DI16" i="54"/>
  <c r="DI7" i="54"/>
  <c r="AB7" i="15"/>
  <c r="C196" i="45" l="1"/>
  <c r="AC17" i="15"/>
  <c r="AC10" i="15"/>
  <c r="AC9" i="15"/>
  <c r="AC31" i="15"/>
  <c r="AC27" i="15"/>
  <c r="AC8" i="15"/>
  <c r="AC26" i="15"/>
  <c r="AC15" i="15"/>
  <c r="AC13" i="15"/>
  <c r="AC35" i="15"/>
  <c r="AC14" i="15"/>
  <c r="AC11" i="15"/>
  <c r="AC25" i="15"/>
  <c r="AC23" i="15"/>
  <c r="AC33" i="15"/>
  <c r="AC29" i="15"/>
  <c r="AC12" i="15"/>
  <c r="AC20" i="15"/>
  <c r="AC18" i="15"/>
  <c r="AC21" i="15"/>
  <c r="AC34" i="15"/>
  <c r="AC22" i="15"/>
  <c r="AC28" i="15"/>
  <c r="AC19" i="15"/>
  <c r="AC30" i="15"/>
  <c r="AC24" i="15"/>
  <c r="AC32" i="15"/>
  <c r="AC16" i="15"/>
  <c r="AC7" i="15"/>
  <c r="CU2" i="1"/>
  <c r="CP2" i="54" s="1"/>
  <c r="DV33" i="1"/>
  <c r="DT33" i="1"/>
  <c r="BY33" i="1"/>
  <c r="C197" i="45" l="1"/>
  <c r="BV25" i="54"/>
  <c r="BV24" i="54"/>
  <c r="BV27" i="54"/>
  <c r="BV34" i="54"/>
  <c r="DW33" i="1"/>
  <c r="AF33" i="15" s="1"/>
  <c r="BV10" i="54"/>
  <c r="BV28" i="54"/>
  <c r="BV21" i="54"/>
  <c r="AJ34" i="26"/>
  <c r="DZ33" i="1"/>
  <c r="BX33" i="1"/>
  <c r="C198" i="45" l="1"/>
  <c r="CG33" i="1"/>
  <c r="CE33" i="1"/>
  <c r="C199" i="45" l="1"/>
  <c r="CF33" i="1"/>
  <c r="V33" i="15" s="1"/>
  <c r="CH33" i="1"/>
  <c r="X33" i="15" s="1"/>
  <c r="AE7" i="15"/>
  <c r="C200" i="45" l="1"/>
  <c r="AA7" i="15"/>
  <c r="B24" i="31"/>
  <c r="B21" i="31"/>
  <c r="B50" i="31"/>
  <c r="B49" i="31"/>
  <c r="B36" i="31"/>
  <c r="B41" i="31"/>
  <c r="B7" i="31"/>
  <c r="B17" i="31"/>
  <c r="BI82" i="33"/>
  <c r="C201" i="45" l="1"/>
  <c r="BH85" i="33"/>
  <c r="BD45" i="26" s="1"/>
  <c r="BE39" i="26"/>
  <c r="BF48" i="26" s="1"/>
  <c r="I62" i="25"/>
  <c r="I41" i="25"/>
  <c r="I66" i="25"/>
  <c r="I71" i="25"/>
  <c r="C202" i="45" l="1"/>
  <c r="AN3" i="26"/>
  <c r="BD48" i="26"/>
  <c r="O8" i="20"/>
  <c r="O32" i="20"/>
  <c r="O23" i="20"/>
  <c r="O14" i="20"/>
  <c r="O31" i="20"/>
  <c r="O19" i="20"/>
  <c r="O9" i="20"/>
  <c r="O10" i="20"/>
  <c r="O25" i="20"/>
  <c r="O24" i="20"/>
  <c r="C203" i="45" l="1"/>
  <c r="AR3" i="33"/>
  <c r="BB84" i="33"/>
  <c r="BI85" i="33"/>
  <c r="N24" i="20"/>
  <c r="N25" i="20"/>
  <c r="N10" i="20"/>
  <c r="N9" i="20"/>
  <c r="N32" i="20"/>
  <c r="N31" i="20"/>
  <c r="N14" i="20"/>
  <c r="N23" i="20"/>
  <c r="N19" i="20"/>
  <c r="N8" i="20"/>
  <c r="O13" i="20"/>
  <c r="O29" i="20"/>
  <c r="O11" i="20"/>
  <c r="N11" i="20"/>
  <c r="O22" i="20"/>
  <c r="O18" i="20"/>
  <c r="O27" i="20"/>
  <c r="N27" i="20"/>
  <c r="O26" i="20"/>
  <c r="O7" i="20"/>
  <c r="O20" i="20"/>
  <c r="O16" i="20"/>
  <c r="O12" i="20"/>
  <c r="O17" i="20"/>
  <c r="O30" i="20"/>
  <c r="O15" i="20"/>
  <c r="O21" i="20"/>
  <c r="C204" i="45" l="1"/>
  <c r="N17" i="20"/>
  <c r="N12" i="20"/>
  <c r="N20" i="20"/>
  <c r="N15" i="20"/>
  <c r="N30" i="20"/>
  <c r="N16" i="20"/>
  <c r="N18" i="20"/>
  <c r="N21" i="20"/>
  <c r="N22" i="20"/>
  <c r="N29" i="20"/>
  <c r="N7" i="20"/>
  <c r="N26" i="20"/>
  <c r="N13" i="20"/>
  <c r="C205" i="45" l="1"/>
  <c r="BK87" i="33"/>
  <c r="C206" i="45" l="1"/>
  <c r="AX2" i="33"/>
  <c r="AT53" i="26" s="1"/>
  <c r="AS54" i="26" s="1"/>
  <c r="AR55" i="26" s="1"/>
  <c r="AX81" i="33"/>
  <c r="AD26" i="26"/>
  <c r="C33" i="1"/>
  <c r="EF25" i="1"/>
  <c r="EA17" i="54" s="1"/>
  <c r="S25" i="1"/>
  <c r="H16" i="15" s="1"/>
  <c r="C207" i="45" l="1"/>
  <c r="H18" i="15"/>
  <c r="EA23" i="54"/>
  <c r="EA16" i="54"/>
  <c r="EA26" i="54"/>
  <c r="EA22" i="54"/>
  <c r="EA24" i="54"/>
  <c r="EA25" i="54"/>
  <c r="EA21" i="54"/>
  <c r="EA20" i="54"/>
  <c r="EA19" i="54"/>
  <c r="EA18" i="54"/>
  <c r="EA14" i="54"/>
  <c r="EA13" i="54"/>
  <c r="EA11" i="54"/>
  <c r="EA12" i="54"/>
  <c r="EA9" i="54"/>
  <c r="EA10" i="54"/>
  <c r="X25" i="1"/>
  <c r="CA25" i="1" s="1"/>
  <c r="CY22" i="40"/>
  <c r="AC25" i="1"/>
  <c r="EA8" i="54"/>
  <c r="EA15" i="54"/>
  <c r="C11" i="40"/>
  <c r="K11" i="51"/>
  <c r="W13" i="26"/>
  <c r="EA7" i="54"/>
  <c r="C22" i="40"/>
  <c r="AT25" i="1"/>
  <c r="C34" i="26"/>
  <c r="K14" i="51"/>
  <c r="K13" i="51"/>
  <c r="K19" i="51"/>
  <c r="AD25" i="1"/>
  <c r="AE25" i="1"/>
  <c r="AF25" i="1"/>
  <c r="Z25" i="1"/>
  <c r="AG25" i="1"/>
  <c r="AX3" i="33"/>
  <c r="DT25" i="1"/>
  <c r="DV25" i="1"/>
  <c r="DW25" i="1" s="1"/>
  <c r="AF16" i="15" s="1"/>
  <c r="W26" i="26"/>
  <c r="BY25" i="1"/>
  <c r="AJ26" i="26"/>
  <c r="EG25" i="1"/>
  <c r="EB17" i="54" s="1"/>
  <c r="EN2" i="1"/>
  <c r="EI2" i="54" s="1"/>
  <c r="C26" i="26"/>
  <c r="C208" i="45" l="1"/>
  <c r="AF18" i="15"/>
  <c r="EB23" i="54"/>
  <c r="EB16" i="54"/>
  <c r="EB26" i="54"/>
  <c r="EB22" i="54"/>
  <c r="EB24" i="54"/>
  <c r="EB25" i="54"/>
  <c r="EB21" i="54"/>
  <c r="EB20" i="54"/>
  <c r="EB19" i="54"/>
  <c r="EB18" i="54"/>
  <c r="EB14" i="54"/>
  <c r="EB13" i="54"/>
  <c r="EB11" i="54"/>
  <c r="EB12" i="54"/>
  <c r="EB9" i="54"/>
  <c r="EB10" i="54"/>
  <c r="DW22" i="40"/>
  <c r="X26" i="26" s="1"/>
  <c r="EB8" i="54"/>
  <c r="EB15" i="54"/>
  <c r="AB13" i="26"/>
  <c r="E6" i="25"/>
  <c r="F6" i="25" s="1"/>
  <c r="Y13" i="26"/>
  <c r="Z13" i="26" s="1"/>
  <c r="EB7" i="54"/>
  <c r="BL25" i="1"/>
  <c r="P16" i="15" s="1"/>
  <c r="E17" i="25"/>
  <c r="F17" i="25" s="1"/>
  <c r="DZ25" i="1"/>
  <c r="AB25" i="1"/>
  <c r="AB26" i="26"/>
  <c r="EY2" i="1"/>
  <c r="ET2" i="54" s="1"/>
  <c r="BX25" i="1"/>
  <c r="Y26" i="26"/>
  <c r="Z26" i="26" s="1"/>
  <c r="C209" i="45" l="1"/>
  <c r="P18" i="15"/>
  <c r="AA13" i="26"/>
  <c r="D34" i="26"/>
  <c r="CG25" i="1"/>
  <c r="CE25" i="1"/>
  <c r="D2" i="32"/>
  <c r="E2" i="15"/>
  <c r="AA26" i="26"/>
  <c r="D26" i="26"/>
  <c r="C210" i="45" l="1"/>
  <c r="CF25" i="1"/>
  <c r="V16" i="15" s="1"/>
  <c r="CH25" i="1"/>
  <c r="X16" i="15" s="1"/>
  <c r="EB2" i="1"/>
  <c r="DW2" i="54" s="1"/>
  <c r="C211" i="45" l="1"/>
  <c r="V18" i="15"/>
  <c r="X18" i="15"/>
  <c r="U7" i="15"/>
  <c r="C212" i="45" l="1"/>
  <c r="I39" i="25"/>
  <c r="C213" i="45" l="1"/>
  <c r="EG81" i="25"/>
  <c r="EE84" i="25"/>
  <c r="EG13" i="25"/>
  <c r="C214" i="45" l="1"/>
  <c r="BB85" i="33"/>
  <c r="C215" i="45" l="1"/>
  <c r="AU85" i="33"/>
  <c r="AU84" i="33"/>
  <c r="C216" i="45" l="1"/>
  <c r="C27" i="31"/>
  <c r="BB28" i="33"/>
  <c r="C217" i="45" l="1"/>
  <c r="C28" i="36"/>
  <c r="C27" i="36"/>
  <c r="T42" i="36"/>
  <c r="F41" i="32"/>
  <c r="C19" i="36"/>
  <c r="C42" i="36"/>
  <c r="F18" i="32"/>
  <c r="T19" i="36"/>
  <c r="F43" i="32"/>
  <c r="F44" i="32"/>
  <c r="F42" i="32"/>
  <c r="T43" i="36"/>
  <c r="C55" i="36"/>
  <c r="C43" i="36"/>
  <c r="F46" i="32"/>
  <c r="F45" i="32"/>
  <c r="F48" i="32"/>
  <c r="F47" i="32"/>
  <c r="F52" i="32"/>
  <c r="F53" i="32"/>
  <c r="F50" i="32"/>
  <c r="F51" i="32"/>
  <c r="F54" i="32"/>
  <c r="F55" i="32"/>
  <c r="T55" i="36"/>
  <c r="T25" i="36"/>
  <c r="C7" i="36"/>
  <c r="C25" i="36"/>
  <c r="T7" i="36"/>
  <c r="F6" i="32"/>
  <c r="C48" i="36"/>
  <c r="T48" i="36"/>
  <c r="T49" i="36"/>
  <c r="C54" i="36"/>
  <c r="C49" i="36"/>
  <c r="T54" i="36"/>
  <c r="T51" i="36"/>
  <c r="C50" i="36"/>
  <c r="C51" i="36"/>
  <c r="T50" i="36"/>
  <c r="T52" i="36"/>
  <c r="C53" i="36"/>
  <c r="C52" i="36"/>
  <c r="T53" i="36"/>
  <c r="T45" i="36"/>
  <c r="T44" i="36"/>
  <c r="C45" i="36"/>
  <c r="C44" i="36"/>
  <c r="T46" i="36"/>
  <c r="T47" i="36"/>
  <c r="C46" i="36"/>
  <c r="C47" i="36"/>
  <c r="AD27" i="31"/>
  <c r="CY57" i="40"/>
  <c r="CW76" i="40" s="1"/>
  <c r="DU76" i="40" s="1"/>
  <c r="Y27" i="31"/>
  <c r="Y27" i="36" s="1"/>
  <c r="C57" i="40"/>
  <c r="AU27" i="31"/>
  <c r="K82" i="51"/>
  <c r="AA27" i="31"/>
  <c r="K58" i="51"/>
  <c r="AE27" i="31"/>
  <c r="BI28" i="33"/>
  <c r="AU28" i="33"/>
  <c r="AF27" i="31"/>
  <c r="BP28" i="33"/>
  <c r="AF28" i="33"/>
  <c r="CB28" i="33"/>
  <c r="BU28" i="33"/>
  <c r="Z28" i="33"/>
  <c r="AH27" i="31"/>
  <c r="BZ27" i="31"/>
  <c r="BZ27" i="36" s="1"/>
  <c r="AG27" i="31"/>
  <c r="T2" i="31"/>
  <c r="T2" i="36" s="1"/>
  <c r="C28" i="33"/>
  <c r="C218" i="45" l="1"/>
  <c r="AU28" i="36"/>
  <c r="AU27" i="36"/>
  <c r="AF28" i="36"/>
  <c r="AF27" i="36"/>
  <c r="AG28" i="36"/>
  <c r="AG27" i="36"/>
  <c r="AA28" i="36"/>
  <c r="AA27" i="36"/>
  <c r="AD28" i="36"/>
  <c r="AD27" i="36"/>
  <c r="AE28" i="36"/>
  <c r="AE27" i="36"/>
  <c r="AH28" i="36"/>
  <c r="AH27" i="36"/>
  <c r="Y42" i="36"/>
  <c r="Y28" i="36"/>
  <c r="BZ42" i="36"/>
  <c r="BZ28" i="36"/>
  <c r="AF19" i="36"/>
  <c r="AF42" i="36"/>
  <c r="AA19" i="36"/>
  <c r="AA42" i="36"/>
  <c r="AU19" i="36"/>
  <c r="AU42" i="36"/>
  <c r="AD19" i="36"/>
  <c r="AD42" i="36"/>
  <c r="AE19" i="36"/>
  <c r="AE42" i="36"/>
  <c r="AG19" i="36"/>
  <c r="AG42" i="36"/>
  <c r="AH19" i="36"/>
  <c r="AH42" i="36"/>
  <c r="BZ43" i="36"/>
  <c r="BZ19" i="36"/>
  <c r="Y43" i="36"/>
  <c r="Y19" i="36"/>
  <c r="AG55" i="36"/>
  <c r="AG43" i="36"/>
  <c r="AE55" i="36"/>
  <c r="AE43" i="36"/>
  <c r="AU55" i="36"/>
  <c r="AU43" i="36"/>
  <c r="AF55" i="36"/>
  <c r="AF43" i="36"/>
  <c r="AD55" i="36"/>
  <c r="AD43" i="36"/>
  <c r="AH55" i="36"/>
  <c r="AH43" i="36"/>
  <c r="AA55" i="36"/>
  <c r="AA43" i="36"/>
  <c r="BZ25" i="36"/>
  <c r="BZ55" i="36"/>
  <c r="Y25" i="36"/>
  <c r="Y55" i="36"/>
  <c r="AD7" i="36"/>
  <c r="AD25" i="36"/>
  <c r="AH7" i="36"/>
  <c r="AH25" i="36"/>
  <c r="AE7" i="36"/>
  <c r="AE25" i="36"/>
  <c r="AF7" i="36"/>
  <c r="AF25" i="36"/>
  <c r="AU7" i="36"/>
  <c r="AU25" i="36"/>
  <c r="AA7" i="36"/>
  <c r="AA25" i="36"/>
  <c r="AG7" i="36"/>
  <c r="AG25" i="36"/>
  <c r="Y7" i="36"/>
  <c r="BZ2" i="31"/>
  <c r="BZ2" i="36" s="1"/>
  <c r="BZ7" i="36"/>
  <c r="AU48" i="36"/>
  <c r="AD48" i="36"/>
  <c r="AG48" i="36"/>
  <c r="BZ48" i="36"/>
  <c r="AE48" i="36"/>
  <c r="AH48" i="36"/>
  <c r="AF48" i="36"/>
  <c r="AA48" i="36"/>
  <c r="Y49" i="36"/>
  <c r="Y48" i="36"/>
  <c r="AE54" i="36"/>
  <c r="AE49" i="36"/>
  <c r="AH54" i="36"/>
  <c r="AH49" i="36"/>
  <c r="AA54" i="36"/>
  <c r="AA49" i="36"/>
  <c r="AD54" i="36"/>
  <c r="AD49" i="36"/>
  <c r="AU54" i="36"/>
  <c r="AU49" i="36"/>
  <c r="AG54" i="36"/>
  <c r="AG49" i="36"/>
  <c r="BZ54" i="36"/>
  <c r="BZ49" i="36"/>
  <c r="AF54" i="36"/>
  <c r="AF49" i="36"/>
  <c r="Y51" i="36"/>
  <c r="Y54" i="36"/>
  <c r="AA50" i="36"/>
  <c r="AA51" i="36"/>
  <c r="AU50" i="36"/>
  <c r="AU51" i="36"/>
  <c r="AG50" i="36"/>
  <c r="AG51" i="36"/>
  <c r="AF50" i="36"/>
  <c r="AF51" i="36"/>
  <c r="BZ50" i="36"/>
  <c r="BZ51" i="36"/>
  <c r="AH50" i="36"/>
  <c r="AH51" i="36"/>
  <c r="AE50" i="36"/>
  <c r="AE51" i="36"/>
  <c r="AD50" i="36"/>
  <c r="AD51" i="36"/>
  <c r="Y52" i="36"/>
  <c r="Y50" i="36"/>
  <c r="AA53" i="36"/>
  <c r="AA52" i="36"/>
  <c r="AF53" i="36"/>
  <c r="AF52" i="36"/>
  <c r="AG53" i="36"/>
  <c r="AG52" i="36"/>
  <c r="BZ53" i="36"/>
  <c r="BZ52" i="36"/>
  <c r="AU53" i="36"/>
  <c r="AU52" i="36"/>
  <c r="AH53" i="36"/>
  <c r="AH52" i="36"/>
  <c r="AE53" i="36"/>
  <c r="AE52" i="36"/>
  <c r="AD53" i="36"/>
  <c r="AD52" i="36"/>
  <c r="Y44" i="36"/>
  <c r="Y53" i="36"/>
  <c r="AH45" i="36"/>
  <c r="AH44" i="36"/>
  <c r="AE45" i="36"/>
  <c r="AE44" i="36"/>
  <c r="AD45" i="36"/>
  <c r="AD44" i="36"/>
  <c r="AA45" i="36"/>
  <c r="AA44" i="36"/>
  <c r="AU45" i="36"/>
  <c r="AU44" i="36"/>
  <c r="AF45" i="36"/>
  <c r="AF44" i="36"/>
  <c r="AG45" i="36"/>
  <c r="AG44" i="36"/>
  <c r="BZ45" i="36"/>
  <c r="BZ44" i="36"/>
  <c r="Y47" i="36"/>
  <c r="Y45" i="36"/>
  <c r="AD46" i="36"/>
  <c r="AD47" i="36"/>
  <c r="AG46" i="36"/>
  <c r="AG47" i="36"/>
  <c r="AH46" i="36"/>
  <c r="AH47" i="36"/>
  <c r="BZ46" i="36"/>
  <c r="BZ47" i="36"/>
  <c r="AF46" i="36"/>
  <c r="AF47" i="36"/>
  <c r="AA46" i="36"/>
  <c r="AA47" i="36"/>
  <c r="AU46" i="36"/>
  <c r="AU47" i="36"/>
  <c r="AE46" i="36"/>
  <c r="AE47" i="36"/>
  <c r="CB27" i="31"/>
  <c r="Y46" i="36"/>
  <c r="DW57" i="40"/>
  <c r="AA28" i="33" s="1"/>
  <c r="CW70" i="40"/>
  <c r="DU70" i="40" s="1"/>
  <c r="CW50" i="40"/>
  <c r="DU50" i="40" s="1"/>
  <c r="CW57" i="40"/>
  <c r="DU57" i="40" s="1"/>
  <c r="BM27" i="31"/>
  <c r="AE28" i="33"/>
  <c r="AG64" i="31"/>
  <c r="AV38" i="31" s="1"/>
  <c r="AB28" i="33"/>
  <c r="AC28" i="33" s="1"/>
  <c r="M58" i="51"/>
  <c r="M82" i="51"/>
  <c r="Z1" i="33"/>
  <c r="Z2" i="33" s="1"/>
  <c r="BY27" i="31"/>
  <c r="BY27" i="36" s="1"/>
  <c r="AA2" i="31"/>
  <c r="AA2" i="36" s="1"/>
  <c r="AH2" i="31"/>
  <c r="AH2" i="36" s="1"/>
  <c r="W2" i="31"/>
  <c r="W2" i="36" s="1"/>
  <c r="C2" i="31"/>
  <c r="C2" i="36" s="1"/>
  <c r="AC27" i="31"/>
  <c r="C219" i="45" l="1"/>
  <c r="AC28" i="36"/>
  <c r="AC27" i="36"/>
  <c r="CB28" i="36"/>
  <c r="CB27" i="36"/>
  <c r="N26" i="32"/>
  <c r="BM27" i="36"/>
  <c r="BY42" i="36"/>
  <c r="BY28" i="36"/>
  <c r="N27" i="32"/>
  <c r="BM28" i="36"/>
  <c r="AC19" i="36"/>
  <c r="AC42" i="36"/>
  <c r="BM42" i="36"/>
  <c r="N41" i="32"/>
  <c r="CB19" i="36"/>
  <c r="CB42" i="36"/>
  <c r="BY43" i="36"/>
  <c r="BY19" i="36"/>
  <c r="BM19" i="36"/>
  <c r="N18" i="32"/>
  <c r="N43" i="32"/>
  <c r="N44" i="32"/>
  <c r="N42" i="32"/>
  <c r="BM43" i="36"/>
  <c r="CB55" i="36"/>
  <c r="CB43" i="36"/>
  <c r="AC55" i="36"/>
  <c r="AC43" i="36"/>
  <c r="N46" i="32"/>
  <c r="N45" i="32"/>
  <c r="N48" i="32"/>
  <c r="N47" i="32"/>
  <c r="N52" i="32"/>
  <c r="N53" i="32"/>
  <c r="H14" i="32"/>
  <c r="B14" i="32" s="1"/>
  <c r="H13" i="32"/>
  <c r="B13" i="32" s="1"/>
  <c r="N50" i="32"/>
  <c r="N51" i="32"/>
  <c r="N54" i="32"/>
  <c r="B38" i="31"/>
  <c r="BY25" i="36"/>
  <c r="BY55" i="36"/>
  <c r="N55" i="32"/>
  <c r="BM55" i="36"/>
  <c r="AC7" i="36"/>
  <c r="AC25" i="36"/>
  <c r="CB7" i="36"/>
  <c r="CB25" i="36"/>
  <c r="BM25" i="36"/>
  <c r="N6" i="32"/>
  <c r="BM7" i="36"/>
  <c r="BY7" i="36"/>
  <c r="BY2" i="31"/>
  <c r="BY2" i="36" s="1"/>
  <c r="CB48" i="36"/>
  <c r="AC48" i="36"/>
  <c r="BY48" i="36"/>
  <c r="BM48" i="36"/>
  <c r="CB54" i="36"/>
  <c r="CB49" i="36"/>
  <c r="BM49" i="36"/>
  <c r="AC54" i="36"/>
  <c r="AC49" i="36"/>
  <c r="BY54" i="36"/>
  <c r="BY49" i="36"/>
  <c r="BM54" i="36"/>
  <c r="BY50" i="36"/>
  <c r="BY51" i="36"/>
  <c r="BM51" i="36"/>
  <c r="AC50" i="36"/>
  <c r="AC51" i="36"/>
  <c r="CB50" i="36"/>
  <c r="CB51" i="36"/>
  <c r="BM50" i="36"/>
  <c r="BM52" i="36"/>
  <c r="CB53" i="36"/>
  <c r="CB52" i="36"/>
  <c r="BY53" i="36"/>
  <c r="BY52" i="36"/>
  <c r="AC53" i="36"/>
  <c r="AC52" i="36"/>
  <c r="BM53" i="36"/>
  <c r="CB45" i="36"/>
  <c r="CB44" i="36"/>
  <c r="AC45" i="36"/>
  <c r="AC44" i="36"/>
  <c r="BY45" i="36"/>
  <c r="BY44" i="36"/>
  <c r="BM45" i="36"/>
  <c r="BM44" i="36"/>
  <c r="BY46" i="36"/>
  <c r="BY47" i="36"/>
  <c r="CB46" i="36"/>
  <c r="CB47" i="36"/>
  <c r="BM46" i="36"/>
  <c r="BM47" i="36"/>
  <c r="AC46" i="36"/>
  <c r="AC47" i="36"/>
  <c r="AV20" i="31"/>
  <c r="H11" i="32" s="1"/>
  <c r="AV46" i="31"/>
  <c r="AV40" i="31"/>
  <c r="AV27" i="31"/>
  <c r="H41" i="32" s="1"/>
  <c r="B25" i="31"/>
  <c r="B31" i="31"/>
  <c r="CF27" i="31"/>
  <c r="CH27" i="31"/>
  <c r="AD28" i="33"/>
  <c r="C2" i="33"/>
  <c r="E28" i="33"/>
  <c r="CD2" i="31"/>
  <c r="CD2" i="36" s="1"/>
  <c r="BW2" i="31"/>
  <c r="BW2" i="36" s="1"/>
  <c r="C220" i="45" l="1"/>
  <c r="CH28" i="36"/>
  <c r="CH27" i="36"/>
  <c r="CF28" i="36"/>
  <c r="CF27" i="36"/>
  <c r="H33" i="32"/>
  <c r="B33" i="32" s="1"/>
  <c r="H40" i="32"/>
  <c r="H39" i="32"/>
  <c r="H38" i="32"/>
  <c r="H37" i="32"/>
  <c r="B37" i="32" s="1"/>
  <c r="H36" i="32"/>
  <c r="AE36" i="32" s="1"/>
  <c r="H35" i="32"/>
  <c r="H34" i="32"/>
  <c r="AE34" i="32" s="1"/>
  <c r="H12" i="32"/>
  <c r="H32" i="32"/>
  <c r="CH19" i="36"/>
  <c r="CH42" i="36"/>
  <c r="CF19" i="36"/>
  <c r="CF42" i="36"/>
  <c r="H9" i="32"/>
  <c r="B9" i="32" s="1"/>
  <c r="H10" i="32"/>
  <c r="AV10" i="36"/>
  <c r="AV9" i="36"/>
  <c r="H8" i="32"/>
  <c r="H43" i="32"/>
  <c r="H44" i="32"/>
  <c r="H45" i="32"/>
  <c r="AV43" i="36"/>
  <c r="H42" i="32"/>
  <c r="CF55" i="36"/>
  <c r="CF43" i="36"/>
  <c r="CH55" i="36"/>
  <c r="CH43" i="36"/>
  <c r="H47" i="32"/>
  <c r="H46" i="32"/>
  <c r="AE14" i="32"/>
  <c r="H49" i="32"/>
  <c r="B49" i="32" s="1"/>
  <c r="H48" i="32"/>
  <c r="AE13" i="32"/>
  <c r="H17" i="32"/>
  <c r="B17" i="32" s="1"/>
  <c r="H15" i="32"/>
  <c r="H16" i="32"/>
  <c r="AV17" i="36"/>
  <c r="H19" i="32"/>
  <c r="AE19" i="32" s="1"/>
  <c r="H18" i="32"/>
  <c r="H52" i="32"/>
  <c r="H21" i="32"/>
  <c r="H51" i="32"/>
  <c r="H30" i="32"/>
  <c r="H20" i="32"/>
  <c r="B11" i="32"/>
  <c r="AE11" i="32"/>
  <c r="H54" i="32"/>
  <c r="H50" i="32"/>
  <c r="H31" i="32"/>
  <c r="AE31" i="32" s="1"/>
  <c r="H23" i="32"/>
  <c r="AE23" i="32" s="1"/>
  <c r="H22" i="32"/>
  <c r="H28" i="32"/>
  <c r="AE28" i="32" s="1"/>
  <c r="H29" i="32"/>
  <c r="H24" i="32"/>
  <c r="B24" i="32" s="1"/>
  <c r="H27" i="32"/>
  <c r="H26" i="32"/>
  <c r="H53" i="32"/>
  <c r="AV7" i="36"/>
  <c r="H55" i="32"/>
  <c r="AV55" i="36"/>
  <c r="AV23" i="36"/>
  <c r="H25" i="32"/>
  <c r="O6" i="32"/>
  <c r="O28" i="32"/>
  <c r="O46" i="32"/>
  <c r="O32" i="32"/>
  <c r="O36" i="32"/>
  <c r="O38" i="32"/>
  <c r="O54" i="32"/>
  <c r="O42" i="32"/>
  <c r="O47" i="32"/>
  <c r="O30" i="32"/>
  <c r="O50" i="32"/>
  <c r="O13" i="32"/>
  <c r="O39" i="32"/>
  <c r="O26" i="32"/>
  <c r="O17" i="32"/>
  <c r="O16" i="32"/>
  <c r="O35" i="32"/>
  <c r="O27" i="32"/>
  <c r="O41" i="32"/>
  <c r="O45" i="32"/>
  <c r="O22" i="32"/>
  <c r="O20" i="32"/>
  <c r="O24" i="32"/>
  <c r="O37" i="32"/>
  <c r="O44" i="32"/>
  <c r="O11" i="32"/>
  <c r="O19" i="32"/>
  <c r="O34" i="32"/>
  <c r="O52" i="32"/>
  <c r="O15" i="32"/>
  <c r="O14" i="32"/>
  <c r="O25" i="32"/>
  <c r="O18" i="32"/>
  <c r="O40" i="32"/>
  <c r="O29" i="32"/>
  <c r="O53" i="32"/>
  <c r="O48" i="32"/>
  <c r="O33" i="32"/>
  <c r="O31" i="32"/>
  <c r="O8" i="32"/>
  <c r="O12" i="32"/>
  <c r="O55" i="32"/>
  <c r="O43" i="32"/>
  <c r="O23" i="32"/>
  <c r="O7" i="32"/>
  <c r="O49" i="32"/>
  <c r="O10" i="32"/>
  <c r="O51" i="32"/>
  <c r="O21" i="32"/>
  <c r="O9" i="32"/>
  <c r="CH7" i="36"/>
  <c r="CH25" i="36"/>
  <c r="CF7" i="36"/>
  <c r="CF25" i="36"/>
  <c r="CF48" i="36"/>
  <c r="CH48" i="36"/>
  <c r="AV48" i="36"/>
  <c r="AV18" i="36"/>
  <c r="AV11" i="36"/>
  <c r="CH54" i="36"/>
  <c r="CH49" i="36"/>
  <c r="CF54" i="36"/>
  <c r="CF49" i="36"/>
  <c r="AV40" i="36"/>
  <c r="AV49" i="36"/>
  <c r="AV16" i="36"/>
  <c r="AV20" i="36"/>
  <c r="AV21" i="36"/>
  <c r="AV15" i="36"/>
  <c r="AV30" i="36"/>
  <c r="AV29" i="36"/>
  <c r="AV54" i="36"/>
  <c r="AV39" i="36"/>
  <c r="AV12" i="36"/>
  <c r="CH50" i="36"/>
  <c r="CH51" i="36"/>
  <c r="CF50" i="36"/>
  <c r="CF51" i="36"/>
  <c r="AV51" i="36"/>
  <c r="AV50" i="36"/>
  <c r="CH53" i="36"/>
  <c r="CH52" i="36"/>
  <c r="CF53" i="36"/>
  <c r="CF52" i="36"/>
  <c r="AV52" i="36"/>
  <c r="AV34" i="36"/>
  <c r="AV53" i="36"/>
  <c r="CH45" i="36"/>
  <c r="CH44" i="36"/>
  <c r="CF45" i="36"/>
  <c r="CF44" i="36"/>
  <c r="AV45" i="36"/>
  <c r="AV44" i="36"/>
  <c r="AV38" i="36"/>
  <c r="AV35" i="36"/>
  <c r="AV13" i="36"/>
  <c r="AV14" i="36"/>
  <c r="AV19" i="36"/>
  <c r="AV24" i="36"/>
  <c r="AV22" i="36"/>
  <c r="AV32" i="36"/>
  <c r="AV31" i="36"/>
  <c r="AV33" i="36"/>
  <c r="AV26" i="36"/>
  <c r="AV25" i="36"/>
  <c r="CH46" i="36"/>
  <c r="CH47" i="36"/>
  <c r="AV46" i="36"/>
  <c r="AV47" i="36"/>
  <c r="CF46" i="36"/>
  <c r="CF47" i="36"/>
  <c r="AV42" i="36"/>
  <c r="AV41" i="36"/>
  <c r="AV37" i="36"/>
  <c r="AV36" i="36"/>
  <c r="AV28" i="36"/>
  <c r="AV27" i="36"/>
  <c r="B19" i="31"/>
  <c r="B20" i="31"/>
  <c r="H6" i="32"/>
  <c r="CG27" i="31"/>
  <c r="B33" i="31"/>
  <c r="CI27" i="31"/>
  <c r="B53" i="31"/>
  <c r="B22" i="31"/>
  <c r="B30" i="31"/>
  <c r="B42" i="31"/>
  <c r="B40" i="31"/>
  <c r="B46" i="31"/>
  <c r="B55" i="31"/>
  <c r="BX2" i="31"/>
  <c r="BX2" i="36" s="1"/>
  <c r="B9" i="31"/>
  <c r="B8" i="31"/>
  <c r="C221" i="45" l="1"/>
  <c r="CI27" i="36"/>
  <c r="V26" i="32"/>
  <c r="AE33" i="32"/>
  <c r="CG27" i="36"/>
  <c r="T26" i="32"/>
  <c r="CI28" i="36"/>
  <c r="V27" i="32"/>
  <c r="AE40" i="32"/>
  <c r="B40" i="32"/>
  <c r="AE37" i="32"/>
  <c r="CG28" i="36"/>
  <c r="T27" i="32"/>
  <c r="AE39" i="32"/>
  <c r="B39" i="32"/>
  <c r="B36" i="32"/>
  <c r="B38" i="32"/>
  <c r="AE38" i="32"/>
  <c r="B35" i="32"/>
  <c r="AE35" i="32"/>
  <c r="B34" i="32"/>
  <c r="B12" i="32"/>
  <c r="AE12" i="32"/>
  <c r="B32" i="32"/>
  <c r="AE32" i="32"/>
  <c r="AE9" i="32"/>
  <c r="CG42" i="36"/>
  <c r="T41" i="32"/>
  <c r="V41" i="32"/>
  <c r="CI42" i="36"/>
  <c r="B10" i="32"/>
  <c r="AE10" i="32"/>
  <c r="T18" i="32"/>
  <c r="CG19" i="36"/>
  <c r="CI19" i="36"/>
  <c r="V18" i="32"/>
  <c r="B8" i="32"/>
  <c r="AE8" i="32"/>
  <c r="V43" i="32"/>
  <c r="V44" i="32"/>
  <c r="T43" i="32"/>
  <c r="T44" i="32"/>
  <c r="V42" i="32"/>
  <c r="CI43" i="36"/>
  <c r="T42" i="32"/>
  <c r="CG43" i="36"/>
  <c r="V46" i="32"/>
  <c r="V45" i="32"/>
  <c r="T46" i="32"/>
  <c r="T45" i="32"/>
  <c r="V48" i="32"/>
  <c r="V47" i="32"/>
  <c r="T48" i="32"/>
  <c r="T47" i="32"/>
  <c r="T52" i="32"/>
  <c r="T53" i="32"/>
  <c r="V52" i="32"/>
  <c r="V53" i="32"/>
  <c r="AE49" i="32"/>
  <c r="AE17" i="32"/>
  <c r="B15" i="32"/>
  <c r="AE15" i="32"/>
  <c r="B19" i="32"/>
  <c r="B16" i="32"/>
  <c r="AE16" i="32"/>
  <c r="AE21" i="32"/>
  <c r="B21" i="32"/>
  <c r="B30" i="32"/>
  <c r="AE30" i="32"/>
  <c r="AE20" i="32"/>
  <c r="B20" i="32"/>
  <c r="T50" i="32"/>
  <c r="T51" i="32"/>
  <c r="V50" i="32"/>
  <c r="V51" i="32"/>
  <c r="B31" i="32"/>
  <c r="B23" i="32"/>
  <c r="T54" i="32"/>
  <c r="V54" i="32"/>
  <c r="AE22" i="32"/>
  <c r="B22" i="32"/>
  <c r="B28" i="32"/>
  <c r="AE29" i="32"/>
  <c r="B29" i="32"/>
  <c r="AE24" i="32"/>
  <c r="I41" i="32"/>
  <c r="T55" i="32"/>
  <c r="CG55" i="36"/>
  <c r="V55" i="32"/>
  <c r="CI55" i="36"/>
  <c r="I28" i="32"/>
  <c r="I50" i="32"/>
  <c r="I38" i="32"/>
  <c r="I47" i="32"/>
  <c r="I11" i="32"/>
  <c r="I52" i="32"/>
  <c r="I40" i="32"/>
  <c r="I18" i="32"/>
  <c r="I29" i="32"/>
  <c r="I19" i="32"/>
  <c r="I16" i="32"/>
  <c r="I32" i="32"/>
  <c r="I33" i="32"/>
  <c r="I34" i="32"/>
  <c r="I42" i="32"/>
  <c r="I36" i="32"/>
  <c r="I22" i="32"/>
  <c r="I35" i="32"/>
  <c r="I31" i="32"/>
  <c r="I44" i="32"/>
  <c r="I23" i="32"/>
  <c r="I46" i="32"/>
  <c r="I14" i="32"/>
  <c r="I49" i="32"/>
  <c r="I13" i="32"/>
  <c r="I21" i="32"/>
  <c r="I10" i="32"/>
  <c r="I20" i="32"/>
  <c r="I6" i="32"/>
  <c r="I43" i="32"/>
  <c r="I39" i="32"/>
  <c r="I55" i="32"/>
  <c r="I51" i="32"/>
  <c r="I15" i="32"/>
  <c r="I48" i="32"/>
  <c r="I27" i="32"/>
  <c r="I45" i="32"/>
  <c r="I7" i="32"/>
  <c r="I53" i="32"/>
  <c r="I8" i="32"/>
  <c r="I24" i="32"/>
  <c r="I30" i="32"/>
  <c r="I12" i="32"/>
  <c r="I37" i="32"/>
  <c r="I17" i="32"/>
  <c r="I54" i="32"/>
  <c r="I9" i="32"/>
  <c r="I26" i="32"/>
  <c r="AE25" i="32"/>
  <c r="B25" i="32"/>
  <c r="I25" i="32"/>
  <c r="CI25" i="36"/>
  <c r="CG25" i="36"/>
  <c r="V6" i="32"/>
  <c r="CI7" i="36"/>
  <c r="T6" i="32"/>
  <c r="CG7" i="36"/>
  <c r="CI48" i="36"/>
  <c r="CG48" i="36"/>
  <c r="B11" i="36"/>
  <c r="CI49" i="36"/>
  <c r="CG49" i="36"/>
  <c r="B10" i="36"/>
  <c r="B20" i="36"/>
  <c r="B12" i="36"/>
  <c r="CG54" i="36"/>
  <c r="CI54" i="36"/>
  <c r="CI51" i="36"/>
  <c r="CG51" i="36"/>
  <c r="CI50" i="36"/>
  <c r="CG50" i="36"/>
  <c r="CI52" i="36"/>
  <c r="CG52" i="36"/>
  <c r="CG53" i="36"/>
  <c r="CI53" i="36"/>
  <c r="CG45" i="36"/>
  <c r="CG44" i="36"/>
  <c r="B17" i="36"/>
  <c r="B18" i="36"/>
  <c r="CI45" i="36"/>
  <c r="CI44" i="36"/>
  <c r="B38" i="36"/>
  <c r="B35" i="36"/>
  <c r="B34" i="36"/>
  <c r="B22" i="36"/>
  <c r="B19" i="36"/>
  <c r="B23" i="36"/>
  <c r="B21" i="36"/>
  <c r="B15" i="36"/>
  <c r="B16" i="36"/>
  <c r="B31" i="36"/>
  <c r="B8" i="36"/>
  <c r="B9" i="36"/>
  <c r="B24" i="36"/>
  <c r="B26" i="36"/>
  <c r="CG46" i="36"/>
  <c r="CG47" i="36"/>
  <c r="CI46" i="36"/>
  <c r="CI47" i="36"/>
  <c r="B13" i="36"/>
  <c r="B14" i="36"/>
  <c r="B33" i="36"/>
  <c r="B29" i="36"/>
  <c r="B39" i="36"/>
  <c r="B40" i="36"/>
  <c r="B41" i="36"/>
  <c r="B37" i="36"/>
  <c r="B36" i="36"/>
  <c r="B32" i="36"/>
  <c r="B30" i="36"/>
  <c r="B27" i="31"/>
  <c r="B46" i="36" s="1"/>
  <c r="C222" i="45" l="1"/>
  <c r="B26" i="32"/>
  <c r="AE26" i="32"/>
  <c r="B27" i="36"/>
  <c r="B27" i="32"/>
  <c r="AE27" i="32"/>
  <c r="B28" i="36"/>
  <c r="AE18" i="32"/>
  <c r="A20" i="31" s="1"/>
  <c r="A37" i="57" s="1"/>
  <c r="B42" i="36"/>
  <c r="B41" i="32"/>
  <c r="AE41" i="32"/>
  <c r="A42" i="31" s="1"/>
  <c r="A54" i="57" s="1"/>
  <c r="B18" i="32"/>
  <c r="B43" i="32"/>
  <c r="B44" i="32"/>
  <c r="A14" i="31"/>
  <c r="A45" i="57" s="1"/>
  <c r="AE44" i="32"/>
  <c r="AE43" i="32"/>
  <c r="A23" i="31" s="1"/>
  <c r="A47" i="57" s="1"/>
  <c r="A33" i="31"/>
  <c r="A55" i="57" s="1"/>
  <c r="B42" i="32"/>
  <c r="B46" i="32"/>
  <c r="AE42" i="32"/>
  <c r="B43" i="36"/>
  <c r="AE46" i="32"/>
  <c r="B45" i="32"/>
  <c r="AE45" i="32"/>
  <c r="AE48" i="32"/>
  <c r="B48" i="32"/>
  <c r="AE52" i="32"/>
  <c r="AE53" i="32"/>
  <c r="A38" i="31"/>
  <c r="AE47" i="32"/>
  <c r="B47" i="32"/>
  <c r="A24" i="31"/>
  <c r="A49" i="57" s="1"/>
  <c r="B53" i="32"/>
  <c r="B52" i="32"/>
  <c r="A9" i="31"/>
  <c r="A35" i="57" s="1"/>
  <c r="A21" i="31"/>
  <c r="A46" i="57" s="1"/>
  <c r="AE50" i="32"/>
  <c r="B50" i="32"/>
  <c r="A39" i="31"/>
  <c r="A61" i="57" s="1"/>
  <c r="A11" i="31"/>
  <c r="A56" i="57" s="1"/>
  <c r="A30" i="31"/>
  <c r="A53" i="57" s="1"/>
  <c r="A26" i="31"/>
  <c r="A51" i="57" s="1"/>
  <c r="AE51" i="32"/>
  <c r="B51" i="32"/>
  <c r="A12" i="31"/>
  <c r="A39" i="57" s="1"/>
  <c r="A13" i="31"/>
  <c r="A40" i="57" s="1"/>
  <c r="B55" i="36"/>
  <c r="AE54" i="32"/>
  <c r="B54" i="32"/>
  <c r="A34" i="31"/>
  <c r="A58" i="57" s="1"/>
  <c r="A15" i="31"/>
  <c r="A38" i="57" s="1"/>
  <c r="A8" i="31"/>
  <c r="A52" i="57" s="1"/>
  <c r="A32" i="31"/>
  <c r="A68" i="57" s="1"/>
  <c r="A40" i="31"/>
  <c r="A57" i="57" s="1"/>
  <c r="B55" i="32"/>
  <c r="AE55" i="32"/>
  <c r="W28" i="32"/>
  <c r="W6" i="32"/>
  <c r="W46" i="32"/>
  <c r="W36" i="32"/>
  <c r="W32" i="32"/>
  <c r="W38" i="32"/>
  <c r="W54" i="32"/>
  <c r="W42" i="32"/>
  <c r="W47" i="32"/>
  <c r="W30" i="32"/>
  <c r="W50" i="32"/>
  <c r="W26" i="32"/>
  <c r="W39" i="32"/>
  <c r="W13" i="32"/>
  <c r="W17" i="32"/>
  <c r="W16" i="32"/>
  <c r="W35" i="32"/>
  <c r="W41" i="32"/>
  <c r="W45" i="32"/>
  <c r="W27" i="32"/>
  <c r="W20" i="32"/>
  <c r="W22" i="32"/>
  <c r="W24" i="32"/>
  <c r="W37" i="32"/>
  <c r="W44" i="32"/>
  <c r="W11" i="32"/>
  <c r="W19" i="32"/>
  <c r="W34" i="32"/>
  <c r="W52" i="32"/>
  <c r="W15" i="32"/>
  <c r="W14" i="32"/>
  <c r="W25" i="32"/>
  <c r="W40" i="32"/>
  <c r="W18" i="32"/>
  <c r="W29" i="32"/>
  <c r="W33" i="32"/>
  <c r="W53" i="32"/>
  <c r="W31" i="32"/>
  <c r="W8" i="32"/>
  <c r="W12" i="32"/>
  <c r="W55" i="32"/>
  <c r="W43" i="32"/>
  <c r="W23" i="32"/>
  <c r="W49" i="32"/>
  <c r="W21" i="32"/>
  <c r="W7" i="32"/>
  <c r="W10" i="32"/>
  <c r="W51" i="32"/>
  <c r="W48" i="32"/>
  <c r="W9" i="32"/>
  <c r="U6" i="32"/>
  <c r="U28" i="32"/>
  <c r="U36" i="32"/>
  <c r="U32" i="32"/>
  <c r="U54" i="32"/>
  <c r="U47" i="32"/>
  <c r="U30" i="32"/>
  <c r="U50" i="32"/>
  <c r="U26" i="32"/>
  <c r="U39" i="32"/>
  <c r="U16" i="32"/>
  <c r="U17" i="32"/>
  <c r="U35" i="32"/>
  <c r="U41" i="32"/>
  <c r="U45" i="32"/>
  <c r="U27" i="32"/>
  <c r="U13" i="32"/>
  <c r="U20" i="32"/>
  <c r="U22" i="32"/>
  <c r="U24" i="32"/>
  <c r="U37" i="32"/>
  <c r="U44" i="32"/>
  <c r="U34" i="32"/>
  <c r="U19" i="32"/>
  <c r="U52" i="32"/>
  <c r="U14" i="32"/>
  <c r="U40" i="32"/>
  <c r="U18" i="32"/>
  <c r="U29" i="32"/>
  <c r="U53" i="32"/>
  <c r="U46" i="32"/>
  <c r="U33" i="32"/>
  <c r="U31" i="32"/>
  <c r="U15" i="32"/>
  <c r="U12" i="32"/>
  <c r="U55" i="32"/>
  <c r="U23" i="32"/>
  <c r="U43" i="32"/>
  <c r="U11" i="32"/>
  <c r="U21" i="32"/>
  <c r="U51" i="32"/>
  <c r="U42" i="32"/>
  <c r="U25" i="32"/>
  <c r="U7" i="32"/>
  <c r="U49" i="32"/>
  <c r="U10" i="32"/>
  <c r="U8" i="32"/>
  <c r="U48" i="32"/>
  <c r="U38" i="32"/>
  <c r="U9" i="32"/>
  <c r="B6" i="32"/>
  <c r="B7" i="36"/>
  <c r="AE6" i="32"/>
  <c r="B25" i="36"/>
  <c r="B48" i="36"/>
  <c r="B49" i="36"/>
  <c r="B54" i="36"/>
  <c r="B51" i="36"/>
  <c r="B50" i="36"/>
  <c r="B52" i="36"/>
  <c r="B53" i="36"/>
  <c r="B44" i="36"/>
  <c r="B45" i="36"/>
  <c r="B47" i="36"/>
  <c r="C223" i="45" l="1"/>
  <c r="A19" i="31"/>
  <c r="A41" i="57" s="1"/>
  <c r="A48" i="31"/>
  <c r="A42" i="57" s="1"/>
  <c r="A43" i="31"/>
  <c r="A63" i="57" s="1"/>
  <c r="A45" i="31"/>
  <c r="A66" i="57" s="1"/>
  <c r="A44" i="31"/>
  <c r="A67" i="57" s="1"/>
  <c r="A29" i="31"/>
  <c r="A64" i="57" s="1"/>
  <c r="A47" i="31"/>
  <c r="A69" i="57" s="1"/>
  <c r="A31" i="31"/>
  <c r="A73" i="57" s="1"/>
  <c r="A52" i="31"/>
  <c r="B68" i="40"/>
  <c r="A60" i="57"/>
  <c r="A50" i="31"/>
  <c r="A76" i="57" s="1"/>
  <c r="A18" i="31"/>
  <c r="A43" i="57" s="1"/>
  <c r="A25" i="31"/>
  <c r="A48" i="57" s="1"/>
  <c r="A28" i="31"/>
  <c r="A65" i="57" s="1"/>
  <c r="A35" i="31"/>
  <c r="A22" i="31"/>
  <c r="A74" i="57" s="1"/>
  <c r="A54" i="31"/>
  <c r="A77" i="57" s="1"/>
  <c r="A39" i="33"/>
  <c r="A41" i="31"/>
  <c r="A79" i="57" s="1"/>
  <c r="A51" i="31"/>
  <c r="A80" i="57" s="1"/>
  <c r="A17" i="31"/>
  <c r="A50" i="57" s="1"/>
  <c r="A16" i="31"/>
  <c r="A44" i="57" s="1"/>
  <c r="A46" i="31"/>
  <c r="A78" i="57" s="1"/>
  <c r="A10" i="31"/>
  <c r="A36" i="57" s="1"/>
  <c r="A36" i="31"/>
  <c r="A59" i="57" s="1"/>
  <c r="A53" i="31"/>
  <c r="A81" i="57" s="1"/>
  <c r="A49" i="31"/>
  <c r="A75" i="57" s="1"/>
  <c r="A55" i="31"/>
  <c r="A82" i="57" s="1"/>
  <c r="A56" i="31"/>
  <c r="A83" i="57" s="1"/>
  <c r="A27" i="31"/>
  <c r="A72" i="57" s="1"/>
  <c r="A7" i="31"/>
  <c r="A34" i="57" s="1"/>
  <c r="A37" i="31"/>
  <c r="A62" i="57" s="1"/>
  <c r="AF10" i="32"/>
  <c r="AF18" i="32"/>
  <c r="AF48" i="32"/>
  <c r="AF53" i="32"/>
  <c r="AF11" i="32"/>
  <c r="AF8" i="32"/>
  <c r="AF45" i="32"/>
  <c r="AF32" i="32"/>
  <c r="AF12" i="32"/>
  <c r="AF37" i="32"/>
  <c r="AF24" i="32"/>
  <c r="AF16" i="32"/>
  <c r="AF46" i="32"/>
  <c r="AF49" i="32"/>
  <c r="AF47" i="32"/>
  <c r="AF21" i="32"/>
  <c r="AF22" i="32"/>
  <c r="AF20" i="32"/>
  <c r="AF26" i="32"/>
  <c r="AF30" i="32"/>
  <c r="AF15" i="32"/>
  <c r="AF19" i="32"/>
  <c r="AF31" i="32"/>
  <c r="AF34" i="32"/>
  <c r="AF42" i="32"/>
  <c r="AF44" i="32"/>
  <c r="AF39" i="32"/>
  <c r="AF25" i="32"/>
  <c r="AF51" i="32"/>
  <c r="AF23" i="32"/>
  <c r="AF38" i="32"/>
  <c r="AF35" i="32"/>
  <c r="AF36" i="32"/>
  <c r="AF29" i="32"/>
  <c r="AF28" i="32"/>
  <c r="AF40" i="32"/>
  <c r="AF50" i="32"/>
  <c r="AF14" i="32"/>
  <c r="AF52" i="32"/>
  <c r="AF27" i="32"/>
  <c r="AF43" i="32"/>
  <c r="AF9" i="32"/>
  <c r="AF55" i="32"/>
  <c r="AF13" i="32"/>
  <c r="AF7" i="32"/>
  <c r="AF54" i="32"/>
  <c r="AF17" i="32"/>
  <c r="AF41" i="32"/>
  <c r="AF33" i="32"/>
  <c r="B69" i="40"/>
  <c r="B50" i="40"/>
  <c r="A21" i="33"/>
  <c r="AF6" i="32"/>
  <c r="C224" i="45" l="1"/>
  <c r="A70" i="57"/>
  <c r="B82" i="40"/>
  <c r="A36" i="33"/>
  <c r="A71" i="57"/>
  <c r="B81" i="49"/>
  <c r="A9" i="32"/>
  <c r="A49" i="32"/>
  <c r="A35" i="32"/>
  <c r="A44" i="32"/>
  <c r="A30" i="32"/>
  <c r="A48" i="32"/>
  <c r="A43" i="32"/>
  <c r="A38" i="32"/>
  <c r="A42" i="32"/>
  <c r="A21" i="32"/>
  <c r="A22" i="32"/>
  <c r="A27" i="32"/>
  <c r="A23" i="32"/>
  <c r="A32" i="32"/>
  <c r="A53" i="32"/>
  <c r="A46" i="32"/>
  <c r="A33" i="32"/>
  <c r="A52" i="32"/>
  <c r="A37" i="32"/>
  <c r="A34" i="32"/>
  <c r="A10" i="32"/>
  <c r="A47" i="32"/>
  <c r="A41" i="32"/>
  <c r="A14" i="32"/>
  <c r="A51" i="32"/>
  <c r="A31" i="32"/>
  <c r="A12" i="32"/>
  <c r="A17" i="32"/>
  <c r="A50" i="32"/>
  <c r="A25" i="32"/>
  <c r="A19" i="32"/>
  <c r="A26" i="32"/>
  <c r="A6" i="32"/>
  <c r="A54" i="32"/>
  <c r="A40" i="32"/>
  <c r="A45" i="32"/>
  <c r="A15" i="32"/>
  <c r="A18" i="32"/>
  <c r="A7" i="32"/>
  <c r="A28" i="32"/>
  <c r="A39" i="32"/>
  <c r="A24" i="32"/>
  <c r="A13" i="32"/>
  <c r="A29" i="32"/>
  <c r="A11" i="32"/>
  <c r="A8" i="32"/>
  <c r="A36" i="32"/>
  <c r="A55" i="32"/>
  <c r="A16" i="32"/>
  <c r="A20" i="32"/>
  <c r="AG6" i="32"/>
  <c r="L7" i="31" s="1"/>
  <c r="AG41" i="32"/>
  <c r="AG30" i="32"/>
  <c r="AG21" i="32"/>
  <c r="AG35" i="32"/>
  <c r="AG15" i="32"/>
  <c r="AG13" i="32"/>
  <c r="AG54" i="32"/>
  <c r="AG36" i="32"/>
  <c r="AG37" i="32"/>
  <c r="AG38" i="32"/>
  <c r="AG51" i="32"/>
  <c r="AG33" i="32"/>
  <c r="AG26" i="32"/>
  <c r="AG49" i="32"/>
  <c r="AG42" i="32"/>
  <c r="AG27" i="32"/>
  <c r="AG10" i="32"/>
  <c r="AG31" i="32"/>
  <c r="AG25" i="32"/>
  <c r="AG24" i="32"/>
  <c r="AG43" i="32"/>
  <c r="AG17" i="32"/>
  <c r="AG20" i="32"/>
  <c r="AG50" i="32"/>
  <c r="AG12" i="32"/>
  <c r="AG28" i="32"/>
  <c r="AG46" i="32"/>
  <c r="AG55" i="32"/>
  <c r="AG18" i="32"/>
  <c r="AG32" i="32"/>
  <c r="AG48" i="32"/>
  <c r="AG39" i="32"/>
  <c r="AG23" i="32"/>
  <c r="AG52" i="32"/>
  <c r="AG34" i="32"/>
  <c r="AG19" i="32"/>
  <c r="AG44" i="32"/>
  <c r="AG8" i="32"/>
  <c r="AG40" i="32"/>
  <c r="AG11" i="32"/>
  <c r="AG29" i="32"/>
  <c r="AG9" i="32"/>
  <c r="AG7" i="32"/>
  <c r="AG53" i="32"/>
  <c r="AG22" i="32"/>
  <c r="AG45" i="32"/>
  <c r="AG16" i="32"/>
  <c r="AG14" i="32"/>
  <c r="AG47" i="32"/>
  <c r="A53" i="33"/>
  <c r="A35" i="33"/>
  <c r="B64" i="40"/>
  <c r="A27" i="33"/>
  <c r="B56" i="40"/>
  <c r="A40" i="33"/>
  <c r="B83" i="40"/>
  <c r="A54" i="33"/>
  <c r="B65" i="40"/>
  <c r="B82" i="49"/>
  <c r="A55" i="36"/>
  <c r="A19" i="36"/>
  <c r="A9" i="36"/>
  <c r="A10" i="36"/>
  <c r="A7" i="36"/>
  <c r="A57" i="33"/>
  <c r="A8" i="36"/>
  <c r="A27" i="36"/>
  <c r="A11" i="36"/>
  <c r="A51" i="36"/>
  <c r="B85" i="40"/>
  <c r="A16" i="36"/>
  <c r="A46" i="36"/>
  <c r="A17" i="36"/>
  <c r="A14" i="36"/>
  <c r="A26" i="36"/>
  <c r="A47" i="36"/>
  <c r="A12" i="36"/>
  <c r="A15" i="36"/>
  <c r="A13" i="36"/>
  <c r="A22" i="36"/>
  <c r="A40" i="36"/>
  <c r="A42" i="36"/>
  <c r="A24" i="36"/>
  <c r="A37" i="36"/>
  <c r="A45" i="36"/>
  <c r="A34" i="36"/>
  <c r="A36" i="36"/>
  <c r="A20" i="36"/>
  <c r="A21" i="36"/>
  <c r="A54" i="36"/>
  <c r="A38" i="36"/>
  <c r="A41" i="36"/>
  <c r="A43" i="36"/>
  <c r="A44" i="36"/>
  <c r="A39" i="36"/>
  <c r="A18" i="36"/>
  <c r="A31" i="36"/>
  <c r="A29" i="36"/>
  <c r="A25" i="36"/>
  <c r="A28" i="36"/>
  <c r="A52" i="36"/>
  <c r="A32" i="36"/>
  <c r="A48" i="36"/>
  <c r="A33" i="36"/>
  <c r="A35" i="36"/>
  <c r="A53" i="36"/>
  <c r="A49" i="36"/>
  <c r="A30" i="36"/>
  <c r="A23" i="36"/>
  <c r="A50" i="36"/>
  <c r="B35" i="49"/>
  <c r="B79" i="49"/>
  <c r="B78" i="49"/>
  <c r="B51" i="49"/>
  <c r="B33" i="49"/>
  <c r="B37" i="49"/>
  <c r="B54" i="49"/>
  <c r="B55" i="49"/>
  <c r="B64" i="49"/>
  <c r="B36" i="49"/>
  <c r="B73" i="49"/>
  <c r="B68" i="49"/>
  <c r="B58" i="49"/>
  <c r="B47" i="49"/>
  <c r="B60" i="49"/>
  <c r="B80" i="49"/>
  <c r="B59" i="49"/>
  <c r="B66" i="49"/>
  <c r="B63" i="49"/>
  <c r="B72" i="49"/>
  <c r="B52" i="49"/>
  <c r="B69" i="49"/>
  <c r="B42" i="49"/>
  <c r="B76" i="49"/>
  <c r="B38" i="49"/>
  <c r="B67" i="49"/>
  <c r="B71" i="49"/>
  <c r="B39" i="49"/>
  <c r="B77" i="49"/>
  <c r="B57" i="49"/>
  <c r="B70" i="49"/>
  <c r="B74" i="49"/>
  <c r="B65" i="49"/>
  <c r="B62" i="49"/>
  <c r="B50" i="49"/>
  <c r="B43" i="49"/>
  <c r="B48" i="49"/>
  <c r="B40" i="49"/>
  <c r="B45" i="49"/>
  <c r="B44" i="49"/>
  <c r="B75" i="49"/>
  <c r="B46" i="49"/>
  <c r="B53" i="49"/>
  <c r="B49" i="49"/>
  <c r="B43" i="40"/>
  <c r="B41" i="49"/>
  <c r="A26" i="33"/>
  <c r="B74" i="40"/>
  <c r="B56" i="49"/>
  <c r="B42" i="40"/>
  <c r="A33" i="33"/>
  <c r="B61" i="49"/>
  <c r="B62" i="40"/>
  <c r="A13" i="33"/>
  <c r="A45" i="33"/>
  <c r="B55" i="40"/>
  <c r="A14" i="33"/>
  <c r="A20" i="33"/>
  <c r="A22" i="33"/>
  <c r="B84" i="40"/>
  <c r="B40" i="40"/>
  <c r="A32" i="33"/>
  <c r="A34" i="33"/>
  <c r="B60" i="40"/>
  <c r="A31" i="33"/>
  <c r="B63" i="40"/>
  <c r="B61" i="40"/>
  <c r="A11" i="33"/>
  <c r="B51" i="40"/>
  <c r="A55" i="33"/>
  <c r="B34" i="49"/>
  <c r="A19" i="33"/>
  <c r="B48" i="40"/>
  <c r="A37" i="33"/>
  <c r="B53" i="40"/>
  <c r="A52" i="33"/>
  <c r="B71" i="40"/>
  <c r="B81" i="40"/>
  <c r="A42" i="33"/>
  <c r="A24" i="33"/>
  <c r="B66" i="40"/>
  <c r="A38" i="33"/>
  <c r="B39" i="40"/>
  <c r="B86" i="40"/>
  <c r="B67" i="40"/>
  <c r="A56" i="33"/>
  <c r="A10" i="33"/>
  <c r="B45" i="40"/>
  <c r="A16" i="33"/>
  <c r="A29" i="33"/>
  <c r="B58" i="40"/>
  <c r="A12" i="33"/>
  <c r="B41" i="40"/>
  <c r="A30" i="33"/>
  <c r="B59" i="40"/>
  <c r="B49" i="40"/>
  <c r="A49" i="33"/>
  <c r="B78" i="40"/>
  <c r="B46" i="40"/>
  <c r="A41" i="33"/>
  <c r="B38" i="40"/>
  <c r="A50" i="33"/>
  <c r="A44" i="33"/>
  <c r="A43" i="33"/>
  <c r="A48" i="33"/>
  <c r="A18" i="33"/>
  <c r="B44" i="40"/>
  <c r="A8" i="33"/>
  <c r="B70" i="40"/>
  <c r="A28" i="33"/>
  <c r="B54" i="40"/>
  <c r="B76" i="40"/>
  <c r="A23" i="33"/>
  <c r="B79" i="40"/>
  <c r="B52" i="40"/>
  <c r="B37" i="40"/>
  <c r="B77" i="40"/>
  <c r="B47" i="40"/>
  <c r="A47" i="33"/>
  <c r="A25" i="33"/>
  <c r="A51" i="33"/>
  <c r="B80" i="40"/>
  <c r="B73" i="40"/>
  <c r="B57" i="40"/>
  <c r="A9" i="33"/>
  <c r="A15" i="33"/>
  <c r="A17" i="33"/>
  <c r="B72" i="40"/>
  <c r="A46" i="33"/>
  <c r="B75" i="40"/>
  <c r="C225" i="45" l="1"/>
  <c r="L17" i="31"/>
  <c r="L16" i="31"/>
  <c r="L13" i="31"/>
  <c r="L39" i="31"/>
  <c r="L20" i="31"/>
  <c r="L14" i="31"/>
  <c r="L21" i="31"/>
  <c r="L15" i="31"/>
  <c r="L23" i="31"/>
  <c r="L52" i="31"/>
  <c r="L8" i="31"/>
  <c r="L54" i="31"/>
  <c r="L18" i="31"/>
  <c r="L50" i="31"/>
  <c r="L43" i="31"/>
  <c r="L53" i="31"/>
  <c r="L30" i="31"/>
  <c r="L35" i="31"/>
  <c r="L32" i="31"/>
  <c r="L22" i="31"/>
  <c r="L56" i="31"/>
  <c r="L42" i="31"/>
  <c r="L49" i="31"/>
  <c r="L9" i="31"/>
  <c r="L28" i="31"/>
  <c r="L37" i="31"/>
  <c r="L29" i="31"/>
  <c r="L47" i="31"/>
  <c r="L40" i="31"/>
  <c r="L10" i="31"/>
  <c r="L25" i="31"/>
  <c r="L44" i="31"/>
  <c r="L45" i="31"/>
  <c r="L11" i="31"/>
  <c r="L26" i="31"/>
  <c r="L27" i="31"/>
  <c r="L36" i="31"/>
  <c r="L51" i="31"/>
  <c r="L12" i="31"/>
  <c r="L31" i="31"/>
  <c r="L55" i="31"/>
  <c r="L46" i="31"/>
  <c r="L19" i="31"/>
  <c r="L33" i="31"/>
  <c r="L41" i="31"/>
  <c r="L34" i="31"/>
  <c r="L24" i="31"/>
  <c r="L48" i="31"/>
  <c r="L38" i="31"/>
  <c r="L39" i="33" s="1"/>
  <c r="I11" i="15"/>
  <c r="C226" i="45" l="1"/>
  <c r="I13" i="15"/>
  <c r="I15" i="15"/>
  <c r="I14" i="15"/>
  <c r="L7" i="36"/>
  <c r="L8" i="36"/>
  <c r="L55" i="36"/>
  <c r="L10" i="36"/>
  <c r="L9" i="36"/>
  <c r="BV35" i="1"/>
  <c r="BR34" i="54" s="1"/>
  <c r="L11" i="36"/>
  <c r="L12" i="36"/>
  <c r="L15" i="36"/>
  <c r="L13" i="36"/>
  <c r="L17" i="36"/>
  <c r="L16" i="36"/>
  <c r="L46" i="36"/>
  <c r="L14" i="36"/>
  <c r="L19" i="36"/>
  <c r="L37" i="36"/>
  <c r="L20" i="36"/>
  <c r="L39" i="36"/>
  <c r="L42" i="36"/>
  <c r="L44" i="36"/>
  <c r="L36" i="36"/>
  <c r="L26" i="36"/>
  <c r="L41" i="36"/>
  <c r="L54" i="36"/>
  <c r="L45" i="36"/>
  <c r="L40" i="36"/>
  <c r="L18" i="36"/>
  <c r="L22" i="36"/>
  <c r="L43" i="36"/>
  <c r="L21" i="36"/>
  <c r="L38" i="36"/>
  <c r="L51" i="36"/>
  <c r="L29" i="36"/>
  <c r="L31" i="36"/>
  <c r="L25" i="36"/>
  <c r="L28" i="36"/>
  <c r="L27" i="36"/>
  <c r="L47" i="36"/>
  <c r="L34" i="36"/>
  <c r="L32" i="36"/>
  <c r="L50" i="36"/>
  <c r="L52" i="36"/>
  <c r="L23" i="36"/>
  <c r="L33" i="36"/>
  <c r="L24" i="36"/>
  <c r="L48" i="36"/>
  <c r="L53" i="36"/>
  <c r="L30" i="36"/>
  <c r="L35" i="36"/>
  <c r="L49" i="36"/>
  <c r="L36" i="33"/>
  <c r="L53" i="33"/>
  <c r="L55" i="33"/>
  <c r="L13" i="33"/>
  <c r="L27" i="33"/>
  <c r="L57" i="33"/>
  <c r="L33" i="33"/>
  <c r="L40" i="33"/>
  <c r="V9" i="54"/>
  <c r="V7" i="54"/>
  <c r="T25" i="26"/>
  <c r="C24" i="1"/>
  <c r="T20" i="26"/>
  <c r="CT20" i="26" s="1"/>
  <c r="C19" i="1"/>
  <c r="L45" i="33"/>
  <c r="L19" i="33"/>
  <c r="L21" i="33"/>
  <c r="L20" i="33"/>
  <c r="L51" i="33"/>
  <c r="L8" i="33"/>
  <c r="L43" i="33"/>
  <c r="L50" i="33"/>
  <c r="L47" i="33"/>
  <c r="L24" i="33"/>
  <c r="L44" i="33"/>
  <c r="L17" i="33"/>
  <c r="L22" i="33"/>
  <c r="L31" i="33"/>
  <c r="L48" i="33"/>
  <c r="L49" i="33"/>
  <c r="L18" i="33"/>
  <c r="L42" i="33"/>
  <c r="L9" i="33"/>
  <c r="L37" i="33"/>
  <c r="L30" i="33"/>
  <c r="L38" i="33"/>
  <c r="L32" i="33"/>
  <c r="L34" i="33"/>
  <c r="L56" i="33"/>
  <c r="L16" i="33"/>
  <c r="L35" i="33"/>
  <c r="L46" i="33"/>
  <c r="L54" i="33"/>
  <c r="L10" i="33"/>
  <c r="L23" i="33"/>
  <c r="L14" i="33"/>
  <c r="L15" i="33"/>
  <c r="L29" i="33"/>
  <c r="L41" i="33"/>
  <c r="L11" i="33"/>
  <c r="L26" i="33"/>
  <c r="L52" i="33"/>
  <c r="L12" i="33"/>
  <c r="L25" i="33"/>
  <c r="L28" i="33"/>
  <c r="I7" i="15"/>
  <c r="S35" i="1"/>
  <c r="H34" i="15" s="1"/>
  <c r="C227" i="45" l="1"/>
  <c r="H35" i="15"/>
  <c r="S34" i="54"/>
  <c r="H11" i="15"/>
  <c r="H12" i="15"/>
  <c r="H15" i="15"/>
  <c r="CK12" i="26"/>
  <c r="CT25" i="26"/>
  <c r="CK25" i="26"/>
  <c r="CK20" i="26"/>
  <c r="CD25" i="26"/>
  <c r="CK11" i="26"/>
  <c r="D35" i="1"/>
  <c r="D34" i="54" s="1"/>
  <c r="CD20" i="26"/>
  <c r="X35" i="1"/>
  <c r="CA35" i="1" s="1"/>
  <c r="CY32" i="40"/>
  <c r="AC35" i="1"/>
  <c r="S7" i="54"/>
  <c r="BR7" i="54"/>
  <c r="C20" i="26"/>
  <c r="C25" i="26"/>
  <c r="AJ25" i="26"/>
  <c r="K16" i="51"/>
  <c r="C21" i="40"/>
  <c r="W25" i="26"/>
  <c r="AC25" i="26"/>
  <c r="BP25" i="26"/>
  <c r="BW25" i="26"/>
  <c r="BE25" i="26"/>
  <c r="AX25" i="26"/>
  <c r="AQ25" i="26"/>
  <c r="BK25" i="26"/>
  <c r="AJ20" i="26"/>
  <c r="W20" i="26"/>
  <c r="C17" i="40"/>
  <c r="AC20" i="26"/>
  <c r="BP20" i="26"/>
  <c r="BW20" i="26"/>
  <c r="BE20" i="26"/>
  <c r="AQ20" i="26"/>
  <c r="AX20" i="26"/>
  <c r="BK20" i="26"/>
  <c r="AT35" i="1"/>
  <c r="AR34" i="54" s="1"/>
  <c r="BW35" i="1"/>
  <c r="R34" i="15" s="1"/>
  <c r="C13" i="26"/>
  <c r="J3" i="52"/>
  <c r="M3" i="52" s="1"/>
  <c r="N3" i="52" s="1"/>
  <c r="H7" i="15"/>
  <c r="K20" i="51"/>
  <c r="AD35" i="1"/>
  <c r="AB34" i="54" s="1"/>
  <c r="AG35" i="1"/>
  <c r="AE34" i="54" s="1"/>
  <c r="Z35" i="1"/>
  <c r="Y34" i="54" s="1"/>
  <c r="BY35" i="1"/>
  <c r="BU34" i="54" s="1"/>
  <c r="AE35" i="1"/>
  <c r="AC34" i="54" s="1"/>
  <c r="DT35" i="1"/>
  <c r="DO34" i="54" s="1"/>
  <c r="DV35" i="1"/>
  <c r="DQ34" i="54" s="1"/>
  <c r="AF35" i="1"/>
  <c r="AD34" i="54" s="1"/>
  <c r="C228" i="45" l="1"/>
  <c r="DW32" i="40"/>
  <c r="X36" i="26" s="1"/>
  <c r="CW19" i="40"/>
  <c r="DU19" i="40" s="1"/>
  <c r="CW7" i="40"/>
  <c r="DU7" i="40" s="1"/>
  <c r="CW22" i="40"/>
  <c r="DU22" i="40" s="1"/>
  <c r="CW15" i="40"/>
  <c r="DU15" i="40" s="1"/>
  <c r="CW28" i="40"/>
  <c r="DU28" i="40" s="1"/>
  <c r="CW21" i="40"/>
  <c r="DU21" i="40" s="1"/>
  <c r="CW5" i="40"/>
  <c r="DU5" i="40" s="1"/>
  <c r="CW23" i="40"/>
  <c r="DU23" i="40" s="1"/>
  <c r="CW27" i="40"/>
  <c r="DU27" i="40" s="1"/>
  <c r="CW24" i="40"/>
  <c r="DU24" i="40" s="1"/>
  <c r="CW16" i="40"/>
  <c r="DU16" i="40" s="1"/>
  <c r="CW31" i="40"/>
  <c r="DU31" i="40" s="1"/>
  <c r="BS34" i="54"/>
  <c r="R35" i="15"/>
  <c r="R11" i="15"/>
  <c r="R12" i="15"/>
  <c r="R15" i="15"/>
  <c r="DY32" i="40"/>
  <c r="DW35" i="1"/>
  <c r="AF34" i="15" s="1"/>
  <c r="BV9" i="54"/>
  <c r="AD7" i="54"/>
  <c r="DO7" i="54"/>
  <c r="DQ7" i="54"/>
  <c r="BV7" i="54"/>
  <c r="BV8" i="54"/>
  <c r="AC7" i="54"/>
  <c r="BS7" i="54"/>
  <c r="AR7" i="54"/>
  <c r="BU7" i="54"/>
  <c r="AE7" i="54"/>
  <c r="AB7" i="54"/>
  <c r="D20" i="26"/>
  <c r="D25" i="26"/>
  <c r="BL35" i="1"/>
  <c r="P34" i="15" s="1"/>
  <c r="Y7" i="54"/>
  <c r="M16" i="51"/>
  <c r="Y25" i="26"/>
  <c r="Z25" i="26" s="1"/>
  <c r="E21" i="25"/>
  <c r="F21" i="25" s="1"/>
  <c r="AB20" i="26"/>
  <c r="AB25" i="26"/>
  <c r="E12" i="25"/>
  <c r="F12" i="25" s="1"/>
  <c r="Y20" i="26"/>
  <c r="Z20" i="26" s="1"/>
  <c r="M20" i="51"/>
  <c r="AB35" i="1"/>
  <c r="AA34" i="54" s="1"/>
  <c r="DZ35" i="1"/>
  <c r="DU34" i="54" s="1"/>
  <c r="BX35" i="1"/>
  <c r="BT34" i="54" s="1"/>
  <c r="C229" i="45" l="1"/>
  <c r="AF35" i="15"/>
  <c r="DR34" i="54"/>
  <c r="P35" i="15"/>
  <c r="BH34" i="54"/>
  <c r="AF11" i="15"/>
  <c r="AF12" i="15"/>
  <c r="P11" i="15"/>
  <c r="P12" i="15"/>
  <c r="AF15" i="15"/>
  <c r="P15" i="15"/>
  <c r="BH7" i="54"/>
  <c r="DR7" i="54"/>
  <c r="BT7" i="54"/>
  <c r="DU7" i="54"/>
  <c r="AA7" i="54"/>
  <c r="AA20" i="26"/>
  <c r="AA25" i="26"/>
  <c r="R7" i="15"/>
  <c r="AF7" i="15"/>
  <c r="P7" i="15"/>
  <c r="D13" i="26"/>
  <c r="CG35" i="1"/>
  <c r="CB34" i="54" s="1"/>
  <c r="CE35" i="1"/>
  <c r="BZ34" i="54" s="1"/>
  <c r="C230" i="45" l="1"/>
  <c r="BZ7" i="54"/>
  <c r="CB7" i="54"/>
  <c r="CF35" i="1"/>
  <c r="V34" i="15" s="1"/>
  <c r="CH35" i="1"/>
  <c r="X34" i="15" s="1"/>
  <c r="C231" i="45" l="1"/>
  <c r="X35" i="15"/>
  <c r="CC34" i="54"/>
  <c r="V35" i="15"/>
  <c r="CA34" i="54"/>
  <c r="V11" i="15"/>
  <c r="V12" i="15"/>
  <c r="X11" i="15"/>
  <c r="X12" i="15"/>
  <c r="V15" i="15"/>
  <c r="X15" i="15"/>
  <c r="CC7" i="54"/>
  <c r="CA7" i="54"/>
  <c r="V7" i="15"/>
  <c r="X7" i="15"/>
  <c r="G21" i="51"/>
  <c r="C232" i="45" l="1"/>
  <c r="AC106" i="51"/>
  <c r="V28" i="1"/>
  <c r="C233" i="45" l="1"/>
  <c r="I31" i="15"/>
  <c r="I30" i="15"/>
  <c r="I21" i="15"/>
  <c r="I27" i="15"/>
  <c r="I22" i="15"/>
  <c r="I20" i="15"/>
  <c r="I24" i="15"/>
  <c r="I23" i="15"/>
  <c r="I26" i="15"/>
  <c r="I25" i="15"/>
  <c r="I29" i="15"/>
  <c r="I28" i="15"/>
  <c r="V28" i="54"/>
  <c r="V27" i="54"/>
  <c r="V24" i="54"/>
  <c r="V25" i="54"/>
  <c r="V21" i="54"/>
  <c r="BV28" i="1"/>
  <c r="BR30" i="54" s="1"/>
  <c r="V29" i="54"/>
  <c r="V8" i="54"/>
  <c r="V10" i="54"/>
  <c r="BV23" i="1"/>
  <c r="BR9" i="54" s="1"/>
  <c r="V11" i="54"/>
  <c r="V12" i="54"/>
  <c r="V18" i="54"/>
  <c r="V19" i="54"/>
  <c r="V14" i="54"/>
  <c r="V13" i="54"/>
  <c r="V15" i="54"/>
  <c r="V16" i="54"/>
  <c r="V17" i="54"/>
  <c r="V20" i="54"/>
  <c r="V22" i="54"/>
  <c r="V23" i="54"/>
  <c r="V30" i="54"/>
  <c r="V31" i="54"/>
  <c r="V33" i="54"/>
  <c r="V32" i="54"/>
  <c r="V26" i="54"/>
  <c r="T9" i="26"/>
  <c r="C8" i="1"/>
  <c r="C35" i="1"/>
  <c r="T36" i="26"/>
  <c r="T33" i="26"/>
  <c r="C32" i="1"/>
  <c r="T31" i="26"/>
  <c r="CT31" i="26" s="1"/>
  <c r="C30" i="1"/>
  <c r="C23" i="1"/>
  <c r="S23" i="1"/>
  <c r="T24" i="26"/>
  <c r="T29" i="26"/>
  <c r="C28" i="1"/>
  <c r="S28" i="1"/>
  <c r="C234" i="45" l="1"/>
  <c r="H17" i="15"/>
  <c r="H19" i="15"/>
  <c r="H13" i="15"/>
  <c r="H14" i="15"/>
  <c r="H31" i="15"/>
  <c r="H30" i="15"/>
  <c r="H8" i="15"/>
  <c r="H9" i="15"/>
  <c r="S9" i="54"/>
  <c r="J5" i="52"/>
  <c r="M5" i="52" s="1"/>
  <c r="N5" i="52" s="1"/>
  <c r="H21" i="15"/>
  <c r="H27" i="15"/>
  <c r="H28" i="15"/>
  <c r="H20" i="15"/>
  <c r="CT33" i="26"/>
  <c r="AO33" i="26"/>
  <c r="H23" i="15"/>
  <c r="H22" i="15"/>
  <c r="H24" i="15"/>
  <c r="H26" i="15"/>
  <c r="H25" i="15"/>
  <c r="J23" i="52"/>
  <c r="M23" i="52" s="1"/>
  <c r="N23" i="52" s="1"/>
  <c r="H29" i="15"/>
  <c r="CK29" i="26"/>
  <c r="CT29" i="26"/>
  <c r="CK24" i="26"/>
  <c r="CT24" i="26"/>
  <c r="CK36" i="26"/>
  <c r="CT36" i="26"/>
  <c r="CK9" i="26"/>
  <c r="CT9" i="26"/>
  <c r="CD31" i="26"/>
  <c r="CK33" i="26"/>
  <c r="CD33" i="26"/>
  <c r="CK31" i="26"/>
  <c r="CD29" i="26"/>
  <c r="CK34" i="26"/>
  <c r="CD36" i="26"/>
  <c r="CK13" i="26"/>
  <c r="CD9" i="26"/>
  <c r="CK17" i="26"/>
  <c r="S28" i="54"/>
  <c r="BR27" i="54"/>
  <c r="BR28" i="54"/>
  <c r="J11" i="52"/>
  <c r="M11" i="52" s="1"/>
  <c r="N11" i="52" s="1"/>
  <c r="S27" i="54"/>
  <c r="BR24" i="54"/>
  <c r="BR25" i="54"/>
  <c r="S25" i="54"/>
  <c r="C27" i="54"/>
  <c r="C28" i="54"/>
  <c r="S24" i="54"/>
  <c r="BR21" i="54"/>
  <c r="C15" i="54"/>
  <c r="C17" i="54"/>
  <c r="C26" i="54"/>
  <c r="S21" i="54"/>
  <c r="D28" i="1"/>
  <c r="D28" i="54" s="1"/>
  <c r="BR29" i="54"/>
  <c r="S29" i="54"/>
  <c r="C29" i="54"/>
  <c r="C34" i="54"/>
  <c r="BR10" i="54"/>
  <c r="BR8" i="54"/>
  <c r="S8" i="54"/>
  <c r="C24" i="54"/>
  <c r="C13" i="54"/>
  <c r="S10" i="54"/>
  <c r="AC24" i="26"/>
  <c r="CD24" i="26"/>
  <c r="X23" i="1"/>
  <c r="CA23" i="1" s="1"/>
  <c r="X28" i="1"/>
  <c r="CA28" i="1" s="1"/>
  <c r="C20" i="54"/>
  <c r="C19" i="54"/>
  <c r="BR11" i="54"/>
  <c r="D23" i="1"/>
  <c r="BR12" i="54"/>
  <c r="C22" i="54"/>
  <c r="C21" i="54"/>
  <c r="AC23" i="1"/>
  <c r="S11" i="54"/>
  <c r="CY25" i="40"/>
  <c r="DW25" i="40" s="1"/>
  <c r="X29" i="26" s="1"/>
  <c r="AC28" i="1"/>
  <c r="C31" i="54"/>
  <c r="C30" i="54"/>
  <c r="S12" i="54"/>
  <c r="C14" i="54"/>
  <c r="C12" i="54"/>
  <c r="C9" i="54"/>
  <c r="C8" i="54"/>
  <c r="C10" i="54"/>
  <c r="C11" i="54"/>
  <c r="C32" i="54"/>
  <c r="C33" i="54"/>
  <c r="C25" i="54"/>
  <c r="C23" i="54"/>
  <c r="C18" i="54"/>
  <c r="C16" i="54"/>
  <c r="BR19" i="54"/>
  <c r="BR18" i="54"/>
  <c r="S18" i="54"/>
  <c r="CY20" i="40"/>
  <c r="S19" i="54"/>
  <c r="CW6" i="40"/>
  <c r="DU6" i="40" s="1"/>
  <c r="CW14" i="40"/>
  <c r="DU14" i="40" s="1"/>
  <c r="CW11" i="40"/>
  <c r="DU11" i="40" s="1"/>
  <c r="CW13" i="40"/>
  <c r="DU13" i="40" s="1"/>
  <c r="CW32" i="40"/>
  <c r="DU32" i="40" s="1"/>
  <c r="CW4" i="40"/>
  <c r="DU4" i="40" s="1"/>
  <c r="S14" i="54"/>
  <c r="BR13" i="54"/>
  <c r="BR14" i="54"/>
  <c r="S13" i="54"/>
  <c r="S15" i="54"/>
  <c r="BR16" i="54"/>
  <c r="BR15" i="54"/>
  <c r="S16" i="54"/>
  <c r="S17" i="54"/>
  <c r="BR20" i="54"/>
  <c r="BR17" i="54"/>
  <c r="S20" i="54"/>
  <c r="S22" i="54"/>
  <c r="BR23" i="54"/>
  <c r="BR22" i="54"/>
  <c r="S23" i="54"/>
  <c r="BR26" i="54"/>
  <c r="BR31" i="54"/>
  <c r="S30" i="54"/>
  <c r="S31" i="54"/>
  <c r="BR32" i="54"/>
  <c r="BR33" i="54"/>
  <c r="S33" i="54"/>
  <c r="S26" i="54"/>
  <c r="S32" i="54"/>
  <c r="C33" i="26"/>
  <c r="C31" i="26"/>
  <c r="C36" i="26"/>
  <c r="C7" i="54"/>
  <c r="C9" i="26"/>
  <c r="C5" i="40"/>
  <c r="K23" i="51"/>
  <c r="W9" i="26"/>
  <c r="AJ36" i="26"/>
  <c r="C32" i="40"/>
  <c r="K12" i="51"/>
  <c r="W36" i="26"/>
  <c r="AC36" i="26"/>
  <c r="BP36" i="26"/>
  <c r="BE36" i="26"/>
  <c r="BK36" i="26"/>
  <c r="AQ36" i="26"/>
  <c r="BW36" i="26"/>
  <c r="AX36" i="26"/>
  <c r="AJ9" i="26"/>
  <c r="AC9" i="26"/>
  <c r="BW9" i="26"/>
  <c r="BE9" i="26"/>
  <c r="AX9" i="26"/>
  <c r="AQ9" i="26"/>
  <c r="BP9" i="26"/>
  <c r="BK9" i="26"/>
  <c r="AO9" i="26"/>
  <c r="AJ33" i="26"/>
  <c r="AC31" i="26"/>
  <c r="BK31" i="26"/>
  <c r="AQ31" i="26"/>
  <c r="BP31" i="26"/>
  <c r="BE31" i="26"/>
  <c r="AX31" i="26"/>
  <c r="AO31" i="26"/>
  <c r="BW31" i="26"/>
  <c r="AJ31" i="26"/>
  <c r="C29" i="40"/>
  <c r="W33" i="26"/>
  <c r="K34" i="51"/>
  <c r="BP33" i="26"/>
  <c r="AC33" i="26"/>
  <c r="BE33" i="26"/>
  <c r="BK33" i="26"/>
  <c r="AX33" i="26"/>
  <c r="AQ33" i="26"/>
  <c r="BW33" i="26"/>
  <c r="W31" i="26"/>
  <c r="C27" i="40"/>
  <c r="K17" i="51"/>
  <c r="C25" i="40"/>
  <c r="J10" i="52"/>
  <c r="M10" i="52" s="1"/>
  <c r="N10" i="52" s="1"/>
  <c r="C20" i="40"/>
  <c r="J29" i="52"/>
  <c r="M29" i="52" s="1"/>
  <c r="N29" i="52" s="1"/>
  <c r="BP24" i="26"/>
  <c r="AO24" i="26"/>
  <c r="J14" i="52"/>
  <c r="M14" i="52" s="1"/>
  <c r="N14" i="52" s="1"/>
  <c r="J12" i="52"/>
  <c r="M12" i="52" s="1"/>
  <c r="N12" i="52" s="1"/>
  <c r="AT23" i="1"/>
  <c r="AR9" i="54" s="1"/>
  <c r="AT28" i="1"/>
  <c r="BW28" i="1"/>
  <c r="R30" i="15" s="1"/>
  <c r="BW23" i="1"/>
  <c r="J15" i="52"/>
  <c r="M15" i="52" s="1"/>
  <c r="N15" i="52" s="1"/>
  <c r="J16" i="52"/>
  <c r="M16" i="52" s="1"/>
  <c r="N16" i="52" s="1"/>
  <c r="J26" i="52"/>
  <c r="M26" i="52" s="1"/>
  <c r="N26" i="52" s="1"/>
  <c r="J13" i="52"/>
  <c r="M13" i="52" s="1"/>
  <c r="N13" i="52" s="1"/>
  <c r="J28" i="52"/>
  <c r="M28" i="52" s="1"/>
  <c r="N28" i="52" s="1"/>
  <c r="J27" i="52"/>
  <c r="M27" i="52" s="1"/>
  <c r="N27" i="52" s="1"/>
  <c r="J6" i="52"/>
  <c r="M6" i="52" s="1"/>
  <c r="N6" i="52" s="1"/>
  <c r="K21" i="51"/>
  <c r="J4" i="52"/>
  <c r="M4" i="52" s="1"/>
  <c r="N4" i="52" s="1"/>
  <c r="C29" i="26"/>
  <c r="J9" i="52"/>
  <c r="M9" i="52" s="1"/>
  <c r="N9" i="52" s="1"/>
  <c r="J7" i="52"/>
  <c r="M7" i="52" s="1"/>
  <c r="N7" i="52" s="1"/>
  <c r="J17" i="52"/>
  <c r="M17" i="52" s="1"/>
  <c r="N17" i="52" s="1"/>
  <c r="J25" i="52"/>
  <c r="M25" i="52" s="1"/>
  <c r="N25" i="52" s="1"/>
  <c r="J8" i="52"/>
  <c r="M8" i="52" s="1"/>
  <c r="N8" i="52" s="1"/>
  <c r="J24" i="52"/>
  <c r="M24" i="52" s="1"/>
  <c r="N24" i="52" s="1"/>
  <c r="J19" i="52"/>
  <c r="M19" i="52" s="1"/>
  <c r="N19" i="52" s="1"/>
  <c r="J20" i="52"/>
  <c r="M20" i="52" s="1"/>
  <c r="N20" i="52" s="1"/>
  <c r="C24" i="26"/>
  <c r="K24" i="51"/>
  <c r="J22" i="52"/>
  <c r="M22" i="52" s="1"/>
  <c r="N22" i="52" s="1"/>
  <c r="AE23" i="1"/>
  <c r="AC9" i="54" s="1"/>
  <c r="BY23" i="1"/>
  <c r="BU9" i="54" s="1"/>
  <c r="DT23" i="1"/>
  <c r="DO9" i="54" s="1"/>
  <c r="W24" i="26"/>
  <c r="DV23" i="1"/>
  <c r="DQ9" i="54" s="1"/>
  <c r="J21" i="52"/>
  <c r="M21" i="52" s="1"/>
  <c r="N21" i="52" s="1"/>
  <c r="Z23" i="1"/>
  <c r="Y9" i="54" s="1"/>
  <c r="AD23" i="1"/>
  <c r="AB9" i="54" s="1"/>
  <c r="AF23" i="1"/>
  <c r="AD9" i="54" s="1"/>
  <c r="AP38" i="26"/>
  <c r="AG23" i="1"/>
  <c r="AE9" i="54" s="1"/>
  <c r="BW24" i="26"/>
  <c r="AF28" i="1"/>
  <c r="AD28" i="54" s="1"/>
  <c r="W29" i="26"/>
  <c r="AD28" i="1"/>
  <c r="AE28" i="1"/>
  <c r="K30" i="51"/>
  <c r="AG28" i="1"/>
  <c r="Z28" i="1"/>
  <c r="DV28" i="1"/>
  <c r="DZ28" i="1"/>
  <c r="BV30" i="54"/>
  <c r="DT28" i="1"/>
  <c r="BY28" i="1"/>
  <c r="BP29" i="26"/>
  <c r="AC29" i="26"/>
  <c r="BW29" i="26"/>
  <c r="BE29" i="26"/>
  <c r="AQ29" i="26"/>
  <c r="BK29" i="26"/>
  <c r="J18" i="52"/>
  <c r="M18" i="52" s="1"/>
  <c r="N18" i="52" s="1"/>
  <c r="AQ24" i="26"/>
  <c r="AX24" i="26"/>
  <c r="S2" i="1"/>
  <c r="S2" i="54" s="1"/>
  <c r="BE24" i="26"/>
  <c r="BK24" i="26"/>
  <c r="C235" i="45" l="1"/>
  <c r="CW9" i="40"/>
  <c r="DU9" i="40" s="1"/>
  <c r="CW10" i="40"/>
  <c r="DU10" i="40" s="1"/>
  <c r="CW18" i="40"/>
  <c r="DU18" i="40" s="1"/>
  <c r="CW26" i="40"/>
  <c r="DU26" i="40" s="1"/>
  <c r="R17" i="15"/>
  <c r="R19" i="15"/>
  <c r="R13" i="15"/>
  <c r="R14" i="15"/>
  <c r="R27" i="15"/>
  <c r="R31" i="15"/>
  <c r="R8" i="15"/>
  <c r="R9" i="15"/>
  <c r="BS9" i="54"/>
  <c r="R20" i="15"/>
  <c r="R21" i="15"/>
  <c r="D20" i="54"/>
  <c r="R23" i="15"/>
  <c r="R22" i="15"/>
  <c r="R24" i="15"/>
  <c r="R29" i="15"/>
  <c r="R28" i="15"/>
  <c r="R26" i="15"/>
  <c r="R25" i="15"/>
  <c r="CS38" i="26"/>
  <c r="CT38" i="26" s="1"/>
  <c r="CT2" i="26"/>
  <c r="CK2" i="26"/>
  <c r="CP3" i="33" s="1"/>
  <c r="CQ77" i="33" s="1"/>
  <c r="CJ38" i="26"/>
  <c r="CK38" i="26" s="1"/>
  <c r="AR27" i="54"/>
  <c r="AR28" i="54"/>
  <c r="AC27" i="54"/>
  <c r="AC28" i="54"/>
  <c r="DO27" i="54"/>
  <c r="DO28" i="54"/>
  <c r="DU28" i="54"/>
  <c r="DQ27" i="54"/>
  <c r="DQ28" i="54"/>
  <c r="AB27" i="54"/>
  <c r="AB28" i="54"/>
  <c r="BU27" i="54"/>
  <c r="BU28" i="54"/>
  <c r="Y27" i="54"/>
  <c r="Y28" i="54"/>
  <c r="AE27" i="54"/>
  <c r="AE28" i="54"/>
  <c r="BS28" i="54"/>
  <c r="BS27" i="54"/>
  <c r="D26" i="54"/>
  <c r="D27" i="54"/>
  <c r="AD21" i="54"/>
  <c r="AD27" i="54"/>
  <c r="AB21" i="54"/>
  <c r="DO21" i="54"/>
  <c r="BU21" i="54"/>
  <c r="D24" i="54"/>
  <c r="DQ25" i="54"/>
  <c r="BU24" i="54"/>
  <c r="BU25" i="54"/>
  <c r="AR24" i="54"/>
  <c r="AR25" i="54"/>
  <c r="DO24" i="54"/>
  <c r="DO25" i="54"/>
  <c r="AC24" i="54"/>
  <c r="AC25" i="54"/>
  <c r="BS25" i="54"/>
  <c r="AE24" i="54"/>
  <c r="AE25" i="54"/>
  <c r="AD24" i="54"/>
  <c r="AD25" i="54"/>
  <c r="AB24" i="54"/>
  <c r="AB25" i="54"/>
  <c r="Y24" i="54"/>
  <c r="Y25" i="54"/>
  <c r="DQ8" i="54"/>
  <c r="DQ24" i="54"/>
  <c r="BS24" i="54"/>
  <c r="AC21" i="54"/>
  <c r="AR21" i="54"/>
  <c r="D19" i="54"/>
  <c r="D17" i="54"/>
  <c r="DY20" i="40"/>
  <c r="D15" i="54"/>
  <c r="Y29" i="54"/>
  <c r="Y21" i="54"/>
  <c r="DQ29" i="54"/>
  <c r="DQ21" i="54"/>
  <c r="AE29" i="54"/>
  <c r="AE21" i="54"/>
  <c r="BS21" i="54"/>
  <c r="AC30" i="54"/>
  <c r="AC29" i="54"/>
  <c r="DO30" i="54"/>
  <c r="DO29" i="54"/>
  <c r="AB30" i="54"/>
  <c r="AB29" i="54"/>
  <c r="BU30" i="54"/>
  <c r="BU29" i="54"/>
  <c r="DU30" i="54"/>
  <c r="DU29" i="54"/>
  <c r="AD30" i="54"/>
  <c r="AD29" i="54"/>
  <c r="BS29" i="54"/>
  <c r="AR30" i="54"/>
  <c r="AR29" i="54"/>
  <c r="DY25" i="40"/>
  <c r="D29" i="54"/>
  <c r="AB10" i="54"/>
  <c r="AB8" i="54"/>
  <c r="BU10" i="54"/>
  <c r="BU8" i="54"/>
  <c r="AD10" i="54"/>
  <c r="AD8" i="54"/>
  <c r="AC10" i="54"/>
  <c r="AC8" i="54"/>
  <c r="AR10" i="54"/>
  <c r="AR8" i="54"/>
  <c r="AE10" i="54"/>
  <c r="AE8" i="54"/>
  <c r="DO10" i="54"/>
  <c r="DO8" i="54"/>
  <c r="BS8" i="54"/>
  <c r="Y10" i="54"/>
  <c r="Y8" i="54"/>
  <c r="DQ11" i="54"/>
  <c r="DQ10" i="54"/>
  <c r="BS10" i="54"/>
  <c r="CC38" i="26"/>
  <c r="CD38" i="26" s="1"/>
  <c r="CG39" i="26" s="1"/>
  <c r="CD2" i="26"/>
  <c r="D22" i="54"/>
  <c r="D21" i="54"/>
  <c r="AE12" i="54"/>
  <c r="AE11" i="54"/>
  <c r="DO12" i="54"/>
  <c r="DO11" i="54"/>
  <c r="BU12" i="54"/>
  <c r="BU11" i="54"/>
  <c r="BS11" i="54"/>
  <c r="AD12" i="54"/>
  <c r="AD11" i="54"/>
  <c r="BV12" i="54"/>
  <c r="BV11" i="54"/>
  <c r="AB12" i="54"/>
  <c r="AB11" i="54"/>
  <c r="AC12" i="54"/>
  <c r="AC11" i="54"/>
  <c r="Y12" i="54"/>
  <c r="Y11" i="54"/>
  <c r="AR12" i="54"/>
  <c r="AR11" i="54"/>
  <c r="CW30" i="40"/>
  <c r="DU30" i="40" s="1"/>
  <c r="D30" i="54"/>
  <c r="BS12" i="54"/>
  <c r="D9" i="54"/>
  <c r="D8" i="54"/>
  <c r="DQ18" i="54"/>
  <c r="DQ12" i="54"/>
  <c r="D10" i="54"/>
  <c r="D25" i="54"/>
  <c r="D23" i="54"/>
  <c r="CW12" i="40"/>
  <c r="DU12" i="40" s="1"/>
  <c r="AR19" i="54"/>
  <c r="AR18" i="54"/>
  <c r="DO19" i="54"/>
  <c r="DO18" i="54"/>
  <c r="BU19" i="54"/>
  <c r="BU18" i="54"/>
  <c r="AE19" i="54"/>
  <c r="AE18" i="54"/>
  <c r="AC19" i="54"/>
  <c r="AC18" i="54"/>
  <c r="AD19" i="54"/>
  <c r="AD18" i="54"/>
  <c r="AB19" i="54"/>
  <c r="AB18" i="54"/>
  <c r="BS18" i="54"/>
  <c r="BV19" i="54"/>
  <c r="BV18" i="54"/>
  <c r="Y19" i="54"/>
  <c r="Y18" i="54"/>
  <c r="DQ19" i="54"/>
  <c r="DW23" i="1"/>
  <c r="DQ30" i="54"/>
  <c r="DW28" i="1"/>
  <c r="AF30" i="15" s="1"/>
  <c r="CY1" i="40"/>
  <c r="DW1" i="40" s="1"/>
  <c r="CW25" i="40"/>
  <c r="DU25" i="40" s="1"/>
  <c r="DW20" i="40"/>
  <c r="X24" i="26" s="1"/>
  <c r="CW20" i="40"/>
  <c r="DU20" i="40" s="1"/>
  <c r="BS19" i="54"/>
  <c r="CW29" i="40"/>
  <c r="DU29" i="40" s="1"/>
  <c r="CW17" i="40"/>
  <c r="DU17" i="40" s="1"/>
  <c r="CW8" i="40"/>
  <c r="DU8" i="40" s="1"/>
  <c r="BU13" i="54"/>
  <c r="BU14" i="54"/>
  <c r="AE13" i="54"/>
  <c r="AE14" i="54"/>
  <c r="BV13" i="54"/>
  <c r="BV14" i="54"/>
  <c r="AC13" i="54"/>
  <c r="AC14" i="54"/>
  <c r="AD13" i="54"/>
  <c r="AD14" i="54"/>
  <c r="BS14" i="54"/>
  <c r="AB13" i="54"/>
  <c r="AB14" i="54"/>
  <c r="Y13" i="54"/>
  <c r="Y14" i="54"/>
  <c r="DQ13" i="54"/>
  <c r="DQ14" i="54"/>
  <c r="AR13" i="54"/>
  <c r="AR14" i="54"/>
  <c r="DO13" i="54"/>
  <c r="DO14" i="54"/>
  <c r="BS13" i="54"/>
  <c r="AC16" i="54"/>
  <c r="AC15" i="54"/>
  <c r="AD16" i="54"/>
  <c r="AD15" i="54"/>
  <c r="BS15" i="54"/>
  <c r="AB16" i="54"/>
  <c r="AB15" i="54"/>
  <c r="Y16" i="54"/>
  <c r="Y15" i="54"/>
  <c r="DQ16" i="54"/>
  <c r="DQ15" i="54"/>
  <c r="AR16" i="54"/>
  <c r="AR15" i="54"/>
  <c r="DO16" i="54"/>
  <c r="DO15" i="54"/>
  <c r="AE16" i="54"/>
  <c r="AE15" i="54"/>
  <c r="BV16" i="54"/>
  <c r="BV15" i="54"/>
  <c r="BU16" i="54"/>
  <c r="BU15" i="54"/>
  <c r="BS16" i="54"/>
  <c r="AD20" i="54"/>
  <c r="AD17" i="54"/>
  <c r="BV20" i="54"/>
  <c r="BV17" i="54"/>
  <c r="AB20" i="54"/>
  <c r="AB17" i="54"/>
  <c r="AC20" i="54"/>
  <c r="AC17" i="54"/>
  <c r="DO20" i="54"/>
  <c r="DO17" i="54"/>
  <c r="AR20" i="54"/>
  <c r="AR17" i="54"/>
  <c r="Y17" i="54"/>
  <c r="BU20" i="54"/>
  <c r="BU17" i="54"/>
  <c r="DQ20" i="54"/>
  <c r="DQ17" i="54"/>
  <c r="AE20" i="54"/>
  <c r="AE17" i="54"/>
  <c r="BS17" i="54"/>
  <c r="BS20" i="54"/>
  <c r="Y22" i="54"/>
  <c r="Y20" i="54"/>
  <c r="DQ23" i="54"/>
  <c r="DQ22" i="54"/>
  <c r="AR23" i="54"/>
  <c r="AR22" i="54"/>
  <c r="DO23" i="54"/>
  <c r="DO22" i="54"/>
  <c r="BU23" i="54"/>
  <c r="BU22" i="54"/>
  <c r="BV23" i="54"/>
  <c r="BV22" i="54"/>
  <c r="AC23" i="54"/>
  <c r="AC22" i="54"/>
  <c r="AE23" i="54"/>
  <c r="AE22" i="54"/>
  <c r="AD23" i="54"/>
  <c r="AD22" i="54"/>
  <c r="AB23" i="54"/>
  <c r="AB22" i="54"/>
  <c r="BS22" i="54"/>
  <c r="BS23" i="54"/>
  <c r="Y23" i="54"/>
  <c r="Y30" i="54"/>
  <c r="Y26" i="54"/>
  <c r="Y31" i="54"/>
  <c r="BS30" i="54"/>
  <c r="BU26" i="54"/>
  <c r="BU31" i="54"/>
  <c r="DO26" i="54"/>
  <c r="DO31" i="54"/>
  <c r="BV26" i="54"/>
  <c r="BV31" i="54"/>
  <c r="DQ26" i="54"/>
  <c r="DQ31" i="54"/>
  <c r="AR26" i="54"/>
  <c r="AR31" i="54"/>
  <c r="AE26" i="54"/>
  <c r="AE31" i="54"/>
  <c r="AC26" i="54"/>
  <c r="AC31" i="54"/>
  <c r="AD26" i="54"/>
  <c r="AD31" i="54"/>
  <c r="AE33" i="54"/>
  <c r="AE30" i="54"/>
  <c r="AB26" i="54"/>
  <c r="AB31" i="54"/>
  <c r="BS31" i="54"/>
  <c r="BS32" i="54"/>
  <c r="BS33" i="54"/>
  <c r="AC32" i="54"/>
  <c r="AC33" i="54"/>
  <c r="AB32" i="54"/>
  <c r="AB33" i="54"/>
  <c r="BU32" i="54"/>
  <c r="BU33" i="54"/>
  <c r="AD32" i="54"/>
  <c r="AD33" i="54"/>
  <c r="DO32" i="54"/>
  <c r="DO33" i="54"/>
  <c r="BV32" i="54"/>
  <c r="BV33" i="54"/>
  <c r="DQ32" i="54"/>
  <c r="DQ33" i="54"/>
  <c r="AR32" i="54"/>
  <c r="AR33" i="54"/>
  <c r="Y32" i="54"/>
  <c r="Y33" i="54"/>
  <c r="DU32" i="54"/>
  <c r="DU33" i="54"/>
  <c r="AB9" i="26"/>
  <c r="AE32" i="54"/>
  <c r="BS26" i="54"/>
  <c r="D33" i="26"/>
  <c r="D31" i="26"/>
  <c r="AB36" i="26"/>
  <c r="D36" i="26"/>
  <c r="D7" i="54"/>
  <c r="D9" i="26"/>
  <c r="M23" i="51"/>
  <c r="M34" i="51"/>
  <c r="M17" i="51"/>
  <c r="Y36" i="26"/>
  <c r="Z36" i="26" s="1"/>
  <c r="E31" i="25"/>
  <c r="F31" i="25" s="1"/>
  <c r="M12" i="51"/>
  <c r="Y9" i="26"/>
  <c r="Z9" i="26" s="1"/>
  <c r="E11" i="25"/>
  <c r="F11" i="25" s="1"/>
  <c r="AB31" i="26"/>
  <c r="Y33" i="26"/>
  <c r="Z33" i="26" s="1"/>
  <c r="E10" i="25"/>
  <c r="F10" i="25" s="1"/>
  <c r="AB33" i="26"/>
  <c r="E28" i="25"/>
  <c r="F28" i="25" s="1"/>
  <c r="Y31" i="26"/>
  <c r="Z31" i="26" s="1"/>
  <c r="M24" i="51"/>
  <c r="CC2" i="1"/>
  <c r="BX2" i="54" s="1"/>
  <c r="BL23" i="1"/>
  <c r="BL28" i="1"/>
  <c r="P30" i="15" s="1"/>
  <c r="AT2" i="1"/>
  <c r="AR2" i="54" s="1"/>
  <c r="AB29" i="26"/>
  <c r="E14" i="25"/>
  <c r="F14" i="25" s="1"/>
  <c r="V2" i="1"/>
  <c r="V2" i="54" s="1"/>
  <c r="AB23" i="1"/>
  <c r="AA9" i="54" s="1"/>
  <c r="K104" i="51"/>
  <c r="K109" i="51" s="1"/>
  <c r="Y24" i="26"/>
  <c r="Z24" i="26" s="1"/>
  <c r="O27" i="52"/>
  <c r="O14" i="52"/>
  <c r="O10" i="52"/>
  <c r="O16" i="52"/>
  <c r="O29" i="52"/>
  <c r="BY2" i="1"/>
  <c r="BU2" i="54" s="1"/>
  <c r="O21" i="52"/>
  <c r="O22" i="52"/>
  <c r="D13" i="54"/>
  <c r="AX2" i="26"/>
  <c r="BV38" i="26"/>
  <c r="AB24" i="26"/>
  <c r="BD38" i="26"/>
  <c r="AJ24" i="26"/>
  <c r="DV2" i="1"/>
  <c r="DQ2" i="54" s="1"/>
  <c r="C2" i="1"/>
  <c r="F2" i="32"/>
  <c r="AD1" i="26"/>
  <c r="O25" i="52"/>
  <c r="O26" i="52"/>
  <c r="BX28" i="1"/>
  <c r="BW2" i="26"/>
  <c r="DZ23" i="1"/>
  <c r="AG2" i="1"/>
  <c r="AE2" i="54" s="1"/>
  <c r="BX23" i="1"/>
  <c r="BT9" i="54" s="1"/>
  <c r="W1" i="26"/>
  <c r="W2" i="26" s="1"/>
  <c r="AW38" i="26"/>
  <c r="BE2" i="26"/>
  <c r="T2" i="1"/>
  <c r="T2" i="54" s="1"/>
  <c r="O13" i="52"/>
  <c r="O8" i="52"/>
  <c r="BK38" i="26"/>
  <c r="O12" i="52"/>
  <c r="Z2" i="1"/>
  <c r="Y2" i="54" s="1"/>
  <c r="O20" i="52"/>
  <c r="AQ2" i="26"/>
  <c r="AO2" i="26" s="1"/>
  <c r="BP2" i="26"/>
  <c r="BK2" i="26"/>
  <c r="O17" i="52"/>
  <c r="O24" i="52"/>
  <c r="O4" i="52"/>
  <c r="O9" i="52"/>
  <c r="BO38" i="26"/>
  <c r="O15" i="52"/>
  <c r="O18" i="52"/>
  <c r="O5" i="52"/>
  <c r="O6" i="52"/>
  <c r="O3" i="52"/>
  <c r="H2" i="15"/>
  <c r="O23" i="52"/>
  <c r="O19" i="52"/>
  <c r="M30" i="51"/>
  <c r="AG1" i="33"/>
  <c r="O11" i="52"/>
  <c r="O7" i="52"/>
  <c r="AJ29" i="26"/>
  <c r="D32" i="54"/>
  <c r="DT2" i="1"/>
  <c r="DO2" i="54" s="1"/>
  <c r="O28" i="52"/>
  <c r="M21" i="51"/>
  <c r="AB28" i="1"/>
  <c r="Y29" i="26"/>
  <c r="Z29" i="26" s="1"/>
  <c r="E16" i="25"/>
  <c r="F16" i="25" s="1"/>
  <c r="C236" i="45" l="1"/>
  <c r="AF17" i="15"/>
  <c r="AF19" i="15"/>
  <c r="P17" i="15"/>
  <c r="P19" i="15"/>
  <c r="AF13" i="15"/>
  <c r="AF14" i="15"/>
  <c r="P13" i="15"/>
  <c r="P14" i="15"/>
  <c r="AF8" i="15"/>
  <c r="AF9" i="15"/>
  <c r="DR9" i="54"/>
  <c r="AF27" i="15"/>
  <c r="AF31" i="15"/>
  <c r="P8" i="15"/>
  <c r="P9" i="15"/>
  <c r="BH9" i="54"/>
  <c r="P27" i="15"/>
  <c r="P31" i="15"/>
  <c r="DU25" i="54"/>
  <c r="DU9" i="54"/>
  <c r="P20" i="15"/>
  <c r="P21" i="15"/>
  <c r="AF20" i="15"/>
  <c r="AF21" i="15"/>
  <c r="P23" i="15"/>
  <c r="AF23" i="15"/>
  <c r="AF22" i="15"/>
  <c r="AF24" i="15"/>
  <c r="P22" i="15"/>
  <c r="P24" i="15"/>
  <c r="P29" i="15"/>
  <c r="P28" i="15"/>
  <c r="AF29" i="15"/>
  <c r="AF28" i="15"/>
  <c r="S35" i="15"/>
  <c r="S13" i="15"/>
  <c r="S24" i="15"/>
  <c r="S30" i="15"/>
  <c r="S31" i="15"/>
  <c r="S14" i="15"/>
  <c r="S23" i="15"/>
  <c r="S8" i="15"/>
  <c r="S28" i="15"/>
  <c r="S22" i="15"/>
  <c r="S17" i="15"/>
  <c r="S10" i="15"/>
  <c r="S27" i="15"/>
  <c r="S34" i="15"/>
  <c r="S33" i="15"/>
  <c r="S11" i="15"/>
  <c r="S20" i="15"/>
  <c r="S25" i="15"/>
  <c r="S29" i="15"/>
  <c r="S9" i="15"/>
  <c r="S15" i="15"/>
  <c r="S18" i="15"/>
  <c r="S12" i="15"/>
  <c r="S32" i="15"/>
  <c r="S26" i="15"/>
  <c r="P26" i="15"/>
  <c r="P25" i="15"/>
  <c r="AF26" i="15"/>
  <c r="AF25" i="15"/>
  <c r="S16" i="15"/>
  <c r="S19" i="15"/>
  <c r="S21" i="15"/>
  <c r="BM17" i="26"/>
  <c r="BM32" i="26"/>
  <c r="CT3" i="26"/>
  <c r="DD3" i="33"/>
  <c r="CQ78" i="33"/>
  <c r="CQ58" i="33"/>
  <c r="CQ49" i="33"/>
  <c r="CQ69" i="33"/>
  <c r="CQ67" i="33"/>
  <c r="CQ62" i="33"/>
  <c r="CQ63" i="33"/>
  <c r="CQ61" i="33"/>
  <c r="CQ26" i="33"/>
  <c r="CQ16" i="33"/>
  <c r="CQ14" i="33"/>
  <c r="CQ12" i="33"/>
  <c r="CQ56" i="33"/>
  <c r="CQ75" i="33"/>
  <c r="CQ29" i="33"/>
  <c r="CQ55" i="33"/>
  <c r="CQ32" i="33"/>
  <c r="CQ45" i="33"/>
  <c r="CQ66" i="33"/>
  <c r="CQ52" i="33"/>
  <c r="CQ11" i="33"/>
  <c r="CQ24" i="33"/>
  <c r="CQ65" i="33"/>
  <c r="CQ76" i="33"/>
  <c r="CQ74" i="33"/>
  <c r="CQ64" i="33"/>
  <c r="CQ44" i="33"/>
  <c r="CQ41" i="33"/>
  <c r="CQ36" i="33"/>
  <c r="CQ28" i="33"/>
  <c r="CQ50" i="33"/>
  <c r="CQ30" i="33"/>
  <c r="CQ31" i="33"/>
  <c r="CQ51" i="33"/>
  <c r="CQ40" i="33"/>
  <c r="CQ33" i="33"/>
  <c r="CQ25" i="33"/>
  <c r="CQ23" i="33"/>
  <c r="CQ18" i="33"/>
  <c r="CQ17" i="33"/>
  <c r="CQ46" i="33"/>
  <c r="CQ54" i="33"/>
  <c r="CQ57" i="33"/>
  <c r="CQ47" i="33"/>
  <c r="CQ53" i="33"/>
  <c r="CQ27" i="33"/>
  <c r="CQ48" i="33"/>
  <c r="CQ13" i="33"/>
  <c r="CQ34" i="33"/>
  <c r="CQ38" i="33"/>
  <c r="CQ20" i="33"/>
  <c r="CQ22" i="33"/>
  <c r="CQ35" i="33"/>
  <c r="CQ21" i="33"/>
  <c r="CQ8" i="33"/>
  <c r="CQ42" i="33"/>
  <c r="CQ19" i="33"/>
  <c r="CQ15" i="33"/>
  <c r="CQ10" i="33"/>
  <c r="CQ37" i="33"/>
  <c r="CQ39" i="33"/>
  <c r="CQ9" i="33"/>
  <c r="CQ43" i="33"/>
  <c r="CK3" i="26"/>
  <c r="DU27" i="54"/>
  <c r="BT27" i="54"/>
  <c r="BT28" i="54"/>
  <c r="DR28" i="54"/>
  <c r="AA27" i="54"/>
  <c r="AA28" i="54"/>
  <c r="BH28" i="54"/>
  <c r="BH27" i="54"/>
  <c r="DR27" i="54"/>
  <c r="BH25" i="54"/>
  <c r="AA24" i="54"/>
  <c r="AA25" i="54"/>
  <c r="DR25" i="54"/>
  <c r="BT24" i="54"/>
  <c r="BT25" i="54"/>
  <c r="DR24" i="54"/>
  <c r="DU21" i="54"/>
  <c r="DU24" i="54"/>
  <c r="BH24" i="54"/>
  <c r="BT21" i="54"/>
  <c r="DR21" i="54"/>
  <c r="AA29" i="54"/>
  <c r="AA21" i="54"/>
  <c r="BH21" i="54"/>
  <c r="BT30" i="54"/>
  <c r="BT29" i="54"/>
  <c r="BH29" i="54"/>
  <c r="DR29" i="54"/>
  <c r="BT10" i="54"/>
  <c r="BT8" i="54"/>
  <c r="DR8" i="54"/>
  <c r="AA10" i="54"/>
  <c r="AA8" i="54"/>
  <c r="DU10" i="54"/>
  <c r="DU8" i="54"/>
  <c r="BH8" i="54"/>
  <c r="BH10" i="54"/>
  <c r="DR10" i="54"/>
  <c r="CD3" i="26"/>
  <c r="CI3" i="33"/>
  <c r="BT12" i="54"/>
  <c r="BT11" i="54"/>
  <c r="DR11" i="54"/>
  <c r="BH11" i="54"/>
  <c r="D11" i="54"/>
  <c r="AA12" i="54"/>
  <c r="AA11" i="54"/>
  <c r="DU12" i="54"/>
  <c r="DU11" i="54"/>
  <c r="D31" i="54"/>
  <c r="BH12" i="54"/>
  <c r="D14" i="54"/>
  <c r="D12" i="54"/>
  <c r="DR12" i="54"/>
  <c r="D33" i="54"/>
  <c r="D18" i="54"/>
  <c r="D16" i="54"/>
  <c r="CZ1" i="40"/>
  <c r="DU19" i="54"/>
  <c r="DU18" i="54"/>
  <c r="BT19" i="54"/>
  <c r="BT18" i="54"/>
  <c r="BH18" i="54"/>
  <c r="AA19" i="54"/>
  <c r="AA18" i="54"/>
  <c r="DR18" i="54"/>
  <c r="BH19" i="54"/>
  <c r="DR19" i="54"/>
  <c r="BH14" i="54"/>
  <c r="BT13" i="54"/>
  <c r="BT14" i="54"/>
  <c r="DU13" i="54"/>
  <c r="DU14" i="54"/>
  <c r="DR14" i="54"/>
  <c r="AA13" i="54"/>
  <c r="AA14" i="54"/>
  <c r="BH13" i="54"/>
  <c r="DR13" i="54"/>
  <c r="DR15" i="54"/>
  <c r="AA16" i="54"/>
  <c r="AA15" i="54"/>
  <c r="BT16" i="54"/>
  <c r="BT15" i="54"/>
  <c r="DU16" i="54"/>
  <c r="DU15" i="54"/>
  <c r="BH15" i="54"/>
  <c r="BH16" i="54"/>
  <c r="DR16" i="54"/>
  <c r="AA20" i="54"/>
  <c r="AA17" i="54"/>
  <c r="BT20" i="54"/>
  <c r="BT17" i="54"/>
  <c r="BH17" i="54"/>
  <c r="DU20" i="54"/>
  <c r="DU17" i="54"/>
  <c r="DR17" i="54"/>
  <c r="BH20" i="54"/>
  <c r="DR20" i="54"/>
  <c r="AA23" i="54"/>
  <c r="AA22" i="54"/>
  <c r="DU23" i="54"/>
  <c r="DU22" i="54"/>
  <c r="BT23" i="54"/>
  <c r="BT22" i="54"/>
  <c r="BH22" i="54"/>
  <c r="DR22" i="54"/>
  <c r="BH23" i="54"/>
  <c r="DR23" i="54"/>
  <c r="DR30" i="54"/>
  <c r="BT26" i="54"/>
  <c r="BT31" i="54"/>
  <c r="DU26" i="54"/>
  <c r="DU31" i="54"/>
  <c r="BH30" i="54"/>
  <c r="BH31" i="54"/>
  <c r="AA33" i="54"/>
  <c r="AA30" i="54"/>
  <c r="DR31" i="54"/>
  <c r="AA26" i="54"/>
  <c r="AA31" i="54"/>
  <c r="BT32" i="54"/>
  <c r="BT33" i="54"/>
  <c r="BH32" i="54"/>
  <c r="BH33" i="54"/>
  <c r="DR32" i="54"/>
  <c r="DR33" i="54"/>
  <c r="BH26" i="54"/>
  <c r="DR26" i="54"/>
  <c r="AA9" i="26"/>
  <c r="AA32" i="54"/>
  <c r="AA36" i="26"/>
  <c r="AA33" i="26"/>
  <c r="AA31" i="26"/>
  <c r="BM26" i="26"/>
  <c r="BK42" i="26"/>
  <c r="DW2" i="1"/>
  <c r="DR2" i="54" s="1"/>
  <c r="G2" i="32"/>
  <c r="DZ2" i="1"/>
  <c r="DU2" i="54" s="1"/>
  <c r="Q42" i="1"/>
  <c r="AU31" i="1" s="1"/>
  <c r="AA24" i="26"/>
  <c r="AA29" i="26"/>
  <c r="D29" i="26"/>
  <c r="I2" i="20"/>
  <c r="BV2" i="1"/>
  <c r="BR2" i="54" s="1"/>
  <c r="I2" i="15"/>
  <c r="J2" i="20"/>
  <c r="CE28" i="1"/>
  <c r="CG23" i="1"/>
  <c r="CB9" i="54" s="1"/>
  <c r="CE23" i="1"/>
  <c r="BZ9" i="54" s="1"/>
  <c r="CG28" i="1"/>
  <c r="H3" i="53"/>
  <c r="D24" i="26"/>
  <c r="BM19" i="26"/>
  <c r="BL38" i="26"/>
  <c r="BM20" i="26"/>
  <c r="BM21" i="26"/>
  <c r="BM8" i="26"/>
  <c r="BM18" i="26"/>
  <c r="BM29" i="26"/>
  <c r="BM28" i="26"/>
  <c r="BM31" i="26"/>
  <c r="BM25" i="26"/>
  <c r="BM9" i="26"/>
  <c r="BM35" i="26"/>
  <c r="BM15" i="26"/>
  <c r="BM24" i="26"/>
  <c r="BM13" i="26"/>
  <c r="BM34" i="26"/>
  <c r="C2" i="26"/>
  <c r="BX2" i="1"/>
  <c r="BT2" i="54" s="1"/>
  <c r="BM33" i="26"/>
  <c r="BM14" i="26"/>
  <c r="BM12" i="26"/>
  <c r="BM22" i="26"/>
  <c r="BM23" i="26"/>
  <c r="BM38" i="26"/>
  <c r="BM30" i="26"/>
  <c r="BM36" i="26"/>
  <c r="BM11" i="26"/>
  <c r="BM10" i="26"/>
  <c r="BM16" i="26"/>
  <c r="BM27" i="26"/>
  <c r="BQ87" i="33"/>
  <c r="C237" i="45" l="1"/>
  <c r="AG27" i="15"/>
  <c r="Q16" i="15"/>
  <c r="Q24" i="15"/>
  <c r="Q26" i="15"/>
  <c r="Q14" i="15"/>
  <c r="Q9" i="15"/>
  <c r="Q32" i="15"/>
  <c r="Q12" i="15"/>
  <c r="Q28" i="15"/>
  <c r="Q31" i="15"/>
  <c r="Q19" i="15"/>
  <c r="Q15" i="15"/>
  <c r="Q23" i="15"/>
  <c r="AG23" i="15"/>
  <c r="Q20" i="15"/>
  <c r="Q13" i="15"/>
  <c r="Q11" i="15"/>
  <c r="Q18" i="15"/>
  <c r="Q30" i="15"/>
  <c r="Q22" i="15"/>
  <c r="Q35" i="15"/>
  <c r="Q25" i="15"/>
  <c r="Q8" i="15"/>
  <c r="AG10" i="15"/>
  <c r="Q27" i="15"/>
  <c r="Q34" i="15"/>
  <c r="Q29" i="15"/>
  <c r="AG8" i="15"/>
  <c r="Q33" i="15"/>
  <c r="Q17" i="15"/>
  <c r="AG11" i="15"/>
  <c r="Q10" i="15"/>
  <c r="Q21" i="15"/>
  <c r="AG22" i="15"/>
  <c r="AG28" i="15"/>
  <c r="AG33" i="15"/>
  <c r="AG15" i="15"/>
  <c r="AG19" i="15"/>
  <c r="AG13" i="15"/>
  <c r="AG29" i="15"/>
  <c r="AG12" i="15"/>
  <c r="AG21" i="15"/>
  <c r="AG18" i="15"/>
  <c r="AG34" i="15"/>
  <c r="AG30" i="15"/>
  <c r="AG26" i="15"/>
  <c r="AG14" i="15"/>
  <c r="AG24" i="15"/>
  <c r="AG16" i="15"/>
  <c r="AG17" i="15"/>
  <c r="AG35" i="15"/>
  <c r="AG25" i="15"/>
  <c r="AG31" i="15"/>
  <c r="AG20" i="15"/>
  <c r="AG32" i="15"/>
  <c r="AG9" i="15"/>
  <c r="CL16" i="26"/>
  <c r="CL32" i="26"/>
  <c r="CE34" i="26"/>
  <c r="CE32" i="26"/>
  <c r="CL9" i="26"/>
  <c r="CL15" i="26"/>
  <c r="CL30" i="26"/>
  <c r="CL26" i="26"/>
  <c r="CL20" i="26"/>
  <c r="CL33" i="26"/>
  <c r="CL25" i="26"/>
  <c r="CL22" i="26"/>
  <c r="CL17" i="26"/>
  <c r="CL28" i="26"/>
  <c r="CL18" i="26"/>
  <c r="CL24" i="26"/>
  <c r="CL27" i="26"/>
  <c r="CL19" i="26"/>
  <c r="CQ80" i="33"/>
  <c r="CL11" i="26"/>
  <c r="CL14" i="26"/>
  <c r="CL36" i="26"/>
  <c r="CL8" i="26"/>
  <c r="CL12" i="26"/>
  <c r="CL34" i="26"/>
  <c r="CL35" i="26"/>
  <c r="CL21" i="26"/>
  <c r="CL31" i="26"/>
  <c r="CL10" i="26"/>
  <c r="CL23" i="26"/>
  <c r="CL13" i="26"/>
  <c r="CL29" i="26"/>
  <c r="CQ2" i="33"/>
  <c r="CQ81" i="33"/>
  <c r="CQ1" i="33"/>
  <c r="CQ4" i="33"/>
  <c r="CQ3" i="33"/>
  <c r="CJ64" i="33"/>
  <c r="CJ75" i="33"/>
  <c r="CJ76" i="33"/>
  <c r="CJ65" i="33"/>
  <c r="CJ74" i="33"/>
  <c r="CJ66" i="33"/>
  <c r="CJ78" i="33"/>
  <c r="CJ31" i="33"/>
  <c r="CJ19" i="33"/>
  <c r="CJ40" i="33"/>
  <c r="CJ30" i="33"/>
  <c r="CJ28" i="33"/>
  <c r="CJ24" i="33"/>
  <c r="CJ9" i="33"/>
  <c r="CJ45" i="33"/>
  <c r="CJ41" i="33"/>
  <c r="CJ8" i="33"/>
  <c r="CJ56" i="33"/>
  <c r="CJ37" i="33"/>
  <c r="CJ47" i="33"/>
  <c r="CJ18" i="33"/>
  <c r="CJ35" i="33"/>
  <c r="CJ44" i="33"/>
  <c r="CJ55" i="33"/>
  <c r="CJ50" i="33"/>
  <c r="CJ32" i="33"/>
  <c r="CJ42" i="33"/>
  <c r="CJ33" i="33"/>
  <c r="CJ22" i="33"/>
  <c r="CJ10" i="33"/>
  <c r="CJ12" i="33"/>
  <c r="CJ52" i="33"/>
  <c r="CJ46" i="33"/>
  <c r="CJ34" i="33"/>
  <c r="CJ48" i="33"/>
  <c r="CJ17" i="33"/>
  <c r="CJ23" i="33"/>
  <c r="CJ58" i="33"/>
  <c r="CJ53" i="33"/>
  <c r="CJ11" i="33"/>
  <c r="CJ27" i="33"/>
  <c r="CJ36" i="33"/>
  <c r="CJ14" i="33"/>
  <c r="CJ39" i="33"/>
  <c r="CJ25" i="33"/>
  <c r="CJ20" i="33"/>
  <c r="CJ49" i="33"/>
  <c r="CJ29" i="33"/>
  <c r="CJ26" i="33"/>
  <c r="CJ57" i="33"/>
  <c r="CJ43" i="33"/>
  <c r="CJ16" i="33"/>
  <c r="CJ13" i="33"/>
  <c r="CJ51" i="33"/>
  <c r="CJ54" i="33"/>
  <c r="CJ15" i="33"/>
  <c r="CJ21" i="33"/>
  <c r="CJ60" i="33"/>
  <c r="BZ27" i="54"/>
  <c r="BZ28" i="54"/>
  <c r="CB27" i="54"/>
  <c r="CB28" i="54"/>
  <c r="BZ24" i="54"/>
  <c r="BZ25" i="54"/>
  <c r="CB24" i="54"/>
  <c r="CB25" i="54"/>
  <c r="BZ21" i="54"/>
  <c r="CB21" i="54"/>
  <c r="CJ61" i="33"/>
  <c r="BZ30" i="54"/>
  <c r="BZ29" i="54"/>
  <c r="CB30" i="54"/>
  <c r="CB29" i="54"/>
  <c r="BZ10" i="54"/>
  <c r="BZ8" i="54"/>
  <c r="CB10" i="54"/>
  <c r="CB8" i="54"/>
  <c r="CE25" i="26"/>
  <c r="CE35" i="26"/>
  <c r="CE14" i="26"/>
  <c r="CE10" i="26"/>
  <c r="CE20" i="26"/>
  <c r="CE11" i="26"/>
  <c r="CE21" i="26"/>
  <c r="CE9" i="26"/>
  <c r="CE17" i="26"/>
  <c r="CE8" i="26"/>
  <c r="CE13" i="26"/>
  <c r="CE29" i="26"/>
  <c r="CE12" i="26"/>
  <c r="CE15" i="26"/>
  <c r="CE33" i="26"/>
  <c r="CE26" i="26"/>
  <c r="CE19" i="26"/>
  <c r="CE36" i="26"/>
  <c r="CE27" i="26"/>
  <c r="CE30" i="26"/>
  <c r="CE18" i="26"/>
  <c r="CE23" i="26"/>
  <c r="CE24" i="26"/>
  <c r="CE22" i="26"/>
  <c r="CE28" i="26"/>
  <c r="CE31" i="26"/>
  <c r="CE16" i="26"/>
  <c r="CB12" i="54"/>
  <c r="CB11" i="54"/>
  <c r="BZ12" i="54"/>
  <c r="BZ11" i="54"/>
  <c r="BZ19" i="54"/>
  <c r="BZ18" i="54"/>
  <c r="CB19" i="54"/>
  <c r="CB18" i="54"/>
  <c r="BZ13" i="54"/>
  <c r="BZ14" i="54"/>
  <c r="CB13" i="54"/>
  <c r="CB14" i="54"/>
  <c r="CB16" i="54"/>
  <c r="CB15" i="54"/>
  <c r="BZ16" i="54"/>
  <c r="BZ15" i="54"/>
  <c r="BZ20" i="54"/>
  <c r="BZ17" i="54"/>
  <c r="CB20" i="54"/>
  <c r="CB17" i="54"/>
  <c r="BZ23" i="54"/>
  <c r="BZ22" i="54"/>
  <c r="CB23" i="54"/>
  <c r="CB22" i="54"/>
  <c r="BZ26" i="54"/>
  <c r="BZ31" i="54"/>
  <c r="CB26" i="54"/>
  <c r="CB31" i="54"/>
  <c r="CB32" i="54"/>
  <c r="CB33" i="54"/>
  <c r="BZ32" i="54"/>
  <c r="BZ33" i="54"/>
  <c r="AU11" i="1"/>
  <c r="AU16" i="1"/>
  <c r="AG7" i="15"/>
  <c r="H16" i="53"/>
  <c r="Q55" i="1"/>
  <c r="EA31" i="1" s="1"/>
  <c r="AU28" i="1"/>
  <c r="AU21" i="1"/>
  <c r="AU22" i="1"/>
  <c r="AU24" i="1"/>
  <c r="AU19" i="1"/>
  <c r="AU14" i="1"/>
  <c r="AU32" i="1"/>
  <c r="AU17" i="1"/>
  <c r="AU26" i="1"/>
  <c r="AU13" i="1"/>
  <c r="AU10" i="1"/>
  <c r="AU9" i="1"/>
  <c r="AU33" i="1"/>
  <c r="AU23" i="1"/>
  <c r="AU30" i="1"/>
  <c r="AU8" i="1"/>
  <c r="CH28" i="1"/>
  <c r="X30" i="15" s="1"/>
  <c r="AU15" i="1"/>
  <c r="AU18" i="1"/>
  <c r="CH23" i="1"/>
  <c r="CF28" i="1"/>
  <c r="V30" i="15" s="1"/>
  <c r="AU29" i="1"/>
  <c r="AU34" i="1"/>
  <c r="AU35" i="1"/>
  <c r="AU20" i="1"/>
  <c r="AU7" i="1"/>
  <c r="CF23" i="1"/>
  <c r="AU27" i="1"/>
  <c r="AU25" i="1"/>
  <c r="AU12" i="1"/>
  <c r="BW2" i="1"/>
  <c r="BS2" i="54" s="1"/>
  <c r="CG2" i="1"/>
  <c r="CB2" i="54" s="1"/>
  <c r="S7" i="15"/>
  <c r="Q7" i="15"/>
  <c r="BM2" i="26"/>
  <c r="C238" i="45" l="1"/>
  <c r="X17" i="15"/>
  <c r="X19" i="15"/>
  <c r="V17" i="15"/>
  <c r="V19" i="15"/>
  <c r="X13" i="15"/>
  <c r="X14" i="15"/>
  <c r="V13" i="15"/>
  <c r="V14" i="15"/>
  <c r="X27" i="15"/>
  <c r="X31" i="15"/>
  <c r="X8" i="15"/>
  <c r="X9" i="15"/>
  <c r="CC9" i="54"/>
  <c r="V27" i="15"/>
  <c r="V31" i="15"/>
  <c r="V8" i="15"/>
  <c r="V9" i="15"/>
  <c r="CA9" i="54"/>
  <c r="J35" i="15"/>
  <c r="V20" i="15"/>
  <c r="V21" i="15"/>
  <c r="X20" i="15"/>
  <c r="X21" i="15"/>
  <c r="X23" i="15"/>
  <c r="J34" i="15"/>
  <c r="V23" i="15"/>
  <c r="J10" i="15"/>
  <c r="J11" i="15"/>
  <c r="J27" i="15"/>
  <c r="X22" i="15"/>
  <c r="X24" i="15"/>
  <c r="V22" i="15"/>
  <c r="V24" i="15"/>
  <c r="J17" i="15"/>
  <c r="J8" i="15"/>
  <c r="J29" i="15"/>
  <c r="J14" i="15"/>
  <c r="J9" i="15"/>
  <c r="J28" i="15"/>
  <c r="X29" i="15"/>
  <c r="X28" i="15"/>
  <c r="J18" i="15"/>
  <c r="J12" i="15"/>
  <c r="V29" i="15"/>
  <c r="V28" i="15"/>
  <c r="J24" i="15"/>
  <c r="J25" i="15"/>
  <c r="J20" i="15"/>
  <c r="J21" i="15"/>
  <c r="J33" i="15"/>
  <c r="J13" i="15"/>
  <c r="J15" i="15"/>
  <c r="J30" i="15"/>
  <c r="J26" i="15"/>
  <c r="J22" i="15"/>
  <c r="V26" i="15"/>
  <c r="V25" i="15"/>
  <c r="J31" i="15"/>
  <c r="J16" i="15"/>
  <c r="X26" i="15"/>
  <c r="X25" i="15"/>
  <c r="J19" i="15"/>
  <c r="J32" i="15"/>
  <c r="J23" i="15"/>
  <c r="CL1" i="26"/>
  <c r="CL38" i="26"/>
  <c r="CL2" i="26"/>
  <c r="CA28" i="54"/>
  <c r="CC28" i="54"/>
  <c r="CA27" i="54"/>
  <c r="CC27" i="54"/>
  <c r="CC25" i="54"/>
  <c r="CA25" i="54"/>
  <c r="CA24" i="54"/>
  <c r="CC24" i="54"/>
  <c r="CC21" i="54"/>
  <c r="CA21" i="54"/>
  <c r="CA29" i="54"/>
  <c r="CC29" i="54"/>
  <c r="CA8" i="54"/>
  <c r="CC8" i="54"/>
  <c r="CA10" i="54"/>
  <c r="CC10" i="54"/>
  <c r="CE1" i="26"/>
  <c r="CE38" i="26"/>
  <c r="CE2" i="26"/>
  <c r="CA11" i="54"/>
  <c r="CC11" i="54"/>
  <c r="CC12" i="54"/>
  <c r="CA12" i="54"/>
  <c r="CC18" i="54"/>
  <c r="CA18" i="54"/>
  <c r="CA19" i="54"/>
  <c r="CC19" i="54"/>
  <c r="CC14" i="54"/>
  <c r="CA14" i="54"/>
  <c r="CC13" i="54"/>
  <c r="CA13" i="54"/>
  <c r="CC15" i="54"/>
  <c r="CA15" i="54"/>
  <c r="CC16" i="54"/>
  <c r="CA16" i="54"/>
  <c r="CC17" i="54"/>
  <c r="CA17" i="54"/>
  <c r="CC20" i="54"/>
  <c r="CA20" i="54"/>
  <c r="CA22" i="54"/>
  <c r="CC22" i="54"/>
  <c r="CC23" i="54"/>
  <c r="CA23" i="54"/>
  <c r="CC31" i="54"/>
  <c r="CA30" i="54"/>
  <c r="CA31" i="54"/>
  <c r="CC30" i="54"/>
  <c r="CC32" i="54"/>
  <c r="CC33" i="54"/>
  <c r="CA32" i="54"/>
  <c r="CA33" i="54"/>
  <c r="AS13" i="54"/>
  <c r="AS12" i="54"/>
  <c r="AS18" i="54"/>
  <c r="AS14" i="54"/>
  <c r="AS27" i="54"/>
  <c r="AS15" i="54"/>
  <c r="AS17" i="54"/>
  <c r="AS23" i="54"/>
  <c r="AS26" i="54"/>
  <c r="AS9" i="54"/>
  <c r="CC26" i="54"/>
  <c r="AS10" i="54"/>
  <c r="AS21" i="54"/>
  <c r="AS34" i="54"/>
  <c r="AS30" i="54"/>
  <c r="AS19" i="54"/>
  <c r="AS8" i="54"/>
  <c r="AS29" i="54"/>
  <c r="AS25" i="54"/>
  <c r="AS11" i="54"/>
  <c r="AS32" i="54"/>
  <c r="AS22" i="54"/>
  <c r="AS24" i="54"/>
  <c r="AS28" i="54"/>
  <c r="AS31" i="54"/>
  <c r="AS16" i="54"/>
  <c r="AS20" i="54"/>
  <c r="CA26" i="54"/>
  <c r="AS33" i="54"/>
  <c r="EA29" i="1"/>
  <c r="EA16" i="1"/>
  <c r="AS7" i="54"/>
  <c r="EA7" i="1"/>
  <c r="EA17" i="1"/>
  <c r="EA10" i="1"/>
  <c r="EA9" i="1"/>
  <c r="EA12" i="1"/>
  <c r="EA11" i="1"/>
  <c r="EA8" i="1"/>
  <c r="EA18" i="1"/>
  <c r="EA14" i="1"/>
  <c r="EA33" i="1"/>
  <c r="EA25" i="1"/>
  <c r="EA20" i="1"/>
  <c r="EA35" i="1"/>
  <c r="EA23" i="1"/>
  <c r="EA15" i="1"/>
  <c r="EA27" i="1"/>
  <c r="EA34" i="1"/>
  <c r="EA32" i="1"/>
  <c r="EA22" i="1"/>
  <c r="EA26" i="1"/>
  <c r="EA19" i="1"/>
  <c r="EA13" i="1"/>
  <c r="EA30" i="1"/>
  <c r="EA21" i="1"/>
  <c r="EA28" i="1"/>
  <c r="EA24" i="1"/>
  <c r="J7" i="15"/>
  <c r="P2" i="32"/>
  <c r="O7" i="15"/>
  <c r="C239" i="45" l="1"/>
  <c r="AJ35" i="15"/>
  <c r="AN35" i="15" s="1"/>
  <c r="AJ34" i="15"/>
  <c r="C34" i="15" s="1"/>
  <c r="AJ11" i="15"/>
  <c r="AJ10" i="15"/>
  <c r="AJ27" i="15"/>
  <c r="AN27" i="15" s="1"/>
  <c r="AJ8" i="15"/>
  <c r="AJ29" i="15"/>
  <c r="AJ24" i="15"/>
  <c r="AJ28" i="15"/>
  <c r="AJ18" i="15"/>
  <c r="AJ14" i="15"/>
  <c r="C14" i="15" s="1"/>
  <c r="AJ12" i="15"/>
  <c r="AJ17" i="15"/>
  <c r="AN17" i="15" s="1"/>
  <c r="B17" i="15" s="1"/>
  <c r="AJ9" i="15"/>
  <c r="C9" i="15" s="1"/>
  <c r="Y19" i="15"/>
  <c r="W23" i="15"/>
  <c r="AJ15" i="15"/>
  <c r="AJ33" i="15"/>
  <c r="AN33" i="15" s="1"/>
  <c r="W10" i="15"/>
  <c r="W14" i="15"/>
  <c r="W26" i="15"/>
  <c r="W33" i="15"/>
  <c r="AJ25" i="15"/>
  <c r="C25" i="15" s="1"/>
  <c r="AJ19" i="15"/>
  <c r="C19" i="15" s="1"/>
  <c r="AJ22" i="15"/>
  <c r="C22" i="15" s="1"/>
  <c r="W34" i="15"/>
  <c r="W24" i="15"/>
  <c r="W22" i="15"/>
  <c r="AJ30" i="15"/>
  <c r="C30" i="15" s="1"/>
  <c r="AJ26" i="15"/>
  <c r="C26" i="15" s="1"/>
  <c r="W29" i="15"/>
  <c r="W20" i="15"/>
  <c r="W18" i="15"/>
  <c r="Y11" i="15"/>
  <c r="W17" i="15"/>
  <c r="Y18" i="15"/>
  <c r="Y29" i="15"/>
  <c r="Y8" i="15"/>
  <c r="Y22" i="15"/>
  <c r="W12" i="15"/>
  <c r="W15" i="15"/>
  <c r="W16" i="15"/>
  <c r="W30" i="15"/>
  <c r="W13" i="15"/>
  <c r="AJ23" i="15"/>
  <c r="W19" i="15"/>
  <c r="W9" i="15"/>
  <c r="W25" i="15"/>
  <c r="Y13" i="15"/>
  <c r="Y24" i="15"/>
  <c r="Y30" i="15"/>
  <c r="Y17" i="15"/>
  <c r="Y12" i="15"/>
  <c r="Y34" i="15"/>
  <c r="Y26" i="15"/>
  <c r="Y9" i="15"/>
  <c r="Y21" i="15"/>
  <c r="Y15" i="15"/>
  <c r="Y35" i="15"/>
  <c r="W28" i="15"/>
  <c r="W27" i="15"/>
  <c r="W11" i="15"/>
  <c r="Y31" i="15"/>
  <c r="Y23" i="15"/>
  <c r="AJ32" i="15"/>
  <c r="C32" i="15" s="1"/>
  <c r="W8" i="15"/>
  <c r="W31" i="15"/>
  <c r="W35" i="15"/>
  <c r="Y16" i="15"/>
  <c r="W21" i="15"/>
  <c r="W32" i="15"/>
  <c r="Y27" i="15"/>
  <c r="AJ16" i="15"/>
  <c r="AN16" i="15" s="1"/>
  <c r="AO16" i="15" s="1"/>
  <c r="Y20" i="15"/>
  <c r="Y25" i="15"/>
  <c r="Y28" i="15"/>
  <c r="Y14" i="15"/>
  <c r="K23" i="15"/>
  <c r="AJ13" i="15"/>
  <c r="AN13" i="15" s="1"/>
  <c r="B13" i="15" s="1"/>
  <c r="Y33" i="15"/>
  <c r="Y32" i="15"/>
  <c r="AJ31" i="15"/>
  <c r="AN31" i="15" s="1"/>
  <c r="AO31" i="15" s="1"/>
  <c r="AJ20" i="15"/>
  <c r="AN20" i="15" s="1"/>
  <c r="B20" i="15" s="1"/>
  <c r="AJ21" i="15"/>
  <c r="C21" i="15" s="1"/>
  <c r="Y10" i="15"/>
  <c r="K22" i="15"/>
  <c r="K9" i="15"/>
  <c r="K34" i="15"/>
  <c r="K11" i="15"/>
  <c r="K8" i="15"/>
  <c r="K28" i="15"/>
  <c r="K33" i="15"/>
  <c r="K35" i="15"/>
  <c r="K13" i="15"/>
  <c r="K12" i="15"/>
  <c r="K30" i="15"/>
  <c r="K32" i="15"/>
  <c r="K31" i="15"/>
  <c r="K16" i="15"/>
  <c r="K25" i="15"/>
  <c r="K26" i="15"/>
  <c r="K29" i="15"/>
  <c r="K19" i="15"/>
  <c r="K17" i="15"/>
  <c r="K27" i="15"/>
  <c r="K24" i="15"/>
  <c r="K20" i="15"/>
  <c r="K15" i="15"/>
  <c r="K14" i="15"/>
  <c r="K18" i="15"/>
  <c r="K21" i="15"/>
  <c r="K10" i="15"/>
  <c r="DV27" i="54"/>
  <c r="DV20" i="54"/>
  <c r="DV8" i="54"/>
  <c r="DV28" i="54"/>
  <c r="DV29" i="54"/>
  <c r="DV12" i="54"/>
  <c r="DV24" i="54"/>
  <c r="DV32" i="54"/>
  <c r="DV25" i="54"/>
  <c r="DV30" i="54"/>
  <c r="DV16" i="54"/>
  <c r="DV23" i="54"/>
  <c r="DV11" i="54"/>
  <c r="DV26" i="54"/>
  <c r="DV31" i="54"/>
  <c r="DV19" i="54"/>
  <c r="DV15" i="54"/>
  <c r="DV33" i="54"/>
  <c r="DV34" i="54"/>
  <c r="DV9" i="54"/>
  <c r="DV17" i="54"/>
  <c r="DV13" i="54"/>
  <c r="DV18" i="54"/>
  <c r="DV22" i="54"/>
  <c r="DV21" i="54"/>
  <c r="DV10" i="54"/>
  <c r="DV14" i="54"/>
  <c r="DV7" i="54"/>
  <c r="AJ7" i="15"/>
  <c r="K7" i="15"/>
  <c r="Y7" i="15"/>
  <c r="W7" i="15"/>
  <c r="C240" i="45" l="1"/>
  <c r="C35" i="15"/>
  <c r="B35" i="15"/>
  <c r="AO35" i="15"/>
  <c r="AN34" i="15"/>
  <c r="C11" i="15"/>
  <c r="AN11" i="15"/>
  <c r="AO11" i="15" s="1"/>
  <c r="C10" i="15"/>
  <c r="AN10" i="15"/>
  <c r="C27" i="15"/>
  <c r="B27" i="15"/>
  <c r="AO27" i="15"/>
  <c r="AN8" i="15"/>
  <c r="C8" i="15"/>
  <c r="C24" i="15"/>
  <c r="AN24" i="15"/>
  <c r="C29" i="15"/>
  <c r="AN29" i="15"/>
  <c r="C28" i="15"/>
  <c r="AN28" i="15"/>
  <c r="AO28" i="15" s="1"/>
  <c r="C18" i="15"/>
  <c r="AN18" i="15"/>
  <c r="B18" i="15" s="1"/>
  <c r="AN12" i="15"/>
  <c r="B12" i="15" s="1"/>
  <c r="C12" i="15"/>
  <c r="AO17" i="15"/>
  <c r="AN14" i="15"/>
  <c r="B14" i="15" s="1"/>
  <c r="C17" i="15"/>
  <c r="AN9" i="15"/>
  <c r="B9" i="15" s="1"/>
  <c r="C15" i="15"/>
  <c r="AN15" i="15"/>
  <c r="C33" i="15"/>
  <c r="AN22" i="15"/>
  <c r="AN25" i="15"/>
  <c r="AN19" i="15"/>
  <c r="AN26" i="15"/>
  <c r="B26" i="15" s="1"/>
  <c r="AN30" i="15"/>
  <c r="B30" i="15" s="1"/>
  <c r="C31" i="15"/>
  <c r="AN23" i="15"/>
  <c r="C23" i="15"/>
  <c r="AN32" i="15"/>
  <c r="B32" i="15" s="1"/>
  <c r="B16" i="15"/>
  <c r="AN21" i="15"/>
  <c r="B21" i="15" s="1"/>
  <c r="B31" i="15"/>
  <c r="C16" i="15"/>
  <c r="AO20" i="15"/>
  <c r="C20" i="15"/>
  <c r="AK23" i="15"/>
  <c r="AP23" i="15" s="1"/>
  <c r="AO13" i="15"/>
  <c r="C13" i="15"/>
  <c r="AK12" i="15"/>
  <c r="AP12" i="15" s="1"/>
  <c r="AK29" i="15"/>
  <c r="AP29" i="15" s="1"/>
  <c r="AK30" i="15"/>
  <c r="AP30" i="15" s="1"/>
  <c r="AK10" i="15"/>
  <c r="AP10" i="15" s="1"/>
  <c r="AK17" i="15"/>
  <c r="AP17" i="15" s="1"/>
  <c r="AK20" i="15"/>
  <c r="AP20" i="15" s="1"/>
  <c r="AK15" i="15"/>
  <c r="AP15" i="15" s="1"/>
  <c r="AK24" i="15"/>
  <c r="AP24" i="15" s="1"/>
  <c r="AK13" i="15"/>
  <c r="AP13" i="15" s="1"/>
  <c r="AK26" i="15"/>
  <c r="AP26" i="15" s="1"/>
  <c r="AK16" i="15"/>
  <c r="AP16" i="15" s="1"/>
  <c r="AK8" i="15"/>
  <c r="AP8" i="15" s="1"/>
  <c r="AK32" i="15"/>
  <c r="AP32" i="15" s="1"/>
  <c r="AK22" i="15"/>
  <c r="AP22" i="15" s="1"/>
  <c r="AK14" i="15"/>
  <c r="AP14" i="15" s="1"/>
  <c r="AK11" i="15"/>
  <c r="AP11" i="15" s="1"/>
  <c r="AK33" i="15"/>
  <c r="AP33" i="15" s="1"/>
  <c r="AK28" i="15"/>
  <c r="AP28" i="15" s="1"/>
  <c r="AK27" i="15"/>
  <c r="AP27" i="15" s="1"/>
  <c r="AK35" i="15"/>
  <c r="AP35" i="15" s="1"/>
  <c r="AK19" i="15"/>
  <c r="AP19" i="15" s="1"/>
  <c r="AK21" i="15"/>
  <c r="AP21" i="15" s="1"/>
  <c r="AK18" i="15"/>
  <c r="AP18" i="15" s="1"/>
  <c r="AK34" i="15"/>
  <c r="AP34" i="15" s="1"/>
  <c r="AO33" i="15"/>
  <c r="B33" i="15"/>
  <c r="AK9" i="15"/>
  <c r="AP9" i="15" s="1"/>
  <c r="AK31" i="15"/>
  <c r="AP31" i="15" s="1"/>
  <c r="AK25" i="15"/>
  <c r="AP25" i="15" s="1"/>
  <c r="C7" i="15"/>
  <c r="AN7" i="15"/>
  <c r="AK7" i="15"/>
  <c r="AP7" i="15" s="1"/>
  <c r="C241" i="45" l="1"/>
  <c r="B34" i="15"/>
  <c r="AO34" i="15"/>
  <c r="B11" i="15"/>
  <c r="AO10" i="15"/>
  <c r="B10" i="15"/>
  <c r="AO24" i="15"/>
  <c r="B24" i="15"/>
  <c r="B8" i="15"/>
  <c r="AO8" i="15"/>
  <c r="B29" i="15"/>
  <c r="AO29" i="15"/>
  <c r="AO9" i="15"/>
  <c r="AO12" i="15"/>
  <c r="B28" i="15"/>
  <c r="AO14" i="15"/>
  <c r="AO18" i="15"/>
  <c r="B15" i="15"/>
  <c r="AO15" i="15"/>
  <c r="AO22" i="15"/>
  <c r="B22" i="15"/>
  <c r="B19" i="15"/>
  <c r="AO19" i="15"/>
  <c r="AO25" i="15"/>
  <c r="B25" i="15"/>
  <c r="AO26" i="15"/>
  <c r="AO30" i="15"/>
  <c r="AO21" i="15"/>
  <c r="AO32" i="15"/>
  <c r="B23" i="15"/>
  <c r="AO23" i="15"/>
  <c r="A33" i="15"/>
  <c r="AQ33" i="15"/>
  <c r="A31" i="15"/>
  <c r="AQ31" i="15"/>
  <c r="AQ34" i="15"/>
  <c r="A34" i="15"/>
  <c r="AQ32" i="15"/>
  <c r="A32" i="15"/>
  <c r="AQ35" i="15"/>
  <c r="A35" i="15"/>
  <c r="AQ29" i="15"/>
  <c r="A29" i="15"/>
  <c r="A27" i="15"/>
  <c r="AQ27" i="15"/>
  <c r="AQ30" i="15"/>
  <c r="A30" i="15"/>
  <c r="A28" i="15"/>
  <c r="AQ28" i="15"/>
  <c r="A26" i="15"/>
  <c r="AQ26" i="15"/>
  <c r="A24" i="15"/>
  <c r="A20" i="15"/>
  <c r="AQ24" i="15"/>
  <c r="AQ20" i="15"/>
  <c r="AQ25" i="15"/>
  <c r="AQ22" i="15"/>
  <c r="A23" i="15"/>
  <c r="AQ21" i="15"/>
  <c r="A25" i="15"/>
  <c r="AQ23" i="15"/>
  <c r="A21" i="15"/>
  <c r="A22" i="15"/>
  <c r="AQ17" i="15"/>
  <c r="A17" i="15"/>
  <c r="AQ18" i="15"/>
  <c r="AQ14" i="15"/>
  <c r="AQ15" i="15"/>
  <c r="A16" i="15"/>
  <c r="A18" i="15"/>
  <c r="A15" i="15"/>
  <c r="AQ16" i="15"/>
  <c r="AQ19" i="15"/>
  <c r="A14" i="15"/>
  <c r="A19" i="15"/>
  <c r="AQ12" i="15"/>
  <c r="A12" i="15"/>
  <c r="AQ10" i="15"/>
  <c r="A10" i="15"/>
  <c r="AQ11" i="15"/>
  <c r="A13" i="15"/>
  <c r="A9" i="15"/>
  <c r="A11" i="15"/>
  <c r="AQ9" i="15"/>
  <c r="AQ13" i="15"/>
  <c r="A8" i="15"/>
  <c r="AQ8" i="15"/>
  <c r="B31" i="1"/>
  <c r="B32" i="1"/>
  <c r="B16" i="1"/>
  <c r="B11" i="1"/>
  <c r="B35" i="1"/>
  <c r="B18" i="1"/>
  <c r="B24" i="1"/>
  <c r="B12" i="1"/>
  <c r="B30" i="1"/>
  <c r="B22" i="1"/>
  <c r="B33" i="1"/>
  <c r="B25" i="1"/>
  <c r="B8" i="1"/>
  <c r="B23" i="1"/>
  <c r="B29" i="1"/>
  <c r="B17" i="1"/>
  <c r="B21" i="1"/>
  <c r="B9" i="1"/>
  <c r="B28" i="1"/>
  <c r="B13" i="1"/>
  <c r="B7" i="1"/>
  <c r="B14" i="1"/>
  <c r="B27" i="1"/>
  <c r="B19" i="1"/>
  <c r="B26" i="1"/>
  <c r="B20" i="1"/>
  <c r="B15" i="1"/>
  <c r="B10" i="1"/>
  <c r="B34" i="1"/>
  <c r="B7" i="15"/>
  <c r="AO7" i="15"/>
  <c r="A7" i="15"/>
  <c r="AQ7" i="15"/>
  <c r="C242" i="45" l="1"/>
  <c r="A31" i="1"/>
  <c r="L31" i="1"/>
  <c r="K32" i="26" s="1"/>
  <c r="B32" i="26"/>
  <c r="H24" i="25"/>
  <c r="B34" i="54"/>
  <c r="A16" i="1"/>
  <c r="A10" i="57" s="1"/>
  <c r="A32" i="1"/>
  <c r="A30" i="57" s="1"/>
  <c r="B11" i="54"/>
  <c r="B20" i="54"/>
  <c r="B31" i="54"/>
  <c r="B32" i="54"/>
  <c r="B8" i="54"/>
  <c r="B21" i="54"/>
  <c r="B10" i="54"/>
  <c r="B9" i="54"/>
  <c r="B14" i="54"/>
  <c r="B26" i="54"/>
  <c r="B33" i="54"/>
  <c r="B22" i="54"/>
  <c r="B24" i="54"/>
  <c r="B17" i="54"/>
  <c r="B19" i="54"/>
  <c r="B28" i="54"/>
  <c r="B23" i="54"/>
  <c r="B16" i="54"/>
  <c r="B13" i="54"/>
  <c r="B27" i="54"/>
  <c r="B25" i="54"/>
  <c r="B18" i="54"/>
  <c r="B15" i="54"/>
  <c r="B12" i="54"/>
  <c r="B30" i="54"/>
  <c r="B29" i="54"/>
  <c r="H33" i="25"/>
  <c r="B12" i="26"/>
  <c r="L16" i="1"/>
  <c r="B17" i="26"/>
  <c r="A20" i="1"/>
  <c r="A20" i="57" s="1"/>
  <c r="L17" i="1"/>
  <c r="B7" i="54"/>
  <c r="A11" i="1"/>
  <c r="A7" i="57" s="1"/>
  <c r="H15" i="25"/>
  <c r="A13" i="1"/>
  <c r="A8" i="57" s="1"/>
  <c r="B18" i="26"/>
  <c r="H28" i="25"/>
  <c r="B24" i="26"/>
  <c r="B33" i="26"/>
  <c r="B13" i="26"/>
  <c r="B28" i="26"/>
  <c r="H17" i="25"/>
  <c r="B25" i="26"/>
  <c r="H29" i="25"/>
  <c r="B34" i="26"/>
  <c r="B19" i="26"/>
  <c r="H31" i="25"/>
  <c r="A21" i="1"/>
  <c r="A18" i="57" s="1"/>
  <c r="B36" i="26"/>
  <c r="A22" i="1"/>
  <c r="A17" i="57" s="1"/>
  <c r="H25" i="25"/>
  <c r="A17" i="1"/>
  <c r="A15" i="57" s="1"/>
  <c r="A35" i="1"/>
  <c r="A32" i="57" s="1"/>
  <c r="A18" i="1"/>
  <c r="A12" i="57" s="1"/>
  <c r="A12" i="1"/>
  <c r="A9" i="57" s="1"/>
  <c r="A19" i="1"/>
  <c r="A19" i="57" s="1"/>
  <c r="A34" i="1"/>
  <c r="A27" i="57" s="1"/>
  <c r="H21" i="25"/>
  <c r="A29" i="1"/>
  <c r="A29" i="57" s="1"/>
  <c r="A9" i="1"/>
  <c r="A5" i="57" s="1"/>
  <c r="A7" i="1"/>
  <c r="H6" i="25"/>
  <c r="B31" i="26"/>
  <c r="A27" i="1"/>
  <c r="A25" i="57" s="1"/>
  <c r="A24" i="1"/>
  <c r="A28" i="57" s="1"/>
  <c r="A14" i="1"/>
  <c r="A13" i="57" s="1"/>
  <c r="B23" i="26"/>
  <c r="H13" i="25"/>
  <c r="A30" i="1"/>
  <c r="A22" i="57" s="1"/>
  <c r="H32" i="25"/>
  <c r="B26" i="26"/>
  <c r="A15" i="1"/>
  <c r="A16" i="57" s="1"/>
  <c r="H14" i="25"/>
  <c r="H11" i="25"/>
  <c r="B9" i="26"/>
  <c r="A25" i="1"/>
  <c r="A21" i="57" s="1"/>
  <c r="A28" i="1"/>
  <c r="A26" i="57" s="1"/>
  <c r="H10" i="25"/>
  <c r="B30" i="26"/>
  <c r="A23" i="1"/>
  <c r="A14" i="57" s="1"/>
  <c r="A10" i="1"/>
  <c r="A11" i="57" s="1"/>
  <c r="A33" i="1"/>
  <c r="A31" i="57" s="1"/>
  <c r="H30" i="25"/>
  <c r="H19" i="25"/>
  <c r="B22" i="26"/>
  <c r="A26" i="1"/>
  <c r="A24" i="57" s="1"/>
  <c r="A8" i="1"/>
  <c r="A6" i="57" s="1"/>
  <c r="H18" i="25"/>
  <c r="B10" i="26"/>
  <c r="H16" i="25"/>
  <c r="B29" i="26"/>
  <c r="H22" i="25"/>
  <c r="B14" i="26"/>
  <c r="H5" i="25"/>
  <c r="B8" i="26"/>
  <c r="H9" i="25"/>
  <c r="B15" i="26"/>
  <c r="H27" i="25"/>
  <c r="H12" i="25"/>
  <c r="B20" i="26"/>
  <c r="H26" i="25"/>
  <c r="B27" i="26"/>
  <c r="H7" i="25"/>
  <c r="B21" i="26"/>
  <c r="B35" i="26"/>
  <c r="H20" i="25"/>
  <c r="B16" i="26"/>
  <c r="H23" i="25"/>
  <c r="H8" i="25"/>
  <c r="B11" i="26"/>
  <c r="L12" i="1"/>
  <c r="L26" i="1"/>
  <c r="L13" i="1"/>
  <c r="L25" i="1"/>
  <c r="L28" i="1"/>
  <c r="L35" i="1"/>
  <c r="L33" i="1"/>
  <c r="L34" i="1"/>
  <c r="L8" i="1"/>
  <c r="L15" i="1"/>
  <c r="L32" i="1"/>
  <c r="L11" i="1"/>
  <c r="L14" i="1"/>
  <c r="L27" i="1"/>
  <c r="L20" i="1"/>
  <c r="L7" i="1"/>
  <c r="L19" i="1"/>
  <c r="L10" i="1"/>
  <c r="L29" i="1"/>
  <c r="L30" i="1"/>
  <c r="L21" i="1"/>
  <c r="L22" i="1"/>
  <c r="L9" i="1"/>
  <c r="L18" i="1"/>
  <c r="L24" i="1"/>
  <c r="L23" i="1"/>
  <c r="C243" i="45" l="1"/>
  <c r="A8" i="26"/>
  <c r="A4" i="57"/>
  <c r="I24" i="25"/>
  <c r="A23" i="57"/>
  <c r="A32" i="26"/>
  <c r="B28" i="40"/>
  <c r="B30" i="49"/>
  <c r="B29" i="40"/>
  <c r="B13" i="40"/>
  <c r="B31" i="49"/>
  <c r="I33" i="25"/>
  <c r="A17" i="26"/>
  <c r="B28" i="49"/>
  <c r="B29" i="49"/>
  <c r="B27" i="49"/>
  <c r="B26" i="49"/>
  <c r="B7" i="49"/>
  <c r="B25" i="49"/>
  <c r="B4" i="49"/>
  <c r="B20" i="49"/>
  <c r="B24" i="49"/>
  <c r="B8" i="49"/>
  <c r="B21" i="49"/>
  <c r="B5" i="49"/>
  <c r="B11" i="49"/>
  <c r="B6" i="49"/>
  <c r="B19" i="49"/>
  <c r="B10" i="49"/>
  <c r="B14" i="49"/>
  <c r="B17" i="49"/>
  <c r="B12" i="49"/>
  <c r="B9" i="49"/>
  <c r="B22" i="49"/>
  <c r="B13" i="49"/>
  <c r="B16" i="49"/>
  <c r="B18" i="49"/>
  <c r="B15" i="49"/>
  <c r="B23" i="49"/>
  <c r="B3" i="49"/>
  <c r="A28" i="54"/>
  <c r="A32" i="54"/>
  <c r="A31" i="54"/>
  <c r="L34" i="54"/>
  <c r="A34" i="54"/>
  <c r="A21" i="54"/>
  <c r="L21" i="54"/>
  <c r="L20" i="54"/>
  <c r="L9" i="54"/>
  <c r="A20" i="54"/>
  <c r="A11" i="54"/>
  <c r="L11" i="54"/>
  <c r="A9" i="54"/>
  <c r="L31" i="54"/>
  <c r="L10" i="54"/>
  <c r="L8" i="54"/>
  <c r="A10" i="54"/>
  <c r="A8" i="54"/>
  <c r="A27" i="54"/>
  <c r="L33" i="54"/>
  <c r="L26" i="54"/>
  <c r="A26" i="54"/>
  <c r="L32" i="54"/>
  <c r="A14" i="54"/>
  <c r="L14" i="54"/>
  <c r="A33" i="54"/>
  <c r="L24" i="54"/>
  <c r="A22" i="54"/>
  <c r="A24" i="54"/>
  <c r="L22" i="54"/>
  <c r="A17" i="54"/>
  <c r="A13" i="54"/>
  <c r="L17" i="54"/>
  <c r="L15" i="54"/>
  <c r="L25" i="54"/>
  <c r="A15" i="54"/>
  <c r="A25" i="54"/>
  <c r="L28" i="54"/>
  <c r="A30" i="54"/>
  <c r="A18" i="54"/>
  <c r="L12" i="54"/>
  <c r="L23" i="54"/>
  <c r="A12" i="54"/>
  <c r="L27" i="54"/>
  <c r="A23" i="54"/>
  <c r="A16" i="54"/>
  <c r="A19" i="54"/>
  <c r="L29" i="54"/>
  <c r="L19" i="54"/>
  <c r="L30" i="54"/>
  <c r="L13" i="54"/>
  <c r="L18" i="54"/>
  <c r="L16" i="54"/>
  <c r="A29" i="54"/>
  <c r="K17" i="26"/>
  <c r="I7" i="25"/>
  <c r="B18" i="40"/>
  <c r="A21" i="26"/>
  <c r="B9" i="40"/>
  <c r="I15" i="25"/>
  <c r="L7" i="54"/>
  <c r="B8" i="40"/>
  <c r="A12" i="26"/>
  <c r="A14" i="26"/>
  <c r="I22" i="25"/>
  <c r="H29" i="52"/>
  <c r="K29" i="52" s="1"/>
  <c r="A13" i="26"/>
  <c r="I28" i="25"/>
  <c r="I25" i="25"/>
  <c r="B4" i="40"/>
  <c r="A7" i="54"/>
  <c r="B32" i="40"/>
  <c r="I18" i="25"/>
  <c r="B14" i="40"/>
  <c r="A34" i="26"/>
  <c r="A15" i="26"/>
  <c r="I29" i="25"/>
  <c r="B7" i="40"/>
  <c r="I21" i="25"/>
  <c r="A23" i="26"/>
  <c r="I27" i="25"/>
  <c r="B31" i="40"/>
  <c r="B15" i="40"/>
  <c r="A22" i="26"/>
  <c r="I19" i="25"/>
  <c r="I13" i="25"/>
  <c r="B19" i="40"/>
  <c r="I31" i="25"/>
  <c r="A36" i="26"/>
  <c r="H3" i="52"/>
  <c r="K3" i="52" s="1"/>
  <c r="B16" i="40"/>
  <c r="I30" i="25"/>
  <c r="A18" i="26"/>
  <c r="A19" i="26"/>
  <c r="I23" i="25"/>
  <c r="I6" i="25"/>
  <c r="H4" i="52"/>
  <c r="K4" i="52" s="1"/>
  <c r="H26" i="52"/>
  <c r="K26" i="52" s="1"/>
  <c r="H15" i="52"/>
  <c r="K15" i="52" s="1"/>
  <c r="B11" i="40"/>
  <c r="H5" i="52"/>
  <c r="K5" i="52" s="1"/>
  <c r="H14" i="52"/>
  <c r="K14" i="52" s="1"/>
  <c r="B17" i="40"/>
  <c r="A20" i="26"/>
  <c r="I12" i="25"/>
  <c r="A35" i="26"/>
  <c r="H20" i="52"/>
  <c r="K20" i="52" s="1"/>
  <c r="B26" i="40"/>
  <c r="A30" i="26"/>
  <c r="H21" i="52"/>
  <c r="K21" i="52" s="1"/>
  <c r="H7" i="52"/>
  <c r="K7" i="52" s="1"/>
  <c r="H10" i="52"/>
  <c r="K10" i="52" s="1"/>
  <c r="B6" i="40"/>
  <c r="I5" i="25"/>
  <c r="A10" i="26"/>
  <c r="A33" i="26"/>
  <c r="H27" i="52"/>
  <c r="K27" i="52" s="1"/>
  <c r="H28" i="52"/>
  <c r="K28" i="52" s="1"/>
  <c r="I10" i="25"/>
  <c r="B24" i="40"/>
  <c r="I9" i="25"/>
  <c r="B10" i="40"/>
  <c r="A28" i="26"/>
  <c r="H9" i="52"/>
  <c r="K9" i="52" s="1"/>
  <c r="B21" i="40"/>
  <c r="A25" i="26"/>
  <c r="H8" i="52"/>
  <c r="K8" i="52" s="1"/>
  <c r="H19" i="52"/>
  <c r="K19" i="52" s="1"/>
  <c r="A31" i="26"/>
  <c r="B27" i="40"/>
  <c r="H17" i="52"/>
  <c r="K17" i="52" s="1"/>
  <c r="H25" i="52"/>
  <c r="K25" i="52" s="1"/>
  <c r="H22" i="52"/>
  <c r="K22" i="52" s="1"/>
  <c r="H6" i="52"/>
  <c r="K6" i="52" s="1"/>
  <c r="H23" i="52"/>
  <c r="K23" i="52" s="1"/>
  <c r="B12" i="40"/>
  <c r="H12" i="52"/>
  <c r="K12" i="52" s="1"/>
  <c r="I8" i="25"/>
  <c r="A16" i="26"/>
  <c r="A29" i="26"/>
  <c r="I16" i="25"/>
  <c r="A26" i="26"/>
  <c r="B22" i="40"/>
  <c r="I17" i="25"/>
  <c r="B25" i="40"/>
  <c r="H18" i="52"/>
  <c r="K18" i="52" s="1"/>
  <c r="I14" i="25"/>
  <c r="B20" i="40"/>
  <c r="H16" i="52"/>
  <c r="K16" i="52" s="1"/>
  <c r="A24" i="26"/>
  <c r="I20" i="25"/>
  <c r="A11" i="26"/>
  <c r="B30" i="40"/>
  <c r="I32" i="25"/>
  <c r="H13" i="52"/>
  <c r="K13" i="52" s="1"/>
  <c r="H24" i="52"/>
  <c r="K24" i="52" s="1"/>
  <c r="I26" i="25"/>
  <c r="A27" i="26"/>
  <c r="H11" i="52"/>
  <c r="K11" i="52" s="1"/>
  <c r="B23" i="40"/>
  <c r="B5" i="40"/>
  <c r="A9" i="26"/>
  <c r="I11" i="25"/>
  <c r="B2" i="26"/>
  <c r="K27" i="26"/>
  <c r="K16" i="26"/>
  <c r="K9" i="26"/>
  <c r="K35" i="26"/>
  <c r="K13" i="26"/>
  <c r="K20" i="26"/>
  <c r="K14" i="26"/>
  <c r="K33" i="26"/>
  <c r="K21" i="26"/>
  <c r="K28" i="26"/>
  <c r="K36" i="26"/>
  <c r="K29" i="26"/>
  <c r="K12" i="26"/>
  <c r="K26" i="26"/>
  <c r="I3" i="52"/>
  <c r="I26" i="52"/>
  <c r="I28" i="52"/>
  <c r="I13" i="52"/>
  <c r="I14" i="52"/>
  <c r="K15" i="26"/>
  <c r="I11" i="52"/>
  <c r="I27" i="52"/>
  <c r="I29" i="52"/>
  <c r="I15" i="52"/>
  <c r="K8" i="26"/>
  <c r="K30" i="26"/>
  <c r="I21" i="52"/>
  <c r="K19" i="26"/>
  <c r="K25" i="26"/>
  <c r="I12" i="52"/>
  <c r="I25" i="52"/>
  <c r="I8" i="52"/>
  <c r="I18" i="52"/>
  <c r="I20" i="52"/>
  <c r="K31" i="26"/>
  <c r="I5" i="52"/>
  <c r="I19" i="52"/>
  <c r="I10" i="52"/>
  <c r="I23" i="52"/>
  <c r="I17" i="52"/>
  <c r="I16" i="52"/>
  <c r="K11" i="26"/>
  <c r="K23" i="26"/>
  <c r="K22" i="26"/>
  <c r="I4" i="52"/>
  <c r="K18" i="26"/>
  <c r="I22" i="52"/>
  <c r="I24" i="52"/>
  <c r="I6" i="52"/>
  <c r="K10" i="26"/>
  <c r="I9" i="52"/>
  <c r="K34" i="26"/>
  <c r="K24" i="26"/>
  <c r="I7" i="52"/>
  <c r="F21" i="51"/>
  <c r="F78" i="51"/>
  <c r="F61" i="51"/>
  <c r="F69" i="51"/>
  <c r="BB64" i="33"/>
  <c r="BU64" i="33"/>
  <c r="CB64" i="33"/>
  <c r="BP64" i="33"/>
  <c r="BP80" i="33" s="1"/>
  <c r="BI64" i="33"/>
  <c r="BI80" i="33" s="1"/>
  <c r="AS64" i="33"/>
  <c r="AF64" i="33"/>
  <c r="C244" i="45" l="1"/>
  <c r="CL3" i="26"/>
  <c r="CL4" i="26"/>
  <c r="BB2" i="33"/>
  <c r="BB80" i="33"/>
  <c r="BT81" i="33"/>
  <c r="BP38" i="26" s="1"/>
  <c r="BU80" i="33"/>
  <c r="CB2" i="33"/>
  <c r="CB3" i="33" s="1"/>
  <c r="CC39" i="33" s="1"/>
  <c r="CB80" i="33"/>
  <c r="CE4" i="26"/>
  <c r="CE3" i="26"/>
  <c r="M88" i="51"/>
  <c r="M104" i="51" s="1"/>
  <c r="M114" i="51" s="1"/>
  <c r="A2" i="26"/>
  <c r="BI2" i="33"/>
  <c r="BI3" i="33" s="1"/>
  <c r="CA81" i="33"/>
  <c r="BW38" i="26" s="1"/>
  <c r="BA81" i="33"/>
  <c r="AX38" i="26" s="1"/>
  <c r="AT81" i="33"/>
  <c r="BH81" i="33"/>
  <c r="BU2" i="33"/>
  <c r="AU2" i="33"/>
  <c r="AS2" i="33" s="1"/>
  <c r="C245" i="45" l="1"/>
  <c r="CZ60" i="33"/>
  <c r="CZ58" i="33"/>
  <c r="CZ78" i="33"/>
  <c r="CZ39" i="33"/>
  <c r="CZ61" i="33"/>
  <c r="CZ53" i="33"/>
  <c r="CZ36" i="33"/>
  <c r="CZ40" i="33"/>
  <c r="CZ33" i="33"/>
  <c r="CZ57" i="33"/>
  <c r="CZ75" i="33"/>
  <c r="CZ27" i="33"/>
  <c r="CZ55" i="33"/>
  <c r="CZ19" i="33"/>
  <c r="CZ45" i="33"/>
  <c r="CZ26" i="33"/>
  <c r="CZ35" i="33"/>
  <c r="CZ38" i="33"/>
  <c r="CZ76" i="33"/>
  <c r="CZ64" i="33"/>
  <c r="CZ74" i="33"/>
  <c r="CZ17" i="33"/>
  <c r="CZ22" i="33"/>
  <c r="CZ50" i="33"/>
  <c r="CZ48" i="33"/>
  <c r="CZ51" i="33"/>
  <c r="CZ25" i="33"/>
  <c r="CZ54" i="33"/>
  <c r="CZ9" i="33"/>
  <c r="CZ13" i="33"/>
  <c r="CZ43" i="33"/>
  <c r="CZ16" i="33"/>
  <c r="CZ18" i="33"/>
  <c r="CZ10" i="33"/>
  <c r="CZ28" i="33"/>
  <c r="CZ15" i="33"/>
  <c r="CZ52" i="33"/>
  <c r="CZ24" i="33"/>
  <c r="CZ32" i="33"/>
  <c r="CZ12" i="33"/>
  <c r="CZ20" i="33"/>
  <c r="CZ41" i="33"/>
  <c r="CZ29" i="33"/>
  <c r="CZ8" i="33"/>
  <c r="CZ34" i="33"/>
  <c r="CZ21" i="33"/>
  <c r="CZ37" i="33"/>
  <c r="CZ47" i="33"/>
  <c r="CZ56" i="33"/>
  <c r="CZ31" i="33"/>
  <c r="CZ30" i="33"/>
  <c r="CZ42" i="33"/>
  <c r="CZ44" i="33"/>
  <c r="CZ46" i="33"/>
  <c r="CZ11" i="33"/>
  <c r="CZ14" i="33"/>
  <c r="CZ23" i="33"/>
  <c r="BJ61" i="33"/>
  <c r="BJ39" i="33"/>
  <c r="AX3" i="26"/>
  <c r="BB3" i="33"/>
  <c r="BA85" i="33"/>
  <c r="AW45" i="26" s="1"/>
  <c r="BB82" i="33"/>
  <c r="AX39" i="26"/>
  <c r="BU82" i="33"/>
  <c r="BU85" i="33" s="1"/>
  <c r="BP39" i="26"/>
  <c r="BT85" i="33"/>
  <c r="BO45" i="26" s="1"/>
  <c r="CB82" i="33"/>
  <c r="CB85" i="33" s="1"/>
  <c r="BW39" i="26"/>
  <c r="BX48" i="26" s="1"/>
  <c r="BY48" i="26" s="1"/>
  <c r="BZ48" i="26" s="1"/>
  <c r="CA48" i="26" s="1"/>
  <c r="CA85" i="33"/>
  <c r="BV45" i="26" s="1"/>
  <c r="BP81" i="33"/>
  <c r="BR39" i="33" s="1"/>
  <c r="CC53" i="33"/>
  <c r="CC61" i="33"/>
  <c r="BJ53" i="33"/>
  <c r="BJ40" i="33"/>
  <c r="BJ36" i="33"/>
  <c r="CC40" i="33"/>
  <c r="CC36" i="33"/>
  <c r="CC33" i="33"/>
  <c r="BJ57" i="33"/>
  <c r="BJ33" i="33"/>
  <c r="M108" i="51"/>
  <c r="CC57" i="33"/>
  <c r="BJ75" i="33"/>
  <c r="CC75" i="33"/>
  <c r="BJ27" i="33"/>
  <c r="BX17" i="26"/>
  <c r="CC74" i="33"/>
  <c r="BJ74" i="33"/>
  <c r="BJ13" i="33"/>
  <c r="CC13" i="33"/>
  <c r="CC55" i="33"/>
  <c r="BJ55" i="33"/>
  <c r="BJ76" i="33"/>
  <c r="CC76" i="33"/>
  <c r="CC45" i="33"/>
  <c r="BN2" i="33"/>
  <c r="BN3" i="33" s="1"/>
  <c r="BJ45" i="33"/>
  <c r="BG2" i="33"/>
  <c r="BC3" i="26" s="1"/>
  <c r="CC19" i="33"/>
  <c r="CG2" i="33"/>
  <c r="CB3" i="26" s="1"/>
  <c r="BJ21" i="33"/>
  <c r="BJ19" i="33"/>
  <c r="CC35" i="33"/>
  <c r="CC21" i="33"/>
  <c r="BJ38" i="33"/>
  <c r="BJ35" i="33"/>
  <c r="CC26" i="33"/>
  <c r="CC38" i="33"/>
  <c r="BJ64" i="33"/>
  <c r="BJ26" i="33"/>
  <c r="BE3" i="26"/>
  <c r="BJ78" i="33"/>
  <c r="BJ60" i="33"/>
  <c r="BJ58" i="33"/>
  <c r="BJ11" i="33"/>
  <c r="BJ24" i="33"/>
  <c r="BJ32" i="33"/>
  <c r="BJ29" i="33"/>
  <c r="BJ43" i="33"/>
  <c r="BJ44" i="33"/>
  <c r="BJ14" i="33"/>
  <c r="BJ48" i="33"/>
  <c r="BJ30" i="33"/>
  <c r="BJ47" i="33"/>
  <c r="BJ16" i="33"/>
  <c r="BJ15" i="33"/>
  <c r="BJ17" i="33"/>
  <c r="BJ23" i="33"/>
  <c r="BJ20" i="33"/>
  <c r="BJ54" i="33"/>
  <c r="BJ31" i="33"/>
  <c r="BJ46" i="33"/>
  <c r="BJ41" i="33"/>
  <c r="BJ52" i="33"/>
  <c r="BJ51" i="33"/>
  <c r="BJ22" i="33"/>
  <c r="BJ12" i="33"/>
  <c r="BJ56" i="33"/>
  <c r="BJ25" i="33"/>
  <c r="BJ50" i="33"/>
  <c r="BJ34" i="33"/>
  <c r="BJ8" i="33"/>
  <c r="BJ37" i="33"/>
  <c r="BJ42" i="33"/>
  <c r="BJ10" i="33"/>
  <c r="BJ18" i="33"/>
  <c r="BJ9" i="33"/>
  <c r="BJ28" i="33"/>
  <c r="AQ38" i="26"/>
  <c r="AQ81" i="33"/>
  <c r="BQ81" i="33"/>
  <c r="BE38" i="26"/>
  <c r="BH39" i="26" s="1"/>
  <c r="AU3" i="33"/>
  <c r="AQ3" i="26"/>
  <c r="AR32" i="26" s="1"/>
  <c r="BX20" i="26"/>
  <c r="BX18" i="26"/>
  <c r="BX14" i="26"/>
  <c r="BX34" i="26"/>
  <c r="BX13" i="26"/>
  <c r="BX36" i="26"/>
  <c r="BX24" i="26"/>
  <c r="BX8" i="26"/>
  <c r="BX35" i="26"/>
  <c r="BX31" i="26"/>
  <c r="BX10" i="26"/>
  <c r="BX22" i="26"/>
  <c r="BX12" i="26"/>
  <c r="BX9" i="26"/>
  <c r="BX30" i="26"/>
  <c r="BX21" i="26"/>
  <c r="BX28" i="26"/>
  <c r="BX23" i="26"/>
  <c r="BX33" i="26"/>
  <c r="BX19" i="26"/>
  <c r="BX26" i="26"/>
  <c r="BX11" i="26"/>
  <c r="BX16" i="26"/>
  <c r="BX29" i="26"/>
  <c r="BX27" i="26"/>
  <c r="BX25" i="26"/>
  <c r="BX15" i="26"/>
  <c r="BP3" i="26"/>
  <c r="BU3" i="33"/>
  <c r="CC29" i="33"/>
  <c r="CC17" i="33"/>
  <c r="CC15" i="33"/>
  <c r="CC51" i="33"/>
  <c r="CC44" i="33"/>
  <c r="CC52" i="33"/>
  <c r="CC41" i="33"/>
  <c r="CC20" i="33"/>
  <c r="CC11" i="33"/>
  <c r="CC34" i="33"/>
  <c r="CC43" i="33"/>
  <c r="CC46" i="33"/>
  <c r="CC54" i="33"/>
  <c r="CC28" i="33"/>
  <c r="CC18" i="33"/>
  <c r="CC9" i="33"/>
  <c r="CC23" i="33"/>
  <c r="CC16" i="33"/>
  <c r="CC24" i="33"/>
  <c r="CC8" i="33"/>
  <c r="CC64" i="33"/>
  <c r="CC25" i="33"/>
  <c r="CC14" i="33"/>
  <c r="CC50" i="33"/>
  <c r="CC12" i="33"/>
  <c r="CC42" i="33"/>
  <c r="CC10" i="33"/>
  <c r="CC56" i="33"/>
  <c r="CC78" i="33"/>
  <c r="CC32" i="33"/>
  <c r="CC22" i="33"/>
  <c r="CC30" i="33"/>
  <c r="CC60" i="33"/>
  <c r="CC31" i="33"/>
  <c r="CC48" i="33"/>
  <c r="CC37" i="33"/>
  <c r="CC47" i="33"/>
  <c r="C246" i="45" l="1"/>
  <c r="AV73" i="33"/>
  <c r="AV72" i="33"/>
  <c r="Y73" i="33"/>
  <c r="Y72" i="33"/>
  <c r="Y71" i="33"/>
  <c r="AV71" i="33"/>
  <c r="Y70" i="33"/>
  <c r="AV70" i="33"/>
  <c r="BQ17" i="26"/>
  <c r="BQ32" i="26"/>
  <c r="CU32" i="26"/>
  <c r="BF32" i="26"/>
  <c r="AY17" i="26"/>
  <c r="AY32" i="26"/>
  <c r="CZ1" i="33"/>
  <c r="CZ2" i="33"/>
  <c r="CZ81" i="33"/>
  <c r="CZ4" i="33"/>
  <c r="CZ3" i="33"/>
  <c r="CZ80" i="33"/>
  <c r="CU17" i="26"/>
  <c r="CU16" i="26"/>
  <c r="CU8" i="26"/>
  <c r="CU30" i="26"/>
  <c r="CU19" i="26"/>
  <c r="CU15" i="26"/>
  <c r="CU21" i="26"/>
  <c r="CU34" i="26"/>
  <c r="CU28" i="26"/>
  <c r="CU11" i="26"/>
  <c r="CU10" i="26"/>
  <c r="CU23" i="26"/>
  <c r="CU14" i="26"/>
  <c r="CU26" i="26"/>
  <c r="CU27" i="26"/>
  <c r="CU12" i="26"/>
  <c r="CU13" i="26"/>
  <c r="CU35" i="26"/>
  <c r="CU22" i="26"/>
  <c r="CU18" i="26"/>
  <c r="CU20" i="26"/>
  <c r="CU25" i="26"/>
  <c r="CU33" i="26"/>
  <c r="CU31" i="26"/>
  <c r="CU9" i="26"/>
  <c r="CU36" i="26"/>
  <c r="CU29" i="26"/>
  <c r="AV39" i="33"/>
  <c r="Y39" i="33"/>
  <c r="BC65" i="33"/>
  <c r="BC39" i="33"/>
  <c r="BV61" i="33"/>
  <c r="BV39" i="33"/>
  <c r="Y69" i="33"/>
  <c r="AV69" i="33"/>
  <c r="AW48" i="26"/>
  <c r="AY48" i="26"/>
  <c r="Y67" i="33"/>
  <c r="AV67" i="33"/>
  <c r="BC61" i="33"/>
  <c r="BC66" i="33"/>
  <c r="BC53" i="33"/>
  <c r="BC18" i="33"/>
  <c r="BC17" i="33"/>
  <c r="BC28" i="33"/>
  <c r="BC30" i="33"/>
  <c r="BC48" i="33"/>
  <c r="BC46" i="33"/>
  <c r="BC16" i="33"/>
  <c r="BC32" i="33"/>
  <c r="BC9" i="33"/>
  <c r="BC22" i="33"/>
  <c r="BC42" i="33"/>
  <c r="BC47" i="33"/>
  <c r="BC56" i="33"/>
  <c r="BC41" i="33"/>
  <c r="BC37" i="33"/>
  <c r="BC8" i="33"/>
  <c r="BC14" i="33"/>
  <c r="BC20" i="33"/>
  <c r="BC43" i="33"/>
  <c r="BC52" i="33"/>
  <c r="BC64" i="33"/>
  <c r="BC23" i="33"/>
  <c r="BC10" i="33"/>
  <c r="AY25" i="26"/>
  <c r="AY26" i="26"/>
  <c r="AY31" i="26"/>
  <c r="AY12" i="26"/>
  <c r="AY23" i="26"/>
  <c r="AY24" i="26"/>
  <c r="AY28" i="26"/>
  <c r="AY33" i="26"/>
  <c r="AY35" i="26"/>
  <c r="AY29" i="26"/>
  <c r="AY22" i="26"/>
  <c r="AY20" i="26"/>
  <c r="AY19" i="26"/>
  <c r="AY18" i="26"/>
  <c r="AY16" i="26"/>
  <c r="BC40" i="33"/>
  <c r="AY21" i="26"/>
  <c r="AY15" i="26"/>
  <c r="AY10" i="26"/>
  <c r="AY30" i="26"/>
  <c r="AY8" i="26"/>
  <c r="AY27" i="26"/>
  <c r="AY36" i="26"/>
  <c r="AY11" i="26"/>
  <c r="BC29" i="33"/>
  <c r="BC24" i="33"/>
  <c r="BC11" i="33"/>
  <c r="BC31" i="33"/>
  <c r="BC12" i="33"/>
  <c r="AY34" i="26"/>
  <c r="AY14" i="26"/>
  <c r="AY9" i="26"/>
  <c r="AY13" i="26"/>
  <c r="BC57" i="33"/>
  <c r="BC54" i="33"/>
  <c r="BC50" i="33"/>
  <c r="BC25" i="33"/>
  <c r="BC36" i="33"/>
  <c r="BC51" i="33"/>
  <c r="BC33" i="33"/>
  <c r="BC75" i="33"/>
  <c r="BC27" i="33"/>
  <c r="BC74" i="33"/>
  <c r="BC13" i="33"/>
  <c r="BC55" i="33"/>
  <c r="BC76" i="33"/>
  <c r="BC45" i="33"/>
  <c r="BC21" i="33"/>
  <c r="BC38" i="33"/>
  <c r="BC35" i="33"/>
  <c r="BC26" i="33"/>
  <c r="BC15" i="33"/>
  <c r="BC19" i="33"/>
  <c r="BC44" i="33"/>
  <c r="BC34" i="33"/>
  <c r="BQ48" i="26"/>
  <c r="BR48" i="26" s="1"/>
  <c r="BS48" i="26" s="1"/>
  <c r="BT48" i="26" s="1"/>
  <c r="BO48" i="26"/>
  <c r="BZ39" i="26"/>
  <c r="BV48" i="26"/>
  <c r="CC80" i="33"/>
  <c r="BJ80" i="33"/>
  <c r="BJ81" i="33"/>
  <c r="BR65" i="33"/>
  <c r="BR76" i="33"/>
  <c r="BR74" i="33"/>
  <c r="BR78" i="33"/>
  <c r="BR61" i="33"/>
  <c r="BR62" i="33"/>
  <c r="BR63" i="33"/>
  <c r="BR64" i="33"/>
  <c r="BR75" i="33"/>
  <c r="BR66" i="33"/>
  <c r="BR36" i="33"/>
  <c r="BR31" i="33"/>
  <c r="BR51" i="33"/>
  <c r="BR48" i="33"/>
  <c r="BR9" i="33"/>
  <c r="BR50" i="33"/>
  <c r="BR21" i="33"/>
  <c r="BR23" i="33"/>
  <c r="BR11" i="33"/>
  <c r="BR32" i="33"/>
  <c r="BR38" i="33"/>
  <c r="BR47" i="33"/>
  <c r="BR54" i="33"/>
  <c r="BR41" i="33"/>
  <c r="BR27" i="33"/>
  <c r="BR53" i="33"/>
  <c r="BR45" i="33"/>
  <c r="BR18" i="33"/>
  <c r="BR46" i="33"/>
  <c r="BR30" i="33"/>
  <c r="BR24" i="33"/>
  <c r="BR33" i="33"/>
  <c r="BR19" i="33"/>
  <c r="BR14" i="33"/>
  <c r="BR20" i="33"/>
  <c r="BR40" i="33"/>
  <c r="BR35" i="33"/>
  <c r="BR29" i="33"/>
  <c r="BR37" i="33"/>
  <c r="BR52" i="33"/>
  <c r="BR12" i="33"/>
  <c r="BR28" i="33"/>
  <c r="BR26" i="33"/>
  <c r="BR42" i="33"/>
  <c r="BR43" i="33"/>
  <c r="BR16" i="33"/>
  <c r="BR17" i="33"/>
  <c r="BR55" i="33"/>
  <c r="BR25" i="33"/>
  <c r="BR81" i="33"/>
  <c r="BR44" i="33"/>
  <c r="BR56" i="33"/>
  <c r="BR15" i="33"/>
  <c r="BR8" i="33"/>
  <c r="BR13" i="33"/>
  <c r="BR34" i="33"/>
  <c r="BR22" i="33"/>
  <c r="BR60" i="33"/>
  <c r="Y63" i="33"/>
  <c r="AV63" i="33"/>
  <c r="Y62" i="33"/>
  <c r="AV62" i="33"/>
  <c r="AV61" i="33"/>
  <c r="Y61" i="33"/>
  <c r="BV36" i="33"/>
  <c r="BV53" i="33"/>
  <c r="Y53" i="33"/>
  <c r="AV53" i="33"/>
  <c r="AV40" i="33"/>
  <c r="AV36" i="33"/>
  <c r="BV33" i="33"/>
  <c r="BV40" i="33"/>
  <c r="Y40" i="33"/>
  <c r="Y36" i="33"/>
  <c r="AV33" i="33"/>
  <c r="Y33" i="33"/>
  <c r="Y60" i="33"/>
  <c r="Y55" i="33"/>
  <c r="Y45" i="33"/>
  <c r="Y76" i="33"/>
  <c r="Y74" i="33"/>
  <c r="Y11" i="33"/>
  <c r="Y14" i="33"/>
  <c r="Y35" i="33"/>
  <c r="Y32" i="33"/>
  <c r="Y19" i="33"/>
  <c r="Y24" i="33"/>
  <c r="Y15" i="33"/>
  <c r="Y13" i="33"/>
  <c r="Y29" i="33"/>
  <c r="Y16" i="33"/>
  <c r="Y75" i="33"/>
  <c r="Y38" i="33"/>
  <c r="Y27" i="33"/>
  <c r="Y44" i="33"/>
  <c r="Y20" i="33"/>
  <c r="Y54" i="33"/>
  <c r="Y31" i="33"/>
  <c r="Y43" i="33"/>
  <c r="Y49" i="33"/>
  <c r="Y52" i="33"/>
  <c r="Y12" i="33"/>
  <c r="Y23" i="33"/>
  <c r="Y34" i="33"/>
  <c r="Y37" i="33"/>
  <c r="Y42" i="33"/>
  <c r="Y50" i="33"/>
  <c r="Y10" i="33"/>
  <c r="Y30" i="33"/>
  <c r="Y56" i="33"/>
  <c r="Y46" i="33"/>
  <c r="Y25" i="33"/>
  <c r="Y48" i="33"/>
  <c r="Y26" i="33"/>
  <c r="Y8" i="33"/>
  <c r="Y18" i="33"/>
  <c r="Y22" i="33"/>
  <c r="Y17" i="33"/>
  <c r="Y51" i="33"/>
  <c r="Y57" i="33"/>
  <c r="Y9" i="33"/>
  <c r="Y41" i="33"/>
  <c r="Y21" i="33"/>
  <c r="Y47" i="33"/>
  <c r="Y28" i="33"/>
  <c r="Y64" i="33"/>
  <c r="Y66" i="33"/>
  <c r="Y65" i="33"/>
  <c r="BV57" i="33"/>
  <c r="AV57" i="33"/>
  <c r="AS3" i="33"/>
  <c r="AV75" i="33"/>
  <c r="BV75" i="33"/>
  <c r="AR17" i="26"/>
  <c r="AO3" i="26"/>
  <c r="AV27" i="33"/>
  <c r="BJ1" i="33"/>
  <c r="BX1" i="26"/>
  <c r="CC1" i="33"/>
  <c r="BF16" i="26"/>
  <c r="BF17" i="26"/>
  <c r="AV74" i="33"/>
  <c r="BV74" i="33"/>
  <c r="BV13" i="33"/>
  <c r="AV13" i="33"/>
  <c r="BV55" i="33"/>
  <c r="AV55" i="33"/>
  <c r="BJ3" i="26"/>
  <c r="BV76" i="33"/>
  <c r="AV66" i="33"/>
  <c r="BF34" i="26"/>
  <c r="BG3" i="33"/>
  <c r="AV45" i="33"/>
  <c r="BZ2" i="33"/>
  <c r="BU3" i="26" s="1"/>
  <c r="BV45" i="33"/>
  <c r="AV19" i="33"/>
  <c r="AZ2" i="33"/>
  <c r="BV21" i="33"/>
  <c r="BV19" i="33"/>
  <c r="AV35" i="33"/>
  <c r="AV21" i="33"/>
  <c r="BV38" i="33"/>
  <c r="BV35" i="33"/>
  <c r="BF28" i="26"/>
  <c r="AV26" i="33"/>
  <c r="AV38" i="33"/>
  <c r="BF15" i="26"/>
  <c r="BF14" i="26"/>
  <c r="BF19" i="26"/>
  <c r="BF36" i="26"/>
  <c r="BF9" i="26"/>
  <c r="BF33" i="26"/>
  <c r="BF25" i="26"/>
  <c r="BF22" i="26"/>
  <c r="BF18" i="26"/>
  <c r="BF23" i="26"/>
  <c r="BF13" i="26"/>
  <c r="BF12" i="26"/>
  <c r="BF11" i="26"/>
  <c r="BF21" i="26"/>
  <c r="BF30" i="26"/>
  <c r="BF35" i="26"/>
  <c r="BF31" i="26"/>
  <c r="BF20" i="26"/>
  <c r="BF8" i="26"/>
  <c r="BF10" i="26"/>
  <c r="BF29" i="26"/>
  <c r="BF27" i="26"/>
  <c r="BF26" i="26"/>
  <c r="BV26" i="33"/>
  <c r="BX4" i="26"/>
  <c r="BJ4" i="33"/>
  <c r="CC4" i="33"/>
  <c r="AV76" i="33"/>
  <c r="AV65" i="33"/>
  <c r="BJ2" i="33"/>
  <c r="BJ3" i="33"/>
  <c r="BX3" i="26"/>
  <c r="BV17" i="33"/>
  <c r="BV30" i="33"/>
  <c r="BV50" i="33"/>
  <c r="BV54" i="33"/>
  <c r="BV43" i="33"/>
  <c r="BV41" i="33"/>
  <c r="BV23" i="33"/>
  <c r="BV12" i="33"/>
  <c r="BV37" i="33"/>
  <c r="BV29" i="33"/>
  <c r="BV51" i="33"/>
  <c r="BV47" i="33"/>
  <c r="BV20" i="33"/>
  <c r="BV42" i="33"/>
  <c r="BV25" i="33"/>
  <c r="BV18" i="33"/>
  <c r="BV46" i="33"/>
  <c r="BV24" i="33"/>
  <c r="BV8" i="33"/>
  <c r="BV52" i="33"/>
  <c r="BV48" i="33"/>
  <c r="BV15" i="33"/>
  <c r="BV56" i="33"/>
  <c r="BV22" i="33"/>
  <c r="BV9" i="33"/>
  <c r="BV44" i="33"/>
  <c r="BV14" i="33"/>
  <c r="BV28" i="33"/>
  <c r="BV11" i="33"/>
  <c r="BV31" i="33"/>
  <c r="BV34" i="33"/>
  <c r="BV16" i="33"/>
  <c r="BV32" i="33"/>
  <c r="BV10" i="33"/>
  <c r="BV78" i="33"/>
  <c r="BV60" i="33"/>
  <c r="BV64" i="33"/>
  <c r="AV31" i="33"/>
  <c r="AV41" i="33"/>
  <c r="AV51" i="33"/>
  <c r="AV30" i="33"/>
  <c r="AV56" i="33"/>
  <c r="AV34" i="33"/>
  <c r="AV24" i="33"/>
  <c r="AV42" i="33"/>
  <c r="AV44" i="33"/>
  <c r="AV47" i="33"/>
  <c r="AV22" i="33"/>
  <c r="AV29" i="33"/>
  <c r="AV20" i="33"/>
  <c r="AV14" i="33"/>
  <c r="AV12" i="33"/>
  <c r="AV37" i="33"/>
  <c r="AV10" i="33"/>
  <c r="AV8" i="33"/>
  <c r="AV50" i="33"/>
  <c r="AV52" i="33"/>
  <c r="AV9" i="33"/>
  <c r="AV43" i="33"/>
  <c r="AV18" i="33"/>
  <c r="AV16" i="33"/>
  <c r="AV32" i="33"/>
  <c r="AV48" i="33"/>
  <c r="AV17" i="33"/>
  <c r="AV25" i="33"/>
  <c r="AV54" i="33"/>
  <c r="AV23" i="33"/>
  <c r="AV11" i="33"/>
  <c r="AV15" i="33"/>
  <c r="AV46" i="33"/>
  <c r="AV28" i="33"/>
  <c r="AV64" i="33"/>
  <c r="AQ53" i="26"/>
  <c r="AP54" i="26" s="1"/>
  <c r="AR57" i="26" s="1"/>
  <c r="AR59" i="26" s="1"/>
  <c r="AR35" i="26"/>
  <c r="AR34" i="26"/>
  <c r="AR22" i="26"/>
  <c r="AR10" i="26"/>
  <c r="AR13" i="26"/>
  <c r="AR23" i="26"/>
  <c r="AR12" i="26"/>
  <c r="AR31" i="26"/>
  <c r="AR18" i="26"/>
  <c r="AR27" i="26"/>
  <c r="AR15" i="26"/>
  <c r="AR9" i="26"/>
  <c r="AR19" i="26"/>
  <c r="AR8" i="26"/>
  <c r="AR24" i="26"/>
  <c r="AR14" i="26"/>
  <c r="AR29" i="26"/>
  <c r="AR30" i="26"/>
  <c r="AR16" i="26"/>
  <c r="AR20" i="26"/>
  <c r="AR28" i="26"/>
  <c r="AR26" i="26"/>
  <c r="AR21" i="26"/>
  <c r="AR25" i="26"/>
  <c r="AR33" i="26"/>
  <c r="AR11" i="26"/>
  <c r="AR36" i="26"/>
  <c r="CC81" i="33"/>
  <c r="CC2" i="33"/>
  <c r="BW3" i="26" s="1"/>
  <c r="CC3" i="33"/>
  <c r="BQ8" i="26"/>
  <c r="BQ15" i="26"/>
  <c r="BQ24" i="26"/>
  <c r="BQ9" i="26"/>
  <c r="BQ33" i="26"/>
  <c r="BQ26" i="26"/>
  <c r="BQ10" i="26"/>
  <c r="BQ21" i="26"/>
  <c r="BQ35" i="26"/>
  <c r="BQ23" i="26"/>
  <c r="BQ27" i="26"/>
  <c r="BQ22" i="26"/>
  <c r="BQ29" i="26"/>
  <c r="BQ36" i="26"/>
  <c r="BQ16" i="26"/>
  <c r="BQ11" i="26"/>
  <c r="BQ34" i="26"/>
  <c r="BQ28" i="26"/>
  <c r="BQ14" i="26"/>
  <c r="BQ30" i="26"/>
  <c r="BQ19" i="26"/>
  <c r="BQ31" i="26"/>
  <c r="BQ18" i="26"/>
  <c r="BQ12" i="26"/>
  <c r="BQ25" i="26"/>
  <c r="BQ13" i="26"/>
  <c r="BQ20" i="26"/>
  <c r="BX2" i="26"/>
  <c r="BX38" i="26"/>
  <c r="BI84" i="33"/>
  <c r="C247" i="45" l="1"/>
  <c r="CU2" i="26"/>
  <c r="CY3" i="33" s="1"/>
  <c r="CU38" i="26"/>
  <c r="CU1" i="26"/>
  <c r="CU4" i="26"/>
  <c r="CU3" i="26"/>
  <c r="BA39" i="26"/>
  <c r="BC1" i="33"/>
  <c r="AY1" i="26"/>
  <c r="AY4" i="26"/>
  <c r="BC80" i="33"/>
  <c r="AY3" i="26"/>
  <c r="AY2" i="26"/>
  <c r="AY38" i="26"/>
  <c r="BC81" i="33"/>
  <c r="BC2" i="33"/>
  <c r="BC4" i="33"/>
  <c r="BC3" i="33"/>
  <c r="BS39" i="26"/>
  <c r="BR80" i="33"/>
  <c r="BV80" i="33"/>
  <c r="AV80" i="33"/>
  <c r="AV2" i="33"/>
  <c r="AV4" i="33"/>
  <c r="AV3" i="33"/>
  <c r="AR1" i="26"/>
  <c r="BQ1" i="26"/>
  <c r="BF1" i="26"/>
  <c r="AV1" i="33"/>
  <c r="BV1" i="33"/>
  <c r="AR4" i="26"/>
  <c r="AV3" i="26"/>
  <c r="AZ3" i="33"/>
  <c r="BF2" i="26"/>
  <c r="BF3" i="26"/>
  <c r="BF4" i="26"/>
  <c r="BF38" i="26"/>
  <c r="BV4" i="33"/>
  <c r="BQ4" i="26"/>
  <c r="AJ2" i="33"/>
  <c r="AF2" i="26"/>
  <c r="AR3" i="26"/>
  <c r="BQ3" i="26"/>
  <c r="BV2" i="33"/>
  <c r="BV3" i="33"/>
  <c r="BV81" i="33"/>
  <c r="AR2" i="26"/>
  <c r="AR38" i="26"/>
  <c r="AC1" i="26"/>
  <c r="BQ38" i="26"/>
  <c r="BQ2" i="26"/>
  <c r="AF1" i="33"/>
  <c r="C248" i="45" l="1"/>
  <c r="AJ3" i="33"/>
  <c r="AF3" i="26"/>
  <c r="AY85" i="33"/>
  <c r="C249" i="45" l="1"/>
  <c r="AM2" i="26"/>
  <c r="AC104" i="51"/>
  <c r="M106" i="51" s="1"/>
  <c r="AA104" i="51"/>
  <c r="AA109" i="51" s="1"/>
  <c r="K110" i="51" s="1"/>
  <c r="C250" i="45" l="1"/>
  <c r="AC108" i="51"/>
  <c r="M107" i="51"/>
  <c r="K107" i="51"/>
  <c r="K106" i="51"/>
  <c r="C251" i="45" l="1"/>
  <c r="Q33" i="51"/>
  <c r="Q97" i="51"/>
  <c r="Q96" i="51"/>
  <c r="Q94" i="51"/>
  <c r="Q95" i="51"/>
  <c r="R33" i="51"/>
  <c r="R94" i="51"/>
  <c r="R95" i="51"/>
  <c r="R96" i="51"/>
  <c r="R97" i="51"/>
  <c r="Q46" i="51"/>
  <c r="Q91" i="51"/>
  <c r="R46" i="51"/>
  <c r="R91" i="51"/>
  <c r="R68" i="51"/>
  <c r="Q99" i="51"/>
  <c r="Q68" i="51"/>
  <c r="R76" i="51"/>
  <c r="R99" i="51"/>
  <c r="Q75" i="51"/>
  <c r="Q76" i="51"/>
  <c r="R21" i="51"/>
  <c r="R75" i="51"/>
  <c r="M110" i="51"/>
  <c r="R81" i="51"/>
  <c r="R63" i="51"/>
  <c r="R74" i="51"/>
  <c r="R19" i="51"/>
  <c r="R31" i="51"/>
  <c r="R73" i="51"/>
  <c r="R60" i="51"/>
  <c r="R90" i="51"/>
  <c r="R84" i="51"/>
  <c r="R37" i="51"/>
  <c r="R44" i="51"/>
  <c r="R45" i="51"/>
  <c r="R40" i="51"/>
  <c r="R80" i="51"/>
  <c r="R71" i="51"/>
  <c r="R89" i="51"/>
  <c r="R100" i="51"/>
  <c r="R98" i="51"/>
  <c r="R88" i="51"/>
  <c r="R58" i="51"/>
  <c r="R8" i="51"/>
  <c r="R82" i="51"/>
  <c r="R30" i="51"/>
  <c r="R78" i="51"/>
  <c r="R9" i="51"/>
  <c r="R62" i="51"/>
  <c r="R36" i="51"/>
  <c r="R69" i="51"/>
  <c r="R50" i="51"/>
  <c r="R32" i="51"/>
  <c r="R23" i="51"/>
  <c r="R24" i="51"/>
  <c r="R54" i="51"/>
  <c r="R55" i="51"/>
  <c r="R53" i="51"/>
  <c r="R43" i="51"/>
  <c r="R16" i="51"/>
  <c r="R48" i="51"/>
  <c r="R6" i="51"/>
  <c r="R66" i="51"/>
  <c r="R67" i="51"/>
  <c r="R42" i="51"/>
  <c r="R39" i="51"/>
  <c r="R59" i="51"/>
  <c r="R56" i="51"/>
  <c r="R18" i="51"/>
  <c r="R47" i="51"/>
  <c r="R17" i="51"/>
  <c r="R20" i="51"/>
  <c r="R13" i="51"/>
  <c r="R38" i="51"/>
  <c r="R85" i="51"/>
  <c r="R28" i="51"/>
  <c r="R51" i="51"/>
  <c r="R25" i="51"/>
  <c r="R27" i="51"/>
  <c r="R79" i="51"/>
  <c r="R61" i="51"/>
  <c r="R64" i="51"/>
  <c r="R34" i="51"/>
  <c r="R14" i="51"/>
  <c r="R22" i="51"/>
  <c r="R57" i="51"/>
  <c r="R26" i="51"/>
  <c r="R7" i="51"/>
  <c r="R72" i="51"/>
  <c r="R41" i="51"/>
  <c r="R52" i="51"/>
  <c r="R15" i="51"/>
  <c r="R83" i="51"/>
  <c r="R77" i="51"/>
  <c r="R11" i="51"/>
  <c r="R70" i="51"/>
  <c r="R29" i="51"/>
  <c r="R10" i="51"/>
  <c r="R65" i="51"/>
  <c r="R49" i="51"/>
  <c r="R12" i="51"/>
  <c r="Q6" i="51"/>
  <c r="Q81" i="51"/>
  <c r="Q63" i="51"/>
  <c r="Q74" i="51"/>
  <c r="Q31" i="51"/>
  <c r="Q60" i="51"/>
  <c r="Q37" i="51"/>
  <c r="Q90" i="51"/>
  <c r="Q44" i="51"/>
  <c r="Q80" i="51"/>
  <c r="Q71" i="51"/>
  <c r="Q45" i="51"/>
  <c r="Q89" i="51"/>
  <c r="Q100" i="51"/>
  <c r="Q88" i="51"/>
  <c r="Q98" i="51"/>
  <c r="Q40" i="51"/>
  <c r="Q38" i="51"/>
  <c r="Q67" i="51"/>
  <c r="Q85" i="51"/>
  <c r="Q72" i="51"/>
  <c r="Q59" i="51"/>
  <c r="Q65" i="51"/>
  <c r="Q73" i="51"/>
  <c r="Q84" i="51"/>
  <c r="Q69" i="51"/>
  <c r="Q54" i="51"/>
  <c r="Q83" i="51"/>
  <c r="Q70" i="51"/>
  <c r="Q66" i="51"/>
  <c r="Q36" i="51"/>
  <c r="Q48" i="51"/>
  <c r="Q78" i="51"/>
  <c r="Q79" i="51"/>
  <c r="Q51" i="51"/>
  <c r="Q52" i="51"/>
  <c r="Q64" i="51"/>
  <c r="Q55" i="51"/>
  <c r="Q39" i="51"/>
  <c r="Q57" i="51"/>
  <c r="Q47" i="51"/>
  <c r="Q53" i="51"/>
  <c r="Q43" i="51"/>
  <c r="Q56" i="51"/>
  <c r="Q77" i="51"/>
  <c r="Q61" i="51"/>
  <c r="Q41" i="51"/>
  <c r="Q50" i="51"/>
  <c r="Q42" i="51"/>
  <c r="Q49" i="51"/>
  <c r="Q62" i="51"/>
  <c r="Q7" i="51"/>
  <c r="Q25" i="51"/>
  <c r="Q26" i="51"/>
  <c r="Q15" i="51"/>
  <c r="Q28" i="51"/>
  <c r="Q10" i="51"/>
  <c r="Q29" i="51"/>
  <c r="Q18" i="51"/>
  <c r="Q22" i="51"/>
  <c r="Q32" i="51"/>
  <c r="Q8" i="51"/>
  <c r="Q27" i="51"/>
  <c r="Q9" i="51"/>
  <c r="Q14" i="51"/>
  <c r="Q13" i="51"/>
  <c r="Q19" i="51"/>
  <c r="Q11" i="51"/>
  <c r="Q58" i="51"/>
  <c r="Q82" i="51"/>
  <c r="Q16" i="51"/>
  <c r="Q20" i="51"/>
  <c r="Q23" i="51"/>
  <c r="Q24" i="51"/>
  <c r="Q30" i="51"/>
  <c r="Q21" i="51"/>
  <c r="Q17" i="51"/>
  <c r="Q34" i="51"/>
  <c r="Q12" i="51"/>
  <c r="C252" i="45" l="1"/>
  <c r="O94" i="51"/>
  <c r="P94" i="51"/>
  <c r="S96" i="51"/>
  <c r="T96" i="51"/>
  <c r="O96" i="51"/>
  <c r="P96" i="51"/>
  <c r="S33" i="51"/>
  <c r="T33" i="51"/>
  <c r="O97" i="51"/>
  <c r="P97" i="51"/>
  <c r="S97" i="51"/>
  <c r="T97" i="51"/>
  <c r="S95" i="51"/>
  <c r="T95" i="51"/>
  <c r="S94" i="51"/>
  <c r="T94" i="51"/>
  <c r="O95" i="51"/>
  <c r="P95" i="51"/>
  <c r="O33" i="51"/>
  <c r="P33" i="51"/>
  <c r="S91" i="51"/>
  <c r="T91" i="51"/>
  <c r="O91" i="51"/>
  <c r="P91" i="51"/>
  <c r="P46" i="51"/>
  <c r="O89" i="51"/>
  <c r="O90" i="51"/>
  <c r="S85" i="51"/>
  <c r="T85" i="51"/>
  <c r="S100" i="51"/>
  <c r="T100" i="51"/>
  <c r="S89" i="51"/>
  <c r="T89" i="51"/>
  <c r="S88" i="51"/>
  <c r="T88" i="51"/>
  <c r="O84" i="51"/>
  <c r="O88" i="51"/>
  <c r="O85" i="51"/>
  <c r="T84" i="51"/>
  <c r="S84" i="51"/>
  <c r="S90" i="51"/>
  <c r="T90" i="51"/>
  <c r="O100" i="51"/>
  <c r="S68" i="51"/>
  <c r="T68" i="51"/>
  <c r="O68" i="51"/>
  <c r="P68" i="51"/>
  <c r="P53" i="51"/>
  <c r="P89" i="51"/>
  <c r="P21" i="51"/>
  <c r="S99" i="51"/>
  <c r="T99" i="51"/>
  <c r="P56" i="51"/>
  <c r="P51" i="51"/>
  <c r="P99" i="51"/>
  <c r="P43" i="51"/>
  <c r="O99" i="51"/>
  <c r="P26" i="51"/>
  <c r="P57" i="51"/>
  <c r="P36" i="51"/>
  <c r="P70" i="51"/>
  <c r="P72" i="51"/>
  <c r="P66" i="51"/>
  <c r="P78" i="51"/>
  <c r="P82" i="51"/>
  <c r="P50" i="51"/>
  <c r="P41" i="51"/>
  <c r="P42" i="51"/>
  <c r="P11" i="51"/>
  <c r="P71" i="51"/>
  <c r="P90" i="51"/>
  <c r="P59" i="51"/>
  <c r="P67" i="51"/>
  <c r="P64" i="51"/>
  <c r="P77" i="51"/>
  <c r="P52" i="51"/>
  <c r="P69" i="51"/>
  <c r="P40" i="51"/>
  <c r="P37" i="51"/>
  <c r="P80" i="51"/>
  <c r="P55" i="51"/>
  <c r="P61" i="51"/>
  <c r="P38" i="51"/>
  <c r="P84" i="51"/>
  <c r="R102" i="51"/>
  <c r="P28" i="51"/>
  <c r="P83" i="51"/>
  <c r="P15" i="51"/>
  <c r="P54" i="51"/>
  <c r="P88" i="51"/>
  <c r="P44" i="51"/>
  <c r="P39" i="51"/>
  <c r="P100" i="51"/>
  <c r="P65" i="51"/>
  <c r="S30" i="51"/>
  <c r="P18" i="51"/>
  <c r="P16" i="51"/>
  <c r="P19" i="51"/>
  <c r="P85" i="51"/>
  <c r="P60" i="51"/>
  <c r="P73" i="51"/>
  <c r="P32" i="51"/>
  <c r="P49" i="51"/>
  <c r="P48" i="51"/>
  <c r="P74" i="51"/>
  <c r="P62" i="51"/>
  <c r="P58" i="51"/>
  <c r="O47" i="51"/>
  <c r="P45" i="51"/>
  <c r="P98" i="51"/>
  <c r="P79" i="51"/>
  <c r="S31" i="51"/>
  <c r="S34" i="51"/>
  <c r="T31" i="51"/>
  <c r="T30" i="51"/>
  <c r="O30" i="51"/>
  <c r="P30" i="51"/>
  <c r="O31" i="51"/>
  <c r="P31" i="51"/>
  <c r="T34" i="51"/>
  <c r="P47" i="51"/>
  <c r="T56" i="51"/>
  <c r="O41" i="51"/>
  <c r="O59" i="51"/>
  <c r="T67" i="51"/>
  <c r="S53" i="51"/>
  <c r="S57" i="51"/>
  <c r="S61" i="51"/>
  <c r="S72" i="51"/>
  <c r="O66" i="51"/>
  <c r="T70" i="51"/>
  <c r="T13" i="51"/>
  <c r="P13" i="51"/>
  <c r="T25" i="51"/>
  <c r="P25" i="51"/>
  <c r="T20" i="51"/>
  <c r="P20" i="51"/>
  <c r="O55" i="51"/>
  <c r="T54" i="51"/>
  <c r="S9" i="51"/>
  <c r="P9" i="51"/>
  <c r="T17" i="51"/>
  <c r="P17" i="51"/>
  <c r="S22" i="51"/>
  <c r="P22" i="51"/>
  <c r="T7" i="51"/>
  <c r="P7" i="51"/>
  <c r="T14" i="51"/>
  <c r="P14" i="51"/>
  <c r="S29" i="51"/>
  <c r="P29" i="51"/>
  <c r="S12" i="51"/>
  <c r="P12" i="51"/>
  <c r="T8" i="51"/>
  <c r="P8" i="51"/>
  <c r="S62" i="51"/>
  <c r="O6" i="51"/>
  <c r="P6" i="51"/>
  <c r="S49" i="51"/>
  <c r="T69" i="51"/>
  <c r="O34" i="51"/>
  <c r="P34" i="51"/>
  <c r="S38" i="51"/>
  <c r="O42" i="51"/>
  <c r="T98" i="51"/>
  <c r="O73" i="51"/>
  <c r="T51" i="51"/>
  <c r="T23" i="51"/>
  <c r="P23" i="51"/>
  <c r="O48" i="51"/>
  <c r="T10" i="51"/>
  <c r="P10" i="51"/>
  <c r="T39" i="51"/>
  <c r="O52" i="51"/>
  <c r="T24" i="51"/>
  <c r="P24" i="51"/>
  <c r="O27" i="51"/>
  <c r="P27" i="51"/>
  <c r="O77" i="51"/>
  <c r="O82" i="51"/>
  <c r="T73" i="51"/>
  <c r="S73" i="51"/>
  <c r="O29" i="51"/>
  <c r="T29" i="51"/>
  <c r="T78" i="51"/>
  <c r="S78" i="51"/>
  <c r="O78" i="51"/>
  <c r="O20" i="51"/>
  <c r="T47" i="51"/>
  <c r="S47" i="51"/>
  <c r="S20" i="51"/>
  <c r="O13" i="51"/>
  <c r="S13" i="51"/>
  <c r="S11" i="51"/>
  <c r="T11" i="51"/>
  <c r="T49" i="51"/>
  <c r="T79" i="51"/>
  <c r="O69" i="51"/>
  <c r="O79" i="51"/>
  <c r="T43" i="51"/>
  <c r="O43" i="51"/>
  <c r="S69" i="51"/>
  <c r="S43" i="51"/>
  <c r="S48" i="51"/>
  <c r="T48" i="51"/>
  <c r="O57" i="51"/>
  <c r="O14" i="51"/>
  <c r="O49" i="51"/>
  <c r="O11" i="51"/>
  <c r="O53" i="51"/>
  <c r="T53" i="51"/>
  <c r="S79" i="51"/>
  <c r="T57" i="51"/>
  <c r="O22" i="51"/>
  <c r="T22" i="51"/>
  <c r="S14" i="51"/>
  <c r="S82" i="51"/>
  <c r="T82" i="51"/>
  <c r="S64" i="51"/>
  <c r="O67" i="51"/>
  <c r="S67" i="51"/>
  <c r="O23" i="51"/>
  <c r="S23" i="51"/>
  <c r="T50" i="51"/>
  <c r="T64" i="51"/>
  <c r="S65" i="51"/>
  <c r="O64" i="51"/>
  <c r="T62" i="51"/>
  <c r="O62" i="51"/>
  <c r="S42" i="51"/>
  <c r="T65" i="51"/>
  <c r="T42" i="51"/>
  <c r="O65" i="51"/>
  <c r="S98" i="51"/>
  <c r="O50" i="51"/>
  <c r="T18" i="51"/>
  <c r="O98" i="51"/>
  <c r="S50" i="51"/>
  <c r="S70" i="51"/>
  <c r="T59" i="51"/>
  <c r="S59" i="51"/>
  <c r="S7" i="51"/>
  <c r="O17" i="51"/>
  <c r="O25" i="51"/>
  <c r="S58" i="51"/>
  <c r="T6" i="51"/>
  <c r="T9" i="51"/>
  <c r="O9" i="51"/>
  <c r="S25" i="51"/>
  <c r="O7" i="51"/>
  <c r="S54" i="51"/>
  <c r="S18" i="51"/>
  <c r="O18" i="51"/>
  <c r="S17" i="51"/>
  <c r="T61" i="51"/>
  <c r="O83" i="51"/>
  <c r="S77" i="51"/>
  <c r="T72" i="51"/>
  <c r="T77" i="51"/>
  <c r="S15" i="51"/>
  <c r="T15" i="51"/>
  <c r="T12" i="51"/>
  <c r="S83" i="51"/>
  <c r="O19" i="51"/>
  <c r="S21" i="51"/>
  <c r="T36" i="51"/>
  <c r="S36" i="51"/>
  <c r="O26" i="51"/>
  <c r="O38" i="51"/>
  <c r="O24" i="51"/>
  <c r="T16" i="51"/>
  <c r="S10" i="51"/>
  <c r="O10" i="51"/>
  <c r="S19" i="51"/>
  <c r="T19" i="51"/>
  <c r="S28" i="51"/>
  <c r="O36" i="51"/>
  <c r="O28" i="51"/>
  <c r="O70" i="51"/>
  <c r="S51" i="51"/>
  <c r="T83" i="51"/>
  <c r="O16" i="51"/>
  <c r="O21" i="51"/>
  <c r="S55" i="51"/>
  <c r="O15" i="51"/>
  <c r="Q102" i="51"/>
  <c r="S16" i="51"/>
  <c r="T21" i="51"/>
  <c r="T38" i="51"/>
  <c r="T55" i="51"/>
  <c r="O8" i="51"/>
  <c r="S52" i="51"/>
  <c r="S8" i="51"/>
  <c r="O72" i="51"/>
  <c r="S27" i="51"/>
  <c r="S41" i="51"/>
  <c r="S24" i="51"/>
  <c r="S56" i="51"/>
  <c r="O39" i="51"/>
  <c r="T27" i="51"/>
  <c r="S39" i="51"/>
  <c r="T28" i="51"/>
  <c r="T41" i="51"/>
  <c r="O56" i="51"/>
  <c r="T52" i="51"/>
  <c r="O61" i="51"/>
  <c r="O12" i="51"/>
  <c r="O32" i="51"/>
  <c r="O54" i="51"/>
  <c r="S26" i="51"/>
  <c r="S32" i="51"/>
  <c r="T66" i="51"/>
  <c r="O58" i="51"/>
  <c r="S6" i="51"/>
  <c r="O51" i="51"/>
  <c r="T26" i="51"/>
  <c r="T32" i="51"/>
  <c r="S66" i="51"/>
  <c r="T58" i="51"/>
  <c r="C253" i="45" l="1"/>
  <c r="T103" i="51"/>
  <c r="S103" i="51"/>
  <c r="O103" i="51"/>
  <c r="P103" i="51"/>
  <c r="O102" i="51"/>
  <c r="T102" i="51"/>
  <c r="S102" i="51"/>
  <c r="P102" i="51"/>
  <c r="BC1" i="40"/>
  <c r="N34" i="40"/>
  <c r="N1" i="40"/>
  <c r="M34" i="40"/>
  <c r="M88" i="40" s="1"/>
  <c r="M1" i="40"/>
  <c r="AE34" i="40"/>
  <c r="AE1" i="40"/>
  <c r="G1" i="40"/>
  <c r="G34" i="40"/>
  <c r="G88" i="40" s="1"/>
  <c r="AG1" i="40"/>
  <c r="AG34" i="40"/>
  <c r="BE35" i="40" s="1"/>
  <c r="BE88" i="40" s="1"/>
  <c r="AP1" i="40"/>
  <c r="AP34" i="40"/>
  <c r="BZ35" i="40" s="1"/>
  <c r="I1" i="40"/>
  <c r="I34" i="40"/>
  <c r="I88" i="40" s="1"/>
  <c r="AM34" i="40"/>
  <c r="AM1" i="40"/>
  <c r="AX1" i="40"/>
  <c r="BA1" i="40"/>
  <c r="P34" i="40"/>
  <c r="P1" i="40"/>
  <c r="AF1" i="40"/>
  <c r="AF34" i="40"/>
  <c r="BB35" i="40" s="1"/>
  <c r="BB88" i="40" s="1"/>
  <c r="BG1" i="40"/>
  <c r="AI1" i="40"/>
  <c r="AI34" i="40"/>
  <c r="X1" i="40"/>
  <c r="X34" i="40"/>
  <c r="O34" i="40"/>
  <c r="O88" i="40" s="1"/>
  <c r="O1" i="40"/>
  <c r="AL1" i="40"/>
  <c r="AL34" i="40"/>
  <c r="AH34" i="40"/>
  <c r="BH35" i="40" s="1"/>
  <c r="BH88" i="40" s="1"/>
  <c r="AH1" i="40"/>
  <c r="H34" i="40"/>
  <c r="H1" i="40"/>
  <c r="Z34" i="40"/>
  <c r="Z88" i="40" s="1"/>
  <c r="Z1" i="40"/>
  <c r="AJ1" i="40"/>
  <c r="AJ34" i="40"/>
  <c r="BN35" i="40" s="1"/>
  <c r="BN88" i="40" s="1"/>
  <c r="AW1" i="40"/>
  <c r="AN1" i="40"/>
  <c r="AN34" i="40"/>
  <c r="AK1" i="40"/>
  <c r="AV1" i="40"/>
  <c r="C254" i="45" l="1"/>
  <c r="AZ34" i="40"/>
  <c r="BA34" i="40"/>
  <c r="AY35" i="40"/>
  <c r="AY88" i="40" s="1"/>
  <c r="BZ88" i="40"/>
  <c r="AM88" i="40"/>
  <c r="BW35" i="40"/>
  <c r="BW88" i="40" s="1"/>
  <c r="AV88" i="40"/>
  <c r="AV89" i="40" s="1"/>
  <c r="BK35" i="40"/>
  <c r="BK88" i="40" s="1"/>
  <c r="BL34" i="40"/>
  <c r="BU34" i="40"/>
  <c r="BT35" i="40"/>
  <c r="BT88" i="40" s="1"/>
  <c r="BF34" i="40"/>
  <c r="AN88" i="40"/>
  <c r="BC34" i="40"/>
  <c r="AJ88" i="40"/>
  <c r="BN89" i="40" s="1"/>
  <c r="BR34" i="40"/>
  <c r="BI34" i="40"/>
  <c r="N88" i="40"/>
  <c r="Q88" i="40" s="1"/>
  <c r="Q34" i="40"/>
  <c r="H88" i="40"/>
  <c r="J88" i="40" s="1"/>
  <c r="J34" i="40"/>
  <c r="S104" i="51"/>
  <c r="O104" i="51"/>
  <c r="AH88" i="40"/>
  <c r="BH89" i="40" s="1"/>
  <c r="BJ34" i="40"/>
  <c r="AP88" i="40"/>
  <c r="AG88" i="40"/>
  <c r="BE89" i="40" s="1"/>
  <c r="BG34" i="40"/>
  <c r="AL88" i="40"/>
  <c r="AI88" i="40"/>
  <c r="AF88" i="40"/>
  <c r="BB89" i="40" s="1"/>
  <c r="BD34" i="40"/>
  <c r="AE88" i="40"/>
  <c r="P88" i="40"/>
  <c r="Y34" i="40"/>
  <c r="Y88" i="40" s="1"/>
  <c r="X88" i="40"/>
  <c r="AA34" i="40"/>
  <c r="AA88" i="40" s="1"/>
  <c r="C255" i="45" l="1"/>
  <c r="AY89" i="40"/>
  <c r="BZ89" i="40"/>
  <c r="BT89" i="40"/>
  <c r="BK89" i="40"/>
  <c r="BW89" i="40"/>
  <c r="C256" i="45" l="1"/>
  <c r="CJ38" i="33"/>
  <c r="C257" i="45" l="1"/>
  <c r="CJ80" i="33"/>
  <c r="CJ2" i="33"/>
  <c r="CJ1" i="33"/>
  <c r="CJ3" i="33"/>
  <c r="CJ81" i="33"/>
  <c r="CJ4" i="33"/>
  <c r="EJ81" i="25"/>
  <c r="EJ84" i="25"/>
  <c r="C258" i="45" l="1"/>
  <c r="EM81" i="25"/>
  <c r="EL81" i="25"/>
  <c r="C259" i="45" l="1"/>
  <c r="BH81" i="25"/>
  <c r="DU16" i="25"/>
  <c r="C260" i="45" l="1"/>
  <c r="O16" i="25"/>
  <c r="B24" i="25" s="1"/>
  <c r="AO28" i="1"/>
  <c r="AM31" i="54" s="1"/>
  <c r="V16" i="25"/>
  <c r="C261" i="45" l="1"/>
  <c r="AM30" i="54"/>
  <c r="AM20" i="54"/>
  <c r="AM28" i="54"/>
  <c r="AM29" i="54"/>
  <c r="AM21" i="54"/>
  <c r="AM27" i="54"/>
  <c r="AM23" i="54"/>
  <c r="AM22" i="54"/>
  <c r="AM25" i="54"/>
  <c r="AM24" i="54"/>
  <c r="AM18" i="54"/>
  <c r="AM26" i="54"/>
  <c r="Q16" i="25"/>
  <c r="W16" i="25"/>
  <c r="AM17" i="54"/>
  <c r="AO2" i="1"/>
  <c r="AM2" i="54" s="1"/>
  <c r="B8" i="25"/>
  <c r="B17" i="25"/>
  <c r="B27" i="25"/>
  <c r="B29" i="25"/>
  <c r="B18" i="25"/>
  <c r="B11" i="25"/>
  <c r="B12" i="25"/>
  <c r="B26" i="25"/>
  <c r="B13" i="25"/>
  <c r="B22" i="25"/>
  <c r="B30" i="25"/>
  <c r="B33" i="25"/>
  <c r="B31" i="25"/>
  <c r="B19" i="25"/>
  <c r="B21" i="25"/>
  <c r="B23" i="25"/>
  <c r="B10" i="25"/>
  <c r="B25" i="25"/>
  <c r="B9" i="25"/>
  <c r="B5" i="25"/>
  <c r="B6" i="25"/>
  <c r="B14" i="25"/>
  <c r="B28" i="25"/>
  <c r="B32" i="25"/>
  <c r="B20" i="25"/>
  <c r="B16" i="25"/>
  <c r="B7" i="25"/>
  <c r="B15" i="25"/>
  <c r="C262" i="45" l="1"/>
  <c r="AV81" i="33"/>
  <c r="AS80" i="33"/>
  <c r="AQ82" i="33"/>
  <c r="C263" i="45" l="1"/>
  <c r="BP82" i="33"/>
  <c r="BP85" i="33" s="1"/>
  <c r="BK45" i="26" s="1"/>
  <c r="AT85" i="33"/>
  <c r="AP45" i="26" s="1"/>
  <c r="AQ39" i="26"/>
  <c r="C264" i="45" l="1"/>
  <c r="AO53" i="26"/>
  <c r="AN54" i="26" s="1"/>
  <c r="AR48" i="26"/>
  <c r="AP48" i="26"/>
  <c r="C583" i="45"/>
  <c r="C585" i="45" s="1"/>
  <c r="AU82" i="33"/>
  <c r="BL39" i="26"/>
  <c r="BK48" i="26" s="1"/>
  <c r="C265" i="45" l="1"/>
  <c r="F585" i="45"/>
  <c r="B585" i="45"/>
  <c r="I585" i="45"/>
  <c r="BL52" i="26"/>
  <c r="AV85" i="33"/>
  <c r="AS48" i="26"/>
  <c r="AT39" i="26"/>
  <c r="C266" i="45" l="1"/>
  <c r="AT48" i="26"/>
  <c r="AX85" i="33" s="1"/>
  <c r="AW85" i="33"/>
  <c r="C267" i="45" l="1"/>
  <c r="AO4" i="21"/>
  <c r="A1" i="25"/>
  <c r="H57" i="33"/>
  <c r="H56" i="33"/>
  <c r="H54" i="33"/>
  <c r="H52" i="33"/>
  <c r="H53" i="33"/>
  <c r="H47" i="33"/>
  <c r="H55" i="33"/>
  <c r="H51" i="33"/>
  <c r="H28" i="33"/>
  <c r="H48" i="33"/>
  <c r="H50" i="33"/>
  <c r="H46" i="33"/>
  <c r="H44" i="33"/>
  <c r="H45" i="33"/>
  <c r="H43" i="33"/>
  <c r="H42" i="33"/>
  <c r="H41" i="33"/>
  <c r="H38" i="33"/>
  <c r="H39" i="33"/>
  <c r="H40" i="33"/>
  <c r="H36" i="33"/>
  <c r="H37" i="33"/>
  <c r="H33" i="33"/>
  <c r="H34" i="33"/>
  <c r="H35" i="33"/>
  <c r="H32" i="33"/>
  <c r="H31" i="33"/>
  <c r="H30" i="33"/>
  <c r="H29" i="33"/>
  <c r="H27" i="33"/>
  <c r="H25" i="33"/>
  <c r="H26" i="33"/>
  <c r="H23" i="33"/>
  <c r="H24" i="33"/>
  <c r="H22" i="33"/>
  <c r="H21" i="33"/>
  <c r="H19" i="33"/>
  <c r="H18" i="33"/>
  <c r="H20" i="33"/>
  <c r="H17" i="33"/>
  <c r="H49" i="33"/>
  <c r="H16" i="33"/>
  <c r="H15" i="33"/>
  <c r="H14" i="33"/>
  <c r="H13" i="33"/>
  <c r="H12" i="33"/>
  <c r="H11" i="33"/>
  <c r="H10" i="33"/>
  <c r="H9" i="33"/>
  <c r="H8" i="33"/>
  <c r="G56" i="31"/>
  <c r="G55" i="31"/>
  <c r="G53" i="31"/>
  <c r="G51" i="31"/>
  <c r="G52" i="31"/>
  <c r="G46" i="31"/>
  <c r="G54" i="31"/>
  <c r="G50" i="31"/>
  <c r="G27" i="31"/>
  <c r="G47" i="31"/>
  <c r="G49" i="31"/>
  <c r="G45" i="31"/>
  <c r="G43" i="31"/>
  <c r="G44" i="31"/>
  <c r="G42" i="31"/>
  <c r="G41" i="31"/>
  <c r="G40" i="31"/>
  <c r="G37" i="31"/>
  <c r="G38" i="31"/>
  <c r="G39" i="31"/>
  <c r="G35" i="31"/>
  <c r="G36" i="31"/>
  <c r="G32" i="31"/>
  <c r="G33" i="31"/>
  <c r="G34" i="31"/>
  <c r="G31" i="31"/>
  <c r="G30" i="31"/>
  <c r="G29" i="31"/>
  <c r="G28" i="31"/>
  <c r="G26" i="31"/>
  <c r="G24" i="31"/>
  <c r="G25" i="31"/>
  <c r="G22" i="31"/>
  <c r="G23" i="31"/>
  <c r="G21" i="31"/>
  <c r="G20" i="31"/>
  <c r="G18" i="31"/>
  <c r="G17" i="31"/>
  <c r="G19" i="31"/>
  <c r="G16" i="31"/>
  <c r="G48" i="31"/>
  <c r="G15" i="31"/>
  <c r="G14" i="31"/>
  <c r="G13" i="31"/>
  <c r="G12" i="31"/>
  <c r="G11" i="31"/>
  <c r="G10" i="31"/>
  <c r="G9" i="31"/>
  <c r="G8" i="31"/>
  <c r="G7" i="31"/>
  <c r="G35" i="1"/>
  <c r="G36" i="26" s="1"/>
  <c r="G35" i="26" s="1"/>
  <c r="G34" i="26" s="1"/>
  <c r="G33" i="26" s="1"/>
  <c r="G31" i="26" s="1"/>
  <c r="G30" i="26" s="1"/>
  <c r="G32" i="26" s="1"/>
  <c r="G28" i="26" s="1"/>
  <c r="G29" i="26" s="1"/>
  <c r="G27" i="26" s="1"/>
  <c r="G26" i="26" s="1"/>
  <c r="G25" i="26" s="1"/>
  <c r="G23" i="26" s="1"/>
  <c r="G24" i="26" s="1"/>
  <c r="G21" i="26" s="1"/>
  <c r="G19" i="26" s="1"/>
  <c r="G20" i="26" s="1"/>
  <c r="G22" i="26" s="1"/>
  <c r="G18" i="26" s="1"/>
  <c r="G17" i="26" s="1"/>
  <c r="G16" i="26" s="1"/>
  <c r="G13" i="26" s="1"/>
  <c r="G15" i="26" s="1"/>
  <c r="G14" i="26" s="1"/>
  <c r="G12" i="26" s="1"/>
  <c r="G11" i="26" s="1"/>
  <c r="G10" i="26" s="1"/>
  <c r="G9" i="26" s="1"/>
  <c r="G8" i="26" s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0" i="1"/>
  <c r="G19" i="1"/>
  <c r="G18" i="1"/>
  <c r="G21" i="1"/>
  <c r="G17" i="1"/>
  <c r="G16" i="1"/>
  <c r="G15" i="1"/>
  <c r="G12" i="1"/>
  <c r="G14" i="1"/>
  <c r="G13" i="1"/>
  <c r="G11" i="1"/>
  <c r="G10" i="1"/>
  <c r="G9" i="1"/>
  <c r="G8" i="1"/>
  <c r="G7" i="1"/>
  <c r="C268" i="45" l="1"/>
  <c r="G54" i="36"/>
  <c r="G34" i="54"/>
  <c r="G33" i="54" s="1"/>
  <c r="G32" i="54" s="1"/>
  <c r="G43" i="36"/>
  <c r="G45" i="36"/>
  <c r="G53" i="36"/>
  <c r="G52" i="36" s="1"/>
  <c r="G51" i="36" s="1"/>
  <c r="G50" i="36" s="1"/>
  <c r="G46" i="36"/>
  <c r="G47" i="36"/>
  <c r="G44" i="36" s="1"/>
  <c r="G42" i="36" s="1"/>
  <c r="G41" i="36" s="1"/>
  <c r="G22" i="36" s="1"/>
  <c r="G49" i="36"/>
  <c r="G48" i="36" s="1"/>
  <c r="G32" i="36" s="1"/>
  <c r="G40" i="36" s="1"/>
  <c r="G39" i="36" s="1"/>
  <c r="G33" i="36" s="1"/>
  <c r="G38" i="36" s="1"/>
  <c r="G30" i="36" s="1"/>
  <c r="G31" i="36" s="1"/>
  <c r="G28" i="36" s="1"/>
  <c r="G29" i="36" s="1"/>
  <c r="G27" i="36" s="1"/>
  <c r="G25" i="36" s="1"/>
  <c r="G26" i="36" s="1"/>
  <c r="G24" i="36" s="1"/>
  <c r="G23" i="36" s="1"/>
  <c r="G17" i="36" s="1"/>
  <c r="G16" i="36" s="1"/>
  <c r="G12" i="36" s="1"/>
  <c r="G15" i="36" s="1"/>
  <c r="G13" i="36" s="1"/>
  <c r="G14" i="36" s="1"/>
  <c r="G11" i="36" s="1"/>
  <c r="G10" i="36" s="1"/>
  <c r="G9" i="36" s="1"/>
  <c r="G8" i="36" s="1"/>
  <c r="G7" i="36" s="1"/>
  <c r="G21" i="36"/>
  <c r="G55" i="36"/>
  <c r="G36" i="36" s="1"/>
  <c r="G35" i="36" s="1"/>
  <c r="G37" i="36" s="1"/>
  <c r="G34" i="36" s="1"/>
  <c r="G20" i="36" s="1"/>
  <c r="G19" i="36" s="1"/>
  <c r="G18" i="36" s="1"/>
  <c r="G30" i="54"/>
  <c r="G27" i="54" s="1"/>
  <c r="G26" i="54" s="1"/>
  <c r="G28" i="54" s="1"/>
  <c r="G31" i="54" s="1"/>
  <c r="G29" i="54" s="1"/>
  <c r="G24" i="54" s="1"/>
  <c r="G25" i="54" s="1"/>
  <c r="G23" i="54" s="1"/>
  <c r="G22" i="54" s="1"/>
  <c r="G21" i="54" s="1"/>
  <c r="G20" i="54" s="1"/>
  <c r="G19" i="54" s="1"/>
  <c r="G17" i="54" s="1"/>
  <c r="G18" i="54" s="1"/>
  <c r="G15" i="54" s="1"/>
  <c r="G13" i="54" s="1"/>
  <c r="G16" i="54" s="1"/>
  <c r="G14" i="54" s="1"/>
  <c r="G12" i="54" s="1"/>
  <c r="G11" i="54" s="1"/>
  <c r="G10" i="54" s="1"/>
  <c r="G9" i="54" s="1"/>
  <c r="G8" i="54" s="1"/>
  <c r="G7" i="54" s="1"/>
  <c r="C269" i="45" l="1"/>
  <c r="C270" i="45" l="1"/>
  <c r="C271" i="45" l="1"/>
  <c r="C272" i="45" l="1"/>
  <c r="C273" i="45" l="1"/>
  <c r="C274" i="45" l="1"/>
  <c r="C275" i="45" l="1"/>
  <c r="C276" i="45" l="1"/>
  <c r="C277" i="45" l="1"/>
  <c r="C278" i="45" l="1"/>
  <c r="C279" i="45" l="1"/>
  <c r="C280" i="45" l="1"/>
  <c r="C281" i="45" l="1"/>
  <c r="C282" i="45" l="1"/>
  <c r="C283" i="45" l="1"/>
  <c r="C284" i="45" l="1"/>
  <c r="C285" i="45" l="1"/>
  <c r="C286" i="45" l="1"/>
  <c r="C287" i="45" l="1"/>
  <c r="C288" i="45" l="1"/>
  <c r="C289" i="45" l="1"/>
  <c r="C290" i="45" l="1"/>
  <c r="C291" i="45" l="1"/>
  <c r="C292" i="45" l="1"/>
  <c r="C293" i="45" l="1"/>
  <c r="C294" i="45" l="1"/>
  <c r="C295" i="45" l="1"/>
  <c r="C296" i="45" l="1"/>
  <c r="C297" i="45" l="1"/>
  <c r="C298" i="45" l="1"/>
  <c r="C299" i="45" l="1"/>
  <c r="C300" i="45" l="1"/>
  <c r="C301" i="45" l="1"/>
  <c r="C302" i="45" l="1"/>
  <c r="C303" i="45" l="1"/>
  <c r="C304" i="45" l="1"/>
  <c r="C305" i="45" l="1"/>
  <c r="C306" i="45" l="1"/>
  <c r="C307" i="45" l="1"/>
  <c r="C308" i="45" l="1"/>
  <c r="C309" i="45" l="1"/>
  <c r="C310" i="45" l="1"/>
  <c r="C311" i="45" l="1"/>
  <c r="C312" i="45" l="1"/>
  <c r="C313" i="45" l="1"/>
  <c r="C314" i="45" l="1"/>
  <c r="C315" i="45" l="1"/>
  <c r="C316" i="45" l="1"/>
  <c r="C317" i="45" l="1"/>
  <c r="C318" i="45" l="1"/>
  <c r="C319" i="45" l="1"/>
  <c r="C320" i="45" l="1"/>
  <c r="C321" i="45" l="1"/>
  <c r="C322" i="45" l="1"/>
  <c r="C323" i="45" l="1"/>
  <c r="C324" i="45" l="1"/>
  <c r="C325" i="45" l="1"/>
  <c r="C326" i="45" l="1"/>
  <c r="C327" i="45" l="1"/>
  <c r="C328" i="45" l="1"/>
  <c r="C329" i="45" l="1"/>
  <c r="C330" i="45" l="1"/>
  <c r="C331" i="45" l="1"/>
  <c r="C332" i="45" l="1"/>
  <c r="C333" i="45" l="1"/>
  <c r="C334" i="45" l="1"/>
  <c r="C335" i="45" l="1"/>
  <c r="C336" i="45" l="1"/>
  <c r="C337" i="45" l="1"/>
  <c r="C338" i="45" l="1"/>
  <c r="C339" i="45" l="1"/>
  <c r="C340" i="45" l="1"/>
  <c r="C341" i="45" l="1"/>
  <c r="C342" i="45" l="1"/>
  <c r="C343" i="45" l="1"/>
  <c r="C344" i="45" l="1"/>
  <c r="C345" i="45" l="1"/>
  <c r="C346" i="45" l="1"/>
  <c r="C347" i="45" l="1"/>
  <c r="C348" i="45" l="1"/>
  <c r="C349" i="45" l="1"/>
  <c r="C350" i="45" l="1"/>
  <c r="C351" i="45" l="1"/>
  <c r="C352" i="45" l="1"/>
  <c r="C353" i="45" l="1"/>
  <c r="C354" i="45" l="1"/>
  <c r="C355" i="45" l="1"/>
  <c r="C356" i="45" l="1"/>
  <c r="C357" i="45" l="1"/>
  <c r="C358" i="45" l="1"/>
  <c r="C359" i="45" l="1"/>
  <c r="C360" i="45" l="1"/>
  <c r="C361" i="45" l="1"/>
  <c r="C362" i="45" l="1"/>
  <c r="C363" i="45" l="1"/>
  <c r="C364" i="45" l="1"/>
  <c r="C365" i="45" l="1"/>
  <c r="C366" i="45" l="1"/>
  <c r="C367" i="45" l="1"/>
  <c r="C368" i="45" l="1"/>
  <c r="C369" i="45" l="1"/>
  <c r="C370" i="45" l="1"/>
  <c r="C371" i="45" l="1"/>
  <c r="C372" i="45" l="1"/>
  <c r="C373" i="45" l="1"/>
  <c r="C374" i="45" l="1"/>
  <c r="C375" i="45" l="1"/>
  <c r="C376" i="45" l="1"/>
  <c r="C377" i="45" l="1"/>
  <c r="C378" i="45" l="1"/>
  <c r="C379" i="45" l="1"/>
  <c r="C380" i="45" l="1"/>
  <c r="C381" i="45" l="1"/>
  <c r="C382" i="45" l="1"/>
  <c r="C383" i="45" l="1"/>
  <c r="C384" i="45" l="1"/>
  <c r="C385" i="45" l="1"/>
  <c r="C386" i="45" l="1"/>
  <c r="C387" i="45" l="1"/>
  <c r="C388" i="45" l="1"/>
  <c r="C389" i="45" l="1"/>
  <c r="C390" i="45" l="1"/>
  <c r="C391" i="45" l="1"/>
  <c r="C392" i="45" l="1"/>
  <c r="C393" i="45" l="1"/>
  <c r="C394" i="45" l="1"/>
  <c r="C395" i="45" l="1"/>
  <c r="C396" i="45" l="1"/>
  <c r="C397" i="45" l="1"/>
  <c r="C398" i="45" l="1"/>
  <c r="C399" i="45" l="1"/>
  <c r="C400" i="45" l="1"/>
  <c r="C401" i="45" l="1"/>
  <c r="C402" i="45" l="1"/>
  <c r="C403" i="45" l="1"/>
  <c r="C404" i="45" l="1"/>
  <c r="C405" i="45" l="1"/>
  <c r="C406" i="45" l="1"/>
  <c r="C407" i="45" l="1"/>
  <c r="C408" i="45" l="1"/>
  <c r="C409" i="45" l="1"/>
  <c r="C410" i="45" l="1"/>
  <c r="C411" i="45" l="1"/>
  <c r="C412" i="45" l="1"/>
  <c r="C413" i="45" l="1"/>
  <c r="C414" i="45" l="1"/>
  <c r="C415" i="45" l="1"/>
  <c r="C416" i="45" l="1"/>
  <c r="C417" i="45" l="1"/>
  <c r="C418" i="45" l="1"/>
  <c r="C419" i="45" l="1"/>
  <c r="C420" i="45" l="1"/>
  <c r="C421" i="45" l="1"/>
  <c r="C422" i="45" l="1"/>
  <c r="C423" i="45" l="1"/>
  <c r="C424" i="45" l="1"/>
  <c r="C425" i="45" l="1"/>
  <c r="C426" i="45" l="1"/>
  <c r="C427" i="45" l="1"/>
  <c r="C428" i="45" l="1"/>
  <c r="C429" i="45" l="1"/>
  <c r="C430" i="45" l="1"/>
  <c r="C431" i="45" l="1"/>
  <c r="C432" i="45" l="1"/>
  <c r="C433" i="45" l="1"/>
  <c r="C434" i="45" l="1"/>
  <c r="C435" i="45" l="1"/>
  <c r="C436" i="45" l="1"/>
  <c r="C437" i="45" l="1"/>
  <c r="C438" i="45" l="1"/>
  <c r="C439" i="45" l="1"/>
  <c r="C440" i="45" l="1"/>
  <c r="C441" i="45" l="1"/>
  <c r="C442" i="45" l="1"/>
  <c r="C443" i="45" l="1"/>
  <c r="C444" i="45" l="1"/>
  <c r="C445" i="45" l="1"/>
  <c r="C446" i="45" l="1"/>
  <c r="C447" i="45" l="1"/>
  <c r="C448" i="45" l="1"/>
  <c r="C449" i="45" l="1"/>
  <c r="C450" i="45" l="1"/>
  <c r="C451" i="45" l="1"/>
  <c r="C452" i="45" l="1"/>
  <c r="C453" i="45" l="1"/>
  <c r="C454" i="45" l="1"/>
  <c r="C455" i="45" l="1"/>
  <c r="C456" i="45" l="1"/>
  <c r="C457" i="45" l="1"/>
  <c r="C458" i="45" l="1"/>
  <c r="C459" i="45" l="1"/>
  <c r="C460" i="45" l="1"/>
  <c r="C461" i="45" l="1"/>
  <c r="C462" i="45" l="1"/>
  <c r="C463" i="45" l="1"/>
  <c r="C464" i="45" l="1"/>
  <c r="C465" i="45" l="1"/>
  <c r="C466" i="45" l="1"/>
  <c r="C467" i="45" l="1"/>
  <c r="C468" i="45" l="1"/>
  <c r="C469" i="45" l="1"/>
  <c r="C470" i="45" l="1"/>
  <c r="C471" i="45" l="1"/>
  <c r="C472" i="45" l="1"/>
  <c r="C473" i="45" l="1"/>
  <c r="C474" i="45" l="1"/>
  <c r="C475" i="45" l="1"/>
  <c r="C476" i="45" l="1"/>
  <c r="C477" i="45" l="1"/>
  <c r="C478" i="45" l="1"/>
  <c r="C479" i="45" l="1"/>
  <c r="C480" i="45" l="1"/>
  <c r="C481" i="45" l="1"/>
  <c r="C482" i="45" l="1"/>
  <c r="C483" i="45" l="1"/>
  <c r="C484" i="45" l="1"/>
  <c r="C485" i="45" l="1"/>
  <c r="C486" i="45" l="1"/>
  <c r="C487" i="45" l="1"/>
  <c r="C488" i="45" l="1"/>
  <c r="C489" i="45" l="1"/>
  <c r="C490" i="45" l="1"/>
  <c r="C491" i="45" l="1"/>
  <c r="C492" i="45" l="1"/>
  <c r="C493" i="45" l="1"/>
  <c r="C494" i="45" l="1"/>
  <c r="C495" i="45" l="1"/>
  <c r="C496" i="45" l="1"/>
  <c r="C497" i="45" l="1"/>
  <c r="C498" i="45" l="1"/>
  <c r="C499" i="45" l="1"/>
  <c r="C500" i="45" l="1"/>
  <c r="C501" i="45" l="1"/>
  <c r="C502" i="45" l="1"/>
  <c r="C503" i="45" l="1"/>
  <c r="C504" i="45" l="1"/>
  <c r="C505" i="45" l="1"/>
  <c r="C506" i="45" l="1"/>
  <c r="C507" i="45" l="1"/>
  <c r="C508" i="45" l="1"/>
  <c r="C509" i="45" l="1"/>
  <c r="C510" i="45" l="1"/>
  <c r="C511" i="45" l="1"/>
  <c r="C512" i="45" l="1"/>
  <c r="C513" i="45" l="1"/>
  <c r="C514" i="45" l="1"/>
  <c r="C515" i="45" l="1"/>
  <c r="C516" i="45" l="1"/>
  <c r="C517" i="45" l="1"/>
  <c r="C518" i="45" l="1"/>
  <c r="C519" i="45" l="1"/>
  <c r="C520" i="45" l="1"/>
  <c r="C521" i="45" l="1"/>
  <c r="C522" i="45" l="1"/>
  <c r="C523" i="45" l="1"/>
  <c r="C524" i="45" l="1"/>
  <c r="C525" i="45" l="1"/>
  <c r="C526" i="45" l="1"/>
  <c r="C527" i="45" l="1"/>
  <c r="C528" i="45" l="1"/>
  <c r="C529" i="45" l="1"/>
  <c r="C530" i="45" l="1"/>
  <c r="C531" i="45" l="1"/>
  <c r="C532" i="45" l="1"/>
  <c r="C533" i="45" l="1"/>
  <c r="C534" i="45" l="1"/>
  <c r="C535" i="45" l="1"/>
  <c r="C536" i="45" l="1"/>
  <c r="C537" i="45" l="1"/>
  <c r="C538" i="45" l="1"/>
  <c r="C539" i="45" l="1"/>
  <c r="C540" i="45" l="1"/>
  <c r="C541" i="45" l="1"/>
  <c r="C542" i="45" l="1"/>
  <c r="C543" i="45" l="1"/>
  <c r="C544" i="45" l="1"/>
  <c r="C545" i="45" l="1"/>
  <c r="C546" i="45" l="1"/>
  <c r="C547" i="45" l="1"/>
  <c r="C548" i="45" l="1"/>
  <c r="C549" i="45" l="1"/>
  <c r="C550" i="45" l="1"/>
  <c r="C551" i="45" l="1"/>
  <c r="C552" i="45" l="1"/>
  <c r="C553" i="45" l="1"/>
  <c r="C554" i="45" l="1"/>
  <c r="C555" i="45" l="1"/>
  <c r="C556" i="45" l="1"/>
  <c r="C557" i="45" l="1"/>
  <c r="C558" i="45" l="1"/>
  <c r="C559" i="45" s="1"/>
  <c r="C560" i="45" s="1"/>
  <c r="C561" i="45" s="1"/>
  <c r="C562" i="45" s="1"/>
  <c r="C563" i="45" s="1"/>
  <c r="C564" i="45" s="1"/>
  <c r="C565" i="45" s="1"/>
  <c r="C566" i="45" s="1"/>
  <c r="C567" i="45" s="1"/>
  <c r="C568" i="45" s="1"/>
  <c r="C569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Alipour</author>
  </authors>
  <commentList>
    <comment ref="BJ4" authorId="0" shapeId="0" xr:uid="{C0F7A965-62F7-F74C-BA57-2B0EFB8A871B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IF(CM7=0,0,MIN(MAX(MIN(MAX(($P$48-BF7)*$Q$48+(BH7-BF7)*200,-5),5))))</t>
        </r>
      </text>
    </comment>
    <comment ref="DO4" authorId="0" shapeId="0" xr:uid="{40268C3A-8E49-D640-8E19-8B19DA077034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Old Formula was: (AO7/12)/(DI7) - it disabled on June 24th 2026</t>
        </r>
      </text>
    </comment>
    <comment ref="DP4" authorId="0" shapeId="0" xr:uid="{E106B0B3-1BC5-5144-B9C4-49134791F4E0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 Old Formula was : IF(DY7&gt;0.1,0,MIN(MAX(IF(AO7/12&gt;DI7,0, (AO7/12-DI7)/(AO7/12)*$O$51), -3), 3))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it is disabled on 24th Jun 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Alipour</author>
  </authors>
  <commentList>
    <comment ref="BK4" authorId="0" shapeId="0" xr:uid="{982D8B8A-C0F3-D349-9F38-E8218DC21D41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IF(CN7=0,0,MIN(MAX((XLOOKUP(O7,$T$64:$AO$64,$T$72:$AO$72)-BG7)*$R$72*100+(BI7-BG7)*100,-5),5))</t>
        </r>
      </text>
    </comment>
    <comment ref="DR4" authorId="0" shapeId="0" xr:uid="{1856342A-B0C0-484F-B8D2-8C80D7A5827D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Old Formula was: (AO7/12)/(DI7) - it disabled on June 24th 2026</t>
        </r>
      </text>
    </comment>
    <comment ref="DS4" authorId="0" shapeId="0" xr:uid="{7260BC3F-9F67-F743-B935-BAEB8FF6B0F3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 Old Formula was : IF(DY7&gt;0.1,0,MIN(MAX(IF(AO7/12&gt;DI7,0, (AO7/12-DI7)/(AO7/12)*$O$51), -3), 3))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it is disabled on 24th Jun 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Alipour</author>
  </authors>
  <commentList>
    <comment ref="AV31" authorId="0" shapeId="0" xr:uid="{8F1F7CF5-2512-2A4B-AA12-7BBF7201EA54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17647 should be paid 1000 Rials
</t>
        </r>
      </text>
    </comment>
    <comment ref="BJ34" authorId="0" shapeId="0" xr:uid="{FB1C649C-89AD-AB42-BE2C-6D771A477AF6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Y34" authorId="0" shapeId="0" xr:uid="{7CD3D482-479F-0C43-899B-4F162B300B8E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1625D-029D-4BB0-9FBB-75745BB74447}" keepAlive="1" name="Query - HTML Code" description="Connection to the 'HTML Code' query in the workbook." type="5" refreshedVersion="0" background="1" saveData="1">
    <dbPr connection="Provider=Microsoft.Mashup.OleDb.1;Data Source=$Workbook$;Location=&quot;HTML Code&quot;;Extended Properties=&quot;&quot;" command="SELECT * FROM [HTML Code]"/>
  </connection>
  <connection id="2" xr16:uid="{5309F10A-0749-498D-8AB0-9F47239D135F}" keepAlive="1" name="Query - HTML Code (2)" description="Connection to the 'HTML Code (2)' query in the workbook." type="5" refreshedVersion="0" background="1" saveData="1">
    <dbPr connection="Provider=Microsoft.Mashup.OleDb.1;Data Source=$Workbook$;Location=&quot;HTML Code (2)&quot;;Extended Properties=&quot;&quot;" command="SELECT * FROM [HTML Code (2)]"/>
  </connection>
  <connection id="3" xr16:uid="{172F7FDC-0CCE-4176-B7BE-950239879E6D}" keepAlive="1" name="Query - HTML Code (3)" description="Connection to the 'HTML Code (3)' query in the workbook." type="5" refreshedVersion="0" background="1" saveData="1">
    <dbPr connection="Provider=Microsoft.Mashup.OleDb.1;Data Source=$Workbook$;Location=&quot;HTML Code (3)&quot;;Extended Properties=&quot;&quot;" command="SELECT * FROM [HTML Code (3)]"/>
  </connection>
  <connection id="4" xr16:uid="{31A94EC5-AE20-364C-A55E-F35D371AF22A}" keepAlive="1" interval="5" name="Query - دیده بان بازار (10)" description="Connection to the 'دیده بان بازار (10)' query in the workbook." type="5" refreshedVersion="8" background="1" refreshOnLoad="1" saveData="1">
    <dbPr connection="Provider=Microsoft.Mashup.OleDb.1;Data Source=$Workbook$;Location=&quot;دیده بان بازار (10)&quot;;Extended Properties=&quot;&quot;" command="SELECT * FROM [دیده بان بازار (10)]"/>
  </connection>
  <connection id="5" xr16:uid="{D904A752-3F11-C143-B98D-022B942AA1B0}" keepAlive="1" interval="3" name="Query - دیده بان بازار (11)" description="Connection to the 'دیده بان بازار (11)' query in the workbook." type="5" refreshedVersion="8" background="1" refreshOnLoad="1" saveData="1">
    <dbPr connection="Provider=Microsoft.Mashup.OleDb.1;Data Source=$Workbook$;Location=&quot;دیده بان بازار (11)&quot;;Extended Properties=&quot;&quot;" command="SELECT * FROM [دیده بان بازار (11)]"/>
  </connection>
  <connection id="6" xr16:uid="{51863937-1351-4B56-9347-CC3CFAD7E0A7}" keepAlive="1" interval="5" name="Query - دیده بان بازار (2)" description="Connection to the 'دیده بان بازار (2)' query in the workbook." type="5" refreshedVersion="8" background="1" refreshOnLoad="1" saveData="1">
    <dbPr connection="Provider=Microsoft.Mashup.OleDb.1;Data Source=$Workbook$;Location=&quot;دیده بان بازار (2)&quot;;Extended Properties=&quot;&quot;" command="SELECT * FROM [دیده بان بازار (2)]"/>
  </connection>
  <connection id="7" xr16:uid="{1008B45B-9309-6047-8CB0-4AE7CE384B1D}" keepAlive="1" interval="5" name="Query - دیده بان بازار (3)" description="Connection to the 'دیده بان بازار (3)' query in the workbook." type="5" refreshedVersion="7" background="1" refreshOnLoad="1" saveData="1">
    <dbPr connection="Provider=Microsoft.Mashup.OleDb.1;Data Source=$Workbook$;Location=&quot;دیده بان بازار (3)&quot;;Extended Properties=&quot;&quot;" command="SELECT * FROM [دیده بان بازار (3)]"/>
  </connection>
  <connection id="8" xr16:uid="{939174C5-D1FF-3D44-AA56-893067B39B1C}" keepAlive="1" interval="5" name="Query - دیده بان بازار (4)" description="Connection to the 'دیده بان بازار (4)' query in the workbook." type="5" refreshedVersion="8" background="1" refreshOnLoad="1" saveData="1">
    <dbPr connection="Provider=Microsoft.Mashup.OleDb.1;Data Source=$Workbook$;Location=&quot;دیده بان بازار (4)&quot;;Extended Properties=&quot;&quot;" command="SELECT * FROM [دیده بان بازار (4)]"/>
  </connection>
  <connection id="9" xr16:uid="{E7768623-962D-0E40-876D-F3435D9F18E5}" keepAlive="1" interval="5" name="Query - دیده بان بازار (5)" description="Connection to the 'دیده بان بازار (5)' query in the workbook." type="5" refreshedVersion="8" background="1" refreshOnLoad="1" saveData="1">
    <dbPr connection="Provider=Microsoft.Mashup.OleDb.1;Data Source=$Workbook$;Location=&quot;دیده بان بازار (5)&quot;;Extended Properties=&quot;&quot;" command="SELECT * FROM [دیده بان بازار (5)]"/>
  </connection>
  <connection id="10" xr16:uid="{457AFF6A-72EC-F94A-ADEB-FBE47B966D47}" keepAlive="1" interval="5" name="Query - دیده بان بازار (6)" description="Connection to the 'دیده بان بازار (6)' query in the workbook." type="5" refreshedVersion="8" background="1" refreshOnLoad="1" saveData="1">
    <dbPr connection="Provider=Microsoft.Mashup.OleDb.1;Data Source=$Workbook$;Location=&quot;دیده بان بازار (6)&quot;;Extended Properties=&quot;&quot;" command="SELECT * FROM [دیده بان بازار (6)]"/>
  </connection>
  <connection id="11" xr16:uid="{46000534-672B-2E4E-9607-A7BFB3462589}" keepAlive="1" interval="5" name="Query - دیده بان بازار (7)" description="Connection to the 'دیده بان بازار (7)' query in the workbook." type="5" refreshedVersion="8" background="1" refreshOnLoad="1" saveData="1">
    <dbPr connection="Provider=Microsoft.Mashup.OleDb.1;Data Source=$Workbook$;Location=&quot;دیده بان بازار (7)&quot;;Extended Properties=&quot;&quot;" command="SELECT * FROM [دیده بان بازار (7)]"/>
  </connection>
  <connection id="12" xr16:uid="{70261200-CCB7-E444-8025-42BBFB98E929}" keepAlive="1" interval="5" name="Query - دیده بان بازار (8)" description="Connection to the 'دیده بان بازار (8)' query in the workbook." type="5" refreshedVersion="8" background="1" refreshOnLoad="1" saveData="1">
    <dbPr connection="Provider=Microsoft.Mashup.OleDb.1;Data Source=$Workbook$;Location=&quot;دیده بان بازار (8)&quot;;Extended Properties=&quot;&quot;" command="SELECT * FROM [دیده بان بازار (8)]"/>
  </connection>
  <connection id="13" xr16:uid="{755DF38A-1CDD-4A68-BB7D-8FA54123BE9E}" keepAlive="1" name="Query - دیده بان بازار (9)" description="Connection to the 'دیده بان بازار (9)' query in the workbook." type="5" refreshedVersion="0" background="1">
    <dbPr connection="Provider=Microsoft.Mashup.OleDb.1;Data Source=$Workbook$;Location=&quot;دیده بان بازار (9)&quot;;Extended Properties=&quot;&quot;" command="SELECT * FROM [دیده بان بازار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<sst xmlns="http://schemas.openxmlformats.org/spreadsheetml/2006/main" count="39895" uniqueCount="8882">
  <si>
    <t>Column1</t>
  </si>
  <si>
    <t>Column2</t>
  </si>
  <si>
    <t>Column6</t>
  </si>
  <si>
    <t>Column8</t>
  </si>
  <si>
    <t>Column11</t>
  </si>
  <si>
    <t>Column16</t>
  </si>
  <si>
    <t>Column17</t>
  </si>
  <si>
    <t>HMT</t>
  </si>
  <si>
    <t>IHT</t>
  </si>
  <si>
    <t>Match</t>
  </si>
  <si>
    <t>نام</t>
  </si>
  <si>
    <t>نماد</t>
  </si>
  <si>
    <t>دیروز</t>
  </si>
  <si>
    <t>آخرین معامله - مقدار</t>
  </si>
  <si>
    <t>قیمت پایانی - مقدار</t>
  </si>
  <si>
    <t>EPS</t>
  </si>
  <si>
    <t>P/E</t>
  </si>
  <si>
    <t>Market Cap</t>
  </si>
  <si>
    <t>Portfolio-AA</t>
  </si>
  <si>
    <t>MC --</t>
  </si>
  <si>
    <t>MC ++</t>
  </si>
  <si>
    <t>Mcap Diff %</t>
  </si>
  <si>
    <t>Portfolio Diff %</t>
  </si>
  <si>
    <t>PP ++</t>
  </si>
  <si>
    <t>PP --</t>
  </si>
  <si>
    <t xml:space="preserve">آخرین معامله </t>
  </si>
  <si>
    <t>قیمت پایانی</t>
  </si>
  <si>
    <t>بين المللي ساروج بوشهر</t>
  </si>
  <si>
    <t>ساروج</t>
  </si>
  <si>
    <t>C</t>
  </si>
  <si>
    <t>سيمان‌ شرق‌</t>
  </si>
  <si>
    <t>سشرق</t>
  </si>
  <si>
    <t>سيمان‌خاش‌</t>
  </si>
  <si>
    <t>سخاش</t>
  </si>
  <si>
    <t>سيمان‌ بهبهان‌</t>
  </si>
  <si>
    <t>سبهان</t>
  </si>
  <si>
    <t>سيمان‌ سپاهان‌</t>
  </si>
  <si>
    <t>سپاها</t>
  </si>
  <si>
    <t>سيمان‌ شاهرود</t>
  </si>
  <si>
    <t>سرود</t>
  </si>
  <si>
    <t>سيمان خوزستان</t>
  </si>
  <si>
    <t>سخوز</t>
  </si>
  <si>
    <t>سيمان ‌اروميه‌</t>
  </si>
  <si>
    <t>ساروم</t>
  </si>
  <si>
    <t>سيمان‌ خزر</t>
  </si>
  <si>
    <t>سخزر</t>
  </si>
  <si>
    <t>سيمان باقران</t>
  </si>
  <si>
    <t>سباقر</t>
  </si>
  <si>
    <t>سیمان اردستان</t>
  </si>
  <si>
    <t>اردستان</t>
  </si>
  <si>
    <t>سيمان‌ شمال‌</t>
  </si>
  <si>
    <t>سشمال</t>
  </si>
  <si>
    <t>سيمان ساوه</t>
  </si>
  <si>
    <t>ساوه</t>
  </si>
  <si>
    <t>سيمان ممتازان كرمان</t>
  </si>
  <si>
    <t>سمتاز</t>
  </si>
  <si>
    <t>سيمان‌ صوفيان‌</t>
  </si>
  <si>
    <t>سصوفي</t>
  </si>
  <si>
    <t>سيمان‌هرمزگان‌</t>
  </si>
  <si>
    <t>سهرمز</t>
  </si>
  <si>
    <t>سيمان‌ داراب‌</t>
  </si>
  <si>
    <t>ساراب</t>
  </si>
  <si>
    <t>سيمان فارس نو</t>
  </si>
  <si>
    <t>سفانو</t>
  </si>
  <si>
    <t>سيمان ‌مازندران‌</t>
  </si>
  <si>
    <t>سمازن</t>
  </si>
  <si>
    <t>سيمان‌ كرمان‌</t>
  </si>
  <si>
    <t>سكرما</t>
  </si>
  <si>
    <t>سيمان آبيك</t>
  </si>
  <si>
    <t>سآبيك</t>
  </si>
  <si>
    <t>سیمان هگمتان</t>
  </si>
  <si>
    <t>سهگمت</t>
  </si>
  <si>
    <t>سيمان‌غرب‌</t>
  </si>
  <si>
    <t>سغرب</t>
  </si>
  <si>
    <t>سيمان‌ تهران‌</t>
  </si>
  <si>
    <t>ستران</t>
  </si>
  <si>
    <t>سيمان‌ قائن‌</t>
  </si>
  <si>
    <t>سقاين</t>
  </si>
  <si>
    <t>مجتمع سيمان غرب آسيا</t>
  </si>
  <si>
    <t>سجام</t>
  </si>
  <si>
    <t>سيمان‌ بجنورد</t>
  </si>
  <si>
    <t>سبجنو</t>
  </si>
  <si>
    <t>سيمان كردستان</t>
  </si>
  <si>
    <t>سكرد</t>
  </si>
  <si>
    <t>سيمان آرتا اردبيل</t>
  </si>
  <si>
    <t>ساربيل</t>
  </si>
  <si>
    <t>توليدي برنا باطري</t>
  </si>
  <si>
    <t>خبرنا</t>
  </si>
  <si>
    <t>آلوميناي ايران</t>
  </si>
  <si>
    <t>آلومينا</t>
  </si>
  <si>
    <t>پاكسان‌</t>
  </si>
  <si>
    <t>شپاكسا</t>
  </si>
  <si>
    <t>صنايع بهداشتي ساينا</t>
  </si>
  <si>
    <t>ساينا</t>
  </si>
  <si>
    <t>گلتاش‌</t>
  </si>
  <si>
    <t>شگل</t>
  </si>
  <si>
    <t>سالمين‌</t>
  </si>
  <si>
    <t>غسالم</t>
  </si>
  <si>
    <t>شركت صنايع غذايي مينو شرق</t>
  </si>
  <si>
    <t>غمينو</t>
  </si>
  <si>
    <t>توليدي‌مهرام‌</t>
  </si>
  <si>
    <t>غمهرا</t>
  </si>
  <si>
    <t>صنعت غذايي كورش</t>
  </si>
  <si>
    <t>غكورش</t>
  </si>
  <si>
    <t>صنعتي زر ماكارون</t>
  </si>
  <si>
    <t>غزر</t>
  </si>
  <si>
    <t>كشاورزي و دامپروري فجر اصفهان</t>
  </si>
  <si>
    <t>زفجر</t>
  </si>
  <si>
    <t>صنايع الكترونيك ماديران</t>
  </si>
  <si>
    <t>الكتروماد</t>
  </si>
  <si>
    <t>پارس‌ خزر</t>
  </si>
  <si>
    <t>لخزر</t>
  </si>
  <si>
    <t>توسعه فن افزار توسن</t>
  </si>
  <si>
    <t>فن‌ افزار</t>
  </si>
  <si>
    <t>گروه‌صنعتي‌سپاهان‌</t>
  </si>
  <si>
    <t>فسپا</t>
  </si>
  <si>
    <t>فولاد اميركبيركاشان</t>
  </si>
  <si>
    <t>فجر</t>
  </si>
  <si>
    <t>فولاد مباركه اصفهان</t>
  </si>
  <si>
    <t>فولاد</t>
  </si>
  <si>
    <t>پارس فولاد سبزوار</t>
  </si>
  <si>
    <t>فسبزوار</t>
  </si>
  <si>
    <t>صبا فولاد خليج فارس</t>
  </si>
  <si>
    <t>فصبا</t>
  </si>
  <si>
    <t>فولاد سيرجان ايرانيان</t>
  </si>
  <si>
    <t>سيسكو</t>
  </si>
  <si>
    <t>ملي‌ صنايع‌ مس‌ ايران‌</t>
  </si>
  <si>
    <t>فملي</t>
  </si>
  <si>
    <t>مس‌ شهيدباهنر</t>
  </si>
  <si>
    <t>فباهنر</t>
  </si>
  <si>
    <t>فرآورده‌هاي‌نسوزآذر</t>
  </si>
  <si>
    <t>كاذر</t>
  </si>
  <si>
    <t>شيشه‌ همدان‌</t>
  </si>
  <si>
    <t>كهمدا</t>
  </si>
  <si>
    <t>معدنكاران نسوز</t>
  </si>
  <si>
    <t>كانسار</t>
  </si>
  <si>
    <t>معدني‌وصنعتي‌چادرملو</t>
  </si>
  <si>
    <t>كچاد</t>
  </si>
  <si>
    <t>توليدات پتروشيمي قائد بصير</t>
  </si>
  <si>
    <t>شبصير</t>
  </si>
  <si>
    <t>پتروشيمي اروند</t>
  </si>
  <si>
    <t>اروند</t>
  </si>
  <si>
    <t>پتروشيمي پرديس</t>
  </si>
  <si>
    <t>شپديس</t>
  </si>
  <si>
    <t>پتروشيمي‌شيراز</t>
  </si>
  <si>
    <t>شيراز</t>
  </si>
  <si>
    <t>پليمر آريا ساسول</t>
  </si>
  <si>
    <t>آريا</t>
  </si>
  <si>
    <t>پتروشيمي شازند</t>
  </si>
  <si>
    <t>شاراك</t>
  </si>
  <si>
    <t>پتروشيمي مارون</t>
  </si>
  <si>
    <t>مارون</t>
  </si>
  <si>
    <t>پتروشيمي تندگويان</t>
  </si>
  <si>
    <t>شگويا</t>
  </si>
  <si>
    <t>پتروشيمي نوري</t>
  </si>
  <si>
    <t>نوري</t>
  </si>
  <si>
    <t>داروسازي‌ فارابي‌</t>
  </si>
  <si>
    <t>دفارا</t>
  </si>
  <si>
    <t>پارس‌ دارو</t>
  </si>
  <si>
    <t>دپارس</t>
  </si>
  <si>
    <t>دارويي و نهاده هاي زاگرس دارو</t>
  </si>
  <si>
    <t>دزاگرس</t>
  </si>
  <si>
    <t>كارخانجات‌داروپخش‌</t>
  </si>
  <si>
    <t>دارو</t>
  </si>
  <si>
    <t>داروسازي كاسپين تامين</t>
  </si>
  <si>
    <t>كاسپين</t>
  </si>
  <si>
    <t>داروسازي‌ سينا</t>
  </si>
  <si>
    <t>دسينا</t>
  </si>
  <si>
    <t>PH</t>
  </si>
  <si>
    <t>توليدمواداوليه‌داروپخش‌</t>
  </si>
  <si>
    <t>دتماد</t>
  </si>
  <si>
    <t>پالايش نفت تهران</t>
  </si>
  <si>
    <t>شتران</t>
  </si>
  <si>
    <t>پالايش نفت بندرعباس</t>
  </si>
  <si>
    <t>شبندر</t>
  </si>
  <si>
    <t>پالايش نفت اصفهان</t>
  </si>
  <si>
    <t>شپنا</t>
  </si>
  <si>
    <t>نفت ايرانول</t>
  </si>
  <si>
    <t>شرانل</t>
  </si>
  <si>
    <t>نفت‌ بهران‌</t>
  </si>
  <si>
    <t>شبهرن</t>
  </si>
  <si>
    <t>ايران‌ تاير</t>
  </si>
  <si>
    <t>پتاير</t>
  </si>
  <si>
    <t>كوير تاير</t>
  </si>
  <si>
    <t>پكوير</t>
  </si>
  <si>
    <t>ايران‌ياساتايرورابر</t>
  </si>
  <si>
    <t>پاسا</t>
  </si>
  <si>
    <t>گروه‌ صنعتي‌ بارز</t>
  </si>
  <si>
    <t>پكرمان</t>
  </si>
  <si>
    <t>صندوق س. كالاي كهربا</t>
  </si>
  <si>
    <t>كهربا</t>
  </si>
  <si>
    <t>GF</t>
  </si>
  <si>
    <t/>
  </si>
  <si>
    <t>صندوق طلاي عيار مفيد</t>
  </si>
  <si>
    <t>عيار</t>
  </si>
  <si>
    <t>بانك ملت</t>
  </si>
  <si>
    <t>وبملت</t>
  </si>
  <si>
    <t>B</t>
  </si>
  <si>
    <t>بانك تجارت</t>
  </si>
  <si>
    <t>وتجارت</t>
  </si>
  <si>
    <t>بانك سامان</t>
  </si>
  <si>
    <t>سامان</t>
  </si>
  <si>
    <t>بانك سينا</t>
  </si>
  <si>
    <t>وسينا</t>
  </si>
  <si>
    <t>صندوق س صنايع انديشه صبا2-بخشي</t>
  </si>
  <si>
    <t>بنكر</t>
  </si>
  <si>
    <t>BF</t>
  </si>
  <si>
    <t>صندوق س. بخشي صنايع دانايان1-ب</t>
  </si>
  <si>
    <t>نبات</t>
  </si>
  <si>
    <t>F</t>
  </si>
  <si>
    <t>فرآورده هاي دامي ولبني دالاهو</t>
  </si>
  <si>
    <t>غانيزان</t>
  </si>
  <si>
    <t>كشت وصنعت و دامپروري پگاه فارس</t>
  </si>
  <si>
    <t>زفارس</t>
  </si>
  <si>
    <t>كشاورزي‌ ودامپروي‌ مگسال‌</t>
  </si>
  <si>
    <t>زمگسا</t>
  </si>
  <si>
    <t>توليدي كوچين</t>
  </si>
  <si>
    <t>كوچين</t>
  </si>
  <si>
    <t>سيمان مجد خواف</t>
  </si>
  <si>
    <t>سخواف</t>
  </si>
  <si>
    <t>سبحان دارو</t>
  </si>
  <si>
    <t>دسبحان</t>
  </si>
  <si>
    <t>ايران‌ خودرو</t>
  </si>
  <si>
    <t>خودرو</t>
  </si>
  <si>
    <t>A</t>
  </si>
  <si>
    <t>آخرین موحودی نقدی</t>
  </si>
  <si>
    <t>Today In/Out</t>
  </si>
  <si>
    <t xml:space="preserve">تغییر ارزش پرتفوی امروز </t>
  </si>
  <si>
    <t>تعداد شرکتها</t>
  </si>
  <si>
    <t>Billion $</t>
  </si>
  <si>
    <t>تعداد شرکتها در پرتفوی AA</t>
  </si>
  <si>
    <t>G</t>
  </si>
  <si>
    <t>Point</t>
  </si>
  <si>
    <t>٪</t>
  </si>
  <si>
    <t>%</t>
  </si>
  <si>
    <t>Rank</t>
  </si>
  <si>
    <t>Control</t>
  </si>
  <si>
    <t>Month</t>
  </si>
  <si>
    <t>IBT</t>
  </si>
  <si>
    <t>Rial</t>
  </si>
  <si>
    <t>Date</t>
  </si>
  <si>
    <t>Ton</t>
  </si>
  <si>
    <t>Unit</t>
  </si>
  <si>
    <t>B.Toman</t>
  </si>
  <si>
    <t>Point-1</t>
  </si>
  <si>
    <t>Point-2</t>
  </si>
  <si>
    <t>Point-3</t>
  </si>
  <si>
    <t>Point-4</t>
  </si>
  <si>
    <t>Ratio</t>
  </si>
  <si>
    <t>Point-5</t>
  </si>
  <si>
    <t>B. Toman</t>
  </si>
  <si>
    <t>Point-6</t>
  </si>
  <si>
    <t>Point-7</t>
  </si>
  <si>
    <t>Point-8</t>
  </si>
  <si>
    <t>Point-9</t>
  </si>
  <si>
    <t>Point-10</t>
  </si>
  <si>
    <t>Point-11</t>
  </si>
  <si>
    <t>G/W</t>
  </si>
  <si>
    <t>USD</t>
  </si>
  <si>
    <t>Point-12</t>
  </si>
  <si>
    <t>H.Toman</t>
  </si>
  <si>
    <t>Point-13</t>
  </si>
  <si>
    <t>Point-14</t>
  </si>
  <si>
    <t>Point-15</t>
  </si>
  <si>
    <t>Days</t>
  </si>
  <si>
    <t>Rls</t>
  </si>
  <si>
    <t>جمع امتیاز بنیادی و تخصصی سیمان</t>
  </si>
  <si>
    <t>جمع امتیاز بنیادی</t>
  </si>
  <si>
    <t xml:space="preserve">بازدهی بر اساس تاریخ مجمع و پرداخت سود </t>
  </si>
  <si>
    <t>تغییر انتظاری P/E</t>
  </si>
  <si>
    <t xml:space="preserve"> درصد رشد سود ناخالص عملیاتی </t>
  </si>
  <si>
    <t xml:space="preserve">درصد رشد سود خالص عملیاتی  نسبت به دورره مشابه </t>
  </si>
  <si>
    <t>تغییر رشد تجمیعی دوره نسبت به ماه قبل</t>
  </si>
  <si>
    <t>رشد فروش تجمیعی در حال تداوم</t>
  </si>
  <si>
    <t>رتبه رشد فروش سال در حال تداوم</t>
  </si>
  <si>
    <t>رتبه در جمع رتبه ها</t>
  </si>
  <si>
    <t xml:space="preserve">سیگنال بر اساس روند رشد فروش شرکت اصلی </t>
  </si>
  <si>
    <t xml:space="preserve">سیگنال  رشد ارزش انتظاری شرکت </t>
  </si>
  <si>
    <t>توجه به  تغییر در EPS و P/E</t>
  </si>
  <si>
    <t>نام شرکت</t>
  </si>
  <si>
    <t xml:space="preserve">ماه پایان سال مالی </t>
  </si>
  <si>
    <t>ارزش شرکت در بورس</t>
  </si>
  <si>
    <t xml:space="preserve">قیمت پایانی </t>
  </si>
  <si>
    <t>تغییر قیمت پایانی در روز</t>
  </si>
  <si>
    <t xml:space="preserve">آخرین قیمت معامله شده </t>
  </si>
  <si>
    <t>تغییر آخرین قیمت درروز</t>
  </si>
  <si>
    <t xml:space="preserve">EV ارزش بنگاه </t>
  </si>
  <si>
    <t>TAL Signal</t>
  </si>
  <si>
    <t xml:space="preserve">رشد نسبت به آخرین مجمع </t>
  </si>
  <si>
    <t xml:space="preserve">میزان رشد تورمی  انتظاری پس از آخرین مجمع </t>
  </si>
  <si>
    <t>تفاوت درصد متوسط روزانه بعد از مجمع به رشد تورمی انتظاری</t>
  </si>
  <si>
    <t>رشد نسبت به مجمع 1404</t>
  </si>
  <si>
    <t>رشد نسبت به مجمع 1403</t>
  </si>
  <si>
    <t>رشد نسبت به مجمع 1402</t>
  </si>
  <si>
    <t>رشد نسبت به مجمع  1401</t>
  </si>
  <si>
    <t xml:space="preserve">رشد نسبت به مجمع 1400 </t>
  </si>
  <si>
    <t>تعداد روز مانده به مجمع  عادی سالیانه</t>
  </si>
  <si>
    <t xml:space="preserve">تاریخ آخرین  مجمع </t>
  </si>
  <si>
    <t>تاریخ آخرین پرداخت سود</t>
  </si>
  <si>
    <t>ظرفیت تولید کلینکر</t>
  </si>
  <si>
    <t>ظرفیت تولید سیمان</t>
  </si>
  <si>
    <t>تعداد کل سهام شرکت</t>
  </si>
  <si>
    <t>میزان سهام شناور در بورس</t>
  </si>
  <si>
    <t>فروش یکسال اخیر شرکت بر اساس گزارش کدال</t>
  </si>
  <si>
    <t xml:space="preserve">درآمد (فروش) عملیاتی شرکت اصلی در سال مالی قبل </t>
  </si>
  <si>
    <t xml:space="preserve">سود (زیان) عملیاتی آخرین سال مالی </t>
  </si>
  <si>
    <t xml:space="preserve">تخمین فروش سال مالی جدید بر اساس آخرین گزارش </t>
  </si>
  <si>
    <t xml:space="preserve">آخرین ماه  گزارش فروش منتشره </t>
  </si>
  <si>
    <t>P/S Future</t>
  </si>
  <si>
    <t>امتیاز P/S فوروارد</t>
  </si>
  <si>
    <t xml:space="preserve">درآمد (فروش) عملیاتی در حال تداوم  </t>
  </si>
  <si>
    <t xml:space="preserve">سود (زیان) عملیاتی </t>
  </si>
  <si>
    <t xml:space="preserve"> نسبت سود ناخالص عملیاتی به فروش - آخرین گزارش سال مالی</t>
  </si>
  <si>
    <t xml:space="preserve"> نسبت سود ناخالص عملیاتی به فروش - دوره مشابه سال قبل</t>
  </si>
  <si>
    <t xml:space="preserve"> نسبت سود ناخالص عملیاتی به فروش - سال مالی 1404</t>
  </si>
  <si>
    <t xml:space="preserve"> نسبت سود ناخالص عملیاتی به فروش - سال مالی 1403</t>
  </si>
  <si>
    <t>امتیاز رشد حاشیه سود خالص</t>
  </si>
  <si>
    <t xml:space="preserve"> نسبت سود خالص عملیاتی به فروش - آخرین گزارش سال مالی</t>
  </si>
  <si>
    <t xml:space="preserve"> نسبت سود خالص عملیاتی به فروش - دوره مشابه سال قبل</t>
  </si>
  <si>
    <t xml:space="preserve"> نسبت سود خالص عملیاتی به فروش - سال مالی 1404</t>
  </si>
  <si>
    <t xml:space="preserve"> نسبت سود خالص عملیاتی به فروش - سال مالی 1403</t>
  </si>
  <si>
    <t>نسبت هزینه های ITDA به فروش دوره در حال تداوم</t>
  </si>
  <si>
    <t>میزان هزینه ITDA در کل سال مالی جاری</t>
  </si>
  <si>
    <t>نسبت هزینه های ITDA به فروش در دوره مشابه سال قبل</t>
  </si>
  <si>
    <t xml:space="preserve">امتیاز نسبت هزینه های ITDA به فروش </t>
  </si>
  <si>
    <t>پیش بینی رشد فروش دوره مالی در حال تداوم</t>
  </si>
  <si>
    <t xml:space="preserve">امتیاز مقایسه پیش بینی رشد فروش به رشد قیمت </t>
  </si>
  <si>
    <t>آخرین ماه گزارش صورت مالی منتشره</t>
  </si>
  <si>
    <t>فصل مالی گزارش شده</t>
  </si>
  <si>
    <t xml:space="preserve"> سود به هر سهم در ۳ ماه اول سال مالی </t>
  </si>
  <si>
    <t xml:space="preserve"> سود به هر سهم در ۶ ماه اول سال مالی </t>
  </si>
  <si>
    <t xml:space="preserve"> سود به هر سهم در ۹ ماه اول سال مالی </t>
  </si>
  <si>
    <t>پیش بینی سود هر سهم بر اساس گزارش فروش ماهیانه</t>
  </si>
  <si>
    <t xml:space="preserve">پیش بینی سود هر سهم بر اساس صورت ها‌ی مالی </t>
  </si>
  <si>
    <t>P/E - fw</t>
  </si>
  <si>
    <t>امتیاز P/E فوروارد</t>
  </si>
  <si>
    <t xml:space="preserve">پیش بینی سود خالص شرکت </t>
  </si>
  <si>
    <t xml:space="preserve">سود چهار فصل اخیر شرکت </t>
  </si>
  <si>
    <t>پیش بینی EBIT سال مالی در جریان</t>
  </si>
  <si>
    <t>EV/EBIT</t>
  </si>
  <si>
    <t>EPS-TTM</t>
  </si>
  <si>
    <t>P/E-TTM</t>
  </si>
  <si>
    <t>امتیاز P/E TTM</t>
  </si>
  <si>
    <t>نسبت بدهی به تخمین سود سالیانه</t>
  </si>
  <si>
    <t>امتیاز L/E</t>
  </si>
  <si>
    <t xml:space="preserve">شاخص بازده  سرمایه به کار گرفته شده </t>
  </si>
  <si>
    <t>امتیاز ROCE</t>
  </si>
  <si>
    <t>سرمایه ثبتی شرکت</t>
  </si>
  <si>
    <t xml:space="preserve">سود توزیع نشده از مجمع قبل </t>
  </si>
  <si>
    <t xml:space="preserve"> سود غیر عملیاتی سال مالی قبل </t>
  </si>
  <si>
    <t xml:space="preserve"> سود غیر عملیاتی آخرین گزارش</t>
  </si>
  <si>
    <t>سود خالص عملیات  درحال تداوم</t>
  </si>
  <si>
    <t xml:space="preserve">تفاوت سود سهم مالکانه گزارش تلفیقی </t>
  </si>
  <si>
    <t>جمع سود در حال تداوم تخمینی</t>
  </si>
  <si>
    <t>سود در حال تداوم بر اساس فروش ماهانه و حاشیه سود خالص</t>
  </si>
  <si>
    <t>سود (زیان) انباشته</t>
  </si>
  <si>
    <t>سهام خزانه و کسری یا اضافی های دیگر</t>
  </si>
  <si>
    <t xml:space="preserve"> کنترل اطلاعات بدهی و دارایی </t>
  </si>
  <si>
    <t xml:space="preserve">جمع حقوق مالکانه محاسبه شده </t>
  </si>
  <si>
    <t>جمع بدهی جاری</t>
  </si>
  <si>
    <t xml:space="preserve">تسهیلات مالی </t>
  </si>
  <si>
    <t xml:space="preserve">جمع بدهی غیر جاری </t>
  </si>
  <si>
    <t>جمع کل بدهی ها</t>
  </si>
  <si>
    <t>نسبت جاری (دارایی جاری به بدهی جاری)</t>
  </si>
  <si>
    <t>امتیاز نسبت جاری  CA/CL</t>
  </si>
  <si>
    <t>جمع کل دارائی ها</t>
  </si>
  <si>
    <t xml:space="preserve">نسبت بدهی به دارایی </t>
  </si>
  <si>
    <t>جمع دارائی غیر جاری</t>
  </si>
  <si>
    <t>دارئی مشهود</t>
  </si>
  <si>
    <t xml:space="preserve">سرمایه گذاری های بلند مدت </t>
  </si>
  <si>
    <t>جمع دارائی جاری</t>
  </si>
  <si>
    <t xml:space="preserve">خالص دارایی جاری </t>
  </si>
  <si>
    <t>نسبت فروش به خالص دارایی جاری</t>
  </si>
  <si>
    <t>موجودی مواد و کالا</t>
  </si>
  <si>
    <t>موجودی نقدی</t>
  </si>
  <si>
    <t>دریافتنی های تجاری</t>
  </si>
  <si>
    <t xml:space="preserve">نسبت کل بدهی‌ها به کل دارایی‌ها </t>
  </si>
  <si>
    <t>امتیاز L/A</t>
  </si>
  <si>
    <t xml:space="preserve">نسبت خالص بدهی تسهیلات به درآمد پیش بینی شده </t>
  </si>
  <si>
    <t>امتیاز خالص بدهی  تسهیلات به درآمد پیش بینی شده</t>
  </si>
  <si>
    <t>سرمایه گذاری‌های کوتاه مدت</t>
  </si>
  <si>
    <t>پیش پرداختها و سایر</t>
  </si>
  <si>
    <t xml:space="preserve">سیمان سفید یا خاکستری  </t>
  </si>
  <si>
    <t>ارزش دلاری هر تن ظرفیت تولیدی شرکت</t>
  </si>
  <si>
    <t xml:space="preserve">هزینه ساخت جدید همان ظرفیت تولیدی </t>
  </si>
  <si>
    <t xml:space="preserve">نسبت هزینه احداث جدید به ارزش شرکت در بورس </t>
  </si>
  <si>
    <t>امتیاز RC/P</t>
  </si>
  <si>
    <t xml:space="preserve">متوسط فروش سالیانه به هر تن ظرفیت </t>
  </si>
  <si>
    <t>امتیاز  S-fw / PC</t>
  </si>
  <si>
    <t>شاخص حاشیه سود</t>
  </si>
  <si>
    <t xml:space="preserve">امتیاز شاخص P/S/ به  P/E  </t>
  </si>
  <si>
    <t>نسبت فروش صادراتی به کل</t>
  </si>
  <si>
    <t xml:space="preserve">امتیاز Ex-S / S     </t>
  </si>
  <si>
    <t>قیمت انتظاری  TTM</t>
  </si>
  <si>
    <t>قیمت انتظاری  CUR</t>
  </si>
  <si>
    <t>سهم از سود انباشته</t>
  </si>
  <si>
    <t xml:space="preserve">قیمت سهام بر اساس انتظار سود  </t>
  </si>
  <si>
    <t>فاصله مجمع و پرداخت سود</t>
  </si>
  <si>
    <t xml:space="preserve">آخرین سود تقسیمی  برای هر سهم </t>
  </si>
  <si>
    <t xml:space="preserve">آخرین درصد سود نسبت به قیمت پایانی قبل از مجمع </t>
  </si>
  <si>
    <t>آخرین افزایش سرمایه ثبت شده</t>
  </si>
  <si>
    <t>افزایش سرمایه در جریان</t>
  </si>
  <si>
    <t xml:space="preserve">قیمت سهام پس از مجمع سال مالی 1400     </t>
  </si>
  <si>
    <t xml:space="preserve">ارزش شرکت بعد از مجمع سال مالی 1400 </t>
  </si>
  <si>
    <t>قیمت سهام پس از مجمع سال مالی 1401</t>
  </si>
  <si>
    <t>ارزش شرکت بعد از مجمع سال مالی 1401</t>
  </si>
  <si>
    <t>قیمت سهام پس از مجمع سال مالی 1402</t>
  </si>
  <si>
    <t>ارزش شرکت بعد از مجمع سال مالی 1402</t>
  </si>
  <si>
    <t>قیمت سهام پس از مجمع سال مالی 1403</t>
  </si>
  <si>
    <t>ارزش شرکت بعد از مجمع سال مالی 1403</t>
  </si>
  <si>
    <t>قیمت سهام پس از مجمع سال مالی 1404</t>
  </si>
  <si>
    <t xml:space="preserve">قیمت سهام پس از آخرین مجمع </t>
  </si>
  <si>
    <t>ارزش شرکت بعد از آخرین مجمع</t>
  </si>
  <si>
    <t>درصد رشد مجمع به مجمع  سال مالی 1400</t>
  </si>
  <si>
    <t>رتبه شرکت در رشد نسبت به  ارزش پس از مجمع ۱۴۰۰</t>
  </si>
  <si>
    <t>?</t>
  </si>
  <si>
    <t>USD-TOM</t>
  </si>
  <si>
    <t xml:space="preserve">ماه پایانی سال مالی </t>
  </si>
  <si>
    <t xml:space="preserve">درصد تورم انتظاری </t>
  </si>
  <si>
    <t>Current Month</t>
  </si>
  <si>
    <t>Expected Perform.</t>
  </si>
  <si>
    <t xml:space="preserve"> P/S fw</t>
  </si>
  <si>
    <t>NP-Growth</t>
  </si>
  <si>
    <t>MP Growth vs Sales Growth</t>
  </si>
  <si>
    <t xml:space="preserve"> P/E Fw</t>
  </si>
  <si>
    <t>P/E TTM</t>
  </si>
  <si>
    <t xml:space="preserve"> L/E</t>
  </si>
  <si>
    <t>ROCE</t>
  </si>
  <si>
    <t>EBITDA - NP</t>
  </si>
  <si>
    <t>CA/CL</t>
  </si>
  <si>
    <t>L/A</t>
  </si>
  <si>
    <t>AR</t>
  </si>
  <si>
    <t>RC/P</t>
  </si>
  <si>
    <t>S-Fw / PC</t>
  </si>
  <si>
    <t>P/S to P/E</t>
  </si>
  <si>
    <t>S-Ex/ S</t>
  </si>
  <si>
    <t xml:space="preserve">500K Grey Cement </t>
  </si>
  <si>
    <t xml:space="preserve">165K White Cement </t>
  </si>
  <si>
    <t>جمع امتیاز بنیادی و تخصصی</t>
  </si>
  <si>
    <t>بازدهی با توجه به تاریخ مجمع و فرض توزیع ۸۰٪ سود</t>
  </si>
  <si>
    <t>Cat</t>
  </si>
  <si>
    <t xml:space="preserve">سیگنال بر اساس تفاوت قیمت آخر و پایانی </t>
  </si>
  <si>
    <t xml:space="preserve">رشد نسبت به  آخرین مجمع    </t>
  </si>
  <si>
    <t>تفاوت درصد  رشد متوسط روزانه بعد از مجمع به رشد تورمی انتظاری</t>
  </si>
  <si>
    <t xml:space="preserve">تاریخ مجمع </t>
  </si>
  <si>
    <t>تاریخ پرداخت سود</t>
  </si>
  <si>
    <t>تخمین فروش شرکت بر اساس فروش هفته های اخیر در بورس کالا</t>
  </si>
  <si>
    <t xml:space="preserve"> درآمد عملیاتی شرکت اصلی در سال مالی قبل </t>
  </si>
  <si>
    <t xml:space="preserve">تخمین فروش  شرکت بر اساس آخرین گزارش </t>
  </si>
  <si>
    <t xml:space="preserve">P/S </t>
  </si>
  <si>
    <t xml:space="preserve">امتیاز تغییر نسبت هزینه های ITDA به فروش </t>
  </si>
  <si>
    <t>P/E - CUR</t>
  </si>
  <si>
    <t xml:space="preserve">سود غیر عملیاتی سال مالی قبل </t>
  </si>
  <si>
    <t xml:space="preserve">سود غیرعملیاتی آخرین گزارش </t>
  </si>
  <si>
    <t>امتیاز نسبت جاری  CA/CD</t>
  </si>
  <si>
    <t xml:space="preserve">آخرین سود پرداختی برای هر سهم </t>
  </si>
  <si>
    <t xml:space="preserve">افزایش سرمایه در جریان </t>
  </si>
  <si>
    <t>ارزش شرکت بعد از مجمع سال مالی 1404</t>
  </si>
  <si>
    <t>M</t>
  </si>
  <si>
    <t>R</t>
  </si>
  <si>
    <t>HH</t>
  </si>
  <si>
    <t>KN</t>
  </si>
  <si>
    <t>PUR</t>
  </si>
  <si>
    <t>PAB</t>
  </si>
  <si>
    <t>T</t>
  </si>
  <si>
    <t>DH</t>
  </si>
  <si>
    <t>HL</t>
  </si>
  <si>
    <t>L</t>
  </si>
  <si>
    <t>KM</t>
  </si>
  <si>
    <t>AL</t>
  </si>
  <si>
    <t>AP</t>
  </si>
  <si>
    <t>PEP</t>
  </si>
  <si>
    <t>CO</t>
  </si>
  <si>
    <t>IT</t>
  </si>
  <si>
    <t>PAR</t>
  </si>
  <si>
    <t>PVC</t>
  </si>
  <si>
    <t>PET</t>
  </si>
  <si>
    <t>Dgnt Health</t>
  </si>
  <si>
    <t>Metal</t>
  </si>
  <si>
    <t>Copper</t>
  </si>
  <si>
    <t>Petro-ABS</t>
  </si>
  <si>
    <t xml:space="preserve">Aluminium </t>
  </si>
  <si>
    <t xml:space="preserve">Petro-PVC </t>
  </si>
  <si>
    <t>Petro-Aroma</t>
  </si>
  <si>
    <t>Petro - Urea</t>
  </si>
  <si>
    <t>Lubricant</t>
  </si>
  <si>
    <t>Petro - PET/PTA</t>
  </si>
  <si>
    <t>Petro-Ethylene</t>
  </si>
  <si>
    <t>Tyre</t>
  </si>
  <si>
    <t>Refinery</t>
  </si>
  <si>
    <t>Pharma</t>
  </si>
  <si>
    <t>Mine-Non Metal</t>
  </si>
  <si>
    <t>Mine-Metal</t>
  </si>
  <si>
    <t>Food</t>
  </si>
  <si>
    <t>Innovation</t>
  </si>
  <si>
    <t>Home Light</t>
  </si>
  <si>
    <t>Home Heavy</t>
  </si>
  <si>
    <t>Automotive</t>
  </si>
  <si>
    <t>IN</t>
  </si>
  <si>
    <t>P/S Fw</t>
  </si>
  <si>
    <t>X</t>
  </si>
  <si>
    <t>L/E</t>
  </si>
  <si>
    <t xml:space="preserve"> CA/CL</t>
  </si>
  <si>
    <t xml:space="preserve"> L/A</t>
  </si>
  <si>
    <t>AR/CA</t>
  </si>
  <si>
    <t>Average GP</t>
  </si>
  <si>
    <t>Average NP</t>
  </si>
  <si>
    <t>Average GP-NP</t>
  </si>
  <si>
    <t>Expected P/S to P/E</t>
  </si>
  <si>
    <t>امتیاز</t>
  </si>
  <si>
    <t>ارزش روز بازار</t>
  </si>
  <si>
    <t xml:space="preserve">نام شرکت </t>
  </si>
  <si>
    <t xml:space="preserve">سال مالی </t>
  </si>
  <si>
    <t>فروش کل سال مالی قبل</t>
  </si>
  <si>
    <t>فروش صادراتی سال قبل</t>
  </si>
  <si>
    <t>فروش داخلی سال قبل</t>
  </si>
  <si>
    <t>نسبت فروش صادراتی سال قبل</t>
  </si>
  <si>
    <t>ماه گزارش</t>
  </si>
  <si>
    <t xml:space="preserve">تعداد ماه دوره گزارش  </t>
  </si>
  <si>
    <t xml:space="preserve">فروش دوره مشابه سال قبل </t>
  </si>
  <si>
    <t xml:space="preserve">فروش دوره سال جاری </t>
  </si>
  <si>
    <t>فروش صادراتی سال جاری</t>
  </si>
  <si>
    <t xml:space="preserve">فروش داخلی سال جاری </t>
  </si>
  <si>
    <t>نسبت فروش صادراتی سال جاری</t>
  </si>
  <si>
    <t xml:space="preserve">برآورد بر اساس فروش دوره </t>
  </si>
  <si>
    <t xml:space="preserve">درصد تغییر فروش دوره سال جاری به سال قبل </t>
  </si>
  <si>
    <t xml:space="preserve">نسبت دوره به کل سال قبل در سال گذشته </t>
  </si>
  <si>
    <t xml:space="preserve">برآورد بر اساس درصد تغییر دوره سال جاری </t>
  </si>
  <si>
    <t>مقدار تغییر دوره</t>
  </si>
  <si>
    <t xml:space="preserve">برآورد بر اساس مقدار تغییر دوره </t>
  </si>
  <si>
    <t>برآیند برآوردها</t>
  </si>
  <si>
    <t>پیش بینی رشد فروش سال مالی جدید</t>
  </si>
  <si>
    <t xml:space="preserve"> فروش 1402 تا پایان ماه ۱۲</t>
  </si>
  <si>
    <t>فروش در سال مالی منتهی 1402</t>
  </si>
  <si>
    <t xml:space="preserve"> فروش 1403 تا پایان ماه ۱</t>
  </si>
  <si>
    <t xml:space="preserve"> فروش 1403 تا پایان ماه ۲</t>
  </si>
  <si>
    <t xml:space="preserve"> فروش 1403 تا پایان ماه ۳</t>
  </si>
  <si>
    <t xml:space="preserve"> فروش 1403 تا پایان ماه ۴</t>
  </si>
  <si>
    <t xml:space="preserve"> فروش 1403 تا پایان ماه ۵</t>
  </si>
  <si>
    <t xml:space="preserve"> فروش 1403 تا پایان ماه ۶</t>
  </si>
  <si>
    <t xml:space="preserve"> فروش 1403 تا پایان ماه ۷</t>
  </si>
  <si>
    <t xml:space="preserve"> فروش 1403 تا پایان ماه ۸</t>
  </si>
  <si>
    <t xml:space="preserve"> فروش 1403 تا پایان ماه  ۹</t>
  </si>
  <si>
    <t xml:space="preserve"> فروش 1403 تا پایان ماه ۱۰</t>
  </si>
  <si>
    <t xml:space="preserve"> فروش 1403 تا پایان ماه ۱۱</t>
  </si>
  <si>
    <t xml:space="preserve"> فروش 1403 تا پایان ماه ۱۲</t>
  </si>
  <si>
    <t>فروش در طی سال ۱۴۰۳</t>
  </si>
  <si>
    <t>فروش در سال مالی منتهی 1403</t>
  </si>
  <si>
    <t>مانده فروش سال مالی از ۱۴۰۳</t>
  </si>
  <si>
    <t xml:space="preserve">فروش 1404 تا پایان ماه 1 </t>
  </si>
  <si>
    <t>درصد رشد فروش ماه 1 به ماه مشابه سال قبل</t>
  </si>
  <si>
    <t xml:space="preserve">درصد رشد فروش تجمیعی به سال قبل تا پایان ماه 1 </t>
  </si>
  <si>
    <t>فروش 1404 تا پایان ماه 2</t>
  </si>
  <si>
    <t>درصد رشد فروش ماه 2 به ماه مشابه سال قبل</t>
  </si>
  <si>
    <t xml:space="preserve">درصد رشد فروش تجمیعی به سال قبل تا پایان ماه 2 </t>
  </si>
  <si>
    <t>فروش 1404 تا پایان ماه 3</t>
  </si>
  <si>
    <t>درصد رشد فروش ماه 3 به ماه مشابه سال قبل</t>
  </si>
  <si>
    <t xml:space="preserve">درصد رشد فروش تجمیعی به سال قبل تا پایان ماه 3 </t>
  </si>
  <si>
    <t>فروش 1404 تا پایان ماه 4</t>
  </si>
  <si>
    <t>درصد رشد فروش ماه 4 به ماه مشابه سال قبل</t>
  </si>
  <si>
    <t xml:space="preserve">درصد رشد فروش تجمیعی به سال قبل تا پایان ماه 4 </t>
  </si>
  <si>
    <t>فروش 1404 تا پایان ماه 5</t>
  </si>
  <si>
    <t>درصد رشد فروش ماه 5 به ماه مشابه سال قبل</t>
  </si>
  <si>
    <t>درصد رشد فروش تجمیعی به سال قبل تا پایان آخرین گزارش</t>
  </si>
  <si>
    <t>فروش 1404 تا پایان ماه 6</t>
  </si>
  <si>
    <t>درصد رشد فروش ماه 6 به ماه مشابه سال قبل</t>
  </si>
  <si>
    <t>فروش 1404 تا پایان ماه 7</t>
  </si>
  <si>
    <t>درصد رشد فروش ماه 7 به ماه مشابه سال قبل</t>
  </si>
  <si>
    <t>فروش 1404 تا پایان ماه 8</t>
  </si>
  <si>
    <t>درصد رشد فروش ماه 8 به ماه مشابه سال قبل</t>
  </si>
  <si>
    <t>فروش 1404 تا پایان ماه 9</t>
  </si>
  <si>
    <t>درصد رشد فروش ماه 9 به ماه مشابه سال قبل</t>
  </si>
  <si>
    <t>فروش 1404 تا پایان ماه 10</t>
  </si>
  <si>
    <t>درصد رشد فروش ماه 10به ماه مشابه سال قبل</t>
  </si>
  <si>
    <t>فروش 1404 تا پایان ماه 11</t>
  </si>
  <si>
    <t>درصد رشد فروش ماه 11 به ماه مشابه سال قبل</t>
  </si>
  <si>
    <t>فروش 1404 تا پایان ماه 12</t>
  </si>
  <si>
    <t>درصد رشد فروش ماه 12 به ماه مشابه سال قبل</t>
  </si>
  <si>
    <t>مانده فروش سال مالی از 1404</t>
  </si>
  <si>
    <t>فروش در طی سال ۱۴۰۴</t>
  </si>
  <si>
    <t>رشد فروش سال ۱۴۰۴ به ۱۴۰۳</t>
  </si>
  <si>
    <t>رتبه رشد فروش ۱۴۰۴ به ۱۴۰۳</t>
  </si>
  <si>
    <t xml:space="preserve">فروش 1405 تا پایان ماه 1 </t>
  </si>
  <si>
    <t>فروش 1405 تا پایان ماه 2</t>
  </si>
  <si>
    <t>درصد رشد فروش تجمیعی به سال قبل تا پایان ماه 2</t>
  </si>
  <si>
    <t>فروش 1405 تا پایان ماه 3</t>
  </si>
  <si>
    <t>درصد رشد فروش تجمیعی به سال قبل تا پایان ماه 3</t>
  </si>
  <si>
    <t>تفاوت رشد تجمیعی با ماه قبل</t>
  </si>
  <si>
    <t xml:space="preserve">رتبه رشد فروش در دوره تداوم مشابه سال قبل </t>
  </si>
  <si>
    <t>رشد متوسط گروه</t>
  </si>
  <si>
    <t>ارزش بازار شرکت در ابتدای سال 1404</t>
  </si>
  <si>
    <t>ارزش بازار فعلی شرکت</t>
  </si>
  <si>
    <t xml:space="preserve">حوزه فعالیت </t>
  </si>
  <si>
    <t xml:space="preserve">رشد انتظاری سالیانه </t>
  </si>
  <si>
    <t>&gt;&gt;&gt;&gt;&gt;&gt;&gt;</t>
  </si>
  <si>
    <t>سیگنال بر اساس روند رشد فروش</t>
  </si>
  <si>
    <t>رشد متوسط ارزش شرکتهای همان گروه</t>
  </si>
  <si>
    <t xml:space="preserve">رتبه رشد فروش در حال تداوم </t>
  </si>
  <si>
    <t>رشد ارزش شرکت از ابتدای سال 1404</t>
  </si>
  <si>
    <t>رشد نسبت صادرات به فروش نسبت به سال قبل</t>
  </si>
  <si>
    <t xml:space="preserve">سیگنال  بر اساس رشد ارزش و P/E انتظاری </t>
  </si>
  <si>
    <t>سيمان‌ هگمتان‌</t>
  </si>
  <si>
    <t>CGD</t>
  </si>
  <si>
    <t>S</t>
  </si>
  <si>
    <t>CGX</t>
  </si>
  <si>
    <t>BB</t>
  </si>
  <si>
    <t>N</t>
  </si>
  <si>
    <t>SS</t>
  </si>
  <si>
    <t>CGE</t>
  </si>
  <si>
    <t xml:space="preserve"> </t>
  </si>
  <si>
    <t>P/E Est.</t>
  </si>
  <si>
    <t>Shares</t>
  </si>
  <si>
    <t>Income</t>
  </si>
  <si>
    <t>BNK</t>
  </si>
  <si>
    <t>AVG</t>
  </si>
  <si>
    <t>B.T</t>
  </si>
  <si>
    <t>RLs</t>
  </si>
  <si>
    <t>Units</t>
  </si>
  <si>
    <t>B.$</t>
  </si>
  <si>
    <t>B/S</t>
  </si>
  <si>
    <t>Rials</t>
  </si>
  <si>
    <t>Rilas</t>
  </si>
  <si>
    <t>Value</t>
  </si>
  <si>
    <t>Share</t>
  </si>
  <si>
    <t>H. Toman</t>
  </si>
  <si>
    <t xml:space="preserve">جمع امتیاز بنیادی </t>
  </si>
  <si>
    <t>بازده انتظاری تا پایان سال مالی آتی</t>
  </si>
  <si>
    <t xml:space="preserve"> تفاوت  P/E TTM و پیشرو</t>
  </si>
  <si>
    <t xml:space="preserve">رشد سود ناخالص عملیاتی </t>
  </si>
  <si>
    <t xml:space="preserve">رشد سود خالص عملیاتی  به دورره مشابه </t>
  </si>
  <si>
    <t>تغییرآخرین  قیمت معامله  در روز</t>
  </si>
  <si>
    <t>تغییرآخرین  قیمت معامله در روز</t>
  </si>
  <si>
    <t>تغییر ارزش نسبت به ابتدای سال 1404</t>
  </si>
  <si>
    <t xml:space="preserve">تغییر ارزش سهام نسبت به آخرین مجمع  </t>
  </si>
  <si>
    <t xml:space="preserve">درصد رشد روزانه قیمت پس از آخرین مجمع </t>
  </si>
  <si>
    <t xml:space="preserve">تغییر ارزش سهام نسبت به مجمع ۱۴۰۰  </t>
  </si>
  <si>
    <t xml:space="preserve">درصد فاصله از آخرین معامله </t>
  </si>
  <si>
    <t xml:space="preserve">تعداد روز مانده به مجمع </t>
  </si>
  <si>
    <t>Dividend</t>
  </si>
  <si>
    <t>AA</t>
  </si>
  <si>
    <t>PM</t>
  </si>
  <si>
    <t>DA</t>
  </si>
  <si>
    <t>A+P+D Total</t>
  </si>
  <si>
    <t>AHS</t>
  </si>
  <si>
    <t>ESP</t>
  </si>
  <si>
    <t>LR</t>
  </si>
  <si>
    <t>FM</t>
  </si>
  <si>
    <t>DA ( Freezed Before Move to --&gt;MRH)</t>
  </si>
  <si>
    <t>BT</t>
  </si>
  <si>
    <t xml:space="preserve">تاریخ مجمع سالیانه </t>
  </si>
  <si>
    <t>EPS TTM</t>
  </si>
  <si>
    <t>P/E Forward</t>
  </si>
  <si>
    <t>آخرین معامله  B/S</t>
  </si>
  <si>
    <t>آخرین مبلغ معامله</t>
  </si>
  <si>
    <t>قیمت سر به سر فروش</t>
  </si>
  <si>
    <t>درصد رشد</t>
  </si>
  <si>
    <t>AA Total</t>
  </si>
  <si>
    <t>AA Total Value</t>
  </si>
  <si>
    <t>درصد از پرتفوی</t>
  </si>
  <si>
    <t xml:space="preserve">تعداد سهام موجود در زمان مجمع </t>
  </si>
  <si>
    <t xml:space="preserve">دریافتنی از سود مصوب آخرین مجمع </t>
  </si>
  <si>
    <t xml:space="preserve">سود دریافت شده تاکنون </t>
  </si>
  <si>
    <t xml:space="preserve">سهام جدید قابل دریافت در افزایش سرمایه </t>
  </si>
  <si>
    <t>PM Total Value</t>
  </si>
  <si>
    <t>DAF</t>
  </si>
  <si>
    <t>DAF Total Value</t>
  </si>
  <si>
    <t>F.M.</t>
  </si>
  <si>
    <t>F.M. Total Value</t>
  </si>
  <si>
    <t>Espeero</t>
  </si>
  <si>
    <t>Espeero Total Value</t>
  </si>
  <si>
    <t>Owan</t>
  </si>
  <si>
    <t xml:space="preserve"> ارزش پرتفوی Cement (آخرین قیمت)</t>
  </si>
  <si>
    <t xml:space="preserve"> ارزش پرتفوی Cement  (قیمت پایانی)</t>
  </si>
  <si>
    <t>Cem+Metoil+Tav</t>
  </si>
  <si>
    <t>Capital</t>
  </si>
  <si>
    <t>Cem+Metoil</t>
  </si>
  <si>
    <t xml:space="preserve">تغییر ارزش پرتفوی Cement (آخرین) </t>
  </si>
  <si>
    <t>نسبت سهام به کل سرمایه</t>
  </si>
  <si>
    <t xml:space="preserve">جمع سودهای دریافتی مجامع </t>
  </si>
  <si>
    <t xml:space="preserve">تغییر ارزش پرتفوی Cement (پایانی) </t>
  </si>
  <si>
    <t>درصد تغییر ارزش سیمانی (پایانی)</t>
  </si>
  <si>
    <t xml:space="preserve">تغییر ارزش پرتفوی MOPFRA (آخرین) </t>
  </si>
  <si>
    <t xml:space="preserve">تغییر ارزش پرتفویMOPFRA (پایانی) </t>
  </si>
  <si>
    <t xml:space="preserve">موجودی نقدی </t>
  </si>
  <si>
    <t>درصد تغییر ارزش MOPFRA (پایانی)</t>
  </si>
  <si>
    <t>اعتبار مفید</t>
  </si>
  <si>
    <t>جمع تغییر روز به آخرین قیمت</t>
  </si>
  <si>
    <t>جمع تغییر روز به قیمت پایانی</t>
  </si>
  <si>
    <t xml:space="preserve">موجودی نقدی حامی </t>
  </si>
  <si>
    <t>جمع ارزش خالص پرتفوی و نقد</t>
  </si>
  <si>
    <t xml:space="preserve">جمع پرتفوی و نقد و سود  دریافتنی مجامع </t>
  </si>
  <si>
    <t xml:space="preserve">سود کل </t>
  </si>
  <si>
    <t>درصد سود</t>
  </si>
  <si>
    <t>مانده سرمایه اولیه</t>
  </si>
  <si>
    <t xml:space="preserve">جمع پرتفوی و نقد و سود مجامع </t>
  </si>
  <si>
    <t xml:space="preserve">سود سرمایه‌گذاری </t>
  </si>
  <si>
    <t xml:space="preserve">سرمایه اولیه </t>
  </si>
  <si>
    <t>موجودی سهام</t>
  </si>
  <si>
    <t xml:space="preserve">سود و زیان فروش </t>
  </si>
  <si>
    <t>سود و زیان مانده</t>
  </si>
  <si>
    <t>سود دریافت شده از مجامع  در دانا</t>
  </si>
  <si>
    <t xml:space="preserve">سود دریافتنی از مجامع جدید </t>
  </si>
  <si>
    <t>بهره دریافتی از موجودی (حامی)</t>
  </si>
  <si>
    <t>بهره دریافتی از صندوق های دیگر</t>
  </si>
  <si>
    <t>My Family Total</t>
  </si>
  <si>
    <t>ارزش کل دارایی</t>
  </si>
  <si>
    <t xml:space="preserve"> جمع سود درپرتفوی</t>
  </si>
  <si>
    <t xml:space="preserve">سود مجامع </t>
  </si>
  <si>
    <t>بهره موجودی نقد</t>
  </si>
  <si>
    <t>سرمایه ورودی</t>
  </si>
  <si>
    <t>جمع سود</t>
  </si>
  <si>
    <t>میلیون تومان</t>
  </si>
  <si>
    <t>تعداد سهام</t>
  </si>
  <si>
    <t xml:space="preserve">درصد از کل </t>
  </si>
  <si>
    <t>B. USD</t>
  </si>
  <si>
    <t>BIT</t>
  </si>
  <si>
    <t>تفاوت  P/E TTM و پیشرو</t>
  </si>
  <si>
    <t xml:space="preserve">رشد سود خالص عملیاتی  نسبت به دورره مشابه </t>
  </si>
  <si>
    <t xml:space="preserve">جمع ارزش پرتفوی AA از این گروه </t>
  </si>
  <si>
    <t xml:space="preserve">P/E </t>
  </si>
  <si>
    <t>تاریخ مجمع سالیانه</t>
  </si>
  <si>
    <t xml:space="preserve">دریافتنی  از سود مصوب آخرین مجمع </t>
  </si>
  <si>
    <t>Dahlia</t>
  </si>
  <si>
    <t>AH.S.N</t>
  </si>
  <si>
    <t>Ladan</t>
  </si>
  <si>
    <t>o</t>
  </si>
  <si>
    <t xml:space="preserve">سرمایه به میلیارد تومان </t>
  </si>
  <si>
    <t>سهام های متفرقه</t>
  </si>
  <si>
    <t xml:space="preserve"> ارزش پرتفوی Metoil (آخرین)</t>
  </si>
  <si>
    <t>Net MetOil آخرین</t>
  </si>
  <si>
    <t xml:space="preserve"> ارزش پرتفوی Metoil  (پایانی)</t>
  </si>
  <si>
    <t>Net MetOil پایانی</t>
  </si>
  <si>
    <t>Net Div Dahlia</t>
  </si>
  <si>
    <t>Cash in Dana</t>
  </si>
  <si>
    <t xml:space="preserve">تغییر ارزش پرتفوی Metoil (پایانی) </t>
  </si>
  <si>
    <t>Cash in Mofid</t>
  </si>
  <si>
    <t>درصد تغییر ارزش (پایانی)</t>
  </si>
  <si>
    <t>Total</t>
  </si>
  <si>
    <t>Family Total</t>
  </si>
  <si>
    <t>Date of Payment</t>
  </si>
  <si>
    <t>Amount (IHT)</t>
  </si>
  <si>
    <t>Balance (IHT)</t>
  </si>
  <si>
    <t>Comment</t>
  </si>
  <si>
    <t>USD Rate</t>
  </si>
  <si>
    <t>Days Passed</t>
  </si>
  <si>
    <t>Dana Dep</t>
  </si>
  <si>
    <t>Dana Wdraw</t>
  </si>
  <si>
    <t>Mofid Dep</t>
  </si>
  <si>
    <t>Hami Interest</t>
  </si>
  <si>
    <t>Khash Cement Yield Paid</t>
  </si>
  <si>
    <t>Mofid Wdraw</t>
  </si>
  <si>
    <t>Trf from Tavan to Simia</t>
  </si>
  <si>
    <t>Total Balance Correction in Aug 24</t>
  </si>
  <si>
    <t>Other Interests</t>
  </si>
  <si>
    <t>TAVAN INTEREST</t>
  </si>
  <si>
    <t>Trf to Dahlia Mofid Acc</t>
  </si>
  <si>
    <t>Paid to Kchad For 1,400,00 shares yield</t>
  </si>
  <si>
    <t>Mofid dep</t>
  </si>
  <si>
    <t>mofid dep</t>
  </si>
  <si>
    <t>Shomal Cement yield paid by KKCC</t>
  </si>
  <si>
    <t>Kchad Yield payment 300,000</t>
  </si>
  <si>
    <t>USD-IHT Current</t>
  </si>
  <si>
    <t>Dividend from Dana</t>
  </si>
  <si>
    <t>Balance:</t>
  </si>
  <si>
    <t>Other interests</t>
  </si>
  <si>
    <t>Total Cash Interests</t>
  </si>
  <si>
    <t>Portfolio Value</t>
  </si>
  <si>
    <t>Cash Available</t>
  </si>
  <si>
    <t>Total :</t>
  </si>
  <si>
    <t>تجمعی سال مالی جدید شرکتها</t>
  </si>
  <si>
    <t>سال مالی قبل شرکتها</t>
  </si>
  <si>
    <t>TTM</t>
  </si>
  <si>
    <t>پیش بینی فروش سال مالی جاری</t>
  </si>
  <si>
    <t>Imported Data Weekly A</t>
  </si>
  <si>
    <t>Imported Data Weekly B</t>
  </si>
  <si>
    <t>گزارش فروش صادراتی ماهانه بورسی</t>
  </si>
  <si>
    <t>گزارش فروش داخلی ماهانه  بورسی</t>
  </si>
  <si>
    <t>42-1404.07.23-08.03</t>
  </si>
  <si>
    <t>43-1404.08.04-10</t>
  </si>
  <si>
    <t>44-1404.08.11-17</t>
  </si>
  <si>
    <t>45-1404.08.18-24</t>
  </si>
  <si>
    <t>46-1404.08.25-09.01</t>
  </si>
  <si>
    <t xml:space="preserve">رتبه متوسط قیمت فروش سال مالی </t>
  </si>
  <si>
    <t xml:space="preserve">رتبه متوسط قیمت فروش  ۱۲ ماهه </t>
  </si>
  <si>
    <t>رتبه پیش بینی رشد فروش در سال مالی جدید</t>
  </si>
  <si>
    <t xml:space="preserve">یش بینی درصد رشد فروش سال مالی جاری  </t>
  </si>
  <si>
    <t xml:space="preserve">درصد رشد ارزش شرکت نسبت به مجمع قبل </t>
  </si>
  <si>
    <t xml:space="preserve">اختلاف رشد فروش به رشد ارزش شرکت </t>
  </si>
  <si>
    <t>رشد نسبت ارزش صادرات در تجمیعی سال جاری به سال قبل</t>
  </si>
  <si>
    <t xml:space="preserve">ماه آخر سال مالی </t>
  </si>
  <si>
    <t xml:space="preserve">تعداد ماه گزارش شده از شروع سال مالی </t>
  </si>
  <si>
    <t>متوسط فروش تجمعی از شروع سال مالی به هر تن ظرفیت اسمی</t>
  </si>
  <si>
    <t>متوسط فروش  ۱۲ ماهه اخیر به هر تن ظرفیت اسمی</t>
  </si>
  <si>
    <t>فروش بهار</t>
  </si>
  <si>
    <t>درصد تغییر بهار به زمستان قبل</t>
  </si>
  <si>
    <t>فروش تابستان</t>
  </si>
  <si>
    <t>درصد تغییر تابستان  به بهار</t>
  </si>
  <si>
    <t>فروش پاییز</t>
  </si>
  <si>
    <t>درصد تغییرپاییز به تابستان</t>
  </si>
  <si>
    <t>فروش زمستان</t>
  </si>
  <si>
    <t xml:space="preserve">درصد زمستان به پاییز </t>
  </si>
  <si>
    <t>ظرفیت اسمی تولید</t>
  </si>
  <si>
    <t xml:space="preserve">  فروش داخلی  ماه 7 بر اساس گزارش بورس کالا</t>
  </si>
  <si>
    <t xml:space="preserve"> فروش صادراتی ماه 7 بر اساس گزارش  بورس کالا - دلار</t>
  </si>
  <si>
    <t>فروش ماه 7 بر اساس گزارش ماهانه شرکت در کدال</t>
  </si>
  <si>
    <t>فروش صادراتی ماه 7 بر اساس گزارشات کدال</t>
  </si>
  <si>
    <t>فروش داخلی ماه  7 بر اساس گزارش کدال</t>
  </si>
  <si>
    <t xml:space="preserve">  فروش داخلی  ماه 8 بر اساس گزارش بورس کالا</t>
  </si>
  <si>
    <t xml:space="preserve"> فروش صادراتی ماه 8 بر اساس گزارش  بورس کالا - دلار</t>
  </si>
  <si>
    <t>فروش ماه 8 بر اساس گزارش ماهانه شرکت در کدال</t>
  </si>
  <si>
    <t>فروش صادراتی ماه 8 بر اساس گزارشات کدال</t>
  </si>
  <si>
    <t>فروش داخلی ماه 8 بر اساس گزارش کدال</t>
  </si>
  <si>
    <t xml:space="preserve">  فروش داخلی ماه 9 بر اساس گزارش بورس کالا تا پایان ماه</t>
  </si>
  <si>
    <t xml:space="preserve"> فروش ماهانه صادراتی ماه  9 بر اساس گزارش  بورس کالا - دلار</t>
  </si>
  <si>
    <t>فروش ماه 9 بر اساس گزارش ماهانه شرکت در کدال</t>
  </si>
  <si>
    <t>فروش صادراتی ماه 9  بر اساس گزارشات کدال</t>
  </si>
  <si>
    <t>فروش داخلی ماه 9 بر اساس گزارش کدال</t>
  </si>
  <si>
    <t xml:space="preserve">  فروش داخلی ماه 10 بر اساس گزارش بورس کالا تا پایان ماه</t>
  </si>
  <si>
    <t xml:space="preserve"> فروش صادراتی ماه 10 بر اساس گزارش  بورس کالا - دلار</t>
  </si>
  <si>
    <t>فروش ماه 10 بر اساس گزارش ماهانه شرکت در کدال</t>
  </si>
  <si>
    <t>فروش صادراتی ماه 10 بر اساس گزارشات کدال</t>
  </si>
  <si>
    <t>فروش داخلی ماه 10 بر اساس گزارش کدال</t>
  </si>
  <si>
    <t xml:space="preserve">  فروش داخلی ماه 11 بر اساس گزارش بورس کالا - میلیارد تومان</t>
  </si>
  <si>
    <t xml:space="preserve"> فروش صادراتی ماه 11 بر اساس گزارش  بورس کالا - میلیارد تومان</t>
  </si>
  <si>
    <t>فروش ماه  11 بر اساس گزارش ماهانه شرکت در کدال</t>
  </si>
  <si>
    <t>فروش صادراتی ماه 11 بر اساس گزارشات کدال</t>
  </si>
  <si>
    <t>فروش داخلی ماه 11 بر اساس گزارش کدال</t>
  </si>
  <si>
    <t xml:space="preserve">  فروش داخلی ماه 12 بر اساس گزارش بورس کالا - میلیارد تومان</t>
  </si>
  <si>
    <t xml:space="preserve"> فروش صادراتی ماه 12 بر اساس گزارش  بورس کالا - میلیارد تومان</t>
  </si>
  <si>
    <t>فروش ماه 12 بر اساس گزارش ماهانه شرکت در کدال</t>
  </si>
  <si>
    <t>فروش صادراتی ماه 12 بر اساس گزارشات کدال</t>
  </si>
  <si>
    <t>فروش داخلی ماه 12  بر اساس گزارش کدال</t>
  </si>
  <si>
    <t>فروش زمستان ۱۴۰۵</t>
  </si>
  <si>
    <t xml:space="preserve">رشد نسبت به فصل قبل </t>
  </si>
  <si>
    <t>رتبه رشد فصلی</t>
  </si>
  <si>
    <t xml:space="preserve">  فروش داخلی ماه 1 بر اساس گزارش بورس کالا - میلیارد تومان</t>
  </si>
  <si>
    <t xml:space="preserve"> فروش صادراتی ماه 1 بر اساس گزارش  بورس کالا - میلیارد تومان</t>
  </si>
  <si>
    <t>فروش ماه 1 بر اساس گزارش ماهانه شرکت در کدال</t>
  </si>
  <si>
    <t>فروش صادراتی ماه 1 بر اساس گزارشات کدال</t>
  </si>
  <si>
    <t>فروش داخلی ماه 1 بر اساس گزارش کدال</t>
  </si>
  <si>
    <t xml:space="preserve">  فروش داخلی ماه 2 بر اساس گزارش بورس کالا - میلیارد تومان</t>
  </si>
  <si>
    <t xml:space="preserve"> فروش صادراتی ماه 2 بر اساس گزارش  بورس کالا - میلیارد تومان</t>
  </si>
  <si>
    <t>فروش ماه  2 بر اساس گزارش ماهانه شرکت در کدال</t>
  </si>
  <si>
    <t>فروش صادراتی ماه 2 بر اساس گزارشات کدال</t>
  </si>
  <si>
    <t>فروش داخلی ماه  2 بر اساس گزارش کدال</t>
  </si>
  <si>
    <t xml:space="preserve">رتبه رشد ماهانه </t>
  </si>
  <si>
    <t xml:space="preserve">مقایسه گزارش ماه با ماه قبل </t>
  </si>
  <si>
    <t xml:space="preserve"> فروش ماه 3 بر اساس گزارش  بورس کالا </t>
  </si>
  <si>
    <t>فروش ماه 3 بر اساس گزارش ماهانه شرکت در کدال</t>
  </si>
  <si>
    <t xml:space="preserve"> فروش صادراتی ماه 3 بر اساس گزارش  بورس کالا</t>
  </si>
  <si>
    <t>فروش صادراتی ماه 3 بر اساس گزارشات کدال</t>
  </si>
  <si>
    <t xml:space="preserve">  فروش داخلی ماه 3 بر اساس گزارش بورس کالا </t>
  </si>
  <si>
    <t>فروش داخلی ماه 3 بر اساس گزارش کدال</t>
  </si>
  <si>
    <t>فروش بهار ۱۴۰۵</t>
  </si>
  <si>
    <t xml:space="preserve"> فروش ماه4  بر اساس گزارش  بورس کالا </t>
  </si>
  <si>
    <t>فروش ماه 4 بر اساس گزارش ماهانه شرکت در کدال</t>
  </si>
  <si>
    <t xml:space="preserve"> فروش صادراتی ماه 4 بر اساس گزارش  بورس کالا</t>
  </si>
  <si>
    <t>فروش صادراتی ماه 4 بر اساس گزارشات کدال</t>
  </si>
  <si>
    <t>فروش داخلی ماه  4 بر اساس گزارش کدال</t>
  </si>
  <si>
    <t xml:space="preserve">  فروش داخلی ماه 5 بر اساس گزارش بورس کالا - میلیارد تومان</t>
  </si>
  <si>
    <t xml:space="preserve">  فروش داخلی ماه 6 بر اساس گزارش بورس کالا - میلیارد تومان</t>
  </si>
  <si>
    <t xml:space="preserve"> فروش صادراتی ماه 6 بر اساس گزارش  بورس کالا - میلیارد تومان</t>
  </si>
  <si>
    <t>فروش ماه 6 بر اساس گزارش ماهانه شرکت در کدال</t>
  </si>
  <si>
    <t>فروش صادراتی ماه 6 بر اساس گزارشات کدال</t>
  </si>
  <si>
    <t>فروش داخلی ماه 6 بر اساس گزارش کدال</t>
  </si>
  <si>
    <t>جمع فروش داخلی از شروع سال مالی  (کدال)</t>
  </si>
  <si>
    <t>جمع صادرات از شروع سال مالی (کدال)</t>
  </si>
  <si>
    <t xml:space="preserve">نسبت صادرات به کل فروش </t>
  </si>
  <si>
    <t>جمع فروش تجمعی سال مالی جدید (کدال)</t>
  </si>
  <si>
    <t>جمع فروش داخلی سال مالی قبل (کدال)</t>
  </si>
  <si>
    <t>جمع فروش صادراتی سال مالی قبل (کدال)</t>
  </si>
  <si>
    <t>نسبت صادرات به کل فروش سال قبل</t>
  </si>
  <si>
    <t>جمع فروش سال مالی قبل (کدال)</t>
  </si>
  <si>
    <t>CHECK</t>
  </si>
  <si>
    <t xml:space="preserve">جمع فروش ۱۲ ماهه اخیر (گزارش ماهانه  کدال) </t>
  </si>
  <si>
    <t xml:space="preserve">جمع فروش تجمعی دوره مشابه سال قبل  (کدال) </t>
  </si>
  <si>
    <t xml:space="preserve">جمع فروش تجمعی از شروع سال مالی جاری (کدال) </t>
  </si>
  <si>
    <t xml:space="preserve">پیش بینی فروش سالی مالی جاری </t>
  </si>
  <si>
    <t>رتبه رشد فروش پیش بینی شده</t>
  </si>
  <si>
    <t xml:space="preserve">حجم معامله شده تن </t>
  </si>
  <si>
    <t xml:space="preserve">مبلغ فروش هفته  هزار تومان </t>
  </si>
  <si>
    <t xml:space="preserve">قیمت فروش متوسط هزار تومان </t>
  </si>
  <si>
    <t>مبلغ فروش به  دلار آمریکا</t>
  </si>
  <si>
    <t>مبلغ فروش به ریال صادراتی</t>
  </si>
  <si>
    <t>قیمت فروش متوسط  دلار آمریکا</t>
  </si>
  <si>
    <t xml:space="preserve">کل فروش صادراتی به میلیارد تومان </t>
  </si>
  <si>
    <t xml:space="preserve">مبلغ فروش هفته  میلیارد تومان </t>
  </si>
  <si>
    <t xml:space="preserve">حجم معامله شده صادراتی تن </t>
  </si>
  <si>
    <t xml:space="preserve">جمع مبلغ فروش به دلار </t>
  </si>
  <si>
    <t xml:space="preserve">قیمت فروش متوسط به دلار </t>
  </si>
  <si>
    <t>هزار تومان</t>
  </si>
  <si>
    <t>B.Tom</t>
  </si>
  <si>
    <t>میلیارد تومان</t>
  </si>
  <si>
    <t>دلار</t>
  </si>
  <si>
    <t>`</t>
  </si>
  <si>
    <t>ریال صادراتی</t>
  </si>
  <si>
    <t>سیمان باقران</t>
  </si>
  <si>
    <t>سیمان شاهرود</t>
  </si>
  <si>
    <t>سیمان خاش</t>
  </si>
  <si>
    <t>سیمان ممتازان کرمان</t>
  </si>
  <si>
    <t>سیمان ارومیه</t>
  </si>
  <si>
    <t>سیمان صوفیان</t>
  </si>
  <si>
    <t>سیمان فارس نو</t>
  </si>
  <si>
    <t>سیمان آرتا اردبیل</t>
  </si>
  <si>
    <t>سیمان ساوه</t>
  </si>
  <si>
    <t>سیمان بهبهان</t>
  </si>
  <si>
    <t>سیمان هرمزگان</t>
  </si>
  <si>
    <t>سیمان مازندران</t>
  </si>
  <si>
    <t>سیمان قائن</t>
  </si>
  <si>
    <t>سیمان خزر</t>
  </si>
  <si>
    <t>سیمان کرمان</t>
  </si>
  <si>
    <t>سیمان داراب</t>
  </si>
  <si>
    <t>سیمان بجنورد</t>
  </si>
  <si>
    <t>سیمان تهران</t>
  </si>
  <si>
    <t>سیمان غرب</t>
  </si>
  <si>
    <t>سیمان آبیک</t>
  </si>
  <si>
    <t>سیمان شمال</t>
  </si>
  <si>
    <t>بین‌المللی ساروج بوشهر</t>
  </si>
  <si>
    <t>سیمان شرق</t>
  </si>
  <si>
    <t>سیمان خوزستان</t>
  </si>
  <si>
    <t>سیمان سپاهان</t>
  </si>
  <si>
    <t>سیمان کردستان</t>
  </si>
  <si>
    <t>مجتمع سیمان غرب آسیا</t>
  </si>
  <si>
    <t>سیمان کویر کاشان</t>
  </si>
  <si>
    <t>سکاش</t>
  </si>
  <si>
    <t>گروه صنعتی معدنی سیمان تجارت مهریز</t>
  </si>
  <si>
    <t>سیمان عمران انارک</t>
  </si>
  <si>
    <t>سیمان نیزار قم</t>
  </si>
  <si>
    <t>سیمان دورود</t>
  </si>
  <si>
    <t>سدور</t>
  </si>
  <si>
    <t>سیمان زنجان</t>
  </si>
  <si>
    <t>سیمان فارس</t>
  </si>
  <si>
    <t>سفار</t>
  </si>
  <si>
    <t>ساروج اصفهان</t>
  </si>
  <si>
    <t>سیمان توسعه ماهان کرمان</t>
  </si>
  <si>
    <t>صنایع سیمان شهرکرد</t>
  </si>
  <si>
    <t>توسعه گستر هلال خاورمیانه (سیمان مارگون)</t>
  </si>
  <si>
    <t>سیمان پیوند گلستان</t>
  </si>
  <si>
    <t>سیمان یاسوج</t>
  </si>
  <si>
    <t>سیمان فراز فیروزکوه</t>
  </si>
  <si>
    <t>سیمان فیروزکوه</t>
  </si>
  <si>
    <t>کارخانجات سیمان لامرد</t>
  </si>
  <si>
    <t>سیمان آذر آبادگان خوی</t>
  </si>
  <si>
    <t>سیمان منددشتی</t>
  </si>
  <si>
    <t>سمند</t>
  </si>
  <si>
    <t>سیمان استهبان</t>
  </si>
  <si>
    <t>سیمان قشم</t>
  </si>
  <si>
    <t>صنایع سیمان زابل (سیمان زابل)</t>
  </si>
  <si>
    <t>سیمان کاوان بوکان</t>
  </si>
  <si>
    <t>سیمان خمسه</t>
  </si>
  <si>
    <t>سیمان دشتستان</t>
  </si>
  <si>
    <t>سدشت</t>
  </si>
  <si>
    <t>سیمان مدلل (صنایع سیمان سامان غرب)</t>
  </si>
  <si>
    <t>سیمان کیاسر</t>
  </si>
  <si>
    <t>صنایع سیمان گیلان سبز</t>
  </si>
  <si>
    <t>سیمان اصفهان</t>
  </si>
  <si>
    <t>سصفها</t>
  </si>
  <si>
    <t>صنایع سیمان نهاوند</t>
  </si>
  <si>
    <t>سیمان جوین</t>
  </si>
  <si>
    <t>سیمان زاوه تربت</t>
  </si>
  <si>
    <t>سیمان لار سبزوار</t>
  </si>
  <si>
    <t>سبزوا</t>
  </si>
  <si>
    <t>سیمان خاکستری نی ریز</t>
  </si>
  <si>
    <t>سیمان ایلام</t>
  </si>
  <si>
    <t>سيلام</t>
  </si>
  <si>
    <t>سیمان سپهر قیر و کارزین</t>
  </si>
  <si>
    <t>سیمان نائین</t>
  </si>
  <si>
    <t>سیمان کارون</t>
  </si>
  <si>
    <t>سكارون</t>
  </si>
  <si>
    <t>سیمان آباده</t>
  </si>
  <si>
    <t>سیمان لارستان</t>
  </si>
  <si>
    <t>سلار</t>
  </si>
  <si>
    <t>سیمان تیس چابهار</t>
  </si>
  <si>
    <t>سیمان سفید نی ریز (سیمان نی ریز)</t>
  </si>
  <si>
    <t>سیمان سفید ارومیه</t>
  </si>
  <si>
    <t>سیمان سفید شرق</t>
  </si>
  <si>
    <t>سیمان اکباتان</t>
  </si>
  <si>
    <t>نام کالا</t>
  </si>
  <si>
    <t>تولید کننده</t>
  </si>
  <si>
    <t>نوع قرارداد</t>
  </si>
  <si>
    <t>بالاترین</t>
  </si>
  <si>
    <t>حجم عرضه</t>
  </si>
  <si>
    <t>قیمت پایه عرضه</t>
  </si>
  <si>
    <t>تقاضا</t>
  </si>
  <si>
    <t>حجم قرارداد</t>
  </si>
  <si>
    <t>ارزش معامله</t>
  </si>
  <si>
    <t>تاریخ معامله</t>
  </si>
  <si>
    <t>نوع ارز</t>
  </si>
  <si>
    <t>سیمان مرکب رده 32/5 (20تا35%-عادی)-کیسه50 - صادراتی</t>
  </si>
  <si>
    <t>نقدی ($)</t>
  </si>
  <si>
    <t>-</t>
  </si>
  <si>
    <t>سیمان پوزولانی ویژه/کیسه50 - صادراتی</t>
  </si>
  <si>
    <t>سیمان پرتلند نوع 5 رده 42/5-کیسه50 - صادراتی</t>
  </si>
  <si>
    <t>سیمان پرتلند نوع 2 رده 42/5-کیسه50 - صادراتی</t>
  </si>
  <si>
    <t>SHCO-PCT2G42.5-L50EX-00</t>
  </si>
  <si>
    <t>GAC-PCT2G42.5-L50EX-00</t>
  </si>
  <si>
    <t>GHCO-PCT2G42.5-L50EX-00</t>
  </si>
  <si>
    <t>نقدی (صادراتی - ریالی)</t>
  </si>
  <si>
    <t>MAS-PCT2G42.5-L50EX-00</t>
  </si>
  <si>
    <t>OAC-PCT2G42.5-L50EX-00</t>
  </si>
  <si>
    <t>ACCO-PCT2G42.5-L50EX-00</t>
  </si>
  <si>
    <t>SECO-PCT2G42.5-L50EX-00</t>
  </si>
  <si>
    <t>CMK-PCT2G42.5-L50EX-00</t>
  </si>
  <si>
    <t>CJOV-PCT2G42.5-L50EX-00</t>
  </si>
  <si>
    <t>نسیه (صادراتی - ریالی)</t>
  </si>
  <si>
    <t>ZATC-PCT2G42.5-L50EX-00</t>
  </si>
  <si>
    <t>FAFI-PCT2G42.5-L50EX-00</t>
  </si>
  <si>
    <t>نقدی ($ مچینگ)</t>
  </si>
  <si>
    <t>سیمان پرتلند نوع 2 رده 42/5-فله - صادراتی</t>
  </si>
  <si>
    <t>GAC-PCT2G42.5-BEX-00</t>
  </si>
  <si>
    <t>KCC-PCT2G42.5-BEX-00</t>
  </si>
  <si>
    <t>SHCO-PCT2G42.5-BEX-00</t>
  </si>
  <si>
    <t>سیمان پرتلند نوع 2 رده 32/5-کیسه50 - صادراتی</t>
  </si>
  <si>
    <t>NGC-PCT2G32.5-L50EX-00</t>
  </si>
  <si>
    <t>SZCE-PCT2G32.5-L50EX-00</t>
  </si>
  <si>
    <t>KHCE-PCT2G32.5-L50EX-00</t>
  </si>
  <si>
    <t>DCC-PCT2G32.5-L50EX-00</t>
  </si>
  <si>
    <t>سیمان پرتلند نوع 2 رده 32/5-فله - صادراتی</t>
  </si>
  <si>
    <t>DACO-PCT2G32.5-BEX-00</t>
  </si>
  <si>
    <t>سیمان پرتلند نوع 2 رده 32/5-جامبوبگ - صادراتی</t>
  </si>
  <si>
    <t>DACO-PCT2G32.5-JEX-00</t>
  </si>
  <si>
    <t>سیمان پرتلند نوع 1 رده 52/5-جامبوبگ - صادراتی</t>
  </si>
  <si>
    <t>SHCO-PCT1G52.5-JEX-00</t>
  </si>
  <si>
    <t>CJOV-PCT1G52.5-JEX-00</t>
  </si>
  <si>
    <t>FAFI-PCT1G52.5-JEX-00</t>
  </si>
  <si>
    <t>MAS-PCT1G52.5-JEX-00</t>
  </si>
  <si>
    <t>KCC-PCT1G52.5-JEX-00</t>
  </si>
  <si>
    <t>FICO-PCT1G52.5-JEX-00</t>
  </si>
  <si>
    <t>سیمان پرتلند نوع 1 رده 42/5-کیسه50 - صادراتی</t>
  </si>
  <si>
    <t>SCC-PCT1G42.5-L50EX-00</t>
  </si>
  <si>
    <t>سیمان پرتلند نوع 1 رده 42/5-فله - صادراتی</t>
  </si>
  <si>
    <t>SCC-PCT1G42.5-BEX-00</t>
  </si>
  <si>
    <t>LCC-PCT1G42.5-BEX-00</t>
  </si>
  <si>
    <t>KBCC-PCT1G42.5-BEX-00</t>
  </si>
  <si>
    <t>سیمان پرتلند نوع 1 رده 42/5-جامبوبگ - صادراتی</t>
  </si>
  <si>
    <t>SCC-PCT1G42.5-JEX-00</t>
  </si>
  <si>
    <t>SHCO-PCT1G42.5-JEX-00</t>
  </si>
  <si>
    <t>ACC-PCT1G42.5-JEX-00</t>
  </si>
  <si>
    <t>سیمان پرتلند نوع 1 رده 32/5-کیسه50 - صادراتی</t>
  </si>
  <si>
    <t>BCCO-PCT1G32.5-L50EX-00</t>
  </si>
  <si>
    <t>تالار</t>
  </si>
  <si>
    <t>قیمت پایانی میانگین موزون</t>
  </si>
  <si>
    <t>ارزش معامله (هزارریال)</t>
  </si>
  <si>
    <t>پایین ترین</t>
  </si>
  <si>
    <t>واحد</t>
  </si>
  <si>
    <t>عرضه کننده</t>
  </si>
  <si>
    <t>کارگزار</t>
  </si>
  <si>
    <t>نوع تسویه</t>
  </si>
  <si>
    <t>سیمان پوزولانی/کیسه50</t>
  </si>
  <si>
    <t>BCCO-CEMENTP-50L-00</t>
  </si>
  <si>
    <t>تالار سیمان</t>
  </si>
  <si>
    <t>نقدی (مچینگ)</t>
  </si>
  <si>
    <t>تن</t>
  </si>
  <si>
    <t>صبا تأمین</t>
  </si>
  <si>
    <t>نقدی</t>
  </si>
  <si>
    <t>سیمان پرتلند نوع 1 رده 32/5-کیسه50</t>
  </si>
  <si>
    <t>BCCO-PCT1G32.5-L50-00</t>
  </si>
  <si>
    <t>سیمان پرتلند نوع 2 رده 42/5-کیسه50</t>
  </si>
  <si>
    <t>KZCO-PCT2G42.5-L50-00</t>
  </si>
  <si>
    <t>سیمان پرتلند نوع 2 رده 42/5-فله</t>
  </si>
  <si>
    <t>ZCC-PCT2G42.5-B-00</t>
  </si>
  <si>
    <t>سیمان پرتلند نوع 2 رده 32/5-کیسه50</t>
  </si>
  <si>
    <t>DCC-PCT2G32.5-L50-00</t>
  </si>
  <si>
    <t>بانک سپه</t>
  </si>
  <si>
    <t>DCC-PCT2G42.5-B-00</t>
  </si>
  <si>
    <t>CICE-PCT2G42.5-B-00</t>
  </si>
  <si>
    <t>صنایع سیمان کیاسر</t>
  </si>
  <si>
    <t>نقدی / اعتباری</t>
  </si>
  <si>
    <t>سیمان پرتلند نوع 2 رده 32/5-فله</t>
  </si>
  <si>
    <t>CICE-PCT2G42.5-L50-00</t>
  </si>
  <si>
    <t>سیمان پوزولانی</t>
  </si>
  <si>
    <t>HCC-CEMENTPB-00</t>
  </si>
  <si>
    <t>سیمان پرتلند آهکی/کیسه50</t>
  </si>
  <si>
    <t>SABC-PCT2G42.5-L50-00</t>
  </si>
  <si>
    <t>بین المللی ساروج بوشهر</t>
  </si>
  <si>
    <t>بانک ملی</t>
  </si>
  <si>
    <t>سیمان پرتلند نوع 1 رده 42/5-کیسه50</t>
  </si>
  <si>
    <t>KHAC-PCT1G42.5-L50-00</t>
  </si>
  <si>
    <t>فارابی</t>
  </si>
  <si>
    <t>KACC-PCT2G42.5-L50-00</t>
  </si>
  <si>
    <t>اندیشه و بینش پیشرو</t>
  </si>
  <si>
    <t>ESCO-PCT2G42.5-L50-00</t>
  </si>
  <si>
    <t>ZATC-PCT2G42.5-B-00</t>
  </si>
  <si>
    <t>مبین سرمایه</t>
  </si>
  <si>
    <t>ESCO-PCT1G32.5-L50-00</t>
  </si>
  <si>
    <t>سیمان پرتلند نوع 1 رده 42/5-فله</t>
  </si>
  <si>
    <t>GAC-PCT1G42.5-B-00</t>
  </si>
  <si>
    <t>حافظ</t>
  </si>
  <si>
    <t>GAC-PCT2G42.5-B-00</t>
  </si>
  <si>
    <t>ILCE-PCT1G42.5-L50-00</t>
  </si>
  <si>
    <t>بورس بهگزین</t>
  </si>
  <si>
    <t>ILCE-PCT2G42.5-B-00</t>
  </si>
  <si>
    <t>ILCE-PCT2G42.5-L50-00</t>
  </si>
  <si>
    <t>ZCC-PCT2G42.5-L50-00</t>
  </si>
  <si>
    <t>DCCO-PCT2G32.5-B-00</t>
  </si>
  <si>
    <t>DCCO-PCT2G32.5-L50-00</t>
  </si>
  <si>
    <t>NAC-PCT1G42.5-B-00</t>
  </si>
  <si>
    <t>NAC-PCT2G32.5-L50-00</t>
  </si>
  <si>
    <t>NAC-PCT2G42.5-B-00</t>
  </si>
  <si>
    <t>GSCC-PCT1G42.5-B-00</t>
  </si>
  <si>
    <t>GSCC-PCT2G42.5-B-00</t>
  </si>
  <si>
    <t>GSCC-PCT2G42.5-L50-00</t>
  </si>
  <si>
    <t>SKC-PCT1G42.5-L50-00</t>
  </si>
  <si>
    <t>پاداش</t>
  </si>
  <si>
    <t>SKC-PCT2G42.5-B-00</t>
  </si>
  <si>
    <t>SKC-PCT2G42.5-L50-00</t>
  </si>
  <si>
    <t>SHCO-PCT2G42.5-B-00</t>
  </si>
  <si>
    <t>LCC-PCT2G32.5-B-00</t>
  </si>
  <si>
    <t>NFCO-PCT2G42.5-L50-00</t>
  </si>
  <si>
    <t>WCO-PCT1G42.5-L50-00</t>
  </si>
  <si>
    <t>صنایع سیمان غرب</t>
  </si>
  <si>
    <t>WCO-PCT2G42.5-L50-00</t>
  </si>
  <si>
    <t>سیمان پرتلند نوع 1 رده 32/5-فله</t>
  </si>
  <si>
    <t>SECO-PCT1G32.5-B-00</t>
  </si>
  <si>
    <t>آرمون بورس</t>
  </si>
  <si>
    <t>سیمان پرتلند نوع 1 رده 42/5-جامبوبگ</t>
  </si>
  <si>
    <t>AAK-PCT1G42.5-J-00</t>
  </si>
  <si>
    <t>کارخانه سیمان آذر آبادگان خوی</t>
  </si>
  <si>
    <t>بانک ملت</t>
  </si>
  <si>
    <t>سیمان پرتلند نوع 2 رده 42/5-جامبوبگ</t>
  </si>
  <si>
    <t>AAK-PCT2G42.5-J-00</t>
  </si>
  <si>
    <t>SECO-PCT2G32.5-B-00</t>
  </si>
  <si>
    <t>SECO-PCT2G42.5-B-00</t>
  </si>
  <si>
    <t>DACO-PCT2G32.5-B-00</t>
  </si>
  <si>
    <t>صنایع سیمان دشتستان</t>
  </si>
  <si>
    <t>DACO-PCT2G32.5-L50-00</t>
  </si>
  <si>
    <t>CMN-PCT2G32.5-B-00</t>
  </si>
  <si>
    <t>سیمان مند دشتی</t>
  </si>
  <si>
    <t>CMN-PCT2G32.5-L50-00</t>
  </si>
  <si>
    <t>SZCE-PCT2G32.5-L50-00</t>
  </si>
  <si>
    <t>فیروزه آسیا</t>
  </si>
  <si>
    <t>CASC-PCT1G32.5-L50-00</t>
  </si>
  <si>
    <t>مفید</t>
  </si>
  <si>
    <t>CASC-PCT2G32.5-L50-00</t>
  </si>
  <si>
    <t>سیمان پرتلند نوع 1 رده 52/5-کیسه50</t>
  </si>
  <si>
    <t>MACC-PCT1G52.5-L50-00</t>
  </si>
  <si>
    <t>بین المللی توسعه گستر هلال خاورمیانه</t>
  </si>
  <si>
    <t>ACCO-PCT2G42.5-B-00</t>
  </si>
  <si>
    <t>سیمان پرتلند نوع 1 رده 52/5-فله</t>
  </si>
  <si>
    <t>MACC-PCT1G52.5-B-00</t>
  </si>
  <si>
    <t>ECC-PCT2G42.5-B-00</t>
  </si>
  <si>
    <t>ESTC-PCT2G32.5-L50-00</t>
  </si>
  <si>
    <t>مجتمع صنعتی سیمان استهبان</t>
  </si>
  <si>
    <t>آگاه</t>
  </si>
  <si>
    <t>‌سیمان مرکب رده 42/5 (تا20%‌-‌عادی)-کیسه50</t>
  </si>
  <si>
    <t>GAC-CPCANG42.5-L50-00</t>
  </si>
  <si>
    <t>‌سیمان مرکب رده 32/5‌‌ (تا20%-عادی)-کیسه50</t>
  </si>
  <si>
    <t>ACC-CPCANG32.5-L50-00</t>
  </si>
  <si>
    <t>ACC-CEMENTP-50L-00</t>
  </si>
  <si>
    <t>UCC-CEMENTPOLI-50L-00</t>
  </si>
  <si>
    <t>BCCO-CPCANG42.5-L50-00</t>
  </si>
  <si>
    <t>سیمان پرتلند نوع 5 رده 32/5-فله</t>
  </si>
  <si>
    <t>BCC-PCT5G32.5-B-00</t>
  </si>
  <si>
    <t>سیمان پرتلند نوع 5 رده 32/5-کیسه50</t>
  </si>
  <si>
    <t>BCC-PCT5G32.5-L50-00</t>
  </si>
  <si>
    <t>‌سیمان سرباره‌ای رده 32/5‌‌ (تا20%-عادی)-کیسه50</t>
  </si>
  <si>
    <t>BCC-SPCANG32.5-L50-00</t>
  </si>
  <si>
    <t>سیمان پوزولانی ویژه</t>
  </si>
  <si>
    <t>KHCE-CEMENTSPB-00</t>
  </si>
  <si>
    <t>سیمان پوزولانی ویژه/کیسه50</t>
  </si>
  <si>
    <t>KHCE-CEMENTSP-50L-00</t>
  </si>
  <si>
    <t>سیمان پوزولانی ویژه/جامبوبگ</t>
  </si>
  <si>
    <t>KHCE-CEMENTSPJ-00</t>
  </si>
  <si>
    <t>سیمان بنایی (MC)/کیسه50</t>
  </si>
  <si>
    <t>KZCO-CEMENTMC-50L-00</t>
  </si>
  <si>
    <t>سیمان پرتلند نوع 5 رده 22/5-کیسه50</t>
  </si>
  <si>
    <t>DCCO-PCT5G22.5-L50-00</t>
  </si>
  <si>
    <t>سیمان تیپ 5 ضد سولفات ویژه-کیسه50</t>
  </si>
  <si>
    <t>DCCO-SASCEMENT5-L50-00</t>
  </si>
  <si>
    <t>DCCO-CEMENTP-50L-00</t>
  </si>
  <si>
    <t>DCCO-CPCANG32.5-L50-00</t>
  </si>
  <si>
    <t>SACE-CEMENTSPB-00</t>
  </si>
  <si>
    <t>SACE-CEMENTSP-50L-00</t>
  </si>
  <si>
    <t>سیمان سفید</t>
  </si>
  <si>
    <t>SACE-CEMENTWB-00</t>
  </si>
  <si>
    <t>سیمان سفید/کیسه50</t>
  </si>
  <si>
    <t>SACE-CEMENTW-50L-00</t>
  </si>
  <si>
    <t>سیمان سفید/کیسه40</t>
  </si>
  <si>
    <t>SACE-CEMENTW-40L-00</t>
  </si>
  <si>
    <t>سیمان سفید/کیسه25</t>
  </si>
  <si>
    <t>SACE-CEMENTW-25L-00</t>
  </si>
  <si>
    <t>سیمان سفید بنایی/کیسه40</t>
  </si>
  <si>
    <t>SACE-CEMENTWB-40L-00</t>
  </si>
  <si>
    <t>سیمان سفید بنایی/کیسه 25</t>
  </si>
  <si>
    <t>SACE-CEMENTWB-25L-00</t>
  </si>
  <si>
    <t>‌سیمان مرکب رده 32/5 (تا20%‌-‌سریع)-فله</t>
  </si>
  <si>
    <t>SHCO-CPCARG32.5-B-00</t>
  </si>
  <si>
    <t>‌سیمان مرکب رده 32/5 (تا20%‌-‌سریع)-کیسه50</t>
  </si>
  <si>
    <t>SHCO-CPCARG32.5-L50-00</t>
  </si>
  <si>
    <t>FACO-PCT5G32.5-L50-00</t>
  </si>
  <si>
    <t>ZCC-CEMENTSP-50L-00</t>
  </si>
  <si>
    <t>GHCO-CEMENTPOLI-50L-00</t>
  </si>
  <si>
    <t>سیمان پرتلند نوع 5 رده 42/5-فله</t>
  </si>
  <si>
    <t>WCO-PCT5G42.5-B-00</t>
  </si>
  <si>
    <t>سیمان پرتلند نوع 5 رده 42/5-کیسه50</t>
  </si>
  <si>
    <t>WCO-PCT5G42.5-L50-00</t>
  </si>
  <si>
    <t>WCO-CPCANG42.5-L50-00</t>
  </si>
  <si>
    <t>SCC-CPCANG32.5-L50-00</t>
  </si>
  <si>
    <t>کارخانجات سیمان صوفیان</t>
  </si>
  <si>
    <t>SCC-CEMENTPOLI-50L-00</t>
  </si>
  <si>
    <t>NECO-CEMENTW-50L-00</t>
  </si>
  <si>
    <t>سیمان سفید نی ریز</t>
  </si>
  <si>
    <t>NECO-CEMENTW-40L-00</t>
  </si>
  <si>
    <t>NECO-CEMENTW-25L-00</t>
  </si>
  <si>
    <t>سیمان سفید/کیسه20</t>
  </si>
  <si>
    <t>NECO-CEMENTW-20L-00</t>
  </si>
  <si>
    <t>سیمان سفید بنایی/کیسه 20</t>
  </si>
  <si>
    <t>NECO-CEMENTWB-20L-00</t>
  </si>
  <si>
    <t>KBCC-CEMENTP-50L-00</t>
  </si>
  <si>
    <t>هامرز</t>
  </si>
  <si>
    <t>KBCC-CEMENTPB-00</t>
  </si>
  <si>
    <t>KBCC-CEMENTPOLI-50L-00</t>
  </si>
  <si>
    <t>‌سیمان مرکب رده 42/5 (تا20%‌-‌سریع)-کیسه50</t>
  </si>
  <si>
    <t>KBCC-CPCARG42.5-L50-00</t>
  </si>
  <si>
    <t>‌سیمان مرکب رده 42/5 (تا20%‌-‌سریع)-فله</t>
  </si>
  <si>
    <t>KBCC-CPCARG42.5-B-00</t>
  </si>
  <si>
    <t>‌سیمان مرکب رده 42/5 (‌20تا35%-‌عادی)-فله</t>
  </si>
  <si>
    <t>AAC-CPCBNG42.5-B-00</t>
  </si>
  <si>
    <t>بانک پاسارگاد</t>
  </si>
  <si>
    <t>‌سیمان مرکب رده 32/5‌‌ (تا20%-عادی)-فله</t>
  </si>
  <si>
    <t>AAC-CPCANG32.5-B-00</t>
  </si>
  <si>
    <t>AAC-CPCANG32.5-L50-00</t>
  </si>
  <si>
    <t>UWCO-CEMENTW-20L-00</t>
  </si>
  <si>
    <t>سی ولکس</t>
  </si>
  <si>
    <t>UWCO-CEMENTW-25L-00</t>
  </si>
  <si>
    <t>UWCO-CEMENTWB-00</t>
  </si>
  <si>
    <t>ILCE-PCT5G42.5-L50-00</t>
  </si>
  <si>
    <t>ILCE-PCT5G42.5-B-00</t>
  </si>
  <si>
    <t>ILCE-CEMENTP-50L-00</t>
  </si>
  <si>
    <t>ILCE-CEMENTPOLI-50L-00</t>
  </si>
  <si>
    <t>TCC-CEMENTW-40L-00</t>
  </si>
  <si>
    <t>TCC-PCT5G42.5-B-00</t>
  </si>
  <si>
    <t>TCC-CPCANG32.5-L50-00</t>
  </si>
  <si>
    <t>TCC-CEMENTP-50L-00</t>
  </si>
  <si>
    <t>TCC-CEMENTSP-50L-00</t>
  </si>
  <si>
    <t>TCC-CEMENTWB-00</t>
  </si>
  <si>
    <t>سیمان پرتلند آهکی</t>
  </si>
  <si>
    <t>NAC-CEMENTPB-00</t>
  </si>
  <si>
    <t>NAC-CEMENTP-50L-00</t>
  </si>
  <si>
    <t>TCHC-CEMENTP-50L-00</t>
  </si>
  <si>
    <t>اعتبار تابان</t>
  </si>
  <si>
    <t>KACC-PCT5G42.5-B-00</t>
  </si>
  <si>
    <t>KACC-PCT5G32.5-L50-00</t>
  </si>
  <si>
    <t>FICO-CPCANG42.5-L50-00</t>
  </si>
  <si>
    <t>تولیدی سیمان فیروزکوه</t>
  </si>
  <si>
    <t>ESCO-PCT5G42.5-B-00</t>
  </si>
  <si>
    <t>MAS-CPCANG32.5-L50-00</t>
  </si>
  <si>
    <t>ESCO-PCT5G42.5-L50-00</t>
  </si>
  <si>
    <t>LCC-CEMENTPOLIB-00</t>
  </si>
  <si>
    <t>NGC-CEMENTPOLIB-00</t>
  </si>
  <si>
    <t>سیمان CEM2-32.5R/کیسه50</t>
  </si>
  <si>
    <t>OAC-CEM2-32.5R-50L-00</t>
  </si>
  <si>
    <t>سینا</t>
  </si>
  <si>
    <t>ZATC-PCT5G42.5-B-00</t>
  </si>
  <si>
    <t>سیمان پرتلند آهکی/جامبوبگ</t>
  </si>
  <si>
    <t>ZATC-PCT5G32.5-B-00</t>
  </si>
  <si>
    <t>ZATC-PCT5G32.5-L50-00</t>
  </si>
  <si>
    <t>KCC-CPCANG32.5-L50-00</t>
  </si>
  <si>
    <t>KCC-CPCANG32.5-B-00</t>
  </si>
  <si>
    <t>KCC-CEMENTSP-50L-00</t>
  </si>
  <si>
    <t>KCC-CEMENTSPB-00</t>
  </si>
  <si>
    <t>KCC-CEMENTMC-50L-00</t>
  </si>
  <si>
    <t>KCC-PCT5G42.5-L50-00</t>
  </si>
  <si>
    <t>ZCCO-CEMENTSPB-00</t>
  </si>
  <si>
    <t>صنایع سیمان زابل</t>
  </si>
  <si>
    <t>ZCCO-CEMENTSP-50L-00</t>
  </si>
  <si>
    <t>KHAC-CEMENTSP-50L-00</t>
  </si>
  <si>
    <t>DACO-PCT5G32.5-L50-00</t>
  </si>
  <si>
    <t>DACO-PCT5G32.5-B-00</t>
  </si>
  <si>
    <t>سیمان تیپ 5 ضد سولفات ویژه</t>
  </si>
  <si>
    <t>DACO-SASCEMENT5B-00</t>
  </si>
  <si>
    <t>GAC-PCT1G32.5-L50-00</t>
  </si>
  <si>
    <t>GAC-PCT1G32.5-B-00</t>
  </si>
  <si>
    <t>KHCO-PCT5G42.5-B-00</t>
  </si>
  <si>
    <t>سرمایه گذاری ملی ایران</t>
  </si>
  <si>
    <t>‌سیمان مرکب رده 32/5 (‌20تا35%-‌عادی)-کیسه50</t>
  </si>
  <si>
    <t>NEYC-CPCBNG32.5-L50-00</t>
  </si>
  <si>
    <t>‌سیمان مرکب رده 32/5 (‌20تا35%-‌عادی)-فله</t>
  </si>
  <si>
    <t>NEYC-CPCBNG32.5-B-00</t>
  </si>
  <si>
    <t>‌سیمان سرباره‌ای رده 42/5 (تا20%‌-‌عادی)-فله</t>
  </si>
  <si>
    <t>OAC-SPCANG42.5-B-00</t>
  </si>
  <si>
    <t>KHCO-PCT5G42.5-L50-00</t>
  </si>
  <si>
    <t>KECE-PCT5G42.5-L50-00</t>
  </si>
  <si>
    <t>گروه صنایع سیمان کرمان</t>
  </si>
  <si>
    <t>KECE-PCT5G42.5-B-00</t>
  </si>
  <si>
    <t>سیمان پرتلند نوع 5 رده 42/5-جامبوبگ</t>
  </si>
  <si>
    <t>KECE-CEMENTP-50L-00</t>
  </si>
  <si>
    <t>KECE-CPCANG32.5-L50-00</t>
  </si>
  <si>
    <t>‌سیمان سرباره‌ای رده 42/5 (‌20تا35%-‌عادی)-فله</t>
  </si>
  <si>
    <t>KECE-SPCBNG42.5-B-00</t>
  </si>
  <si>
    <t>KECE-CEMENTWB-00</t>
  </si>
  <si>
    <t>CMK-CEMENTP-50L-00</t>
  </si>
  <si>
    <t>ایده آل کوشا</t>
  </si>
  <si>
    <t>ECC-CPCANG32.5-L50-00</t>
  </si>
  <si>
    <t>سیمان پوزولانی/جامبوبگ</t>
  </si>
  <si>
    <t>CMK-CEMENTPJ-00</t>
  </si>
  <si>
    <t>CMK-PCT5G42.5-J-00</t>
  </si>
  <si>
    <t>سیمان مرکب رده 32/5 (20تا35%-عادی)-جامبوبگ</t>
  </si>
  <si>
    <t>CMK-CPCBNG32.5-J-00</t>
  </si>
  <si>
    <t>WSH-CEMENTW-50L-00</t>
  </si>
  <si>
    <t>ZATC-CPCBNG32.5-L50-00</t>
  </si>
  <si>
    <t>WSH-CEMENTW-40L-00</t>
  </si>
  <si>
    <t>CMK-CEMENTPB-00</t>
  </si>
  <si>
    <t>LAC-CEMENTW-50L-00</t>
  </si>
  <si>
    <t>LAC-CEMENTW-40L-00</t>
  </si>
  <si>
    <t>LAC-CEMENTW-25L-00</t>
  </si>
  <si>
    <t>LAC-CEMENTW-20L-00</t>
  </si>
  <si>
    <t>WSH-CEMENTW-25L-00</t>
  </si>
  <si>
    <t>WSH-CEMENTW-20L-00</t>
  </si>
  <si>
    <t>AAK-CEMENTPOLI-50L-00</t>
  </si>
  <si>
    <t>SGHC-PCT5G42.5-L50-00</t>
  </si>
  <si>
    <t>سیمان مدلل</t>
  </si>
  <si>
    <t>ساوآفرین</t>
  </si>
  <si>
    <t>SGHC-PCT5G42.5-B-00</t>
  </si>
  <si>
    <t>ESTC-CEMENTPOLIJ-00</t>
  </si>
  <si>
    <t>سیمان پرتلند نوع 5 رده 32/5-جامبوبگ</t>
  </si>
  <si>
    <t>ESTC-PCT5G32.5-J-00</t>
  </si>
  <si>
    <t>HCC-PCT2G32.5-L50-00</t>
  </si>
  <si>
    <t>HCC-PCT2G32.5-B-00</t>
  </si>
  <si>
    <t>HCC-PCT1G42.5-B-00</t>
  </si>
  <si>
    <t>HCC-PCT1G42.5-L50-00</t>
  </si>
  <si>
    <t>ACC-PCT1G32.5-B-00</t>
  </si>
  <si>
    <t>ACC-PCT2G42.5-B-00</t>
  </si>
  <si>
    <t>ACC-PCT2G42.5-L50-00</t>
  </si>
  <si>
    <t>UCC-PCT1G42.5-B-00</t>
  </si>
  <si>
    <t>UCC-PCT1G42.5-L50-00</t>
  </si>
  <si>
    <t>UCC-PCT2G42.5-B-00</t>
  </si>
  <si>
    <t>BCCO-PCT1G42.5-L50-00</t>
  </si>
  <si>
    <t>BCCO-PCT2G42.5-B-00</t>
  </si>
  <si>
    <t>BCCO-PCT2G42.5-L50-00</t>
  </si>
  <si>
    <t>BCC-PCT2G32.5-L50-00</t>
  </si>
  <si>
    <t>KHCE-PCT2G32.5-B-00</t>
  </si>
  <si>
    <t>KHCE-PCT2G32.5-L50-00</t>
  </si>
  <si>
    <t>سیمان پرتلند نوع 2 رده 32/5-جامبوبگ</t>
  </si>
  <si>
    <t>KHCE-PCT2G32.5-J-00</t>
  </si>
  <si>
    <t>KZCO-PCT2G42.5-B-00</t>
  </si>
  <si>
    <t>سیمان پرتلند نوع 2 رده 42/5-کیسه25</t>
  </si>
  <si>
    <t>KZCO-PCT2G42.5-L25-00</t>
  </si>
  <si>
    <t>ZCC-PCT1G42.5-B-00</t>
  </si>
  <si>
    <t>DCCO-PCT1G32.5-L50-00</t>
  </si>
  <si>
    <t>SACE-PCT2G42.5-B-00</t>
  </si>
  <si>
    <t>SACE-PCT2G42.5-L50-00</t>
  </si>
  <si>
    <t>SHCO-PCT2G32.5-L50-00</t>
  </si>
  <si>
    <t>FACO-PCT2G42.5-B-00</t>
  </si>
  <si>
    <t>FACO-PCT2G32.5-L50-00</t>
  </si>
  <si>
    <t>NFCO-PCT2G42.5-B-00</t>
  </si>
  <si>
    <t>FAFI-PCT2G42.5-B-00</t>
  </si>
  <si>
    <t>FAFI-PCT2G42.5-L50-00</t>
  </si>
  <si>
    <t>FAFI-PCT2G42.5-L25-00</t>
  </si>
  <si>
    <t>GHCO-PCT2G42.5-B-00</t>
  </si>
  <si>
    <t>GHCO-PCT2G42.5-L50-00</t>
  </si>
  <si>
    <t>WCO-PCT1G42.5-B-00</t>
  </si>
  <si>
    <t>WCO-PCT2G42.5-B-00</t>
  </si>
  <si>
    <t>SCC-PCT1G32.5-B-00</t>
  </si>
  <si>
    <t>SCC-PCT1G42.5-B-00</t>
  </si>
  <si>
    <t>SCC-PCT1G42.5-L50-00</t>
  </si>
  <si>
    <t>SCC-PCT2G32.5-B-00</t>
  </si>
  <si>
    <t>SCC-PCT2G32.5-L50-00</t>
  </si>
  <si>
    <t>سیمان پرتلند نوع 2 رده 32/5-کیسه25</t>
  </si>
  <si>
    <t>SCC-PCT2G32.5-L25-00</t>
  </si>
  <si>
    <t>YCC-PCT2G42.5-B-00</t>
  </si>
  <si>
    <t>YCC-PCT2G42.5-L50-00</t>
  </si>
  <si>
    <t>SABC-PCT2G42.5-B-00</t>
  </si>
  <si>
    <t>BACC-PCT2G42.5-B-00</t>
  </si>
  <si>
    <t>BACC-PCT2G42.5-L50-00</t>
  </si>
  <si>
    <t>SSH-PCT2G32.5-B-00</t>
  </si>
  <si>
    <t>SSH-PCT2G32.5-L50-00</t>
  </si>
  <si>
    <t>FICO-PCT2G42.5-B-00</t>
  </si>
  <si>
    <t>FICO-PCT2G42.5-L50-00</t>
  </si>
  <si>
    <t>KECE-PCT2G42.5-B-00</t>
  </si>
  <si>
    <t>KECE-PCT2G42.5-L50-00</t>
  </si>
  <si>
    <t>MAS-PCT2G42.5-B-00</t>
  </si>
  <si>
    <t>MAS-PCT2G42.5-L50-00</t>
  </si>
  <si>
    <t>MAS-PCT1G32.5-L50-00</t>
  </si>
  <si>
    <t>KMC-PCT2G42.5-B-00</t>
  </si>
  <si>
    <t>KMC-PCT2G42.5-L50-00</t>
  </si>
  <si>
    <t>LCC-PCT2G32.5-L50-00</t>
  </si>
  <si>
    <t>LCC-PCT2G42.5-B-00</t>
  </si>
  <si>
    <t>KBCC-PCT2G42.5-L50-00</t>
  </si>
  <si>
    <t>KBCC-PCT2G42.5-B-00</t>
  </si>
  <si>
    <t>KBCC-PCT1G42.5-L50-00</t>
  </si>
  <si>
    <t>KBCC-PCT1G42.5-B-00</t>
  </si>
  <si>
    <t>ZCCO-PCT2G32.5-B-00</t>
  </si>
  <si>
    <t>ZCCO-PCT2G32.5-L50-00</t>
  </si>
  <si>
    <t>KHAC-PCT2G42.5-B-00</t>
  </si>
  <si>
    <t>KHAC-PCT2G42.5-L50-00</t>
  </si>
  <si>
    <t>KHAC-PCT2G42.5-L25-00</t>
  </si>
  <si>
    <t>CTM-PCT2G42.5-B-00</t>
  </si>
  <si>
    <t>گروه صنعتی ومعدنی سیمان تجارت مهریز</t>
  </si>
  <si>
    <t>بانک تجارت</t>
  </si>
  <si>
    <t>CTM-PCT2G42.5-L50-00</t>
  </si>
  <si>
    <t>HGC-PCT2G42.5-B-00</t>
  </si>
  <si>
    <t>HGC-PCT2G42.5-L50-00</t>
  </si>
  <si>
    <t>PGOC-PCT2G42.5-B-00</t>
  </si>
  <si>
    <t>PGOC-PCT2G42.5-L50-00</t>
  </si>
  <si>
    <t>NAC-PCT2G42.5-L50-00</t>
  </si>
  <si>
    <t>TCC-PCT2G32.5-B-00</t>
  </si>
  <si>
    <t>TCC-PCT2G32.5-L25-00</t>
  </si>
  <si>
    <t>TCC-PCT2G32.5-L50-00</t>
  </si>
  <si>
    <t>KCC-PCT2G42.5-L50-00</t>
  </si>
  <si>
    <t>KACC-PCT2G42.5-B-00</t>
  </si>
  <si>
    <t>KCC-PCT2G42.5-B-00</t>
  </si>
  <si>
    <t>KCC-PCT1G42.5-B-00</t>
  </si>
  <si>
    <t>ESCO-PCT2G42.5-B-00</t>
  </si>
  <si>
    <t>ESCO-PCT1G42.5-B-00</t>
  </si>
  <si>
    <t>NACE-PCT2G42.5-L50-00</t>
  </si>
  <si>
    <t>NACE-PCT2G42.5-B-00</t>
  </si>
  <si>
    <t>KCC-PCT1G32.5-L50-00</t>
  </si>
  <si>
    <t>GAC-PCT2G42.5-L50-00</t>
  </si>
  <si>
    <t>NGC-PCT2G32.5-L50-00</t>
  </si>
  <si>
    <t>NGC-PCT2G32.5-B-00</t>
  </si>
  <si>
    <t>SECO-PCT1G42.5-B-00</t>
  </si>
  <si>
    <t>SECO-PCT1G32.5-L50-00</t>
  </si>
  <si>
    <t>SECO-PCT2G42.5-L50-00</t>
  </si>
  <si>
    <t>SSGK-PCT2G32.5-L50-00</t>
  </si>
  <si>
    <t>سیمان پرتلند نوع 1 رده 32/5-کیسه25</t>
  </si>
  <si>
    <t>SECO-PCT1G32.5-L25-00</t>
  </si>
  <si>
    <t>ZATC-PCT2G42.5-L50-00</t>
  </si>
  <si>
    <t>ZATC-PCT2G32.5-L50-00</t>
  </si>
  <si>
    <t>TCHC-PCT2G42.5-L50-00</t>
  </si>
  <si>
    <t>TCHC-PCT2G42.5-B-00</t>
  </si>
  <si>
    <t>DACO-PCT1G42.5-B-00</t>
  </si>
  <si>
    <t>سیمان پرتلند نوع 2 کم قلیا-فله</t>
  </si>
  <si>
    <t>DACO-PCT2GLA-B-00</t>
  </si>
  <si>
    <t>سلف</t>
  </si>
  <si>
    <t>ECC-PCT2G42.5-L50-00</t>
  </si>
  <si>
    <t>CJOV-PCT2G42.5-L50-00</t>
  </si>
  <si>
    <t>نسیه</t>
  </si>
  <si>
    <t>CJOV-PCT2G42.5-B-00</t>
  </si>
  <si>
    <t>CJOV-PCT1G32.5-B-00</t>
  </si>
  <si>
    <t>CJOV-PCT1G42.5-B-00</t>
  </si>
  <si>
    <t>OAC-PCT2G42.5-B-00</t>
  </si>
  <si>
    <t>OAC-PCT2G42.5-L50-00</t>
  </si>
  <si>
    <t>AAC-PCT2G42.5-B-00</t>
  </si>
  <si>
    <t>UCC-PCT2G42.5-L50-00</t>
  </si>
  <si>
    <t>KHCO-PCT2G42.5-B-00</t>
  </si>
  <si>
    <t>KHCO-PCT2G42.5-L50-00</t>
  </si>
  <si>
    <t>GCC-PCT2G32.5-B-00</t>
  </si>
  <si>
    <t>فدک</t>
  </si>
  <si>
    <t>GCC-PCT2G32.5-L50-00</t>
  </si>
  <si>
    <t>MACC-PCT2G42.5-L50-00</t>
  </si>
  <si>
    <t>MACC-PCT2G42.5-B-00</t>
  </si>
  <si>
    <t>سیمان پرتلند نوع 1 رده 52/5-جامبوبگ</t>
  </si>
  <si>
    <t>MACC-PCT1G52.5-J-00</t>
  </si>
  <si>
    <t>MACC-PCT2G42.5-J-00</t>
  </si>
  <si>
    <t>SAES-PCT1G42.5-B-00</t>
  </si>
  <si>
    <t>شهر</t>
  </si>
  <si>
    <t>AAK-PCT1G42.5-B-00</t>
  </si>
  <si>
    <t>AAK-PCT1G42.5-L50-00</t>
  </si>
  <si>
    <t>AAK-PCT2G42.5-B-00</t>
  </si>
  <si>
    <t>AAK-PCT2G42.5-L50-00</t>
  </si>
  <si>
    <t>SAES-PCT1G42.5-L50-00</t>
  </si>
  <si>
    <t>SAES-PCT1G32.5-L50-00</t>
  </si>
  <si>
    <t>CASC-PCT1G32.5-B-00</t>
  </si>
  <si>
    <t>CASC-PCT2G32.5-B-00</t>
  </si>
  <si>
    <t>SZCE-PCT2G42.5-B-00</t>
  </si>
  <si>
    <t>ACCO-PCT2G42.5-L50-00</t>
  </si>
  <si>
    <t>ACCO-PCT1G42.5-B-00</t>
  </si>
  <si>
    <t>NEYC-PCT2G42.5-L50-00</t>
  </si>
  <si>
    <t>ESCO-PCT1G32.5-B-00</t>
  </si>
  <si>
    <t>NEYC-PCT2G42.5-B-00</t>
  </si>
  <si>
    <t>ESTC-PCT1G42.5-J-00</t>
  </si>
  <si>
    <t>ESTC-PCT2G32.5-J-00</t>
  </si>
  <si>
    <t>CMK-PCT2G42.5-L50-00</t>
  </si>
  <si>
    <t>CMK-PCT2G42.5-B-00</t>
  </si>
  <si>
    <t>CMK-PCT2G42.5-J-00</t>
  </si>
  <si>
    <t>SGHC-PCT1G42.5-B-00</t>
  </si>
  <si>
    <t>ESTC-PCT2G32.5-B-00</t>
  </si>
  <si>
    <t>ESTC-PCT2GLA-B-00</t>
  </si>
  <si>
    <t>SGHC-PCT1G42.5-L50-00</t>
  </si>
  <si>
    <t>SGHC-PCT2G42.5-B-00</t>
  </si>
  <si>
    <t>SGHC-PCT1G52.5-B-00</t>
  </si>
  <si>
    <t>SGHC-PCT2G42.5-L50-00</t>
  </si>
  <si>
    <t>FACO-PCT5G42.5-B-00</t>
  </si>
  <si>
    <t>UWCO-CEMENTW-50L-00</t>
  </si>
  <si>
    <t>EKC-CEMENTW-20L-00</t>
  </si>
  <si>
    <t>EKC-CEMENTW-25L-00</t>
  </si>
  <si>
    <t>EKC-CEMENTW-40L-00</t>
  </si>
  <si>
    <t>EKC-CEMENTW-50L-00</t>
  </si>
  <si>
    <t>ECC-PCT5G42.5-B-00</t>
  </si>
  <si>
    <t>WSH-CEMENTWB-00</t>
  </si>
  <si>
    <t>KBCC-PCT2G42.5-J-00</t>
  </si>
  <si>
    <t>ZCC-PCT1G32.5-B-00</t>
  </si>
  <si>
    <t>TCC-PCT5G32.5-L50-00</t>
  </si>
  <si>
    <t>سلف (مچینگ)</t>
  </si>
  <si>
    <t>B6vm59dMWFQBrpAhwUbITVbJxh3CbTGR</t>
  </si>
  <si>
    <t>Points</t>
  </si>
  <si>
    <t>Defintion</t>
  </si>
  <si>
    <t>Cement</t>
  </si>
  <si>
    <t>MOPFRA</t>
  </si>
  <si>
    <t>Factor</t>
  </si>
  <si>
    <t>Range Cement</t>
  </si>
  <si>
    <t>Range MOPHRA</t>
  </si>
  <si>
    <t>Cement Exp.</t>
  </si>
  <si>
    <t>MOPFRA Exp.</t>
  </si>
  <si>
    <t>Symbol</t>
  </si>
  <si>
    <t>Definition</t>
  </si>
  <si>
    <t>Point 1</t>
  </si>
  <si>
    <t>P/S fw</t>
  </si>
  <si>
    <t>نسبت ارزش بازار به فروش سالیانه</t>
  </si>
  <si>
    <t>(-10 / +10)</t>
  </si>
  <si>
    <t>Booking Value</t>
  </si>
  <si>
    <t>ارزش دفتری شرکت</t>
  </si>
  <si>
    <t>Point 2</t>
  </si>
  <si>
    <t>NPgr(YoY)</t>
  </si>
  <si>
    <t>رشد ضریب حاشیه سود خالص دوره گزارش شده</t>
  </si>
  <si>
    <t xml:space="preserve">P </t>
  </si>
  <si>
    <t>Price</t>
  </si>
  <si>
    <t>قیمت سهم</t>
  </si>
  <si>
    <t>Point 3</t>
  </si>
  <si>
    <t>Sgr(YoY) - P(YoY)</t>
  </si>
  <si>
    <t xml:space="preserve">تفاوت رشد فروش دوره مالی جدید با رشد قیمت پس از مجمع </t>
  </si>
  <si>
    <t>(-5 / +5)</t>
  </si>
  <si>
    <t>MP(P)</t>
  </si>
  <si>
    <t>ارزش روز شرکت</t>
  </si>
  <si>
    <t>Point 4</t>
  </si>
  <si>
    <t>P/Efw</t>
  </si>
  <si>
    <t>تفاوت P/E فوروارد با P/E انتظاری</t>
  </si>
  <si>
    <t>Trailing Twelve Months</t>
  </si>
  <si>
    <t>در طول ۱۲ ماه اخیر (دنباله دار)</t>
  </si>
  <si>
    <t>Point 5</t>
  </si>
  <si>
    <t>تفاوت P/E TTM با P/E انتظاری</t>
  </si>
  <si>
    <t>fw</t>
  </si>
  <si>
    <t>Forward</t>
  </si>
  <si>
    <t>پیشرو</t>
  </si>
  <si>
    <t>Point 6</t>
  </si>
  <si>
    <t>gr</t>
  </si>
  <si>
    <t>Growth</t>
  </si>
  <si>
    <t xml:space="preserve">رشد  </t>
  </si>
  <si>
    <t>Point 7</t>
  </si>
  <si>
    <t xml:space="preserve">شاخص بازده سرمایه به کار گرفته شده </t>
  </si>
  <si>
    <t>Sales</t>
  </si>
  <si>
    <t>فروش - درآمد عملیاتی</t>
  </si>
  <si>
    <t>Point 8</t>
  </si>
  <si>
    <t>EBITDA-NP</t>
  </si>
  <si>
    <t xml:space="preserve">نسبت هزینه های ITDA به فروش </t>
  </si>
  <si>
    <t>YTD</t>
  </si>
  <si>
    <t>Year To Date</t>
  </si>
  <si>
    <t>سال مالی در حال تداوم</t>
  </si>
  <si>
    <t>Point 9</t>
  </si>
  <si>
    <t>نسبت دارایی جاری به بدهی جاری</t>
  </si>
  <si>
    <t>(-6 / +6)</t>
  </si>
  <si>
    <t>YTD/S</t>
  </si>
  <si>
    <t>Year To Date Sales</t>
  </si>
  <si>
    <t>فروش در حال تداوم</t>
  </si>
  <si>
    <t>Point 10</t>
  </si>
  <si>
    <t>PY</t>
  </si>
  <si>
    <t>Prior Year</t>
  </si>
  <si>
    <t xml:space="preserve">سال مالی قبل </t>
  </si>
  <si>
    <t>Point 11</t>
  </si>
  <si>
    <t>AR - AR/CA</t>
  </si>
  <si>
    <t>(-10 / +5)</t>
  </si>
  <si>
    <t>PY/S</t>
  </si>
  <si>
    <t>Prior Year Sales</t>
  </si>
  <si>
    <t>فروش سال مالی قبل</t>
  </si>
  <si>
    <t>Point 12</t>
  </si>
  <si>
    <t>N/A</t>
  </si>
  <si>
    <t>YoY</t>
  </si>
  <si>
    <t>Year over Year</t>
  </si>
  <si>
    <t xml:space="preserve">مقایسه دوره ای از سال جدید به دوره مشابه سال قبل </t>
  </si>
  <si>
    <t>Point 13</t>
  </si>
  <si>
    <t>Sfw/PC</t>
  </si>
  <si>
    <t>Sfw</t>
  </si>
  <si>
    <t>Sales Forward</t>
  </si>
  <si>
    <t>تخمین فروش سال مالی در حال تداوم</t>
  </si>
  <si>
    <t>Point 14</t>
  </si>
  <si>
    <t>(P/S) / (P/E) = (E/S)</t>
  </si>
  <si>
    <t>Ex/S</t>
  </si>
  <si>
    <t>Export Sales</t>
  </si>
  <si>
    <t>فروش صادراتی</t>
  </si>
  <si>
    <t>Point 15</t>
  </si>
  <si>
    <t>Ex-S/S</t>
  </si>
  <si>
    <t>(0 / +10)</t>
  </si>
  <si>
    <t>E</t>
  </si>
  <si>
    <t>Earning</t>
  </si>
  <si>
    <t>سود خالص پس از کسر مالیات</t>
  </si>
  <si>
    <t>Efw</t>
  </si>
  <si>
    <t>Earning Forward</t>
  </si>
  <si>
    <t>پیش بینی سود سال مالی در حال تداوم</t>
  </si>
  <si>
    <t>GP</t>
  </si>
  <si>
    <t xml:space="preserve">Gross Profit </t>
  </si>
  <si>
    <t>ضریب سود ناخالص</t>
  </si>
  <si>
    <t>EBITDA</t>
  </si>
  <si>
    <t>Earnings Before Interest, Tax and Depreciations &amp; Amortization</t>
  </si>
  <si>
    <t xml:space="preserve">ضریب سود قبل از هزینه های مالی، مالیات و استهلاک </t>
  </si>
  <si>
    <t>ITDA</t>
  </si>
  <si>
    <t>Interest, Tax and Depreciations &amp; Amortization</t>
  </si>
  <si>
    <t>هزینه های مالی، مالیات و استهلاک (دارایی مشهود و نامشهود)</t>
  </si>
  <si>
    <t>NP</t>
  </si>
  <si>
    <t>Net Profit</t>
  </si>
  <si>
    <t xml:space="preserve">ضریب سود خالص </t>
  </si>
  <si>
    <t>D</t>
  </si>
  <si>
    <t>سود قابل پرداخت به سهامدار</t>
  </si>
  <si>
    <t>Retained Earnings</t>
  </si>
  <si>
    <t>Liabilities (Debt)</t>
  </si>
  <si>
    <t>بدهی ها (جمع جاری و غیر جاری)</t>
  </si>
  <si>
    <t>CL</t>
  </si>
  <si>
    <t>Current Liabilities</t>
  </si>
  <si>
    <t>بدهی های جاری</t>
  </si>
  <si>
    <t>Assets</t>
  </si>
  <si>
    <t>دارائی‌ها ( جمع جاری و غیر جاری)</t>
  </si>
  <si>
    <t>CA</t>
  </si>
  <si>
    <t>Current Assets</t>
  </si>
  <si>
    <t>دارایی های جاری</t>
  </si>
  <si>
    <t>CE</t>
  </si>
  <si>
    <t xml:space="preserve">Capital Employed </t>
  </si>
  <si>
    <t>سرمایه به کار گرفته شده</t>
  </si>
  <si>
    <t>Eq</t>
  </si>
  <si>
    <t>Equity</t>
  </si>
  <si>
    <t>حقوق مالکانه سهامداران</t>
  </si>
  <si>
    <t>Accounts Receivable</t>
  </si>
  <si>
    <t>RC</t>
  </si>
  <si>
    <t>Replacement Cost</t>
  </si>
  <si>
    <t>هزینه جایگزینی (ساخت مجدد)</t>
  </si>
  <si>
    <t>PC</t>
  </si>
  <si>
    <t>Production Capacity</t>
  </si>
  <si>
    <t>ظرفیت تولید</t>
  </si>
  <si>
    <t>فروش کل سال قبل</t>
  </si>
  <si>
    <t>فروش ماه جاری</t>
  </si>
  <si>
    <t>اصلاح شده فروش تجمیعی داخلی تا ماه قبل</t>
  </si>
  <si>
    <t>فروش صادراتی دوره مشابه سال قبل</t>
  </si>
  <si>
    <t>فروش صادراتی دوره سال جاری</t>
  </si>
  <si>
    <t xml:space="preserve">فروش صادراتی ماه جاری </t>
  </si>
  <si>
    <t>فروش ماه 3</t>
  </si>
  <si>
    <t>تفاوت فروش ماه جاری به ماه قبل</t>
  </si>
  <si>
    <t>درصد رشد/کاهش فروش سال مالی جاری تا این ماه</t>
  </si>
  <si>
    <t>تغییر رشد در سال مالی جاری پس از گزارش این ماه</t>
  </si>
  <si>
    <t>Total at Month 6/ 1404</t>
  </si>
  <si>
    <t>Total at Month 7/ 1404</t>
  </si>
  <si>
    <t>sales at Month 7/1404</t>
  </si>
  <si>
    <t>Total at Month 8/ 1404</t>
  </si>
  <si>
    <t>sales at Month 8/1404</t>
  </si>
  <si>
    <t>Total at Month 9/ 1404</t>
  </si>
  <si>
    <t>sales at Month 9/1404</t>
  </si>
  <si>
    <t>Total at Month 10/ 1404</t>
  </si>
  <si>
    <t>sales at Month 10/1404</t>
  </si>
  <si>
    <t>Total at Month 11/ 1404</t>
  </si>
  <si>
    <t>sales at Month 11/1404</t>
  </si>
  <si>
    <t>Total at Month 12/ 1404</t>
  </si>
  <si>
    <t>sales at Month 12/1404</t>
  </si>
  <si>
    <t>Total at Month 1/ 1405</t>
  </si>
  <si>
    <t>sales at Month 1/1405</t>
  </si>
  <si>
    <t>Month Growth to Last Month</t>
  </si>
  <si>
    <t>Total at Month 2/ 1405</t>
  </si>
  <si>
    <t>sales at Month 2/1405</t>
  </si>
  <si>
    <t>Total at Month 3/ 1405</t>
  </si>
  <si>
    <t>sales at Month 3/1405</t>
  </si>
  <si>
    <t>Q1 Growth to Q4</t>
  </si>
  <si>
    <t>Q Growth Rank</t>
  </si>
  <si>
    <t>1403/10/21</t>
  </si>
  <si>
    <t>1400/12/28</t>
  </si>
  <si>
    <t>1400/10/01</t>
  </si>
  <si>
    <t>Company Name</t>
  </si>
  <si>
    <t>Icon</t>
  </si>
  <si>
    <t>EPS on Date</t>
  </si>
  <si>
    <t>EPS For Compare in Check Column</t>
  </si>
  <si>
    <t>Updated Fin Report</t>
  </si>
  <si>
    <t>Check New Report</t>
  </si>
  <si>
    <t>Updated Share Price</t>
  </si>
  <si>
    <t xml:space="preserve">Price Change </t>
  </si>
  <si>
    <t>Performance to end of Autumn</t>
  </si>
  <si>
    <t>Performance to end of summer</t>
  </si>
  <si>
    <t>Performance to end of Spring</t>
  </si>
  <si>
    <t>Price on Date</t>
  </si>
  <si>
    <t>EPS قبلی</t>
  </si>
  <si>
    <t>EPS  مقایسه و توجه به صورت مالی جدید</t>
  </si>
  <si>
    <t xml:space="preserve">صورتهای مالی به روز شده </t>
  </si>
  <si>
    <t>کنترل گزارش جدید مالی</t>
  </si>
  <si>
    <t>قیمت روز</t>
  </si>
  <si>
    <t xml:space="preserve">تغییر قیمت نسبت به روز قبل </t>
  </si>
  <si>
    <t>بازدهی نسبت به آخر سال قبل</t>
  </si>
  <si>
    <t>بازدهی نسبت به آخر پاییز</t>
  </si>
  <si>
    <t>بازدهی نسبت به آخر تابستان</t>
  </si>
  <si>
    <t>بازدهی نسبت  به آخر بهار</t>
  </si>
  <si>
    <t xml:space="preserve">قیمت در تاریخ </t>
  </si>
  <si>
    <t xml:space="preserve">تغییر قیمت </t>
  </si>
  <si>
    <t>سرمايه گذاري توسعه صنايع سيمان</t>
  </si>
  <si>
    <t>سيدكو</t>
  </si>
  <si>
    <t>سيمان فارس و خوزستان</t>
  </si>
  <si>
    <t>سفارس</t>
  </si>
  <si>
    <t>Closed</t>
  </si>
  <si>
    <t>VLOOKUP(B9,'[MarketWatchPlus-1400_4_2.xlsx]دیده بان بازار'!$A$4:$O$1008,8,FALSE)</t>
  </si>
  <si>
    <t>سیمان کاشان</t>
  </si>
  <si>
    <t>Rank 1</t>
  </si>
  <si>
    <t>Rank 2</t>
  </si>
  <si>
    <t>Rank 3</t>
  </si>
  <si>
    <t>Rank 4</t>
  </si>
  <si>
    <t>Rank 5</t>
  </si>
  <si>
    <t>Rank 6</t>
  </si>
  <si>
    <t>Rank 7</t>
  </si>
  <si>
    <t>Rank 9</t>
  </si>
  <si>
    <t>Rank 10</t>
  </si>
  <si>
    <t>Rank 11</t>
  </si>
  <si>
    <t>Rank 12</t>
  </si>
  <si>
    <t>Rank 13</t>
  </si>
  <si>
    <t>Rank 14</t>
  </si>
  <si>
    <t>Rank 15</t>
  </si>
  <si>
    <t>Total Ranking</t>
  </si>
  <si>
    <t xml:space="preserve">جمع امتیازات بنیادی </t>
  </si>
  <si>
    <t>جمع امتیازات بنیادی بعلاوه خاص صنعت سیمان</t>
  </si>
  <si>
    <t xml:space="preserve">جمع عددی رتبه ها </t>
  </si>
  <si>
    <t xml:space="preserve">رتبه در جمع رتبه ها </t>
  </si>
  <si>
    <t>Rank 8</t>
  </si>
  <si>
    <t>جمع عددی رتبه ها</t>
  </si>
  <si>
    <t>P/E 2 Ord 1405</t>
  </si>
  <si>
    <t>P/E 7 Tir 1405</t>
  </si>
  <si>
    <t>P/E Change</t>
  </si>
  <si>
    <t>فرآوري معدني اپال كاني پارس</t>
  </si>
  <si>
    <t>اپال</t>
  </si>
  <si>
    <t>اپال3</t>
  </si>
  <si>
    <t>آتيه داده پرداز</t>
  </si>
  <si>
    <t>اپرداز</t>
  </si>
  <si>
    <t>بيمه اتكايي سامان</t>
  </si>
  <si>
    <t>اتكاسا</t>
  </si>
  <si>
    <t>بيمه اتكايي امين</t>
  </si>
  <si>
    <t>اتكام</t>
  </si>
  <si>
    <t>بيمه اتكايي ايرانيان</t>
  </si>
  <si>
    <t>اتكاي</t>
  </si>
  <si>
    <t>مخابرات ايران</t>
  </si>
  <si>
    <t>اخابر</t>
  </si>
  <si>
    <t>اخابر3</t>
  </si>
  <si>
    <t>اخشان خراسان</t>
  </si>
  <si>
    <t>اخشان</t>
  </si>
  <si>
    <t>سيمان اردستان</t>
  </si>
  <si>
    <t>اردستان3</t>
  </si>
  <si>
    <t>شركت آهن و فولاد ارفع</t>
  </si>
  <si>
    <t>ارفع</t>
  </si>
  <si>
    <t>استقلال</t>
  </si>
  <si>
    <t>انتقال داده هاي آسياتك</t>
  </si>
  <si>
    <t>اسياتك</t>
  </si>
  <si>
    <t>صندوق س.توسعه اطلس مفيد-س</t>
  </si>
  <si>
    <t>اطلس</t>
  </si>
  <si>
    <t>شركت سرمايه گذاري اعتلاء البرز</t>
  </si>
  <si>
    <t>اعتلا</t>
  </si>
  <si>
    <t>افرانت</t>
  </si>
  <si>
    <t>افرا</t>
  </si>
  <si>
    <t>فروشگاههاي زنجيره اي افق كوروش</t>
  </si>
  <si>
    <t>افق</t>
  </si>
  <si>
    <t>بيمه البرز</t>
  </si>
  <si>
    <t>البرز</t>
  </si>
  <si>
    <t>تامين سرمايه اميد</t>
  </si>
  <si>
    <t>اميد</t>
  </si>
  <si>
    <t>تامين سرمايه امين</t>
  </si>
  <si>
    <t>امين</t>
  </si>
  <si>
    <t>گروه انتخاب الكترونيك آرمان</t>
  </si>
  <si>
    <t>انتخاب</t>
  </si>
  <si>
    <t>بورس انرژي ايران</t>
  </si>
  <si>
    <t>انرژي</t>
  </si>
  <si>
    <t>مبين وان كيش</t>
  </si>
  <si>
    <t>اوان</t>
  </si>
  <si>
    <t>آ.س.پ</t>
  </si>
  <si>
    <t>آ س پ</t>
  </si>
  <si>
    <t>توريستي ورفاهي آبادگران ايران</t>
  </si>
  <si>
    <t>آباد</t>
  </si>
  <si>
    <t>كشت و صنعت آبشيرين</t>
  </si>
  <si>
    <t>آبين</t>
  </si>
  <si>
    <t>آسان پرداخت پرشين</t>
  </si>
  <si>
    <t>آپ</t>
  </si>
  <si>
    <t>نشاسته و گلوكز آردينه</t>
  </si>
  <si>
    <t>آردينه</t>
  </si>
  <si>
    <t>بيمه آرمان</t>
  </si>
  <si>
    <t>آرمان</t>
  </si>
  <si>
    <t>آريا3</t>
  </si>
  <si>
    <t>سرمايه گذاري پارس آريان</t>
  </si>
  <si>
    <t>آريان</t>
  </si>
  <si>
    <t>بيمه آسيا</t>
  </si>
  <si>
    <t>آسيا</t>
  </si>
  <si>
    <t>بيمه اتكايي آواي پارس</t>
  </si>
  <si>
    <t>آواپارس</t>
  </si>
  <si>
    <t>صنايع ارتباطي آوا</t>
  </si>
  <si>
    <t>آواك</t>
  </si>
  <si>
    <t>صندوق س.آوان ژرف آگاه-س</t>
  </si>
  <si>
    <t>آوان</t>
  </si>
  <si>
    <t>بازرگاني آينده سازان بهشت پارس</t>
  </si>
  <si>
    <t>آينده</t>
  </si>
  <si>
    <t>بيمه زندگي باران</t>
  </si>
  <si>
    <t>باران</t>
  </si>
  <si>
    <t>پست پيشگامان</t>
  </si>
  <si>
    <t>بازرگام</t>
  </si>
  <si>
    <t>مهندسي ساختمان تاسيسات راه آهن</t>
  </si>
  <si>
    <t>بالاس</t>
  </si>
  <si>
    <t>كابل‌ البرز</t>
  </si>
  <si>
    <t>بالبر</t>
  </si>
  <si>
    <t>نيان باتري خاوران</t>
  </si>
  <si>
    <t>بانيان</t>
  </si>
  <si>
    <t>بانيان3</t>
  </si>
  <si>
    <t>كارخانجات كابلسازي ‌ايران‌</t>
  </si>
  <si>
    <t>بايكا</t>
  </si>
  <si>
    <t>بيمه پاسارگاد</t>
  </si>
  <si>
    <t>بپاس</t>
  </si>
  <si>
    <t>دانش محور پويا نيرو</t>
  </si>
  <si>
    <t>بپويا</t>
  </si>
  <si>
    <t>برق و انرژي پيوندگستر پارس</t>
  </si>
  <si>
    <t>بپيوند</t>
  </si>
  <si>
    <t>ايران‌ ترانسفو</t>
  </si>
  <si>
    <t>بترانس</t>
  </si>
  <si>
    <t>كارخانجات كابل سازي‌ تك‌</t>
  </si>
  <si>
    <t>بتك</t>
  </si>
  <si>
    <t>بيمه اتكايي تهران رواك</t>
  </si>
  <si>
    <t>بتهران</t>
  </si>
  <si>
    <t>بيمه زندگي ايساتيس</t>
  </si>
  <si>
    <t>بتيس</t>
  </si>
  <si>
    <t>توسعه مولد نيروگاهي جهرم</t>
  </si>
  <si>
    <t>بجهرم</t>
  </si>
  <si>
    <t>بيمه زندگي خاورميانه</t>
  </si>
  <si>
    <t>بخاور</t>
  </si>
  <si>
    <t>گروه دارويي بركت</t>
  </si>
  <si>
    <t>بركت</t>
  </si>
  <si>
    <t>بركت3</t>
  </si>
  <si>
    <t>نيروگاه زاگرس كوثر</t>
  </si>
  <si>
    <t>بزاگرس</t>
  </si>
  <si>
    <t>بيمه زندگي آگاه</t>
  </si>
  <si>
    <t>بزندگي</t>
  </si>
  <si>
    <t>بيمه سامان</t>
  </si>
  <si>
    <t>بساما</t>
  </si>
  <si>
    <t>پارس‌سويچ‌</t>
  </si>
  <si>
    <t>بسويچ</t>
  </si>
  <si>
    <t>لامپ‌  پارس‌ شهاب‌</t>
  </si>
  <si>
    <t>بشهاب</t>
  </si>
  <si>
    <t>صنايع‌جوشكاب‌يزد</t>
  </si>
  <si>
    <t>بكاب</t>
  </si>
  <si>
    <t>سيم و كابل ابهر</t>
  </si>
  <si>
    <t>بكابل</t>
  </si>
  <si>
    <t>كارخانجات توليدي شهيد قندي</t>
  </si>
  <si>
    <t>بكام</t>
  </si>
  <si>
    <t>توليد برق ماهتاب كهنوج</t>
  </si>
  <si>
    <t>بكهنوج</t>
  </si>
  <si>
    <t>توليد برق عسلويه  مپنا</t>
  </si>
  <si>
    <t>بمپنا</t>
  </si>
  <si>
    <t>موتوژن‌</t>
  </si>
  <si>
    <t>بموتو</t>
  </si>
  <si>
    <t>مولد نيروگاهي تجارت فارس</t>
  </si>
  <si>
    <t>بمولد</t>
  </si>
  <si>
    <t>بمولد3</t>
  </si>
  <si>
    <t>توسعه سرمايه گذاري ميلاد پارس</t>
  </si>
  <si>
    <t>بميلا</t>
  </si>
  <si>
    <t>بيمه تجارت نو</t>
  </si>
  <si>
    <t>بنو</t>
  </si>
  <si>
    <t>نيروترانس‌</t>
  </si>
  <si>
    <t>بنيرو</t>
  </si>
  <si>
    <t>بيمه زندگي هامرز</t>
  </si>
  <si>
    <t>بهامرز</t>
  </si>
  <si>
    <t>صنعتي بهپاك</t>
  </si>
  <si>
    <t>بهپاك</t>
  </si>
  <si>
    <t>بهپاك3</t>
  </si>
  <si>
    <t>س. توسعه تجارت هيرمند</t>
  </si>
  <si>
    <t>بهير</t>
  </si>
  <si>
    <t>بورس اوراق بهادار تهران</t>
  </si>
  <si>
    <t>بورس</t>
  </si>
  <si>
    <t>پتروشيمي بوعلي سينا</t>
  </si>
  <si>
    <t>بوعلي</t>
  </si>
  <si>
    <t>آنتي بيوتيك سازي ايران</t>
  </si>
  <si>
    <t>بيوتيك</t>
  </si>
  <si>
    <t>مجتمع صنعتي آرتاويل تاير</t>
  </si>
  <si>
    <t>پارتا</t>
  </si>
  <si>
    <t>پتروشيمي پارس</t>
  </si>
  <si>
    <t>پارس</t>
  </si>
  <si>
    <t>گسترش نفت و گاز پارسيان</t>
  </si>
  <si>
    <t>پارسان</t>
  </si>
  <si>
    <t>پارسان3</t>
  </si>
  <si>
    <t>بيمه پارسيان</t>
  </si>
  <si>
    <t>پارسيان</t>
  </si>
  <si>
    <t>پاريز شرق</t>
  </si>
  <si>
    <t>پاريز</t>
  </si>
  <si>
    <t>گروه صنعتي پاكشو</t>
  </si>
  <si>
    <t>پاكشو</t>
  </si>
  <si>
    <t>گ.س.وت.ص.پتروشيمي خليج فارس</t>
  </si>
  <si>
    <t>پترول</t>
  </si>
  <si>
    <t>س. و توسعه صنايع لاستيك</t>
  </si>
  <si>
    <t>پتوسعه</t>
  </si>
  <si>
    <t>پخش البرز</t>
  </si>
  <si>
    <t>پخش</t>
  </si>
  <si>
    <t>درخشان‌ تهران‌</t>
  </si>
  <si>
    <t>پدرخش</t>
  </si>
  <si>
    <t>به پرداخت ملت</t>
  </si>
  <si>
    <t>پرداخت</t>
  </si>
  <si>
    <t>سرمايه گذاري پرديس</t>
  </si>
  <si>
    <t>پرديس</t>
  </si>
  <si>
    <t>پرسپوليس</t>
  </si>
  <si>
    <t>صنايع‌ لاستيكي‌  سهند</t>
  </si>
  <si>
    <t>پسهند</t>
  </si>
  <si>
    <t>توليدي پلاستيك‌ شاهين</t>
  </si>
  <si>
    <t>پشاهن</t>
  </si>
  <si>
    <t>پكرمان3</t>
  </si>
  <si>
    <t>پكوير3</t>
  </si>
  <si>
    <t>كارخانجات توليدي پلاستيران</t>
  </si>
  <si>
    <t>پلاست</t>
  </si>
  <si>
    <t>پلاسكوكار</t>
  </si>
  <si>
    <t>پلاسك</t>
  </si>
  <si>
    <t>پرداخت الكترونيك پاسارگاد</t>
  </si>
  <si>
    <t>پي پاد</t>
  </si>
  <si>
    <t>مجتمع صنايع لاستيك يزد</t>
  </si>
  <si>
    <t>پيزد</t>
  </si>
  <si>
    <t>تجارت الكترونيك پارسيان كيش</t>
  </si>
  <si>
    <t>تاپكيش</t>
  </si>
  <si>
    <t>س. نفت و گاز و پتروشيمي تأمين</t>
  </si>
  <si>
    <t>تاپيكو</t>
  </si>
  <si>
    <t>كارخانجات صنعتي وتوليدي اتمسفر</t>
  </si>
  <si>
    <t>تاتمس</t>
  </si>
  <si>
    <t>س.كشت ودام صنايع لبني تامين</t>
  </si>
  <si>
    <t>تاديكو</t>
  </si>
  <si>
    <t>سرمايه گذاري صدرتامين</t>
  </si>
  <si>
    <t>تاصيكو</t>
  </si>
  <si>
    <t>تراكتورسازي‌ايران‌</t>
  </si>
  <si>
    <t>تايرا</t>
  </si>
  <si>
    <t>گروه كارخانجات صنعتي تبرك</t>
  </si>
  <si>
    <t>تبرك</t>
  </si>
  <si>
    <t>توليدتجهيزات‌سنگين‌هپكو</t>
  </si>
  <si>
    <t>تپكو</t>
  </si>
  <si>
    <t>پمپ‌ سازي‌ ايران‌</t>
  </si>
  <si>
    <t>تپمپي</t>
  </si>
  <si>
    <t>تپمپي3</t>
  </si>
  <si>
    <t>تجلي توسعه معادن و فلزات</t>
  </si>
  <si>
    <t>تجلي</t>
  </si>
  <si>
    <t>تامين سرمايه خليج فارس</t>
  </si>
  <si>
    <t>تفارس</t>
  </si>
  <si>
    <t>مهندسي فيروزا</t>
  </si>
  <si>
    <t>تفيرو</t>
  </si>
  <si>
    <t>تامين سرمايه كاردان</t>
  </si>
  <si>
    <t>تكاردان</t>
  </si>
  <si>
    <t>گسترش‌صنايع‌وخدمات‌كشاورزي‌</t>
  </si>
  <si>
    <t>تكشا</t>
  </si>
  <si>
    <t>كمباين‌ سازي‌ ايران‌</t>
  </si>
  <si>
    <t>تكمبا</t>
  </si>
  <si>
    <t>تكمبا3</t>
  </si>
  <si>
    <t>مجتمع معادن مس تكنار</t>
  </si>
  <si>
    <t>تكنار</t>
  </si>
  <si>
    <t>تكنوتار</t>
  </si>
  <si>
    <t>تكنو</t>
  </si>
  <si>
    <t>تامين سرمايه كيميا</t>
  </si>
  <si>
    <t>تكيميا</t>
  </si>
  <si>
    <t>دامداري تليسه نمونه</t>
  </si>
  <si>
    <t>تليسه</t>
  </si>
  <si>
    <t>تامين سرمايه دماوند</t>
  </si>
  <si>
    <t>تماوند</t>
  </si>
  <si>
    <t>ماشين سازي نيرو محركه</t>
  </si>
  <si>
    <t>تمحركه</t>
  </si>
  <si>
    <t>تامين سرمايه بانك ملت</t>
  </si>
  <si>
    <t>تملت</t>
  </si>
  <si>
    <t>تامين سرمايه نوين</t>
  </si>
  <si>
    <t>تنوين</t>
  </si>
  <si>
    <t>توكاريل</t>
  </si>
  <si>
    <t>توريل</t>
  </si>
  <si>
    <t>توريل3</t>
  </si>
  <si>
    <t>توسعه سامانه ي نرم افزاري نگين</t>
  </si>
  <si>
    <t>توسن</t>
  </si>
  <si>
    <t>سرمايه گذاري دارويي تامين</t>
  </si>
  <si>
    <t>تيپيكو</t>
  </si>
  <si>
    <t>بين‌المللي‌توسعه‌ساختمان</t>
  </si>
  <si>
    <t>ثاخت</t>
  </si>
  <si>
    <t>شركت‌ ساختمان‌ اصفهان‌</t>
  </si>
  <si>
    <t>ثاصفا</t>
  </si>
  <si>
    <t>سرمايه گذاري مسكن الوند</t>
  </si>
  <si>
    <t>ثالوند</t>
  </si>
  <si>
    <t>ثالوند3</t>
  </si>
  <si>
    <t>سامان‌ گستراصفهان‌</t>
  </si>
  <si>
    <t>ثامان</t>
  </si>
  <si>
    <t>توسعه و عمران اميد</t>
  </si>
  <si>
    <t>ثاميد</t>
  </si>
  <si>
    <t>شهر سازي و خانه سازي باغميشه</t>
  </si>
  <si>
    <t>ثباغ</t>
  </si>
  <si>
    <t>بهساز كاشانه تهران</t>
  </si>
  <si>
    <t>ثبهساز</t>
  </si>
  <si>
    <t>سرمايه گذاري مسكن پرديس</t>
  </si>
  <si>
    <t>ثپرديس</t>
  </si>
  <si>
    <t>توسعه ساختمان سپهر تهران</t>
  </si>
  <si>
    <t>ثپهران</t>
  </si>
  <si>
    <t>سرمايه گذاري مسكن تهران</t>
  </si>
  <si>
    <t>ثتران</t>
  </si>
  <si>
    <t>س.توسعه و عمران استان اردبيل</t>
  </si>
  <si>
    <t>ثتوسا</t>
  </si>
  <si>
    <t>سرمايه گذاري مسكن جنوب</t>
  </si>
  <si>
    <t>ثجنوب</t>
  </si>
  <si>
    <t>تامين مسكن جوانان</t>
  </si>
  <si>
    <t>ثجوان</t>
  </si>
  <si>
    <t>سرمايه‌گذاري مسكن زاينده رود</t>
  </si>
  <si>
    <t>ثرود</t>
  </si>
  <si>
    <t>سرمايه‌ گذاري‌ شاهد</t>
  </si>
  <si>
    <t>ثشاهد</t>
  </si>
  <si>
    <t>سرمايه گذاري مسكن شمال شرق</t>
  </si>
  <si>
    <t>ثشرق</t>
  </si>
  <si>
    <t>ثشرق3</t>
  </si>
  <si>
    <t>س. ساختماني اعتماد گستر</t>
  </si>
  <si>
    <t>ثعتما</t>
  </si>
  <si>
    <t>عمران و توسعه شاهد</t>
  </si>
  <si>
    <t>ثعمرا</t>
  </si>
  <si>
    <t>شركت سرمايه گذاري مسكن شمالغرب</t>
  </si>
  <si>
    <t>ثغرب</t>
  </si>
  <si>
    <t>عمران‌وتوسعه‌فارس‌</t>
  </si>
  <si>
    <t>ثفارس</t>
  </si>
  <si>
    <t>ثفارس3</t>
  </si>
  <si>
    <t>شركت عمران و سازندگي قزوين</t>
  </si>
  <si>
    <t>ثقزوي</t>
  </si>
  <si>
    <t>سرمايه‌گذاري‌ مسكن‌</t>
  </si>
  <si>
    <t>ثمسكن</t>
  </si>
  <si>
    <t>س ساختماني ب نام آوران مهندسي</t>
  </si>
  <si>
    <t>ثنام</t>
  </si>
  <si>
    <t>س. ساختماني نظام مهندسي ايران</t>
  </si>
  <si>
    <t>ثنظام</t>
  </si>
  <si>
    <t>سرمايه گذاري كوه نور</t>
  </si>
  <si>
    <t>ثنور</t>
  </si>
  <si>
    <t>نوسازي‌وساختمان‌تهران‌</t>
  </si>
  <si>
    <t>ثنوسا</t>
  </si>
  <si>
    <t>ثنوسا3</t>
  </si>
  <si>
    <t>پتروشيمي جم</t>
  </si>
  <si>
    <t>جم</t>
  </si>
  <si>
    <t>پتروشيمي جم پيلن</t>
  </si>
  <si>
    <t>جم پيلن</t>
  </si>
  <si>
    <t>پتروشيمي جهرم</t>
  </si>
  <si>
    <t>جهرم</t>
  </si>
  <si>
    <t>كشت و صنعت جوين</t>
  </si>
  <si>
    <t>جوين</t>
  </si>
  <si>
    <t>ص.چاپ وبسته بندي آسان قزوين</t>
  </si>
  <si>
    <t>چاپ</t>
  </si>
  <si>
    <t>چاپ3</t>
  </si>
  <si>
    <t>افست‌</t>
  </si>
  <si>
    <t>چافست</t>
  </si>
  <si>
    <t>صنايع چوب خزر كاسپين</t>
  </si>
  <si>
    <t>چخزر</t>
  </si>
  <si>
    <t>چخزر3</t>
  </si>
  <si>
    <t>توليدي چدن سازان</t>
  </si>
  <si>
    <t>چدن</t>
  </si>
  <si>
    <t>توليد فيبر ايران‌</t>
  </si>
  <si>
    <t>چفيبر</t>
  </si>
  <si>
    <t>كارتن‌ ايران‌</t>
  </si>
  <si>
    <t>چكارن</t>
  </si>
  <si>
    <t>چكارن3</t>
  </si>
  <si>
    <t>صنايع‌كاغذسازي‌كاوه‌</t>
  </si>
  <si>
    <t>چكاوه</t>
  </si>
  <si>
    <t>نيوپان‌ 22 بهمن‌</t>
  </si>
  <si>
    <t>چنوپا</t>
  </si>
  <si>
    <t>آسيا سير ارس</t>
  </si>
  <si>
    <t>حآسا</t>
  </si>
  <si>
    <t>ريل پرداز نو آفرين</t>
  </si>
  <si>
    <t>حآفرين</t>
  </si>
  <si>
    <t>توسعه حمل و نقل ريلي پارسيان</t>
  </si>
  <si>
    <t>حپارسا</t>
  </si>
  <si>
    <t>حمل و نقل پتروشيمي( سهامي عام</t>
  </si>
  <si>
    <t>حپترو</t>
  </si>
  <si>
    <t>پرتو بار فرابر خليج فارس</t>
  </si>
  <si>
    <t>حپرتو</t>
  </si>
  <si>
    <t>تايدواترخاورميانه</t>
  </si>
  <si>
    <t>حتايد</t>
  </si>
  <si>
    <t>حمل‌ونقل‌توكا</t>
  </si>
  <si>
    <t>حتوكا</t>
  </si>
  <si>
    <t>كشتيراني درياي خزر</t>
  </si>
  <si>
    <t>حخزر</t>
  </si>
  <si>
    <t>رهشاد سپاهان (سهامي عام</t>
  </si>
  <si>
    <t>حرهشا</t>
  </si>
  <si>
    <t>ريل پردازسير</t>
  </si>
  <si>
    <t>حريل</t>
  </si>
  <si>
    <t>ريل سير كوثر</t>
  </si>
  <si>
    <t>حسير</t>
  </si>
  <si>
    <t>توسعه خدمات دريايي وبندري سينا</t>
  </si>
  <si>
    <t>حسينا</t>
  </si>
  <si>
    <t>دليجان طلايي شكوه پارس</t>
  </si>
  <si>
    <t>حشكوه</t>
  </si>
  <si>
    <t>حمل و نقل بين المللي خليج فارس</t>
  </si>
  <si>
    <t>حفارس</t>
  </si>
  <si>
    <t>حفاري شمال</t>
  </si>
  <si>
    <t>حفاري</t>
  </si>
  <si>
    <t>حفاري3</t>
  </si>
  <si>
    <t>كشتيراني جمهوري اسلامي ايران</t>
  </si>
  <si>
    <t>حكشتي</t>
  </si>
  <si>
    <t>ريل گردش ايرانيان</t>
  </si>
  <si>
    <t>حگردش</t>
  </si>
  <si>
    <t>حمل و نقل گهرترابر سيرجان</t>
  </si>
  <si>
    <t>حگهر</t>
  </si>
  <si>
    <t>بيمه زندگي مفيد</t>
  </si>
  <si>
    <t>حيات</t>
  </si>
  <si>
    <t>حيات2</t>
  </si>
  <si>
    <t>سايپاآذين‌</t>
  </si>
  <si>
    <t>خاذين</t>
  </si>
  <si>
    <t>ايران خودرو ديزل</t>
  </si>
  <si>
    <t>خاور</t>
  </si>
  <si>
    <t>بازرسي مهندسي و صنعتي ايران</t>
  </si>
  <si>
    <t>خبازرس</t>
  </si>
  <si>
    <t>بنيان ديزل</t>
  </si>
  <si>
    <t>خبنيان</t>
  </si>
  <si>
    <t>گروه‌بهمن‌</t>
  </si>
  <si>
    <t>خبهمن</t>
  </si>
  <si>
    <t>خبهمن3</t>
  </si>
  <si>
    <t>پارس خودرو</t>
  </si>
  <si>
    <t>خپارس</t>
  </si>
  <si>
    <t>سازه‌ پويش‌</t>
  </si>
  <si>
    <t>خپويش</t>
  </si>
  <si>
    <t>ريخته‌گري‌ تراكتورسازي‌ ايران‌</t>
  </si>
  <si>
    <t>ختراك</t>
  </si>
  <si>
    <t>رادياتور ايران‌</t>
  </si>
  <si>
    <t>ختور</t>
  </si>
  <si>
    <t>قطعات‌ اتومبيل‌ ايران‌</t>
  </si>
  <si>
    <t>ختوقا</t>
  </si>
  <si>
    <t>ختوقا3</t>
  </si>
  <si>
    <t>چرخشگر</t>
  </si>
  <si>
    <t>خچرخش</t>
  </si>
  <si>
    <t>پتروشيمي خراسان</t>
  </si>
  <si>
    <t>خراسان</t>
  </si>
  <si>
    <t>صنايع‌ريخته‌گري‌ايران‌</t>
  </si>
  <si>
    <t>خريخت</t>
  </si>
  <si>
    <t>رينگ‌سازي‌مشهد</t>
  </si>
  <si>
    <t>خرينگ</t>
  </si>
  <si>
    <t>زامياد</t>
  </si>
  <si>
    <t>خزاميا</t>
  </si>
  <si>
    <t>فنرسازي‌زر</t>
  </si>
  <si>
    <t>خزر</t>
  </si>
  <si>
    <t>خزر3</t>
  </si>
  <si>
    <t>سايپا</t>
  </si>
  <si>
    <t>خساپا</t>
  </si>
  <si>
    <t>الكتريك‌ خودرو شرق‌</t>
  </si>
  <si>
    <t>خشرق</t>
  </si>
  <si>
    <t>توسعه و عمران شهرستان نائين</t>
  </si>
  <si>
    <t>خعمرا</t>
  </si>
  <si>
    <t>مهندسي صنعتي روان فن آور</t>
  </si>
  <si>
    <t>خفناور</t>
  </si>
  <si>
    <t>فنرسازي‌خاور</t>
  </si>
  <si>
    <t>خفنر</t>
  </si>
  <si>
    <t>خدمات فني فولاد يزد</t>
  </si>
  <si>
    <t>خفولا</t>
  </si>
  <si>
    <t>ايركا پارت صنعت</t>
  </si>
  <si>
    <t>خكار</t>
  </si>
  <si>
    <t>سايپا ديزل</t>
  </si>
  <si>
    <t>خكاوه</t>
  </si>
  <si>
    <t>كمك‌فنرايندامين‌</t>
  </si>
  <si>
    <t>خكمك</t>
  </si>
  <si>
    <t>خكمك3</t>
  </si>
  <si>
    <t>گسترش‌سرمايه‌گذاري‌ايران‌خودرو</t>
  </si>
  <si>
    <t>خگستر</t>
  </si>
  <si>
    <t>خگستر3</t>
  </si>
  <si>
    <t>لنت‌ ترمزايران‌</t>
  </si>
  <si>
    <t>خلنت</t>
  </si>
  <si>
    <t>خلنت3</t>
  </si>
  <si>
    <t>ماليبل سايپا</t>
  </si>
  <si>
    <t>خليبل</t>
  </si>
  <si>
    <t>نيرو محركه‌</t>
  </si>
  <si>
    <t>خمحركه</t>
  </si>
  <si>
    <t>خمحركه3</t>
  </si>
  <si>
    <t>توليدمحورخودرو</t>
  </si>
  <si>
    <t>خمحور</t>
  </si>
  <si>
    <t>مهركام‌پارس‌</t>
  </si>
  <si>
    <t>خمهر</t>
  </si>
  <si>
    <t>موتورسازان‌تراكتورسازي‌ايران‌</t>
  </si>
  <si>
    <t>خموتور</t>
  </si>
  <si>
    <t>مهندسي‌نصيرماشين‌</t>
  </si>
  <si>
    <t>خنصير</t>
  </si>
  <si>
    <t>نورايستا پلاستيك</t>
  </si>
  <si>
    <t>خنور</t>
  </si>
  <si>
    <t>خنور3</t>
  </si>
  <si>
    <t>خودرو3</t>
  </si>
  <si>
    <t>اقتصادي و خودكفايي آزادگان</t>
  </si>
  <si>
    <t>خودكفا</t>
  </si>
  <si>
    <t>محورسازان‌ايران‌خودرو</t>
  </si>
  <si>
    <t>خوساز</t>
  </si>
  <si>
    <t>ايمن خودرو شرق</t>
  </si>
  <si>
    <t>خيمن</t>
  </si>
  <si>
    <t>داروسازي‌ ابوريحان‌</t>
  </si>
  <si>
    <t>دابور</t>
  </si>
  <si>
    <t>گروه مالي داتام</t>
  </si>
  <si>
    <t>داتام</t>
  </si>
  <si>
    <t>داتام3</t>
  </si>
  <si>
    <t>پتروشيمي داراب</t>
  </si>
  <si>
    <t>داراب</t>
  </si>
  <si>
    <t>داروسازي‌ اسوه‌</t>
  </si>
  <si>
    <t>داسوه</t>
  </si>
  <si>
    <t>البرزدارو</t>
  </si>
  <si>
    <t>دالبر</t>
  </si>
  <si>
    <t>داروسازي‌ امين‌</t>
  </si>
  <si>
    <t>دامين</t>
  </si>
  <si>
    <t>بيمه دانا</t>
  </si>
  <si>
    <t>دانا</t>
  </si>
  <si>
    <t>داروسازي آوه سينا</t>
  </si>
  <si>
    <t>داوه</t>
  </si>
  <si>
    <t>مواد اوليه دارويي البرز بالك</t>
  </si>
  <si>
    <t>دبالك</t>
  </si>
  <si>
    <t>دبالك3</t>
  </si>
  <si>
    <t>توزيع دارو پخش</t>
  </si>
  <si>
    <t>دتوزيع</t>
  </si>
  <si>
    <t>داروسازي توليد دارو</t>
  </si>
  <si>
    <t>دتوليد</t>
  </si>
  <si>
    <t>داروسازي‌ جابرابن‌حيان‌</t>
  </si>
  <si>
    <t>دجابر</t>
  </si>
  <si>
    <t>الحاوي</t>
  </si>
  <si>
    <t>دحاوي</t>
  </si>
  <si>
    <t>داروسازي دانا</t>
  </si>
  <si>
    <t>ددانا</t>
  </si>
  <si>
    <t>دارويي‌ رازك‌</t>
  </si>
  <si>
    <t>درازك</t>
  </si>
  <si>
    <t>گروه صنعتي درپاد تبريز</t>
  </si>
  <si>
    <t>درپاد</t>
  </si>
  <si>
    <t>درپاد3</t>
  </si>
  <si>
    <t>دارويي ره آورد تامين</t>
  </si>
  <si>
    <t>درهآور</t>
  </si>
  <si>
    <t>داروسازي‌ روزدارو</t>
  </si>
  <si>
    <t>دروز</t>
  </si>
  <si>
    <t>داروسازي‌زهراوي‌</t>
  </si>
  <si>
    <t>دزهراوي</t>
  </si>
  <si>
    <t>داروسازي سبحان انكولوژي</t>
  </si>
  <si>
    <t>دسانكو</t>
  </si>
  <si>
    <t>شيمي‌ داروئي‌ داروپخش‌</t>
  </si>
  <si>
    <t>دشيمي</t>
  </si>
  <si>
    <t>لابراتوارداروسازي‌  دكترعبيدي‌</t>
  </si>
  <si>
    <t>دعبيد</t>
  </si>
  <si>
    <t>داروسازي شهيد قاضي</t>
  </si>
  <si>
    <t>دقاضي</t>
  </si>
  <si>
    <t>توليد ژلاتين كپسول ايران</t>
  </si>
  <si>
    <t>دكپسول</t>
  </si>
  <si>
    <t>داروسازي‌ كوثر</t>
  </si>
  <si>
    <t>دكوثر</t>
  </si>
  <si>
    <t>كيميدارو</t>
  </si>
  <si>
    <t>دكيمي</t>
  </si>
  <si>
    <t>داروسازي‌ اكسير</t>
  </si>
  <si>
    <t>دلر</t>
  </si>
  <si>
    <t>دارويي‌ لقمان‌</t>
  </si>
  <si>
    <t>دلقما</t>
  </si>
  <si>
    <t>توليد نيروي برق دماوند</t>
  </si>
  <si>
    <t>دماوند</t>
  </si>
  <si>
    <t>صنايع پتروشيمي دهدشت</t>
  </si>
  <si>
    <t>دهدشت</t>
  </si>
  <si>
    <t>بانك دي</t>
  </si>
  <si>
    <t>دي</t>
  </si>
  <si>
    <t>ايران‌دارو</t>
  </si>
  <si>
    <t>ديران</t>
  </si>
  <si>
    <t>زرين ذرت شاهرود</t>
  </si>
  <si>
    <t>ذرت</t>
  </si>
  <si>
    <t>ذوب آهن اصفهان</t>
  </si>
  <si>
    <t>ذوب</t>
  </si>
  <si>
    <t>رايان هم افزا</t>
  </si>
  <si>
    <t>رافزا</t>
  </si>
  <si>
    <t>خدمات‌انفورماتيك‌</t>
  </si>
  <si>
    <t>رانفور</t>
  </si>
  <si>
    <t>پويا</t>
  </si>
  <si>
    <t>رپويا</t>
  </si>
  <si>
    <t>تجارت الكترونيك  پارسيان</t>
  </si>
  <si>
    <t>رتاپ</t>
  </si>
  <si>
    <t>كنترل ‌خوردگي ‌تكين ‌كوي</t>
  </si>
  <si>
    <t>رتكو</t>
  </si>
  <si>
    <t>فروشگاه هاي زنجيره اي رفاه</t>
  </si>
  <si>
    <t>رفاه</t>
  </si>
  <si>
    <t>كارت اعتباري ايران كيش</t>
  </si>
  <si>
    <t>ركيش</t>
  </si>
  <si>
    <t>گروه مپنا (سهامي عام)</t>
  </si>
  <si>
    <t>رمپنا</t>
  </si>
  <si>
    <t>جنرال مكانيك</t>
  </si>
  <si>
    <t>رنيك</t>
  </si>
  <si>
    <t>توليد و صادرات ريشمك</t>
  </si>
  <si>
    <t>ريشمك</t>
  </si>
  <si>
    <t>پتروشيمي زاگرس</t>
  </si>
  <si>
    <t>زاگرس</t>
  </si>
  <si>
    <t>كشاورزي و دامپروري بينالود</t>
  </si>
  <si>
    <t>زبينا</t>
  </si>
  <si>
    <t>كشت و صنعت دشت خرم دره</t>
  </si>
  <si>
    <t>زدشت</t>
  </si>
  <si>
    <t>كشت وصنعت شريف آباد</t>
  </si>
  <si>
    <t>زشريف</t>
  </si>
  <si>
    <t>شير و گوشت زاگرس شهركرد</t>
  </si>
  <si>
    <t>زشگزا</t>
  </si>
  <si>
    <t>زشگزا3</t>
  </si>
  <si>
    <t>كشت و دامداري فكا</t>
  </si>
  <si>
    <t>زفكا</t>
  </si>
  <si>
    <t>زفكا2</t>
  </si>
  <si>
    <t>كشت و دام قيام اصفهان</t>
  </si>
  <si>
    <t>زقيام</t>
  </si>
  <si>
    <t>كشاورزي مكانيزه اصفهان كشت</t>
  </si>
  <si>
    <t>زكشت</t>
  </si>
  <si>
    <t>سرمايه گذاري كشاورزي كوثر</t>
  </si>
  <si>
    <t>زكوثر</t>
  </si>
  <si>
    <t>كشت و دام گلدشت نمونه اصفهان</t>
  </si>
  <si>
    <t>زگلدشت</t>
  </si>
  <si>
    <t>مجتمع توليد گوشت مرغ ماهان</t>
  </si>
  <si>
    <t>زماهان</t>
  </si>
  <si>
    <t>زماهان3</t>
  </si>
  <si>
    <t>زمگسا3</t>
  </si>
  <si>
    <t>كشاورزي و دامپروري ملارد شير</t>
  </si>
  <si>
    <t>زملارد</t>
  </si>
  <si>
    <t>زملارد3</t>
  </si>
  <si>
    <t>صنايع كشاورزي وكود زنجان</t>
  </si>
  <si>
    <t>زنجان</t>
  </si>
  <si>
    <t>صنعت روي زنگان</t>
  </si>
  <si>
    <t>زنگان</t>
  </si>
  <si>
    <t>زنگان3</t>
  </si>
  <si>
    <t>كشت و صنعت هلال</t>
  </si>
  <si>
    <t>زهلال</t>
  </si>
  <si>
    <t>آذريت‌</t>
  </si>
  <si>
    <t>ساذري</t>
  </si>
  <si>
    <t>ساربيل3</t>
  </si>
  <si>
    <t>سيمان‌اروميه‌</t>
  </si>
  <si>
    <t>سآبيك3</t>
  </si>
  <si>
    <t>سيمان لار سبزوار</t>
  </si>
  <si>
    <t>پرداخت الكترونيك سامان كيش</t>
  </si>
  <si>
    <t>سپ</t>
  </si>
  <si>
    <t>سيمان‌سپاهان‌</t>
  </si>
  <si>
    <t>سپاها3</t>
  </si>
  <si>
    <t>سپيد ماكيان</t>
  </si>
  <si>
    <t>سپيد</t>
  </si>
  <si>
    <t>سپيدار سيستم آسيا</t>
  </si>
  <si>
    <t>سپيدار</t>
  </si>
  <si>
    <t>ستران3</t>
  </si>
  <si>
    <t>سجام3</t>
  </si>
  <si>
    <t>سخاش3</t>
  </si>
  <si>
    <t>صندوق س.سپهرخبرگان نفت-د</t>
  </si>
  <si>
    <t>سخند</t>
  </si>
  <si>
    <t>سخوز3</t>
  </si>
  <si>
    <t>س. تدبيرگران فارس وخوزستان</t>
  </si>
  <si>
    <t>سدبير</t>
  </si>
  <si>
    <t>صنايع سيمان دشتستان</t>
  </si>
  <si>
    <t>سدشت3</t>
  </si>
  <si>
    <t>سيمان‌ دورود</t>
  </si>
  <si>
    <t>سرمايه گذاري مس سرچشمه</t>
  </si>
  <si>
    <t>سرچشمه</t>
  </si>
  <si>
    <t>سرچشمه3</t>
  </si>
  <si>
    <t>سيمان‌شاهرود</t>
  </si>
  <si>
    <t>سيمان‌اصفهان‌</t>
  </si>
  <si>
    <t>سصفها3</t>
  </si>
  <si>
    <t>توسعه سرمايه و صنعت غدير</t>
  </si>
  <si>
    <t>سغدير</t>
  </si>
  <si>
    <t>سيمان‌فارس‌</t>
  </si>
  <si>
    <t>سفارس3</t>
  </si>
  <si>
    <t>كارخانه فارسيت درود</t>
  </si>
  <si>
    <t>سفارود</t>
  </si>
  <si>
    <t>شركت فارسيت اهواز</t>
  </si>
  <si>
    <t>سفاسي</t>
  </si>
  <si>
    <t>سقاين3</t>
  </si>
  <si>
    <t>سيمان كارون</t>
  </si>
  <si>
    <t>سيمان‌مازندران‌</t>
  </si>
  <si>
    <t>بانك سرمايه</t>
  </si>
  <si>
    <t>سمايه</t>
  </si>
  <si>
    <t>گروه سرمايه گذاري ميراث فرهنگي</t>
  </si>
  <si>
    <t>سمگا</t>
  </si>
  <si>
    <t>سرمايه گذاري اقتصاد نوين</t>
  </si>
  <si>
    <t>سنوين</t>
  </si>
  <si>
    <t>سيمان‌ سفيد ني‌ريز</t>
  </si>
  <si>
    <t>سنير</t>
  </si>
  <si>
    <t>سهرمز3</t>
  </si>
  <si>
    <t>سرمايه گذاري سيمان تامين</t>
  </si>
  <si>
    <t>سيتا</t>
  </si>
  <si>
    <t>همكاران سيستم</t>
  </si>
  <si>
    <t>سيستم</t>
  </si>
  <si>
    <t>سيسكو3</t>
  </si>
  <si>
    <t>سيمان‌ ايلام‌</t>
  </si>
  <si>
    <t>سيمرغ</t>
  </si>
  <si>
    <t>سيمرغ2</t>
  </si>
  <si>
    <t>سيمرغ3</t>
  </si>
  <si>
    <t>پتروشيمي اروميه</t>
  </si>
  <si>
    <t>شاروم</t>
  </si>
  <si>
    <t>معدني‌ املاح‌  ايران‌</t>
  </si>
  <si>
    <t>شاملا</t>
  </si>
  <si>
    <t>پالايش نفت تبريز</t>
  </si>
  <si>
    <t>شبريز</t>
  </si>
  <si>
    <t>شبهرن3</t>
  </si>
  <si>
    <t>بين‌ المللي‌ محصولات‌  پارس‌</t>
  </si>
  <si>
    <t>شپارس</t>
  </si>
  <si>
    <t>نفت پاسارگاد</t>
  </si>
  <si>
    <t>شپاس</t>
  </si>
  <si>
    <t>پتروشيمي آبادان</t>
  </si>
  <si>
    <t>شپترو</t>
  </si>
  <si>
    <t>پلي اكريل ايران</t>
  </si>
  <si>
    <t>شپلي</t>
  </si>
  <si>
    <t>توكا رنگ فولاد سپاهان</t>
  </si>
  <si>
    <t>شتوكا</t>
  </si>
  <si>
    <t>صنايع پتروشيمي تخت جمشيد</t>
  </si>
  <si>
    <t>شجم</t>
  </si>
  <si>
    <t>دوده‌ صنعتي‌ پارس‌</t>
  </si>
  <si>
    <t>شدوص</t>
  </si>
  <si>
    <t>پالايش نفت شيراز</t>
  </si>
  <si>
    <t>شراز</t>
  </si>
  <si>
    <t>شيميايي رنگين</t>
  </si>
  <si>
    <t>شرنگي</t>
  </si>
  <si>
    <t>مهندسي و ساختمان صنايع نفت</t>
  </si>
  <si>
    <t>شساخت</t>
  </si>
  <si>
    <t>نفت سپاهان</t>
  </si>
  <si>
    <t>شسپا</t>
  </si>
  <si>
    <t>سرمايه گذاري تامين اجتماعي</t>
  </si>
  <si>
    <t>شستا</t>
  </si>
  <si>
    <t>پتروشيمي شهيد رئيسي گلستان</t>
  </si>
  <si>
    <t>شستان</t>
  </si>
  <si>
    <t>صنايع‌شيميايي‌سينا</t>
  </si>
  <si>
    <t>شسينا</t>
  </si>
  <si>
    <t>شسينا3</t>
  </si>
  <si>
    <t>صنعتي دوده فام</t>
  </si>
  <si>
    <t>شصدف</t>
  </si>
  <si>
    <t>پتروشيمي غدير</t>
  </si>
  <si>
    <t>شغدير</t>
  </si>
  <si>
    <t>سرمايه گذاري شفادارو</t>
  </si>
  <si>
    <t>شفا</t>
  </si>
  <si>
    <t>پتروشيمي فارابي</t>
  </si>
  <si>
    <t>شفارا</t>
  </si>
  <si>
    <t>صنايع‌ شيميايي‌ فارس‌</t>
  </si>
  <si>
    <t>شفارس</t>
  </si>
  <si>
    <t>شفارس3</t>
  </si>
  <si>
    <t>توليدي و صنعتي گوهرفام</t>
  </si>
  <si>
    <t>شفام</t>
  </si>
  <si>
    <t>پتروشيمي فناوران</t>
  </si>
  <si>
    <t>شفن</t>
  </si>
  <si>
    <t>صنايع شيميايي كيمياگران امروز</t>
  </si>
  <si>
    <t>شكام</t>
  </si>
  <si>
    <t>پتروشيمي اميركبير</t>
  </si>
  <si>
    <t>شكبير</t>
  </si>
  <si>
    <t>كربن‌ ايران‌</t>
  </si>
  <si>
    <t>شكربن</t>
  </si>
  <si>
    <t>نيروكلر</t>
  </si>
  <si>
    <t>شكلر</t>
  </si>
  <si>
    <t>مجتمع پترو صنعت گامرون</t>
  </si>
  <si>
    <t>شگامرن</t>
  </si>
  <si>
    <t>گسترش سوخت سبززاگرس(سهامي عام)</t>
  </si>
  <si>
    <t>شگستر</t>
  </si>
  <si>
    <t>كود شيميايي اوره لردگان</t>
  </si>
  <si>
    <t>شلرد</t>
  </si>
  <si>
    <t>لعابيران‌</t>
  </si>
  <si>
    <t>شلعاب</t>
  </si>
  <si>
    <t>شلعاب3</t>
  </si>
  <si>
    <t>توليد انرژي برق شمس پاسارگاد</t>
  </si>
  <si>
    <t>شمس</t>
  </si>
  <si>
    <t>ملي شيمي كشاورز</t>
  </si>
  <si>
    <t>شملي</t>
  </si>
  <si>
    <t>شملي3</t>
  </si>
  <si>
    <t>توليد مواداوليه الياف مصنوعي</t>
  </si>
  <si>
    <t>شمواد</t>
  </si>
  <si>
    <t>نفت‌ پارس‌</t>
  </si>
  <si>
    <t>شنفت</t>
  </si>
  <si>
    <t>شنفت3</t>
  </si>
  <si>
    <t>گروه مالي شهر</t>
  </si>
  <si>
    <t>شهر2</t>
  </si>
  <si>
    <t>شهر3</t>
  </si>
  <si>
    <t>مديريت صنعت شوينده ت.ص.بهشهر</t>
  </si>
  <si>
    <t>شوينده</t>
  </si>
  <si>
    <t>س. صنايع‌شيميايي‌ايران</t>
  </si>
  <si>
    <t>شيران</t>
  </si>
  <si>
    <t>گروه مالي صبا تامين</t>
  </si>
  <si>
    <t>صبا</t>
  </si>
  <si>
    <t>بهار رز عاليس چناران</t>
  </si>
  <si>
    <t>عاليس</t>
  </si>
  <si>
    <t>كشت‌وصنعت‌پياذر</t>
  </si>
  <si>
    <t>غاذر</t>
  </si>
  <si>
    <t>لبنيات‌ كالبر</t>
  </si>
  <si>
    <t>غالبر</t>
  </si>
  <si>
    <t>صنعتي‌ بهشهر</t>
  </si>
  <si>
    <t>غبشهر</t>
  </si>
  <si>
    <t>كشت وصنعت بهاران گلبهار خراسان</t>
  </si>
  <si>
    <t>غبهار</t>
  </si>
  <si>
    <t>لبنيات‌ پاك‌</t>
  </si>
  <si>
    <t>غپاك</t>
  </si>
  <si>
    <t>شير پگاه آذربايجان شرقي</t>
  </si>
  <si>
    <t>غپآذر</t>
  </si>
  <si>
    <t>نوش پونه مشهد</t>
  </si>
  <si>
    <t>غپونه</t>
  </si>
  <si>
    <t>پارس‌ مينو</t>
  </si>
  <si>
    <t>غپينو</t>
  </si>
  <si>
    <t>كشت‌ و صنعت‌ چين‌ چين</t>
  </si>
  <si>
    <t>غچين</t>
  </si>
  <si>
    <t>غچين2</t>
  </si>
  <si>
    <t>خوراك‌  دام‌ پارس‌</t>
  </si>
  <si>
    <t>غدام</t>
  </si>
  <si>
    <t>پنبه و دانه هاي روغني خراسان</t>
  </si>
  <si>
    <t>غدانه</t>
  </si>
  <si>
    <t>دشت‌ مرغاب‌</t>
  </si>
  <si>
    <t>غدشت</t>
  </si>
  <si>
    <t>پاكديس</t>
  </si>
  <si>
    <t>غديس</t>
  </si>
  <si>
    <t>غزر3</t>
  </si>
  <si>
    <t>پگاه‌آذربايجان‌غربي‌</t>
  </si>
  <si>
    <t>غشاذر</t>
  </si>
  <si>
    <t>شيرپاستوريزه‌پگاه‌خراسان‌</t>
  </si>
  <si>
    <t>غشان</t>
  </si>
  <si>
    <t>شيرپاستوريزه‌پگاه‌اصفهان‌</t>
  </si>
  <si>
    <t>غشصفا</t>
  </si>
  <si>
    <t>شهد ايران ‌</t>
  </si>
  <si>
    <t>غشهد</t>
  </si>
  <si>
    <t>كشت و صنعت شهداب ناب خراسان</t>
  </si>
  <si>
    <t>غشهداب</t>
  </si>
  <si>
    <t>شوكو پارس</t>
  </si>
  <si>
    <t>غشوكو</t>
  </si>
  <si>
    <t>صنعتي مينو</t>
  </si>
  <si>
    <t>غصينو</t>
  </si>
  <si>
    <t>غصينو3</t>
  </si>
  <si>
    <t>شير پاستوريزه پگاه فارس</t>
  </si>
  <si>
    <t>غفارس</t>
  </si>
  <si>
    <t>صنايع غذايي سكه</t>
  </si>
  <si>
    <t>غگز</t>
  </si>
  <si>
    <t>گلوكوزان‌</t>
  </si>
  <si>
    <t>غگل</t>
  </si>
  <si>
    <t>شير پاستوريزه پگاه گلپايگان</t>
  </si>
  <si>
    <t>غگلپا</t>
  </si>
  <si>
    <t>شير پاستوريزه پگاه گلستان</t>
  </si>
  <si>
    <t>غگلستا</t>
  </si>
  <si>
    <t>غگلستا3</t>
  </si>
  <si>
    <t>شيرپاستوريزه پگاه گيلان</t>
  </si>
  <si>
    <t>غگيلا</t>
  </si>
  <si>
    <t>غگيلا3</t>
  </si>
  <si>
    <t>مارگارين</t>
  </si>
  <si>
    <t>غمارگ</t>
  </si>
  <si>
    <t>شركت خميرمايه رضوي</t>
  </si>
  <si>
    <t>غمايه</t>
  </si>
  <si>
    <t>روغن‌ نباتي‌ ناب</t>
  </si>
  <si>
    <t>غناب</t>
  </si>
  <si>
    <t>نوش‌ مازندران‌</t>
  </si>
  <si>
    <t>غنوش</t>
  </si>
  <si>
    <t>غنوش3</t>
  </si>
  <si>
    <t>مجتمع توليدي نيلي صنعت كرمان</t>
  </si>
  <si>
    <t>غنيلي</t>
  </si>
  <si>
    <t>ويتانا</t>
  </si>
  <si>
    <t>غويتا</t>
  </si>
  <si>
    <t>ماشين‌ سازي‌ اراك‌</t>
  </si>
  <si>
    <t>فاراك</t>
  </si>
  <si>
    <t>صنايع پتروشيمي خليج فارس</t>
  </si>
  <si>
    <t>فارس</t>
  </si>
  <si>
    <t>فارس2</t>
  </si>
  <si>
    <t>فولاد افزا سپاهان</t>
  </si>
  <si>
    <t>فافزا</t>
  </si>
  <si>
    <t>صنايع مس افق كرمان</t>
  </si>
  <si>
    <t>فافق</t>
  </si>
  <si>
    <t>آلومتك</t>
  </si>
  <si>
    <t>فالوم</t>
  </si>
  <si>
    <t>صنعتي‌ آما</t>
  </si>
  <si>
    <t>فاما</t>
  </si>
  <si>
    <t>نورد و لوله اهواز</t>
  </si>
  <si>
    <t>فاهواز</t>
  </si>
  <si>
    <t>آلومينيوم‌ايران‌</t>
  </si>
  <si>
    <t>فايرا</t>
  </si>
  <si>
    <t>فباهنر3</t>
  </si>
  <si>
    <t>صنايع ‌بسته‌بندي‌ مشهد</t>
  </si>
  <si>
    <t>فبستم</t>
  </si>
  <si>
    <t>بسته‌ بندي‌ ايران‌</t>
  </si>
  <si>
    <t>فبيرا</t>
  </si>
  <si>
    <t>سپنتا</t>
  </si>
  <si>
    <t>فپنتا</t>
  </si>
  <si>
    <t>توليد و توسعه سرب روي ايرانيان</t>
  </si>
  <si>
    <t>فتوسا</t>
  </si>
  <si>
    <t>جام‌دارو</t>
  </si>
  <si>
    <t>فجام</t>
  </si>
  <si>
    <t>فجر3</t>
  </si>
  <si>
    <t>جهان فولاد سيرجان</t>
  </si>
  <si>
    <t>فجهان</t>
  </si>
  <si>
    <t>فجهان3</t>
  </si>
  <si>
    <t>فولاد خراسان</t>
  </si>
  <si>
    <t>فخاس</t>
  </si>
  <si>
    <t>فخاس3</t>
  </si>
  <si>
    <t>فرابورس ايران</t>
  </si>
  <si>
    <t>فرابورس</t>
  </si>
  <si>
    <t>فرآوري‌موادمعدني‌ايران‌</t>
  </si>
  <si>
    <t>فرآور</t>
  </si>
  <si>
    <t>فولاد شاهرود</t>
  </si>
  <si>
    <t>فرود</t>
  </si>
  <si>
    <t>صنايع فروآلياژ ايران</t>
  </si>
  <si>
    <t>فروژ</t>
  </si>
  <si>
    <t>فروژ3</t>
  </si>
  <si>
    <t>فروسيليس‌ ايران‌</t>
  </si>
  <si>
    <t>فروس</t>
  </si>
  <si>
    <t>فروسيليسيم خمين</t>
  </si>
  <si>
    <t>فروسيل</t>
  </si>
  <si>
    <t>پويا زركان آق دره</t>
  </si>
  <si>
    <t>فزر</t>
  </si>
  <si>
    <t>زرين معدن آسيا</t>
  </si>
  <si>
    <t>فزرين</t>
  </si>
  <si>
    <t>پتروشيمي فسا</t>
  </si>
  <si>
    <t>فسا</t>
  </si>
  <si>
    <t>غلتك سازان سپاهان</t>
  </si>
  <si>
    <t>فسازان</t>
  </si>
  <si>
    <t>فسازان3</t>
  </si>
  <si>
    <t>فسپا3</t>
  </si>
  <si>
    <t>لوله‌وتجهيزات‌ سديد</t>
  </si>
  <si>
    <t>فسديد</t>
  </si>
  <si>
    <t>ملي‌ سرب‌وروي‌ ايران‌</t>
  </si>
  <si>
    <t>فسرب</t>
  </si>
  <si>
    <t>فسرب3</t>
  </si>
  <si>
    <t>سوژميران</t>
  </si>
  <si>
    <t>فسوژ</t>
  </si>
  <si>
    <t>فسوژ3</t>
  </si>
  <si>
    <t>فصبا3</t>
  </si>
  <si>
    <t>طلوع فولاد پارس</t>
  </si>
  <si>
    <t>فطلوع</t>
  </si>
  <si>
    <t>آهن و فولاد غدير ايرانيان</t>
  </si>
  <si>
    <t>فغدير</t>
  </si>
  <si>
    <t>گسترش قطعه سازي كمند</t>
  </si>
  <si>
    <t>فكمند</t>
  </si>
  <si>
    <t>گسترش صنايع روي ايرانيان</t>
  </si>
  <si>
    <t>فگستر</t>
  </si>
  <si>
    <t>گروه صنايع معادن فلات ايرانيان</t>
  </si>
  <si>
    <t>فلات</t>
  </si>
  <si>
    <t>لاميران‌</t>
  </si>
  <si>
    <t>فلامي</t>
  </si>
  <si>
    <t>ماداكتو استيل كرد</t>
  </si>
  <si>
    <t>فماك</t>
  </si>
  <si>
    <t>آلومراد</t>
  </si>
  <si>
    <t>فمراد</t>
  </si>
  <si>
    <t>فملي3</t>
  </si>
  <si>
    <t>فن افزار</t>
  </si>
  <si>
    <t>گروه فن آوا</t>
  </si>
  <si>
    <t>فن آوا</t>
  </si>
  <si>
    <t>پارس فنر</t>
  </si>
  <si>
    <t>فنر</t>
  </si>
  <si>
    <t>صنايع تجهيزات نفت</t>
  </si>
  <si>
    <t>فنفت</t>
  </si>
  <si>
    <t>فنفت3</t>
  </si>
  <si>
    <t>نورد آلومينيوم‌</t>
  </si>
  <si>
    <t>فنوال</t>
  </si>
  <si>
    <t>نوردوقطعات‌ فولادي‌</t>
  </si>
  <si>
    <t>فنورد</t>
  </si>
  <si>
    <t>آلياژ گستر هامون</t>
  </si>
  <si>
    <t>فهامون</t>
  </si>
  <si>
    <t>فولاد كاويان</t>
  </si>
  <si>
    <t>فوكا</t>
  </si>
  <si>
    <t>فوكا3</t>
  </si>
  <si>
    <t>فولاد آلياژي ايران</t>
  </si>
  <si>
    <t>فولاژ</t>
  </si>
  <si>
    <t>فولاژ3</t>
  </si>
  <si>
    <t>قند اروميه</t>
  </si>
  <si>
    <t>قاروم</t>
  </si>
  <si>
    <t>قاسم ايران</t>
  </si>
  <si>
    <t>قاسم</t>
  </si>
  <si>
    <t>قاسم3</t>
  </si>
  <si>
    <t>فرآورده‌هاي‌غدايي‌وقندپيرانشهر</t>
  </si>
  <si>
    <t>قپيرا</t>
  </si>
  <si>
    <t>قند تربت حيدريه</t>
  </si>
  <si>
    <t>قتربت</t>
  </si>
  <si>
    <t>قند ثابت‌ خراسان‌</t>
  </si>
  <si>
    <t>قثابت</t>
  </si>
  <si>
    <t>فرآوردههاي غذايي وقندتربت‌جام‌</t>
  </si>
  <si>
    <t>قجام</t>
  </si>
  <si>
    <t>فراوردههاي غذايي وقند چهارمحال</t>
  </si>
  <si>
    <t>قچار</t>
  </si>
  <si>
    <t>قچار3</t>
  </si>
  <si>
    <t>پديده شيمي قرن</t>
  </si>
  <si>
    <t>قرن</t>
  </si>
  <si>
    <t>قرن2</t>
  </si>
  <si>
    <t>قرن3</t>
  </si>
  <si>
    <t>كارخانجات‌ قند قزوين‌</t>
  </si>
  <si>
    <t>قزوين</t>
  </si>
  <si>
    <t>قند شيرين خراسان</t>
  </si>
  <si>
    <t>قشرين</t>
  </si>
  <si>
    <t>شكر</t>
  </si>
  <si>
    <t>قشكر</t>
  </si>
  <si>
    <t>قشكر3</t>
  </si>
  <si>
    <t>شهد</t>
  </si>
  <si>
    <t>قشهد</t>
  </si>
  <si>
    <t>قند شيروان قوچان و بجنورد</t>
  </si>
  <si>
    <t>قشير</t>
  </si>
  <si>
    <t>قشير3</t>
  </si>
  <si>
    <t>قنداصفهان‌</t>
  </si>
  <si>
    <t>قصفها</t>
  </si>
  <si>
    <t>قصفها3</t>
  </si>
  <si>
    <t>قند لرستان‌</t>
  </si>
  <si>
    <t>قلرست</t>
  </si>
  <si>
    <t>قند مرودشت‌</t>
  </si>
  <si>
    <t>قمرو</t>
  </si>
  <si>
    <t>قند نقش جهان</t>
  </si>
  <si>
    <t>قنقش</t>
  </si>
  <si>
    <t>قند  نيشابور</t>
  </si>
  <si>
    <t>قنيشا</t>
  </si>
  <si>
    <t>قندهكمتان‌</t>
  </si>
  <si>
    <t>قهكمت</t>
  </si>
  <si>
    <t>شركت قند بيستون</t>
  </si>
  <si>
    <t>قيستو</t>
  </si>
  <si>
    <t>توليدي و صنعتي آبگينه‌</t>
  </si>
  <si>
    <t>كابگن</t>
  </si>
  <si>
    <t>صنايع سرام آرا</t>
  </si>
  <si>
    <t>كارام</t>
  </si>
  <si>
    <t>بيمه زندگي كاريزما</t>
  </si>
  <si>
    <t>كاريز</t>
  </si>
  <si>
    <t>پتروشيمي كازرون</t>
  </si>
  <si>
    <t>كازرو</t>
  </si>
  <si>
    <t>بورس كالاي ايران</t>
  </si>
  <si>
    <t>كالا</t>
  </si>
  <si>
    <t>باما</t>
  </si>
  <si>
    <t>كاما</t>
  </si>
  <si>
    <t>فولاد كاوه جنوب كيش</t>
  </si>
  <si>
    <t>كاوه</t>
  </si>
  <si>
    <t>كاوه3</t>
  </si>
  <si>
    <t>ايتالران‌</t>
  </si>
  <si>
    <t>كايتا</t>
  </si>
  <si>
    <t>فرانسوز يزد</t>
  </si>
  <si>
    <t>كايزد</t>
  </si>
  <si>
    <t>توليد خاك نسوزاستقلال آباده</t>
  </si>
  <si>
    <t>كباده</t>
  </si>
  <si>
    <t>معادن‌ بافق‌</t>
  </si>
  <si>
    <t>كبافق</t>
  </si>
  <si>
    <t>كبافق3</t>
  </si>
  <si>
    <t>كاشي‌ پارس‌</t>
  </si>
  <si>
    <t>كپارس</t>
  </si>
  <si>
    <t>كپارس3</t>
  </si>
  <si>
    <t>مجتمع كاشي و سنگ پرسپوليس يزد</t>
  </si>
  <si>
    <t>كپرسپوليس</t>
  </si>
  <si>
    <t>كپرسپوليس3</t>
  </si>
  <si>
    <t>فرآوري زغال سنگ پروده طبس</t>
  </si>
  <si>
    <t>كپرور</t>
  </si>
  <si>
    <t>پشم‌شيشه‌ايران‌</t>
  </si>
  <si>
    <t>كپشير</t>
  </si>
  <si>
    <t>توليدي‌ كاشي‌ تكسرام‌</t>
  </si>
  <si>
    <t>كترام</t>
  </si>
  <si>
    <t>توسعه صنايع و معادن كوثر</t>
  </si>
  <si>
    <t>كتوسعه</t>
  </si>
  <si>
    <t>توليدي و خدمات صنايع نسوز توكا</t>
  </si>
  <si>
    <t>كتوكا</t>
  </si>
  <si>
    <t>كچاد3</t>
  </si>
  <si>
    <t>كاشي‌ وسراميك‌ حافظ‌</t>
  </si>
  <si>
    <t>كحافظ</t>
  </si>
  <si>
    <t>صنايع‌خاك‌چيني‌ايران‌</t>
  </si>
  <si>
    <t>كخاك</t>
  </si>
  <si>
    <t>معدني‌ دماوند</t>
  </si>
  <si>
    <t>كدما</t>
  </si>
  <si>
    <t>كارخانجات‌توليدي‌شيشه‌رازي‌</t>
  </si>
  <si>
    <t>كرازي</t>
  </si>
  <si>
    <t>كرازي3</t>
  </si>
  <si>
    <t>كاني كربن طبس</t>
  </si>
  <si>
    <t>كربن</t>
  </si>
  <si>
    <t>كربن3</t>
  </si>
  <si>
    <t>توسعه معادن كروميت كاوندگان</t>
  </si>
  <si>
    <t>كروميت</t>
  </si>
  <si>
    <t>زغال سنگ پروده طبس</t>
  </si>
  <si>
    <t>كزغال</t>
  </si>
  <si>
    <t>سايپاشيشه‌</t>
  </si>
  <si>
    <t>كساپا</t>
  </si>
  <si>
    <t>صنايع‌ كاشي‌ و سراميك‌ سينا</t>
  </si>
  <si>
    <t>كساوه</t>
  </si>
  <si>
    <t>سراميك‌هاي‌صنعتي‌اردكان‌</t>
  </si>
  <si>
    <t>كسرا</t>
  </si>
  <si>
    <t>پارس‌ سرام‌</t>
  </si>
  <si>
    <t>كسرام</t>
  </si>
  <si>
    <t>كاشي‌ سعدي‌</t>
  </si>
  <si>
    <t>كسعدي</t>
  </si>
  <si>
    <t>صنعتي و معدني شمال شرق شاهرود</t>
  </si>
  <si>
    <t>كشرق</t>
  </si>
  <si>
    <t>كاشي صدف سرام استقلال آباده</t>
  </si>
  <si>
    <t>كصدف</t>
  </si>
  <si>
    <t>ذغال‌سنگ‌ نگين‌ ط‌بس‌</t>
  </si>
  <si>
    <t>كطبس</t>
  </si>
  <si>
    <t>فرآورده‌هاي‌ نسوز پارس‌</t>
  </si>
  <si>
    <t>كفپارس</t>
  </si>
  <si>
    <t>كفپارس3</t>
  </si>
  <si>
    <t>فراورده‌ هاي‌ نسوزايران‌</t>
  </si>
  <si>
    <t>كفرا</t>
  </si>
  <si>
    <t>كفرا3</t>
  </si>
  <si>
    <t>فرآورده هاي سيمان شرق</t>
  </si>
  <si>
    <t>كفرآور</t>
  </si>
  <si>
    <t>شيشه‌ و گاز</t>
  </si>
  <si>
    <t>كگاز</t>
  </si>
  <si>
    <t>معدني و صنعتي گل گهر</t>
  </si>
  <si>
    <t>كگل</t>
  </si>
  <si>
    <t>كگل2</t>
  </si>
  <si>
    <t>كگل3</t>
  </si>
  <si>
    <t>كلر پارس</t>
  </si>
  <si>
    <t>كلر</t>
  </si>
  <si>
    <t>كاشي‌ الوند</t>
  </si>
  <si>
    <t>كلوند</t>
  </si>
  <si>
    <t>كلوند2</t>
  </si>
  <si>
    <t>كلوند3</t>
  </si>
  <si>
    <t>تامين‌ ماسه‌ ريخته‌گري‌</t>
  </si>
  <si>
    <t>كماسه</t>
  </si>
  <si>
    <t>بازرگاني و توليدي مرجان كار</t>
  </si>
  <si>
    <t>كمرجان</t>
  </si>
  <si>
    <t>معادن‌منگنزايران‌</t>
  </si>
  <si>
    <t>كمنگنز</t>
  </si>
  <si>
    <t>كمنگنز3</t>
  </si>
  <si>
    <t>شيشه سازي مينا</t>
  </si>
  <si>
    <t>كمينا</t>
  </si>
  <si>
    <t>توسعه معدني و صنعتي صبانور</t>
  </si>
  <si>
    <t>كنور</t>
  </si>
  <si>
    <t>توليدي گرانيت بهسرام</t>
  </si>
  <si>
    <t>كهرام</t>
  </si>
  <si>
    <t>كهمدا3</t>
  </si>
  <si>
    <t>بيمه كوثر</t>
  </si>
  <si>
    <t>كوثر</t>
  </si>
  <si>
    <t>ورزيران‌</t>
  </si>
  <si>
    <t>كورز</t>
  </si>
  <si>
    <t>كولان سل</t>
  </si>
  <si>
    <t>كولان</t>
  </si>
  <si>
    <t>كولان3</t>
  </si>
  <si>
    <t>توليدي فولاد سپيد فراب كوير</t>
  </si>
  <si>
    <t>كوير</t>
  </si>
  <si>
    <t>شركت كي بي سي</t>
  </si>
  <si>
    <t>كي بي سي</t>
  </si>
  <si>
    <t>كي بي سي3</t>
  </si>
  <si>
    <t>كيا الكترود شرق</t>
  </si>
  <si>
    <t>كيا</t>
  </si>
  <si>
    <t>گروه مالي كيان</t>
  </si>
  <si>
    <t>كيانا</t>
  </si>
  <si>
    <t>كيانا3</t>
  </si>
  <si>
    <t>شركت كيسون</t>
  </si>
  <si>
    <t>كيسون</t>
  </si>
  <si>
    <t>كيسون3</t>
  </si>
  <si>
    <t>كيميا كالاي رازي</t>
  </si>
  <si>
    <t>كيمازي</t>
  </si>
  <si>
    <t>ص. معدني كيمياي زنجان گستران</t>
  </si>
  <si>
    <t>كيميا</t>
  </si>
  <si>
    <t>آريان كيميا تك</t>
  </si>
  <si>
    <t>كيمياتك</t>
  </si>
  <si>
    <t>تهيه توزيع غذاي دنا آفرين فدك</t>
  </si>
  <si>
    <t>گدنا</t>
  </si>
  <si>
    <t>توسعه بين المللي پديده شانديز</t>
  </si>
  <si>
    <t>گشان</t>
  </si>
  <si>
    <t>هتل پارسيان كوثر اصفهان</t>
  </si>
  <si>
    <t>گكوثر</t>
  </si>
  <si>
    <t>گكوثر3</t>
  </si>
  <si>
    <t>توريستي ورفاهي آبادگران كيش</t>
  </si>
  <si>
    <t>گكيش</t>
  </si>
  <si>
    <t>گروه اقتصادي مالي نگين</t>
  </si>
  <si>
    <t>گنگين</t>
  </si>
  <si>
    <t>گنگين2</t>
  </si>
  <si>
    <t>سرمايه گذاري توسعه گوهران اميد</t>
  </si>
  <si>
    <t>گوهران</t>
  </si>
  <si>
    <t>آبسال‌</t>
  </si>
  <si>
    <t>لابسا</t>
  </si>
  <si>
    <t>كارخانه هاي صنعتي آزمايش</t>
  </si>
  <si>
    <t>لازما</t>
  </si>
  <si>
    <t>گروه‌صنعتي‌بوتان‌</t>
  </si>
  <si>
    <t>لبوتان</t>
  </si>
  <si>
    <t>پارس‌ الكتريك‌</t>
  </si>
  <si>
    <t>لپارس</t>
  </si>
  <si>
    <t>گسترش صنايع پيام</t>
  </si>
  <si>
    <t>لپيام</t>
  </si>
  <si>
    <t>لوازم‌ خانگي‌ پارس‌</t>
  </si>
  <si>
    <t>لخانه</t>
  </si>
  <si>
    <t>سرما آفرين‌</t>
  </si>
  <si>
    <t>لسرما</t>
  </si>
  <si>
    <t>محصولات كاغذي لطيف</t>
  </si>
  <si>
    <t>لطيف</t>
  </si>
  <si>
    <t>لطيف3</t>
  </si>
  <si>
    <t>كارخانجات‌مخابراتي‌ايران‌</t>
  </si>
  <si>
    <t>لكما</t>
  </si>
  <si>
    <t>تامين سرمايه لوتوس پارسيان</t>
  </si>
  <si>
    <t>لوتوس</t>
  </si>
  <si>
    <t>بيمه  ما</t>
  </si>
  <si>
    <t>ما</t>
  </si>
  <si>
    <t>صنايع ماديران</t>
  </si>
  <si>
    <t>ماديرا</t>
  </si>
  <si>
    <t>ماديرا3</t>
  </si>
  <si>
    <t>نساجي هديه البرز مشهد</t>
  </si>
  <si>
    <t>محتشم</t>
  </si>
  <si>
    <t>داده‌پردازي‌ايران‌</t>
  </si>
  <si>
    <t>مداران</t>
  </si>
  <si>
    <t>س. و خدمات مديريت صند. ب كشوري</t>
  </si>
  <si>
    <t>مديريت</t>
  </si>
  <si>
    <t>ايران ارقام</t>
  </si>
  <si>
    <t>مرقام</t>
  </si>
  <si>
    <t>سرمايه گذاري معيار صنعت پارس</t>
  </si>
  <si>
    <t xml:space="preserve">معيار </t>
  </si>
  <si>
    <t>بيمه ايران - معين</t>
  </si>
  <si>
    <t>معين</t>
  </si>
  <si>
    <t>توسعه فناوري اطلاعات خوارزمي</t>
  </si>
  <si>
    <t>مفاخر</t>
  </si>
  <si>
    <t>بيمه ملت</t>
  </si>
  <si>
    <t>ملت</t>
  </si>
  <si>
    <t>پتروشيمي ممسني</t>
  </si>
  <si>
    <t>ممسني</t>
  </si>
  <si>
    <t>سرمايه گذاري مهر</t>
  </si>
  <si>
    <t>مهر</t>
  </si>
  <si>
    <t>مهر3</t>
  </si>
  <si>
    <t>گروه مالي مهرگان تامين پارس</t>
  </si>
  <si>
    <t>مهرگان</t>
  </si>
  <si>
    <t>مهرگان3</t>
  </si>
  <si>
    <t>مهرمام ميهن</t>
  </si>
  <si>
    <t>مهرمام</t>
  </si>
  <si>
    <t>توسعه معادن وص.معدني خاورميانه</t>
  </si>
  <si>
    <t>ميدكو</t>
  </si>
  <si>
    <t>بيمه ميهن</t>
  </si>
  <si>
    <t>ميهن</t>
  </si>
  <si>
    <t>توليدي مخازن گازطبيعي آسياناما</t>
  </si>
  <si>
    <t>ناما</t>
  </si>
  <si>
    <t>صنايع غذايي رضوي</t>
  </si>
  <si>
    <t>نان</t>
  </si>
  <si>
    <t>نان2</t>
  </si>
  <si>
    <t>نان3</t>
  </si>
  <si>
    <t>نساجي بابكان</t>
  </si>
  <si>
    <t>نبابك</t>
  </si>
  <si>
    <t>نبابك2</t>
  </si>
  <si>
    <t>پشم‌ بافي‌ توس</t>
  </si>
  <si>
    <t>نتوس</t>
  </si>
  <si>
    <t>نخريسي و نساجي خسروي خراسان</t>
  </si>
  <si>
    <t>نخريس</t>
  </si>
  <si>
    <t>عطرين نخ قم</t>
  </si>
  <si>
    <t>نطرين</t>
  </si>
  <si>
    <t>گروه مالي نماد غدير</t>
  </si>
  <si>
    <t>نماد3</t>
  </si>
  <si>
    <t>ايران‌ مرينوس‌</t>
  </si>
  <si>
    <t>نمرينو</t>
  </si>
  <si>
    <t>نوري3</t>
  </si>
  <si>
    <t>بيمه نوين</t>
  </si>
  <si>
    <t>نوين</t>
  </si>
  <si>
    <t>نيان الكترونيك</t>
  </si>
  <si>
    <t>نيان</t>
  </si>
  <si>
    <t>نيان2</t>
  </si>
  <si>
    <t>نيان3</t>
  </si>
  <si>
    <t>نيرو سرمايه</t>
  </si>
  <si>
    <t>نيرو</t>
  </si>
  <si>
    <t>کارخانجات توليدي نيروترانسفو</t>
  </si>
  <si>
    <t>نيروترانسفو</t>
  </si>
  <si>
    <t>توسعه نيشكر و  صنايع جانبي</t>
  </si>
  <si>
    <t>نيشكر</t>
  </si>
  <si>
    <t>داده گسترعصرنوين-هاي وب</t>
  </si>
  <si>
    <t>هاي وب</t>
  </si>
  <si>
    <t>فولاد هرمزگان جنوب</t>
  </si>
  <si>
    <t>هرمز</t>
  </si>
  <si>
    <t>هرمز3</t>
  </si>
  <si>
    <t>شركت ارتباطات سيار ايران</t>
  </si>
  <si>
    <t>همراه</t>
  </si>
  <si>
    <t>همراه3</t>
  </si>
  <si>
    <t>سرمايه‌ گذاري‌ آتيه‌ دماوند</t>
  </si>
  <si>
    <t>واتي</t>
  </si>
  <si>
    <t>م .صنايع و معادن احياء سپاهان</t>
  </si>
  <si>
    <t>واحيا</t>
  </si>
  <si>
    <t>سرمايه گذاري ارس صبا</t>
  </si>
  <si>
    <t>وارس</t>
  </si>
  <si>
    <t>سرمايه گذاري اعتبار ايران</t>
  </si>
  <si>
    <t>واعتبار</t>
  </si>
  <si>
    <t>سرمايه‌ گذاري‌ البرز(هلدينگ‌</t>
  </si>
  <si>
    <t>والبر</t>
  </si>
  <si>
    <t>س. الماس حكمت ايرانيان</t>
  </si>
  <si>
    <t>والماس</t>
  </si>
  <si>
    <t>گروه مديريت سرمايه گذاري اميد</t>
  </si>
  <si>
    <t>واميد</t>
  </si>
  <si>
    <t>واميد3</t>
  </si>
  <si>
    <t>گروه صنعتي و معدني امير</t>
  </si>
  <si>
    <t>وامير</t>
  </si>
  <si>
    <t>سرمايه گذاري صنايع ايران</t>
  </si>
  <si>
    <t>وايرا</t>
  </si>
  <si>
    <t>ليزينگ ايرانيان</t>
  </si>
  <si>
    <t>وايران</t>
  </si>
  <si>
    <t>سرمايه‌گذاري‌توسعه‌آذربايجان‌</t>
  </si>
  <si>
    <t>وآذر</t>
  </si>
  <si>
    <t>گروه توسعه اقتصادي آرين</t>
  </si>
  <si>
    <t>وآرين</t>
  </si>
  <si>
    <t>بيمه كارآفرين</t>
  </si>
  <si>
    <t>وآفري</t>
  </si>
  <si>
    <t>سرمايه گذاري آوا نوين</t>
  </si>
  <si>
    <t>وآوا</t>
  </si>
  <si>
    <t>بانك  آينده</t>
  </si>
  <si>
    <t>وآيند</t>
  </si>
  <si>
    <t>سرمايه گذاري گروه توسعه ملي</t>
  </si>
  <si>
    <t>وبانك</t>
  </si>
  <si>
    <t>وبانك3</t>
  </si>
  <si>
    <t>س.کارکنان صنعت برق زنجان وقزوي</t>
  </si>
  <si>
    <t>وبرق</t>
  </si>
  <si>
    <t>توسعه‌ صنايع‌ بهشهر(هلدينگ</t>
  </si>
  <si>
    <t>وبشهر</t>
  </si>
  <si>
    <t>بانك صادرات ايران</t>
  </si>
  <si>
    <t>وبصادر</t>
  </si>
  <si>
    <t>سرمايه‌گذاري‌بهمن‌</t>
  </si>
  <si>
    <t>وبهمن</t>
  </si>
  <si>
    <t>سرمايه‌گذاري‌بوعلي‌</t>
  </si>
  <si>
    <t>وبوعلي</t>
  </si>
  <si>
    <t>وبوعلي3</t>
  </si>
  <si>
    <t>سرمايه‌ گذاري‌ صنعت‌ بيمه‌</t>
  </si>
  <si>
    <t>وبيمه</t>
  </si>
  <si>
    <t>بانك‌پارسيان‌</t>
  </si>
  <si>
    <t>وپارس</t>
  </si>
  <si>
    <t>بانك  پاسارگاد</t>
  </si>
  <si>
    <t>وپاسار</t>
  </si>
  <si>
    <t>سرمايه گذاري پايا تدبيرپارسا</t>
  </si>
  <si>
    <t>وپايا</t>
  </si>
  <si>
    <t>سرمايه‌گذاري صنايع پتروشيمي‌</t>
  </si>
  <si>
    <t>وپترو</t>
  </si>
  <si>
    <t>داروپخش‌ (هلدينگ‌</t>
  </si>
  <si>
    <t>وپخش</t>
  </si>
  <si>
    <t>گ.س.پتروشيمي ساختمان خليج فارس</t>
  </si>
  <si>
    <t>وپسا</t>
  </si>
  <si>
    <t>پست بانك ايران</t>
  </si>
  <si>
    <t>وپست</t>
  </si>
  <si>
    <t>سرمايه گذاري پويا</t>
  </si>
  <si>
    <t>وپويا</t>
  </si>
  <si>
    <t>بيمه تعاون</t>
  </si>
  <si>
    <t>وتعاون</t>
  </si>
  <si>
    <t>وتعاون3</t>
  </si>
  <si>
    <t>توسعه‌شهري‌توس‌گستر</t>
  </si>
  <si>
    <t>وتوس</t>
  </si>
  <si>
    <t>سرمايه گذاري توسعه توكا</t>
  </si>
  <si>
    <t>وتوسكا</t>
  </si>
  <si>
    <t>سرمايه‌گذاري‌توسعه‌ملي‌</t>
  </si>
  <si>
    <t>وتوسم</t>
  </si>
  <si>
    <t>سرمايه‌ گذاري‌ پارس‌ توشه‌</t>
  </si>
  <si>
    <t>وتوشه</t>
  </si>
  <si>
    <t>گروه س توسعه صنعتي ايران</t>
  </si>
  <si>
    <t>وتوصا</t>
  </si>
  <si>
    <t>وتوصا3</t>
  </si>
  <si>
    <t>سرمايه‌گذاري‌توكافولاد(هلدينگ</t>
  </si>
  <si>
    <t>وتوكا</t>
  </si>
  <si>
    <t>سرمايه گذاري و توسعه خوزستان</t>
  </si>
  <si>
    <t>وثخوز</t>
  </si>
  <si>
    <t>سرمايه گذاري ساختماني نوين</t>
  </si>
  <si>
    <t>وثنو</t>
  </si>
  <si>
    <t>سرمايه گذاري جامي</t>
  </si>
  <si>
    <t>وجامي</t>
  </si>
  <si>
    <t>بيمه حافظ</t>
  </si>
  <si>
    <t>وحافظ</t>
  </si>
  <si>
    <t>بيمه حكمت صبا</t>
  </si>
  <si>
    <t>وحكمت</t>
  </si>
  <si>
    <t>سرمايه گذاري خوارزمي</t>
  </si>
  <si>
    <t>وخارزم</t>
  </si>
  <si>
    <t>بانك خاورميانه</t>
  </si>
  <si>
    <t>وخاور</t>
  </si>
  <si>
    <t>سرمايه گذاري دانايان</t>
  </si>
  <si>
    <t>ودانا</t>
  </si>
  <si>
    <t>بيمه  دي</t>
  </si>
  <si>
    <t>ودي</t>
  </si>
  <si>
    <t>بيمه رازي</t>
  </si>
  <si>
    <t>ورازي</t>
  </si>
  <si>
    <t>سرمايه‌گذاري‌ رنا(هلدينگ‌</t>
  </si>
  <si>
    <t>ورنا</t>
  </si>
  <si>
    <t>ورنا3</t>
  </si>
  <si>
    <t>سرمايه‌گذاري‌ سايپا</t>
  </si>
  <si>
    <t>وساپا</t>
  </si>
  <si>
    <t>وساپا3</t>
  </si>
  <si>
    <t>سرمايه‌ گذاري‌ ساختمان‌ايران‌</t>
  </si>
  <si>
    <t>وساخت</t>
  </si>
  <si>
    <t>بانك قرض الحسنه رسالت</t>
  </si>
  <si>
    <t>وسالت</t>
  </si>
  <si>
    <t>سرمايه گذاري سبحان</t>
  </si>
  <si>
    <t>وسبحان</t>
  </si>
  <si>
    <t>سرمايه‌گذاري‌ سپه‌</t>
  </si>
  <si>
    <t>وسپه</t>
  </si>
  <si>
    <t>وسپه3</t>
  </si>
  <si>
    <t>گروه سرمايه گذاري سپهر صادرات</t>
  </si>
  <si>
    <t>وسپهر</t>
  </si>
  <si>
    <t>وسپهر3</t>
  </si>
  <si>
    <t>گروه ‌صنعتي‌سديد</t>
  </si>
  <si>
    <t>وسديد</t>
  </si>
  <si>
    <t>بيمه  سرمد</t>
  </si>
  <si>
    <t>وسرمد</t>
  </si>
  <si>
    <t>س.ص.بازنشستگي كاركنان بانكها</t>
  </si>
  <si>
    <t>وسكاب</t>
  </si>
  <si>
    <t>سرمايه گذاري نيروگاهي ايران</t>
  </si>
  <si>
    <t>وسنا</t>
  </si>
  <si>
    <t>بيمه سينا</t>
  </si>
  <si>
    <t>وسين</t>
  </si>
  <si>
    <t>س. چشم انداز توسعه شمال</t>
  </si>
  <si>
    <t>وشمال</t>
  </si>
  <si>
    <t>بانك شهر</t>
  </si>
  <si>
    <t>وشهر</t>
  </si>
  <si>
    <t>گروه‌صنايع‌بهشهرايران‌</t>
  </si>
  <si>
    <t>وصنا</t>
  </si>
  <si>
    <t>سرمايه‌گذاري‌صندوق‌بازنشستگي‌</t>
  </si>
  <si>
    <t>وصندوق</t>
  </si>
  <si>
    <t>وصندوق2</t>
  </si>
  <si>
    <t>وصندوق3</t>
  </si>
  <si>
    <t>سرمايه گذاري توسعه صنعت وتجارت</t>
  </si>
  <si>
    <t>وصنعت</t>
  </si>
  <si>
    <t>سرمايه گذاري اقتصاد شهر طوبي</t>
  </si>
  <si>
    <t>وطوبي</t>
  </si>
  <si>
    <t>سرمايه‌گذاري‌غدير(هلدينگ‌</t>
  </si>
  <si>
    <t>وغدير</t>
  </si>
  <si>
    <t>وغدير3</t>
  </si>
  <si>
    <t>سرمايه گذاري افتخار سهام</t>
  </si>
  <si>
    <t>وفتخار</t>
  </si>
  <si>
    <t>بيمه هوشمند فردا</t>
  </si>
  <si>
    <t>وفردا</t>
  </si>
  <si>
    <t>گروه توسعه مالي فيروزه</t>
  </si>
  <si>
    <t>وفيروزه</t>
  </si>
  <si>
    <t>تكادو</t>
  </si>
  <si>
    <t>وكادو</t>
  </si>
  <si>
    <t>بانك‌ كارآفرين‌</t>
  </si>
  <si>
    <t>وكار</t>
  </si>
  <si>
    <t>مديريت سرمايه گذاري كوثربهمن</t>
  </si>
  <si>
    <t>وكبهمن</t>
  </si>
  <si>
    <t>وكبهمن3</t>
  </si>
  <si>
    <t>بين المللي توسعه ص. معادن غدير</t>
  </si>
  <si>
    <t>وكغدير</t>
  </si>
  <si>
    <t>بانك گردشگري</t>
  </si>
  <si>
    <t>وگردش</t>
  </si>
  <si>
    <t>گسترش سرمايه گذاري ايرانيان</t>
  </si>
  <si>
    <t>وگستر</t>
  </si>
  <si>
    <t>شركت ليزينگ آريا دانا</t>
  </si>
  <si>
    <t>ولانا</t>
  </si>
  <si>
    <t>شركت بهمن ليزينگ</t>
  </si>
  <si>
    <t>ولبهمن</t>
  </si>
  <si>
    <t>ليزينگ پارسيان</t>
  </si>
  <si>
    <t>ولپارس</t>
  </si>
  <si>
    <t>واسپاري تجارايرانيان</t>
  </si>
  <si>
    <t>ولتجار</t>
  </si>
  <si>
    <t>ليزينگ رازي</t>
  </si>
  <si>
    <t>ولراز</t>
  </si>
  <si>
    <t>ليزينگ رايان‌ سايپا</t>
  </si>
  <si>
    <t>ولساپا</t>
  </si>
  <si>
    <t>ولساپا3</t>
  </si>
  <si>
    <t>ليزينگ ايران و شرق</t>
  </si>
  <si>
    <t>ولشرق</t>
  </si>
  <si>
    <t>ليزينگ‌صنعت‌ومعدن‌</t>
  </si>
  <si>
    <t>ولصنم</t>
  </si>
  <si>
    <t>ولصنم3</t>
  </si>
  <si>
    <t>ليزينگ‌خودروغدير</t>
  </si>
  <si>
    <t>ولغدر</t>
  </si>
  <si>
    <t>گروه سرمايه گذاري لقمان</t>
  </si>
  <si>
    <t>ولقمان</t>
  </si>
  <si>
    <t>ليزينگ كارآفرين</t>
  </si>
  <si>
    <t>ولكار</t>
  </si>
  <si>
    <t>ولكار3</t>
  </si>
  <si>
    <t>واسپاري ملت</t>
  </si>
  <si>
    <t>ولملت</t>
  </si>
  <si>
    <t>ليزينگ اقتصاد نوين</t>
  </si>
  <si>
    <t>ولنوين</t>
  </si>
  <si>
    <t>ولنوين3</t>
  </si>
  <si>
    <t>ليزينگ ايران</t>
  </si>
  <si>
    <t>وليز</t>
  </si>
  <si>
    <t>مديريت نيروگاهي ايرانيان مپنا</t>
  </si>
  <si>
    <t>ومپنا</t>
  </si>
  <si>
    <t>ومپنا3</t>
  </si>
  <si>
    <t>گ.مديريت ارزش سرمايه ص ب كشوري</t>
  </si>
  <si>
    <t>ومدير</t>
  </si>
  <si>
    <t>ومدير3</t>
  </si>
  <si>
    <t>سرمايه گذاري مشانير</t>
  </si>
  <si>
    <t>ومشان</t>
  </si>
  <si>
    <t>توسعه‌معادن‌وفلزات‌</t>
  </si>
  <si>
    <t>ومعادن</t>
  </si>
  <si>
    <t>بيمه معلم</t>
  </si>
  <si>
    <t>ومعلم</t>
  </si>
  <si>
    <t>سرمايه گذاري ملت</t>
  </si>
  <si>
    <t>وملت</t>
  </si>
  <si>
    <t>گروه‌ صنعتي‌ ملي‌ (هلدينگ‌</t>
  </si>
  <si>
    <t>وملي</t>
  </si>
  <si>
    <t>گروه توسعه مالي مهرآيندگان</t>
  </si>
  <si>
    <t>ومهان</t>
  </si>
  <si>
    <t>ومهان3</t>
  </si>
  <si>
    <t>سرمايه‌گذاري‌ صنعت‌ نفت‌</t>
  </si>
  <si>
    <t>ونفت</t>
  </si>
  <si>
    <t>بانك‌اقتصادنوين‌</t>
  </si>
  <si>
    <t>ونوين</t>
  </si>
  <si>
    <t>سرمايه‌گذاري‌نيرو</t>
  </si>
  <si>
    <t>ونيرو</t>
  </si>
  <si>
    <t>ونيرو3</t>
  </si>
  <si>
    <t>سرمايه‌گذاري‌ ملي‌ايران‌</t>
  </si>
  <si>
    <t>ونيكي</t>
  </si>
  <si>
    <t>ونيكي3</t>
  </si>
  <si>
    <t>سرمايه گذاري هامون صبا</t>
  </si>
  <si>
    <t>وهامون</t>
  </si>
  <si>
    <t>وهامون3</t>
  </si>
  <si>
    <t>گروه توسعه هنر ايران</t>
  </si>
  <si>
    <t>وهنر</t>
  </si>
  <si>
    <t>گروه س.انرژي اميد  تابان هور</t>
  </si>
  <si>
    <t>وهور</t>
  </si>
  <si>
    <t>سرمايه گذاري ايساتيس پويا</t>
  </si>
  <si>
    <t>ويسا</t>
  </si>
  <si>
    <t>ردیف</t>
  </si>
  <si>
    <t>نسبت سود ناخالص دوره مالی مشابه</t>
  </si>
  <si>
    <t>نسبت سود خالص دوره مالی مشابه</t>
  </si>
  <si>
    <t xml:space="preserve"> سود به هر سهم در این دوره</t>
  </si>
  <si>
    <t xml:space="preserve">سود (زیان) اضافی از گزارش تلفیقی </t>
  </si>
  <si>
    <t xml:space="preserve">تلفیقی </t>
  </si>
  <si>
    <t>حسابرسی شده</t>
  </si>
  <si>
    <t>Column3</t>
  </si>
  <si>
    <t>Column4</t>
  </si>
  <si>
    <t>Column5</t>
  </si>
  <si>
    <t>Column7</t>
  </si>
  <si>
    <t>Column9</t>
  </si>
  <si>
    <t>Column10</t>
  </si>
  <si>
    <t>Column12</t>
  </si>
  <si>
    <t>Column13</t>
  </si>
  <si>
    <t>Column14</t>
  </si>
  <si>
    <t>Column15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</si>
  <si>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</si>
  <si>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</si>
  <si>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</si>
  <si>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</si>
  <si>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</si>
  <si>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</si>
  <si>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</si>
  <si>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</si>
  <si>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</si>
  <si>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تعداد</t>
  </si>
  <si>
    <t>حجم</t>
  </si>
  <si>
    <t>ارزش</t>
  </si>
  <si>
    <t>اولین</t>
  </si>
  <si>
    <t>آخرین معامله - تغییر</t>
  </si>
  <si>
    <t>آخرین معامله - درصد</t>
  </si>
  <si>
    <t>قیمت پایانی - تغییر</t>
  </si>
  <si>
    <t>قیمت پایانی - درصد</t>
  </si>
  <si>
    <t>کمترین</t>
  </si>
  <si>
    <t>بیشترین</t>
  </si>
  <si>
    <t>خرید - تعداد</t>
  </si>
  <si>
    <t>خرید - حجم</t>
  </si>
  <si>
    <t>خرید - قیمت</t>
  </si>
  <si>
    <t>فروش - قیمت</t>
  </si>
  <si>
    <t>فروش - حجم</t>
  </si>
  <si>
    <t>فروش - تعداد</t>
  </si>
  <si>
    <t>قیمت سهام پس از  مجمع 1402</t>
  </si>
  <si>
    <t>ارزش شرکت بعد ازمجمع ۱۴۰۲</t>
  </si>
  <si>
    <t>ماني</t>
  </si>
  <si>
    <t>صندوق س. با درآمد ثابت ماني</t>
  </si>
  <si>
    <t>آكوپرديس06</t>
  </si>
  <si>
    <t>مرابحه آكو پرديس آريا061219</t>
  </si>
  <si>
    <t>چكاپا</t>
  </si>
  <si>
    <t>گروه صنايع كاغذ پارس</t>
  </si>
  <si>
    <t>ناب2</t>
  </si>
  <si>
    <t>صندوق س.پشتوانه طلا نهايت نگر</t>
  </si>
  <si>
    <t>طبيعت068</t>
  </si>
  <si>
    <t>مرابحه طبيعت سبز-تاكدانا060920</t>
  </si>
  <si>
    <t>خديزل</t>
  </si>
  <si>
    <t>بهمن  ديزل</t>
  </si>
  <si>
    <t>هرمز082</t>
  </si>
  <si>
    <t>مرابحه فولادهرمزفيروزه080923</t>
  </si>
  <si>
    <t>زمرد كوروش2</t>
  </si>
  <si>
    <t>صندوق س زمرد كوروش-ثابت</t>
  </si>
  <si>
    <t>صندوق س.انارنماد ارزش-درسهام</t>
  </si>
  <si>
    <t>مانا فارمد08</t>
  </si>
  <si>
    <t>مرابحه سروش مانا فارمد 080713</t>
  </si>
  <si>
    <t>پتروآگاه</t>
  </si>
  <si>
    <t>صندوق س صنايع آگاه1-بخشي</t>
  </si>
  <si>
    <t>فارما كيان</t>
  </si>
  <si>
    <t>صندوق س. بخشي كيان1-ب</t>
  </si>
  <si>
    <t>صگل811</t>
  </si>
  <si>
    <t>صكوك مرابحه كگل811-3ماهه23%</t>
  </si>
  <si>
    <t>كارآمد</t>
  </si>
  <si>
    <t>صندوق س.درآمد ثابت كارآمد-د</t>
  </si>
  <si>
    <t>آسا</t>
  </si>
  <si>
    <t>صندوق س آرمان كارآفرين-ثابت</t>
  </si>
  <si>
    <t>دقاضي07</t>
  </si>
  <si>
    <t>مرابحه داروسازي شهيدقاضي070917</t>
  </si>
  <si>
    <t>پديده05</t>
  </si>
  <si>
    <t xml:space="preserve">مرابحه پلاستيك پديده 14050629	</t>
  </si>
  <si>
    <t>آوا</t>
  </si>
  <si>
    <t>صندوق س.سهام آواي معيار-س</t>
  </si>
  <si>
    <t>پديده جم072</t>
  </si>
  <si>
    <t>مرابحه پديده جم-كوروش070617</t>
  </si>
  <si>
    <t>امگا</t>
  </si>
  <si>
    <t>صندوق س.بخشي صنايع سورنا3-ب</t>
  </si>
  <si>
    <t>خزانه ملت</t>
  </si>
  <si>
    <t>صندوق س.مختص اوراق دولتي ملت-د</t>
  </si>
  <si>
    <t>پديده جم071</t>
  </si>
  <si>
    <t>مرابحه پديده جم-تمدن070617</t>
  </si>
  <si>
    <t>صنهال</t>
  </si>
  <si>
    <t>صندوق س. نهال ايرانيان-ثابت</t>
  </si>
  <si>
    <t>عاليفرد074</t>
  </si>
  <si>
    <t>مرابحه عاليفرد-فيروزه14071222</t>
  </si>
  <si>
    <t>حاير06</t>
  </si>
  <si>
    <t>مرابحه حاير پلاست060717</t>
  </si>
  <si>
    <t>تنديس08</t>
  </si>
  <si>
    <t>مرابحه پارسا ابزار تنديس081024</t>
  </si>
  <si>
    <t>سورنا سلولز08</t>
  </si>
  <si>
    <t>مرابحه صنعتي سورناسلولز080306</t>
  </si>
  <si>
    <t>مصفها7</t>
  </si>
  <si>
    <t>مشاركت ش اصفهان7-3ماهه23%</t>
  </si>
  <si>
    <t>صفولا6</t>
  </si>
  <si>
    <t>صكوك اجاره فولاد6-بدون ضامن</t>
  </si>
  <si>
    <t>صمپنا71</t>
  </si>
  <si>
    <t>صكوك اجاره مپنا71-3ماهه23%</t>
  </si>
  <si>
    <t>پتروآبان</t>
  </si>
  <si>
    <t>صندوق س. بخشي پتروآبان-ب</t>
  </si>
  <si>
    <t>صفولا052</t>
  </si>
  <si>
    <t>صكوك اجاره فولاد052-بدون ضامن</t>
  </si>
  <si>
    <t>اهداف073</t>
  </si>
  <si>
    <t>اجاره اهداف مفيد 14070531</t>
  </si>
  <si>
    <t>طلاي ناب08</t>
  </si>
  <si>
    <t>مرابحه طلاي ناب كوروش080403</t>
  </si>
  <si>
    <t>صشپنا709</t>
  </si>
  <si>
    <t>صكوك مرابحه شپنا709-3ماهه23%</t>
  </si>
  <si>
    <t>تابان15</t>
  </si>
  <si>
    <t>اجاره تابان فردا نوين14061222</t>
  </si>
  <si>
    <t>صفارس86</t>
  </si>
  <si>
    <t>صكوك اجاره فارس86-بدون ضامن</t>
  </si>
  <si>
    <t>صندوق س. گنجينه داريوش-د</t>
  </si>
  <si>
    <t>نگين فارس</t>
  </si>
  <si>
    <t>صندوق س.طلا زرديس خليج فارس</t>
  </si>
  <si>
    <t>مبتكران06</t>
  </si>
  <si>
    <t>مرابحه مبتكران گلديران060919</t>
  </si>
  <si>
    <t>ماموت05</t>
  </si>
  <si>
    <t>مرابحه ماموت خودرو050722</t>
  </si>
  <si>
    <t>گارانتي</t>
  </si>
  <si>
    <t>صندوق تضمين ا.س. گيتي دماوند-م</t>
  </si>
  <si>
    <t>مكرما512</t>
  </si>
  <si>
    <t>مشاركت ش كرمانشاه512-3ماهه18%</t>
  </si>
  <si>
    <t>كرمان062</t>
  </si>
  <si>
    <t>مرابحه كرمان موتور-مسكن060904</t>
  </si>
  <si>
    <t>صكوير904</t>
  </si>
  <si>
    <t>صكوك مرابحه كوير904-بدون ضامن</t>
  </si>
  <si>
    <t>نقران</t>
  </si>
  <si>
    <t>صندوق س.كالاي كهربا1</t>
  </si>
  <si>
    <t>درخشان</t>
  </si>
  <si>
    <t>صندوق س.كالاي آبان</t>
  </si>
  <si>
    <t>آلوم رول66</t>
  </si>
  <si>
    <t>مرابحه صنايع آلوم رول060611</t>
  </si>
  <si>
    <t>تابان10</t>
  </si>
  <si>
    <t>اجاره تابان فرداكاردان14050803</t>
  </si>
  <si>
    <t>فن افزار3</t>
  </si>
  <si>
    <t>تاجا08</t>
  </si>
  <si>
    <t>مرابحه جاويد آريان 080612</t>
  </si>
  <si>
    <t>فراز</t>
  </si>
  <si>
    <t>صندوق س.سهام فراز داريك-س</t>
  </si>
  <si>
    <t>زمرد2</t>
  </si>
  <si>
    <t>صندوق س.كالاي زمرد بيدار</t>
  </si>
  <si>
    <t>صفارس808</t>
  </si>
  <si>
    <t>صكوك اجاره فارس808-بدون ضامن</t>
  </si>
  <si>
    <t>قلك گلد</t>
  </si>
  <si>
    <t>صندوق س. كالاي قلك</t>
  </si>
  <si>
    <t>فلزفارابي</t>
  </si>
  <si>
    <t>صندوق س.بخشي فلز فارابي-ب</t>
  </si>
  <si>
    <t>صندوق س.كالاي نوويرا1</t>
  </si>
  <si>
    <t>سامان06</t>
  </si>
  <si>
    <t>اجاره توسعه س. سامان14060303</t>
  </si>
  <si>
    <t>نانوالوند08</t>
  </si>
  <si>
    <t>مرابحه نانو الوند080616</t>
  </si>
  <si>
    <t>تاراز</t>
  </si>
  <si>
    <t>صندوق س آواي تاراز زاگرس-سهام</t>
  </si>
  <si>
    <t>صديران72</t>
  </si>
  <si>
    <t>صكوك مرابحه ديران72-3ماهه23%</t>
  </si>
  <si>
    <t>عاليفرد073</t>
  </si>
  <si>
    <t>مرابحه عاليفرد-سهم آشنا070830</t>
  </si>
  <si>
    <t>صپاك511</t>
  </si>
  <si>
    <t>صكوك مرابحه صپاك511-3ماهه18%</t>
  </si>
  <si>
    <t>مزه</t>
  </si>
  <si>
    <t>صندوق س صنايع دايا3-بخشي</t>
  </si>
  <si>
    <t>عفراب2</t>
  </si>
  <si>
    <t>سلف ميلگرد فراب كوير</t>
  </si>
  <si>
    <t>قم612</t>
  </si>
  <si>
    <t>مشاركت ش قم612-3 ماهه 20.5%</t>
  </si>
  <si>
    <t>ترنج ثابت2</t>
  </si>
  <si>
    <t>ص.س.درآمد ثابت ترنج سودمند-د</t>
  </si>
  <si>
    <t>صبهمن903</t>
  </si>
  <si>
    <t>صكوك مرابحه بهمن903-3ماهه23%</t>
  </si>
  <si>
    <t>خودران</t>
  </si>
  <si>
    <t>صندوق س صنايع مفيد2-بخشي</t>
  </si>
  <si>
    <t>همتا</t>
  </si>
  <si>
    <t>صندوق س قلك همتا-سهام</t>
  </si>
  <si>
    <t>صگل0811</t>
  </si>
  <si>
    <t>صكوك مرابحه كگل0811-3ماهه23%</t>
  </si>
  <si>
    <t>صندوق س اعتماد هامرز-ثابت</t>
  </si>
  <si>
    <t>اخزا301</t>
  </si>
  <si>
    <t>اسناد خزانه-م1-س.قوا03-060615</t>
  </si>
  <si>
    <t>مشير0612</t>
  </si>
  <si>
    <t>مشاركت ش شيراز0612-3ماهه20.5%</t>
  </si>
  <si>
    <t>سيمانو</t>
  </si>
  <si>
    <t>صندوق س صنايع مفيد3- بخشي</t>
  </si>
  <si>
    <t>آسمان06</t>
  </si>
  <si>
    <t>مرابحه آسمان بيكران هشتم060712</t>
  </si>
  <si>
    <t>طبيعت065</t>
  </si>
  <si>
    <t>مرابحه طبيعت سبز-آگاه060920</t>
  </si>
  <si>
    <t>امين يكم</t>
  </si>
  <si>
    <t>صندوق درآمد ثابت امين يكم فردا</t>
  </si>
  <si>
    <t>مكران05</t>
  </si>
  <si>
    <t>مرابحه نيروي آب مكران 14051224</t>
  </si>
  <si>
    <t>صزاگرس81</t>
  </si>
  <si>
    <t>صكوك مرابحه انديمشك81-6ماهه23%</t>
  </si>
  <si>
    <t>لورچ08</t>
  </si>
  <si>
    <t>مرابحه لورچ 080202</t>
  </si>
  <si>
    <t>تابان13</t>
  </si>
  <si>
    <t>اجاره تابان فردا آشنا14060627</t>
  </si>
  <si>
    <t>صرمد612</t>
  </si>
  <si>
    <t>صكوك اجاره سرمد612-3ماهه23%</t>
  </si>
  <si>
    <t>صپويا612</t>
  </si>
  <si>
    <t>صكوك مرابحه بپويا612-3ماهه23%</t>
  </si>
  <si>
    <t>سدبير3</t>
  </si>
  <si>
    <t>مشهد0712</t>
  </si>
  <si>
    <t>مشاركت ش مشهد0712-3ماهه23%</t>
  </si>
  <si>
    <t>آرين سلامت06</t>
  </si>
  <si>
    <t>مرابحه آرين سلامت سينا061227</t>
  </si>
  <si>
    <t>عكيمياتك</t>
  </si>
  <si>
    <t>سلف موازي آريان كيمياتك</t>
  </si>
  <si>
    <t>تيام2</t>
  </si>
  <si>
    <t>صندوق س.سهامي تيام-س</t>
  </si>
  <si>
    <t>درين</t>
  </si>
  <si>
    <t>صندوق س. درين آتا-د</t>
  </si>
  <si>
    <t>اراد2524</t>
  </si>
  <si>
    <t>مرابحه عام دولت252-ش.خ070905</t>
  </si>
  <si>
    <t>صبانفت06</t>
  </si>
  <si>
    <t>مرابحه مهندسي صبا نفت060119</t>
  </si>
  <si>
    <t>مشير52</t>
  </si>
  <si>
    <t>مشاركت ش شيراز52-3ماهه18%</t>
  </si>
  <si>
    <t>تابان24</t>
  </si>
  <si>
    <t>اجاره تابان فرداكاردان14070603</t>
  </si>
  <si>
    <t>مرابحه عام دولت272-ش.خ071028</t>
  </si>
  <si>
    <t>صفولا65</t>
  </si>
  <si>
    <t>صكوك اجاره فولاد65-بدون ضامن</t>
  </si>
  <si>
    <t>گلديس2</t>
  </si>
  <si>
    <t>صندوق س.پشتوانه طلا گلديس نوين</t>
  </si>
  <si>
    <t>قيراط</t>
  </si>
  <si>
    <t>صندوق س.كالاي درفش دماوند</t>
  </si>
  <si>
    <t>آس</t>
  </si>
  <si>
    <t>صندوق س. گنجينه ارمغان الماس-س</t>
  </si>
  <si>
    <t>كارما</t>
  </si>
  <si>
    <t>صندوق س.درآمد ثابت كيهان-د</t>
  </si>
  <si>
    <t>اكتوور075</t>
  </si>
  <si>
    <t>مرابحه اكتوور كو-پاداش070612</t>
  </si>
  <si>
    <t>عغدير8</t>
  </si>
  <si>
    <t>سلف آهن اسفنجي آهن وفولاد</t>
  </si>
  <si>
    <t>تكاردان3</t>
  </si>
  <si>
    <t>موج</t>
  </si>
  <si>
    <t>ص.س.اهرمي موج فيروزه-س</t>
  </si>
  <si>
    <t>عمارت دي</t>
  </si>
  <si>
    <t>صندوق س دي-املاك</t>
  </si>
  <si>
    <t>خوشه</t>
  </si>
  <si>
    <t>ص.س.صندوق در صندوق خوشه گندم</t>
  </si>
  <si>
    <t>حآفرينح</t>
  </si>
  <si>
    <t>ح . ريل پرداز نو آفرين</t>
  </si>
  <si>
    <t>استايرن07</t>
  </si>
  <si>
    <t>مرابحه پ.استايرن انتخاب071016</t>
  </si>
  <si>
    <t>نفتوداريوش</t>
  </si>
  <si>
    <t>صندوق س.بخشي داريوش4-ب</t>
  </si>
  <si>
    <t>آريس08</t>
  </si>
  <si>
    <t>مرابحه آريس آمل 14081224</t>
  </si>
  <si>
    <t>لوازم ماديران061</t>
  </si>
  <si>
    <t>مرابحه ماديران-كارون060626</t>
  </si>
  <si>
    <t>رادان</t>
  </si>
  <si>
    <t>صندوق س در سهام راد-سهام</t>
  </si>
  <si>
    <t>نهال</t>
  </si>
  <si>
    <t>صندوق س.كالاي نوويرا</t>
  </si>
  <si>
    <t>طبيعت067</t>
  </si>
  <si>
    <t>مرابحه طبيعت سبز-سپهر060920</t>
  </si>
  <si>
    <t>كرماشا</t>
  </si>
  <si>
    <t>صنايع پتروشيمي كرمانشاه</t>
  </si>
  <si>
    <t>صصيكو81</t>
  </si>
  <si>
    <t>صكوك اجاره تاصيكو81-بدون ضامن</t>
  </si>
  <si>
    <t>عسناباد</t>
  </si>
  <si>
    <t>سلف استاندارد گندله سنگ آهن</t>
  </si>
  <si>
    <t>صقرن0612</t>
  </si>
  <si>
    <t>صكوك مرابحه قرن 0612-بدون ضامن</t>
  </si>
  <si>
    <t>سپيد مطهر08</t>
  </si>
  <si>
    <t>مرابحه سپيد مطهر انتخاب 080923</t>
  </si>
  <si>
    <t>صگل711</t>
  </si>
  <si>
    <t>صكوك مرابحه كگل711-3ماهه23%</t>
  </si>
  <si>
    <t>صمهان712</t>
  </si>
  <si>
    <t>صكوك اجاره ومهان712-3ماهه23%</t>
  </si>
  <si>
    <t>نقشينه061</t>
  </si>
  <si>
    <t>مرابحه نقشينه چاپ-كارون061020</t>
  </si>
  <si>
    <t>آلا</t>
  </si>
  <si>
    <t>صندوق س.اعتماد ارغوان-د</t>
  </si>
  <si>
    <t>صندوق س. ارزش پاداش-د</t>
  </si>
  <si>
    <t>خبرگان</t>
  </si>
  <si>
    <t>صندوق س انديشه خبرگان-سهام</t>
  </si>
  <si>
    <t>مدير</t>
  </si>
  <si>
    <t>ص.س.مديريت ثروت ص.بازنشستگي-س</t>
  </si>
  <si>
    <t>پايا</t>
  </si>
  <si>
    <t>صندوق س.پايا قلك پويا-د</t>
  </si>
  <si>
    <t>بانكيا</t>
  </si>
  <si>
    <t>صندوق س صنايع آروين1-بخشي</t>
  </si>
  <si>
    <t>فرصت</t>
  </si>
  <si>
    <t>صندوق س فرصت آفرين سرمايه-سهام</t>
  </si>
  <si>
    <t>دومينو06</t>
  </si>
  <si>
    <t>اجاره دومينو14061003</t>
  </si>
  <si>
    <t>ثپهران3</t>
  </si>
  <si>
    <t>برليان</t>
  </si>
  <si>
    <t>صندوق سرمايه گذاري برليان-سهام</t>
  </si>
  <si>
    <t>اخزا406</t>
  </si>
  <si>
    <t>اسناد خزانه-م6بودجه04-071019</t>
  </si>
  <si>
    <t>مرابحه عام دولت260-ش.خ071002</t>
  </si>
  <si>
    <t>ضهرم4023</t>
  </si>
  <si>
    <t>اختيارخ اهرم-20000-1405/04/31</t>
  </si>
  <si>
    <t>ضهرم4025</t>
  </si>
  <si>
    <t>اختيارخ اهرم-24000-1405/04/31</t>
  </si>
  <si>
    <t>ضهرم4030</t>
  </si>
  <si>
    <t>اختيارخ اهرم-38000-1405/04/31</t>
  </si>
  <si>
    <t>ضهرم4031</t>
  </si>
  <si>
    <t>اختيارخ اهرم-42000-1405/04/31</t>
  </si>
  <si>
    <t>ضهرم4032</t>
  </si>
  <si>
    <t>اختيارخ اهرم-46000-1405/04/31</t>
  </si>
  <si>
    <t>ضهرم5026</t>
  </si>
  <si>
    <t>اختيارخ اهرم-24000-1405/05/28</t>
  </si>
  <si>
    <t>ضهرم5027</t>
  </si>
  <si>
    <t>اختيارخ اهرم-26000-1405/05/28</t>
  </si>
  <si>
    <t>ضهرم5028</t>
  </si>
  <si>
    <t>اختيارخ اهرم-28000-1405/05/28</t>
  </si>
  <si>
    <t>ضهرم5030</t>
  </si>
  <si>
    <t>اختيارخ اهرم-34000-1405/05/28</t>
  </si>
  <si>
    <t>ضهرم5032</t>
  </si>
  <si>
    <t>اختيارخ اهرم-42000-1405/05/28</t>
  </si>
  <si>
    <t>ضهرم6040</t>
  </si>
  <si>
    <t>اختيارخ اهرم-26000-1405/06/25</t>
  </si>
  <si>
    <t>ضهرم6041</t>
  </si>
  <si>
    <t>اختيارخ اهرم-28000-1405/06/25</t>
  </si>
  <si>
    <t>ضهرم6043</t>
  </si>
  <si>
    <t>اختيارخ اهرم-34000-1405/06/25</t>
  </si>
  <si>
    <t>ضهرم6044</t>
  </si>
  <si>
    <t>اختيارخ اهرم-38000-1405/06/25</t>
  </si>
  <si>
    <t>ضهرم6045</t>
  </si>
  <si>
    <t>اختيارخ اهرم-42000-1405/06/25</t>
  </si>
  <si>
    <t>ضهرم6049</t>
  </si>
  <si>
    <t>اختيارخ اهرم-62000-1405/06/25</t>
  </si>
  <si>
    <t>ضهرم6051</t>
  </si>
  <si>
    <t>اختيارخ اهرم-74000-1405/06/25</t>
  </si>
  <si>
    <t>ضهرم5036</t>
  </si>
  <si>
    <t>اختيارخ اهرم-62000-1405/05/28</t>
  </si>
  <si>
    <t>ضهمن5028</t>
  </si>
  <si>
    <t>اختيارخ خبهمن-1600-1405/05/28</t>
  </si>
  <si>
    <t>ضهمن5031</t>
  </si>
  <si>
    <t>اختيارخ خبهمن-1900-1405/05/28</t>
  </si>
  <si>
    <t>ضملت5025</t>
  </si>
  <si>
    <t>اختيارخ وبملت-700-1405/05/20</t>
  </si>
  <si>
    <t>ضملت5026</t>
  </si>
  <si>
    <t>اختيارخ وبملت-750-1405/05/20</t>
  </si>
  <si>
    <t>ضملت5027</t>
  </si>
  <si>
    <t>اختيارخ وبملت-800-1405/05/20</t>
  </si>
  <si>
    <t>ضملت5029</t>
  </si>
  <si>
    <t>اختيارخ وبملت-1000-1405/05/20</t>
  </si>
  <si>
    <t>ضملت5030</t>
  </si>
  <si>
    <t>اختيارخ وبملت-1100-1405/05/20</t>
  </si>
  <si>
    <t>ضملت5032</t>
  </si>
  <si>
    <t>اختيارخ وبملت-1300-1405/05/20</t>
  </si>
  <si>
    <t>ضملت5033</t>
  </si>
  <si>
    <t>اختيارخ وبملت-1400-1405/05/20</t>
  </si>
  <si>
    <t>ضملت5034</t>
  </si>
  <si>
    <t>اختيارخ وبملت-1500-1405/05/20</t>
  </si>
  <si>
    <t>ضملت5036</t>
  </si>
  <si>
    <t>اختيارخ وبملت-1700-1405/05/20</t>
  </si>
  <si>
    <t>ضملت5037</t>
  </si>
  <si>
    <t>اختيارخ وبملت-1800-1405/05/20</t>
  </si>
  <si>
    <t>ضملت6017</t>
  </si>
  <si>
    <t>اختيارخ وبملت-900-1405/06/18</t>
  </si>
  <si>
    <t>ضملت6018</t>
  </si>
  <si>
    <t>اختيارخ وبملت-1000-1405/06/18</t>
  </si>
  <si>
    <t>ضملت6019</t>
  </si>
  <si>
    <t>اختيارخ وبملت-1100-1405/06/18</t>
  </si>
  <si>
    <t>ضملت6020</t>
  </si>
  <si>
    <t>اختيارخ وبملت-1200-1405/06/18</t>
  </si>
  <si>
    <t>ضملت6025</t>
  </si>
  <si>
    <t>اختيارخ وبملت-1700-1405/06/18</t>
  </si>
  <si>
    <t>ضملت6026</t>
  </si>
  <si>
    <t>اختيارخ وبملت-1800-1405/06/18</t>
  </si>
  <si>
    <t>ضصاد5021</t>
  </si>
  <si>
    <t>اختيارخ وبصادر-340-1405/05/20</t>
  </si>
  <si>
    <t>ضصاد5027</t>
  </si>
  <si>
    <t>اختيارخ وبصادر-550-1405/05/20</t>
  </si>
  <si>
    <t>ضصاد5028</t>
  </si>
  <si>
    <t>اختيارخ وبصادر-600-1405/05/20</t>
  </si>
  <si>
    <t>ضصاد5031</t>
  </si>
  <si>
    <t>اختيارخ وبصادر-750-1405/05/20</t>
  </si>
  <si>
    <t>ضصاد5032</t>
  </si>
  <si>
    <t>اختيارخ وبصادر-800-1405/05/20</t>
  </si>
  <si>
    <t>ضصاد5033</t>
  </si>
  <si>
    <t>اختيارخ وبصادر-900-1405/05/20</t>
  </si>
  <si>
    <t>ضصاد7042</t>
  </si>
  <si>
    <t>اختيارخ وبصادر-700-1405/07/22</t>
  </si>
  <si>
    <t>ضصاد7046</t>
  </si>
  <si>
    <t>اختيارخ وبصادر-1000-1405/07/22</t>
  </si>
  <si>
    <t>ضجار6035</t>
  </si>
  <si>
    <t>اختيارخ وتجارت-320-1405/06/18</t>
  </si>
  <si>
    <t>ضجار6036</t>
  </si>
  <si>
    <t>اختيارخ وتجارت-340-1405/06/18</t>
  </si>
  <si>
    <t>ضجار6039</t>
  </si>
  <si>
    <t>اختيارخ وتجارت-400-1405/06/18</t>
  </si>
  <si>
    <t>ضجار6040</t>
  </si>
  <si>
    <t>اختيارخ وتجارت-450-1405/06/18</t>
  </si>
  <si>
    <t>ضجار6041</t>
  </si>
  <si>
    <t>اختيارخ وتجارت-500-1405/06/18</t>
  </si>
  <si>
    <t>ضجار6042</t>
  </si>
  <si>
    <t>اختيارخ وتجارت-550-1405/06/18</t>
  </si>
  <si>
    <t>ضجار6043</t>
  </si>
  <si>
    <t>اختيارخ وتجارت-600-1405/06/18</t>
  </si>
  <si>
    <t>ضجار6046</t>
  </si>
  <si>
    <t>اختيارخ وتجارت-750-1405/06/18</t>
  </si>
  <si>
    <t>ضخود5046</t>
  </si>
  <si>
    <t>اختيارخ خودرو-320-1405/05/07</t>
  </si>
  <si>
    <t>ضخود5047</t>
  </si>
  <si>
    <t>اختيارخ خودرو-340-1405/05/07</t>
  </si>
  <si>
    <t>ضخود5050</t>
  </si>
  <si>
    <t>اختيارخ خودرو-400-1405/05/07</t>
  </si>
  <si>
    <t>ضخود5052</t>
  </si>
  <si>
    <t>اختيارخ خودرو-500-1405/05/07</t>
  </si>
  <si>
    <t>ضخود5054</t>
  </si>
  <si>
    <t>اختيارخ خودرو-600-1405/05/07</t>
  </si>
  <si>
    <t>ضخود5056</t>
  </si>
  <si>
    <t>اختيارخ خودرو-700-1405/05/07</t>
  </si>
  <si>
    <t>ضخود5057</t>
  </si>
  <si>
    <t>اختيارخ خودرو-750-1405/05/07</t>
  </si>
  <si>
    <t>ضخود5058</t>
  </si>
  <si>
    <t>اختيارخ خودرو-800-1405/05/07</t>
  </si>
  <si>
    <t>ضخود6047</t>
  </si>
  <si>
    <t>اختيارخ خودرو-360-1405/06/04</t>
  </si>
  <si>
    <t>ضخود6048</t>
  </si>
  <si>
    <t>اختيارخ خودرو-380-1405/06/04</t>
  </si>
  <si>
    <t>ضخود6049</t>
  </si>
  <si>
    <t>اختيارخ خودرو-400-1405/06/04</t>
  </si>
  <si>
    <t>ضخود6050</t>
  </si>
  <si>
    <t>اختيارخ خودرو-450-1405/06/04</t>
  </si>
  <si>
    <t>ضخود6053</t>
  </si>
  <si>
    <t>اختيارخ خودرو-600-1405/06/04</t>
  </si>
  <si>
    <t>ضخود6057</t>
  </si>
  <si>
    <t>اختيارخ خودرو-800-1405/06/04</t>
  </si>
  <si>
    <t>ضخود6058</t>
  </si>
  <si>
    <t>اختيارخ خودرو-900-1405/06/04</t>
  </si>
  <si>
    <t>ضجوا6002</t>
  </si>
  <si>
    <t>اختيارخ جوانه.ك-13000-05/06/25</t>
  </si>
  <si>
    <t>ضجوا6004</t>
  </si>
  <si>
    <t>اختيارخ جوانه.ك-15000-05/06/25</t>
  </si>
  <si>
    <t>ضجوا6005</t>
  </si>
  <si>
    <t>اختيارخ جوانه.ك-16000-05/06/25</t>
  </si>
  <si>
    <t>ضجوا6008</t>
  </si>
  <si>
    <t>اختيارخ جوانه.ك-22000-05/06/25</t>
  </si>
  <si>
    <t>ضجوا6009</t>
  </si>
  <si>
    <t>اختيارخ جوانه.ك-24000-05/06/25</t>
  </si>
  <si>
    <t>ضجوا6010</t>
  </si>
  <si>
    <t>اختيارخ جوانه.ك-26000-05/06/25</t>
  </si>
  <si>
    <t>ضمخا5009</t>
  </si>
  <si>
    <t>ضمخا5010</t>
  </si>
  <si>
    <t>ضمخا5011</t>
  </si>
  <si>
    <t>ضمخا5012</t>
  </si>
  <si>
    <t>ضمخا5013</t>
  </si>
  <si>
    <t>ضمخا5016</t>
  </si>
  <si>
    <t>ضمخا5017</t>
  </si>
  <si>
    <t>ضمخا5018</t>
  </si>
  <si>
    <t>ضمخا5021</t>
  </si>
  <si>
    <t>ضمخا7090</t>
  </si>
  <si>
    <t>ضمخا7091</t>
  </si>
  <si>
    <t>ضمخا7093</t>
  </si>
  <si>
    <t>ضمخا7094</t>
  </si>
  <si>
    <t>ضمخا7096</t>
  </si>
  <si>
    <t>ضمخا7097</t>
  </si>
  <si>
    <t>ضمخا7098</t>
  </si>
  <si>
    <t>ضمخا7101</t>
  </si>
  <si>
    <t>ضملي5025</t>
  </si>
  <si>
    <t>اختيارخ فملي-11000-1405/05/14</t>
  </si>
  <si>
    <t>ضملي5029</t>
  </si>
  <si>
    <t>اختيارخ فملي-15000-1405/05/14</t>
  </si>
  <si>
    <t>ضملي5030</t>
  </si>
  <si>
    <t>اختيارخ فملي-16000-1405/05/14</t>
  </si>
  <si>
    <t>ضملي5032</t>
  </si>
  <si>
    <t>اختيارخ فملي-20000-1405/05/14</t>
  </si>
  <si>
    <t>ضملي5033</t>
  </si>
  <si>
    <t>اختيارخ فملي-22000-1405/05/14</t>
  </si>
  <si>
    <t>ضملي5034</t>
  </si>
  <si>
    <t>اختيارخ فملي-24000-1405/05/14</t>
  </si>
  <si>
    <t>ضملي5035</t>
  </si>
  <si>
    <t>اختيارخ فملي-26000-1405/05/14</t>
  </si>
  <si>
    <t>ضملي7061</t>
  </si>
  <si>
    <t>اختيارخ فملي-12000-1405/07/08</t>
  </si>
  <si>
    <t>ضملي7064</t>
  </si>
  <si>
    <t>اختيارخ فملي-15000-1405/07/08</t>
  </si>
  <si>
    <t>ضملي7067</t>
  </si>
  <si>
    <t>اختيارخ فملي-20000-1405/07/08</t>
  </si>
  <si>
    <t>ضملي7068</t>
  </si>
  <si>
    <t>اختيارخ فملي-22000-1405/07/08</t>
  </si>
  <si>
    <t>ضملي7070</t>
  </si>
  <si>
    <t>اختيارخ فملي-26000-1405/07/08</t>
  </si>
  <si>
    <t>ضملي7072</t>
  </si>
  <si>
    <t>اختيارخ فملي-30000-1405/07/08</t>
  </si>
  <si>
    <t>ضتاص5001</t>
  </si>
  <si>
    <t>اختيارخ تاصيكو-7000-05/05/07</t>
  </si>
  <si>
    <t>ضتاص5003</t>
  </si>
  <si>
    <t>اختيارخ تاصيكو-8000-05/05/07</t>
  </si>
  <si>
    <t>ضتاص5004</t>
  </si>
  <si>
    <t>اختيارخ تاصيكو-9000-05/05/07</t>
  </si>
  <si>
    <t>ضتاص5005</t>
  </si>
  <si>
    <t>اختيارخ تاصيكو-10000-05/05/07</t>
  </si>
  <si>
    <t>ضتاص5006</t>
  </si>
  <si>
    <t>اختيارخ تاصيكو-11000-05/05/07</t>
  </si>
  <si>
    <t>ضتاص5009</t>
  </si>
  <si>
    <t>اختيارخ تاصيكو-14000-05/05/07</t>
  </si>
  <si>
    <t>ضتاص5010</t>
  </si>
  <si>
    <t>اختيارخ تاصيكو-15000-05/05/07</t>
  </si>
  <si>
    <t>ضتاص7000</t>
  </si>
  <si>
    <t>اختيارخ تاصيكو-7500-05/07/08</t>
  </si>
  <si>
    <t>ضتاص7002</t>
  </si>
  <si>
    <t>اختيارخ تاصيكو-9000-05/07/08</t>
  </si>
  <si>
    <t>ضتاص7004</t>
  </si>
  <si>
    <t>اختيارخ تاصيكو-11000-05/07/08</t>
  </si>
  <si>
    <t>ضتاص7010</t>
  </si>
  <si>
    <t>اختيارخ تاصيكو-18000-05/07/08</t>
  </si>
  <si>
    <t>ضتاص7011</t>
  </si>
  <si>
    <t>اختيارخ تاصيكو-20000-05/07/08</t>
  </si>
  <si>
    <t>ضسپا5021</t>
  </si>
  <si>
    <t>اختيارخ خساپا-340-1405/05/28</t>
  </si>
  <si>
    <t>ضسپا5025</t>
  </si>
  <si>
    <t>اختيارخ خساپا-450-1405/05/28</t>
  </si>
  <si>
    <t>ضسپا5026</t>
  </si>
  <si>
    <t>اختيارخ خساپا-500-1405/05/28</t>
  </si>
  <si>
    <t>ضسپا5027</t>
  </si>
  <si>
    <t>اختيارخ خساپا-550-1405/05/28</t>
  </si>
  <si>
    <t>ضسپا5029</t>
  </si>
  <si>
    <t>اختيارخ خساپا-650-1405/05/28</t>
  </si>
  <si>
    <t>ضسپا5032</t>
  </si>
  <si>
    <t>اختيارخ خساپا-800-1405/05/28</t>
  </si>
  <si>
    <t>ضسپا5033</t>
  </si>
  <si>
    <t>اختيارخ خساپا-900-1405/05/28</t>
  </si>
  <si>
    <t>ضسپا6040</t>
  </si>
  <si>
    <t>اختيارخ خساپا-400-1405/06/25</t>
  </si>
  <si>
    <t>ضسپا6041</t>
  </si>
  <si>
    <t>اختيارخ خساپا-450-1405/06/25</t>
  </si>
  <si>
    <t>ضسپا6042</t>
  </si>
  <si>
    <t>اختيارخ خساپا-500-1405/06/25</t>
  </si>
  <si>
    <t>ضسپا6043</t>
  </si>
  <si>
    <t>اختيارخ خساپا-550-1405/06/25</t>
  </si>
  <si>
    <t>ضسپا6044</t>
  </si>
  <si>
    <t>اختيارخ خساپا-600-1405/06/25</t>
  </si>
  <si>
    <t>ضستا5043</t>
  </si>
  <si>
    <t>اختيارخ شستا-1600-1405/05/14</t>
  </si>
  <si>
    <t>ضستا5044</t>
  </si>
  <si>
    <t>اختيارخ شستا-1700-1405/05/14</t>
  </si>
  <si>
    <t>ضستا5046</t>
  </si>
  <si>
    <t>اختيارخ شستا-1900-1405/05/14</t>
  </si>
  <si>
    <t>ضستا5047</t>
  </si>
  <si>
    <t>اختيارخ شستا-2000-1405/05/14</t>
  </si>
  <si>
    <t>ضستا5048</t>
  </si>
  <si>
    <t>اختيارخ شستا-2200-1405/05/14</t>
  </si>
  <si>
    <t>ضستا5051</t>
  </si>
  <si>
    <t>اختيارخ شستا-2800-1405/05/14</t>
  </si>
  <si>
    <t>ضستا6040</t>
  </si>
  <si>
    <t>اختيارخ شستا-1200-1405/06/11</t>
  </si>
  <si>
    <t>ضستا6042</t>
  </si>
  <si>
    <t>اختيارخ شستا-1400-1405/06/11</t>
  </si>
  <si>
    <t>ضستا6043</t>
  </si>
  <si>
    <t>اختيارخ شستا-1500-1405/06/11</t>
  </si>
  <si>
    <t>ضستا6044</t>
  </si>
  <si>
    <t>اختيارخ شستا-1600-1405/06/11</t>
  </si>
  <si>
    <t>ضستا6045</t>
  </si>
  <si>
    <t>اختيارخ شستا-1700-1405/06/11</t>
  </si>
  <si>
    <t>ضستا6047</t>
  </si>
  <si>
    <t>اختيارخ شستا-1900-1405/06/11</t>
  </si>
  <si>
    <t>ضستا6048</t>
  </si>
  <si>
    <t>اختيارخ شستا-2000-1405/06/11</t>
  </si>
  <si>
    <t>ضستا6049</t>
  </si>
  <si>
    <t>اختيارخ شستا-2200-1405/06/11</t>
  </si>
  <si>
    <t>ضستا6050</t>
  </si>
  <si>
    <t>اختيارخ شستا-2400-1405/06/11</t>
  </si>
  <si>
    <t>ضستا6051</t>
  </si>
  <si>
    <t>اختيارخ شستا-2600-1405/06/11</t>
  </si>
  <si>
    <t>ضستا7051</t>
  </si>
  <si>
    <t>اختيارخ شستا-1500-1405/07/15</t>
  </si>
  <si>
    <t>ضستا7052</t>
  </si>
  <si>
    <t>اختيارخ شستا-1600-1405/07/15</t>
  </si>
  <si>
    <t>ضستا7053</t>
  </si>
  <si>
    <t>اختيارخ شستا-1700-1405/07/15</t>
  </si>
  <si>
    <t>ضستا7054</t>
  </si>
  <si>
    <t>اختيارخ شستا-1800-1405/07/15</t>
  </si>
  <si>
    <t>ضستا7055</t>
  </si>
  <si>
    <t>اختيارخ شستا-1900-1405/07/15</t>
  </si>
  <si>
    <t>ضستا7058</t>
  </si>
  <si>
    <t>اختيارخ شستا-2400-1405/07/15</t>
  </si>
  <si>
    <t>ضستا7060</t>
  </si>
  <si>
    <t>اختيارخ شستا-2800-1405/07/15</t>
  </si>
  <si>
    <t>ضستا7062</t>
  </si>
  <si>
    <t>اختيارخ شستا-3250-1405/07/15</t>
  </si>
  <si>
    <t>ضراز6000</t>
  </si>
  <si>
    <t>اختيارخ هم تراز-9000-05/06/04</t>
  </si>
  <si>
    <t>ضراز6002</t>
  </si>
  <si>
    <t>اختيارخ هم تراز-11000-05/06/04</t>
  </si>
  <si>
    <t>ضراز6003</t>
  </si>
  <si>
    <t>اختيارخ هم تراز-12000-05/06/04</t>
  </si>
  <si>
    <t>ضراز6008</t>
  </si>
  <si>
    <t>اختيارخ هم تراز-18000-05/06/04</t>
  </si>
  <si>
    <t>ضراز6009</t>
  </si>
  <si>
    <t>اختيارخ هم تراز-20000-05/06/04</t>
  </si>
  <si>
    <t>ضراز6011</t>
  </si>
  <si>
    <t>اختيارخ هم تراز-24000-05/06/04</t>
  </si>
  <si>
    <t>ضراز8000</t>
  </si>
  <si>
    <t>اختيارخ هم تراز-11000-05/08/06</t>
  </si>
  <si>
    <t>ضراز8002</t>
  </si>
  <si>
    <t>اختيارخ هم تراز-13000-05/08/06</t>
  </si>
  <si>
    <t>ضراز8003</t>
  </si>
  <si>
    <t>اختيارخ هم تراز-14000-05/08/06</t>
  </si>
  <si>
    <t>ضراز8004</t>
  </si>
  <si>
    <t>اختيارخ هم تراز-15000-05/08/06</t>
  </si>
  <si>
    <t>ضراز8006</t>
  </si>
  <si>
    <t>اختيارخ هم تراز-18000-05/08/06</t>
  </si>
  <si>
    <t>ضراز8007</t>
  </si>
  <si>
    <t>اختيارخ هم تراز-20000-05/08/06</t>
  </si>
  <si>
    <t>ضراز8010</t>
  </si>
  <si>
    <t>اختيارخ هم تراز-26000-05/08/06</t>
  </si>
  <si>
    <t>ضراز8011</t>
  </si>
  <si>
    <t>اختيارخ هم تراز-28000-05/08/06</t>
  </si>
  <si>
    <t>ضذوب5023</t>
  </si>
  <si>
    <t>اختيارخ ذوب-340-1405/05/20</t>
  </si>
  <si>
    <t>ضذوب5024</t>
  </si>
  <si>
    <t>اختيارخ ذوب-360-1405/05/20</t>
  </si>
  <si>
    <t>ضذوب5025</t>
  </si>
  <si>
    <t>اختيارخ ذوب-380-1405/05/20</t>
  </si>
  <si>
    <t>ضذوب5027</t>
  </si>
  <si>
    <t>اختيارخ ذوب-450-1405/05/20</t>
  </si>
  <si>
    <t>ضذوب5028</t>
  </si>
  <si>
    <t>اختيارخ ذوب-500-1405/05/20</t>
  </si>
  <si>
    <t>ضذوب5031</t>
  </si>
  <si>
    <t>اختيارخ ذوب-650-1405/05/20</t>
  </si>
  <si>
    <t>ضذوب6011</t>
  </si>
  <si>
    <t>اختيارخ ذوب-300-1405/06/18</t>
  </si>
  <si>
    <t>ضذوب6014</t>
  </si>
  <si>
    <t>اختيارخ ذوب-360-1405/06/18</t>
  </si>
  <si>
    <t>ضذوب6015</t>
  </si>
  <si>
    <t>اختيارخ ذوب-380-1405/06/18</t>
  </si>
  <si>
    <t>ضذوب6017</t>
  </si>
  <si>
    <t>اختيارخ ذوب-450-1405/06/18</t>
  </si>
  <si>
    <t>ضذوب6018</t>
  </si>
  <si>
    <t>اختيارخ ذوب-500-1405/06/18</t>
  </si>
  <si>
    <t>ضذوب6019</t>
  </si>
  <si>
    <t>اختيارخ ذوب-550-1405/06/18</t>
  </si>
  <si>
    <t>ضذوب6021</t>
  </si>
  <si>
    <t>اختيارخ ذوب-650-1405/06/18</t>
  </si>
  <si>
    <t>ضموج513</t>
  </si>
  <si>
    <t>اختيارخ موج-34000-14050525</t>
  </si>
  <si>
    <t>ضموج514</t>
  </si>
  <si>
    <t>اختيارخ موج-36000-14050525</t>
  </si>
  <si>
    <t>ضموج515</t>
  </si>
  <si>
    <t>اختيارخ موج-38000-14050525</t>
  </si>
  <si>
    <t>ضموج516</t>
  </si>
  <si>
    <t>اختيارخ موج-40000-14050525</t>
  </si>
  <si>
    <t>ضموج519</t>
  </si>
  <si>
    <t>اختيارخ موج-46000-14050525</t>
  </si>
  <si>
    <t>ضموج637</t>
  </si>
  <si>
    <t>اختيارخ موج-32000-14050629</t>
  </si>
  <si>
    <t>ضموج642</t>
  </si>
  <si>
    <t>اختيارخ موج-42000-14050629</t>
  </si>
  <si>
    <t>ضموج643</t>
  </si>
  <si>
    <t>اختيارخ موج-44000-14050629</t>
  </si>
  <si>
    <t>ضموج646</t>
  </si>
  <si>
    <t>اختيارخ موج-50000-14050629</t>
  </si>
  <si>
    <t>ضموج647</t>
  </si>
  <si>
    <t>اختيارخ موج-55000-14050629</t>
  </si>
  <si>
    <t>ضموج648</t>
  </si>
  <si>
    <t>اختيارخ موج-60000-14050629</t>
  </si>
  <si>
    <t>ضموج650</t>
  </si>
  <si>
    <t>اختيارخ موج-70000-14050629</t>
  </si>
  <si>
    <t>ضموج651</t>
  </si>
  <si>
    <t>اختيارخ موج-75000-14050629</t>
  </si>
  <si>
    <t>ضموج652</t>
  </si>
  <si>
    <t>اختيارخ موج-80000-14050629</t>
  </si>
  <si>
    <t>ضموج525</t>
  </si>
  <si>
    <t>اختيارخ موج-70000-14050525</t>
  </si>
  <si>
    <t>ضموج526</t>
  </si>
  <si>
    <t>اختيارخ موج-75000-14050525</t>
  </si>
  <si>
    <t>ضفزر501</t>
  </si>
  <si>
    <t>اختيارخ فزر-100000-14050525</t>
  </si>
  <si>
    <t>ضفزر503</t>
  </si>
  <si>
    <t>اختيارخ فزر-120000-14050525</t>
  </si>
  <si>
    <t>ضفزر504</t>
  </si>
  <si>
    <t>اختيارخ فزر-130000-14050525</t>
  </si>
  <si>
    <t>ضفزر507</t>
  </si>
  <si>
    <t>اختيارخ فزر-160000-14050525</t>
  </si>
  <si>
    <t>ضفزر508</t>
  </si>
  <si>
    <t>اختيارخ فزر-170000-14050525</t>
  </si>
  <si>
    <t>ضفزر509</t>
  </si>
  <si>
    <t>اختيارخ فزر-180000-14050525</t>
  </si>
  <si>
    <t>ضفزر510</t>
  </si>
  <si>
    <t>اختيارخ فزر-190000-14050525</t>
  </si>
  <si>
    <t>ضاطلس062201</t>
  </si>
  <si>
    <t>اختيارخ اطلس-90000-14050622</t>
  </si>
  <si>
    <t>ضاطلس062202</t>
  </si>
  <si>
    <t>اختيارخ اطلس-95000-14050622</t>
  </si>
  <si>
    <t>ضاطلس062204</t>
  </si>
  <si>
    <t>اختيارخ اطلس-110000-14050622</t>
  </si>
  <si>
    <t>ضاطلس062205</t>
  </si>
  <si>
    <t>اختيارخ اطلس-120000-14050622</t>
  </si>
  <si>
    <t>ضاطلس062207</t>
  </si>
  <si>
    <t>اختيارخ اطلس-140000-14050622</t>
  </si>
  <si>
    <t>ضاطلس062208</t>
  </si>
  <si>
    <t>اختيارخ اطلس-150000-14050622</t>
  </si>
  <si>
    <t>ضاطلس062210</t>
  </si>
  <si>
    <t>اختيارخ اطلس-170000-14050622</t>
  </si>
  <si>
    <t>ضاطلس052500</t>
  </si>
  <si>
    <t>اختيارخ اطلس-85000-14050525</t>
  </si>
  <si>
    <t>ضاطلس052501</t>
  </si>
  <si>
    <t>اختيارخ اطلس-90000-14050525</t>
  </si>
  <si>
    <t>ضاطلس052502</t>
  </si>
  <si>
    <t>اختيارخ اطلس-95000-14050525</t>
  </si>
  <si>
    <t>ضاطلس052503</t>
  </si>
  <si>
    <t>اختيارخ اطلس-100000-14050525</t>
  </si>
  <si>
    <t>ضاطلس052505</t>
  </si>
  <si>
    <t>اختيارخ اطلس-120000-14050525</t>
  </si>
  <si>
    <t>ضملي5024</t>
  </si>
  <si>
    <t>اختيارخ فملي-10000-1405/05/14</t>
  </si>
  <si>
    <t>ضسپا5028</t>
  </si>
  <si>
    <t>اختيارخ خساپا-600-1405/05/28</t>
  </si>
  <si>
    <t>ضهرم6048</t>
  </si>
  <si>
    <t>اختيارخ اهرم-56000-1405/06/25</t>
  </si>
  <si>
    <t>نارنج اهرم</t>
  </si>
  <si>
    <t>ص.س. اهرمي نارنج-س</t>
  </si>
  <si>
    <t>ضتوان518</t>
  </si>
  <si>
    <t>اختيارخ توان-38000-14050525</t>
  </si>
  <si>
    <t>صپاد083</t>
  </si>
  <si>
    <t>صكوك اجاره آپادانا083-3ماهه23%</t>
  </si>
  <si>
    <t>صقرن511</t>
  </si>
  <si>
    <t>صكوك مرابحه قرن511-3ماهه18%</t>
  </si>
  <si>
    <t>طملت6022</t>
  </si>
  <si>
    <t>اختيارف وبملت-1400-1405/06/18</t>
  </si>
  <si>
    <t>آرمان ارگ072</t>
  </si>
  <si>
    <t>مرابحه آرمان ارگ- كيان071221</t>
  </si>
  <si>
    <t>ضملي5027</t>
  </si>
  <si>
    <t>اختيارخ فملي-13000-1405/05/14</t>
  </si>
  <si>
    <t>صخابر061</t>
  </si>
  <si>
    <t>صكوك اجاره اخابر061-3ماهه23%</t>
  </si>
  <si>
    <t>صمپنا67</t>
  </si>
  <si>
    <t>صكوك اجاره مپنا67-3ماهه23%</t>
  </si>
  <si>
    <t>طهرم5032</t>
  </si>
  <si>
    <t>اختيارف اهرم-42000-1405/05/28</t>
  </si>
  <si>
    <t>صكسرا612</t>
  </si>
  <si>
    <t>صكوك مرابحه كسرا612-3ماهه23%</t>
  </si>
  <si>
    <t>ضمخا5020</t>
  </si>
  <si>
    <t>طخود5046</t>
  </si>
  <si>
    <t>اختيارف خودرو-320-1405/05/07</t>
  </si>
  <si>
    <t>سها</t>
  </si>
  <si>
    <t>صندوق س مشترك مبين سرمايه-سهام</t>
  </si>
  <si>
    <t>طملت5027</t>
  </si>
  <si>
    <t>اختيارف وبملت-800-1405/05/20</t>
  </si>
  <si>
    <t>سمان</t>
  </si>
  <si>
    <t>صندوق سرمايه گذاري قلك1-بخشي</t>
  </si>
  <si>
    <t>ضراز8008</t>
  </si>
  <si>
    <t>اختيارخ هم تراز-22000-05/08/06</t>
  </si>
  <si>
    <t>صفناور74</t>
  </si>
  <si>
    <t>صكوك مرابحه اروند74-3ماهه23%</t>
  </si>
  <si>
    <t>عكاله5</t>
  </si>
  <si>
    <t>سلف شيرفرادما سوليكو</t>
  </si>
  <si>
    <t>طفزر508</t>
  </si>
  <si>
    <t>اختيارف فزر-170000-14050525</t>
  </si>
  <si>
    <t>طملي5024</t>
  </si>
  <si>
    <t>اختيارف فملي-10000-1405/05/14</t>
  </si>
  <si>
    <t>صترا509</t>
  </si>
  <si>
    <t>صكوك مرابحه بترانس509-3ماهه18%</t>
  </si>
  <si>
    <t>ضهرم6042</t>
  </si>
  <si>
    <t>اختيارخ اهرم-30000-1405/06/25</t>
  </si>
  <si>
    <t>ضاطلس052504</t>
  </si>
  <si>
    <t>اختيارخ اطلس-110000-14050525</t>
  </si>
  <si>
    <t>طاطلس062208</t>
  </si>
  <si>
    <t>اختيارف اطلس-150000-14050622</t>
  </si>
  <si>
    <t>ضهرم4035</t>
  </si>
  <si>
    <t>اختيارخ اهرم-62000-1405/04/31</t>
  </si>
  <si>
    <t>عاليس073</t>
  </si>
  <si>
    <t>مرابحه عاليس-صنعت070224</t>
  </si>
  <si>
    <t>كارون071</t>
  </si>
  <si>
    <t>مرابحه كارون-تمدن070520</t>
  </si>
  <si>
    <t>يارا</t>
  </si>
  <si>
    <t>صندوق س. آريا-د</t>
  </si>
  <si>
    <t>طجوا6010</t>
  </si>
  <si>
    <t>اختيارف جوانه.ك-26000-05/06/25</t>
  </si>
  <si>
    <t>تابان17</t>
  </si>
  <si>
    <t>اجاره تابان فرداسپهر14061205</t>
  </si>
  <si>
    <t>ضملت5031</t>
  </si>
  <si>
    <t>اختيارخ وبملت-1200-1405/05/20</t>
  </si>
  <si>
    <t>طراز6004</t>
  </si>
  <si>
    <t>اختيارف هم تراز-13000-05/06/04</t>
  </si>
  <si>
    <t>صنم</t>
  </si>
  <si>
    <t>ص.س.صندوق در صندوق صنم</t>
  </si>
  <si>
    <t>مشهد702</t>
  </si>
  <si>
    <t>مشاركت ش مشهد702-3ماهه23%</t>
  </si>
  <si>
    <t>مشهد602</t>
  </si>
  <si>
    <t>مشاركت ش مشهد602-3ماهه20.5%</t>
  </si>
  <si>
    <t>طهرم6044</t>
  </si>
  <si>
    <t>اختيارف اهرم-38000-1405/06/25</t>
  </si>
  <si>
    <t>عصبانور1</t>
  </si>
  <si>
    <t>سلف گندله سنگ آهن صبانور</t>
  </si>
  <si>
    <t>گلدا</t>
  </si>
  <si>
    <t>صندوق س.پشتوانه طلاي پاداش</t>
  </si>
  <si>
    <t>طتوان517</t>
  </si>
  <si>
    <t>اختيارف توان-36000-14050525</t>
  </si>
  <si>
    <t>اكسيژن</t>
  </si>
  <si>
    <t>صندوق س. سهامي اكسيژن-س</t>
  </si>
  <si>
    <t>زرين فولاد081</t>
  </si>
  <si>
    <t>مرابحه زرين فولاد-بيدار080916</t>
  </si>
  <si>
    <t>كيش05</t>
  </si>
  <si>
    <t>مرابحه س. و توسعه كيش14050724</t>
  </si>
  <si>
    <t>كرمان063</t>
  </si>
  <si>
    <t>مرابحه كرمان موتور-ملت060904</t>
  </si>
  <si>
    <t>كرمان</t>
  </si>
  <si>
    <t>س. توسعه و عمران استان كرمان</t>
  </si>
  <si>
    <t>صروز705</t>
  </si>
  <si>
    <t>صكوك مرابحه دروز705-3ماهه23%</t>
  </si>
  <si>
    <t>ضراز6010</t>
  </si>
  <si>
    <t>اختيارخ هم تراز-22000-05/06/04</t>
  </si>
  <si>
    <t>صدوچرخ83</t>
  </si>
  <si>
    <t>صكوك مرابحه دوچرخ83-3ماهه23%</t>
  </si>
  <si>
    <t>تابان14</t>
  </si>
  <si>
    <t>اجاره تابان فردا فارس14061222</t>
  </si>
  <si>
    <t>طاطلس062210</t>
  </si>
  <si>
    <t>اختيارف اطلس-170000-14050622</t>
  </si>
  <si>
    <t>مهيا062</t>
  </si>
  <si>
    <t>مرابحه مهياپروتئين-ويستا061003</t>
  </si>
  <si>
    <t>ضتوان628</t>
  </si>
  <si>
    <t>اختيارخ توان-34000-14050629</t>
  </si>
  <si>
    <t>كتوسعه3</t>
  </si>
  <si>
    <t>آسا2</t>
  </si>
  <si>
    <t>ضتوان528</t>
  </si>
  <si>
    <t>اختيارخ توان-70000-14050525</t>
  </si>
  <si>
    <t>ضتوان515</t>
  </si>
  <si>
    <t>اختيارخ توان-32000-14050525</t>
  </si>
  <si>
    <t>ضستا7061</t>
  </si>
  <si>
    <t>اختيارخ شستا-3000-1405/07/15</t>
  </si>
  <si>
    <t>ضهرم4029</t>
  </si>
  <si>
    <t>اختيارخ اهرم-34000-1405/04/31</t>
  </si>
  <si>
    <t>ضراز6005</t>
  </si>
  <si>
    <t>اختيارخ هم تراز-14000-05/06/04</t>
  </si>
  <si>
    <t>وپويا3</t>
  </si>
  <si>
    <t>طستا5044</t>
  </si>
  <si>
    <t>اختيارف شستا-1700-1405/05/14</t>
  </si>
  <si>
    <t>ضراز8009</t>
  </si>
  <si>
    <t>اختيارخ هم تراز-24000-05/08/06</t>
  </si>
  <si>
    <t>طملت5026</t>
  </si>
  <si>
    <t>اختيارف وبملت-750-1405/05/20</t>
  </si>
  <si>
    <t>زمرد كوروش</t>
  </si>
  <si>
    <t>اخزا404</t>
  </si>
  <si>
    <t>اسناد خزانه-م4بودجه04-070816</t>
  </si>
  <si>
    <t>گنجين</t>
  </si>
  <si>
    <t>صندوق س. گنجينه يكم آويد-د</t>
  </si>
  <si>
    <t>دوايكس</t>
  </si>
  <si>
    <t>ص.س.اهرمي شاخصي كيان-س</t>
  </si>
  <si>
    <t>صپترو705</t>
  </si>
  <si>
    <t>صكوك اجاره پترول705-6ماهه23%</t>
  </si>
  <si>
    <t>ضستا5042</t>
  </si>
  <si>
    <t>اختيارخ شستا-1500-1405/05/14</t>
  </si>
  <si>
    <t>صگستر52</t>
  </si>
  <si>
    <t>صكوك مرابحه ارغوان52-3ماهه23%</t>
  </si>
  <si>
    <t>كمان</t>
  </si>
  <si>
    <t>س.خ.كمان كاريزما 35% تاديه</t>
  </si>
  <si>
    <t>طموج521</t>
  </si>
  <si>
    <t>اختيارف موج-50000-14050525</t>
  </si>
  <si>
    <t>مبين061</t>
  </si>
  <si>
    <t>اجاره اعتماد مبين اميد14061227</t>
  </si>
  <si>
    <t>ضستا5039</t>
  </si>
  <si>
    <t>اختيارخ شستا-1200-1405/05/14</t>
  </si>
  <si>
    <t>گلديران06</t>
  </si>
  <si>
    <t>مرابحه صنايع گلديران060620</t>
  </si>
  <si>
    <t>صمهان706</t>
  </si>
  <si>
    <t>صكوك اجاره ومهان706-3ماهه23%</t>
  </si>
  <si>
    <t>صيدك601</t>
  </si>
  <si>
    <t>صكوك مرابحه صيدك601-3ماهه18%</t>
  </si>
  <si>
    <t>صكورش505</t>
  </si>
  <si>
    <t>صكوك مرابحه غكورش505-بدون ضامن</t>
  </si>
  <si>
    <t>عدرپاد4</t>
  </si>
  <si>
    <t>سلف موازي ميلگرد تبريز</t>
  </si>
  <si>
    <t>زعف0510پ08</t>
  </si>
  <si>
    <t>زعفران0510نگين روستا(پ)</t>
  </si>
  <si>
    <t>عاليس071</t>
  </si>
  <si>
    <t>مرابحه عاليس-پارسيان070224</t>
  </si>
  <si>
    <t>ثابت اكسيژن2</t>
  </si>
  <si>
    <t>ص.س.درآمد ثابت اكسيژن-د</t>
  </si>
  <si>
    <t>طراز6003</t>
  </si>
  <si>
    <t>اختيارف هم تراز-12000-05/06/04</t>
  </si>
  <si>
    <t>طسپا5021</t>
  </si>
  <si>
    <t>اختيارف خساپا-340-1405/05/28</t>
  </si>
  <si>
    <t>طتوان528</t>
  </si>
  <si>
    <t>اختيارف توان-70000-14050525</t>
  </si>
  <si>
    <t>طموج641</t>
  </si>
  <si>
    <t>اختيارف موج-40000-14050629</t>
  </si>
  <si>
    <t>دشيري</t>
  </si>
  <si>
    <t>شيرين دارو</t>
  </si>
  <si>
    <t>هامون نايزه</t>
  </si>
  <si>
    <t>ضستا5045</t>
  </si>
  <si>
    <t>اختيارخ شستا-1800-1405/05/14</t>
  </si>
  <si>
    <t>طفزر507</t>
  </si>
  <si>
    <t>اختيارف فزر-160000-14050525</t>
  </si>
  <si>
    <t>ضفزر502</t>
  </si>
  <si>
    <t>اختيارخ فزر-110000-14050525</t>
  </si>
  <si>
    <t>كاردان</t>
  </si>
  <si>
    <t>صندوق س تجارت شاخصي كاردان</t>
  </si>
  <si>
    <t>پتروسورين</t>
  </si>
  <si>
    <t>صندوق س.بخشي ثروت آفرين1-ب</t>
  </si>
  <si>
    <t>اراد2264</t>
  </si>
  <si>
    <t>مرابحه عام دولت226-ش.خ070414</t>
  </si>
  <si>
    <t>اعتماد</t>
  </si>
  <si>
    <t>صندوق س.اعتماد آفرين پارسيان-د</t>
  </si>
  <si>
    <t>پالايش</t>
  </si>
  <si>
    <t>صندوق پالايشي يكم-سهام</t>
  </si>
  <si>
    <t>ضراز6006</t>
  </si>
  <si>
    <t>اختيارخ هم تراز-15000-05/06/04</t>
  </si>
  <si>
    <t>آويد</t>
  </si>
  <si>
    <t>صندوق س. مشترك امين آويد-س</t>
  </si>
  <si>
    <t>امين شهر</t>
  </si>
  <si>
    <t>ص.س. املاك و مستغلات امين شهر</t>
  </si>
  <si>
    <t>پولاد</t>
  </si>
  <si>
    <t>صندوق س.بخشي صنايع آبان2-ب</t>
  </si>
  <si>
    <t>تابان09</t>
  </si>
  <si>
    <t xml:space="preserve">اجاره تابان فردا نوين14050803	</t>
  </si>
  <si>
    <t>سهامدار</t>
  </si>
  <si>
    <t>صندوق س. بازده سهام-س</t>
  </si>
  <si>
    <t>كمند2</t>
  </si>
  <si>
    <t>صندوق س. با درآمد ثابت كمند</t>
  </si>
  <si>
    <t>جهان07</t>
  </si>
  <si>
    <t>مرابحه جهان ستاره آريا071024</t>
  </si>
  <si>
    <t>طاطلس062204</t>
  </si>
  <si>
    <t>اختيارف اطلس-110000-14050622</t>
  </si>
  <si>
    <t>طملت5030</t>
  </si>
  <si>
    <t>اختيارف وبملت-1100-1405/05/20</t>
  </si>
  <si>
    <t>طمخا5013</t>
  </si>
  <si>
    <t>رامك07</t>
  </si>
  <si>
    <t>مرابحه ف.لبني رامك شيراز071114</t>
  </si>
  <si>
    <t>طاطلس052503</t>
  </si>
  <si>
    <t>اختيارف اطلس-100000-14050525</t>
  </si>
  <si>
    <t>توسعه معادن072</t>
  </si>
  <si>
    <t>مرابحه توسعه معادن-كيميا071120</t>
  </si>
  <si>
    <t>ضستا6041</t>
  </si>
  <si>
    <t>اختيارخ شستا-1300-1405/06/11</t>
  </si>
  <si>
    <t>صعبيد609</t>
  </si>
  <si>
    <t>صكوك مرابحه دعبيد609-3ماهه23%</t>
  </si>
  <si>
    <t>دسانكو06</t>
  </si>
  <si>
    <t>مرابحه سبحان انكولوژي060530</t>
  </si>
  <si>
    <t>صايپا710</t>
  </si>
  <si>
    <t>صكوك مرابحه كساپا710-3ماهه23%</t>
  </si>
  <si>
    <t>طتاص5002</t>
  </si>
  <si>
    <t>اختيارف تاصيكو-7500-05/05/07</t>
  </si>
  <si>
    <t>ضهرم6050</t>
  </si>
  <si>
    <t>اختيارخ اهرم-68000-1405/06/25</t>
  </si>
  <si>
    <t>ضموج649</t>
  </si>
  <si>
    <t>اختيارخ موج-65000-14050629</t>
  </si>
  <si>
    <t>كرمان5124</t>
  </si>
  <si>
    <t>مرابحه كرمان موتور-كيان051223</t>
  </si>
  <si>
    <t>ضهرم4034</t>
  </si>
  <si>
    <t>اختيارخ اهرم-56000-1405/04/31</t>
  </si>
  <si>
    <t>صفارس804</t>
  </si>
  <si>
    <t>صكوك اجاره فارس804-بدون ضامن</t>
  </si>
  <si>
    <t>طراز8003</t>
  </si>
  <si>
    <t>اختيارف هم تراز-14000-05/08/06</t>
  </si>
  <si>
    <t>صخابر06</t>
  </si>
  <si>
    <t>صكوك اجاره اخابر06-3ماهه23%</t>
  </si>
  <si>
    <t>آسمان08</t>
  </si>
  <si>
    <t>مرابحه آسمان بيكران هشتم080428</t>
  </si>
  <si>
    <t>صفارس88</t>
  </si>
  <si>
    <t>صكوك اجاره فارس88-بدون ضامن</t>
  </si>
  <si>
    <t>ضجوا6006</t>
  </si>
  <si>
    <t>اختيارخ جوانه.ك-18000-05/06/25</t>
  </si>
  <si>
    <t>طتاص5005</t>
  </si>
  <si>
    <t>اختيارف تاصيكو-10000-05/05/07</t>
  </si>
  <si>
    <t>طاطلس062202</t>
  </si>
  <si>
    <t>اختيارف اطلس-95000-14050622</t>
  </si>
  <si>
    <t>عغدير7</t>
  </si>
  <si>
    <t>سلف آهن اسفنجي ايرانيان</t>
  </si>
  <si>
    <t>عگهر2</t>
  </si>
  <si>
    <t>سلف آهن اسفنجي گل گهر</t>
  </si>
  <si>
    <t>داروك073</t>
  </si>
  <si>
    <t>مرابحه داروك-هامرز070904</t>
  </si>
  <si>
    <t>ضمخا5015</t>
  </si>
  <si>
    <t>صرازي708</t>
  </si>
  <si>
    <t>صكوك مرابحه كرازي708-بدون ضامن</t>
  </si>
  <si>
    <t>صپترو707</t>
  </si>
  <si>
    <t>صكوك اجاره پترول707-6ماهه23%</t>
  </si>
  <si>
    <t>طاطلس060906</t>
  </si>
  <si>
    <t>اختيارف اطلس-130000-14050609</t>
  </si>
  <si>
    <t>ضجار6047</t>
  </si>
  <si>
    <t>اختيارخ وتجارت-800-1405/06/18</t>
  </si>
  <si>
    <t>طتاص5008</t>
  </si>
  <si>
    <t>اختيارف تاصيكو-13000-05/05/07</t>
  </si>
  <si>
    <t>كارون06</t>
  </si>
  <si>
    <t>مرابحه هواپيمايي كارون 060306</t>
  </si>
  <si>
    <t>والبر3</t>
  </si>
  <si>
    <t>بازبيمه2</t>
  </si>
  <si>
    <t>صندوق س.بخشي بازده صنايع1-ب</t>
  </si>
  <si>
    <t>ضراز8005</t>
  </si>
  <si>
    <t>اختيارخ هم تراز-16000-05/08/06</t>
  </si>
  <si>
    <t>معدني و صنعتي گهرزمين</t>
  </si>
  <si>
    <t>هوشيار</t>
  </si>
  <si>
    <t>صندوق س.هوش تصميم -س</t>
  </si>
  <si>
    <t>ططعام607</t>
  </si>
  <si>
    <t>اختيارف طعام-24000-14050615</t>
  </si>
  <si>
    <t>صترام505</t>
  </si>
  <si>
    <t>صكوك مرابحه كترام505-بدون ضامن</t>
  </si>
  <si>
    <t>كارا2</t>
  </si>
  <si>
    <t>صندوق س. كارا -د</t>
  </si>
  <si>
    <t>پتروپاداش</t>
  </si>
  <si>
    <t>صندوق س.بخشي صنايع پاداش1-ب</t>
  </si>
  <si>
    <t>ضذوب6016</t>
  </si>
  <si>
    <t>اختيارخ ذوب-400-1405/06/18</t>
  </si>
  <si>
    <t>ضتاص5000</t>
  </si>
  <si>
    <t>اختيارخ تاصيكو-6500-05/05/07</t>
  </si>
  <si>
    <t>طملت5029</t>
  </si>
  <si>
    <t>اختيارف وبملت-1000-1405/05/20</t>
  </si>
  <si>
    <t>ضمخا7100</t>
  </si>
  <si>
    <t>ضاطلس052506</t>
  </si>
  <si>
    <t>اختيارخ اطلس-130000-14050525</t>
  </si>
  <si>
    <t>ضاطلس052508</t>
  </si>
  <si>
    <t>اختيارخ اطلس-150000-14050525</t>
  </si>
  <si>
    <t>ضاطلس060900</t>
  </si>
  <si>
    <t>اختيارخ اطلس-85000-14050609</t>
  </si>
  <si>
    <t>ضاطلس060901</t>
  </si>
  <si>
    <t>اختيارخ اطلس-90000-14050609</t>
  </si>
  <si>
    <t>ضاطلس060902</t>
  </si>
  <si>
    <t>اختيارخ اطلس-95000-14050609</t>
  </si>
  <si>
    <t>ضاطلس060903</t>
  </si>
  <si>
    <t>اختيارخ اطلس-100000-14050609</t>
  </si>
  <si>
    <t>ضاطلس060904</t>
  </si>
  <si>
    <t>اختيارخ اطلس-110000-14050609</t>
  </si>
  <si>
    <t>ضاطلس060905</t>
  </si>
  <si>
    <t>اختيارخ اطلس-120000-14050609</t>
  </si>
  <si>
    <t>ضاطلس060906</t>
  </si>
  <si>
    <t>اختيارخ اطلس-130000-14050609</t>
  </si>
  <si>
    <t>ضاطلس060907</t>
  </si>
  <si>
    <t>اختيارخ اطلس-140000-14050609</t>
  </si>
  <si>
    <t>ضاطلس060909</t>
  </si>
  <si>
    <t>اختيارخ اطلس-160000-14050609</t>
  </si>
  <si>
    <t>ضاطلس060910</t>
  </si>
  <si>
    <t>اختيارخ اطلس-170000-14050609</t>
  </si>
  <si>
    <t>ضطعام601</t>
  </si>
  <si>
    <t>اختيارخ طعام-16000-14050615</t>
  </si>
  <si>
    <t>ضطعام602</t>
  </si>
  <si>
    <t>اختيارخ طعام-17000-14050615</t>
  </si>
  <si>
    <t>ضطعام603</t>
  </si>
  <si>
    <t>اختيارخ طعام-18000-14050615</t>
  </si>
  <si>
    <t>ضطعام607</t>
  </si>
  <si>
    <t>اختيارخ طعام-24000-14050615</t>
  </si>
  <si>
    <t>ضطعام609</t>
  </si>
  <si>
    <t>اختيارخ طعام-28000-14050615</t>
  </si>
  <si>
    <t>ضتوان626</t>
  </si>
  <si>
    <t>اختيارخ توان-30000-14050629</t>
  </si>
  <si>
    <t>ضتوان627</t>
  </si>
  <si>
    <t>اختيارخ توان-32000-14050629</t>
  </si>
  <si>
    <t>ضتوان629</t>
  </si>
  <si>
    <t>اختيارخ توان-36000-14050629</t>
  </si>
  <si>
    <t>ضتوان631</t>
  </si>
  <si>
    <t>اختيارخ توان-40000-14050629</t>
  </si>
  <si>
    <t>ضتوان634</t>
  </si>
  <si>
    <t>اختيارخ توان-46000-14050629</t>
  </si>
  <si>
    <t>ضتوان635</t>
  </si>
  <si>
    <t>اختيارخ توان-48000-14050629</t>
  </si>
  <si>
    <t>ضتوان636</t>
  </si>
  <si>
    <t>اختيارخ توان-50000-14050629</t>
  </si>
  <si>
    <t>ضتوان514</t>
  </si>
  <si>
    <t>اختيارخ توان-30000-14050525</t>
  </si>
  <si>
    <t>ضتوان517</t>
  </si>
  <si>
    <t>اختيارخ توان-36000-14050525</t>
  </si>
  <si>
    <t>ضتوان519</t>
  </si>
  <si>
    <t>اختيارخ توان-40000-14050525</t>
  </si>
  <si>
    <t>ضتوان523</t>
  </si>
  <si>
    <t>اختيارخ توان-48000-14050525</t>
  </si>
  <si>
    <t>ضتوان524</t>
  </si>
  <si>
    <t>اختيارخ توان-50000-14050525</t>
  </si>
  <si>
    <t>ضتوان525</t>
  </si>
  <si>
    <t>اختيارخ توان-55000-14050525</t>
  </si>
  <si>
    <t>ضتوان526</t>
  </si>
  <si>
    <t>اختيارخ توان-60000-14050525</t>
  </si>
  <si>
    <t>ضتوان527</t>
  </si>
  <si>
    <t>اختيارخ توان-65000-14050525</t>
  </si>
  <si>
    <t>ضتوان529</t>
  </si>
  <si>
    <t>اختيارخ توان-75000-14050525</t>
  </si>
  <si>
    <t>ضتوان637</t>
  </si>
  <si>
    <t>اختيارخ توان-55000-14050629</t>
  </si>
  <si>
    <t>ضتوان638</t>
  </si>
  <si>
    <t>اختيارخ توان-60000-14050629</t>
  </si>
  <si>
    <t>ضتوان639</t>
  </si>
  <si>
    <t>اختيارخ توان-65000-14050629</t>
  </si>
  <si>
    <t>ضتوان641</t>
  </si>
  <si>
    <t>اختيارخ توان-75000-14050629</t>
  </si>
  <si>
    <t>طموج512</t>
  </si>
  <si>
    <t>اختيارف موج-32000-14050525</t>
  </si>
  <si>
    <t>طموج513</t>
  </si>
  <si>
    <t>اختيارف موج-34000-14050525</t>
  </si>
  <si>
    <t>طموج514</t>
  </si>
  <si>
    <t>اختيارف موج-36000-14050525</t>
  </si>
  <si>
    <t>طموج519</t>
  </si>
  <si>
    <t>اختيارف موج-46000-14050525</t>
  </si>
  <si>
    <t>طموج522</t>
  </si>
  <si>
    <t>اختيارف موج-55000-14050525</t>
  </si>
  <si>
    <t>طموج639</t>
  </si>
  <si>
    <t>اختيارف موج-36000-14050629</t>
  </si>
  <si>
    <t>طموج640</t>
  </si>
  <si>
    <t>اختيارف موج-38000-14050629</t>
  </si>
  <si>
    <t>طموج642</t>
  </si>
  <si>
    <t>اختيارف موج-42000-14050629</t>
  </si>
  <si>
    <t>طموج643</t>
  </si>
  <si>
    <t>اختيارف موج-44000-14050629</t>
  </si>
  <si>
    <t>طموج644</t>
  </si>
  <si>
    <t>اختيارف موج-46000-14050629</t>
  </si>
  <si>
    <t>طموج645</t>
  </si>
  <si>
    <t>اختيارف موج-48000-14050629</t>
  </si>
  <si>
    <t>طموج646</t>
  </si>
  <si>
    <t>اختيارف موج-50000-14050629</t>
  </si>
  <si>
    <t>طموج648</t>
  </si>
  <si>
    <t>اختيارف موج-60000-14050629</t>
  </si>
  <si>
    <t>طموج650</t>
  </si>
  <si>
    <t>اختيارف موج-70000-14050629</t>
  </si>
  <si>
    <t>طموج652</t>
  </si>
  <si>
    <t>اختيارف موج-80000-14050629</t>
  </si>
  <si>
    <t>طموج524</t>
  </si>
  <si>
    <t>اختيارف موج-65000-14050525</t>
  </si>
  <si>
    <t>طموج525</t>
  </si>
  <si>
    <t>اختيارف موج-70000-14050525</t>
  </si>
  <si>
    <t>طموج526</t>
  </si>
  <si>
    <t>اختيارف موج-75000-14050525</t>
  </si>
  <si>
    <t>طفزر501</t>
  </si>
  <si>
    <t>اختيارف فزر-100000-14050525</t>
  </si>
  <si>
    <t>طفزر502</t>
  </si>
  <si>
    <t>اختيارف فزر-110000-14050525</t>
  </si>
  <si>
    <t>طفزر504</t>
  </si>
  <si>
    <t>اختيارف فزر-130000-14050525</t>
  </si>
  <si>
    <t>طفزر505</t>
  </si>
  <si>
    <t>اختيارف فزر-140000-14050525</t>
  </si>
  <si>
    <t>طفزر506</t>
  </si>
  <si>
    <t>اختيارف فزر-150000-14050525</t>
  </si>
  <si>
    <t>طفزر510</t>
  </si>
  <si>
    <t>اختيارف فزر-190000-14050525</t>
  </si>
  <si>
    <t>طاطلس062200</t>
  </si>
  <si>
    <t>اختيارف اطلس-85000-14050622</t>
  </si>
  <si>
    <t>طاطلس062201</t>
  </si>
  <si>
    <t>اختيارف اطلس-90000-14050622</t>
  </si>
  <si>
    <t>طاطلس062203</t>
  </si>
  <si>
    <t>اختيارف اطلس-100000-14050622</t>
  </si>
  <si>
    <t>طاطلس062205</t>
  </si>
  <si>
    <t>اختيارف اطلس-120000-14050622</t>
  </si>
  <si>
    <t>طاطلس062206</t>
  </si>
  <si>
    <t>اختيارف اطلس-130000-14050622</t>
  </si>
  <si>
    <t>طاطلس062209</t>
  </si>
  <si>
    <t>اختيارف اطلس-160000-14050622</t>
  </si>
  <si>
    <t>طاطلس052500</t>
  </si>
  <si>
    <t>اختيارف اطلس-85000-14050525</t>
  </si>
  <si>
    <t>طاطلس052501</t>
  </si>
  <si>
    <t>اختيارف اطلس-90000-14050525</t>
  </si>
  <si>
    <t>طاطلس052502</t>
  </si>
  <si>
    <t>اختيارف اطلس-95000-14050525</t>
  </si>
  <si>
    <t>طاطلس052504</t>
  </si>
  <si>
    <t>اختيارف اطلس-110000-14050525</t>
  </si>
  <si>
    <t>طاطلس052505</t>
  </si>
  <si>
    <t>اختيارف اطلس-120000-14050525</t>
  </si>
  <si>
    <t>طاطلس052507</t>
  </si>
  <si>
    <t>اختيارف اطلس-140000-14050525</t>
  </si>
  <si>
    <t>طاطلس052508</t>
  </si>
  <si>
    <t>اختيارف اطلس-150000-14050525</t>
  </si>
  <si>
    <t>طاطلس060900</t>
  </si>
  <si>
    <t>اختيارف اطلس-85000-14050609</t>
  </si>
  <si>
    <t>طاطلس060901</t>
  </si>
  <si>
    <t>اختيارف اطلس-90000-14050609</t>
  </si>
  <si>
    <t>طاطلس060903</t>
  </si>
  <si>
    <t>اختيارف اطلس-100000-14050609</t>
  </si>
  <si>
    <t>طاطلس060904</t>
  </si>
  <si>
    <t>اختيارف اطلس-110000-14050609</t>
  </si>
  <si>
    <t>طاطلس060905</t>
  </si>
  <si>
    <t>اختيارف اطلس-120000-14050609</t>
  </si>
  <si>
    <t>طاطلس060907</t>
  </si>
  <si>
    <t>اختيارف اطلس-140000-14050609</t>
  </si>
  <si>
    <t>طاطلس060908</t>
  </si>
  <si>
    <t>اختيارف اطلس-150000-14050609</t>
  </si>
  <si>
    <t>طاطلس060910</t>
  </si>
  <si>
    <t>اختيارف اطلس-170000-14050609</t>
  </si>
  <si>
    <t>ططعام600</t>
  </si>
  <si>
    <t>اختيارف طعام-15000-14050615</t>
  </si>
  <si>
    <t>ططعام601</t>
  </si>
  <si>
    <t>اختيارف طعام-16000-14050615</t>
  </si>
  <si>
    <t>ططعام602</t>
  </si>
  <si>
    <t>اختيارف طعام-17000-14050615</t>
  </si>
  <si>
    <t>ططعام604</t>
  </si>
  <si>
    <t>اختيارف طعام-19000-14050615</t>
  </si>
  <si>
    <t>ططعام606</t>
  </si>
  <si>
    <t>اختيارف طعام-22000-14050615</t>
  </si>
  <si>
    <t>ططعام609</t>
  </si>
  <si>
    <t>اختيارف طعام-28000-14050615</t>
  </si>
  <si>
    <t>ططعام610</t>
  </si>
  <si>
    <t>اختيارف طعام-30000-14050615</t>
  </si>
  <si>
    <t>طتوان626</t>
  </si>
  <si>
    <t>اختيارف توان-30000-14050629</t>
  </si>
  <si>
    <t>طتوان627</t>
  </si>
  <si>
    <t>اختيارف توان-32000-14050629</t>
  </si>
  <si>
    <t>طتوان629</t>
  </si>
  <si>
    <t>اختيارف توان-36000-14050629</t>
  </si>
  <si>
    <t>طتوان630</t>
  </si>
  <si>
    <t>اختيارف توان-38000-14050629</t>
  </si>
  <si>
    <t>طتوان631</t>
  </si>
  <si>
    <t>اختيارف توان-40000-14050629</t>
  </si>
  <si>
    <t>طتوان632</t>
  </si>
  <si>
    <t>اختيارف توان-42000-14050629</t>
  </si>
  <si>
    <t>طتوان636</t>
  </si>
  <si>
    <t>اختيارف توان-50000-14050629</t>
  </si>
  <si>
    <t>طتوان515</t>
  </si>
  <si>
    <t>اختيارف توان-32000-14050525</t>
  </si>
  <si>
    <t>طتوان519</t>
  </si>
  <si>
    <t>اختيارف توان-40000-14050525</t>
  </si>
  <si>
    <t>طتوان523</t>
  </si>
  <si>
    <t>اختيارف توان-48000-14050525</t>
  </si>
  <si>
    <t>طتوان524</t>
  </si>
  <si>
    <t>اختيارف توان-50000-14050525</t>
  </si>
  <si>
    <t>طتوان525</t>
  </si>
  <si>
    <t>اختيارف توان-55000-14050525</t>
  </si>
  <si>
    <t>طتوان527</t>
  </si>
  <si>
    <t>اختيارف توان-65000-14050525</t>
  </si>
  <si>
    <t>طتوان637</t>
  </si>
  <si>
    <t>اختيارف توان-55000-14050629</t>
  </si>
  <si>
    <t>طتوان639</t>
  </si>
  <si>
    <t>اختيارف توان-65000-14050629</t>
  </si>
  <si>
    <t>طتوان640</t>
  </si>
  <si>
    <t>اختيارف توان-70000-14050629</t>
  </si>
  <si>
    <t>طتوان641</t>
  </si>
  <si>
    <t>اختيارف توان-75000-14050629</t>
  </si>
  <si>
    <t>طهرم4026</t>
  </si>
  <si>
    <t>اختيارف اهرم-26000-1405/04/31</t>
  </si>
  <si>
    <t>طهرم4028</t>
  </si>
  <si>
    <t>اختيارف اهرم-30000-1405/04/31</t>
  </si>
  <si>
    <t>طهرم4030</t>
  </si>
  <si>
    <t>اختيارف اهرم-38000-1405/04/31</t>
  </si>
  <si>
    <t>طهرم4031</t>
  </si>
  <si>
    <t>اختيارف اهرم-42000-1405/04/31</t>
  </si>
  <si>
    <t>طهرم4032</t>
  </si>
  <si>
    <t>اختيارف اهرم-46000-1405/04/31</t>
  </si>
  <si>
    <t>طهرم4033</t>
  </si>
  <si>
    <t>اختيارف اهرم-50000-1405/04/31</t>
  </si>
  <si>
    <t>طهرم5026</t>
  </si>
  <si>
    <t>اختيارف اهرم-24000-1405/05/28</t>
  </si>
  <si>
    <t>طهرم5027</t>
  </si>
  <si>
    <t>اختيارف اهرم-26000-1405/05/28</t>
  </si>
  <si>
    <t>طهرم5029</t>
  </si>
  <si>
    <t>اختيارف اهرم-30000-1405/05/28</t>
  </si>
  <si>
    <t>طهرم5031</t>
  </si>
  <si>
    <t>اختيارف اهرم-38000-1405/05/28</t>
  </si>
  <si>
    <t>طهرم5033</t>
  </si>
  <si>
    <t>اختيارف اهرم-46000-1405/05/28</t>
  </si>
  <si>
    <t>طهرم5034</t>
  </si>
  <si>
    <t>اختيارف اهرم-50000-1405/05/28</t>
  </si>
  <si>
    <t>طهرم6045</t>
  </si>
  <si>
    <t>اختيارف اهرم-42000-1405/06/25</t>
  </si>
  <si>
    <t>طهرم6046</t>
  </si>
  <si>
    <t>اختيارف اهرم-46000-1405/06/25</t>
  </si>
  <si>
    <t>طهرم6047</t>
  </si>
  <si>
    <t>اختيارف اهرم-50000-1405/06/25</t>
  </si>
  <si>
    <t>طهرم6049</t>
  </si>
  <si>
    <t>اختيارف اهرم-62000-1405/06/25</t>
  </si>
  <si>
    <t>طهرم6050</t>
  </si>
  <si>
    <t>اختيارف اهرم-68000-1405/06/25</t>
  </si>
  <si>
    <t>طهرم4034</t>
  </si>
  <si>
    <t>اختيارف اهرم-56000-1405/04/31</t>
  </si>
  <si>
    <t>طهرم4035</t>
  </si>
  <si>
    <t>اختيارف اهرم-62000-1405/04/31</t>
  </si>
  <si>
    <t>طهرم5036</t>
  </si>
  <si>
    <t>اختيارف اهرم-62000-1405/05/28</t>
  </si>
  <si>
    <t>طملت5025</t>
  </si>
  <si>
    <t>اختيارف وبملت-700-1405/05/20</t>
  </si>
  <si>
    <t>طملت5028</t>
  </si>
  <si>
    <t>اختيارف وبملت-900-1405/05/20</t>
  </si>
  <si>
    <t>طملت5031</t>
  </si>
  <si>
    <t>اختيارف وبملت-1200-1405/05/20</t>
  </si>
  <si>
    <t>طملت5032</t>
  </si>
  <si>
    <t>اختيارف وبملت-1300-1405/05/20</t>
  </si>
  <si>
    <t>طملت5033</t>
  </si>
  <si>
    <t>اختيارف وبملت-1400-1405/05/20</t>
  </si>
  <si>
    <t>طملت6015</t>
  </si>
  <si>
    <t>اختيارف وبملت-750-1405/06/18</t>
  </si>
  <si>
    <t>طملت6017</t>
  </si>
  <si>
    <t>اختيارف وبملت-900-1405/06/18</t>
  </si>
  <si>
    <t>طملت6020</t>
  </si>
  <si>
    <t>اختيارف وبملت-1200-1405/06/18</t>
  </si>
  <si>
    <t>طصاد5021</t>
  </si>
  <si>
    <t>اختيارف وبصادر-340-1405/05/20</t>
  </si>
  <si>
    <t>طجار6038</t>
  </si>
  <si>
    <t>اختيارف وتجارت-380-1405/06/18</t>
  </si>
  <si>
    <t>طجار6039</t>
  </si>
  <si>
    <t>اختيارف وتجارت-400-1405/06/18</t>
  </si>
  <si>
    <t>طخود5050</t>
  </si>
  <si>
    <t>اختيارف خودرو-400-1405/05/07</t>
  </si>
  <si>
    <t>طخود5051</t>
  </si>
  <si>
    <t>اختيارف خودرو-450-1405/05/07</t>
  </si>
  <si>
    <t>طخود5052</t>
  </si>
  <si>
    <t>اختيارف خودرو-500-1405/05/07</t>
  </si>
  <si>
    <t>طخود5053</t>
  </si>
  <si>
    <t>اختيارف خودرو-550-1405/05/07</t>
  </si>
  <si>
    <t>طخود5054</t>
  </si>
  <si>
    <t>اختيارف خودرو-600-1405/05/07</t>
  </si>
  <si>
    <t>طخود5055</t>
  </si>
  <si>
    <t>اختيارف خودرو-650-1405/05/07</t>
  </si>
  <si>
    <t>طخود5056</t>
  </si>
  <si>
    <t>اختيارف خودرو-700-1405/05/07</t>
  </si>
  <si>
    <t>طخود6046</t>
  </si>
  <si>
    <t>اختيارف خودرو-340-1405/06/04</t>
  </si>
  <si>
    <t>طخود6047</t>
  </si>
  <si>
    <t>اختيارف خودرو-360-1405/06/04</t>
  </si>
  <si>
    <t>طخود6050</t>
  </si>
  <si>
    <t>اختيارف خودرو-450-1405/06/04</t>
  </si>
  <si>
    <t>طخود6051</t>
  </si>
  <si>
    <t>اختيارف خودرو-500-1405/06/04</t>
  </si>
  <si>
    <t>طخود6053</t>
  </si>
  <si>
    <t>اختيارف خودرو-600-1405/06/04</t>
  </si>
  <si>
    <t>طجوا6001</t>
  </si>
  <si>
    <t>اختيارف جوانه.ك-12000-05/06/25</t>
  </si>
  <si>
    <t>طجوا6002</t>
  </si>
  <si>
    <t>اختيارف جوانه.ك-13000-05/06/25</t>
  </si>
  <si>
    <t>طجوا6003</t>
  </si>
  <si>
    <t>اختيارف جوانه.ك-14000-05/06/25</t>
  </si>
  <si>
    <t>طجوا6006</t>
  </si>
  <si>
    <t>اختيارف جوانه.ك-18000-05/06/25</t>
  </si>
  <si>
    <t>طجوا6007</t>
  </si>
  <si>
    <t>اختيارف جوانه.ك-20000-05/06/25</t>
  </si>
  <si>
    <t>طجوا6008</t>
  </si>
  <si>
    <t>اختيارف جوانه.ك-22000-05/06/25</t>
  </si>
  <si>
    <t>طجوا6009</t>
  </si>
  <si>
    <t>اختيارف جوانه.ك-24000-05/06/25</t>
  </si>
  <si>
    <t>طمخا5010</t>
  </si>
  <si>
    <t>طمخا5011</t>
  </si>
  <si>
    <t>طمخا5012</t>
  </si>
  <si>
    <t>طمخا5016</t>
  </si>
  <si>
    <t>طمخا5017</t>
  </si>
  <si>
    <t>طمخا5018</t>
  </si>
  <si>
    <t>طمخا7092</t>
  </si>
  <si>
    <t>طمخا7095</t>
  </si>
  <si>
    <t>طمخا7096</t>
  </si>
  <si>
    <t>طمخا7098</t>
  </si>
  <si>
    <t>طمخا7100</t>
  </si>
  <si>
    <t>طمخا7102</t>
  </si>
  <si>
    <t>طملي5026</t>
  </si>
  <si>
    <t>اختيارف فملي-12000-1405/05/14</t>
  </si>
  <si>
    <t>طملي5031</t>
  </si>
  <si>
    <t>اختيارف فملي-18000-1405/05/14</t>
  </si>
  <si>
    <t>طملي5032</t>
  </si>
  <si>
    <t>اختيارف فملي-20000-1405/05/14</t>
  </si>
  <si>
    <t>طملي5034</t>
  </si>
  <si>
    <t>اختيارف فملي-24000-1405/05/14</t>
  </si>
  <si>
    <t>طتاص5000</t>
  </si>
  <si>
    <t>اختيارف تاصيكو-6500-05/05/07</t>
  </si>
  <si>
    <t>طتاص5001</t>
  </si>
  <si>
    <t>اختيارف تاصيكو-7000-05/05/07</t>
  </si>
  <si>
    <t>طتاص5003</t>
  </si>
  <si>
    <t>اختيارف تاصيكو-8000-05/05/07</t>
  </si>
  <si>
    <t>طتاص5007</t>
  </si>
  <si>
    <t>اختيارف تاصيكو-12000-05/05/07</t>
  </si>
  <si>
    <t>طتاص5009</t>
  </si>
  <si>
    <t>اختيارف تاصيكو-14000-05/05/07</t>
  </si>
  <si>
    <t>طتاص5010</t>
  </si>
  <si>
    <t>اختيارف تاصيكو-15000-05/05/07</t>
  </si>
  <si>
    <t>طتاص5012</t>
  </si>
  <si>
    <t>اختيارف تاصيكو-18000-05/05/07</t>
  </si>
  <si>
    <t>طتاص7000</t>
  </si>
  <si>
    <t>اختيارف تاصيكو-7500-05/07/08</t>
  </si>
  <si>
    <t>طتاص7001</t>
  </si>
  <si>
    <t>اختيارف تاصيكو-8000-05/07/08</t>
  </si>
  <si>
    <t>طتاص7002</t>
  </si>
  <si>
    <t>اختيارف تاصيكو-9000-05/07/08</t>
  </si>
  <si>
    <t>طتاص7003</t>
  </si>
  <si>
    <t>اختيارف تاصيكو-10000-05/07/08</t>
  </si>
  <si>
    <t>طتاص7005</t>
  </si>
  <si>
    <t>اختيارف تاصيكو-12000-05/07/08</t>
  </si>
  <si>
    <t>طتاص7006</t>
  </si>
  <si>
    <t>اختيارف تاصيكو-13000-05/07/08</t>
  </si>
  <si>
    <t>طتاص7008</t>
  </si>
  <si>
    <t>اختيارف تاصيكو-15000-05/07/08</t>
  </si>
  <si>
    <t>طتاص7009</t>
  </si>
  <si>
    <t>اختيارف تاصيكو-16000-05/07/08</t>
  </si>
  <si>
    <t>طتاص7011</t>
  </si>
  <si>
    <t>اختيارف تاصيكو-20000-05/07/08</t>
  </si>
  <si>
    <t>طسپا5022</t>
  </si>
  <si>
    <t>اختيارف خساپا-360-1405/05/28</t>
  </si>
  <si>
    <t>طسپا5025</t>
  </si>
  <si>
    <t>اختيارف خساپا-450-1405/05/28</t>
  </si>
  <si>
    <t>طستا5039</t>
  </si>
  <si>
    <t>اختيارف شستا-1200-1405/05/14</t>
  </si>
  <si>
    <t>طستا5040</t>
  </si>
  <si>
    <t>اختيارف شستا-1300-1405/05/14</t>
  </si>
  <si>
    <t>طستا5042</t>
  </si>
  <si>
    <t>اختيارف شستا-1500-1405/05/14</t>
  </si>
  <si>
    <t>طستا5043</t>
  </si>
  <si>
    <t>اختيارف شستا-1600-1405/05/14</t>
  </si>
  <si>
    <t>طستا5045</t>
  </si>
  <si>
    <t>اختيارف شستا-1800-1405/05/14</t>
  </si>
  <si>
    <t>طستا5046</t>
  </si>
  <si>
    <t>اختيارف شستا-1900-1405/05/14</t>
  </si>
  <si>
    <t>طستا5047</t>
  </si>
  <si>
    <t>اختيارف شستا-2000-1405/05/14</t>
  </si>
  <si>
    <t>طستا5048</t>
  </si>
  <si>
    <t>اختيارف شستا-2200-1405/05/14</t>
  </si>
  <si>
    <t>طستا5050</t>
  </si>
  <si>
    <t>اختيارف شستا-2600-1405/05/14</t>
  </si>
  <si>
    <t>طستا5051</t>
  </si>
  <si>
    <t>اختيارف شستا-2800-1405/05/14</t>
  </si>
  <si>
    <t>طستا6040</t>
  </si>
  <si>
    <t>اختيارف شستا-1200-1405/06/11</t>
  </si>
  <si>
    <t>طستا6043</t>
  </si>
  <si>
    <t>اختيارف شستا-1500-1405/06/11</t>
  </si>
  <si>
    <t>طستا6044</t>
  </si>
  <si>
    <t>اختيارف شستا-1600-1405/06/11</t>
  </si>
  <si>
    <t>طستا6045</t>
  </si>
  <si>
    <t>اختيارف شستا-1700-1405/06/11</t>
  </si>
  <si>
    <t>طستا6046</t>
  </si>
  <si>
    <t>اختيارف شستا-1800-1405/06/11</t>
  </si>
  <si>
    <t>طستا6047</t>
  </si>
  <si>
    <t>اختيارف شستا-1900-1405/06/11</t>
  </si>
  <si>
    <t>طستا6048</t>
  </si>
  <si>
    <t>اختيارف شستا-2000-1405/06/11</t>
  </si>
  <si>
    <t>طستا6051</t>
  </si>
  <si>
    <t>اختيارف شستا-2600-1405/06/11</t>
  </si>
  <si>
    <t>طستا6052</t>
  </si>
  <si>
    <t>اختيارف شستا-2800-1405/06/11</t>
  </si>
  <si>
    <t>طستا7050</t>
  </si>
  <si>
    <t>اختيارف شستا-1400-1405/07/15</t>
  </si>
  <si>
    <t>طستا7051</t>
  </si>
  <si>
    <t>اختيارف شستا-1500-1405/07/15</t>
  </si>
  <si>
    <t>طستا7053</t>
  </si>
  <si>
    <t>اختيارف شستا-1700-1405/07/15</t>
  </si>
  <si>
    <t>طستا7054</t>
  </si>
  <si>
    <t>اختيارف شستا-1800-1405/07/15</t>
  </si>
  <si>
    <t>طستا7056</t>
  </si>
  <si>
    <t>اختيارف شستا-2000-1405/07/15</t>
  </si>
  <si>
    <t>طستا7057</t>
  </si>
  <si>
    <t>اختيارف شستا-2200-1405/07/15</t>
  </si>
  <si>
    <t>طستا7058</t>
  </si>
  <si>
    <t>اختيارف شستا-2400-1405/07/15</t>
  </si>
  <si>
    <t>طستا7059</t>
  </si>
  <si>
    <t>اختيارف شستا-2600-1405/07/15</t>
  </si>
  <si>
    <t>طستا7062</t>
  </si>
  <si>
    <t>اختيارف شستا-3250-1405/07/15</t>
  </si>
  <si>
    <t>طراز6001</t>
  </si>
  <si>
    <t>اختيارف هم تراز-10000-05/06/04</t>
  </si>
  <si>
    <t>طراز6005</t>
  </si>
  <si>
    <t>اختيارف هم تراز-14000-05/06/04</t>
  </si>
  <si>
    <t>طراز6006</t>
  </si>
  <si>
    <t>اختيارف هم تراز-15000-05/06/04</t>
  </si>
  <si>
    <t>طراز6007</t>
  </si>
  <si>
    <t>اختيارف هم تراز-16000-05/06/04</t>
  </si>
  <si>
    <t>طراز6008</t>
  </si>
  <si>
    <t>اختيارف هم تراز-18000-05/06/04</t>
  </si>
  <si>
    <t>طراز6009</t>
  </si>
  <si>
    <t>اختيارف هم تراز-20000-05/06/04</t>
  </si>
  <si>
    <t>مكرج72</t>
  </si>
  <si>
    <t>مشاركت ش كرج72-3ماهه23%</t>
  </si>
  <si>
    <t>صدارو91</t>
  </si>
  <si>
    <t>صكوك مرابحه دارو91-بدون ضامن</t>
  </si>
  <si>
    <t>ضتاص5012</t>
  </si>
  <si>
    <t>اختيارخ تاصيكو-18000-05/05/07</t>
  </si>
  <si>
    <t>اطلس ريس07</t>
  </si>
  <si>
    <t>مرابحه نساجي اطلس ريس071015</t>
  </si>
  <si>
    <t>صفولا512</t>
  </si>
  <si>
    <t>صكوك اجاره فولاد512-بدون ضامن</t>
  </si>
  <si>
    <t>ضجوا6007</t>
  </si>
  <si>
    <t>اختيارخ جوانه.ك-20000-05/06/25</t>
  </si>
  <si>
    <t>طموج515</t>
  </si>
  <si>
    <t>اختيارف موج-38000-14050525</t>
  </si>
  <si>
    <t>ضمخا7102</t>
  </si>
  <si>
    <t>طمخا5020</t>
  </si>
  <si>
    <t>ضتوان640</t>
  </si>
  <si>
    <t>اختيارخ توان-70000-14050629</t>
  </si>
  <si>
    <t>آلا2</t>
  </si>
  <si>
    <t>افق ملت</t>
  </si>
  <si>
    <t>صندوق س در سهام افق ملت</t>
  </si>
  <si>
    <t>ططعام608</t>
  </si>
  <si>
    <t>اختيارف طعام-26000-14050615</t>
  </si>
  <si>
    <t>صرازي505</t>
  </si>
  <si>
    <t>صكوك مرابحه كرازي505-3ماهه18%</t>
  </si>
  <si>
    <t>كامياب</t>
  </si>
  <si>
    <t>صندوق س. كامياب آشنا-د</t>
  </si>
  <si>
    <t>عسوين</t>
  </si>
  <si>
    <t>سلف موازي سوين جوجه اردبيل</t>
  </si>
  <si>
    <t>اخزا210</t>
  </si>
  <si>
    <t>اسنادخزانه-م10بودجه02-051112</t>
  </si>
  <si>
    <t>ضذوب5019</t>
  </si>
  <si>
    <t>اختيارخ ذوب-260-1405/05/20</t>
  </si>
  <si>
    <t>ضتوان632</t>
  </si>
  <si>
    <t>اختيارخ توان-42000-14050629</t>
  </si>
  <si>
    <t>طهرم4025</t>
  </si>
  <si>
    <t>اختيارف اهرم-24000-1405/04/31</t>
  </si>
  <si>
    <t>طموج518</t>
  </si>
  <si>
    <t>اختيارف موج-44000-14050525</t>
  </si>
  <si>
    <t>كوانتوم</t>
  </si>
  <si>
    <t>صندوق س. كوانتوم بهاوند-س</t>
  </si>
  <si>
    <t>طاطلس052510</t>
  </si>
  <si>
    <t>اختيارف اطلس-170000-14050525</t>
  </si>
  <si>
    <t>طتوان628</t>
  </si>
  <si>
    <t>اختيارف توان-34000-14050629</t>
  </si>
  <si>
    <t>طستا7052</t>
  </si>
  <si>
    <t>اختيارف شستا-1600-1405/07/15</t>
  </si>
  <si>
    <t>ضملي5028</t>
  </si>
  <si>
    <t>اختيارخ فملي-14000-1405/05/14</t>
  </si>
  <si>
    <t>ارگ072</t>
  </si>
  <si>
    <t>مرابحه ارگ-هامرز071211</t>
  </si>
  <si>
    <t>ضفزر500</t>
  </si>
  <si>
    <t>اختيارخ فزر-95000-14050525</t>
  </si>
  <si>
    <t>ضمخا7092</t>
  </si>
  <si>
    <t>ماريناسان07</t>
  </si>
  <si>
    <t>مرابحه سلولزي ماريناسان070527</t>
  </si>
  <si>
    <t>ضتاص7007</t>
  </si>
  <si>
    <t>اختيارخ تاصيكو-14000-05/07/08</t>
  </si>
  <si>
    <t>كيش082</t>
  </si>
  <si>
    <t>اجاره توسعه كيش نوين14081108</t>
  </si>
  <si>
    <t>شهر فرش063</t>
  </si>
  <si>
    <t>مرابحه شهر فرش-تاك دانا060921</t>
  </si>
  <si>
    <t>ضتاص5008</t>
  </si>
  <si>
    <t>اختيارخ تاصيكو-13000-05/05/07</t>
  </si>
  <si>
    <t>ضملي7065</t>
  </si>
  <si>
    <t>اختيارخ فملي-16000-1405/07/08</t>
  </si>
  <si>
    <t>تابان22</t>
  </si>
  <si>
    <t>اجاره تابان فردا لوتوس14080418</t>
  </si>
  <si>
    <t>ضفزر505</t>
  </si>
  <si>
    <t>اختيارخ فزر-140000-14050525</t>
  </si>
  <si>
    <t>رويا08</t>
  </si>
  <si>
    <t>مرابحه زرين رويا14080126</t>
  </si>
  <si>
    <t>صترام603</t>
  </si>
  <si>
    <t>صكوك مرابحه كترام603-بدون ضامن</t>
  </si>
  <si>
    <t>شهر فرش061</t>
  </si>
  <si>
    <t>مرابحه شهر فرش-خليج فارس060921</t>
  </si>
  <si>
    <t>ضجوا6001</t>
  </si>
  <si>
    <t>اختيارخ جوانه.ك-12000-05/06/25</t>
  </si>
  <si>
    <t>ضخود5049</t>
  </si>
  <si>
    <t>اختيارخ خودرو-380-1405/05/07</t>
  </si>
  <si>
    <t>صگل0059</t>
  </si>
  <si>
    <t>صكوك اجاره كگل0059-بدون ضامن</t>
  </si>
  <si>
    <t>عپروتئاز</t>
  </si>
  <si>
    <t>سلف موازي پروتئازبن دافرآور</t>
  </si>
  <si>
    <t>صبا806</t>
  </si>
  <si>
    <t>صكوك اجاره صبا806-بدون ضامن</t>
  </si>
  <si>
    <t>طفزر509</t>
  </si>
  <si>
    <t>اختيارف فزر-180000-14050525</t>
  </si>
  <si>
    <t>طتوان635</t>
  </si>
  <si>
    <t>اختيارف توان-48000-14050629</t>
  </si>
  <si>
    <t>ضستا6052</t>
  </si>
  <si>
    <t>اختيارخ شستا-2800-1405/06/11</t>
  </si>
  <si>
    <t>طمخا7097</t>
  </si>
  <si>
    <t>داروك072</t>
  </si>
  <si>
    <t>مرابحه داروك-كيميا070904</t>
  </si>
  <si>
    <t>ضجار6044</t>
  </si>
  <si>
    <t>اختيارخ وتجارت-650-1405/06/18</t>
  </si>
  <si>
    <t>ضموج521</t>
  </si>
  <si>
    <t>اختيارخ موج-50000-14050525</t>
  </si>
  <si>
    <t>ثروت</t>
  </si>
  <si>
    <t>ص.خ.ثروت آفرين فيروزه</t>
  </si>
  <si>
    <t>مهيا061</t>
  </si>
  <si>
    <t>مرابحه مهيا پروتئين-آگاه061003</t>
  </si>
  <si>
    <t>ضتاص5011</t>
  </si>
  <si>
    <t>اختيارخ تاصيكو-16000-05/05/07</t>
  </si>
  <si>
    <t>طملي5035</t>
  </si>
  <si>
    <t>اختيارف فملي-26000-1405/05/14</t>
  </si>
  <si>
    <t>صآريا62</t>
  </si>
  <si>
    <t>صكوك مرابحه كيمياتك62بدون ضامن</t>
  </si>
  <si>
    <t>كلور084</t>
  </si>
  <si>
    <t>مرابحه كلورايرانيان14081015</t>
  </si>
  <si>
    <t>انار</t>
  </si>
  <si>
    <t>طهرم5035</t>
  </si>
  <si>
    <t>اختيارف اهرم-56000-1405/05/28</t>
  </si>
  <si>
    <t>نارين</t>
  </si>
  <si>
    <t>صندوق س ارزش آفرين فولاد-سهام</t>
  </si>
  <si>
    <t>ضموج523</t>
  </si>
  <si>
    <t>اختيارخ موج-60000-14050525</t>
  </si>
  <si>
    <t>پتروصبا</t>
  </si>
  <si>
    <t>صندوق س صنايع انديشه صبا1-بخشي</t>
  </si>
  <si>
    <t>ضموج640</t>
  </si>
  <si>
    <t>اختيارخ موج-38000-14050629</t>
  </si>
  <si>
    <t>ضخود5055</t>
  </si>
  <si>
    <t>اختيارخ خودرو-650-1405/05/07</t>
  </si>
  <si>
    <t>پتوسعه3</t>
  </si>
  <si>
    <t>مثقال</t>
  </si>
  <si>
    <t>صندوق س.كالاي آگاه</t>
  </si>
  <si>
    <t>زرفام</t>
  </si>
  <si>
    <t>صندوق س.كالاي آشنا</t>
  </si>
  <si>
    <t>دانيك</t>
  </si>
  <si>
    <t>ص.س.املاك ومستغلات نيك راي</t>
  </si>
  <si>
    <t>ضتاص7001</t>
  </si>
  <si>
    <t>اختيارخ تاصيكو-8000-05/07/08</t>
  </si>
  <si>
    <t>صدار704</t>
  </si>
  <si>
    <t>صكوك مرابحه ايراندار-3ماهه23%</t>
  </si>
  <si>
    <t>ضهرم5031</t>
  </si>
  <si>
    <t>اختيارخ اهرم-38000-1405/05/28</t>
  </si>
  <si>
    <t>تابان26</t>
  </si>
  <si>
    <t>اجاره تابان فردا ملت14070705</t>
  </si>
  <si>
    <t>طمخا7099</t>
  </si>
  <si>
    <t>ضخود5053</t>
  </si>
  <si>
    <t>اختيارخ خودرو-550-1405/05/07</t>
  </si>
  <si>
    <t>ضملت6024</t>
  </si>
  <si>
    <t>اختيارخ وبملت-1600-1405/06/18</t>
  </si>
  <si>
    <t>آرمان موتور082</t>
  </si>
  <si>
    <t>مرابحه آرمان موتور-كيميا080407</t>
  </si>
  <si>
    <t>طهرم5030</t>
  </si>
  <si>
    <t>اختيارف اهرم-34000-1405/05/28</t>
  </si>
  <si>
    <t>ضاطلس062209</t>
  </si>
  <si>
    <t>اختيارخ اطلس-160000-14050622</t>
  </si>
  <si>
    <t>ضستا7056</t>
  </si>
  <si>
    <t>اختيارخ شستا-2000-1405/07/15</t>
  </si>
  <si>
    <t>ضخود5048</t>
  </si>
  <si>
    <t>اختيارخ خودرو-360-1405/05/07</t>
  </si>
  <si>
    <t>بگيلان</t>
  </si>
  <si>
    <t>توسعه مسير برق گيلان</t>
  </si>
  <si>
    <t>داريك</t>
  </si>
  <si>
    <t>صندوق س.اعتماد داريك-د</t>
  </si>
  <si>
    <t>كلور082</t>
  </si>
  <si>
    <t>مرابحه كلور-برنا14080208</t>
  </si>
  <si>
    <t>كاله06</t>
  </si>
  <si>
    <t>اجاره سوليكو كاله14060511</t>
  </si>
  <si>
    <t>كرمان5123</t>
  </si>
  <si>
    <t>مرابحه كرمان موتور-تاك051223</t>
  </si>
  <si>
    <t>گوهر2</t>
  </si>
  <si>
    <t>صندوق س.كالاي كيان</t>
  </si>
  <si>
    <t>اخزا212</t>
  </si>
  <si>
    <t>اسناد خزانه-م12بودجه02-050916</t>
  </si>
  <si>
    <t>ضراز6007</t>
  </si>
  <si>
    <t>اختيارخ هم تراز-16000-05/06/04</t>
  </si>
  <si>
    <t>آفاق</t>
  </si>
  <si>
    <t>صندوق س نوع دوم افق آتي-ثابت</t>
  </si>
  <si>
    <t>ضملي5026</t>
  </si>
  <si>
    <t>اختيارخ فملي-12000-1405/05/14</t>
  </si>
  <si>
    <t>ضمخا5019</t>
  </si>
  <si>
    <t>ضستا7050</t>
  </si>
  <si>
    <t>اختيارخ شستا-1400-1405/07/15</t>
  </si>
  <si>
    <t>عزعفران</t>
  </si>
  <si>
    <t>سلف موازي زعفران نگين</t>
  </si>
  <si>
    <t>ضملت6021</t>
  </si>
  <si>
    <t>اختيارخ وبملت-1300-1405/06/18</t>
  </si>
  <si>
    <t>طهرم4027</t>
  </si>
  <si>
    <t>اختيارف اهرم-28000-1405/04/31</t>
  </si>
  <si>
    <t>مشهد0072</t>
  </si>
  <si>
    <t>مشاركت ش مشهد0072-3ماهه23%</t>
  </si>
  <si>
    <t>عسبلان</t>
  </si>
  <si>
    <t>سلف موازي آرتا جوجه سبلان</t>
  </si>
  <si>
    <t>طهرم6041</t>
  </si>
  <si>
    <t>اختيارف اهرم-28000-1405/06/25</t>
  </si>
  <si>
    <t>طراز6002</t>
  </si>
  <si>
    <t>اختيارف هم تراز-11000-05/06/04</t>
  </si>
  <si>
    <t>ضستا7057</t>
  </si>
  <si>
    <t>اختيارخ شستا-2200-1405/07/15</t>
  </si>
  <si>
    <t>وبازار</t>
  </si>
  <si>
    <t>صندوق س شاخصي بازارآشنا</t>
  </si>
  <si>
    <t>ضخود6052</t>
  </si>
  <si>
    <t>اختيارخ خودرو-550-1405/06/04</t>
  </si>
  <si>
    <t>هانيكو</t>
  </si>
  <si>
    <t>طستا6049</t>
  </si>
  <si>
    <t>اختيارف شستا-2200-1405/06/11</t>
  </si>
  <si>
    <t>ضموج517</t>
  </si>
  <si>
    <t>اختيارخ موج-42000-14050525</t>
  </si>
  <si>
    <t>طهرم4023</t>
  </si>
  <si>
    <t>اختيارف اهرم-20000-1405/04/31</t>
  </si>
  <si>
    <t>صندوق س ارزش آفرين بيدار-سهام</t>
  </si>
  <si>
    <t>ضموج524</t>
  </si>
  <si>
    <t>اختيارخ موج-65000-14050525</t>
  </si>
  <si>
    <t>ضاطلس052509</t>
  </si>
  <si>
    <t>اختيارخ اطلس-160000-14050525</t>
  </si>
  <si>
    <t>بيدار</t>
  </si>
  <si>
    <t>صندوق س سهامي بيدار-اهرمي</t>
  </si>
  <si>
    <t>لوازم ماديران063</t>
  </si>
  <si>
    <t>مرابحه ماديران-كيان060626</t>
  </si>
  <si>
    <t>صفارس7</t>
  </si>
  <si>
    <t>صكوك اجاره فارس7-بدون ضامن</t>
  </si>
  <si>
    <t>تابان19</t>
  </si>
  <si>
    <t>اجاره تابان فرداكاردان14070120</t>
  </si>
  <si>
    <t>ضتوان520</t>
  </si>
  <si>
    <t>اختيارخ توان-42000-14050525</t>
  </si>
  <si>
    <t>عقيق</t>
  </si>
  <si>
    <t>صندوق سرمايه گذاري عقيق-سهام</t>
  </si>
  <si>
    <t>عدرپاد3</t>
  </si>
  <si>
    <t>سلف ميلگرد درپاد</t>
  </si>
  <si>
    <t>ضملت6023</t>
  </si>
  <si>
    <t>اختيارخ وبملت-1500-1405/06/18</t>
  </si>
  <si>
    <t>ضذوب5022</t>
  </si>
  <si>
    <t>اختيارخ ذوب-320-1405/05/20</t>
  </si>
  <si>
    <t>طراز6010</t>
  </si>
  <si>
    <t>اختيارف هم تراز-22000-05/06/04</t>
  </si>
  <si>
    <t>عكرمان4</t>
  </si>
  <si>
    <t>سلف استاندارد خودروي كرمان</t>
  </si>
  <si>
    <t>صفارس840</t>
  </si>
  <si>
    <t>صكوك اجاره فارس840-بدون ضامن</t>
  </si>
  <si>
    <t>طتوان521</t>
  </si>
  <si>
    <t>اختيارف توان-44000-14050525</t>
  </si>
  <si>
    <t>هانيكو08</t>
  </si>
  <si>
    <t>مرابحه هامون نايزه 080901</t>
  </si>
  <si>
    <t>صجم607</t>
  </si>
  <si>
    <t>صكوك مرابحه جم607-6ماهه 18%</t>
  </si>
  <si>
    <t>نقرسا</t>
  </si>
  <si>
    <t>صندوق س.كالاي پارسيان1</t>
  </si>
  <si>
    <t>ضمخا5014</t>
  </si>
  <si>
    <t>ضتاص5007</t>
  </si>
  <si>
    <t>اختيارخ تاصيكو-12000-05/05/07</t>
  </si>
  <si>
    <t>كارآمد2</t>
  </si>
  <si>
    <t>صعبيد069</t>
  </si>
  <si>
    <t>صكوك مرابحه دعبيد069-3ماهه23%</t>
  </si>
  <si>
    <t>طراز8010</t>
  </si>
  <si>
    <t>اختيارف هم تراز-26000-05/08/06</t>
  </si>
  <si>
    <t>طسپا5023</t>
  </si>
  <si>
    <t>اختيارف خساپا-380-1405/05/28</t>
  </si>
  <si>
    <t>صاترا901</t>
  </si>
  <si>
    <t>صكوك اجاره داترا901-3ماهه23%</t>
  </si>
  <si>
    <t>ومعادن3</t>
  </si>
  <si>
    <t>اطمينان</t>
  </si>
  <si>
    <t xml:space="preserve">ص.س.درآمد ثابت اطمينان هيوا-د	</t>
  </si>
  <si>
    <t>عاليفرد072</t>
  </si>
  <si>
    <t>مرابحه عاليفرد-آگاه070830</t>
  </si>
  <si>
    <t>ضتاص7009</t>
  </si>
  <si>
    <t>اختيارخ تاصيكو-16000-05/07/08</t>
  </si>
  <si>
    <t>سامان2</t>
  </si>
  <si>
    <t>ضستا5050</t>
  </si>
  <si>
    <t>اختيارخ شستا-2600-1405/05/14</t>
  </si>
  <si>
    <t>طتوان633</t>
  </si>
  <si>
    <t>اختيارف توان-44000-14050629</t>
  </si>
  <si>
    <t>كپشير3</t>
  </si>
  <si>
    <t>ضسپا5024</t>
  </si>
  <si>
    <t>اختيارخ خساپا-400-1405/05/28</t>
  </si>
  <si>
    <t>مبين063</t>
  </si>
  <si>
    <t>اجاره اعتماد مبين تاك14061227</t>
  </si>
  <si>
    <t>تامين05</t>
  </si>
  <si>
    <t>اجاره تامين اجتماعي14050509</t>
  </si>
  <si>
    <t>صفارس086</t>
  </si>
  <si>
    <t>صكوك اجاره فارس086-بدون ضامن</t>
  </si>
  <si>
    <t>هم تراز</t>
  </si>
  <si>
    <t>صندوق س شاخصي هم وزن تراز-سهام</t>
  </si>
  <si>
    <t>آلياژ</t>
  </si>
  <si>
    <t>صندوق س صنايع آگاه3-بخشي</t>
  </si>
  <si>
    <t>شيمي كشاورز072</t>
  </si>
  <si>
    <t>مرابحه ملي كشاورز-هامرز070202</t>
  </si>
  <si>
    <t>طهرم6040</t>
  </si>
  <si>
    <t>اختيارف اهرم-26000-1405/06/25</t>
  </si>
  <si>
    <t>ضصاد5030</t>
  </si>
  <si>
    <t>اختيارخ وبصادر-700-1405/05/20</t>
  </si>
  <si>
    <t>صندوق س.درآمد ثابت پاسارگاد-د</t>
  </si>
  <si>
    <t>كاله072</t>
  </si>
  <si>
    <t>مرابحه سوليكوكاله-فيروزه070125</t>
  </si>
  <si>
    <t>ضملي5031</t>
  </si>
  <si>
    <t>اختيارخ فملي-18000-1405/05/14</t>
  </si>
  <si>
    <t>تكران06</t>
  </si>
  <si>
    <t>مرابحه تكران مبرد061220</t>
  </si>
  <si>
    <t>ضموج641</t>
  </si>
  <si>
    <t>اختيارخ موج-40000-14050629</t>
  </si>
  <si>
    <t>ضملت6027</t>
  </si>
  <si>
    <t>اختيارخ وبملت-1900-1405/06/18</t>
  </si>
  <si>
    <t>ضسپا6038</t>
  </si>
  <si>
    <t>اختيارخ خساپا-360-1405/06/25</t>
  </si>
  <si>
    <t>ضاطلس062206</t>
  </si>
  <si>
    <t>اختيارخ اطلس-130000-14050622</t>
  </si>
  <si>
    <t>ثبهساز3</t>
  </si>
  <si>
    <t>ططعام605</t>
  </si>
  <si>
    <t>اختيارف طعام-20000-14050615</t>
  </si>
  <si>
    <t>طاطلس060902</t>
  </si>
  <si>
    <t>اختيارف اطلس-95000-14050609</t>
  </si>
  <si>
    <t>فجهان064</t>
  </si>
  <si>
    <t>مرابحه جهان فولاد-تاك060501</t>
  </si>
  <si>
    <t>احيا07</t>
  </si>
  <si>
    <t>مرابحه احيا استيل فولاد070805</t>
  </si>
  <si>
    <t>طبيعت066</t>
  </si>
  <si>
    <t>مرابحه طبيعت سبز-مفيد060920</t>
  </si>
  <si>
    <t>جام سهند</t>
  </si>
  <si>
    <t>صندوق س. جام سبز سهند-س</t>
  </si>
  <si>
    <t>فاخر</t>
  </si>
  <si>
    <t>صندوق س.ثروت افزون فاخر-د</t>
  </si>
  <si>
    <t>تابان18</t>
  </si>
  <si>
    <t>اجاره تابان فردا ملل14070120</t>
  </si>
  <si>
    <t>طستا6050</t>
  </si>
  <si>
    <t>اختيارف شستا-2400-1405/06/11</t>
  </si>
  <si>
    <t>آتش</t>
  </si>
  <si>
    <t>صندوق س.كالاي كهكشان فيروزه</t>
  </si>
  <si>
    <t>طراز6011</t>
  </si>
  <si>
    <t>اختيارف هم تراز-24000-05/06/04</t>
  </si>
  <si>
    <t>طراز8000</t>
  </si>
  <si>
    <t>اختيارف هم تراز-11000-05/08/06</t>
  </si>
  <si>
    <t>طراز8001</t>
  </si>
  <si>
    <t>اختيارف هم تراز-12000-05/08/06</t>
  </si>
  <si>
    <t>طراز8002</t>
  </si>
  <si>
    <t>اختيارف هم تراز-13000-05/08/06</t>
  </si>
  <si>
    <t>طراز8005</t>
  </si>
  <si>
    <t>اختيارف هم تراز-16000-05/08/06</t>
  </si>
  <si>
    <t>طراز8006</t>
  </si>
  <si>
    <t>اختيارف هم تراز-18000-05/08/06</t>
  </si>
  <si>
    <t>طراز8007</t>
  </si>
  <si>
    <t>اختيارف هم تراز-20000-05/08/06</t>
  </si>
  <si>
    <t>طراز8008</t>
  </si>
  <si>
    <t>اختيارف هم تراز-22000-05/08/06</t>
  </si>
  <si>
    <t>طراز8009</t>
  </si>
  <si>
    <t>اختيارف هم تراز-24000-05/08/06</t>
  </si>
  <si>
    <t>طذوب5019</t>
  </si>
  <si>
    <t>اختيارف ذوب-260-1405/05/20</t>
  </si>
  <si>
    <t>عكاتد</t>
  </si>
  <si>
    <t>سلف كاتد مس افق توسعه معادن</t>
  </si>
  <si>
    <t>انتخاب05</t>
  </si>
  <si>
    <t>مرابحه انتخاب آرمان050917</t>
  </si>
  <si>
    <t>صگستر906</t>
  </si>
  <si>
    <t>صكوك اجاره ارغوان906-3ماهه23%</t>
  </si>
  <si>
    <t>صمپنا071</t>
  </si>
  <si>
    <t>صكوك اجاره مپنا071-3ماهه23%</t>
  </si>
  <si>
    <t>ماهور</t>
  </si>
  <si>
    <t>صندوق سرمايه گذاري ماهور-ثابت</t>
  </si>
  <si>
    <t>كارون074</t>
  </si>
  <si>
    <t>مرابحه كارون-آرمان070520</t>
  </si>
  <si>
    <t>اكتوور074</t>
  </si>
  <si>
    <t>مرابحه اكتوور كو-تاك070612</t>
  </si>
  <si>
    <t>صنوين</t>
  </si>
  <si>
    <t>صندوق سرمايه‌گذاري صنوين-مختلط</t>
  </si>
  <si>
    <t>كارا</t>
  </si>
  <si>
    <t>صبحان712</t>
  </si>
  <si>
    <t>صكوك مرابحه دسبحان712-3ماهه23%</t>
  </si>
  <si>
    <t>بذر</t>
  </si>
  <si>
    <t>صندوق س بذر اميد آفرين-سهام</t>
  </si>
  <si>
    <t>هيبريد</t>
  </si>
  <si>
    <t>صندوق س آسمان خاورميانه-مختلط</t>
  </si>
  <si>
    <t>آرامش</t>
  </si>
  <si>
    <t>صندوق سرمايه گذاري آرامش-ثابت</t>
  </si>
  <si>
    <t>گوهر</t>
  </si>
  <si>
    <t>صامين807</t>
  </si>
  <si>
    <t>صكوك مرابحه دامين807-3ماهه23%</t>
  </si>
  <si>
    <t>صحافظ512</t>
  </si>
  <si>
    <t>صكوك اجاره كحافظ512-3ماهه18%</t>
  </si>
  <si>
    <t>صخابر611</t>
  </si>
  <si>
    <t>صكوك اجاره اخابر611-3ماهه23%</t>
  </si>
  <si>
    <t>رشدي كيان</t>
  </si>
  <si>
    <t>صندوق س آواي سهام كيان-سهام</t>
  </si>
  <si>
    <t>جواهر2</t>
  </si>
  <si>
    <t>صندوق س.كالاي دناي زاگرس</t>
  </si>
  <si>
    <t>كيان</t>
  </si>
  <si>
    <t>صندوق س. با درآمد ثابت كيان</t>
  </si>
  <si>
    <t>اصيل2</t>
  </si>
  <si>
    <t>صندوق درآمدثابت مشترك البرز-د</t>
  </si>
  <si>
    <t>مشهد712</t>
  </si>
  <si>
    <t>مشاركت ش مشهد712-3ماهه23%</t>
  </si>
  <si>
    <t>خكرمان</t>
  </si>
  <si>
    <t>سرمايه گذاري آرمان گستر پاريز</t>
  </si>
  <si>
    <t>مختلط</t>
  </si>
  <si>
    <t>صندوق س.مختلط كاريزما-م</t>
  </si>
  <si>
    <t>صفارس008</t>
  </si>
  <si>
    <t>صكوك اجاره فارس008-بدون ضامن</t>
  </si>
  <si>
    <t>اخزا407</t>
  </si>
  <si>
    <t>اسناد خزانه-م7بودجه04-071110</t>
  </si>
  <si>
    <t>طبيعت063</t>
  </si>
  <si>
    <t>مرابحه طبيعت سبز-سپهر060710</t>
  </si>
  <si>
    <t>ددام</t>
  </si>
  <si>
    <t>داروسازي زاگرس فارمد پارس</t>
  </si>
  <si>
    <t>ديبا</t>
  </si>
  <si>
    <t>صندوق س اوراق دولتي صبا-ثابت</t>
  </si>
  <si>
    <t>مشهد072</t>
  </si>
  <si>
    <t>مشاركت ش مشهد072-3ماهه23%</t>
  </si>
  <si>
    <t>اهداف061</t>
  </si>
  <si>
    <t>اجاره اهداف لوتوس14061104</t>
  </si>
  <si>
    <t>آفرين</t>
  </si>
  <si>
    <t>صندوق س رشدآفرين سرمايه-مختلط</t>
  </si>
  <si>
    <t>بانكا</t>
  </si>
  <si>
    <t>صندوق س صنايع آگاه4-بخشي</t>
  </si>
  <si>
    <t>فردا موتور05</t>
  </si>
  <si>
    <t>مرابحه اتومبيل سازي فردا051224</t>
  </si>
  <si>
    <t>داترا</t>
  </si>
  <si>
    <t>آترا زيست آراي</t>
  </si>
  <si>
    <t>آكوباتري07</t>
  </si>
  <si>
    <t>مرابحه توليدي اشجع باتري070416</t>
  </si>
  <si>
    <t>صپويا62</t>
  </si>
  <si>
    <t>صكوك مرابحه بپويا62-3ماهه23%</t>
  </si>
  <si>
    <t>صصيكو810</t>
  </si>
  <si>
    <t>صكوك اجاره تاصيكو810-بدون ضامن</t>
  </si>
  <si>
    <t>صفارس730</t>
  </si>
  <si>
    <t>صكوك اجاره فارس730-بدون ضامن</t>
  </si>
  <si>
    <t>تخت گاز</t>
  </si>
  <si>
    <t>صندوق س.بخشي صنايع معيار-ب</t>
  </si>
  <si>
    <t>پتروما</t>
  </si>
  <si>
    <t>ص.س.بخشي افق دماوند1-ب</t>
  </si>
  <si>
    <t>وپايا3</t>
  </si>
  <si>
    <t>صفارس860</t>
  </si>
  <si>
    <t>صكوك اجاره فارس860-بدون ضامن</t>
  </si>
  <si>
    <t>عغدير4</t>
  </si>
  <si>
    <t>سلف آهن اسفنجي غدير</t>
  </si>
  <si>
    <t>صگل0071</t>
  </si>
  <si>
    <t>صكوك مرابحه كگل0071-3ماهه23%</t>
  </si>
  <si>
    <t>بجنورد72</t>
  </si>
  <si>
    <t>مشاركت ش بجنورد72-3ماهه23%</t>
  </si>
  <si>
    <t>پايا2</t>
  </si>
  <si>
    <t>صشاد709</t>
  </si>
  <si>
    <t>صكوك مرابحه شادگان709-3ماهه23%</t>
  </si>
  <si>
    <t>مهد06</t>
  </si>
  <si>
    <t xml:space="preserve">اجاره مهد س.خاورميانه14060715	</t>
  </si>
  <si>
    <t>فلزا2</t>
  </si>
  <si>
    <t>صندوق س.بخشي صنايع پاداش2-ب</t>
  </si>
  <si>
    <t>هوشمند</t>
  </si>
  <si>
    <t>صندوق س شاخصي شفق رابين</t>
  </si>
  <si>
    <t>اخزا203</t>
  </si>
  <si>
    <t>اسنادخزانه-م3بودجه02-050818</t>
  </si>
  <si>
    <t>ثروت ساز</t>
  </si>
  <si>
    <t>صندوق س ثروت ساز ديبا-سهام</t>
  </si>
  <si>
    <t>نيواد07</t>
  </si>
  <si>
    <t xml:space="preserve">مرابحه نيوادفارمد سلامت070409	</t>
  </si>
  <si>
    <t>صگستر512</t>
  </si>
  <si>
    <t>صكوك اجاره صگستر512- 6ماهه18%</t>
  </si>
  <si>
    <t>بلور062</t>
  </si>
  <si>
    <t>مرابحه بلورنوري-كيميا060403</t>
  </si>
  <si>
    <t>پرشيا06</t>
  </si>
  <si>
    <t>مرابحه پرشيا خودرو060807</t>
  </si>
  <si>
    <t>اخزا403</t>
  </si>
  <si>
    <t>اسناد خزانه-م3بودجه04-070718</t>
  </si>
  <si>
    <t>آتيه06</t>
  </si>
  <si>
    <t>مرابحه فولاد آتيه 14061206</t>
  </si>
  <si>
    <t>نادي08</t>
  </si>
  <si>
    <t>مرابحه ستاره نادي080514</t>
  </si>
  <si>
    <t>صگل071</t>
  </si>
  <si>
    <t>صكوك مرابحه كگل071-3ماهه23%</t>
  </si>
  <si>
    <t>هامون</t>
  </si>
  <si>
    <t>صندوق س. سهام ثروت هامون-س</t>
  </si>
  <si>
    <t>مرواريد</t>
  </si>
  <si>
    <t>صندوق س. مرواريد آتا-س</t>
  </si>
  <si>
    <t>مسكن نوين06</t>
  </si>
  <si>
    <t>مرابحه مسكن نوين پايدار060913</t>
  </si>
  <si>
    <t>يلدا</t>
  </si>
  <si>
    <t>صندوق س.مشترك سبحان-سهام</t>
  </si>
  <si>
    <t>كاما3</t>
  </si>
  <si>
    <t>مشهد62</t>
  </si>
  <si>
    <t>مشاركت ش مشهد62-3ماهه20.5%</t>
  </si>
  <si>
    <t>تداوم</t>
  </si>
  <si>
    <t>صندوق تداوم اطمينان تمدن-ثابت</t>
  </si>
  <si>
    <t>اخزا213</t>
  </si>
  <si>
    <t>اسناد خزانه-م13بودجه02-051021</t>
  </si>
  <si>
    <t>شارپيلن</t>
  </si>
  <si>
    <t>پتروشيمي ارغوان گسترايلام</t>
  </si>
  <si>
    <t>زعف0510پ26</t>
  </si>
  <si>
    <t>زعفران0510نگين بديعي(پ)</t>
  </si>
  <si>
    <t>جاودان</t>
  </si>
  <si>
    <t>صندوق س جاويدان سهام ماني-سهام</t>
  </si>
  <si>
    <t>زمرد</t>
  </si>
  <si>
    <t>صفولا051</t>
  </si>
  <si>
    <t xml:space="preserve">صكوك اجاره فولاد051-بدون ضامن	</t>
  </si>
  <si>
    <t>صعبيد711</t>
  </si>
  <si>
    <t>صكوك مرابحه دعبيد711-3ماهه23%</t>
  </si>
  <si>
    <t>صندوق س. طلوع تدبير پايا-د</t>
  </si>
  <si>
    <t>ميراث</t>
  </si>
  <si>
    <t>صندوق س.كالاي كوروش</t>
  </si>
  <si>
    <t>صفولا51</t>
  </si>
  <si>
    <t>صكوك اجاره فولاد51-بدون ضامن</t>
  </si>
  <si>
    <t>ثروين</t>
  </si>
  <si>
    <t>صندوق س.موج گستر ثروت-س</t>
  </si>
  <si>
    <t>فاران05</t>
  </si>
  <si>
    <t>مرابحه فاران شيمي 14050730</t>
  </si>
  <si>
    <t>عاليفرد071</t>
  </si>
  <si>
    <t>مرابحه عاليفرد-كاردان070830</t>
  </si>
  <si>
    <t>صفارس07</t>
  </si>
  <si>
    <t>صكوك اجاره فارس07-بدون ضامن</t>
  </si>
  <si>
    <t>زعف0510پ11</t>
  </si>
  <si>
    <t>زعفران0510نگين سحرخيز(پ)</t>
  </si>
  <si>
    <t>ترام چاپ06</t>
  </si>
  <si>
    <t>مرابحه ترام چاپ061109</t>
  </si>
  <si>
    <t>صكوثر701</t>
  </si>
  <si>
    <t>صكوك مرابحه دكوثر701-3ماهه23%</t>
  </si>
  <si>
    <t>عديزل1</t>
  </si>
  <si>
    <t>سلف موازي كاميونت بهمن ديزل</t>
  </si>
  <si>
    <t>صدابور92</t>
  </si>
  <si>
    <t>صكوك مرابحه دابور92-3ماهه23%</t>
  </si>
  <si>
    <t>صندوق سرمايه گذاري اركيده-ثابت</t>
  </si>
  <si>
    <t>معين3</t>
  </si>
  <si>
    <t>صكسرا510</t>
  </si>
  <si>
    <t>صكوك مرابحه كسرا510-بدون ضامن</t>
  </si>
  <si>
    <t>توسكا</t>
  </si>
  <si>
    <t>صندوق س توسعه فولاد- ثابت</t>
  </si>
  <si>
    <t>جهرم0504</t>
  </si>
  <si>
    <t>آتي اهرم-1405/04/31</t>
  </si>
  <si>
    <t>صفروس670</t>
  </si>
  <si>
    <t>صكوك مرابحه فروس670-بدون ضامن</t>
  </si>
  <si>
    <t>ارگ071</t>
  </si>
  <si>
    <t>مرابحه ارگ-پارسيان071211</t>
  </si>
  <si>
    <t>ارمغان</t>
  </si>
  <si>
    <t>ص سرمايه گذاري ارمغان ايرانيان</t>
  </si>
  <si>
    <t>بجنورد07</t>
  </si>
  <si>
    <t>مشاركت ش بجنورد07-3ماهه23%</t>
  </si>
  <si>
    <t>تملت3</t>
  </si>
  <si>
    <t>فولادتاراز07</t>
  </si>
  <si>
    <t>مرابحه فولاد تاراز070502</t>
  </si>
  <si>
    <t>نيلي</t>
  </si>
  <si>
    <t>صندوق س. نوع دوم نيلي دماوند-د</t>
  </si>
  <si>
    <t>صهمدا806</t>
  </si>
  <si>
    <t xml:space="preserve">صكوك مرابحه كهمدا806-3ماهه23%	</t>
  </si>
  <si>
    <t>دارا</t>
  </si>
  <si>
    <t>صندوق س. دارا الگوريتم-د</t>
  </si>
  <si>
    <t>داريك2</t>
  </si>
  <si>
    <t>صفروس607</t>
  </si>
  <si>
    <t>صكوك مرابحه فروس607-بدون ضامن</t>
  </si>
  <si>
    <t>طعام</t>
  </si>
  <si>
    <t>صندوق س.بخشي بازده صنايع2-ب</t>
  </si>
  <si>
    <t>كاج</t>
  </si>
  <si>
    <t>صندوق س. نوع دوم نو ويرا -د</t>
  </si>
  <si>
    <t>صكوير510</t>
  </si>
  <si>
    <t>صكوك مرابحه كوير510-بدون ضامن</t>
  </si>
  <si>
    <t>كمند</t>
  </si>
  <si>
    <t>يكم</t>
  </si>
  <si>
    <t>صندوق س. درسهام اطلس-س</t>
  </si>
  <si>
    <t>صندوق س رايبد-ثابت</t>
  </si>
  <si>
    <t>شصدف09</t>
  </si>
  <si>
    <t>مرابحه صنعتي دوده فام14090216</t>
  </si>
  <si>
    <t>هوشيار2</t>
  </si>
  <si>
    <t>گهردانه06</t>
  </si>
  <si>
    <t>مرابحه گهردانه شرق 060715</t>
  </si>
  <si>
    <t>الماس</t>
  </si>
  <si>
    <t>صندوق س.امين تدبيرگران فردا-س</t>
  </si>
  <si>
    <t>عكاله4</t>
  </si>
  <si>
    <t>سلف شيركاله</t>
  </si>
  <si>
    <t>فيروزه</t>
  </si>
  <si>
    <t>صندوق شاخص30 شركت فيروزه- سهام</t>
  </si>
  <si>
    <t>اركيده</t>
  </si>
  <si>
    <t>كگهر072</t>
  </si>
  <si>
    <t xml:space="preserve">اجاره گهرزمين سپهر14070822	</t>
  </si>
  <si>
    <t>تداوم4</t>
  </si>
  <si>
    <t>كمينا07</t>
  </si>
  <si>
    <t xml:space="preserve">مرابحه شيشه سازي مينا070516	</t>
  </si>
  <si>
    <t>صهمدا860</t>
  </si>
  <si>
    <t>صكوك مرابحه كهمدا860-3ماهه23%</t>
  </si>
  <si>
    <t>ثشاهد3</t>
  </si>
  <si>
    <t>خورشيد</t>
  </si>
  <si>
    <t>ترمه</t>
  </si>
  <si>
    <t xml:space="preserve">صندوق سرمايه گذاري ترمه-سهام	</t>
  </si>
  <si>
    <t>عسپهر</t>
  </si>
  <si>
    <t>سلف موازي بطري مايع لباسشويي</t>
  </si>
  <si>
    <t>سيمان‌هگمتان‌</t>
  </si>
  <si>
    <t>هدف</t>
  </si>
  <si>
    <t>ص.س.دثابت مشترك صباي هدف-د</t>
  </si>
  <si>
    <t>صفارس073</t>
  </si>
  <si>
    <t>صكوك اجاره فارس073-بدون ضامن</t>
  </si>
  <si>
    <t>مهرمامح</t>
  </si>
  <si>
    <t>ح.مهرمام ميهن</t>
  </si>
  <si>
    <t>صبحان606</t>
  </si>
  <si>
    <t>صكوك مرابحه دسبحان606-3ماهه23%</t>
  </si>
  <si>
    <t>پايش</t>
  </si>
  <si>
    <t>صندوق س.درآمد ثابت دينا-د</t>
  </si>
  <si>
    <t>بگيلان3</t>
  </si>
  <si>
    <t>كاج2</t>
  </si>
  <si>
    <t>پيشرو052</t>
  </si>
  <si>
    <t>مرابحه اورند پيشرو-مفيد051118</t>
  </si>
  <si>
    <t>گنج</t>
  </si>
  <si>
    <t>صندوق س. سيماي كاردان</t>
  </si>
  <si>
    <t>ضذوب6020</t>
  </si>
  <si>
    <t>اختيارخ ذوب-600-1405/06/18</t>
  </si>
  <si>
    <t>ضهرم4024</t>
  </si>
  <si>
    <t>اختيارخ اهرم-22000-1405/04/31</t>
  </si>
  <si>
    <t>توسعه معادن071</t>
  </si>
  <si>
    <t>مرابحه توسعه معادن-كيان071120</t>
  </si>
  <si>
    <t>ديزل05</t>
  </si>
  <si>
    <t>مرابحه بهمن ديزل 14050706</t>
  </si>
  <si>
    <t>بيوتيك3</t>
  </si>
  <si>
    <t>ايده07</t>
  </si>
  <si>
    <t>مرابحه ايده گستران زمان070309</t>
  </si>
  <si>
    <t>طموج649</t>
  </si>
  <si>
    <t>اختيارف موج-65000-14050629</t>
  </si>
  <si>
    <t>مهان04</t>
  </si>
  <si>
    <t>اجاره مهرآيندگان نوين0507</t>
  </si>
  <si>
    <t>شركت سيمان لارستان</t>
  </si>
  <si>
    <t>ضهرم5025</t>
  </si>
  <si>
    <t>اختيارخ اهرم-22000-1405/05/28</t>
  </si>
  <si>
    <t>دارا يكم</t>
  </si>
  <si>
    <t>صندوق واسطه گري مالي يكم-سهام</t>
  </si>
  <si>
    <t>طتوان634</t>
  </si>
  <si>
    <t>اختيارف توان-46000-14050629</t>
  </si>
  <si>
    <t>هيوا</t>
  </si>
  <si>
    <t>صندوق س. ثروت هيوا-س</t>
  </si>
  <si>
    <t>طراز6000</t>
  </si>
  <si>
    <t>اختيارف هم تراز-9000-05/06/04</t>
  </si>
  <si>
    <t>بانكدار</t>
  </si>
  <si>
    <t>صندوق س صنايع اعتبار1-بخشي</t>
  </si>
  <si>
    <t>وبملت3</t>
  </si>
  <si>
    <t>قم512</t>
  </si>
  <si>
    <t>مشاركت ش قم512-3ماهه18%</t>
  </si>
  <si>
    <t>طتاص5011</t>
  </si>
  <si>
    <t>اختيارف تاصيكو-16000-05/05/07</t>
  </si>
  <si>
    <t>ضذوب5029</t>
  </si>
  <si>
    <t>اختيارخ ذوب-550-1405/05/20</t>
  </si>
  <si>
    <t>طاطلس052509</t>
  </si>
  <si>
    <t>اختيارف اطلس-160000-14050525</t>
  </si>
  <si>
    <t>طملي5033</t>
  </si>
  <si>
    <t>اختيارف فملي-22000-1405/05/14</t>
  </si>
  <si>
    <t>ابتكار</t>
  </si>
  <si>
    <t>صندوق س.پرتوابتكارهدف-س</t>
  </si>
  <si>
    <t>طملت6021</t>
  </si>
  <si>
    <t>اختيارف وبملت-1300-1405/06/18</t>
  </si>
  <si>
    <t>رايكا</t>
  </si>
  <si>
    <t xml:space="preserve">صندوق س نوع دوم رايكا- ثابت	</t>
  </si>
  <si>
    <t>سيمانيا</t>
  </si>
  <si>
    <t>صندوق س.بخشي صنايع داريا-ب</t>
  </si>
  <si>
    <t>بالين تك08</t>
  </si>
  <si>
    <t>مرابحه بالين تك080716</t>
  </si>
  <si>
    <t>فولاي09</t>
  </si>
  <si>
    <t>مرابحه فولادآلياژي يزد14090302</t>
  </si>
  <si>
    <t>صمپنا62</t>
  </si>
  <si>
    <t>صكوك اجاره مپنا62-3ماهه23%</t>
  </si>
  <si>
    <t>كاشمر08</t>
  </si>
  <si>
    <t>مرابحه پيشروصالح كاشمر14081022</t>
  </si>
  <si>
    <t>طاطلس052506</t>
  </si>
  <si>
    <t>اختيارف اطلس-130000-14050525</t>
  </si>
  <si>
    <t>تكپاد</t>
  </si>
  <si>
    <t>صندوق س. مشترك آريان-س</t>
  </si>
  <si>
    <t>ضتاص7008</t>
  </si>
  <si>
    <t>اختيارخ تاصيكو-15000-05/07/08</t>
  </si>
  <si>
    <t>ضموج522</t>
  </si>
  <si>
    <t>اختيارخ موج-55000-14050525</t>
  </si>
  <si>
    <t>سپيدما</t>
  </si>
  <si>
    <t>صندوق س. سپيد دماوند-د</t>
  </si>
  <si>
    <t>ضستا5041</t>
  </si>
  <si>
    <t>اختيارخ شستا-1400-1405/05/14</t>
  </si>
  <si>
    <t>صگل0509</t>
  </si>
  <si>
    <t xml:space="preserve">صكوك اجاره كگل0509-بدون ضامن	</t>
  </si>
  <si>
    <t>طجار6036</t>
  </si>
  <si>
    <t>اختيارف وتجارت-340-1405/06/18</t>
  </si>
  <si>
    <t>ضطعام600</t>
  </si>
  <si>
    <t>اختيارخ طعام-15000-14050615</t>
  </si>
  <si>
    <t>طتاص5004</t>
  </si>
  <si>
    <t>اختيارف تاصيكو-9000-05/05/07</t>
  </si>
  <si>
    <t>طستا7061</t>
  </si>
  <si>
    <t>اختيارف شستا-3000-1405/07/15</t>
  </si>
  <si>
    <t>انتخاب095</t>
  </si>
  <si>
    <t>مرابحه انتخاب آرمان كيان090309</t>
  </si>
  <si>
    <t>ضخود5051</t>
  </si>
  <si>
    <t>اختيارخ خودرو-450-1405/05/07</t>
  </si>
  <si>
    <t>وامين</t>
  </si>
  <si>
    <t>سرمايه گذاري امين مهرگان</t>
  </si>
  <si>
    <t>ضذوب5026</t>
  </si>
  <si>
    <t>اختيارخ ذوب-400-1405/05/20</t>
  </si>
  <si>
    <t>بلوط</t>
  </si>
  <si>
    <t>صندوق س شكوه بامداد زاگرس-ثابت</t>
  </si>
  <si>
    <t>ضموج639</t>
  </si>
  <si>
    <t>اختيارخ موج-36000-14050629</t>
  </si>
  <si>
    <t>كياصنعت08</t>
  </si>
  <si>
    <t>مرابحه كيا صنعت كاران080428</t>
  </si>
  <si>
    <t>طهرم6043</t>
  </si>
  <si>
    <t>اختيارف اهرم-34000-1405/06/25</t>
  </si>
  <si>
    <t>لذيذ</t>
  </si>
  <si>
    <t>صندوق س صنايع سينا1-بخشي</t>
  </si>
  <si>
    <t>ضهرم4028</t>
  </si>
  <si>
    <t>اختيارخ اهرم-30000-1405/04/31</t>
  </si>
  <si>
    <t>مرابحه عام دولت258-ش.خ070302</t>
  </si>
  <si>
    <t>صفولا52</t>
  </si>
  <si>
    <t>صكوك اجاره فولاد52-بدون ضامن</t>
  </si>
  <si>
    <t>ضتوان522</t>
  </si>
  <si>
    <t>اختيارخ توان-46000-14050525</t>
  </si>
  <si>
    <t>ضتاص7006</t>
  </si>
  <si>
    <t>اختيارخ تاصيكو-13000-05/07/08</t>
  </si>
  <si>
    <t>طسپا6043</t>
  </si>
  <si>
    <t>اختيارف خساپا-550-1405/06/25</t>
  </si>
  <si>
    <t>ضموج527</t>
  </si>
  <si>
    <t>اختيارخ موج-80000-14050525</t>
  </si>
  <si>
    <t>كلور081</t>
  </si>
  <si>
    <t>مرابحه كلور-اكسيرسودا14080208</t>
  </si>
  <si>
    <t>نقرابي</t>
  </si>
  <si>
    <t>صندوق س.كالاي كهكشان فيروزه1</t>
  </si>
  <si>
    <t>تابش</t>
  </si>
  <si>
    <t>صندوق س.كالاي تابان تمدن</t>
  </si>
  <si>
    <t>كارون075</t>
  </si>
  <si>
    <t>مرابحه كارون-دانا070520</t>
  </si>
  <si>
    <t>ضسپا5030</t>
  </si>
  <si>
    <t>اختيارخ خساپا-700-1405/05/28</t>
  </si>
  <si>
    <t>طتوان514</t>
  </si>
  <si>
    <t>اختيارف توان-30000-14050525</t>
  </si>
  <si>
    <t>طهرم6051</t>
  </si>
  <si>
    <t>اختيارف اهرم-74000-1405/06/25</t>
  </si>
  <si>
    <t>عقير1</t>
  </si>
  <si>
    <t>سلف پارس بهين پالايش قشم</t>
  </si>
  <si>
    <t>تصميم2</t>
  </si>
  <si>
    <t>صندوق س با درآمد ثابت تصميم</t>
  </si>
  <si>
    <t>طمخا7090</t>
  </si>
  <si>
    <t>ضتوان516</t>
  </si>
  <si>
    <t>اختيارخ توان-34000-14050525</t>
  </si>
  <si>
    <t>ضجوا6000</t>
  </si>
  <si>
    <t>اختيارخ جوانه.ك-11000-05/06/25</t>
  </si>
  <si>
    <t>زعف0510پ09</t>
  </si>
  <si>
    <t>زعفران0510نگين نوين(پ)</t>
  </si>
  <si>
    <t>ضصاد5022</t>
  </si>
  <si>
    <t>اختيارخ وبصادر-360-1405/05/20</t>
  </si>
  <si>
    <t>مصفها620</t>
  </si>
  <si>
    <t>مشاركت ش اصفهان620-3ماهه20.5%</t>
  </si>
  <si>
    <t>ولتاژ</t>
  </si>
  <si>
    <t>صندوق س. بخشي صنايع گندم1-ب</t>
  </si>
  <si>
    <t>صاميا511</t>
  </si>
  <si>
    <t>صكوك مرابحه خزاميا511-3ماهه18%</t>
  </si>
  <si>
    <t>دفينه</t>
  </si>
  <si>
    <t>صندوق س.كالاي سينا</t>
  </si>
  <si>
    <t>ضمخا7095</t>
  </si>
  <si>
    <t>ضموج645</t>
  </si>
  <si>
    <t>اختيارخ موج-48000-14050629</t>
  </si>
  <si>
    <t>اهداف072</t>
  </si>
  <si>
    <t>اجاره اهداف فارس 14070531</t>
  </si>
  <si>
    <t>پتروبرنا06</t>
  </si>
  <si>
    <t>مرابحه پترو برنا كيش14060502</t>
  </si>
  <si>
    <t>ضموج512</t>
  </si>
  <si>
    <t>اختيارخ موج-32000-14050525</t>
  </si>
  <si>
    <t>ضملت5035</t>
  </si>
  <si>
    <t>اختيارخ وبملت-1600-1405/05/20</t>
  </si>
  <si>
    <t>ضطعام604</t>
  </si>
  <si>
    <t>اختيارخ طعام-19000-14050615</t>
  </si>
  <si>
    <t>هماي</t>
  </si>
  <si>
    <t>صندوق س هماي آگاه-ثابت</t>
  </si>
  <si>
    <t>طتاص5006</t>
  </si>
  <si>
    <t>اختيارف تاصيكو-11000-05/05/07</t>
  </si>
  <si>
    <t>سمگا062</t>
  </si>
  <si>
    <t>مرابحه سمگا-لوتوس060907</t>
  </si>
  <si>
    <t>صرازي712</t>
  </si>
  <si>
    <t>صكوك مرابحه كرازي712-بدون ضامن</t>
  </si>
  <si>
    <t>طتوان520</t>
  </si>
  <si>
    <t>اختيارف توان-42000-14050525</t>
  </si>
  <si>
    <t>هم وزن2</t>
  </si>
  <si>
    <t>صندوق س. شاخصي كيان-س</t>
  </si>
  <si>
    <t>درنا</t>
  </si>
  <si>
    <t>صندوق س.پشتوانه طلاي درنا</t>
  </si>
  <si>
    <t>صفارس73</t>
  </si>
  <si>
    <t>صكوك اجاره فارس73-بدون ضامن</t>
  </si>
  <si>
    <t>تسه1404</t>
  </si>
  <si>
    <t>امتياز تسهيلات مسكن سال1404</t>
  </si>
  <si>
    <t>ضستا5049</t>
  </si>
  <si>
    <t>اختيارخ شستا-2400-1405/05/14</t>
  </si>
  <si>
    <t>خساپا3</t>
  </si>
  <si>
    <t>سيلور</t>
  </si>
  <si>
    <t>صندوق س.بازده نقره نوا</t>
  </si>
  <si>
    <t>ثروين2</t>
  </si>
  <si>
    <t>تجارت كوشش06</t>
  </si>
  <si>
    <t>مرابحه تجارت كوشش سپاهان060604</t>
  </si>
  <si>
    <t>ططعام603</t>
  </si>
  <si>
    <t>اختيارف طعام-18000-14050615</t>
  </si>
  <si>
    <t>صاف فيلم52</t>
  </si>
  <si>
    <t>مرابحه صاف فيلم كارون051116</t>
  </si>
  <si>
    <t>غرب06</t>
  </si>
  <si>
    <t>مرابحه پديده شيمي غرب 14060704</t>
  </si>
  <si>
    <t>ضهرم5034</t>
  </si>
  <si>
    <t>اختيارخ اهرم-50000-1405/05/28</t>
  </si>
  <si>
    <t>طهرم5025</t>
  </si>
  <si>
    <t>اختيارف اهرم-22000-1405/05/28</t>
  </si>
  <si>
    <t>صالح07</t>
  </si>
  <si>
    <t>مرابحه صالح چوب سپاهان071114</t>
  </si>
  <si>
    <t>ضهرم5029</t>
  </si>
  <si>
    <t>اختيارخ اهرم-30000-1405/05/28</t>
  </si>
  <si>
    <t>ضصاد7035</t>
  </si>
  <si>
    <t>اختيارخ وبصادر-380-1405/07/22</t>
  </si>
  <si>
    <t>آتيمس</t>
  </si>
  <si>
    <t>صندوق س.آرمان آتيه درخشان مس-س</t>
  </si>
  <si>
    <t>طجوا6005</t>
  </si>
  <si>
    <t>اختيارف جوانه.ك-16000-05/06/25</t>
  </si>
  <si>
    <t>ضتاص7003</t>
  </si>
  <si>
    <t>اختيارخ تاصيكو-10000-05/07/08</t>
  </si>
  <si>
    <t>داروك071</t>
  </si>
  <si>
    <t>مرابحه داروك-كاردان070904</t>
  </si>
  <si>
    <t>دارا2</t>
  </si>
  <si>
    <t>كوثر3</t>
  </si>
  <si>
    <t>ضهرم6046</t>
  </si>
  <si>
    <t>اختيارخ اهرم-46000-1405/06/25</t>
  </si>
  <si>
    <t>ضاطلس062200</t>
  </si>
  <si>
    <t>اختيارخ اطلس-85000-14050622</t>
  </si>
  <si>
    <t>ثبات</t>
  </si>
  <si>
    <t>صندوق س. ثبات ويستا -د</t>
  </si>
  <si>
    <t>ايرتور07</t>
  </si>
  <si>
    <t>اجاره ايران اپراتور14071015</t>
  </si>
  <si>
    <t>طمخا7093</t>
  </si>
  <si>
    <t>صرمد62</t>
  </si>
  <si>
    <t>صكوك اجاره سرمد62-3ماهه23%</t>
  </si>
  <si>
    <t>طهرم4024</t>
  </si>
  <si>
    <t>اختيارف اهرم-22000-1405/04/31</t>
  </si>
  <si>
    <t>اعتماد2</t>
  </si>
  <si>
    <t>طستا7060</t>
  </si>
  <si>
    <t>اختيارف شستا-2800-1405/07/15</t>
  </si>
  <si>
    <t>ناب</t>
  </si>
  <si>
    <t>اراد190</t>
  </si>
  <si>
    <t>مرابحه عام دولت190-ش.خ050928</t>
  </si>
  <si>
    <t>نقرفام</t>
  </si>
  <si>
    <t>صندوق س.كالاي تابان تمدن1</t>
  </si>
  <si>
    <t>طتوان638</t>
  </si>
  <si>
    <t>اختيارف توان-60000-14050629</t>
  </si>
  <si>
    <t>ضذوب5030</t>
  </si>
  <si>
    <t>اختيارخ ذوب-600-1405/05/20</t>
  </si>
  <si>
    <t>طستا6042</t>
  </si>
  <si>
    <t>اختيارف شستا-1400-1405/06/11</t>
  </si>
  <si>
    <t>گلريز05</t>
  </si>
  <si>
    <t>اجاره گلريز پليمر قم14051026</t>
  </si>
  <si>
    <t>ضتوان630</t>
  </si>
  <si>
    <t>اختيارخ توان-38000-14050629</t>
  </si>
  <si>
    <t>طراز8004</t>
  </si>
  <si>
    <t>اختيارف هم تراز-15000-05/08/06</t>
  </si>
  <si>
    <t>طفزر503</t>
  </si>
  <si>
    <t>اختيارف فزر-120000-14050525</t>
  </si>
  <si>
    <t>طموج520</t>
  </si>
  <si>
    <t>اختيارف موج-48000-14050525</t>
  </si>
  <si>
    <t>ضهرم5033</t>
  </si>
  <si>
    <t>اختيارخ اهرم-46000-1405/05/28</t>
  </si>
  <si>
    <t>پارس ميكا06</t>
  </si>
  <si>
    <t>مرابحه پارس ميكاكيش060708</t>
  </si>
  <si>
    <t>ضستا7059</t>
  </si>
  <si>
    <t>اختيارخ شستا-2600-1405/07/15</t>
  </si>
  <si>
    <t>طاطلس060909</t>
  </si>
  <si>
    <t>اختيارف اطلس-160000-14050609</t>
  </si>
  <si>
    <t>نارگون08</t>
  </si>
  <si>
    <t>مرابحه حامي نارگون كيش14081125</t>
  </si>
  <si>
    <t>واحصا</t>
  </si>
  <si>
    <t>احياء صنايع خراسان</t>
  </si>
  <si>
    <t>صگستر052</t>
  </si>
  <si>
    <t>صكوك مرابحه ارغوان052-3ماهه23%</t>
  </si>
  <si>
    <t>صكوير701</t>
  </si>
  <si>
    <t>صكوك مرابحه پكوير701-بدون ضامن</t>
  </si>
  <si>
    <t>صفارس080</t>
  </si>
  <si>
    <t>صكوك اجاره فارس080-بدون ضامن</t>
  </si>
  <si>
    <t>كاله52</t>
  </si>
  <si>
    <t>مرابحه سوليكو كاله لوتوس051117</t>
  </si>
  <si>
    <t>طلا2</t>
  </si>
  <si>
    <t>صندوق س. كالاي پارسيان</t>
  </si>
  <si>
    <t>توسعه انرژي05</t>
  </si>
  <si>
    <t>اجاره ت. انرژي تدبير14051013</t>
  </si>
  <si>
    <t>شتاب</t>
  </si>
  <si>
    <t>صندوق س سهامي شتاب آگاه-اهرمي</t>
  </si>
  <si>
    <t>تسه1403</t>
  </si>
  <si>
    <t>امتياز تسهيلات مسكن سال1403</t>
  </si>
  <si>
    <t>فجهان062</t>
  </si>
  <si>
    <t>مرابحه جهان فولاد-آرمان060501</t>
  </si>
  <si>
    <t>صعبيد69</t>
  </si>
  <si>
    <t>صكوك مرابحه دعبيد69-3ماهه23%</t>
  </si>
  <si>
    <t>اندوخته داريوش</t>
  </si>
  <si>
    <t>ص.س.درآمدثابت اندوخته داريوش-د</t>
  </si>
  <si>
    <t>اعتبار</t>
  </si>
  <si>
    <t>صندوق س. نوع دوم اعتبار-د</t>
  </si>
  <si>
    <t>صفروس67</t>
  </si>
  <si>
    <t>صكوك مرابحه فروس67-بدون ضامن</t>
  </si>
  <si>
    <t>مشهد0702</t>
  </si>
  <si>
    <t>مشاركت ش مشهد0702-3ماهه23%</t>
  </si>
  <si>
    <t>صايند</t>
  </si>
  <si>
    <t>صندوق س. گنجينه آينده روشن-د</t>
  </si>
  <si>
    <t>اراد1754</t>
  </si>
  <si>
    <t>مرابحه عام دولت175-ش.خ060327</t>
  </si>
  <si>
    <t>صعبيد802</t>
  </si>
  <si>
    <t>صكوك مرابحه دعبيد802-3ماهه23%</t>
  </si>
  <si>
    <t>دبش06</t>
  </si>
  <si>
    <t>مرابحه ش. دبش سبز گستر14060717</t>
  </si>
  <si>
    <t>معدن</t>
  </si>
  <si>
    <t>صندوق س صنايع مفيد6- بخشي</t>
  </si>
  <si>
    <t>سرو</t>
  </si>
  <si>
    <t>صندوق س سروسودمند مدبران-سهام</t>
  </si>
  <si>
    <t>پرتوبار07</t>
  </si>
  <si>
    <t>اجاره پرتوبارخليج فارس14070312</t>
  </si>
  <si>
    <t>داترا3</t>
  </si>
  <si>
    <t>چتر</t>
  </si>
  <si>
    <t>صندوق س.بخشي گستره فيروزه2-ب</t>
  </si>
  <si>
    <t>آبادا</t>
  </si>
  <si>
    <t>توليد نيروي برق آبادان</t>
  </si>
  <si>
    <t>مشهد0720</t>
  </si>
  <si>
    <t>مشاركت ش مشهد0720-3ماهه23%</t>
  </si>
  <si>
    <t>ثاميد3</t>
  </si>
  <si>
    <t>هومان</t>
  </si>
  <si>
    <t>صندوق س. سهامي ثروت هومان-س</t>
  </si>
  <si>
    <t>مالك آتيه</t>
  </si>
  <si>
    <t>ص.س.املاك و مستغلات مالك آتيه</t>
  </si>
  <si>
    <t>اخزا204</t>
  </si>
  <si>
    <t>اسنادخزانه-م4بودجه02-051021</t>
  </si>
  <si>
    <t>خاور3</t>
  </si>
  <si>
    <t>كامياب2</t>
  </si>
  <si>
    <t>عبهمن2</t>
  </si>
  <si>
    <t>سلف ون باري بهمن موتور</t>
  </si>
  <si>
    <t>عزرند</t>
  </si>
  <si>
    <t>سلف فيلم شفاف لفاف صنعت زرند</t>
  </si>
  <si>
    <t>كاخ</t>
  </si>
  <si>
    <t>صندوق س كاخ-املاك</t>
  </si>
  <si>
    <t>رامك08</t>
  </si>
  <si>
    <t>مرابحه ف.لبني رامك شيراز080629</t>
  </si>
  <si>
    <t>فلزا</t>
  </si>
  <si>
    <t>روژين06</t>
  </si>
  <si>
    <t>مرابحه داروسازي روژين061116</t>
  </si>
  <si>
    <t>فارمد08</t>
  </si>
  <si>
    <t>مرابحه صنايع پزشكي فارمد081226</t>
  </si>
  <si>
    <t>اكتوور071</t>
  </si>
  <si>
    <t>مرابحه اكتوور كو-كاردان070612</t>
  </si>
  <si>
    <t>فردا</t>
  </si>
  <si>
    <t>صندوق س آواي فرداي زاگرس-ثابت</t>
  </si>
  <si>
    <t>رز ترنج2</t>
  </si>
  <si>
    <t>صندوق س.كالاي ترنج</t>
  </si>
  <si>
    <t>صزاگرس08</t>
  </si>
  <si>
    <t>صكوك مرابحه انديمشك08-6ماهه23%</t>
  </si>
  <si>
    <t>بانكو</t>
  </si>
  <si>
    <t>صندوق س.بخشي صنايع آسمان1-ب</t>
  </si>
  <si>
    <t>دسبحا</t>
  </si>
  <si>
    <t>گروه دارويي سبحان</t>
  </si>
  <si>
    <t>گلرنگ فرش06</t>
  </si>
  <si>
    <t xml:space="preserve">مرابحه گلرنگ فرش بيدگل060224	</t>
  </si>
  <si>
    <t>كرونا2</t>
  </si>
  <si>
    <t>تامين مالي جمعي صرفا اهداي سود</t>
  </si>
  <si>
    <t>آلوم رول06</t>
  </si>
  <si>
    <t>مرابحه صنايع آلوم رول060223</t>
  </si>
  <si>
    <t>كرمان5126</t>
  </si>
  <si>
    <t>مرابحه كرمان موتور-پاداش051223</t>
  </si>
  <si>
    <t>آلكان</t>
  </si>
  <si>
    <t>صندوق راهبرصنايع مهرگان1-بخشي</t>
  </si>
  <si>
    <t>آتيه ملت</t>
  </si>
  <si>
    <t>صندوق س آتيه ملت-ثابت</t>
  </si>
  <si>
    <t>نورد06</t>
  </si>
  <si>
    <t>مرابحه ذوب و نوردكرمان14060814</t>
  </si>
  <si>
    <t>آسام</t>
  </si>
  <si>
    <t>صندوق س.آرمان سپهر آتي-م</t>
  </si>
  <si>
    <t>غرب05</t>
  </si>
  <si>
    <t>مرابحه پديده شيمي غرب 14051116</t>
  </si>
  <si>
    <t>صفارس703</t>
  </si>
  <si>
    <t>صكوك اجاره فارس703-بدون ضامن</t>
  </si>
  <si>
    <t>ثهام</t>
  </si>
  <si>
    <t>صندوق س ثروت هامرز-سهام</t>
  </si>
  <si>
    <t>هرمز081</t>
  </si>
  <si>
    <t>مرابحه فولادهرمزكاردان080923</t>
  </si>
  <si>
    <t>فلوله</t>
  </si>
  <si>
    <t>لوله‌وماشين‌سازي‌ايران‌</t>
  </si>
  <si>
    <t>دي سهام</t>
  </si>
  <si>
    <t>صندوق س.دي سهام-سهام</t>
  </si>
  <si>
    <t>صدوچرخ61</t>
  </si>
  <si>
    <t>صكوك مرابحه دوچرخ61-3ماهه23%</t>
  </si>
  <si>
    <t>زيتون</t>
  </si>
  <si>
    <t>صندوق س زيتون نماد پايا- مختلط</t>
  </si>
  <si>
    <t>مرابحه عام دولت267-ش.خ071014</t>
  </si>
  <si>
    <t>عاليس072</t>
  </si>
  <si>
    <t>مرابحه عاليس-كيان070224</t>
  </si>
  <si>
    <t>صكشو603</t>
  </si>
  <si>
    <t>صكوك مرابحه پاكشو603-3ماهه23%</t>
  </si>
  <si>
    <t>ياقوت</t>
  </si>
  <si>
    <t>صندوق س ياقوت آگاه-ثابت</t>
  </si>
  <si>
    <t>وخارزم3</t>
  </si>
  <si>
    <t>كيش081</t>
  </si>
  <si>
    <t>اجاره توسعه كيش مسكن14081108</t>
  </si>
  <si>
    <t>پرديس صنعت082</t>
  </si>
  <si>
    <t>مراحبه پرديس صنعت كوروش080817</t>
  </si>
  <si>
    <t>ميهن3</t>
  </si>
  <si>
    <t>صمحتشم73</t>
  </si>
  <si>
    <t>صكوك مرابحه محتشم73-3ماهه23%</t>
  </si>
  <si>
    <t>صگل71</t>
  </si>
  <si>
    <t>صكوك مرابحه كگل71-3ماهه23%</t>
  </si>
  <si>
    <t>مرابحه عام دولت265-ش.خ070430</t>
  </si>
  <si>
    <t>تبريز512</t>
  </si>
  <si>
    <t>مشاركت ش تبريز512-3ماهه18%</t>
  </si>
  <si>
    <t>اكتوور073</t>
  </si>
  <si>
    <t>مرابحه اكتوور كو-كارون070612</t>
  </si>
  <si>
    <t>زعف0510پ19</t>
  </si>
  <si>
    <t>زعفران0510نگين تروند قاينات(پ)</t>
  </si>
  <si>
    <t>پاريز07</t>
  </si>
  <si>
    <t>مرابحه پاريزشرق070228</t>
  </si>
  <si>
    <t>مانا</t>
  </si>
  <si>
    <t>صندوق س.مانا الگوريتم-سهام</t>
  </si>
  <si>
    <t>گدنا3</t>
  </si>
  <si>
    <t>طبيعت073</t>
  </si>
  <si>
    <t>مرابحه طبيعت سبز-سپهر070311</t>
  </si>
  <si>
    <t>كگهر071</t>
  </si>
  <si>
    <t xml:space="preserve">اجاره گهرزمين اميد14070822	</t>
  </si>
  <si>
    <t>صندوق س. ثروت آفرين پارسيان-س</t>
  </si>
  <si>
    <t>صندوق س.بازده مانا-د</t>
  </si>
  <si>
    <t>آرين سلامت08</t>
  </si>
  <si>
    <t>مرابحه آرين سلامت سينا080430</t>
  </si>
  <si>
    <t>طب نوين05</t>
  </si>
  <si>
    <t>مرابحه طب پلاستيك نوين14050814</t>
  </si>
  <si>
    <t>عكرمان5</t>
  </si>
  <si>
    <t>سلف موازي استاندارد كرمان</t>
  </si>
  <si>
    <t>صاميا601</t>
  </si>
  <si>
    <t>صكوك مرابحه خزاميا601-3ماهه18%</t>
  </si>
  <si>
    <t>آبارا07</t>
  </si>
  <si>
    <t>مرابحه صنايع پمپ آبارا070224</t>
  </si>
  <si>
    <t>خليج</t>
  </si>
  <si>
    <t>صندوق س.گنجينه مينوخليج فارس-س</t>
  </si>
  <si>
    <t>عگهر3</t>
  </si>
  <si>
    <t>سلف آهن اسفنجي توسعه گل گهر</t>
  </si>
  <si>
    <t>ثروتم</t>
  </si>
  <si>
    <t>امتياز</t>
  </si>
  <si>
    <t>صندوق س.امتياز اول-س</t>
  </si>
  <si>
    <t>قم0612</t>
  </si>
  <si>
    <t>مشاركت ش قم0612-3 ماهه 20.5%</t>
  </si>
  <si>
    <t>اخزا405</t>
  </si>
  <si>
    <t>اسناد خزانه-م5بودجه04-070420</t>
  </si>
  <si>
    <t>اهداف062</t>
  </si>
  <si>
    <t>اجاره اهداف كيميا14061104</t>
  </si>
  <si>
    <t>مصفها512</t>
  </si>
  <si>
    <t xml:space="preserve">مشاركت ش اصفهان512-3ماهه18%	</t>
  </si>
  <si>
    <t>لبخند</t>
  </si>
  <si>
    <t>صندوق س. لبخند فارابي-د</t>
  </si>
  <si>
    <t>وبصادر3</t>
  </si>
  <si>
    <t>ص.ج.پويا الگوريتم70%تاديه</t>
  </si>
  <si>
    <t>كلور083</t>
  </si>
  <si>
    <t>مرابحه كلور-آواي زاگرس14080208</t>
  </si>
  <si>
    <t>عماديران</t>
  </si>
  <si>
    <t>سلف موازي كولر گازي ماديران</t>
  </si>
  <si>
    <t>ثمين</t>
  </si>
  <si>
    <t>صندوق س. ثروت افزون ثمين-س</t>
  </si>
  <si>
    <t>صقرن612</t>
  </si>
  <si>
    <t>صكوك مرابحه قرن612-3ماهه18%</t>
  </si>
  <si>
    <t>تدبير05</t>
  </si>
  <si>
    <t>اجاره ش. توسعه تدبير14050717</t>
  </si>
  <si>
    <t>كاله071</t>
  </si>
  <si>
    <t>مرابحه سوليكو كاله-تمدن070125</t>
  </si>
  <si>
    <t>آرمان سلولز06</t>
  </si>
  <si>
    <t xml:space="preserve">مرابحه آرمان سلولز يزد060710	</t>
  </si>
  <si>
    <t>صفولا006</t>
  </si>
  <si>
    <t>صكوك اجاره فولاد006-بدون ضامن</t>
  </si>
  <si>
    <t>صگل0711</t>
  </si>
  <si>
    <t>صكوك مرابحه كگل0711-3ماهه23%</t>
  </si>
  <si>
    <t>آلتون</t>
  </si>
  <si>
    <t>صندوق س. كالاي آسمان</t>
  </si>
  <si>
    <t>صباايده01</t>
  </si>
  <si>
    <t>مرابحه ايده پردازصبادانا050929</t>
  </si>
  <si>
    <t>نيان07</t>
  </si>
  <si>
    <t>مرابحه نيان الكترونيك070917</t>
  </si>
  <si>
    <t>صعبيد803</t>
  </si>
  <si>
    <t>صكوك مرابحه دعبيد803-بدون ضامن</t>
  </si>
  <si>
    <t>رز ترنج</t>
  </si>
  <si>
    <t>كگهر</t>
  </si>
  <si>
    <t>شيلد</t>
  </si>
  <si>
    <t>صندوق س مشترك پارس-مختلط</t>
  </si>
  <si>
    <t>اخزا202</t>
  </si>
  <si>
    <t>اسنادخزانه-م2بودجه02-050923</t>
  </si>
  <si>
    <t>طبيعت061</t>
  </si>
  <si>
    <t>مرابحه طبيعت سبز-كاردان060710</t>
  </si>
  <si>
    <t>آماده لذيذ08</t>
  </si>
  <si>
    <t>مرابحه آماده لذيذ 14081226</t>
  </si>
  <si>
    <t>صهمدا86</t>
  </si>
  <si>
    <t>صكوك مرابحه كهمدا86-3ماهه23%</t>
  </si>
  <si>
    <t>بازده</t>
  </si>
  <si>
    <t>صندوق س. بازده ثابت-د</t>
  </si>
  <si>
    <t>مسگون</t>
  </si>
  <si>
    <t>صندوق س.بخشي گستره فيروزه4-ب</t>
  </si>
  <si>
    <t>ميدكو3</t>
  </si>
  <si>
    <t>سامان07</t>
  </si>
  <si>
    <t>اجاره توسعه س. سامان14070524</t>
  </si>
  <si>
    <t>پيروز</t>
  </si>
  <si>
    <t>صندوق س.سهامي امين نهايت نگر-س</t>
  </si>
  <si>
    <t>كليد</t>
  </si>
  <si>
    <t xml:space="preserve">صندوق س خانه آگاه-املاك	</t>
  </si>
  <si>
    <t>آسان</t>
  </si>
  <si>
    <t>صندوق س.درآمدثابت گنجينه مهر-د</t>
  </si>
  <si>
    <t>زعف0510پ18</t>
  </si>
  <si>
    <t>زعفران0510نگين بهرامن(پ)</t>
  </si>
  <si>
    <t>صنهال2</t>
  </si>
  <si>
    <t>سمگا061</t>
  </si>
  <si>
    <t>مرابحه سمگا-دماوند060907</t>
  </si>
  <si>
    <t>آذرين</t>
  </si>
  <si>
    <t>صندوق س.بخشي فلزات كيميا-ب</t>
  </si>
  <si>
    <t>رويين</t>
  </si>
  <si>
    <t>صندوق س.بخشي صنايع سورنا1-ب</t>
  </si>
  <si>
    <t>مشير062</t>
  </si>
  <si>
    <t>مشاركت ش شيراز062-3ماهه20.5%</t>
  </si>
  <si>
    <t>صنايع ايران05</t>
  </si>
  <si>
    <t>مرابحه قطعات صنايع14051222</t>
  </si>
  <si>
    <t>راه مبين06</t>
  </si>
  <si>
    <t>مرابحه راه سازي مبين060216</t>
  </si>
  <si>
    <t>عسرو</t>
  </si>
  <si>
    <t>سلف موازي كاتاليست اكتيو آهن</t>
  </si>
  <si>
    <t>پيشران</t>
  </si>
  <si>
    <t>صندوق س پيشران پارسيان-اهرمي</t>
  </si>
  <si>
    <t>اوصتا</t>
  </si>
  <si>
    <t>صندوق انديشه ورزان صباتامين -د</t>
  </si>
  <si>
    <t>ديار</t>
  </si>
  <si>
    <t>صندوق س.مشترك ديار-سهام</t>
  </si>
  <si>
    <t>رابين</t>
  </si>
  <si>
    <t>صندوق س. توسعه افق رابين-د</t>
  </si>
  <si>
    <t>پاسار06</t>
  </si>
  <si>
    <t>اجاره انرژي پاسارگاد14060309</t>
  </si>
  <si>
    <t>دارونو</t>
  </si>
  <si>
    <t>صندوق س صنايع مفيد5-بخشي</t>
  </si>
  <si>
    <t>صتوصا702</t>
  </si>
  <si>
    <t>صكوك مرابحه وتوصا702-3ماهه23%</t>
  </si>
  <si>
    <t>آرمان ارگ071</t>
  </si>
  <si>
    <t>مرابحه آرمان ارگ-كارآمد071221</t>
  </si>
  <si>
    <t>طبيعت064</t>
  </si>
  <si>
    <t>مرابحه طبيعت سبز-كارون060710</t>
  </si>
  <si>
    <t>مقدم071</t>
  </si>
  <si>
    <t>مرابحه مقدم-لوتوس071128</t>
  </si>
  <si>
    <t>شيمي پارسيان08</t>
  </si>
  <si>
    <t>مرابحه شيميايي پارسيان080116</t>
  </si>
  <si>
    <t>آگاس</t>
  </si>
  <si>
    <t>صندوق س.هستي بخش آگاه-س</t>
  </si>
  <si>
    <t>رشدي كيان2</t>
  </si>
  <si>
    <t>نفيس</t>
  </si>
  <si>
    <t>صندوق س.كالاي صبا</t>
  </si>
  <si>
    <t>هم ارز2</t>
  </si>
  <si>
    <t>صندوق س.سهم نگر جام جم-س</t>
  </si>
  <si>
    <t>اراد243</t>
  </si>
  <si>
    <t>مرابحه عام دولت243-ش.خ070906</t>
  </si>
  <si>
    <t>حيان06</t>
  </si>
  <si>
    <t>مرابحه داروساز پارس حيان060911</t>
  </si>
  <si>
    <t>آسود</t>
  </si>
  <si>
    <t>ص.س.درآمد ثابت آرمان اقتصاد-د</t>
  </si>
  <si>
    <t>ولاعتماد</t>
  </si>
  <si>
    <t>واسپاري عصراعتماد</t>
  </si>
  <si>
    <t>سيرنگ07</t>
  </si>
  <si>
    <t>مرابحه توليدي سيرنگ070210</t>
  </si>
  <si>
    <t>صندوق س ثمرگندم-ثابت</t>
  </si>
  <si>
    <t>ليان</t>
  </si>
  <si>
    <t>صندوق س.كالاي ديباي معيار</t>
  </si>
  <si>
    <t>پيشرو051</t>
  </si>
  <si>
    <t>مرابحه اورند پيشرو-لوتوس051118</t>
  </si>
  <si>
    <t>صندوق س صدف سهام-سهام</t>
  </si>
  <si>
    <t>سافرون</t>
  </si>
  <si>
    <t>صندوق س.كالاي گنجينه زمين</t>
  </si>
  <si>
    <t>لوازم ماديران062</t>
  </si>
  <si>
    <t>مرابحه ماديران-تاك060626</t>
  </si>
  <si>
    <t>اخزا211</t>
  </si>
  <si>
    <t>اسناد خزانه-م11بودجه02-050720</t>
  </si>
  <si>
    <t>كيان2</t>
  </si>
  <si>
    <t>سيناد</t>
  </si>
  <si>
    <t>صندوق س.سپهرسودمند سينا-د</t>
  </si>
  <si>
    <t>خوشه2</t>
  </si>
  <si>
    <t>رخش</t>
  </si>
  <si>
    <t>صندوق س.سهامي ثروت البرز-س</t>
  </si>
  <si>
    <t>فرا الگوريتم</t>
  </si>
  <si>
    <t>صندوق س.بخشي فرا الگوريتم1-ب</t>
  </si>
  <si>
    <t>حيان07</t>
  </si>
  <si>
    <t>مرابحه داروساز پارس حيان060929</t>
  </si>
  <si>
    <t>صفارس880</t>
  </si>
  <si>
    <t>صكوك اجاره فارس880-بدون ضامن</t>
  </si>
  <si>
    <t>صگل00711</t>
  </si>
  <si>
    <t>صكوك مرابحه كگل00711-3ماهه23%</t>
  </si>
  <si>
    <t>صباايده02</t>
  </si>
  <si>
    <t>مرابحه ايده پردازصباتمدن050929</t>
  </si>
  <si>
    <t>همگام</t>
  </si>
  <si>
    <t>صندوق س. م.اوراق دولتي همگام-د</t>
  </si>
  <si>
    <t>كاله51</t>
  </si>
  <si>
    <t>مرابحه سوليكو كاله ملت051117</t>
  </si>
  <si>
    <t>سازه ماموت09</t>
  </si>
  <si>
    <t>مرابحه سازه پوشش ماموت14090226</t>
  </si>
  <si>
    <t>زرگر</t>
  </si>
  <si>
    <t>صندوق س.كالاي كارآمد</t>
  </si>
  <si>
    <t>حايرتهران06</t>
  </si>
  <si>
    <t>مرابحه حايرتهران060718</t>
  </si>
  <si>
    <t>صاميا606</t>
  </si>
  <si>
    <t>صكوك مرابحه خزاميا606-3ماهه23%</t>
  </si>
  <si>
    <t>سپر</t>
  </si>
  <si>
    <t>صندوق س سپر سرمايه بيدار- ثابت</t>
  </si>
  <si>
    <t>رايبد</t>
  </si>
  <si>
    <t>صشرق512</t>
  </si>
  <si>
    <t>صكوك مرابحه ثشرق512-3ماهه18%</t>
  </si>
  <si>
    <t>پتروپاك05</t>
  </si>
  <si>
    <t>مرابحه پتروپاك مشرق14051005</t>
  </si>
  <si>
    <t>نهال2</t>
  </si>
  <si>
    <t>حيان08</t>
  </si>
  <si>
    <t>مرابحه داروساز پارس حيان081203</t>
  </si>
  <si>
    <t>رسانا</t>
  </si>
  <si>
    <t>صندوق س.بخشي گستره فيروزه1-ب</t>
  </si>
  <si>
    <t>صمپنا062</t>
  </si>
  <si>
    <t>صكوك اجاره مپنا062-3ماهه23%</t>
  </si>
  <si>
    <t>صخابر006</t>
  </si>
  <si>
    <t>صكوك اجاره اخابر006-3ماهه23%</t>
  </si>
  <si>
    <t>سپيد مطهر06</t>
  </si>
  <si>
    <t>مرابحه سپيد مطهرانتخاب 060719</t>
  </si>
  <si>
    <t>طبيعت071</t>
  </si>
  <si>
    <t>مرابحه طبيعت سبز-آگاه070311</t>
  </si>
  <si>
    <t>جم3</t>
  </si>
  <si>
    <t>پتروپاريز07</t>
  </si>
  <si>
    <t>مرابحه پتروپاريزسبزالبرز071115</t>
  </si>
  <si>
    <t>تكران08</t>
  </si>
  <si>
    <t>مرابحه تكران مبرد14081126</t>
  </si>
  <si>
    <t>پاسارگاد</t>
  </si>
  <si>
    <t>پرواز06</t>
  </si>
  <si>
    <t>اجاره پرواز كيش 14060723</t>
  </si>
  <si>
    <t>اوج</t>
  </si>
  <si>
    <t>صندوق س.اوج دماوند-س</t>
  </si>
  <si>
    <t>تابان16</t>
  </si>
  <si>
    <t>اجاره تابان فرداكاران14061205</t>
  </si>
  <si>
    <t>عفراب1</t>
  </si>
  <si>
    <t>سلف ميلگرد توليدي فراب كوير</t>
  </si>
  <si>
    <t>صفولا06</t>
  </si>
  <si>
    <t>صكوك اجاره فولاد06-بدون ضامن</t>
  </si>
  <si>
    <t>نقشينه062</t>
  </si>
  <si>
    <t>مرابحه نقشينه چاپ-پاداش061020</t>
  </si>
  <si>
    <t>فراطرح061</t>
  </si>
  <si>
    <t>مرابحه فراطرح-آگاه061023</t>
  </si>
  <si>
    <t>طلوع</t>
  </si>
  <si>
    <t>صندوق س.طلوع نوين ثابت-د</t>
  </si>
  <si>
    <t>ثنا</t>
  </si>
  <si>
    <t>صندوق س.زرين نهال ثنا-س</t>
  </si>
  <si>
    <t>سيمانا</t>
  </si>
  <si>
    <t>صندوق س صنايع دايا2-بخشي</t>
  </si>
  <si>
    <t>صفارس84</t>
  </si>
  <si>
    <t>صكوك اجاره فارس84-بدون ضامن</t>
  </si>
  <si>
    <t>هم ارز</t>
  </si>
  <si>
    <t>عاليفرد075</t>
  </si>
  <si>
    <t>مرابحه عاليفرد-كاردان14071222</t>
  </si>
  <si>
    <t>گنجينه</t>
  </si>
  <si>
    <t>صدشت705</t>
  </si>
  <si>
    <t>صكوك  مرابحه غدشت705-3ماهه23%</t>
  </si>
  <si>
    <t>جوانه كوچك</t>
  </si>
  <si>
    <t>صندوق س.جوانه كوچك گندم-سهام</t>
  </si>
  <si>
    <t>رابين2</t>
  </si>
  <si>
    <t>پناه</t>
  </si>
  <si>
    <t>صندوق س.بخشي شايسته فردا-ب</t>
  </si>
  <si>
    <t>تشتاد</t>
  </si>
  <si>
    <t>صنايع توليدي اشتاد ايران‌</t>
  </si>
  <si>
    <t>ايران ريس08</t>
  </si>
  <si>
    <t>مرابحه ايران ريس البرز080608</t>
  </si>
  <si>
    <t>داريوش</t>
  </si>
  <si>
    <t>صندوق س. ثروت داريوش -س</t>
  </si>
  <si>
    <t>مشهد72</t>
  </si>
  <si>
    <t>مشاركت ش مشهد72-3ماهه23%</t>
  </si>
  <si>
    <t>افران2</t>
  </si>
  <si>
    <t>صندوق س افرا نماد پايدار-ثابت</t>
  </si>
  <si>
    <t>تيام</t>
  </si>
  <si>
    <t>استيل</t>
  </si>
  <si>
    <t>صندوق س صنايع مفيد1- بخشي</t>
  </si>
  <si>
    <t>اتوداريوش</t>
  </si>
  <si>
    <t>صندوق س. بخشي داريوش2-ب</t>
  </si>
  <si>
    <t>گلچين07</t>
  </si>
  <si>
    <t>مرابحه گلچين رسانه 14071028</t>
  </si>
  <si>
    <t>طبيعت062</t>
  </si>
  <si>
    <t>مرابحه طبيعت سبز-كيميا060710</t>
  </si>
  <si>
    <t>اهرم</t>
  </si>
  <si>
    <t>صندوق س سهامي كاريزما- اهرمي</t>
  </si>
  <si>
    <t>صاميا051</t>
  </si>
  <si>
    <t>صكوك مرابحه خزاميا051-3ماهه18%</t>
  </si>
  <si>
    <t>اراد2444</t>
  </si>
  <si>
    <t>مرابحه عام دولت244-ش.خ070913</t>
  </si>
  <si>
    <t>صلقما903</t>
  </si>
  <si>
    <t>صكوك مرابحه دلقما903-3ماهه23%</t>
  </si>
  <si>
    <t>تپسي</t>
  </si>
  <si>
    <t>پيشگامان فن آوري و دانش آراميس</t>
  </si>
  <si>
    <t>همسنگ</t>
  </si>
  <si>
    <t>صندوق س. شاخصي هم وزن همسنگ-س</t>
  </si>
  <si>
    <t>كاريس</t>
  </si>
  <si>
    <t>صندوق س.سپند كاريزما-س</t>
  </si>
  <si>
    <t>بنكوداريوش</t>
  </si>
  <si>
    <t>صندوق س.بخشي داريوش3-ب</t>
  </si>
  <si>
    <t>فيروزا</t>
  </si>
  <si>
    <t>صندوق ارمغان فيروزه آسيا-ثابت</t>
  </si>
  <si>
    <t>نيك گستر</t>
  </si>
  <si>
    <t>صندوق س توسعه سرمايه نيكي-ثابت</t>
  </si>
  <si>
    <t>ضمان</t>
  </si>
  <si>
    <t>صندوق تضمين ا.سرمايه كاريزما-م</t>
  </si>
  <si>
    <t>ثابت اكسيژن</t>
  </si>
  <si>
    <t>پيشرو07</t>
  </si>
  <si>
    <t xml:space="preserve">مرابحه اورند پيشرو070403	</t>
  </si>
  <si>
    <t>دريا</t>
  </si>
  <si>
    <t>صندوق س درياي آبي فيروزه-سهام</t>
  </si>
  <si>
    <t>زپارس</t>
  </si>
  <si>
    <t>ملي كشت و صنعت و دامپروري پارس</t>
  </si>
  <si>
    <t>جام طلا</t>
  </si>
  <si>
    <t>صندوق س.مبتني بر كالاي فارابي</t>
  </si>
  <si>
    <t>طب نوين08</t>
  </si>
  <si>
    <t>مرابحه طب پلاستيك نوين 080514</t>
  </si>
  <si>
    <t>تملي1403</t>
  </si>
  <si>
    <t>امتيازتسهيلات ملي سال 1403</t>
  </si>
  <si>
    <t>تابان23</t>
  </si>
  <si>
    <t>اجاره تابان فردا نوين14080418</t>
  </si>
  <si>
    <t>پوراطب071</t>
  </si>
  <si>
    <t>مرابحه پوراطب گستر-آگاه070106</t>
  </si>
  <si>
    <t>مشهد7120</t>
  </si>
  <si>
    <t>مشاركت ش مشهد7120-3ماهه23%</t>
  </si>
  <si>
    <t>جواهر</t>
  </si>
  <si>
    <t>مشهد052</t>
  </si>
  <si>
    <t>مشاركت ش مشهد052-3ماهه18%</t>
  </si>
  <si>
    <t>زر</t>
  </si>
  <si>
    <t>صندوق س.كالاي اميد ثروت ايران</t>
  </si>
  <si>
    <t>آكورد</t>
  </si>
  <si>
    <t>صندوق س. آرمان آتي كوثر-د</t>
  </si>
  <si>
    <t>صصيكو081</t>
  </si>
  <si>
    <t>صكوك اجاره تاصيكو081-بدون ضامن</t>
  </si>
  <si>
    <t>هم وزن</t>
  </si>
  <si>
    <t>پايدار06</t>
  </si>
  <si>
    <t>اجاره پديده ش. پايدار14060510</t>
  </si>
  <si>
    <t>تاصيكو3</t>
  </si>
  <si>
    <t>صمپنا711</t>
  </si>
  <si>
    <t>صكوك اجاره مپنا711-3ماهه23%</t>
  </si>
  <si>
    <t>گلستان08</t>
  </si>
  <si>
    <t>مرابحه گلستان 14080316</t>
  </si>
  <si>
    <t>سوين09</t>
  </si>
  <si>
    <t>مرابحه سوين جوجه زرين14090208</t>
  </si>
  <si>
    <t>فپرديس09</t>
  </si>
  <si>
    <t>مرابحه پرديس آذربايجان090228</t>
  </si>
  <si>
    <t>عديزل2</t>
  </si>
  <si>
    <t>سلف كاميونت بهمن ديزل</t>
  </si>
  <si>
    <t>طبيعت072</t>
  </si>
  <si>
    <t>مرابحه طبيعت سبز-مفيد070311</t>
  </si>
  <si>
    <t>طلوع2</t>
  </si>
  <si>
    <t>سپينود</t>
  </si>
  <si>
    <t>صندوق س.سهامي سپينود-س</t>
  </si>
  <si>
    <t>بلور061</t>
  </si>
  <si>
    <t xml:space="preserve">مرابحه بلورنوري-آگاه060403	</t>
  </si>
  <si>
    <t>صشستا512</t>
  </si>
  <si>
    <t>صكوك اجاره شستا512-6ماهه20%</t>
  </si>
  <si>
    <t>مصفها72</t>
  </si>
  <si>
    <t>مشاركت ش اصفهان72-3ماهه23%</t>
  </si>
  <si>
    <t>اتوآگاه</t>
  </si>
  <si>
    <t>صندوق س صنايع آگاه2-بخشي</t>
  </si>
  <si>
    <t>تابان27</t>
  </si>
  <si>
    <t>اجاره تابان فردا تمدن14080919</t>
  </si>
  <si>
    <t>صفولا12</t>
  </si>
  <si>
    <t>صكوك اجاره فولاد12-بدون ضامن</t>
  </si>
  <si>
    <t>زروان</t>
  </si>
  <si>
    <t>صندوق س.كالاي ويستا</t>
  </si>
  <si>
    <t>صاف فيلم51</t>
  </si>
  <si>
    <t>مرابحه صاف فيلم كاردان051116</t>
  </si>
  <si>
    <t>مصفها602</t>
  </si>
  <si>
    <t>مشاركت ش اصفهان602-3ماهه20.5%</t>
  </si>
  <si>
    <t>كاله53</t>
  </si>
  <si>
    <t>مرابحه سوليكو كاله كارون051117</t>
  </si>
  <si>
    <t>تصميم</t>
  </si>
  <si>
    <t>پرتوسا</t>
  </si>
  <si>
    <t>صندوق س.سهامي پرتو آمال-س</t>
  </si>
  <si>
    <t>صفارس8</t>
  </si>
  <si>
    <t>صكوك اجاره فارس8-بدون ضامن</t>
  </si>
  <si>
    <t>نشان</t>
  </si>
  <si>
    <t>صندوق س. نشان هامرز-د</t>
  </si>
  <si>
    <t>اصيل</t>
  </si>
  <si>
    <t>صگل059</t>
  </si>
  <si>
    <t xml:space="preserve">صكوك اجاره كگل059-بدون ضامن	</t>
  </si>
  <si>
    <t>ترنج ثابت</t>
  </si>
  <si>
    <t>صاكو903</t>
  </si>
  <si>
    <t>صكوك مرابحه آكو903-3ماهه23%</t>
  </si>
  <si>
    <t>كگهر073</t>
  </si>
  <si>
    <t xml:space="preserve">اجاره گهرزمين كاردان14070822	</t>
  </si>
  <si>
    <t>توان</t>
  </si>
  <si>
    <t>صندوق س. اهرمي توان مفيد-س</t>
  </si>
  <si>
    <t>مشهد512</t>
  </si>
  <si>
    <t>مشاركت ش مشهد512-3ماهه18%</t>
  </si>
  <si>
    <t>زرين2</t>
  </si>
  <si>
    <t>صندوق س. سهام زرين كوروش-س</t>
  </si>
  <si>
    <t>صالبر610</t>
  </si>
  <si>
    <t>صكوك مرابحه دالبر610-3ماهه23%</t>
  </si>
  <si>
    <t>عرش</t>
  </si>
  <si>
    <t>صندوق س.عرش ميلاد شهر-س</t>
  </si>
  <si>
    <t>صتوصا712</t>
  </si>
  <si>
    <t>صكوك مرابحه وتوصا712-3ماهه23%</t>
  </si>
  <si>
    <t>ويستا</t>
  </si>
  <si>
    <t>صندوق س. ويستا -س</t>
  </si>
  <si>
    <t>مشهد720</t>
  </si>
  <si>
    <t>مشاركت ش مشهد720-3ماهه23%</t>
  </si>
  <si>
    <t>كرمان5125</t>
  </si>
  <si>
    <t>مرابحه كرمان موتور-ويستا051223</t>
  </si>
  <si>
    <t>چاشني</t>
  </si>
  <si>
    <t>صندوق س صنايع ويستا2-بخشي</t>
  </si>
  <si>
    <t>اونيكس</t>
  </si>
  <si>
    <t>ص.س.درآمد ثابت كيميا-د</t>
  </si>
  <si>
    <t>عبهمن1</t>
  </si>
  <si>
    <t>سلف موازي ون باري بهمن موتور</t>
  </si>
  <si>
    <t>صدوص810</t>
  </si>
  <si>
    <t>صكوك مرابحه شدوص810-3ماهه23%</t>
  </si>
  <si>
    <t>فولاي</t>
  </si>
  <si>
    <t>صنايع فولاد آلياژي يزد</t>
  </si>
  <si>
    <t>ديوان</t>
  </si>
  <si>
    <t>صندوق خصوصي ديوان ارزش35%تاديه</t>
  </si>
  <si>
    <t>مهان03</t>
  </si>
  <si>
    <t>اجاره مهرآيندگان لوتوس0507</t>
  </si>
  <si>
    <t>طبيعت074</t>
  </si>
  <si>
    <t>مرابحه طبيعت سبز-دانا070311</t>
  </si>
  <si>
    <t>بم خودرو082</t>
  </si>
  <si>
    <t>مرابحه خ.ت بم خودرو نوين080325</t>
  </si>
  <si>
    <t>اوصتا4</t>
  </si>
  <si>
    <t>هميان</t>
  </si>
  <si>
    <t>صندوق س.پشتوانه طلا هميان سپهر</t>
  </si>
  <si>
    <t>تسه1405</t>
  </si>
  <si>
    <t>امتياز تسهيلات مسكن سال1405</t>
  </si>
  <si>
    <t>صكوير606</t>
  </si>
  <si>
    <t>صكوك مرابحه كوير606-6ماهه 18%</t>
  </si>
  <si>
    <t>آرام</t>
  </si>
  <si>
    <t>صندوق س شاخصي آرام مفيد</t>
  </si>
  <si>
    <t>ماكان</t>
  </si>
  <si>
    <t xml:space="preserve">ص.س.درآمدثابت ثروت ماكان-د	</t>
  </si>
  <si>
    <t>صبهساز76</t>
  </si>
  <si>
    <t>صكوك اجاره ثبهساز76-3ماهه23%</t>
  </si>
  <si>
    <t>هجرت</t>
  </si>
  <si>
    <t>پخش هجرت</t>
  </si>
  <si>
    <t>تبريز062</t>
  </si>
  <si>
    <t>مشاركت ش تبريز062-3ماهه20.5%</t>
  </si>
  <si>
    <t>نوآفرين06</t>
  </si>
  <si>
    <t>اجاره ريل پردازنوآفرين14061210</t>
  </si>
  <si>
    <t>تابان25</t>
  </si>
  <si>
    <t>اجاره تابان فردا زاگرس14070603</t>
  </si>
  <si>
    <t>مهان05</t>
  </si>
  <si>
    <t>اجاره مهرآيندگان سپهر0507</t>
  </si>
  <si>
    <t>پارند</t>
  </si>
  <si>
    <t>صندوق س. پارند پايدار سپهر</t>
  </si>
  <si>
    <t>طبيعت075</t>
  </si>
  <si>
    <t>مرابحه طبيعت سبز-تصميم070311</t>
  </si>
  <si>
    <t>دامين3</t>
  </si>
  <si>
    <t>شدوص3</t>
  </si>
  <si>
    <t>زرين فولاد082</t>
  </si>
  <si>
    <t>مرابحه زرين فولاد-لوتوس080916</t>
  </si>
  <si>
    <t>اكتان</t>
  </si>
  <si>
    <t>صندوق س صنايع مفيد4-بخشي</t>
  </si>
  <si>
    <t>صفارس007</t>
  </si>
  <si>
    <t>صكوك اجاره فارس007-بدون ضامن</t>
  </si>
  <si>
    <t>صشاد705</t>
  </si>
  <si>
    <t>صكوك مرابحه شادگان705-3ماهه23%</t>
  </si>
  <si>
    <t>اهداف071</t>
  </si>
  <si>
    <t>اجاره اهداف لوتوس 14070531</t>
  </si>
  <si>
    <t>صصيكو801</t>
  </si>
  <si>
    <t>صكوك اجاره تاصيكو801-بدون ضامن</t>
  </si>
  <si>
    <t>تابان11</t>
  </si>
  <si>
    <t>اجاره تابان فردا فارس14060627</t>
  </si>
  <si>
    <t>الكتروماديران062</t>
  </si>
  <si>
    <t>مرابحه الكتروماديرا-كيان060626</t>
  </si>
  <si>
    <t>شميم</t>
  </si>
  <si>
    <t>صندوق س.درآمدثابت شميم تابان-د</t>
  </si>
  <si>
    <t>پتروداريوش</t>
  </si>
  <si>
    <t>صندوق س. بخشي داريوش1-ب</t>
  </si>
  <si>
    <t>صفولا012</t>
  </si>
  <si>
    <t>صكوك اجاره فولاد012-بدون ضامن</t>
  </si>
  <si>
    <t>اهواز512</t>
  </si>
  <si>
    <t>مشاركت ش اهواز512-3ماهه18%</t>
  </si>
  <si>
    <t>دامون</t>
  </si>
  <si>
    <t>ص.س. درآمد ثابت آسمان دامون-د</t>
  </si>
  <si>
    <t>وآفر</t>
  </si>
  <si>
    <t>سرمايه گذاري ارزش آفرينان</t>
  </si>
  <si>
    <t>نفت سرو07</t>
  </si>
  <si>
    <t>مرابحه نفت و گاز سرو071226</t>
  </si>
  <si>
    <t>امرالد</t>
  </si>
  <si>
    <t>صندوق س. كالاي كيميا</t>
  </si>
  <si>
    <t>پيشكو08</t>
  </si>
  <si>
    <t>مرابحه پترو ايمن شريف080320</t>
  </si>
  <si>
    <t>افق قلعه06</t>
  </si>
  <si>
    <t>مرابحه افق قلعه پارسيان060722</t>
  </si>
  <si>
    <t>آكام</t>
  </si>
  <si>
    <t>صندوق س. نوع دوم آكام-د</t>
  </si>
  <si>
    <t>ضاطلس062203</t>
  </si>
  <si>
    <t>اختيارخ اطلس-100000-14050622</t>
  </si>
  <si>
    <t>رافزا3</t>
  </si>
  <si>
    <t>دتوليد06</t>
  </si>
  <si>
    <t xml:space="preserve">مرابحه توليد دارو061030	</t>
  </si>
  <si>
    <t>ضفزر506</t>
  </si>
  <si>
    <t>اختيارخ فزر-150000-14050525</t>
  </si>
  <si>
    <t>طموج527</t>
  </si>
  <si>
    <t>اختيارف موج-80000-14050525</t>
  </si>
  <si>
    <t>طمخا7094</t>
  </si>
  <si>
    <t>طمخا5019</t>
  </si>
  <si>
    <t>طهرم6042</t>
  </si>
  <si>
    <t>اختيارف اهرم-30000-1405/06/25</t>
  </si>
  <si>
    <t>طموج516</t>
  </si>
  <si>
    <t>اختيارف موج-40000-14050525</t>
  </si>
  <si>
    <t>ضموج644</t>
  </si>
  <si>
    <t>اختيارخ موج-46000-14050629</t>
  </si>
  <si>
    <t>ضطعام610</t>
  </si>
  <si>
    <t>اختيارخ طعام-30000-14050615</t>
  </si>
  <si>
    <t>ضراز8001</t>
  </si>
  <si>
    <t>اختيارخ هم تراز-12000-05/08/06</t>
  </si>
  <si>
    <t>افران</t>
  </si>
  <si>
    <t>تابان08</t>
  </si>
  <si>
    <t>اجاره تابان فردا سپهر14050803</t>
  </si>
  <si>
    <t>طتاص7007</t>
  </si>
  <si>
    <t>اختيارف تاصيكو-14000-05/07/08</t>
  </si>
  <si>
    <t>طمخا5021</t>
  </si>
  <si>
    <t>كرمان5121</t>
  </si>
  <si>
    <t>مرابحه كرمان موتور-سرآمد051223</t>
  </si>
  <si>
    <t>عغدير6</t>
  </si>
  <si>
    <t>سلف موازي آهن اسفنجي غدير</t>
  </si>
  <si>
    <t>طموج637</t>
  </si>
  <si>
    <t>اختيارف موج-32000-14050629</t>
  </si>
  <si>
    <t>ضهرم4027</t>
  </si>
  <si>
    <t>اختيارخ اهرم-28000-1405/04/31</t>
  </si>
  <si>
    <t>طتاص7004</t>
  </si>
  <si>
    <t>اختيارف تاصيكو-11000-05/07/08</t>
  </si>
  <si>
    <t>عبيلت2</t>
  </si>
  <si>
    <t>سلف شمش بيلت خوزستان</t>
  </si>
  <si>
    <t>نانو دارو08</t>
  </si>
  <si>
    <t>مرابحه نانو دارو پژوهان080527</t>
  </si>
  <si>
    <t>ضموج638</t>
  </si>
  <si>
    <t>اختيارخ موج-34000-14050629</t>
  </si>
  <si>
    <t>ضاطلس052507</t>
  </si>
  <si>
    <t>اختيارخ اطلس-140000-14050525</t>
  </si>
  <si>
    <t>ضستا6046</t>
  </si>
  <si>
    <t>اختيارخ شستا-1800-1405/06/11</t>
  </si>
  <si>
    <t>جهش</t>
  </si>
  <si>
    <t>صندوق سهامي جهش فارابي-اهرمي</t>
  </si>
  <si>
    <t>صدارو901</t>
  </si>
  <si>
    <t>صكوك مرابحه دارو901-بدون ضامن</t>
  </si>
  <si>
    <t>كاسپين07</t>
  </si>
  <si>
    <t>مرابحه كاسپين تامين 070625</t>
  </si>
  <si>
    <t>اخزا402</t>
  </si>
  <si>
    <t>اسناد خزانه-م2بودجه04-070614</t>
  </si>
  <si>
    <t>غمايه06</t>
  </si>
  <si>
    <t>مرابحه خميرمايه رضوي060605</t>
  </si>
  <si>
    <t>مرابحه عام دولت233-ش.خ061001</t>
  </si>
  <si>
    <t>رانفور3</t>
  </si>
  <si>
    <t>ضخود6056</t>
  </si>
  <si>
    <t>اختيارخ خودرو-750-1405/06/04</t>
  </si>
  <si>
    <t>ضجار6045</t>
  </si>
  <si>
    <t>اختيارخ وتجارت-700-1405/06/18</t>
  </si>
  <si>
    <t>عصبانور2</t>
  </si>
  <si>
    <t>سلف استاندارد گندله صبانور</t>
  </si>
  <si>
    <t>زاگرس دارو06</t>
  </si>
  <si>
    <t>مرابحه زاگرس داروپارسيان060530</t>
  </si>
  <si>
    <t>صاهن67</t>
  </si>
  <si>
    <t>صكوك مرابحه خاهن67-3ماهه23%</t>
  </si>
  <si>
    <t>صندوق س.پاداش سرمايه پارس-س</t>
  </si>
  <si>
    <t>شهر فرش062</t>
  </si>
  <si>
    <t>مرابحه شهر فرش-مفيد060921</t>
  </si>
  <si>
    <t>ضملت5028</t>
  </si>
  <si>
    <t>اختيارخ وبملت-900-1405/05/20</t>
  </si>
  <si>
    <t>طمخا5009</t>
  </si>
  <si>
    <t>طستا5049</t>
  </si>
  <si>
    <t>اختيارف شستا-2400-1405/05/14</t>
  </si>
  <si>
    <t>ضطعام606</t>
  </si>
  <si>
    <t>اختيارخ طعام-22000-14050615</t>
  </si>
  <si>
    <t>نقرين</t>
  </si>
  <si>
    <t>اراد2244</t>
  </si>
  <si>
    <t>مرابحه عام دولت224-ش.خ070531</t>
  </si>
  <si>
    <t>بزرگ</t>
  </si>
  <si>
    <t>صندوق س.سرزمين بزرگ بازار-س</t>
  </si>
  <si>
    <t>هستي08</t>
  </si>
  <si>
    <t>مرابحه هستي آرين تامين14080925</t>
  </si>
  <si>
    <t>ايليا05</t>
  </si>
  <si>
    <t>مرابحه صنايع خودروايليا051219</t>
  </si>
  <si>
    <t>ريتون</t>
  </si>
  <si>
    <t>صندوق س. كالاي پاسارگاد</t>
  </si>
  <si>
    <t>صپيد507</t>
  </si>
  <si>
    <t>صكوك مرابحه سپيد507-بدون ضامن</t>
  </si>
  <si>
    <t>مشهد0612</t>
  </si>
  <si>
    <t>مشاركت ش مشهد0612-3ماهه20.5%</t>
  </si>
  <si>
    <t>ثمر</t>
  </si>
  <si>
    <t>اعتبار2</t>
  </si>
  <si>
    <t>طستا7055</t>
  </si>
  <si>
    <t>اختيارف شستا-1900-1405/07/15</t>
  </si>
  <si>
    <t>پكاشيمي071</t>
  </si>
  <si>
    <t>مرابحه پكاشيمي-لوتوس071219</t>
  </si>
  <si>
    <t>كارين</t>
  </si>
  <si>
    <t>صندوق س نگين سامان-ثابت</t>
  </si>
  <si>
    <t>صتاير703</t>
  </si>
  <si>
    <t>صكوك مرابحه پتاير703-بدون ضامن</t>
  </si>
  <si>
    <t>رزگلد</t>
  </si>
  <si>
    <t>صندوق س.پشتوانه طلا آرمان آتي</t>
  </si>
  <si>
    <t>صفارس088</t>
  </si>
  <si>
    <t>صكوك اجاره فارس088-بدون ضامن</t>
  </si>
  <si>
    <t>طبيعت076</t>
  </si>
  <si>
    <t>مرابحه طبيعت-ترازويستا070311</t>
  </si>
  <si>
    <t>خاتم</t>
  </si>
  <si>
    <t>صندوق س خاتم ايساتيس پويا-ثابت</t>
  </si>
  <si>
    <t>صفارس806</t>
  </si>
  <si>
    <t>صكوك اجاره فارس806-بدون ضامن</t>
  </si>
  <si>
    <t>مشير052</t>
  </si>
  <si>
    <t>مشاركت ش شيراز052-3ماهه18%</t>
  </si>
  <si>
    <t>بلوط2</t>
  </si>
  <si>
    <t>ضخود6054</t>
  </si>
  <si>
    <t>اختيارخ خودرو-650-1405/06/04</t>
  </si>
  <si>
    <t>ضاطلس052510</t>
  </si>
  <si>
    <t>اختيارخ اطلس-170000-14050525</t>
  </si>
  <si>
    <t>رويش همراه</t>
  </si>
  <si>
    <t>صندوق س رويش همراه سرمايه-سهام</t>
  </si>
  <si>
    <t>صتاير073</t>
  </si>
  <si>
    <t>صكوك مرابحه پتاير073-بدون ضامن</t>
  </si>
  <si>
    <t>فجهان061</t>
  </si>
  <si>
    <t>مرابحه جهان فولاد-تمدن060501</t>
  </si>
  <si>
    <t>طملت6018</t>
  </si>
  <si>
    <t>اختيارف وبملت-1000-1405/06/18</t>
  </si>
  <si>
    <t>الكتروماديران061</t>
  </si>
  <si>
    <t>مرابحه الكتروماديراكارون060626</t>
  </si>
  <si>
    <t>مشير512</t>
  </si>
  <si>
    <t>مشاركت ش شيراز512-3ماهه18%</t>
  </si>
  <si>
    <t>ضمخا7099</t>
  </si>
  <si>
    <t>طهرم4029</t>
  </si>
  <si>
    <t>اختيارف اهرم-34000-1405/04/31</t>
  </si>
  <si>
    <t>كوروش08</t>
  </si>
  <si>
    <t>مرابحه صنعت خشكبار كوروش080726</t>
  </si>
  <si>
    <t>صفولا005</t>
  </si>
  <si>
    <t>صكوك اجاره فولاد005-بدون ضامن</t>
  </si>
  <si>
    <t>ضهرم4026</t>
  </si>
  <si>
    <t>اختيارخ اهرم-26000-1405/04/31</t>
  </si>
  <si>
    <t>پاداش2</t>
  </si>
  <si>
    <t>طتوان518</t>
  </si>
  <si>
    <t>اختيارف توان-38000-14050525</t>
  </si>
  <si>
    <t>فناپ زيرساخت07</t>
  </si>
  <si>
    <t>مرابحه فناوري پاسارگاد070211</t>
  </si>
  <si>
    <t>رونق</t>
  </si>
  <si>
    <t>صندوق س.رونق كسرا-سهام</t>
  </si>
  <si>
    <t>طهرم5028</t>
  </si>
  <si>
    <t>اختيارف اهرم-28000-1405/05/28</t>
  </si>
  <si>
    <t>زعف0510پ05</t>
  </si>
  <si>
    <t>زعفران0510نگين زرين(پ)</t>
  </si>
  <si>
    <t>طجوا6004</t>
  </si>
  <si>
    <t>اختيارف جوانه.ك-15000-05/06/25</t>
  </si>
  <si>
    <t>ضهرم5035</t>
  </si>
  <si>
    <t>اختيارخ اهرم-56000-1405/05/28</t>
  </si>
  <si>
    <t>مكرج712</t>
  </si>
  <si>
    <t>مشاركت ش كرج712-3ماهه23%</t>
  </si>
  <si>
    <t>اكتوور072</t>
  </si>
  <si>
    <t>مرابحه اكتوور كو-فارس070612</t>
  </si>
  <si>
    <t>بسپار06</t>
  </si>
  <si>
    <t>مرابحه بسپارشيمي سپيدان061020</t>
  </si>
  <si>
    <t>نخل</t>
  </si>
  <si>
    <t>صندوق س.خليج فارس-د</t>
  </si>
  <si>
    <t>وتجارت3</t>
  </si>
  <si>
    <t>طستا5041</t>
  </si>
  <si>
    <t>اختيارف شستا-1400-1405/05/14</t>
  </si>
  <si>
    <t>صترا710</t>
  </si>
  <si>
    <t>صكوك مرابحه بترانس710-3ماهه23%</t>
  </si>
  <si>
    <t>طتوان526</t>
  </si>
  <si>
    <t>اختيارف توان-60000-14050525</t>
  </si>
  <si>
    <t>مشير602</t>
  </si>
  <si>
    <t>مشاركت ش شيراز602-3ماهه20.5%</t>
  </si>
  <si>
    <t>طتوان529</t>
  </si>
  <si>
    <t>اختيارف توان-75000-14050525</t>
  </si>
  <si>
    <t>هاي وب3</t>
  </si>
  <si>
    <t>ضموج520</t>
  </si>
  <si>
    <t>اختيارخ موج-48000-14050525</t>
  </si>
  <si>
    <t>مصفها062</t>
  </si>
  <si>
    <t>مشاركت ش اصفهان062-3ماهه 20.5%</t>
  </si>
  <si>
    <t>آوند</t>
  </si>
  <si>
    <t>صندوق س. آوند مفيد-د</t>
  </si>
  <si>
    <t>سپنتارود</t>
  </si>
  <si>
    <t>ص.س.د.ثابت ماه آفريد سپينود-د</t>
  </si>
  <si>
    <t>ضملت6015</t>
  </si>
  <si>
    <t>اختيارخ وبملت-750-1405/06/18</t>
  </si>
  <si>
    <t>فارماني</t>
  </si>
  <si>
    <t>صندوق س آرمان آتي- بخشي</t>
  </si>
  <si>
    <t>طموج647</t>
  </si>
  <si>
    <t>اختيارف موج-55000-14050629</t>
  </si>
  <si>
    <t>طملت6019</t>
  </si>
  <si>
    <t>اختيارف وبملت-1100-1405/06/18</t>
  </si>
  <si>
    <t>مشهد52</t>
  </si>
  <si>
    <t>مشاركت ش مشهد52-3ماهه18%</t>
  </si>
  <si>
    <t>صنوآور64</t>
  </si>
  <si>
    <t>صكوك اجاره فناپ64-3ماهه23%</t>
  </si>
  <si>
    <t>درسا</t>
  </si>
  <si>
    <t>صندوق سرمايه گذاري درسا - سهام</t>
  </si>
  <si>
    <t>طمخا7101</t>
  </si>
  <si>
    <t>ضاطلس060908</t>
  </si>
  <si>
    <t>اختيارخ اطلس-150000-14050609</t>
  </si>
  <si>
    <t>ارزش مسكن</t>
  </si>
  <si>
    <t>ص.س.املاك ومستغلات ارزش مسكن</t>
  </si>
  <si>
    <t>مصفها072</t>
  </si>
  <si>
    <t>مشاركت ش اصفهان072-3ماهه23%</t>
  </si>
  <si>
    <t>عبيلت1</t>
  </si>
  <si>
    <t>سلف شمش بيلت فولاد خوزستان</t>
  </si>
  <si>
    <t>ضطعام608</t>
  </si>
  <si>
    <t>اختيارخ طعام-26000-14050615</t>
  </si>
  <si>
    <t>عقير2</t>
  </si>
  <si>
    <t>سلف بهين پالايش قشم</t>
  </si>
  <si>
    <t>ضجوا6003</t>
  </si>
  <si>
    <t>اختيارخ جوانه.ك-14000-05/06/25</t>
  </si>
  <si>
    <t>ضراز6004</t>
  </si>
  <si>
    <t>اختيارخ هم تراز-13000-05/06/04</t>
  </si>
  <si>
    <t>ضتاص5002</t>
  </si>
  <si>
    <t>اختيارخ تاصيكو-7500-05/05/07</t>
  </si>
  <si>
    <t>ضهرم4033</t>
  </si>
  <si>
    <t>اختيارخ اهرم-50000-1405/04/31</t>
  </si>
  <si>
    <t>ستاره</t>
  </si>
  <si>
    <t>ص.س.ستاره پايدارسپهر-د</t>
  </si>
  <si>
    <t>طمخا7091</t>
  </si>
  <si>
    <t>مكرج512</t>
  </si>
  <si>
    <t>مشاركت ش كرج512-3ماهه18%</t>
  </si>
  <si>
    <t>سورنافود</t>
  </si>
  <si>
    <t>صندوق س.بخشي صنايع سورنا2-ب</t>
  </si>
  <si>
    <t>ضخود6046</t>
  </si>
  <si>
    <t>اختيارخ خودرو-340-1405/06/04</t>
  </si>
  <si>
    <t>طتوان522</t>
  </si>
  <si>
    <t>اختيارف توان-46000-14050525</t>
  </si>
  <si>
    <t>آبنوس</t>
  </si>
  <si>
    <t>صندوق س.سهامي سهام نگر كيميا-س</t>
  </si>
  <si>
    <t>آميتيس</t>
  </si>
  <si>
    <t>صندوق س.سهامي درخشان آميتيس-س</t>
  </si>
  <si>
    <t>پتروفارس</t>
  </si>
  <si>
    <t>صندوق س.بخشي خبره خليج فارس-ب</t>
  </si>
  <si>
    <t>طموج523</t>
  </si>
  <si>
    <t>اختيارف موج-60000-14050525</t>
  </si>
  <si>
    <t>بهين رو</t>
  </si>
  <si>
    <t>صندوق س صنايع ويستا1-بخشي</t>
  </si>
  <si>
    <t>حاير08</t>
  </si>
  <si>
    <t>مرابحه حاير پلاست080611</t>
  </si>
  <si>
    <t>آرين پارس07</t>
  </si>
  <si>
    <t>مرابحه آرين پارس موتور070807</t>
  </si>
  <si>
    <t>الكتروماديران063</t>
  </si>
  <si>
    <t>مرابحه الكتروماديرا-تاك060626</t>
  </si>
  <si>
    <t>البرز05</t>
  </si>
  <si>
    <t>اجاره ريلي البرز نيرو14051223</t>
  </si>
  <si>
    <t>واريان07</t>
  </si>
  <si>
    <t>مرابحه واريان فارمد070607</t>
  </si>
  <si>
    <t>طموج517</t>
  </si>
  <si>
    <t>اختيارف موج-42000-14050525</t>
  </si>
  <si>
    <t>ضتاص7005</t>
  </si>
  <si>
    <t>اختيارخ تاصيكو-12000-05/07/08</t>
  </si>
  <si>
    <t>طجوا6000</t>
  </si>
  <si>
    <t>اختيارف جوانه.ك-11000-05/06/25</t>
  </si>
  <si>
    <t>حيان072</t>
  </si>
  <si>
    <t>مرابحه داروساز پارس حيان070914</t>
  </si>
  <si>
    <t>انتخاب092</t>
  </si>
  <si>
    <t>مرابحه انتخاب آرمان دانا090309</t>
  </si>
  <si>
    <t>صبهنوش76</t>
  </si>
  <si>
    <t xml:space="preserve">صكوك مرابحه غبهنوش76-3ماهه23%	</t>
  </si>
  <si>
    <t>طلا</t>
  </si>
  <si>
    <t>فاران06</t>
  </si>
  <si>
    <t>مرابحه داروسازي فاران14060510</t>
  </si>
  <si>
    <t>هنيكو07</t>
  </si>
  <si>
    <t>مرابحه هامون نايزه070606</t>
  </si>
  <si>
    <t>ضتوان633</t>
  </si>
  <si>
    <t>اختيارخ توان-44000-14050629</t>
  </si>
  <si>
    <t>كارون072</t>
  </si>
  <si>
    <t>مرابحه كارون-ملل070520</t>
  </si>
  <si>
    <t>صترا806</t>
  </si>
  <si>
    <t>صكوك مرابحه بترانس806-3ماهه23%</t>
  </si>
  <si>
    <t>رشد</t>
  </si>
  <si>
    <t>صندوق س.رشد پايدار آبان-د</t>
  </si>
  <si>
    <t>پرتو</t>
  </si>
  <si>
    <t>صندوق س.دينا-س</t>
  </si>
  <si>
    <t>ذوب3</t>
  </si>
  <si>
    <t>طفزر500</t>
  </si>
  <si>
    <t>اختيارف فزر-95000-14050525</t>
  </si>
  <si>
    <t>زرين</t>
  </si>
  <si>
    <t>ضذوب5021</t>
  </si>
  <si>
    <t>اختيارخ ذوب-300-1405/05/20</t>
  </si>
  <si>
    <t>ابيان07</t>
  </si>
  <si>
    <t>مرابحه ابيان دارو071023</t>
  </si>
  <si>
    <t>ضصاد5029</t>
  </si>
  <si>
    <t>اختيارخ وبصادر-650-1405/05/20</t>
  </si>
  <si>
    <t>ضستا5040</t>
  </si>
  <si>
    <t>اختيارخ شستا-1300-1405/05/14</t>
  </si>
  <si>
    <t>صدف</t>
  </si>
  <si>
    <t>صرمد062</t>
  </si>
  <si>
    <t>صكوك اجاره سرمد062-3ماهه23%</t>
  </si>
  <si>
    <t>عموتور</t>
  </si>
  <si>
    <t>سلف استاندارد لوله جلواگزوز</t>
  </si>
  <si>
    <t>صحافظ809</t>
  </si>
  <si>
    <t>صكوك مرابحه كحافظ809-3ماهه23%</t>
  </si>
  <si>
    <t>مصفها612</t>
  </si>
  <si>
    <t>مشاركت ش اصفهان612-3ماهه 20.5%</t>
  </si>
  <si>
    <t>ناوگان</t>
  </si>
  <si>
    <t>صندوق س.بخشي زمرد نو ويرا1-ب</t>
  </si>
  <si>
    <t>واريان072</t>
  </si>
  <si>
    <t>مرابحه واريان فارمد071003</t>
  </si>
  <si>
    <t>بمان</t>
  </si>
  <si>
    <t>ضملت6016</t>
  </si>
  <si>
    <t>اختيارخ وبملت-800-1405/06/18</t>
  </si>
  <si>
    <t>تمشك</t>
  </si>
  <si>
    <t>صندوق س تمشك نماد رشد-در صندوق</t>
  </si>
  <si>
    <t>مقدم072</t>
  </si>
  <si>
    <t>مرابحه مقدم-كاردان071128</t>
  </si>
  <si>
    <t>مشهد7200</t>
  </si>
  <si>
    <t>مشاركت ش مشهد7200-3ماهه23%</t>
  </si>
  <si>
    <t>ضطعام605</t>
  </si>
  <si>
    <t>اختيارخ طعام-20000-14050615</t>
  </si>
  <si>
    <t>طتوان516</t>
  </si>
  <si>
    <t>اختيارف توان-34000-14050525</t>
  </si>
  <si>
    <t>پارس3</t>
  </si>
  <si>
    <t>ضراز6001</t>
  </si>
  <si>
    <t>اختيارخ هم تراز-10000-05/06/04</t>
  </si>
  <si>
    <t>نيروانا</t>
  </si>
  <si>
    <t>صندوق سرمايه گذاري قلك2-بخشي</t>
  </si>
  <si>
    <t>صشهر602</t>
  </si>
  <si>
    <t>صكوك مرابحه شهر602-3ماهه21%</t>
  </si>
  <si>
    <t>مطهر06</t>
  </si>
  <si>
    <t>مرابحه مطهرضمير14061223</t>
  </si>
  <si>
    <t>زعف0510پ20</t>
  </si>
  <si>
    <t>زعفران0510نگين وحدت جام(پ)</t>
  </si>
  <si>
    <t>سام</t>
  </si>
  <si>
    <t>صندوق س.درآمد ثابت سام-د</t>
  </si>
  <si>
    <t>اعتبارسهام</t>
  </si>
  <si>
    <t>صندوق س.اعتبارسهام-سهام</t>
  </si>
  <si>
    <t>كرمان061</t>
  </si>
  <si>
    <t>مرابحه كرمان موتور-سرآمد060904</t>
  </si>
  <si>
    <t>ونچر</t>
  </si>
  <si>
    <t>ص.ج.فيروزه</t>
  </si>
  <si>
    <t>اسياتك3</t>
  </si>
  <si>
    <t>صعبيد602</t>
  </si>
  <si>
    <t>صكوك مرابحه دعبيد602-3ماهه18%</t>
  </si>
  <si>
    <t>طموج651</t>
  </si>
  <si>
    <t>اختيارف موج-75000-14050629</t>
  </si>
  <si>
    <t>طهرم6048</t>
  </si>
  <si>
    <t>اختيارف اهرم-56000-1405/06/25</t>
  </si>
  <si>
    <t>نمك</t>
  </si>
  <si>
    <t>صندوق س.بخشي گستره فيروزه3	-ب</t>
  </si>
  <si>
    <t>طستا6041</t>
  </si>
  <si>
    <t>اختيارف شستا-1300-1405/06/11</t>
  </si>
  <si>
    <t>ضتوان521</t>
  </si>
  <si>
    <t>اختيارخ توان-44000-14050525</t>
  </si>
  <si>
    <t>طموج638</t>
  </si>
  <si>
    <t>اختيارف موج-34000-14050629</t>
  </si>
  <si>
    <t>طتاص7010</t>
  </si>
  <si>
    <t>اختيارف تاصيكو-18000-05/07/08</t>
  </si>
  <si>
    <t>بازبيمه</t>
  </si>
  <si>
    <t>ضموج518</t>
  </si>
  <si>
    <t>اختيارخ موج-44000-14050525</t>
  </si>
  <si>
    <t>پوراطب072</t>
  </si>
  <si>
    <t>مرابحه پوراطب گستر-كيميا070106</t>
  </si>
  <si>
    <t>صزاگرس71</t>
  </si>
  <si>
    <t>صكوك مرابحه انديمشك71-6ماهه23%</t>
  </si>
  <si>
    <t>ساحل</t>
  </si>
  <si>
    <t>ص.ساحل سرمايه امن خليج فارس-د</t>
  </si>
  <si>
    <t>صگل59</t>
  </si>
  <si>
    <t>صكوك اجاره كگل59-بدون ضامن</t>
  </si>
  <si>
    <t>صقرن512</t>
  </si>
  <si>
    <t>صكوك مرابحه قرن512-بدون ضامن</t>
  </si>
  <si>
    <t>صعبيد071</t>
  </si>
  <si>
    <t>صكوك مرابحه دعبيد071-3ماهه23%</t>
  </si>
  <si>
    <t>طذوب5023</t>
  </si>
  <si>
    <t>اختيارف ذوب-340-1405/05/20</t>
  </si>
  <si>
    <t>ضملي7071</t>
  </si>
  <si>
    <t>اختيارخ فملي-28000-1405/07/08</t>
  </si>
  <si>
    <t>سپر4</t>
  </si>
  <si>
    <t>ضخود6051</t>
  </si>
  <si>
    <t>اختيارخ خودرو-500-1405/06/04</t>
  </si>
  <si>
    <t>ضهرم6047</t>
  </si>
  <si>
    <t>اختيارخ اهرم-50000-1405/06/25</t>
  </si>
  <si>
    <t>صفار606</t>
  </si>
  <si>
    <t>صكوك مرابحه سفار606-3ماهه23%</t>
  </si>
  <si>
    <t>صفارس084</t>
  </si>
  <si>
    <t>صكوك اجاره فارس084-بدون ضامن</t>
  </si>
  <si>
    <t>ضخود6055</t>
  </si>
  <si>
    <t>اختيارخ خودرو-700-1405/06/04</t>
  </si>
  <si>
    <t>صفولا065</t>
  </si>
  <si>
    <t>صكوك اجاره فولاد065-بدون ضامن</t>
  </si>
  <si>
    <t>آساس</t>
  </si>
  <si>
    <t>صندوق س.آسمان آرماني سهام-س</t>
  </si>
  <si>
    <t>ضملت6022</t>
  </si>
  <si>
    <t>اختيارخ وبملت-1400-1405/06/18</t>
  </si>
  <si>
    <t>پادا</t>
  </si>
  <si>
    <t>افق معادن07</t>
  </si>
  <si>
    <t>مرابحه افق توسعه معادن070817</t>
  </si>
  <si>
    <t>فجهان063</t>
  </si>
  <si>
    <t>مرابحه جهان فولاد-ويستا060501</t>
  </si>
  <si>
    <t>گلديس</t>
  </si>
  <si>
    <t>پرنيا06</t>
  </si>
  <si>
    <t>مرابحه بافندگي پرنيا060718</t>
  </si>
  <si>
    <t>طراز8011</t>
  </si>
  <si>
    <t>اختيارف هم تراز-28000-05/08/06</t>
  </si>
  <si>
    <t>سپيدما2</t>
  </si>
  <si>
    <t>مدي تك08</t>
  </si>
  <si>
    <t>مرابحه مدي تك سيس 14081225</t>
  </si>
  <si>
    <t>دبالك08</t>
  </si>
  <si>
    <t>مرابحه دارويي البرزبالك080217</t>
  </si>
  <si>
    <t>طاطلس062207</t>
  </si>
  <si>
    <t>اختيارف اطلس-140000-14050622</t>
  </si>
  <si>
    <t>متال</t>
  </si>
  <si>
    <t>صندوق س صنايع دايا1-بخشي</t>
  </si>
  <si>
    <t>سلام</t>
  </si>
  <si>
    <t>صندوق س سلام فارابي-سهام</t>
  </si>
  <si>
    <t>ضصاد7043</t>
  </si>
  <si>
    <t>اختيارخ وبصادر-750-1405/07/22</t>
  </si>
  <si>
    <t>سيمين</t>
  </si>
  <si>
    <t>صندوق س.نقره سيمين هوبر</t>
  </si>
  <si>
    <t>كاشانه</t>
  </si>
  <si>
    <t>ص.س املاك وم.كاشانه خليج فارس</t>
  </si>
  <si>
    <t>C11-00</t>
  </si>
  <si>
    <t>Today</t>
  </si>
  <si>
    <t>Points Rank</t>
  </si>
  <si>
    <t>Diff. Points</t>
  </si>
  <si>
    <t>Diff. MC</t>
  </si>
  <si>
    <t>دیده بان بازار : 1405/04/05 - زمان آخرین معامله : 19:32:34</t>
  </si>
  <si>
    <t>يكم2</t>
  </si>
  <si>
    <t>ياقوت2</t>
  </si>
  <si>
    <t>ويستا2</t>
  </si>
  <si>
    <t>ومعادنح</t>
  </si>
  <si>
    <t>ح . توسعه‌معادن‌وفلزات‌</t>
  </si>
  <si>
    <t>ولنوينح</t>
  </si>
  <si>
    <t>ح.ليزينگ اقتصاد نوين</t>
  </si>
  <si>
    <t>وكار3</t>
  </si>
  <si>
    <t>وسينا3</t>
  </si>
  <si>
    <t>وحافظح</t>
  </si>
  <si>
    <t>ح . بيمه حافظ</t>
  </si>
  <si>
    <t>وثنو3</t>
  </si>
  <si>
    <t>وتوشه3</t>
  </si>
  <si>
    <t>وپارس3</t>
  </si>
  <si>
    <t>وبيمه3</t>
  </si>
  <si>
    <t>وبشهرح</t>
  </si>
  <si>
    <t>ح . صنايع‌ بهشهر(هلدينگ</t>
  </si>
  <si>
    <t>وبشهر3</t>
  </si>
  <si>
    <t>وبازار2</t>
  </si>
  <si>
    <t>واميدح</t>
  </si>
  <si>
    <t>ح.گروه مديريت سرمايه گذار اميد</t>
  </si>
  <si>
    <t>هوشمند2</t>
  </si>
  <si>
    <t>همگام2</t>
  </si>
  <si>
    <t>هماي2</t>
  </si>
  <si>
    <t>هدف2</t>
  </si>
  <si>
    <t>نقرفام2</t>
  </si>
  <si>
    <t>صندوق س.پشتوانه طلاي صبا</t>
  </si>
  <si>
    <t>نفتوداريوش2</t>
  </si>
  <si>
    <t>ناوگان2</t>
  </si>
  <si>
    <t>ميهن2</t>
  </si>
  <si>
    <t>مشفق05</t>
  </si>
  <si>
    <t>مرابحه ت.صنعتي مشفق14050921</t>
  </si>
  <si>
    <t>مدارانح</t>
  </si>
  <si>
    <t>ح . داده‌پردازي‌ايران‌</t>
  </si>
  <si>
    <t>مختلط2</t>
  </si>
  <si>
    <t>مانا2</t>
  </si>
  <si>
    <t>لوتوسح</t>
  </si>
  <si>
    <t>ح . تامين سرمايه لوتوس پارسيان</t>
  </si>
  <si>
    <t>لخزر3</t>
  </si>
  <si>
    <t>لپارس3</t>
  </si>
  <si>
    <t>گوهران3</t>
  </si>
  <si>
    <t>گپارس</t>
  </si>
  <si>
    <t>امور رفاهي كارگزاران پارس</t>
  </si>
  <si>
    <t>كيان4</t>
  </si>
  <si>
    <t>كهربا2</t>
  </si>
  <si>
    <t>كگلح</t>
  </si>
  <si>
    <t>ح . معدني و صنعتي گل گهر</t>
  </si>
  <si>
    <t>كفراح</t>
  </si>
  <si>
    <t>ح . فراورده‌ هاي‌ نسوزايران‌</t>
  </si>
  <si>
    <t>كطبس3</t>
  </si>
  <si>
    <t>كزغال3</t>
  </si>
  <si>
    <t>كروميت3</t>
  </si>
  <si>
    <t>كرازيح</t>
  </si>
  <si>
    <t>ح . ‌توليدي‌شيشه‌رازي‌</t>
  </si>
  <si>
    <t>كچادح</t>
  </si>
  <si>
    <t>ح . معدني‌وصنعتي‌چادرملو</t>
  </si>
  <si>
    <t>كالا3</t>
  </si>
  <si>
    <t>كاريس2</t>
  </si>
  <si>
    <t>كارآمد4</t>
  </si>
  <si>
    <t>فيروزا4</t>
  </si>
  <si>
    <t>فهامون3</t>
  </si>
  <si>
    <t>فسبزوار3</t>
  </si>
  <si>
    <t>فپنتا3</t>
  </si>
  <si>
    <t>فارما كيان2</t>
  </si>
  <si>
    <t>فاخر2</t>
  </si>
  <si>
    <t>غشاذر3</t>
  </si>
  <si>
    <t>غدشتح</t>
  </si>
  <si>
    <t>ح . دشت‌ مرغاب‌</t>
  </si>
  <si>
    <t>غدام2</t>
  </si>
  <si>
    <t>غانيزانح</t>
  </si>
  <si>
    <t>ح.فرآورده هاي دامي ولبني دالاه</t>
  </si>
  <si>
    <t>عقرن</t>
  </si>
  <si>
    <t>سلف موازي پديده شيمي قرن</t>
  </si>
  <si>
    <t>عفراب3</t>
  </si>
  <si>
    <t>سلف ميلگرد توليدي فراب</t>
  </si>
  <si>
    <t>عسيرجان3</t>
  </si>
  <si>
    <t>سلف كلوخه سنگ آهن سيرجان3</t>
  </si>
  <si>
    <t>عپاكشو</t>
  </si>
  <si>
    <t>سلف موازي گروه صنعتي پاكشو</t>
  </si>
  <si>
    <t>طهمن5037</t>
  </si>
  <si>
    <t>اختيارف خبهمن-3000-1405/05/28</t>
  </si>
  <si>
    <t>طهمن5036</t>
  </si>
  <si>
    <t>اختيارف خبهمن-2800-1405/05/28</t>
  </si>
  <si>
    <t>طهمن5035</t>
  </si>
  <si>
    <t>اختيارف خبهمن-2600-1405/05/28</t>
  </si>
  <si>
    <t>طهمن5034</t>
  </si>
  <si>
    <t>اختيارف خبهمن-2400-1405/05/28</t>
  </si>
  <si>
    <t>طهمن5033</t>
  </si>
  <si>
    <t>اختيارف خبهمن-2200-1405/05/28</t>
  </si>
  <si>
    <t>طهمن5032</t>
  </si>
  <si>
    <t>اختيارف خبهمن-2000-1405/05/28</t>
  </si>
  <si>
    <t>طهمن5031</t>
  </si>
  <si>
    <t>اختيارف خبهمن-1900-1405/05/28</t>
  </si>
  <si>
    <t>طهمن5030</t>
  </si>
  <si>
    <t>اختيارف خبهمن-1800-1405/05/28</t>
  </si>
  <si>
    <t>طهمن5029</t>
  </si>
  <si>
    <t>اختيارف خبهمن-1700-1405/05/28</t>
  </si>
  <si>
    <t>طهمن5028</t>
  </si>
  <si>
    <t>اختيارف خبهمن-1600-1405/05/28</t>
  </si>
  <si>
    <t>طهمن5027</t>
  </si>
  <si>
    <t>اختيارف خبهمن-1500-1405/05/28</t>
  </si>
  <si>
    <t>طهمن5026</t>
  </si>
  <si>
    <t>اختيارف خبهمن-1400-1405/05/28</t>
  </si>
  <si>
    <t>طهمن5025</t>
  </si>
  <si>
    <t>اختيارف خبهمن-1300-1405/05/28</t>
  </si>
  <si>
    <t>طموج439</t>
  </si>
  <si>
    <t>اختيارف موج-80000-14050428</t>
  </si>
  <si>
    <t>طموج438</t>
  </si>
  <si>
    <t>اختيارف موج-75000-14050428</t>
  </si>
  <si>
    <t>طموج437</t>
  </si>
  <si>
    <t>اختيارف موج-70000-14050428</t>
  </si>
  <si>
    <t>طموج436</t>
  </si>
  <si>
    <t>اختيارف موج-65000-14050428</t>
  </si>
  <si>
    <t>طموج435</t>
  </si>
  <si>
    <t>اختيارف موج-60000-14050428</t>
  </si>
  <si>
    <t>طموج434</t>
  </si>
  <si>
    <t>اختيارف موج-55000-14050428</t>
  </si>
  <si>
    <t>طموج433</t>
  </si>
  <si>
    <t>اختيارف موج-50000-14050428</t>
  </si>
  <si>
    <t>طموج432</t>
  </si>
  <si>
    <t>اختيارف موج-48000-14050428</t>
  </si>
  <si>
    <t>طموج431</t>
  </si>
  <si>
    <t>اختيارف موج-46000-14050428</t>
  </si>
  <si>
    <t>طموج430</t>
  </si>
  <si>
    <t>اختيارف موج-44000-14050428</t>
  </si>
  <si>
    <t>طموج429</t>
  </si>
  <si>
    <t>اختيارف موج-42000-14050428</t>
  </si>
  <si>
    <t>طموج428</t>
  </si>
  <si>
    <t>اختيارف موج-40000-14050428</t>
  </si>
  <si>
    <t>طموج427</t>
  </si>
  <si>
    <t>اختيارف موج-38000-14050428</t>
  </si>
  <si>
    <t>طموج426</t>
  </si>
  <si>
    <t>اختيارف موج-36000-14050428</t>
  </si>
  <si>
    <t>طموج425</t>
  </si>
  <si>
    <t>اختيارف موج-34000-14050428</t>
  </si>
  <si>
    <t>طموج424</t>
  </si>
  <si>
    <t>اختيارف موج-32000-14050428</t>
  </si>
  <si>
    <t>طملي7072</t>
  </si>
  <si>
    <t>اختيارف فملي-30000-1405/07/08</t>
  </si>
  <si>
    <t>طملي7071</t>
  </si>
  <si>
    <t>اختيارف فملي-28000-1405/07/08</t>
  </si>
  <si>
    <t>طملي7070</t>
  </si>
  <si>
    <t>اختيارف فملي-26000-1405/07/08</t>
  </si>
  <si>
    <t>طملي7069</t>
  </si>
  <si>
    <t>اختيارف فملي-24000-1405/07/08</t>
  </si>
  <si>
    <t>طملي7068</t>
  </si>
  <si>
    <t>اختيارف فملي-22000-1405/07/08</t>
  </si>
  <si>
    <t>طملي7067</t>
  </si>
  <si>
    <t>اختيارف فملي-20000-1405/07/08</t>
  </si>
  <si>
    <t>طملي7066</t>
  </si>
  <si>
    <t>اختيارف فملي-18000-1405/07/08</t>
  </si>
  <si>
    <t>طملي7065</t>
  </si>
  <si>
    <t>اختيارف فملي-16000-1405/07/08</t>
  </si>
  <si>
    <t>طملي7064</t>
  </si>
  <si>
    <t>اختيارف فملي-15000-1405/07/08</t>
  </si>
  <si>
    <t>طملي7063</t>
  </si>
  <si>
    <t>اختيارف فملي-14000-1405/07/08</t>
  </si>
  <si>
    <t>طملي7062</t>
  </si>
  <si>
    <t>اختيارف فملي-13000-1405/07/08</t>
  </si>
  <si>
    <t>طملي7061</t>
  </si>
  <si>
    <t>اختيارف فملي-12000-1405/07/08</t>
  </si>
  <si>
    <t>طملي5030</t>
  </si>
  <si>
    <t>اختيارف فملي-16000-1405/05/14</t>
  </si>
  <si>
    <t>طملي5029</t>
  </si>
  <si>
    <t>اختيارف فملي-15000-1405/05/14</t>
  </si>
  <si>
    <t>طملي5028</t>
  </si>
  <si>
    <t>اختيارف فملي-14000-1405/05/14</t>
  </si>
  <si>
    <t>طملي5027</t>
  </si>
  <si>
    <t>اختيارف فملي-13000-1405/05/14</t>
  </si>
  <si>
    <t>طملي5025</t>
  </si>
  <si>
    <t>اختيارف فملي-11000-1405/05/14</t>
  </si>
  <si>
    <t>طملت6027</t>
  </si>
  <si>
    <t>اختيارف وبملت-1900-1405/06/18</t>
  </si>
  <si>
    <t>طملت6026</t>
  </si>
  <si>
    <t>اختيارف وبملت-1800-1405/06/18</t>
  </si>
  <si>
    <t>طملت6025</t>
  </si>
  <si>
    <t>اختيارف وبملت-1700-1405/06/18</t>
  </si>
  <si>
    <t>طملت6024</t>
  </si>
  <si>
    <t>اختيارف وبملت-1600-1405/06/18</t>
  </si>
  <si>
    <t>طملت6023</t>
  </si>
  <si>
    <t>اختيارف وبملت-1500-1405/06/18</t>
  </si>
  <si>
    <t>طملت6016</t>
  </si>
  <si>
    <t>اختيارف وبملت-800-1405/06/18</t>
  </si>
  <si>
    <t>طملت5037</t>
  </si>
  <si>
    <t>اختيارف وبملت-1800-1405/05/20</t>
  </si>
  <si>
    <t>طملت5036</t>
  </si>
  <si>
    <t>اختيارف وبملت-1700-1405/05/20</t>
  </si>
  <si>
    <t>طملت5035</t>
  </si>
  <si>
    <t>اختيارف وبملت-1600-1405/05/20</t>
  </si>
  <si>
    <t>طملت5034</t>
  </si>
  <si>
    <t>اختيارف وبملت-1500-1405/05/20</t>
  </si>
  <si>
    <t>طملت4026</t>
  </si>
  <si>
    <t>اختيارف وبملت-1607-1405/04/24</t>
  </si>
  <si>
    <t>طملت4025</t>
  </si>
  <si>
    <t>اختيارف وبملت-1507-1405/04/24</t>
  </si>
  <si>
    <t>طملت4024</t>
  </si>
  <si>
    <t>اختيارف وبملت-1407-1405/04/24</t>
  </si>
  <si>
    <t>طملت4023</t>
  </si>
  <si>
    <t>اختيارف وبملت-1336-1405/04/24</t>
  </si>
  <si>
    <t>طملت4022</t>
  </si>
  <si>
    <t>اختيارف وبملت-1266-1405/04/24</t>
  </si>
  <si>
    <t>طملت4021</t>
  </si>
  <si>
    <t>اختيارف وبملت-1196-1405/04/24</t>
  </si>
  <si>
    <t>طملت4020</t>
  </si>
  <si>
    <t>اختيارف وبملت-1125-1405/04/24</t>
  </si>
  <si>
    <t>طملت4019</t>
  </si>
  <si>
    <t>اختيارف وبملت-1055-1405/04/24</t>
  </si>
  <si>
    <t>طملت4018</t>
  </si>
  <si>
    <t>اختيارف وبملت-985-1405/04/24</t>
  </si>
  <si>
    <t>طملت4017</t>
  </si>
  <si>
    <t>اختيارف وبملت-914-1405/04/24</t>
  </si>
  <si>
    <t>طملت4016</t>
  </si>
  <si>
    <t>اختيارف وبملت-844-1405/04/24</t>
  </si>
  <si>
    <t>طملت4015</t>
  </si>
  <si>
    <t>اختيارف وبملت-774-1405/04/24</t>
  </si>
  <si>
    <t>طملت4014</t>
  </si>
  <si>
    <t>اختيارف وبملت-703-1405/04/24</t>
  </si>
  <si>
    <t>طملت4013</t>
  </si>
  <si>
    <t>اختيارف وبملت-633-1405/04/24</t>
  </si>
  <si>
    <t>اختيارف اخابر-900-1405/07/22</t>
  </si>
  <si>
    <t>اختيارف اخابر-800-1405/07/22</t>
  </si>
  <si>
    <t>اختيارف اخابر-750-1405/07/22</t>
  </si>
  <si>
    <t>اختيارف اخابر-700-1405/07/22</t>
  </si>
  <si>
    <t>اختيارف اخابر-650-1405/07/22</t>
  </si>
  <si>
    <t>اختيارف اخابر-600-1405/07/22</t>
  </si>
  <si>
    <t>اختيارف اخابر-550-1405/07/22</t>
  </si>
  <si>
    <t>اختيارف اخابر-500-1405/07/22</t>
  </si>
  <si>
    <t>اختيارف اخابر-450-1405/07/22</t>
  </si>
  <si>
    <t>اختيارف اخابر-400-1405/07/22</t>
  </si>
  <si>
    <t>اختيارف اخابر-380-1405/07/22</t>
  </si>
  <si>
    <t>اختيارف اخابر-360-1405/07/22</t>
  </si>
  <si>
    <t>اختيارف اخابر-340-1405/07/22</t>
  </si>
  <si>
    <t>اختيارف اخابر-900-1405/05/20</t>
  </si>
  <si>
    <t>اختيارف اخابر-800-1405/05/20</t>
  </si>
  <si>
    <t>اختيارف اخابر-750-1405/05/20</t>
  </si>
  <si>
    <t>اختيارف اخابر-700-1405/05/20</t>
  </si>
  <si>
    <t>اختيارف اخابر-650-1405/05/20</t>
  </si>
  <si>
    <t>اختيارف اخابر-600-1405/05/20</t>
  </si>
  <si>
    <t>طمخا5015</t>
  </si>
  <si>
    <t>اختيارف اخابر-550-1405/05/20</t>
  </si>
  <si>
    <t>طمخا5014</t>
  </si>
  <si>
    <t>اختيارف اخابر-500-1405/05/20</t>
  </si>
  <si>
    <t>اختيارف اخابر-450-1405/05/20</t>
  </si>
  <si>
    <t>اختيارف اخابر-400-1405/05/20</t>
  </si>
  <si>
    <t>اختيارف اخابر-380-1405/05/20</t>
  </si>
  <si>
    <t>اختيارف اخابر-360-1405/05/20</t>
  </si>
  <si>
    <t>اختيارف اخابر-340-1405/05/20</t>
  </si>
  <si>
    <t>طفزر421</t>
  </si>
  <si>
    <t>اختيارف فزر-190000-14050428</t>
  </si>
  <si>
    <t>طفزر420</t>
  </si>
  <si>
    <t>اختيارف فزر-180000-14050428</t>
  </si>
  <si>
    <t>طفزر419</t>
  </si>
  <si>
    <t>اختيارف فزر-170000-14050428</t>
  </si>
  <si>
    <t>طفزر418</t>
  </si>
  <si>
    <t>اختيارف فزر-160000-14050428</t>
  </si>
  <si>
    <t>طفزر417</t>
  </si>
  <si>
    <t>اختيارف فزر-150000-14050428</t>
  </si>
  <si>
    <t>طفزر416</t>
  </si>
  <si>
    <t>اختيارف فزر-140000-14050428</t>
  </si>
  <si>
    <t>طفزر415</t>
  </si>
  <si>
    <t>اختيارف فزر-130000-14050428</t>
  </si>
  <si>
    <t>طفزر414</t>
  </si>
  <si>
    <t>اختيارف فزر-120000-14050428</t>
  </si>
  <si>
    <t>طفزر413</t>
  </si>
  <si>
    <t>اختيارف فزر-110000-14050428</t>
  </si>
  <si>
    <t>طفزر412</t>
  </si>
  <si>
    <t>اختيارف فزر-100000-14050428</t>
  </si>
  <si>
    <t>طفزر411</t>
  </si>
  <si>
    <t>اختيارف فزر-95000-14050428</t>
  </si>
  <si>
    <t>ططعام415</t>
  </si>
  <si>
    <t>اختيارف طعام-30000-14050414</t>
  </si>
  <si>
    <t>ططعام414</t>
  </si>
  <si>
    <t>اختيارف طعام-28000-14050414</t>
  </si>
  <si>
    <t>ططعام413</t>
  </si>
  <si>
    <t>اختيارف طعام-26000-14050414</t>
  </si>
  <si>
    <t>ططعام412</t>
  </si>
  <si>
    <t>اختيارف طعام-24000-14050414</t>
  </si>
  <si>
    <t>ططعام411</t>
  </si>
  <si>
    <t>اختيارف طعام-22000-14050414</t>
  </si>
  <si>
    <t>ططعام410</t>
  </si>
  <si>
    <t>اختيارف طعام-20000-14050414</t>
  </si>
  <si>
    <t>ططعام409</t>
  </si>
  <si>
    <t>اختيارف طعام-19000-14050414</t>
  </si>
  <si>
    <t>ططعام408</t>
  </si>
  <si>
    <t>اختيارف طعام-18000-14050414</t>
  </si>
  <si>
    <t>ططعام407</t>
  </si>
  <si>
    <t>اختيارف طعام-17000-14050414</t>
  </si>
  <si>
    <t>ططعام406</t>
  </si>
  <si>
    <t>اختيارف طعام-16000-14050414</t>
  </si>
  <si>
    <t>ططعام405</t>
  </si>
  <si>
    <t>اختيارف طعام-15000-14050414</t>
  </si>
  <si>
    <t>ططعام404</t>
  </si>
  <si>
    <t>اختيارف طعام-14000-14050414</t>
  </si>
  <si>
    <t>ططعام403</t>
  </si>
  <si>
    <t>اختيارف طعام-13000-14050414</t>
  </si>
  <si>
    <t>ططعام402</t>
  </si>
  <si>
    <t>اختيارف طعام-12000-14050414</t>
  </si>
  <si>
    <t>ططعام401</t>
  </si>
  <si>
    <t>اختيارف طعام-11000-14050414</t>
  </si>
  <si>
    <t>ططعام400</t>
  </si>
  <si>
    <t>اختيارف طعام-10000-14050414</t>
  </si>
  <si>
    <t>طصاد7046</t>
  </si>
  <si>
    <t>اختيارف وبصادر-1000-1405/07/22</t>
  </si>
  <si>
    <t>طصاد7045</t>
  </si>
  <si>
    <t>اختيارف وبصادر-900-1405/07/22</t>
  </si>
  <si>
    <t>طصاد7044</t>
  </si>
  <si>
    <t>اختيارف وبصادر-800-1405/07/22</t>
  </si>
  <si>
    <t>طصاد7043</t>
  </si>
  <si>
    <t>اختيارف وبصادر-750-1405/07/22</t>
  </si>
  <si>
    <t>طصاد7042</t>
  </si>
  <si>
    <t>اختيارف وبصادر-700-1405/07/22</t>
  </si>
  <si>
    <t>طصاد7041</t>
  </si>
  <si>
    <t>اختيارف وبصادر-650-1405/07/22</t>
  </si>
  <si>
    <t>طصاد7040</t>
  </si>
  <si>
    <t>اختيارف وبصادر-600-1405/07/22</t>
  </si>
  <si>
    <t>طصاد7039</t>
  </si>
  <si>
    <t>اختيارف وبصادر-550-1405/07/22</t>
  </si>
  <si>
    <t>طصاد7038</t>
  </si>
  <si>
    <t>اختيارف وبصادر-500-1405/07/22</t>
  </si>
  <si>
    <t>طصاد7037</t>
  </si>
  <si>
    <t>اختيارف وبصادر-450-1405/07/22</t>
  </si>
  <si>
    <t>طصاد7036</t>
  </si>
  <si>
    <t>اختيارف وبصادر-400-1405/07/22</t>
  </si>
  <si>
    <t>طصاد7035</t>
  </si>
  <si>
    <t>اختيارف وبصادر-380-1405/07/22</t>
  </si>
  <si>
    <t>طصاد5033</t>
  </si>
  <si>
    <t>اختيارف وبصادر-900-1405/05/20</t>
  </si>
  <si>
    <t>طصاد5032</t>
  </si>
  <si>
    <t>اختيارف وبصادر-800-1405/05/20</t>
  </si>
  <si>
    <t>طصاد5031</t>
  </si>
  <si>
    <t>اختيارف وبصادر-750-1405/05/20</t>
  </si>
  <si>
    <t>طصاد5030</t>
  </si>
  <si>
    <t>اختيارف وبصادر-700-1405/05/20</t>
  </si>
  <si>
    <t>طصاد5029</t>
  </si>
  <si>
    <t>اختيارف وبصادر-650-1405/05/20</t>
  </si>
  <si>
    <t>طصاد5028</t>
  </si>
  <si>
    <t>اختيارف وبصادر-600-1405/05/20</t>
  </si>
  <si>
    <t>طصاد5027</t>
  </si>
  <si>
    <t>اختيارف وبصادر-550-1405/05/20</t>
  </si>
  <si>
    <t>طصاد5026</t>
  </si>
  <si>
    <t>اختيارف وبصادر-500-1405/05/20</t>
  </si>
  <si>
    <t>طصاد5025</t>
  </si>
  <si>
    <t>اختيارف وبصادر-450-1405/05/20</t>
  </si>
  <si>
    <t>طصاد5024</t>
  </si>
  <si>
    <t>اختيارف وبصادر-400-1405/05/20</t>
  </si>
  <si>
    <t>طصاد5023</t>
  </si>
  <si>
    <t>اختيارف وبصادر-380-1405/05/20</t>
  </si>
  <si>
    <t>طصاد5022</t>
  </si>
  <si>
    <t>اختيارف وبصادر-360-1405/05/20</t>
  </si>
  <si>
    <t>طشنا6047</t>
  </si>
  <si>
    <t>اختيارف شپنا-12000-1405/06/18</t>
  </si>
  <si>
    <t>طشنا6046</t>
  </si>
  <si>
    <t>اختيارف شپنا-11000-1405/06/18</t>
  </si>
  <si>
    <t>طشنا6045</t>
  </si>
  <si>
    <t>اختيارف شپنا-10000-1405/06/18</t>
  </si>
  <si>
    <t>طشنا6044</t>
  </si>
  <si>
    <t>اختيارف شپنا-9000-1405/06/18</t>
  </si>
  <si>
    <t>طشنا6043</t>
  </si>
  <si>
    <t>اختيارف شپنا-8000-1405/06/18</t>
  </si>
  <si>
    <t>طشنا6042</t>
  </si>
  <si>
    <t>اختيارف شپنا-7500-1405/06/18</t>
  </si>
  <si>
    <t>طشنا6041</t>
  </si>
  <si>
    <t>اختيارف شپنا-7000-1405/06/18</t>
  </si>
  <si>
    <t>طشنا6040</t>
  </si>
  <si>
    <t>اختيارف شپنا-6500-1405/06/18</t>
  </si>
  <si>
    <t>طشنا6039</t>
  </si>
  <si>
    <t>اختيارف شپنا-6000-1405/06/18</t>
  </si>
  <si>
    <t>طشنا6038</t>
  </si>
  <si>
    <t>اختيارف شپنا-5500-1405/06/18</t>
  </si>
  <si>
    <t>طشنا6037</t>
  </si>
  <si>
    <t>اختيارف شپنا-5000-1405/06/18</t>
  </si>
  <si>
    <t>طشنا6036</t>
  </si>
  <si>
    <t>اختيارف شپنا-4500-1405/06/18</t>
  </si>
  <si>
    <t>طشنا4037</t>
  </si>
  <si>
    <t>اختيارف شپنا-11000-1405/04/17</t>
  </si>
  <si>
    <t>طشنا4036</t>
  </si>
  <si>
    <t>اختيارف شپنا-10000-1405/04/17</t>
  </si>
  <si>
    <t>طشنا4035</t>
  </si>
  <si>
    <t>اختيارف شپنا-9000-1405/04/17</t>
  </si>
  <si>
    <t>طشنا4034</t>
  </si>
  <si>
    <t>اختيارف شپنا-8000-1405/04/17</t>
  </si>
  <si>
    <t>طشنا4033</t>
  </si>
  <si>
    <t>اختيارف شپنا-7500-1405/04/17</t>
  </si>
  <si>
    <t>طشنا4032</t>
  </si>
  <si>
    <t>اختيارف شپنا-7000-1405/04/17</t>
  </si>
  <si>
    <t>طشنا4031</t>
  </si>
  <si>
    <t>اختيارف شپنا-6500-1405/04/17</t>
  </si>
  <si>
    <t>طشنا4030</t>
  </si>
  <si>
    <t>اختيارف شپنا-6000-1405/04/17</t>
  </si>
  <si>
    <t>طشنا4029</t>
  </si>
  <si>
    <t>اختيارف شپنا-5500-1405/04/17</t>
  </si>
  <si>
    <t>طشنا4028</t>
  </si>
  <si>
    <t>اختيارف شپنا-5000-1405/04/17</t>
  </si>
  <si>
    <t>طشنا4027</t>
  </si>
  <si>
    <t>اختيارف شپنا-4500-1405/04/17</t>
  </si>
  <si>
    <t>طشنا4026</t>
  </si>
  <si>
    <t>اختيارف شپنا-4000-1405/04/17</t>
  </si>
  <si>
    <t>طشنا4025</t>
  </si>
  <si>
    <t>اختيارف شپنا-3750-1405/04/17</t>
  </si>
  <si>
    <t>طشنا4024</t>
  </si>
  <si>
    <t>اختيارف شپنا-3500-1405/04/17</t>
  </si>
  <si>
    <t>طستر4035</t>
  </si>
  <si>
    <t>اختيارف خگستر-3750-1405/04/10</t>
  </si>
  <si>
    <t>طستر4034</t>
  </si>
  <si>
    <t>اختيارف خگستر-3500-1405/04/10</t>
  </si>
  <si>
    <t>طستر4033</t>
  </si>
  <si>
    <t>اختيارف خگستر-3250-1405/04/10</t>
  </si>
  <si>
    <t>طستر4032</t>
  </si>
  <si>
    <t>اختيارف خگستر-3000-1405/04/10</t>
  </si>
  <si>
    <t>طستر4031</t>
  </si>
  <si>
    <t>اختيارف خگستر-2800-1405/04/10</t>
  </si>
  <si>
    <t>طستر4030</t>
  </si>
  <si>
    <t>اختيارف خگستر-2600-1405/04/10</t>
  </si>
  <si>
    <t>طستر4029</t>
  </si>
  <si>
    <t>اختيارف خگستر-2400-1405/04/10</t>
  </si>
  <si>
    <t>طستر4028</t>
  </si>
  <si>
    <t>اختيارف خگستر-2200-1405/04/10</t>
  </si>
  <si>
    <t>طستر4027</t>
  </si>
  <si>
    <t>اختيارف خگستر-2000-1405/04/10</t>
  </si>
  <si>
    <t>طستر4026</t>
  </si>
  <si>
    <t>اختيارف خگستر-1900-1405/04/10</t>
  </si>
  <si>
    <t>طستر4025</t>
  </si>
  <si>
    <t>اختيارف خگستر-1800-1405/04/10</t>
  </si>
  <si>
    <t>طستر4024</t>
  </si>
  <si>
    <t>اختيارف خگستر-1700-1405/04/10</t>
  </si>
  <si>
    <t>طستر4023</t>
  </si>
  <si>
    <t>اختيارف خگستر-1600-1405/04/10</t>
  </si>
  <si>
    <t>طستا4048</t>
  </si>
  <si>
    <t>اختيارف شستا-2600-1405/04/10</t>
  </si>
  <si>
    <t>طستا4047</t>
  </si>
  <si>
    <t>اختيارف شستا-2400-1405/04/10</t>
  </si>
  <si>
    <t>طستا4046</t>
  </si>
  <si>
    <t>اختيارف شستا-2200-1405/04/10</t>
  </si>
  <si>
    <t>طستا4045</t>
  </si>
  <si>
    <t>اختيارف شستا-2000-1405/04/10</t>
  </si>
  <si>
    <t>طستا4044</t>
  </si>
  <si>
    <t>اختيارف شستا-1900-1405/04/10</t>
  </si>
  <si>
    <t>طستا4043</t>
  </si>
  <si>
    <t>اختيارف شستا-1800-1405/04/10</t>
  </si>
  <si>
    <t>طستا4042</t>
  </si>
  <si>
    <t>اختيارف شستا-1700-1405/04/10</t>
  </si>
  <si>
    <t>طستا4041</t>
  </si>
  <si>
    <t>اختيارف شستا-1600-1405/04/10</t>
  </si>
  <si>
    <t>طستا4040</t>
  </si>
  <si>
    <t>اختيارف شستا-1500-1405/04/10</t>
  </si>
  <si>
    <t>طستا4039</t>
  </si>
  <si>
    <t>اختيارف شستا-1400-1405/04/10</t>
  </si>
  <si>
    <t>طستا4038</t>
  </si>
  <si>
    <t>اختيارف شستا-1300-1405/04/10</t>
  </si>
  <si>
    <t>طستا4037</t>
  </si>
  <si>
    <t>اختيارف شستا-1200-1405/04/10</t>
  </si>
  <si>
    <t>طستا4036</t>
  </si>
  <si>
    <t>اختيارف شستا-1100-1405/04/10</t>
  </si>
  <si>
    <t>طسپا6050</t>
  </si>
  <si>
    <t>اختيارف خساپا-1000-1405/06/25</t>
  </si>
  <si>
    <t>طسپا6049</t>
  </si>
  <si>
    <t>اختيارف خساپا-900-1405/06/25</t>
  </si>
  <si>
    <t>طسپا6048</t>
  </si>
  <si>
    <t>اختيارف خساپا-800-1405/06/25</t>
  </si>
  <si>
    <t>طسپا6047</t>
  </si>
  <si>
    <t>اختيارف خساپا-750-1405/06/25</t>
  </si>
  <si>
    <t>طسپا6046</t>
  </si>
  <si>
    <t>اختيارف خساپا-700-1405/06/25</t>
  </si>
  <si>
    <t>طسپا6045</t>
  </si>
  <si>
    <t>اختيارف خساپا-650-1405/06/25</t>
  </si>
  <si>
    <t>طسپا6044</t>
  </si>
  <si>
    <t>اختيارف خساپا-600-1405/06/25</t>
  </si>
  <si>
    <t>طسپا6042</t>
  </si>
  <si>
    <t>اختيارف خساپا-500-1405/06/25</t>
  </si>
  <si>
    <t>طسپا6041</t>
  </si>
  <si>
    <t>اختيارف خساپا-450-1405/06/25</t>
  </si>
  <si>
    <t>طسپا6040</t>
  </si>
  <si>
    <t>اختيارف خساپا-400-1405/06/25</t>
  </si>
  <si>
    <t>طسپا6039</t>
  </si>
  <si>
    <t>اختيارف خساپا-380-1405/06/25</t>
  </si>
  <si>
    <t>طسپا6038</t>
  </si>
  <si>
    <t>اختيارف خساپا-360-1405/06/25</t>
  </si>
  <si>
    <t>طسپا5033</t>
  </si>
  <si>
    <t>اختيارف خساپا-900-1405/05/28</t>
  </si>
  <si>
    <t>طسپا5032</t>
  </si>
  <si>
    <t>اختيارف خساپا-800-1405/05/28</t>
  </si>
  <si>
    <t>طسپا5031</t>
  </si>
  <si>
    <t>اختيارف خساپا-750-1405/05/28</t>
  </si>
  <si>
    <t>طسپا5030</t>
  </si>
  <si>
    <t>اختيارف خساپا-700-1405/05/28</t>
  </si>
  <si>
    <t>طسپا5029</t>
  </si>
  <si>
    <t>اختيارف خساپا-650-1405/05/28</t>
  </si>
  <si>
    <t>طسپا5028</t>
  </si>
  <si>
    <t>اختيارف خساپا-600-1405/05/28</t>
  </si>
  <si>
    <t>طسپا5027</t>
  </si>
  <si>
    <t>اختيارف خساپا-550-1405/05/28</t>
  </si>
  <si>
    <t>طسپا5026</t>
  </si>
  <si>
    <t>اختيارف خساپا-500-1405/05/28</t>
  </si>
  <si>
    <t>طسپا5024</t>
  </si>
  <si>
    <t>اختيارف خساپا-400-1405/05/28</t>
  </si>
  <si>
    <t>طسپا4033</t>
  </si>
  <si>
    <t>اختيارف خساپا-900-1405/04/24</t>
  </si>
  <si>
    <t>طسپا4032</t>
  </si>
  <si>
    <t>اختيارف خساپا-800-1405/04/24</t>
  </si>
  <si>
    <t>طسپا4031</t>
  </si>
  <si>
    <t>اختيارف خساپا-750-1405/04/24</t>
  </si>
  <si>
    <t>طسپا4030</t>
  </si>
  <si>
    <t>اختيارف خساپا-700-1405/04/24</t>
  </si>
  <si>
    <t>طسپا4029</t>
  </si>
  <si>
    <t>اختيارف خساپا-650-1405/04/24</t>
  </si>
  <si>
    <t>طسپا4028</t>
  </si>
  <si>
    <t>اختيارف خساپا-600-1405/04/24</t>
  </si>
  <si>
    <t>طسپا4027</t>
  </si>
  <si>
    <t>اختيارف خساپا-550-1405/04/24</t>
  </si>
  <si>
    <t>طسپا4026</t>
  </si>
  <si>
    <t>اختيارف خساپا-500-1405/04/24</t>
  </si>
  <si>
    <t>طسپا4025</t>
  </si>
  <si>
    <t>اختيارف خساپا-450-1405/04/24</t>
  </si>
  <si>
    <t>طسپا4024</t>
  </si>
  <si>
    <t>اختيارف خساپا-400-1405/04/24</t>
  </si>
  <si>
    <t>طسپا4023</t>
  </si>
  <si>
    <t>اختيارف خساپا-380-1405/04/24</t>
  </si>
  <si>
    <t>طسپا4022</t>
  </si>
  <si>
    <t>اختيارف خساپا-360-1405/04/24</t>
  </si>
  <si>
    <t>طراز4009</t>
  </si>
  <si>
    <t>اختيارف هم تراز-18000-05/04/02</t>
  </si>
  <si>
    <t>طراز4002</t>
  </si>
  <si>
    <t>اختيارف هم تراز-10000-05/04/02</t>
  </si>
  <si>
    <t>طذوب6021</t>
  </si>
  <si>
    <t>اختيارف ذوب-650-1405/06/18</t>
  </si>
  <si>
    <t>طذوب6020</t>
  </si>
  <si>
    <t>اختيارف ذوب-600-1405/06/18</t>
  </si>
  <si>
    <t>طذوب6019</t>
  </si>
  <si>
    <t>اختيارف ذوب-550-1405/06/18</t>
  </si>
  <si>
    <t>طذوب6018</t>
  </si>
  <si>
    <t>اختيارف ذوب-500-1405/06/18</t>
  </si>
  <si>
    <t>طذوب6017</t>
  </si>
  <si>
    <t>اختيارف ذوب-450-1405/06/18</t>
  </si>
  <si>
    <t>طذوب6016</t>
  </si>
  <si>
    <t>اختيارف ذوب-400-1405/06/18</t>
  </si>
  <si>
    <t>طذوب6015</t>
  </si>
  <si>
    <t>اختيارف ذوب-380-1405/06/18</t>
  </si>
  <si>
    <t>طذوب6014</t>
  </si>
  <si>
    <t>اختيارف ذوب-360-1405/06/18</t>
  </si>
  <si>
    <t>طذوب6013</t>
  </si>
  <si>
    <t>اختيارف ذوب-340-1405/06/18</t>
  </si>
  <si>
    <t>طذوب6012</t>
  </si>
  <si>
    <t>اختيارف ذوب-320-1405/06/18</t>
  </si>
  <si>
    <t>طذوب6011</t>
  </si>
  <si>
    <t>اختيارف ذوب-300-1405/06/18</t>
  </si>
  <si>
    <t>طذوب6010</t>
  </si>
  <si>
    <t>اختيارف ذوب-280-1405/06/18</t>
  </si>
  <si>
    <t>طذوب6009</t>
  </si>
  <si>
    <t>اختيارف ذوب-260-1405/06/18</t>
  </si>
  <si>
    <t>طذوب5031</t>
  </si>
  <si>
    <t>اختيارف ذوب-650-1405/05/20</t>
  </si>
  <si>
    <t>طذوب5030</t>
  </si>
  <si>
    <t>اختيارف ذوب-600-1405/05/20</t>
  </si>
  <si>
    <t>طذوب5029</t>
  </si>
  <si>
    <t>اختيارف ذوب-550-1405/05/20</t>
  </si>
  <si>
    <t>طذوب5028</t>
  </si>
  <si>
    <t>اختيارف ذوب-500-1405/05/20</t>
  </si>
  <si>
    <t>طذوب5027</t>
  </si>
  <si>
    <t>اختيارف ذوب-450-1405/05/20</t>
  </si>
  <si>
    <t>طذوب5026</t>
  </si>
  <si>
    <t>اختيارف ذوب-400-1405/05/20</t>
  </si>
  <si>
    <t>طذوب5025</t>
  </si>
  <si>
    <t>اختيارف ذوب-380-1405/05/20</t>
  </si>
  <si>
    <t>طذوب5024</t>
  </si>
  <si>
    <t>اختيارف ذوب-360-1405/05/20</t>
  </si>
  <si>
    <t>طذوب5022</t>
  </si>
  <si>
    <t>اختيارف ذوب-320-1405/05/20</t>
  </si>
  <si>
    <t>طذوب5021</t>
  </si>
  <si>
    <t>اختيارف ذوب-300-1405/05/20</t>
  </si>
  <si>
    <t>طذوب5020</t>
  </si>
  <si>
    <t>اختيارف ذوب-280-1405/05/20</t>
  </si>
  <si>
    <t>طذوب4020</t>
  </si>
  <si>
    <t>اختيارف ذوب-600-1405/04/17</t>
  </si>
  <si>
    <t>طذوب4019</t>
  </si>
  <si>
    <t>اختيارف ذوب-550-1405/04/17</t>
  </si>
  <si>
    <t>طذوب4018</t>
  </si>
  <si>
    <t>اختيارف ذوب-500-1405/04/17</t>
  </si>
  <si>
    <t>طذوب4017</t>
  </si>
  <si>
    <t>اختيارف ذوب-450-1405/04/17</t>
  </si>
  <si>
    <t>طذوب4016</t>
  </si>
  <si>
    <t>اختيارف ذوب-400-1405/04/17</t>
  </si>
  <si>
    <t>طذوب4015</t>
  </si>
  <si>
    <t>اختيارف ذوب-380-1405/04/17</t>
  </si>
  <si>
    <t>طذوب4014</t>
  </si>
  <si>
    <t>اختيارف ذوب-360-1405/04/17</t>
  </si>
  <si>
    <t>طذوب4013</t>
  </si>
  <si>
    <t>اختيارف ذوب-340-1405/04/17</t>
  </si>
  <si>
    <t>طذوب4012</t>
  </si>
  <si>
    <t>اختيارف ذوب-320-1405/04/17</t>
  </si>
  <si>
    <t>طذوب4009</t>
  </si>
  <si>
    <t>اختيارف ذوب-260-1405/04/17</t>
  </si>
  <si>
    <t>طخود6058</t>
  </si>
  <si>
    <t>اختيارف خودرو-900-1405/06/04</t>
  </si>
  <si>
    <t>طخود6057</t>
  </si>
  <si>
    <t>اختيارف خودرو-800-1405/06/04</t>
  </si>
  <si>
    <t>طخود6056</t>
  </si>
  <si>
    <t>اختيارف خودرو-750-1405/06/04</t>
  </si>
  <si>
    <t>طخود6055</t>
  </si>
  <si>
    <t>اختيارف خودرو-700-1405/06/04</t>
  </si>
  <si>
    <t>طخود6054</t>
  </si>
  <si>
    <t>اختيارف خودرو-650-1405/06/04</t>
  </si>
  <si>
    <t>طخود6052</t>
  </si>
  <si>
    <t>اختيارف خودرو-550-1405/06/04</t>
  </si>
  <si>
    <t>طخود6049</t>
  </si>
  <si>
    <t>اختيارف خودرو-400-1405/06/04</t>
  </si>
  <si>
    <t>طخود6048</t>
  </si>
  <si>
    <t>اختيارف خودرو-380-1405/06/04</t>
  </si>
  <si>
    <t>طخود5058</t>
  </si>
  <si>
    <t>اختيارف خودرو-800-1405/05/07</t>
  </si>
  <si>
    <t>طخود5057</t>
  </si>
  <si>
    <t>اختيارف خودرو-750-1405/05/07</t>
  </si>
  <si>
    <t>طخود5049</t>
  </si>
  <si>
    <t>اختيارف خودرو-380-1405/05/07</t>
  </si>
  <si>
    <t>طخود5048</t>
  </si>
  <si>
    <t>اختيارف خودرو-360-1405/05/07</t>
  </si>
  <si>
    <t>طخود5047</t>
  </si>
  <si>
    <t>اختيارف خودرو-340-1405/05/07</t>
  </si>
  <si>
    <t>طخود4066</t>
  </si>
  <si>
    <t>اختيارف خودرو-1000-1405/04/10</t>
  </si>
  <si>
    <t>طخود4065</t>
  </si>
  <si>
    <t>اختيارف خودرو-900-1405/04/10</t>
  </si>
  <si>
    <t>طخود4064</t>
  </si>
  <si>
    <t>اختيارف خودرو-800-1405/04/10</t>
  </si>
  <si>
    <t>طخود4063</t>
  </si>
  <si>
    <t>اختيارف خودرو-750-1405/04/10</t>
  </si>
  <si>
    <t>طخود4062</t>
  </si>
  <si>
    <t>اختيارف خودرو-700-1405/04/10</t>
  </si>
  <si>
    <t>طخود4061</t>
  </si>
  <si>
    <t>اختيارف خودرو-650-1405/04/10</t>
  </si>
  <si>
    <t>طخود4060</t>
  </si>
  <si>
    <t>اختيارف خودرو-600-1405/04/10</t>
  </si>
  <si>
    <t>طخود4059</t>
  </si>
  <si>
    <t>اختيارف خودرو-550-1405/04/10</t>
  </si>
  <si>
    <t>طخود4058</t>
  </si>
  <si>
    <t>اختيارف خودرو-500-1405/04/10</t>
  </si>
  <si>
    <t>طخود4057</t>
  </si>
  <si>
    <t>اختيارف خودرو-450-1405/04/10</t>
  </si>
  <si>
    <t>طخود4056</t>
  </si>
  <si>
    <t>اختيارف خودرو-400-1405/04/10</t>
  </si>
  <si>
    <t>طجوا4010</t>
  </si>
  <si>
    <t>اختيارف جوانه.ك-26000-05/04/24</t>
  </si>
  <si>
    <t>طجوا4009</t>
  </si>
  <si>
    <t>اختيارف جوانه.ك-24000-05/04/24</t>
  </si>
  <si>
    <t>طجوا4008</t>
  </si>
  <si>
    <t>اختيارف جوانه.ك-22000-05/04/24</t>
  </si>
  <si>
    <t>طجوا4007</t>
  </si>
  <si>
    <t>اختيارف جوانه.ك-20000-05/04/24</t>
  </si>
  <si>
    <t>طجوا4006</t>
  </si>
  <si>
    <t>اختيارف جوانه.ك-18000-05/04/24</t>
  </si>
  <si>
    <t>طجوا4005</t>
  </si>
  <si>
    <t>اختيارف جوانه.ك-16000-05/04/24</t>
  </si>
  <si>
    <t>طجوا4004</t>
  </si>
  <si>
    <t>اختيارف جوانه.ك-15000-05/04/24</t>
  </si>
  <si>
    <t>طجوا4003</t>
  </si>
  <si>
    <t>اختيارف جوانه.ك-14000-05/04/24</t>
  </si>
  <si>
    <t>طجوا4002</t>
  </si>
  <si>
    <t>اختيارف جوانه.ك-13000-05/04/24</t>
  </si>
  <si>
    <t>طجوا4001</t>
  </si>
  <si>
    <t>اختيارف جوانه.ك-12000-05/04/24</t>
  </si>
  <si>
    <t>طجوا4000</t>
  </si>
  <si>
    <t>اختيارف جوانه.ك-11000-05/04/24</t>
  </si>
  <si>
    <t>طجار6047</t>
  </si>
  <si>
    <t>اختيارف وتجارت-800-1405/06/18</t>
  </si>
  <si>
    <t>طجار6046</t>
  </si>
  <si>
    <t>اختيارف وتجارت-750-1405/06/18</t>
  </si>
  <si>
    <t>طجار6045</t>
  </si>
  <si>
    <t>اختيارف وتجارت-700-1405/06/18</t>
  </si>
  <si>
    <t>طجار6044</t>
  </si>
  <si>
    <t>اختيارف وتجارت-650-1405/06/18</t>
  </si>
  <si>
    <t>طجار6043</t>
  </si>
  <si>
    <t>اختيارف وتجارت-600-1405/06/18</t>
  </si>
  <si>
    <t>طجار6042</t>
  </si>
  <si>
    <t>اختيارف وتجارت-550-1405/06/18</t>
  </si>
  <si>
    <t>طجار6041</t>
  </si>
  <si>
    <t>اختيارف وتجارت-500-1405/06/18</t>
  </si>
  <si>
    <t>طجار6040</t>
  </si>
  <si>
    <t>اختيارف وتجارت-450-1405/06/18</t>
  </si>
  <si>
    <t>طجار6037</t>
  </si>
  <si>
    <t>اختيارف وتجارت-360-1405/06/18</t>
  </si>
  <si>
    <t>طجار6035</t>
  </si>
  <si>
    <t>اختيارف وتجارت-320-1405/06/18</t>
  </si>
  <si>
    <t>طجار4033</t>
  </si>
  <si>
    <t>اختيارف وتجارت-700-1405/04/17</t>
  </si>
  <si>
    <t>طجار4032</t>
  </si>
  <si>
    <t>اختيارف وتجارت-650-1405/04/17</t>
  </si>
  <si>
    <t>طجار4031</t>
  </si>
  <si>
    <t>اختيارف وتجارت-600-1405/04/17</t>
  </si>
  <si>
    <t>طجار4030</t>
  </si>
  <si>
    <t>اختيارف وتجارت-550-1405/04/17</t>
  </si>
  <si>
    <t>طجار4029</t>
  </si>
  <si>
    <t>اختيارف وتجارت-500-1405/04/17</t>
  </si>
  <si>
    <t>طجار4021</t>
  </si>
  <si>
    <t>اختيارف وتجارت-280-1405/04/17</t>
  </si>
  <si>
    <t>طتوان426</t>
  </si>
  <si>
    <t>اختيارف توان-75000-14050428</t>
  </si>
  <si>
    <t>طتوان425</t>
  </si>
  <si>
    <t>اختيارف توان-70000-14050428</t>
  </si>
  <si>
    <t>طتوان424</t>
  </si>
  <si>
    <t>اختيارف توان-65000-14050428</t>
  </si>
  <si>
    <t>طتوان423</t>
  </si>
  <si>
    <t>اختيارف توان-60000-14050428</t>
  </si>
  <si>
    <t>طتوان422</t>
  </si>
  <si>
    <t>اختيارف توان-55000-14050428</t>
  </si>
  <si>
    <t>طتوان421</t>
  </si>
  <si>
    <t>اختيارف توان-50000-14050428</t>
  </si>
  <si>
    <t>طتوان420</t>
  </si>
  <si>
    <t>اختيارف توان-48000-14050428</t>
  </si>
  <si>
    <t>طتوان419</t>
  </si>
  <si>
    <t>اختيارف توان-46000-14050428</t>
  </si>
  <si>
    <t>طتوان418</t>
  </si>
  <si>
    <t>اختيارف توان-44000-14050428</t>
  </si>
  <si>
    <t>طتوان417</t>
  </si>
  <si>
    <t>اختيارف توان-42000-14050428</t>
  </si>
  <si>
    <t>طتوان416</t>
  </si>
  <si>
    <t>اختيارف توان-40000-14050428</t>
  </si>
  <si>
    <t>طتوان415</t>
  </si>
  <si>
    <t>اختيارف توان-38000-14050428</t>
  </si>
  <si>
    <t>طتوان414</t>
  </si>
  <si>
    <t>اختيارف توان-36000-14050428</t>
  </si>
  <si>
    <t>طتوان413</t>
  </si>
  <si>
    <t>اختيارف توان-34000-14050428</t>
  </si>
  <si>
    <t>طتوان412</t>
  </si>
  <si>
    <t>اختيارف توان-32000-14050428</t>
  </si>
  <si>
    <t>طتوان411</t>
  </si>
  <si>
    <t>اختيارف توان-30000-14050428</t>
  </si>
  <si>
    <t>ضهمن5037</t>
  </si>
  <si>
    <t>اختيارخ خبهمن-3000-1405/05/28</t>
  </si>
  <si>
    <t>ضهمن5036</t>
  </si>
  <si>
    <t>اختيارخ خبهمن-2800-1405/05/28</t>
  </si>
  <si>
    <t>ضهمن5035</t>
  </si>
  <si>
    <t>اختيارخ خبهمن-2600-1405/05/28</t>
  </si>
  <si>
    <t>ضهمن5034</t>
  </si>
  <si>
    <t>اختيارخ خبهمن-2400-1405/05/28</t>
  </si>
  <si>
    <t>ضهمن5033</t>
  </si>
  <si>
    <t>اختيارخ خبهمن-2200-1405/05/28</t>
  </si>
  <si>
    <t>ضهمن5032</t>
  </si>
  <si>
    <t>اختيارخ خبهمن-2000-1405/05/28</t>
  </si>
  <si>
    <t>ضهمن5030</t>
  </si>
  <si>
    <t>اختيارخ خبهمن-1800-1405/05/28</t>
  </si>
  <si>
    <t>ضهمن5029</t>
  </si>
  <si>
    <t>اختيارخ خبهمن-1700-1405/05/28</t>
  </si>
  <si>
    <t>ضهمن5027</t>
  </si>
  <si>
    <t>اختيارخ خبهمن-1500-1405/05/28</t>
  </si>
  <si>
    <t>ضهمن5026</t>
  </si>
  <si>
    <t>اختيارخ خبهمن-1400-1405/05/28</t>
  </si>
  <si>
    <t>ضهمن5025</t>
  </si>
  <si>
    <t>اختيارخ خبهمن-1300-1405/05/28</t>
  </si>
  <si>
    <t>ضموج439</t>
  </si>
  <si>
    <t>اختيارخ موج-80000-14050428</t>
  </si>
  <si>
    <t>ضموج438</t>
  </si>
  <si>
    <t>اختيارخ موج-75000-14050428</t>
  </si>
  <si>
    <t>ضموج437</t>
  </si>
  <si>
    <t>اختيارخ موج-70000-14050428</t>
  </si>
  <si>
    <t>ضموج436</t>
  </si>
  <si>
    <t>اختيارخ موج-65000-14050428</t>
  </si>
  <si>
    <t>ضموج435</t>
  </si>
  <si>
    <t>اختيارخ موج-60000-14050428</t>
  </si>
  <si>
    <t>ضموج434</t>
  </si>
  <si>
    <t>اختيارخ موج-55000-14050428</t>
  </si>
  <si>
    <t>ضموج433</t>
  </si>
  <si>
    <t>اختيارخ موج-50000-14050428</t>
  </si>
  <si>
    <t>ضموج432</t>
  </si>
  <si>
    <t>اختيارخ موج-48000-14050428</t>
  </si>
  <si>
    <t>ضموج431</t>
  </si>
  <si>
    <t>اختيارخ موج-46000-14050428</t>
  </si>
  <si>
    <t>ضموج430</t>
  </si>
  <si>
    <t>اختيارخ موج-44000-14050428</t>
  </si>
  <si>
    <t>ضموج429</t>
  </si>
  <si>
    <t>اختيارخ موج-42000-14050428</t>
  </si>
  <si>
    <t>ضموج428</t>
  </si>
  <si>
    <t>اختيارخ موج-40000-14050428</t>
  </si>
  <si>
    <t>ضموج427</t>
  </si>
  <si>
    <t>اختيارخ موج-38000-14050428</t>
  </si>
  <si>
    <t>ضموج426</t>
  </si>
  <si>
    <t>اختيارخ موج-36000-14050428</t>
  </si>
  <si>
    <t>ضموج425</t>
  </si>
  <si>
    <t>اختيارخ موج-34000-14050428</t>
  </si>
  <si>
    <t>ضموج424</t>
  </si>
  <si>
    <t>اختيارخ موج-32000-14050428</t>
  </si>
  <si>
    <t>ضملي7069</t>
  </si>
  <si>
    <t>اختيارخ فملي-24000-1405/07/08</t>
  </si>
  <si>
    <t>ضملي7066</t>
  </si>
  <si>
    <t>اختيارخ فملي-18000-1405/07/08</t>
  </si>
  <si>
    <t>ضملي7063</t>
  </si>
  <si>
    <t>اختيارخ فملي-14000-1405/07/08</t>
  </si>
  <si>
    <t>ضملي7062</t>
  </si>
  <si>
    <t>اختيارخ فملي-13000-1405/07/08</t>
  </si>
  <si>
    <t>ضملت4026</t>
  </si>
  <si>
    <t>اختيارخ وبملت-1607-1405/04/24</t>
  </si>
  <si>
    <t>ضملت4025</t>
  </si>
  <si>
    <t>اختيارخ وبملت-1507-1405/04/24</t>
  </si>
  <si>
    <t>ضملت4024</t>
  </si>
  <si>
    <t>اختيارخ وبملت-1407-1405/04/24</t>
  </si>
  <si>
    <t>ضملت4023</t>
  </si>
  <si>
    <t>اختيارخ وبملت-1336-1405/04/24</t>
  </si>
  <si>
    <t>ضملت4022</t>
  </si>
  <si>
    <t>اختيارخ وبملت-1266-1405/04/24</t>
  </si>
  <si>
    <t>ضملت4021</t>
  </si>
  <si>
    <t>اختيارخ وبملت-1196-1405/04/24</t>
  </si>
  <si>
    <t>ضملت4020</t>
  </si>
  <si>
    <t>اختيارخ وبملت-1125-1405/04/24</t>
  </si>
  <si>
    <t>ضملت4019</t>
  </si>
  <si>
    <t>اختيارخ وبملت-1055-1405/04/24</t>
  </si>
  <si>
    <t>ضملت4018</t>
  </si>
  <si>
    <t>اختيارخ وبملت-985-1405/04/24</t>
  </si>
  <si>
    <t>ضملت4017</t>
  </si>
  <si>
    <t>اختيارخ وبملت-914-1405/04/24</t>
  </si>
  <si>
    <t>ضملت4016</t>
  </si>
  <si>
    <t>اختيارخ وبملت-844-1405/04/24</t>
  </si>
  <si>
    <t>ضملت4015</t>
  </si>
  <si>
    <t>اختيارخ وبملت-774-1405/04/24</t>
  </si>
  <si>
    <t>ضملت4014</t>
  </si>
  <si>
    <t>اختيارخ وبملت-703-1405/04/24</t>
  </si>
  <si>
    <t>ضملت4013</t>
  </si>
  <si>
    <t>اختيارخ وبملت-633-1405/04/24</t>
  </si>
  <si>
    <t>اختيارخ اخابر-900-1405/07/22</t>
  </si>
  <si>
    <t>اختيارخ اخابر-800-1405/07/22</t>
  </si>
  <si>
    <t>اختيارخ اخابر-750-1405/07/22</t>
  </si>
  <si>
    <t>اختيارخ اخابر-700-1405/07/22</t>
  </si>
  <si>
    <t>اختيارخ اخابر-650-1405/07/22</t>
  </si>
  <si>
    <t>اختيارخ اخابر-600-1405/07/22</t>
  </si>
  <si>
    <t>اختيارخ اخابر-550-1405/07/22</t>
  </si>
  <si>
    <t>اختيارخ اخابر-500-1405/07/22</t>
  </si>
  <si>
    <t>اختيارخ اخابر-450-1405/07/22</t>
  </si>
  <si>
    <t>اختيارخ اخابر-400-1405/07/22</t>
  </si>
  <si>
    <t>اختيارخ اخابر-380-1405/07/22</t>
  </si>
  <si>
    <t>اختيارخ اخابر-360-1405/07/22</t>
  </si>
  <si>
    <t>اختيارخ اخابر-340-1405/07/22</t>
  </si>
  <si>
    <t>اختيارخ اخابر-900-1405/05/20</t>
  </si>
  <si>
    <t>اختيارخ اخابر-800-1405/05/20</t>
  </si>
  <si>
    <t>اختيارخ اخابر-750-1405/05/20</t>
  </si>
  <si>
    <t>اختيارخ اخابر-700-1405/05/20</t>
  </si>
  <si>
    <t>اختيارخ اخابر-650-1405/05/20</t>
  </si>
  <si>
    <t>اختيارخ اخابر-600-1405/05/20</t>
  </si>
  <si>
    <t>اختيارخ اخابر-550-1405/05/20</t>
  </si>
  <si>
    <t>اختيارخ اخابر-500-1405/05/20</t>
  </si>
  <si>
    <t>اختيارخ اخابر-450-1405/05/20</t>
  </si>
  <si>
    <t>اختيارخ اخابر-400-1405/05/20</t>
  </si>
  <si>
    <t>اختيارخ اخابر-380-1405/05/20</t>
  </si>
  <si>
    <t>اختيارخ اخابر-360-1405/05/20</t>
  </si>
  <si>
    <t>اختيارخ اخابر-340-1405/05/20</t>
  </si>
  <si>
    <t>ضفزر421</t>
  </si>
  <si>
    <t>اختيارخ فزر-190000-14050428</t>
  </si>
  <si>
    <t>ضفزر420</t>
  </si>
  <si>
    <t>اختيارخ فزر-180000-14050428</t>
  </si>
  <si>
    <t>ضفزر419</t>
  </si>
  <si>
    <t>اختيارخ فزر-170000-14050428</t>
  </si>
  <si>
    <t>ضفزر418</t>
  </si>
  <si>
    <t>اختيارخ فزر-160000-14050428</t>
  </si>
  <si>
    <t>ضفزر417</t>
  </si>
  <si>
    <t>اختيارخ فزر-150000-14050428</t>
  </si>
  <si>
    <t>ضفزر416</t>
  </si>
  <si>
    <t>اختيارخ فزر-140000-14050428</t>
  </si>
  <si>
    <t>ضفزر415</t>
  </si>
  <si>
    <t>اختيارخ فزر-130000-14050428</t>
  </si>
  <si>
    <t>ضفزر414</t>
  </si>
  <si>
    <t>اختيارخ فزر-120000-14050428</t>
  </si>
  <si>
    <t>ضفزر413</t>
  </si>
  <si>
    <t>اختيارخ فزر-110000-14050428</t>
  </si>
  <si>
    <t>ضفزر412</t>
  </si>
  <si>
    <t>اختيارخ فزر-100000-14050428</t>
  </si>
  <si>
    <t>ضفزر411</t>
  </si>
  <si>
    <t>اختيارخ فزر-95000-14050428</t>
  </si>
  <si>
    <t>ضطعام415</t>
  </si>
  <si>
    <t>اختيارخ طعام-30000-14050414</t>
  </si>
  <si>
    <t>ضطعام414</t>
  </si>
  <si>
    <t>اختيارخ طعام-28000-14050414</t>
  </si>
  <si>
    <t>ضطعام413</t>
  </si>
  <si>
    <t>اختيارخ طعام-26000-14050414</t>
  </si>
  <si>
    <t>ضطعام412</t>
  </si>
  <si>
    <t>اختيارخ طعام-24000-14050414</t>
  </si>
  <si>
    <t>ضطعام411</t>
  </si>
  <si>
    <t>اختيارخ طعام-22000-14050414</t>
  </si>
  <si>
    <t>ضطعام410</t>
  </si>
  <si>
    <t>اختيارخ طعام-20000-14050414</t>
  </si>
  <si>
    <t>ضطعام409</t>
  </si>
  <si>
    <t>اختيارخ طعام-19000-14050414</t>
  </si>
  <si>
    <t>ضطعام408</t>
  </si>
  <si>
    <t>اختيارخ طعام-18000-14050414</t>
  </si>
  <si>
    <t>ضطعام407</t>
  </si>
  <si>
    <t>اختيارخ طعام-17000-14050414</t>
  </si>
  <si>
    <t>ضطعام406</t>
  </si>
  <si>
    <t>اختيارخ طعام-16000-14050414</t>
  </si>
  <si>
    <t>ضطعام405</t>
  </si>
  <si>
    <t>اختيارخ طعام-15000-14050414</t>
  </si>
  <si>
    <t>ضطعام404</t>
  </si>
  <si>
    <t>اختيارخ طعام-14000-14050414</t>
  </si>
  <si>
    <t>ضطعام403</t>
  </si>
  <si>
    <t>اختيارخ طعام-13000-14050414</t>
  </si>
  <si>
    <t>ضطعام402</t>
  </si>
  <si>
    <t>اختيارخ طعام-12000-14050414</t>
  </si>
  <si>
    <t>ضطعام401</t>
  </si>
  <si>
    <t>اختيارخ طعام-11000-14050414</t>
  </si>
  <si>
    <t>ضطعام400</t>
  </si>
  <si>
    <t>اختيارخ طعام-10000-14050414</t>
  </si>
  <si>
    <t>ضصاد7045</t>
  </si>
  <si>
    <t>اختيارخ وبصادر-900-1405/07/22</t>
  </si>
  <si>
    <t>ضصاد7044</t>
  </si>
  <si>
    <t>اختيارخ وبصادر-800-1405/07/22</t>
  </si>
  <si>
    <t>ضصاد7041</t>
  </si>
  <si>
    <t>اختيارخ وبصادر-650-1405/07/22</t>
  </si>
  <si>
    <t>ضصاد7040</t>
  </si>
  <si>
    <t>اختيارخ وبصادر-600-1405/07/22</t>
  </si>
  <si>
    <t>ضصاد7039</t>
  </si>
  <si>
    <t>اختيارخ وبصادر-550-1405/07/22</t>
  </si>
  <si>
    <t>ضصاد7038</t>
  </si>
  <si>
    <t>اختيارخ وبصادر-500-1405/07/22</t>
  </si>
  <si>
    <t>ضصاد7037</t>
  </si>
  <si>
    <t>اختيارخ وبصادر-450-1405/07/22</t>
  </si>
  <si>
    <t>ضصاد7036</t>
  </si>
  <si>
    <t>اختيارخ وبصادر-400-1405/07/22</t>
  </si>
  <si>
    <t>ضصاد5026</t>
  </si>
  <si>
    <t>اختيارخ وبصادر-500-1405/05/20</t>
  </si>
  <si>
    <t>ضصاد5025</t>
  </si>
  <si>
    <t>اختيارخ وبصادر-450-1405/05/20</t>
  </si>
  <si>
    <t>ضصاد5024</t>
  </si>
  <si>
    <t>اختيارخ وبصادر-400-1405/05/20</t>
  </si>
  <si>
    <t>ضصاد5023</t>
  </si>
  <si>
    <t>اختيارخ وبصادر-380-1405/05/20</t>
  </si>
  <si>
    <t>ضشنا6047</t>
  </si>
  <si>
    <t>اختيارخ شپنا-12000-1405/06/18</t>
  </si>
  <si>
    <t>ضشنا6046</t>
  </si>
  <si>
    <t>اختيارخ شپنا-11000-1405/06/18</t>
  </si>
  <si>
    <t>ضشنا6045</t>
  </si>
  <si>
    <t>اختيارخ شپنا-10000-1405/06/18</t>
  </si>
  <si>
    <t>ضشنا6044</t>
  </si>
  <si>
    <t>اختيارخ شپنا-9000-1405/06/18</t>
  </si>
  <si>
    <t>ضشنا6043</t>
  </si>
  <si>
    <t>اختيارخ شپنا-8000-1405/06/18</t>
  </si>
  <si>
    <t>ضشنا6042</t>
  </si>
  <si>
    <t>اختيارخ شپنا-7500-1405/06/18</t>
  </si>
  <si>
    <t>ضشنا6041</t>
  </si>
  <si>
    <t>اختيارخ شپنا-7000-1405/06/18</t>
  </si>
  <si>
    <t>ضشنا6040</t>
  </si>
  <si>
    <t>اختيارخ شپنا-6500-1405/06/18</t>
  </si>
  <si>
    <t>ضشنا6039</t>
  </si>
  <si>
    <t>اختيارخ شپنا-6000-1405/06/18</t>
  </si>
  <si>
    <t>ضشنا6038</t>
  </si>
  <si>
    <t>اختيارخ شپنا-5500-1405/06/18</t>
  </si>
  <si>
    <t>ضشنا6037</t>
  </si>
  <si>
    <t>اختيارخ شپنا-5000-1405/06/18</t>
  </si>
  <si>
    <t>ضشنا6036</t>
  </si>
  <si>
    <t>اختيارخ شپنا-4500-1405/06/18</t>
  </si>
  <si>
    <t>ضشنا4037</t>
  </si>
  <si>
    <t>اختيارخ شپنا-11000-1405/04/17</t>
  </si>
  <si>
    <t>ضشنا4036</t>
  </si>
  <si>
    <t>اختيارخ شپنا-10000-1405/04/17</t>
  </si>
  <si>
    <t>ضشنا4035</t>
  </si>
  <si>
    <t>اختيارخ شپنا-9000-1405/04/17</t>
  </si>
  <si>
    <t>ضشنا4034</t>
  </si>
  <si>
    <t>اختيارخ شپنا-8000-1405/04/17</t>
  </si>
  <si>
    <t>ضشنا4033</t>
  </si>
  <si>
    <t>اختيارخ شپنا-7500-1405/04/17</t>
  </si>
  <si>
    <t>ضشنا4032</t>
  </si>
  <si>
    <t>اختيارخ شپنا-7000-1405/04/17</t>
  </si>
  <si>
    <t>ضشنا4031</t>
  </si>
  <si>
    <t>اختيارخ شپنا-6500-1405/04/17</t>
  </si>
  <si>
    <t>ضشنا4030</t>
  </si>
  <si>
    <t>اختيارخ شپنا-6000-1405/04/17</t>
  </si>
  <si>
    <t>ضشنا4029</t>
  </si>
  <si>
    <t>اختيارخ شپنا-5500-1405/04/17</t>
  </si>
  <si>
    <t>ضشنا4028</t>
  </si>
  <si>
    <t>اختيارخ شپنا-5000-1405/04/17</t>
  </si>
  <si>
    <t>ضشنا4027</t>
  </si>
  <si>
    <t>اختيارخ شپنا-4500-1405/04/17</t>
  </si>
  <si>
    <t>ضشنا4026</t>
  </si>
  <si>
    <t>اختيارخ شپنا-4000-1405/04/17</t>
  </si>
  <si>
    <t>ضشنا4025</t>
  </si>
  <si>
    <t>اختيارخ شپنا-3750-1405/04/17</t>
  </si>
  <si>
    <t>ضشنا4024</t>
  </si>
  <si>
    <t>اختيارخ شپنا-3500-1405/04/17</t>
  </si>
  <si>
    <t>ضستر4035</t>
  </si>
  <si>
    <t>اختيارخ خگستر-3750-1405/04/10</t>
  </si>
  <si>
    <t>ضستر4034</t>
  </si>
  <si>
    <t>اختيارخ خگستر-3500-1405/04/10</t>
  </si>
  <si>
    <t>ضستر4033</t>
  </si>
  <si>
    <t>اختيارخ خگستر-3250-1405/04/10</t>
  </si>
  <si>
    <t>ضستر4032</t>
  </si>
  <si>
    <t>اختيارخ خگستر-3000-1405/04/10</t>
  </si>
  <si>
    <t>ضستر4031</t>
  </si>
  <si>
    <t>اختيارخ خگستر-2800-1405/04/10</t>
  </si>
  <si>
    <t>ضستر4030</t>
  </si>
  <si>
    <t>اختيارخ خگستر-2600-1405/04/10</t>
  </si>
  <si>
    <t>ضستر4029</t>
  </si>
  <si>
    <t>اختيارخ خگستر-2400-1405/04/10</t>
  </si>
  <si>
    <t>ضستر4028</t>
  </si>
  <si>
    <t>اختيارخ خگستر-2200-1405/04/10</t>
  </si>
  <si>
    <t>ضستر4027</t>
  </si>
  <si>
    <t>اختيارخ خگستر-2000-1405/04/10</t>
  </si>
  <si>
    <t>ضستر4026</t>
  </si>
  <si>
    <t>اختيارخ خگستر-1900-1405/04/10</t>
  </si>
  <si>
    <t>ضستر4025</t>
  </si>
  <si>
    <t>اختيارخ خگستر-1800-1405/04/10</t>
  </si>
  <si>
    <t>ضستر4024</t>
  </si>
  <si>
    <t>اختيارخ خگستر-1700-1405/04/10</t>
  </si>
  <si>
    <t>ضستر4023</t>
  </si>
  <si>
    <t>اختيارخ خگستر-1600-1405/04/10</t>
  </si>
  <si>
    <t>ضستا4048</t>
  </si>
  <si>
    <t>اختيارخ شستا-2600-1405/04/10</t>
  </si>
  <si>
    <t>ضستا4047</t>
  </si>
  <si>
    <t>اختيارخ شستا-2400-1405/04/10</t>
  </si>
  <si>
    <t>ضستا4046</t>
  </si>
  <si>
    <t>اختيارخ شستا-2200-1405/04/10</t>
  </si>
  <si>
    <t>ضستا4045</t>
  </si>
  <si>
    <t>اختيارخ شستا-2000-1405/04/10</t>
  </si>
  <si>
    <t>ضستا4044</t>
  </si>
  <si>
    <t>اختيارخ شستا-1900-1405/04/10</t>
  </si>
  <si>
    <t>ضستا4043</t>
  </si>
  <si>
    <t>اختيارخ شستا-1800-1405/04/10</t>
  </si>
  <si>
    <t>ضستا4042</t>
  </si>
  <si>
    <t>اختيارخ شستا-1700-1405/04/10</t>
  </si>
  <si>
    <t>ضستا4041</t>
  </si>
  <si>
    <t>اختيارخ شستا-1600-1405/04/10</t>
  </si>
  <si>
    <t>ضستا4040</t>
  </si>
  <si>
    <t>اختيارخ شستا-1500-1405/04/10</t>
  </si>
  <si>
    <t>ضستا4039</t>
  </si>
  <si>
    <t>اختيارخ شستا-1400-1405/04/10</t>
  </si>
  <si>
    <t>ضستا4038</t>
  </si>
  <si>
    <t>اختيارخ شستا-1300-1405/04/10</t>
  </si>
  <si>
    <t>ضستا4037</t>
  </si>
  <si>
    <t>اختيارخ شستا-1200-1405/04/10</t>
  </si>
  <si>
    <t>ضستا4036</t>
  </si>
  <si>
    <t>اختيارخ شستا-1100-1405/04/10</t>
  </si>
  <si>
    <t>ضسپا6050</t>
  </si>
  <si>
    <t>اختيارخ خساپا-1000-1405/06/25</t>
  </si>
  <si>
    <t>ضسپا6049</t>
  </si>
  <si>
    <t>اختيارخ خساپا-900-1405/06/25</t>
  </si>
  <si>
    <t>ضسپا6048</t>
  </si>
  <si>
    <t>اختيارخ خساپا-800-1405/06/25</t>
  </si>
  <si>
    <t>ضسپا6047</t>
  </si>
  <si>
    <t>اختيارخ خساپا-750-1405/06/25</t>
  </si>
  <si>
    <t>ضسپا6046</t>
  </si>
  <si>
    <t>اختيارخ خساپا-700-1405/06/25</t>
  </si>
  <si>
    <t>ضسپا6045</t>
  </si>
  <si>
    <t>اختيارخ خساپا-650-1405/06/25</t>
  </si>
  <si>
    <t>ضسپا6039</t>
  </si>
  <si>
    <t>اختيارخ خساپا-380-1405/06/25</t>
  </si>
  <si>
    <t>ضسپا5031</t>
  </si>
  <si>
    <t>اختيارخ خساپا-750-1405/05/28</t>
  </si>
  <si>
    <t>ضسپا5023</t>
  </si>
  <si>
    <t>اختيارخ خساپا-380-1405/05/28</t>
  </si>
  <si>
    <t>ضسپا5022</t>
  </si>
  <si>
    <t>اختيارخ خساپا-360-1405/05/28</t>
  </si>
  <si>
    <t>ضسپا4033</t>
  </si>
  <si>
    <t>اختيارخ خساپا-900-1405/04/24</t>
  </si>
  <si>
    <t>ضسپا4032</t>
  </si>
  <si>
    <t>اختيارخ خساپا-800-1405/04/24</t>
  </si>
  <si>
    <t>ضسپا4031</t>
  </si>
  <si>
    <t>اختيارخ خساپا-750-1405/04/24</t>
  </si>
  <si>
    <t>ضسپا4030</t>
  </si>
  <si>
    <t>اختيارخ خساپا-700-1405/04/24</t>
  </si>
  <si>
    <t>ضسپا4029</t>
  </si>
  <si>
    <t>اختيارخ خساپا-650-1405/04/24</t>
  </si>
  <si>
    <t>ضسپا4028</t>
  </si>
  <si>
    <t>اختيارخ خساپا-600-1405/04/24</t>
  </si>
  <si>
    <t>ضسپا4027</t>
  </si>
  <si>
    <t>اختيارخ خساپا-550-1405/04/24</t>
  </si>
  <si>
    <t>ضسپا4026</t>
  </si>
  <si>
    <t>اختيارخ خساپا-500-1405/04/24</t>
  </si>
  <si>
    <t>ضسپا4025</t>
  </si>
  <si>
    <t>اختيارخ خساپا-450-1405/04/24</t>
  </si>
  <si>
    <t>ضسپا4024</t>
  </si>
  <si>
    <t>اختيارخ خساپا-400-1405/04/24</t>
  </si>
  <si>
    <t>ضسپا4023</t>
  </si>
  <si>
    <t>اختيارخ خساپا-380-1405/04/24</t>
  </si>
  <si>
    <t>ضسپا4022</t>
  </si>
  <si>
    <t>اختيارخ خساپا-360-1405/04/24</t>
  </si>
  <si>
    <t>ضسپا4021</t>
  </si>
  <si>
    <t>اختيارخ خساپا-340-1405/04/24</t>
  </si>
  <si>
    <t>ضراز4009</t>
  </si>
  <si>
    <t>اختيارخ هم تراز-18000-05/04/02</t>
  </si>
  <si>
    <t>ضراز4008</t>
  </si>
  <si>
    <t>اختيارخ هم تراز-16000-05/04/02</t>
  </si>
  <si>
    <t>ضراز4007</t>
  </si>
  <si>
    <t>اختيارخ هم تراز-15000-05/04/02</t>
  </si>
  <si>
    <t>ضراز4006</t>
  </si>
  <si>
    <t>اختيارخ هم تراز-14000-05/04/02</t>
  </si>
  <si>
    <t>ضراز4005</t>
  </si>
  <si>
    <t>اختيارخ هم تراز-13000-05/04/02</t>
  </si>
  <si>
    <t>ضراز4004</t>
  </si>
  <si>
    <t>اختيارخ هم تراز-12000-05/04/02</t>
  </si>
  <si>
    <t>ضراز4001</t>
  </si>
  <si>
    <t>اختيارخ هم تراز-9000-05/04/02</t>
  </si>
  <si>
    <t>ضراز4000</t>
  </si>
  <si>
    <t>اختيارخ هم تراز-8000-05/04/02</t>
  </si>
  <si>
    <t>ضذوب6013</t>
  </si>
  <si>
    <t>اختيارخ ذوب-340-1405/06/18</t>
  </si>
  <si>
    <t>ضذوب6012</t>
  </si>
  <si>
    <t>اختيارخ ذوب-320-1405/06/18</t>
  </si>
  <si>
    <t>ضذوب6010</t>
  </si>
  <si>
    <t>اختيارخ ذوب-280-1405/06/18</t>
  </si>
  <si>
    <t>ضذوب6009</t>
  </si>
  <si>
    <t>اختيارخ ذوب-260-1405/06/18</t>
  </si>
  <si>
    <t>ضذوب5020</t>
  </si>
  <si>
    <t>اختيارخ ذوب-280-1405/05/20</t>
  </si>
  <si>
    <t>ضذوب4020</t>
  </si>
  <si>
    <t>اختيارخ ذوب-600-1405/04/17</t>
  </si>
  <si>
    <t>ضذوب4019</t>
  </si>
  <si>
    <t>اختيارخ ذوب-550-1405/04/17</t>
  </si>
  <si>
    <t>ضذوب4018</t>
  </si>
  <si>
    <t>اختيارخ ذوب-500-1405/04/17</t>
  </si>
  <si>
    <t>ضذوب4017</t>
  </si>
  <si>
    <t>اختيارخ ذوب-450-1405/04/17</t>
  </si>
  <si>
    <t>ضذوب4016</t>
  </si>
  <si>
    <t>اختيارخ ذوب-400-1405/04/17</t>
  </si>
  <si>
    <t>ضذوب4015</t>
  </si>
  <si>
    <t>اختيارخ ذوب-380-1405/04/17</t>
  </si>
  <si>
    <t>ضذوب4014</t>
  </si>
  <si>
    <t>اختيارخ ذوب-360-1405/04/17</t>
  </si>
  <si>
    <t>ضذوب4013</t>
  </si>
  <si>
    <t>اختيارخ ذوب-340-1405/04/17</t>
  </si>
  <si>
    <t>ضذوب4012</t>
  </si>
  <si>
    <t>اختيارخ ذوب-320-1405/04/17</t>
  </si>
  <si>
    <t>ضذوب4011</t>
  </si>
  <si>
    <t>اختيارخ ذوب-300-1405/04/17</t>
  </si>
  <si>
    <t>ضذوب4010</t>
  </si>
  <si>
    <t>اختيارخ ذوب-280-1405/04/17</t>
  </si>
  <si>
    <t>ضذوب4009</t>
  </si>
  <si>
    <t>اختيارخ ذوب-260-1405/04/17</t>
  </si>
  <si>
    <t>ضخود4066</t>
  </si>
  <si>
    <t>اختيارخ خودرو-1000-1405/04/10</t>
  </si>
  <si>
    <t>ضخود4065</t>
  </si>
  <si>
    <t>اختيارخ خودرو-900-1405/04/10</t>
  </si>
  <si>
    <t>ضخود4064</t>
  </si>
  <si>
    <t>اختيارخ خودرو-800-1405/04/10</t>
  </si>
  <si>
    <t>ضخود4063</t>
  </si>
  <si>
    <t>اختيارخ خودرو-750-1405/04/10</t>
  </si>
  <si>
    <t>ضخود4062</t>
  </si>
  <si>
    <t>اختيارخ خودرو-700-1405/04/10</t>
  </si>
  <si>
    <t>ضخود4061</t>
  </si>
  <si>
    <t>اختيارخ خودرو-650-1405/04/10</t>
  </si>
  <si>
    <t>ضخود4060</t>
  </si>
  <si>
    <t>اختيارخ خودرو-600-1405/04/10</t>
  </si>
  <si>
    <t>ضخود4059</t>
  </si>
  <si>
    <t>اختيارخ خودرو-550-1405/04/10</t>
  </si>
  <si>
    <t>ضخود4058</t>
  </si>
  <si>
    <t>اختيارخ خودرو-500-1405/04/10</t>
  </si>
  <si>
    <t>ضخود4057</t>
  </si>
  <si>
    <t>اختيارخ خودرو-450-1405/04/10</t>
  </si>
  <si>
    <t>ضخود4056</t>
  </si>
  <si>
    <t>اختيارخ خودرو-400-1405/04/10</t>
  </si>
  <si>
    <t>ضجوا4010</t>
  </si>
  <si>
    <t>اختيارخ جوانه.ك-26000-05/04/24</t>
  </si>
  <si>
    <t>ضجوا4009</t>
  </si>
  <si>
    <t>اختيارخ جوانه.ك-24000-05/04/24</t>
  </si>
  <si>
    <t>ضجوا4008</t>
  </si>
  <si>
    <t>اختيارخ جوانه.ك-22000-05/04/24</t>
  </si>
  <si>
    <t>ضجوا4007</t>
  </si>
  <si>
    <t>اختيارخ جوانه.ك-20000-05/04/24</t>
  </si>
  <si>
    <t>ضجوا4006</t>
  </si>
  <si>
    <t>اختيارخ جوانه.ك-18000-05/04/24</t>
  </si>
  <si>
    <t>ضجوا4005</t>
  </si>
  <si>
    <t>اختيارخ جوانه.ك-16000-05/04/24</t>
  </si>
  <si>
    <t>ضجوا4004</t>
  </si>
  <si>
    <t>اختيارخ جوانه.ك-15000-05/04/24</t>
  </si>
  <si>
    <t>ضجوا4003</t>
  </si>
  <si>
    <t>اختيارخ جوانه.ك-14000-05/04/24</t>
  </si>
  <si>
    <t>ضجوا4002</t>
  </si>
  <si>
    <t>اختيارخ جوانه.ك-13000-05/04/24</t>
  </si>
  <si>
    <t>ضجوا4001</t>
  </si>
  <si>
    <t>اختيارخ جوانه.ك-12000-05/04/24</t>
  </si>
  <si>
    <t>ضجوا4000</t>
  </si>
  <si>
    <t>اختيارخ جوانه.ك-11000-05/04/24</t>
  </si>
  <si>
    <t>ضجار6038</t>
  </si>
  <si>
    <t>اختيارخ وتجارت-380-1405/06/18</t>
  </si>
  <si>
    <t>ضجار6037</t>
  </si>
  <si>
    <t>اختيارخ وتجارت-360-1405/06/18</t>
  </si>
  <si>
    <t>ضجار4033</t>
  </si>
  <si>
    <t>اختيارخ وتجارت-700-1405/04/17</t>
  </si>
  <si>
    <t>ضجار4032</t>
  </si>
  <si>
    <t>اختيارخ وتجارت-650-1405/04/17</t>
  </si>
  <si>
    <t>ضجار4031</t>
  </si>
  <si>
    <t>اختيارخ وتجارت-600-1405/04/17</t>
  </si>
  <si>
    <t>ضجار4030</t>
  </si>
  <si>
    <t>اختيارخ وتجارت-550-1405/04/17</t>
  </si>
  <si>
    <t>ضجار4029</t>
  </si>
  <si>
    <t>اختيارخ وتجارت-500-1405/04/17</t>
  </si>
  <si>
    <t>ضجار4028</t>
  </si>
  <si>
    <t>اختيارخ وتجارت-450-1405/04/17</t>
  </si>
  <si>
    <t>ضجار4027</t>
  </si>
  <si>
    <t>اختيارخ وتجارت-400-1405/04/17</t>
  </si>
  <si>
    <t>ضجار4026</t>
  </si>
  <si>
    <t>اختيارخ وتجارت-380-1405/04/17</t>
  </si>
  <si>
    <t>ضجار4025</t>
  </si>
  <si>
    <t>اختيارخ وتجارت-360-1405/04/17</t>
  </si>
  <si>
    <t>ضجار4024</t>
  </si>
  <si>
    <t>اختيارخ وتجارت-340-1405/04/17</t>
  </si>
  <si>
    <t>ضجار4023</t>
  </si>
  <si>
    <t>اختيارخ وتجارت-320-1405/04/17</t>
  </si>
  <si>
    <t>ضجار4022</t>
  </si>
  <si>
    <t>اختيارخ وتجارت-300-1405/04/17</t>
  </si>
  <si>
    <t>ضجار4021</t>
  </si>
  <si>
    <t>اختيارخ وتجارت-280-1405/04/17</t>
  </si>
  <si>
    <t>ضتوان426</t>
  </si>
  <si>
    <t>اختيارخ توان-75000-14050428</t>
  </si>
  <si>
    <t>ضتوان425</t>
  </si>
  <si>
    <t>اختيارخ توان-70000-14050428</t>
  </si>
  <si>
    <t>ضتوان424</t>
  </si>
  <si>
    <t>اختيارخ توان-65000-14050428</t>
  </si>
  <si>
    <t>ضتوان423</t>
  </si>
  <si>
    <t>اختيارخ توان-60000-14050428</t>
  </si>
  <si>
    <t>ضتوان422</t>
  </si>
  <si>
    <t>اختيارخ توان-55000-14050428</t>
  </si>
  <si>
    <t>ضتوان421</t>
  </si>
  <si>
    <t>اختيارخ توان-50000-14050428</t>
  </si>
  <si>
    <t>ضتوان420</t>
  </si>
  <si>
    <t>اختيارخ توان-48000-14050428</t>
  </si>
  <si>
    <t>ضتوان419</t>
  </si>
  <si>
    <t>اختيارخ توان-46000-14050428</t>
  </si>
  <si>
    <t>ضتوان418</t>
  </si>
  <si>
    <t>اختيارخ توان-44000-14050428</t>
  </si>
  <si>
    <t>ضتوان417</t>
  </si>
  <si>
    <t>اختيارخ توان-42000-14050428</t>
  </si>
  <si>
    <t>ضتوان416</t>
  </si>
  <si>
    <t>اختيارخ توان-40000-14050428</t>
  </si>
  <si>
    <t>ضتوان415</t>
  </si>
  <si>
    <t>اختيارخ توان-38000-14050428</t>
  </si>
  <si>
    <t>ضتوان414</t>
  </si>
  <si>
    <t>اختيارخ توان-36000-14050428</t>
  </si>
  <si>
    <t>ضتوان413</t>
  </si>
  <si>
    <t>اختيارخ توان-34000-14050428</t>
  </si>
  <si>
    <t>ضتوان412</t>
  </si>
  <si>
    <t>اختيارخ توان-32000-14050428</t>
  </si>
  <si>
    <t>ضتوان411</t>
  </si>
  <si>
    <t>اختيارخ توان-30000-14050428</t>
  </si>
  <si>
    <t>صمپنا607</t>
  </si>
  <si>
    <t>صكوك اجاره مپنا607-3ماهه23%</t>
  </si>
  <si>
    <t>صگل540</t>
  </si>
  <si>
    <t xml:space="preserve">صكوك اجاره گل گهر540-3ماهه23%	</t>
  </si>
  <si>
    <t>صگل54</t>
  </si>
  <si>
    <t>صكوك اجاره گل گهر54-3ماهه23%</t>
  </si>
  <si>
    <t>صگستر504</t>
  </si>
  <si>
    <t>صكوك اجاره صگستر504- 6ماهه18%</t>
  </si>
  <si>
    <t>صفولا612</t>
  </si>
  <si>
    <t>صكوك مرابحه فولاژ612-بدون ضامن</t>
  </si>
  <si>
    <t>صزاگرس07</t>
  </si>
  <si>
    <t>صكوك مرابحه انديمشك07-6ماهه23%</t>
  </si>
  <si>
    <t>شميم2</t>
  </si>
  <si>
    <t>شگويا3</t>
  </si>
  <si>
    <t>شتوكا3</t>
  </si>
  <si>
    <t>شپاكسا3</t>
  </si>
  <si>
    <t>شاراك3</t>
  </si>
  <si>
    <t>سيلور2</t>
  </si>
  <si>
    <t>سيدكو3</t>
  </si>
  <si>
    <t>سيتا3</t>
  </si>
  <si>
    <t>سنوين2</t>
  </si>
  <si>
    <t>سپيدار3</t>
  </si>
  <si>
    <t>سپر2</t>
  </si>
  <si>
    <t>سافرون2</t>
  </si>
  <si>
    <t>ساحل2</t>
  </si>
  <si>
    <t>زمرد كوروش4</t>
  </si>
  <si>
    <t>زكوثر3</t>
  </si>
  <si>
    <t>زرفام2</t>
  </si>
  <si>
    <t>صندوق س.پشتوانه طلاي زرافشان</t>
  </si>
  <si>
    <t>ريتون2</t>
  </si>
  <si>
    <t>صندوق س.پشتوانه طلاي رز</t>
  </si>
  <si>
    <t>ديبا2</t>
  </si>
  <si>
    <t>دفينه2</t>
  </si>
  <si>
    <t>دسينا3</t>
  </si>
  <si>
    <t>دسبحان3</t>
  </si>
  <si>
    <t>درين2</t>
  </si>
  <si>
    <t>دتوليد3</t>
  </si>
  <si>
    <t>دتماد3</t>
  </si>
  <si>
    <t>خزاميا3</t>
  </si>
  <si>
    <t>خرينگ3</t>
  </si>
  <si>
    <t>ختراك3</t>
  </si>
  <si>
    <t>خبرنا3</t>
  </si>
  <si>
    <t>خاذين3</t>
  </si>
  <si>
    <t>خاتم2</t>
  </si>
  <si>
    <t>حفارس3</t>
  </si>
  <si>
    <t>حتوكا3</t>
  </si>
  <si>
    <t>حآفرين3</t>
  </si>
  <si>
    <t>حآساح</t>
  </si>
  <si>
    <t>ح.آسيا سير ارس</t>
  </si>
  <si>
    <t>چدن3</t>
  </si>
  <si>
    <t>چدن2</t>
  </si>
  <si>
    <t>چاشني2</t>
  </si>
  <si>
    <t>ثاخت3</t>
  </si>
  <si>
    <t>تنوين2</t>
  </si>
  <si>
    <t>تمشك2</t>
  </si>
  <si>
    <t>تكپاد2</t>
  </si>
  <si>
    <t>تفارس3</t>
  </si>
  <si>
    <t>تاصيكوح</t>
  </si>
  <si>
    <t>ح . سرمايه گذاري صدرتامين</t>
  </si>
  <si>
    <t>تاراز2</t>
  </si>
  <si>
    <t>پناه2</t>
  </si>
  <si>
    <t>پرتوسا2</t>
  </si>
  <si>
    <t>پرتو2</t>
  </si>
  <si>
    <t>پخش3</t>
  </si>
  <si>
    <t>پتروصبا2</t>
  </si>
  <si>
    <t>پتروپاداش2</t>
  </si>
  <si>
    <t>پاريز3</t>
  </si>
  <si>
    <t>پارس2</t>
  </si>
  <si>
    <t>بيوتيكح</t>
  </si>
  <si>
    <t>ح .آنتي بيوتيك سازي ايران</t>
  </si>
  <si>
    <t>بهين رو2</t>
  </si>
  <si>
    <t>بنو3</t>
  </si>
  <si>
    <t>بگيلان2</t>
  </si>
  <si>
    <t>بانكدار2</t>
  </si>
  <si>
    <t>آلومينا3</t>
  </si>
  <si>
    <t>آگاس2</t>
  </si>
  <si>
    <t>آكورد2</t>
  </si>
  <si>
    <t>آسود2</t>
  </si>
  <si>
    <t>آريان2</t>
  </si>
  <si>
    <t>آباد3</t>
  </si>
  <si>
    <t>اوانح</t>
  </si>
  <si>
    <t>ح . مبين وان كيش</t>
  </si>
  <si>
    <t>اكسيژن2</t>
  </si>
  <si>
    <t>اكسير</t>
  </si>
  <si>
    <t>ص.خ.اكسير زيست پارسيان70%تاديه</t>
  </si>
  <si>
    <t>افران4</t>
  </si>
  <si>
    <t>اعتلاح</t>
  </si>
  <si>
    <t>ح سرمايه گذاري اعتلاء البرز</t>
  </si>
  <si>
    <t>اعتبارسهام2</t>
  </si>
  <si>
    <t>اراد2904</t>
  </si>
  <si>
    <t xml:space="preserve">مرابحه عام دولت290-ش.خ070402	</t>
  </si>
  <si>
    <t>اراد290</t>
  </si>
  <si>
    <t>اراد2894</t>
  </si>
  <si>
    <t xml:space="preserve">مرابحه عام دولت289-ش.خ070826	</t>
  </si>
  <si>
    <t>اراد289</t>
  </si>
  <si>
    <t>اراد288</t>
  </si>
  <si>
    <t xml:space="preserve">مرابحه عام دولت288-ش.خ070526	</t>
  </si>
  <si>
    <t>اراد286</t>
  </si>
  <si>
    <t xml:space="preserve">مرابحه عام دولت286-ش.خ080419	</t>
  </si>
  <si>
    <t>اراد275</t>
  </si>
  <si>
    <t>مرابحه عام دولت275-ش.خ080205</t>
  </si>
  <si>
    <t>اراد274</t>
  </si>
  <si>
    <t>مرابحه عام دولت274-ش.خ071105</t>
  </si>
  <si>
    <t>اراد272</t>
  </si>
  <si>
    <t>اراد271</t>
  </si>
  <si>
    <t>مرابحه عام دولت271-ش.خ070628</t>
  </si>
  <si>
    <t>اراد267</t>
  </si>
  <si>
    <t>اراد2652</t>
  </si>
  <si>
    <t>اراد265</t>
  </si>
  <si>
    <t>اراد260</t>
  </si>
  <si>
    <t>اراد258</t>
  </si>
  <si>
    <t>اراد233</t>
  </si>
  <si>
    <t>اراد226</t>
  </si>
  <si>
    <t>اراد159</t>
  </si>
  <si>
    <t>مرابحه عام دولت159-ش.خ050811</t>
  </si>
  <si>
    <t>اخزا2042</t>
  </si>
  <si>
    <t>ابتكار2</t>
  </si>
  <si>
    <t>سليم</t>
  </si>
  <si>
    <t>سرمايه گذاري سليم</t>
  </si>
  <si>
    <t>سيگلو</t>
  </si>
  <si>
    <t>صندوق س.كالاي آشناي1</t>
  </si>
  <si>
    <t>ESTC-CEMENTPOLIB-00</t>
  </si>
  <si>
    <t>NECO-CEMENTWB-00</t>
  </si>
  <si>
    <t>ESCO-PCT2G42.5-L50EX-00</t>
  </si>
  <si>
    <t>CJOV-PCT2G42.5-BEX-00</t>
  </si>
  <si>
    <t>صدارو904</t>
  </si>
  <si>
    <t>صكوك مرابحه دارو904-3ماهه23%</t>
  </si>
  <si>
    <t>غبهنوش</t>
  </si>
  <si>
    <t>بهنوش‌ ايران‌</t>
  </si>
  <si>
    <t>صدارو094</t>
  </si>
  <si>
    <t>صكوك  مرابحه دارو094-3ماهه23%</t>
  </si>
  <si>
    <t>sales at Month 6/1404</t>
  </si>
  <si>
    <t>sales at Month 5/1404</t>
  </si>
  <si>
    <t>Total at Month 5/ 1404</t>
  </si>
  <si>
    <t>sales at Month 4/1404</t>
  </si>
  <si>
    <t>Total at Month 4/ 1404</t>
  </si>
  <si>
    <t>sales at Month 3/1404</t>
  </si>
  <si>
    <t>Total at Month 3/ 1404</t>
  </si>
  <si>
    <t>sales at Month 2/1404</t>
  </si>
  <si>
    <t>Total at Month 2/ 1404</t>
  </si>
  <si>
    <t>sales at Month 1/1404</t>
  </si>
  <si>
    <t>Total at Month 1/ 1404</t>
  </si>
  <si>
    <t>فروش 1405 تا پایان ماه 4</t>
  </si>
  <si>
    <t>درصد رشد فروش تجمیعی به سال قبل تا پایان ماه 4</t>
  </si>
  <si>
    <t>SABC-PCT2G42.5-L50EX-00</t>
  </si>
  <si>
    <t>غگرجي</t>
  </si>
  <si>
    <t>بيسكويت‌  گرجي‌</t>
  </si>
  <si>
    <t>وآتوس</t>
  </si>
  <si>
    <t>گروه سرمايه گذاري توسكا</t>
  </si>
  <si>
    <t>وآتوسح</t>
  </si>
  <si>
    <t>ح .گروه سرمايه گذاري توسكا</t>
  </si>
  <si>
    <t>دفرا</t>
  </si>
  <si>
    <t>فرآورده‌هاي‌ تزريقي‌ ايران‌</t>
  </si>
  <si>
    <t>ضهرم7050</t>
  </si>
  <si>
    <t>اختيارخ اهرم-20000-1405/07/29</t>
  </si>
  <si>
    <t>ضهرم7051</t>
  </si>
  <si>
    <t>اختيارخ اهرم-22000-1405/07/29</t>
  </si>
  <si>
    <t>ضهرم7052</t>
  </si>
  <si>
    <t>اختيارخ اهرم-24000-1405/07/29</t>
  </si>
  <si>
    <t>ضهرم7053</t>
  </si>
  <si>
    <t>اختيارخ اهرم-26000-1405/07/29</t>
  </si>
  <si>
    <t>ضهرم7054</t>
  </si>
  <si>
    <t>اختيارخ اهرم-28000-1405/07/29</t>
  </si>
  <si>
    <t>ضهرم7055</t>
  </si>
  <si>
    <t>اختيارخ اهرم-30000-1405/07/29</t>
  </si>
  <si>
    <t>ضهرم7056</t>
  </si>
  <si>
    <t>اختيارخ اهرم-34000-1405/07/29</t>
  </si>
  <si>
    <t>ضهرم7057</t>
  </si>
  <si>
    <t>اختيارخ اهرم-38000-1405/07/29</t>
  </si>
  <si>
    <t>ضهرم7058</t>
  </si>
  <si>
    <t>اختيارخ اهرم-42000-1405/07/29</t>
  </si>
  <si>
    <t>ضهرم7059</t>
  </si>
  <si>
    <t>اختيارخ اهرم-46000-1405/07/29</t>
  </si>
  <si>
    <t>ضهرم7060</t>
  </si>
  <si>
    <t>اختيارخ اهرم-50000-1405/07/29</t>
  </si>
  <si>
    <t>ضهرم7061</t>
  </si>
  <si>
    <t>اختيارخ اهرم-56000-1405/07/29</t>
  </si>
  <si>
    <t>ضهرم7062</t>
  </si>
  <si>
    <t>اختيارخ اهرم-62000-1405/07/29</t>
  </si>
  <si>
    <t>ضشنا8056</t>
  </si>
  <si>
    <t>اختيارخ شپنا-6760-1405/08/20</t>
  </si>
  <si>
    <t>ضشنا8057</t>
  </si>
  <si>
    <t>اختيارخ شپنا-7260-1405/08/20</t>
  </si>
  <si>
    <t>ضشنا8058</t>
  </si>
  <si>
    <t>اختيارخ شپنا-8260-1405/08/20</t>
  </si>
  <si>
    <t>ضشنا8059</t>
  </si>
  <si>
    <t>اختيارخ شپنا-9260-1405/08/20</t>
  </si>
  <si>
    <t>ضشنا8060</t>
  </si>
  <si>
    <t>اختيارخ شپنا-10260-1405/08/20</t>
  </si>
  <si>
    <t>ضشنا8061</t>
  </si>
  <si>
    <t>اختيارخ شپنا-11260-1405/08/20</t>
  </si>
  <si>
    <t>ضشنا8062</t>
  </si>
  <si>
    <t>اختيارخ شپنا-12260-1405/08/20</t>
  </si>
  <si>
    <t>ضشنا8063</t>
  </si>
  <si>
    <t>اختيارخ شپنا-13260-1405/08/20</t>
  </si>
  <si>
    <t>ضشنا8064</t>
  </si>
  <si>
    <t>اختيارخ شپنا-14260-1405/08/20</t>
  </si>
  <si>
    <t>ضشنا8065</t>
  </si>
  <si>
    <t>اختيارخ شپنا-15260-1405/08/20</t>
  </si>
  <si>
    <t>ضشنا8066</t>
  </si>
  <si>
    <t>اختيارخ شپنا-17260-1405/08/20</t>
  </si>
  <si>
    <t>ضشنا6048</t>
  </si>
  <si>
    <t>اختيارخ شپنا-12260-1405/06/18</t>
  </si>
  <si>
    <t>ضشنا6049</t>
  </si>
  <si>
    <t>اختيارخ شپنا-13260-1405/06/18</t>
  </si>
  <si>
    <t>ضشنا6050</t>
  </si>
  <si>
    <t>اختيارخ شپنا-14260-1405/06/18</t>
  </si>
  <si>
    <t>اختيارخ شپنا-3760-1405/06/18</t>
  </si>
  <si>
    <t>اختيارخ شپنا-4260-1405/06/18</t>
  </si>
  <si>
    <t>اختيارخ شپنا-4760-1405/06/18</t>
  </si>
  <si>
    <t>اختيارخ شپنا-5260-1405/06/18</t>
  </si>
  <si>
    <t>اختيارخ شپنا-5760-1405/06/18</t>
  </si>
  <si>
    <t>اختيارخ شپنا-6260-1405/06/18</t>
  </si>
  <si>
    <t>اختيارخ شپنا-6760-1405/06/18</t>
  </si>
  <si>
    <t>اختيارخ شپنا-7260-1405/06/18</t>
  </si>
  <si>
    <t>اختيارخ شپنا-8260-1405/06/18</t>
  </si>
  <si>
    <t>اختيارخ شپنا-9260-1405/06/18</t>
  </si>
  <si>
    <t>اختيارخ شپنا-10260-1405/06/18</t>
  </si>
  <si>
    <t>اختيارخ شپنا-11260-1405/06/18</t>
  </si>
  <si>
    <t>طهرم7050</t>
  </si>
  <si>
    <t>اختيارف اهرم-20000-1405/07/29</t>
  </si>
  <si>
    <t>طهرم7051</t>
  </si>
  <si>
    <t>اختيارف اهرم-22000-1405/07/29</t>
  </si>
  <si>
    <t>طهرم7052</t>
  </si>
  <si>
    <t>اختيارف اهرم-24000-1405/07/29</t>
  </si>
  <si>
    <t>طهرم7053</t>
  </si>
  <si>
    <t>اختيارف اهرم-26000-1405/07/29</t>
  </si>
  <si>
    <t>طهرم7054</t>
  </si>
  <si>
    <t>اختيارف اهرم-28000-1405/07/29</t>
  </si>
  <si>
    <t>طهرم7055</t>
  </si>
  <si>
    <t>اختيارف اهرم-30000-1405/07/29</t>
  </si>
  <si>
    <t>طهرم7056</t>
  </si>
  <si>
    <t>اختيارف اهرم-34000-1405/07/29</t>
  </si>
  <si>
    <t>طهرم7057</t>
  </si>
  <si>
    <t>اختيارف اهرم-38000-1405/07/29</t>
  </si>
  <si>
    <t>طهرم7058</t>
  </si>
  <si>
    <t>اختيارف اهرم-42000-1405/07/29</t>
  </si>
  <si>
    <t>طهرم7062</t>
  </si>
  <si>
    <t>اختيارف اهرم-62000-1405/07/29</t>
  </si>
  <si>
    <t>طشنا8056</t>
  </si>
  <si>
    <t>اختيارف شپنا-6760-1405/08/20</t>
  </si>
  <si>
    <t>طشنا8057</t>
  </si>
  <si>
    <t>اختيارف شپنا-7260-1405/08/20</t>
  </si>
  <si>
    <t>طشنا8058</t>
  </si>
  <si>
    <t>اختيارف شپنا-8260-1405/08/20</t>
  </si>
  <si>
    <t>طشنا8059</t>
  </si>
  <si>
    <t>اختيارف شپنا-9260-1405/08/20</t>
  </si>
  <si>
    <t>طشنا8060</t>
  </si>
  <si>
    <t>اختيارف شپنا-10260-1405/08/20</t>
  </si>
  <si>
    <t>طشنا8061</t>
  </si>
  <si>
    <t>اختيارف شپنا-11260-1405/08/20</t>
  </si>
  <si>
    <t>طشنا8062</t>
  </si>
  <si>
    <t>اختيارف شپنا-12260-1405/08/20</t>
  </si>
  <si>
    <t>طشنا8063</t>
  </si>
  <si>
    <t>اختيارف شپنا-13260-1405/08/20</t>
  </si>
  <si>
    <t>طشنا8064</t>
  </si>
  <si>
    <t>اختيارف شپنا-14260-1405/08/20</t>
  </si>
  <si>
    <t>طشنا8065</t>
  </si>
  <si>
    <t>اختيارف شپنا-15260-1405/08/20</t>
  </si>
  <si>
    <t>طشنا8066</t>
  </si>
  <si>
    <t>اختيارف شپنا-17260-1405/08/20</t>
  </si>
  <si>
    <t>طشنا6048</t>
  </si>
  <si>
    <t>اختيارف شپنا-12260-1405/06/18</t>
  </si>
  <si>
    <t>طشنا6049</t>
  </si>
  <si>
    <t>اختيارف شپنا-13260-1405/06/18</t>
  </si>
  <si>
    <t>طشنا6050</t>
  </si>
  <si>
    <t>اختيارف شپنا-14260-1405/06/18</t>
  </si>
  <si>
    <t>اختيارف شپنا-3760-1405/06/18</t>
  </si>
  <si>
    <t>اختيارف شپنا-4260-1405/06/18</t>
  </si>
  <si>
    <t>اختيارف شپنا-4760-1405/06/18</t>
  </si>
  <si>
    <t>اختيارف شپنا-5260-1405/06/18</t>
  </si>
  <si>
    <t>اختيارف شپنا-5760-1405/06/18</t>
  </si>
  <si>
    <t>اختيارف شپنا-6260-1405/06/18</t>
  </si>
  <si>
    <t>اختيارف شپنا-6760-1405/06/18</t>
  </si>
  <si>
    <t>اختيارف شپنا-7260-1405/06/18</t>
  </si>
  <si>
    <t>اختيارف شپنا-8260-1405/06/18</t>
  </si>
  <si>
    <t>اختيارف شپنا-9260-1405/06/18</t>
  </si>
  <si>
    <t>اختيارف شپنا-10260-1405/06/18</t>
  </si>
  <si>
    <t>اختيارف شپنا-11260-1405/06/18</t>
  </si>
  <si>
    <t>طهرم7059</t>
  </si>
  <si>
    <t>اختيارف اهرم-46000-1405/07/29</t>
  </si>
  <si>
    <t>طهرم7060</t>
  </si>
  <si>
    <t>اختيارف اهرم-50000-1405/07/29</t>
  </si>
  <si>
    <t>طهرم7061</t>
  </si>
  <si>
    <t>اختيارف اهرم-56000-1405/07/29</t>
  </si>
  <si>
    <t>صتابان84</t>
  </si>
  <si>
    <t>صكوك اجاره تابان84-3ماهه23%</t>
  </si>
  <si>
    <t>ضخود7131</t>
  </si>
  <si>
    <t>اختيارخ خودرو-500-1405/07/08</t>
  </si>
  <si>
    <t>ضخود7129</t>
  </si>
  <si>
    <t>اختيارخ خودرو-400-1405/07/08</t>
  </si>
  <si>
    <t>شاوان</t>
  </si>
  <si>
    <t>پالايش نفت لاوان</t>
  </si>
  <si>
    <t>شيفته</t>
  </si>
  <si>
    <t>كشت و صنعت شيفته آراي شرق</t>
  </si>
  <si>
    <t>طسپا7023</t>
  </si>
  <si>
    <t>اختيارف خساپا-360-1405/07/29</t>
  </si>
  <si>
    <t>ضسپا7025</t>
  </si>
  <si>
    <t>اختيارخ خساپا-400-1405/07/29</t>
  </si>
  <si>
    <t>ضخود7126</t>
  </si>
  <si>
    <t>اختيارخ خودرو-340-1405/07/08</t>
  </si>
  <si>
    <t>ضخود7136</t>
  </si>
  <si>
    <t>اختيارخ خودرو-750-1405/07/08</t>
  </si>
  <si>
    <t>ضخود7137</t>
  </si>
  <si>
    <t>اختيارخ خودرو-800-1405/07/08</t>
  </si>
  <si>
    <t>ضسپا7022</t>
  </si>
  <si>
    <t>اختيارخ خساپا-340-1405/07/29</t>
  </si>
  <si>
    <t>ضسپا7026</t>
  </si>
  <si>
    <t>اختيارخ خساپا-450-1405/07/29</t>
  </si>
  <si>
    <t>ضسپا7027</t>
  </si>
  <si>
    <t>اختيارخ خساپا-500-1405/07/29</t>
  </si>
  <si>
    <t>ضسپا7028</t>
  </si>
  <si>
    <t>اختيارخ خساپا-550-1405/07/29</t>
  </si>
  <si>
    <t>ضسپا7029</t>
  </si>
  <si>
    <t>اختيارخ خساپا-600-1405/07/29</t>
  </si>
  <si>
    <t>ضسپا7030</t>
  </si>
  <si>
    <t>اختيارخ خساپا-650-1405/07/29</t>
  </si>
  <si>
    <t>ضسپا7032</t>
  </si>
  <si>
    <t>اختيارخ خساپا-750-1405/07/29</t>
  </si>
  <si>
    <t>ضخود7128</t>
  </si>
  <si>
    <t>اختيارخ خودرو-380-1405/07/08</t>
  </si>
  <si>
    <t>طسپا7024</t>
  </si>
  <si>
    <t>اختيارف خساپا-380-1405/07/29</t>
  </si>
  <si>
    <t>شصفها</t>
  </si>
  <si>
    <t>پتروشيمي‌ اصفهان‌</t>
  </si>
  <si>
    <t>طخود7131</t>
  </si>
  <si>
    <t>اختيارف خودرو-500-1405/07/08</t>
  </si>
  <si>
    <t>ضخود7135</t>
  </si>
  <si>
    <t>اختيارخ خودرو-700-1405/07/08</t>
  </si>
  <si>
    <t>ضخود7134</t>
  </si>
  <si>
    <t>اختيارخ خودرو-650-1405/07/08</t>
  </si>
  <si>
    <t>طخود7133</t>
  </si>
  <si>
    <t>اختيارف خودرو-600-1405/07/08</t>
  </si>
  <si>
    <t>طخود7134</t>
  </si>
  <si>
    <t>اختيارف خودرو-650-1405/07/08</t>
  </si>
  <si>
    <t>طخود7127</t>
  </si>
  <si>
    <t>اختيارف خودرو-360-1405/07/08</t>
  </si>
  <si>
    <t>طخود7132</t>
  </si>
  <si>
    <t>اختيارف خودرو-550-1405/07/08</t>
  </si>
  <si>
    <t>طخود7137</t>
  </si>
  <si>
    <t>اختيارف خودرو-800-1405/07/08</t>
  </si>
  <si>
    <t>طخود7138</t>
  </si>
  <si>
    <t>اختيارف خودرو-900-1405/07/08</t>
  </si>
  <si>
    <t>طسپا7022</t>
  </si>
  <si>
    <t>اختيارف خساپا-340-1405/07/29</t>
  </si>
  <si>
    <t>طسپا7027</t>
  </si>
  <si>
    <t>اختيارف خساپا-500-1405/07/29</t>
  </si>
  <si>
    <t>طسپا7028</t>
  </si>
  <si>
    <t>اختيارف خساپا-550-1405/07/29</t>
  </si>
  <si>
    <t>طسپا7030</t>
  </si>
  <si>
    <t>اختيارف خساپا-650-1405/07/29</t>
  </si>
  <si>
    <t>طسپا7032</t>
  </si>
  <si>
    <t>اختيارف خساپا-750-1405/07/29</t>
  </si>
  <si>
    <t>طسپا7033</t>
  </si>
  <si>
    <t>اختيارف خساپا-800-1405/07/29</t>
  </si>
  <si>
    <t>طسپا7021</t>
  </si>
  <si>
    <t>اختيارف خساپا-320-1405/07/29</t>
  </si>
  <si>
    <t>طخود7136</t>
  </si>
  <si>
    <t>اختيارف خودرو-750-1405/07/08</t>
  </si>
  <si>
    <t>طسپا7025</t>
  </si>
  <si>
    <t>اختيارف خساپا-400-1405/07/29</t>
  </si>
  <si>
    <t>ضسپا7021</t>
  </si>
  <si>
    <t>اختيارخ خساپا-320-1405/07/29</t>
  </si>
  <si>
    <t>طسپا7026</t>
  </si>
  <si>
    <t>اختيارف خساپا-450-1405/07/29</t>
  </si>
  <si>
    <t>طسپا7029</t>
  </si>
  <si>
    <t>اختيارف خساپا-600-1405/07/29</t>
  </si>
  <si>
    <t>ضسپا7023</t>
  </si>
  <si>
    <t>اختيارخ خساپا-360-1405/07/29</t>
  </si>
  <si>
    <t>طخود7135</t>
  </si>
  <si>
    <t>اختيارف خودرو-700-1405/07/08</t>
  </si>
  <si>
    <t>ضخود7130</t>
  </si>
  <si>
    <t>اختيارخ خودرو-450-1405/07/08</t>
  </si>
  <si>
    <t>طخود7130</t>
  </si>
  <si>
    <t>اختيارف خودرو-450-1405/07/08</t>
  </si>
  <si>
    <t>طخود7129</t>
  </si>
  <si>
    <t>اختيارف خودرو-400-1405/07/08</t>
  </si>
  <si>
    <t>ضخود7127</t>
  </si>
  <si>
    <t>اختيارخ خودرو-360-1405/07/08</t>
  </si>
  <si>
    <t>طخود7126</t>
  </si>
  <si>
    <t>اختيارف خودرو-340-1405/07/08</t>
  </si>
  <si>
    <t>ضخود7132</t>
  </si>
  <si>
    <t>اختيارخ خودرو-550-1405/07/08</t>
  </si>
  <si>
    <t>ضخود7138</t>
  </si>
  <si>
    <t>اختيارخ خودرو-900-1405/07/08</t>
  </si>
  <si>
    <t>ضخود7133</t>
  </si>
  <si>
    <t>اختيارخ خودرو-600-1405/07/08</t>
  </si>
  <si>
    <t>صكاوان94</t>
  </si>
  <si>
    <t>صكوك مرابحه كاوان94-3ماهه23%</t>
  </si>
  <si>
    <t>ضسپا7031</t>
  </si>
  <si>
    <t>اختيارخ خساپا-700-1405/07/29</t>
  </si>
  <si>
    <t>طخود7128</t>
  </si>
  <si>
    <t>اختيارف خودرو-380-1405/07/08</t>
  </si>
  <si>
    <t>ضسپا7024</t>
  </si>
  <si>
    <t>اختيارخ خساپا-380-1405/07/29</t>
  </si>
  <si>
    <t>ضسپا7033</t>
  </si>
  <si>
    <t>اختيارخ خساپا-800-1405/07/29</t>
  </si>
  <si>
    <t>طسپا7031</t>
  </si>
  <si>
    <t>اختيارف خساپا-700-1405/07/29</t>
  </si>
  <si>
    <t>اختيارخ خبهمن-1050-1405/05/28</t>
  </si>
  <si>
    <t>اختيارخ خبهمن-1150-1405/05/28</t>
  </si>
  <si>
    <t>اختيارخ خبهمن-1350-1405/05/28</t>
  </si>
  <si>
    <t>اختيارخ خبهمن-1450-1405/05/28</t>
  </si>
  <si>
    <t>اختيارخ خبهمن-1650-1405/05/28</t>
  </si>
  <si>
    <t>اختيارخ خبهمن-1950-1405/05/28</t>
  </si>
  <si>
    <t>اختيارخ خبهمن-2550-1405/05/28</t>
  </si>
  <si>
    <t>اختيارخ خبهمن-2750-1405/05/28</t>
  </si>
  <si>
    <t>اختيارخ وبملت-654-1405/05/20</t>
  </si>
  <si>
    <t>اختيارخ وبملت-1254-1405/05/20</t>
  </si>
  <si>
    <t>اختيارخ وبملت-1054-1405/06/18</t>
  </si>
  <si>
    <t>اختيارخ وبملت-1154-1405/06/18</t>
  </si>
  <si>
    <t>اختيارخ وتجارت-311-1405/06/18</t>
  </si>
  <si>
    <t>اختيارخ وتجارت-331-1405/06/18</t>
  </si>
  <si>
    <t>اختيارخ وتجارت-351-1405/06/18</t>
  </si>
  <si>
    <t>اختيارخ وتجارت-391-1405/06/18</t>
  </si>
  <si>
    <t>اختيارخ وتجارت-441-1405/06/18</t>
  </si>
  <si>
    <t>اختيارخ وتجارت-591-1405/06/18</t>
  </si>
  <si>
    <t>اختيارخ وتجارت-741-1405/06/18</t>
  </si>
  <si>
    <t>ضجار8026</t>
  </si>
  <si>
    <t>اختيارخ وتجارت-591-1405/08/20</t>
  </si>
  <si>
    <t>ضجار8027</t>
  </si>
  <si>
    <t>اختيارخ وتجارت-641-1405/08/20</t>
  </si>
  <si>
    <t>ضجار8028</t>
  </si>
  <si>
    <t>اختيارخ وتجارت-691-1405/08/20</t>
  </si>
  <si>
    <t>ضجار8030</t>
  </si>
  <si>
    <t>اختيارخ وتجارت-791-1405/08/20</t>
  </si>
  <si>
    <t>ضجار8032</t>
  </si>
  <si>
    <t>اختيارخ وتجارت-991-1405/08/20</t>
  </si>
  <si>
    <t>اختيارخ وبملت-1054-1405/05/20</t>
  </si>
  <si>
    <t>اختيارخ وتجارت-541-1405/06/18</t>
  </si>
  <si>
    <t>اختيارف وتجارت-541-1405/06/18</t>
  </si>
  <si>
    <t>اختيارف وبملت-1254-1405/05/20</t>
  </si>
  <si>
    <t>اختيارف وتجارت-391-1405/06/18</t>
  </si>
  <si>
    <t>اختيارف وتجارت-491-1405/06/18</t>
  </si>
  <si>
    <t>اختيارخ وتجارت-491-1405/06/18</t>
  </si>
  <si>
    <t>اختيارخ خبهمن-1750-1405/05/28</t>
  </si>
  <si>
    <t>ثقزويح</t>
  </si>
  <si>
    <t>ح.شركت عمران و سازندگي قزوين</t>
  </si>
  <si>
    <t>اختيارف وبملت-1054-1405/05/20</t>
  </si>
  <si>
    <t>اختيارخ خبهمن-2150-1405/05/28</t>
  </si>
  <si>
    <t>اختيارخ وتجارت-791-1405/06/18</t>
  </si>
  <si>
    <t>اختيارخ وتجارت-691-1405/06/18</t>
  </si>
  <si>
    <t>اختيارخ خبهمن-1250-1405/05/28</t>
  </si>
  <si>
    <t>اختيارخ خبهمن-2350-1405/05/28</t>
  </si>
  <si>
    <t>رانيز</t>
  </si>
  <si>
    <t>كارخانجات رينگ اسپرت نورني ريز</t>
  </si>
  <si>
    <t>ضجار8022</t>
  </si>
  <si>
    <t>اختيارخ وتجارت-391-1405/08/20</t>
  </si>
  <si>
    <t>اختيارخ وتجارت-641-1405/06/18</t>
  </si>
  <si>
    <t>اختيارخ خبهمن-1550-1405/05/28</t>
  </si>
  <si>
    <t>ضجار8025</t>
  </si>
  <si>
    <t>اختيارخ وتجارت-541-1405/08/20</t>
  </si>
  <si>
    <t>اختيارف وتجارت-591-1405/06/18</t>
  </si>
  <si>
    <t>اختيارخ وبملت-1154-1405/05/20</t>
  </si>
  <si>
    <t>اختيارف خبهمن-1550-1405/05/28</t>
  </si>
  <si>
    <t>اختيارف خبهمن-1650-1405/05/28</t>
  </si>
  <si>
    <t>اختيارف خبهمن-1950-1405/05/28</t>
  </si>
  <si>
    <t>اختيارف خبهمن-2150-1405/05/28</t>
  </si>
  <si>
    <t>اختيارف خبهمن-2550-1405/05/28</t>
  </si>
  <si>
    <t>اختيارف خبهمن-2750-1405/05/28</t>
  </si>
  <si>
    <t>اختيارف وبملت-1154-1405/05/20</t>
  </si>
  <si>
    <t>اختيارف وبملت-704-1405/06/18</t>
  </si>
  <si>
    <t>اختيارف وبملت-854-1405/06/18</t>
  </si>
  <si>
    <t>اختيارخ وبملت-1754-1405/06/18</t>
  </si>
  <si>
    <t>اختيارف وبملت-1054-1405/06/18</t>
  </si>
  <si>
    <t>اختيارف وبملت-754-1405/06/18</t>
  </si>
  <si>
    <t>اختيارف خبهمن-1450-1405/05/28</t>
  </si>
  <si>
    <t>اختيارف وبملت-1254-1405/06/18</t>
  </si>
  <si>
    <t>اختيارف خبهمن-2350-1405/05/28</t>
  </si>
  <si>
    <t>اختيارخ وبملت-1254-1405/06/18</t>
  </si>
  <si>
    <t>اختيارف وبملت-1354-1405/05/20</t>
  </si>
  <si>
    <t>اختيارخ وبملت-1454-1405/06/18</t>
  </si>
  <si>
    <t>اختيارخ وبملت-1854-1405/06/18</t>
  </si>
  <si>
    <t>اختيارف خبهمن-1750-1405/05/28</t>
  </si>
  <si>
    <t>ضملت7040</t>
  </si>
  <si>
    <t>اختيارخ وبملت-1054-1405/07/22</t>
  </si>
  <si>
    <t>حبندر</t>
  </si>
  <si>
    <t>دريايي و کشتيراني خط دريابندر</t>
  </si>
  <si>
    <t>اختيارف وبملت-954-1405/06/18</t>
  </si>
  <si>
    <t>الكترومادح</t>
  </si>
  <si>
    <t>ح . صنايع الكترونيك ماديران</t>
  </si>
  <si>
    <t>Accum Year Growth to Last Year</t>
  </si>
  <si>
    <t>Q1 Growth Rank</t>
  </si>
  <si>
    <t>T1-1404</t>
  </si>
  <si>
    <t>M1-1404</t>
  </si>
  <si>
    <t>T2-1404</t>
  </si>
  <si>
    <t>M2-1404</t>
  </si>
  <si>
    <t>T3-1404</t>
  </si>
  <si>
    <t>M3-1404</t>
  </si>
  <si>
    <t>T4-1404</t>
  </si>
  <si>
    <t>M4-1404</t>
  </si>
  <si>
    <t>T5-1404</t>
  </si>
  <si>
    <t>M5-1404</t>
  </si>
  <si>
    <t>T6-1404</t>
  </si>
  <si>
    <t>M6-1404</t>
  </si>
  <si>
    <t>T7-1404</t>
  </si>
  <si>
    <t>M7-1404</t>
  </si>
  <si>
    <t>T8-1404</t>
  </si>
  <si>
    <t>M8-1404</t>
  </si>
  <si>
    <t>T9-1404</t>
  </si>
  <si>
    <t>M9-1404</t>
  </si>
  <si>
    <t>T10-1404</t>
  </si>
  <si>
    <t>M10-1404</t>
  </si>
  <si>
    <t>T11-1404</t>
  </si>
  <si>
    <t>M11-1404</t>
  </si>
  <si>
    <t>T12-1404</t>
  </si>
  <si>
    <t>M12-1404</t>
  </si>
  <si>
    <t>T1-1405</t>
  </si>
  <si>
    <t>M1-1405</t>
  </si>
  <si>
    <t>AG1-1405</t>
  </si>
  <si>
    <t>MG1-1405</t>
  </si>
  <si>
    <t>T2-1405</t>
  </si>
  <si>
    <t>M2-1405</t>
  </si>
  <si>
    <t>G2-1405</t>
  </si>
  <si>
    <t>T3-1405</t>
  </si>
  <si>
    <t>M3-1405</t>
  </si>
  <si>
    <t>G3-1405</t>
  </si>
  <si>
    <t>T4-1405</t>
  </si>
  <si>
    <t>M4-1405</t>
  </si>
  <si>
    <t>G4-1405</t>
  </si>
  <si>
    <t>sales at Month 4/1405</t>
  </si>
  <si>
    <t>Total at Month 4/1405</t>
  </si>
  <si>
    <t>گام060364</t>
  </si>
  <si>
    <t>گواهي اعتبارمولدگردشگري060331</t>
  </si>
  <si>
    <t>گام051013</t>
  </si>
  <si>
    <t>گواهي اعتبار مولد رفاه14051030</t>
  </si>
  <si>
    <t>اختيارف وبملت-1654-1405/05/20</t>
  </si>
  <si>
    <t>اختيارف وبملت-1154-1405/06/18</t>
  </si>
  <si>
    <t>اختيارف وبملت-1554-1405/06/18</t>
  </si>
  <si>
    <t>طملت7036</t>
  </si>
  <si>
    <t>اختيارف وبملت-704-1405/07/22</t>
  </si>
  <si>
    <t>طملت7039</t>
  </si>
  <si>
    <t>اختيارف وبملت-954-1405/07/22</t>
  </si>
  <si>
    <t>طملت7041</t>
  </si>
  <si>
    <t>اختيارف وبملت-1154-1405/07/22</t>
  </si>
  <si>
    <t>طملت7046</t>
  </si>
  <si>
    <t>اختيارف وبملت-1654-1405/07/22</t>
  </si>
  <si>
    <t>طملت7047</t>
  </si>
  <si>
    <t>اختيارف وبملت-1754-1405/07/22</t>
  </si>
  <si>
    <t>اختيارف وبملت-1454-1405/05/20</t>
  </si>
  <si>
    <t>اختيارف وبملت-1754-1405/05/20</t>
  </si>
  <si>
    <t>طملت7037</t>
  </si>
  <si>
    <t>اختيارف وبملت-754-1405/07/22</t>
  </si>
  <si>
    <t>اختيارخ وبملت-704-1405/05/20</t>
  </si>
  <si>
    <t>اختيارخ وبملت-754-1405/05/20</t>
  </si>
  <si>
    <t>اختيارخ وبملت-954-1405/05/20</t>
  </si>
  <si>
    <t>اختيارخ وبملت-854-1405/06/18</t>
  </si>
  <si>
    <t>اختيارخ وبملت-954-1405/06/18</t>
  </si>
  <si>
    <t>اختيارخ وبملت-1654-1405/06/18</t>
  </si>
  <si>
    <t>ضملت7036</t>
  </si>
  <si>
    <t>اختيارخ وبملت-704-1405/07/22</t>
  </si>
  <si>
    <t>ضملت7037</t>
  </si>
  <si>
    <t>اختيارخ وبملت-754-1405/07/22</t>
  </si>
  <si>
    <t>ضملت7039</t>
  </si>
  <si>
    <t>اختيارخ وبملت-954-1405/07/22</t>
  </si>
  <si>
    <t>ضملت7043</t>
  </si>
  <si>
    <t>اختيارخ وبملت-1354-1405/07/22</t>
  </si>
  <si>
    <t>ضملت7044</t>
  </si>
  <si>
    <t>اختيارخ وبملت-1454-1405/07/22</t>
  </si>
  <si>
    <t>ضملت7046</t>
  </si>
  <si>
    <t>اختيارخ وبملت-1654-1405/07/22</t>
  </si>
  <si>
    <t>ضملت7048</t>
  </si>
  <si>
    <t>اختيارخ وبملت-1854-1405/07/22</t>
  </si>
  <si>
    <t>اختيارخ وبملت-754-1405/06/18</t>
  </si>
  <si>
    <t>طملت7042</t>
  </si>
  <si>
    <t>اختيارف وبملت-1254-1405/07/22</t>
  </si>
  <si>
    <t>اختيارف وبملت-1754-1405/06/18</t>
  </si>
  <si>
    <t>اختيارف وبملت-1554-1405/05/20</t>
  </si>
  <si>
    <t>ضملت7038</t>
  </si>
  <si>
    <t>اختيارخ وبملت-854-1405/07/22</t>
  </si>
  <si>
    <t>اختيارخ وبملت-1554-1405/06/18</t>
  </si>
  <si>
    <t>ضملت7047</t>
  </si>
  <si>
    <t>اختيارخ وبملت-1754-1405/07/22</t>
  </si>
  <si>
    <t>طملت7048</t>
  </si>
  <si>
    <t>اختيارف وبملت-1854-1405/07/22</t>
  </si>
  <si>
    <t>اختيارف وبملت-1854-1405/06/18</t>
  </si>
  <si>
    <t>ضملت7042</t>
  </si>
  <si>
    <t>اختيارخ وبملت-1254-1405/07/22</t>
  </si>
  <si>
    <t>طملت7044</t>
  </si>
  <si>
    <t>اختيارف وبملت-1454-1405/07/22</t>
  </si>
  <si>
    <t>طملت7040</t>
  </si>
  <si>
    <t>اختيارف وبملت-1054-1405/07/22</t>
  </si>
  <si>
    <t>اختيارف وبملت-1454-1405/06/18</t>
  </si>
  <si>
    <t>طملت7045</t>
  </si>
  <si>
    <t>اختيارف وبملت-1554-1405/07/22</t>
  </si>
  <si>
    <t>اختيارخ وبملت-704-1405/06/18</t>
  </si>
  <si>
    <t>اختيارف وبملت-1654-1405/06/18</t>
  </si>
  <si>
    <t>ضملت7041</t>
  </si>
  <si>
    <t>اختيارخ وبملت-1154-1405/07/22</t>
  </si>
  <si>
    <t>اختيارخ وبملت-854-1405/05/20</t>
  </si>
  <si>
    <t>طملت7038</t>
  </si>
  <si>
    <t>اختيارف وبملت-854-1405/07/22</t>
  </si>
  <si>
    <t>اختيارخ وبملت-1354-1405/06/18</t>
  </si>
  <si>
    <t>اختيارف وبملت-1354-1405/06/18</t>
  </si>
  <si>
    <t>طملت7043</t>
  </si>
  <si>
    <t>اختيارف وبملت-1354-1405/07/22</t>
  </si>
  <si>
    <t>ضملت7045</t>
  </si>
  <si>
    <t>اختيارخ وبملت-1554-1405/07/22</t>
  </si>
  <si>
    <t>بكامح</t>
  </si>
  <si>
    <t>ح.كارخانجات توليدي شهيد قندي</t>
  </si>
  <si>
    <t>دلتا</t>
  </si>
  <si>
    <t>صندوق س صنايع تمدن1-بخشي</t>
  </si>
  <si>
    <t>مهرگلد</t>
  </si>
  <si>
    <t>صندوق س. كالاي نفيس مهرگان</t>
  </si>
  <si>
    <t>پايدار</t>
  </si>
  <si>
    <t>ص.س.درآمد ثابت رايا پايدار-د</t>
  </si>
  <si>
    <t>زريران</t>
  </si>
  <si>
    <t>صندوق س. كالاي داريوش</t>
  </si>
  <si>
    <t xml:space="preserve">Last 3 Months Period  Growth </t>
  </si>
  <si>
    <t>Latest 3 Months Growth Rank</t>
  </si>
  <si>
    <t>رشد فروش سه ماهه اخیر</t>
  </si>
  <si>
    <t>رشد فروش در فصل بهار به زمستان</t>
  </si>
  <si>
    <t>رشد فروش تجمیعی نسبت به سال قبل Update</t>
  </si>
  <si>
    <t xml:space="preserve"> فروش ماه 5  بر اساس گزارش  بورس کالا </t>
  </si>
  <si>
    <t xml:space="preserve"> فروش صادراتی ماه 5 بر اساس گزارش  بورس کالا</t>
  </si>
  <si>
    <t xml:space="preserve">  فروش داخلی ماه 5 بر اساس گزارش بورس کالا </t>
  </si>
  <si>
    <t>فروش صادراتی ماه  5 بر اساس گزارش  کدال</t>
  </si>
  <si>
    <t>1405/05/07</t>
  </si>
  <si>
    <t>1405/05/06</t>
  </si>
  <si>
    <t>HCC-CPCARG32.5-B-00</t>
  </si>
  <si>
    <t>TCHC-CEMENTSPB-00</t>
  </si>
  <si>
    <t>1405/05/05</t>
  </si>
  <si>
    <t>1405/05/04</t>
  </si>
  <si>
    <t>توازن بازار</t>
  </si>
  <si>
    <t>نسیه (مچینگ)</t>
  </si>
  <si>
    <t>1405/05/03</t>
  </si>
  <si>
    <t>BACC-PCT2G42.5-L50EX-00</t>
  </si>
  <si>
    <t>TCHC-CEMENTSP-50LEX-00</t>
  </si>
  <si>
    <t>ZATC-CPCBNG32.5-L50EX-00</t>
  </si>
  <si>
    <t>DACO-PCT2G32.5-L50EX-00</t>
  </si>
  <si>
    <t>MAS-PCT1G42.5-JEX-00</t>
  </si>
  <si>
    <t>ESTC-PCT2G32.5-L50EX-00</t>
  </si>
  <si>
    <t>LCC-PCT2G32.5-L50EX-00</t>
  </si>
  <si>
    <t>NEYC-PCT2G42.5-L50EX-00</t>
  </si>
  <si>
    <t>ECC-PCT2G42.5-L50EX-00</t>
  </si>
  <si>
    <t>ZATC-PCT5G42.5-L50EX-00</t>
  </si>
  <si>
    <t>MAJD-PCT2G42.5-L50EX-00</t>
  </si>
  <si>
    <t>سیمان مجد خواف</t>
  </si>
  <si>
    <t>‌سیمان مرکب رده 32/5‌‌ (تا20%-عادی)-کیسه50 - صادراتی</t>
  </si>
  <si>
    <t>DCCO-CPCANG32.5-L50EX-00</t>
  </si>
  <si>
    <t>سولار</t>
  </si>
  <si>
    <t>صندوق راهبرد انرژي فردا-پروژه</t>
  </si>
  <si>
    <t>رويش</t>
  </si>
  <si>
    <t>ص.س.جسورانه رويش لوتوس</t>
  </si>
  <si>
    <t>ضخود8053</t>
  </si>
  <si>
    <t>اختيارخ خودرو-360-1405/08/06</t>
  </si>
  <si>
    <t>ضخود8054</t>
  </si>
  <si>
    <t>اختيارخ خودرو-380-1405/08/06</t>
  </si>
  <si>
    <t>ضخود8055</t>
  </si>
  <si>
    <t>اختيارخ خودرو-400-1405/08/06</t>
  </si>
  <si>
    <t>ضخود8056</t>
  </si>
  <si>
    <t>اختيارخ خودرو-450-1405/08/06</t>
  </si>
  <si>
    <t>ضخود8058</t>
  </si>
  <si>
    <t>اختيارخ خودرو-550-1405/08/06</t>
  </si>
  <si>
    <t>ضخود8059</t>
  </si>
  <si>
    <t>اختيارخ خودرو-600-1405/08/06</t>
  </si>
  <si>
    <t>ضخود8060</t>
  </si>
  <si>
    <t>اختيارخ خودرو-650-1405/08/06</t>
  </si>
  <si>
    <t>ضخود8061</t>
  </si>
  <si>
    <t>اختيارخ خودرو-700-1405/08/06</t>
  </si>
  <si>
    <t>ضخود8062</t>
  </si>
  <si>
    <t>اختيارخ خودرو-750-1405/08/06</t>
  </si>
  <si>
    <t>ضخود8063</t>
  </si>
  <si>
    <t>اختيارخ خودرو-800-1405/08/06</t>
  </si>
  <si>
    <t>ضخود8064</t>
  </si>
  <si>
    <t>اختيارخ خودرو-900-1405/08/06</t>
  </si>
  <si>
    <t>اختيارخ فملي-6964-1405/05/14</t>
  </si>
  <si>
    <t>اختيارخ فملي-9151-1405/05/14</t>
  </si>
  <si>
    <t>اختيارخ فملي-9880-1405/05/14</t>
  </si>
  <si>
    <t>اختيارخ فملي-10609-1405/05/14</t>
  </si>
  <si>
    <t>اختيارخ فملي-11339-1405/05/14</t>
  </si>
  <si>
    <t>اختيارخ فملي-14255-1405/05/14</t>
  </si>
  <si>
    <t>اختيارخ فملي-15714-1405/05/14</t>
  </si>
  <si>
    <t>اختيارخ فملي-17172-1405/05/14</t>
  </si>
  <si>
    <t>اختيارخ فملي-18630-1405/05/14</t>
  </si>
  <si>
    <t>اختيارخ فملي-8422-1405/07/08</t>
  </si>
  <si>
    <t>اختيارخ فملي-9151-1405/07/08</t>
  </si>
  <si>
    <t>اختيارخ فملي-10609-1405/07/08</t>
  </si>
  <si>
    <t>اختيارخ فملي-12797-1405/07/08</t>
  </si>
  <si>
    <t>اختيارخ فملي-14255-1405/07/08</t>
  </si>
  <si>
    <t>اختيارخ فملي-15714-1405/07/08</t>
  </si>
  <si>
    <t>اختيارخ فملي-20089-1405/07/08</t>
  </si>
  <si>
    <t>اختيارخ فملي-21547-1405/07/08</t>
  </si>
  <si>
    <t>ضتاص9013</t>
  </si>
  <si>
    <t>اختيارخ تاصيكو-11000-05/09/04</t>
  </si>
  <si>
    <t>ضتاص9014</t>
  </si>
  <si>
    <t>اختيارخ تاصيكو-12000-05/09/04</t>
  </si>
  <si>
    <t>ضتاص9015</t>
  </si>
  <si>
    <t>اختيارخ تاصيكو-13000-05/09/04</t>
  </si>
  <si>
    <t>ضتاص9016</t>
  </si>
  <si>
    <t>اختيارخ تاصيكو-14000-05/09/04</t>
  </si>
  <si>
    <t>ضتاص9018</t>
  </si>
  <si>
    <t>اختيارخ تاصيكو-16000-05/09/04</t>
  </si>
  <si>
    <t>ضتاص9019</t>
  </si>
  <si>
    <t>اختيارخ تاصيكو-18000-05/09/04</t>
  </si>
  <si>
    <t>ضتاص9020</t>
  </si>
  <si>
    <t>اختيارخ تاصيكو-20000-05/09/04</t>
  </si>
  <si>
    <t>ضتاص9021</t>
  </si>
  <si>
    <t>اختيارخ تاصيكو-22000-05/09/04</t>
  </si>
  <si>
    <t>ضتاص9022</t>
  </si>
  <si>
    <t>اختيارخ تاصيكو-24000-05/09/04</t>
  </si>
  <si>
    <t>ضتاص9023</t>
  </si>
  <si>
    <t>اختيارخ تاصيكو-26000-05/09/04</t>
  </si>
  <si>
    <t>ضتاص9024</t>
  </si>
  <si>
    <t>اختيارخ تاصيكو-28000-05/09/04</t>
  </si>
  <si>
    <t>اختيارخ فملي-7693-1405/05/14</t>
  </si>
  <si>
    <t>طخود8055</t>
  </si>
  <si>
    <t>اختيارف خودرو-400-1405/08/06</t>
  </si>
  <si>
    <t>طخود8064</t>
  </si>
  <si>
    <t>اختيارف خودرو-900-1405/08/06</t>
  </si>
  <si>
    <t>طتاص9024</t>
  </si>
  <si>
    <t>اختيارف تاصيكو-28000-05/09/04</t>
  </si>
  <si>
    <t>اختيارف فملي-15714-1405/05/14</t>
  </si>
  <si>
    <t>ضتاص9017</t>
  </si>
  <si>
    <t>اختيارخ تاصيكو-15000-05/09/04</t>
  </si>
  <si>
    <t>ضخود8057</t>
  </si>
  <si>
    <t>اختيارخ خودرو-500-1405/08/06</t>
  </si>
  <si>
    <t>طتاص9016</t>
  </si>
  <si>
    <t>اختيارف تاصيكو-14000-05/09/04</t>
  </si>
  <si>
    <t>طخود8063</t>
  </si>
  <si>
    <t>اختيارف خودرو-800-1405/08/06</t>
  </si>
  <si>
    <t>ضخود8052</t>
  </si>
  <si>
    <t>اختيارخ خودرو-340-1405/08/06</t>
  </si>
  <si>
    <t>اختيارخ فملي-8422-1405/05/14</t>
  </si>
  <si>
    <t>طخود8052</t>
  </si>
  <si>
    <t>اختيارف خودرو-340-1405/08/06</t>
  </si>
  <si>
    <t>طخود8053</t>
  </si>
  <si>
    <t>اختيارف خودرو-360-1405/08/06</t>
  </si>
  <si>
    <t>طخود8054</t>
  </si>
  <si>
    <t>اختيارف خودرو-380-1405/08/06</t>
  </si>
  <si>
    <t>طخود8056</t>
  </si>
  <si>
    <t>اختيارف خودرو-450-1405/08/06</t>
  </si>
  <si>
    <t>طخود8057</t>
  </si>
  <si>
    <t>اختيارف خودرو-500-1405/08/06</t>
  </si>
  <si>
    <t>طخود8058</t>
  </si>
  <si>
    <t>اختيارف خودرو-550-1405/08/06</t>
  </si>
  <si>
    <t>طخود8059</t>
  </si>
  <si>
    <t>اختيارف خودرو-600-1405/08/06</t>
  </si>
  <si>
    <t>طخود8060</t>
  </si>
  <si>
    <t>اختيارف خودرو-650-1405/08/06</t>
  </si>
  <si>
    <t>طخود8061</t>
  </si>
  <si>
    <t>اختيارف خودرو-700-1405/08/06</t>
  </si>
  <si>
    <t>طخود8062</t>
  </si>
  <si>
    <t>اختيارف خودرو-750-1405/08/06</t>
  </si>
  <si>
    <t>اختيارف فملي-17172-1405/05/14</t>
  </si>
  <si>
    <t>اختيارف فملي-18630-1405/05/14</t>
  </si>
  <si>
    <t>اختيارف فملي-15714-1405/07/08</t>
  </si>
  <si>
    <t>اختيارف فملي-17172-1405/07/08</t>
  </si>
  <si>
    <t>اختيارف فملي-18630-1405/07/08</t>
  </si>
  <si>
    <t>اختيارف فملي-20089-1405/07/08</t>
  </si>
  <si>
    <t>اختيارف فملي-21547-1405/07/08</t>
  </si>
  <si>
    <t>طتاص9013</t>
  </si>
  <si>
    <t>اختيارف تاصيكو-11000-05/09/04</t>
  </si>
  <si>
    <t>طتاص9014</t>
  </si>
  <si>
    <t>اختيارف تاصيكو-12000-05/09/04</t>
  </si>
  <si>
    <t>طتاص9015</t>
  </si>
  <si>
    <t>اختيارف تاصيكو-13000-05/09/04</t>
  </si>
  <si>
    <t>طتاص9017</t>
  </si>
  <si>
    <t>اختيارف تاصيكو-15000-05/09/04</t>
  </si>
  <si>
    <t>طتاص9018</t>
  </si>
  <si>
    <t>اختيارف تاصيكو-16000-05/09/04</t>
  </si>
  <si>
    <t>طتاص9019</t>
  </si>
  <si>
    <t>اختيارف تاصيكو-18000-05/09/04</t>
  </si>
  <si>
    <t>طتاص9020</t>
  </si>
  <si>
    <t>اختيارف تاصيكو-20000-05/09/04</t>
  </si>
  <si>
    <t>طتاص9021</t>
  </si>
  <si>
    <t>اختيارف تاصيكو-22000-05/09/04</t>
  </si>
  <si>
    <t>طتاص9022</t>
  </si>
  <si>
    <t>اختيارف تاصيكو-24000-05/09/04</t>
  </si>
  <si>
    <t>طتاص9023</t>
  </si>
  <si>
    <t>اختيارف تاصيكو-26000-05/09/04</t>
  </si>
  <si>
    <t>اختيارخ فملي-12797-1405/05/14</t>
  </si>
  <si>
    <t>اختيارف فملي-14255-1405/05/14</t>
  </si>
  <si>
    <t>فروي</t>
  </si>
  <si>
    <t>ذوب روي اصفهان</t>
  </si>
  <si>
    <t>درازي</t>
  </si>
  <si>
    <t>پخش رازي</t>
  </si>
  <si>
    <t>تدبيريكم</t>
  </si>
  <si>
    <t>ص.س جسورانه ارزش تدبير30%تاديه</t>
  </si>
  <si>
    <t>اختيارخ فملي-18630-1405/07/08</t>
  </si>
  <si>
    <t>اختيارف فملي-8422-1405/07/08</t>
  </si>
  <si>
    <t>آتي1</t>
  </si>
  <si>
    <t>ص.س.ج. يكم آرمان آتي</t>
  </si>
  <si>
    <t>اختيارخ فملي-11339-1405/07/08</t>
  </si>
  <si>
    <t>اختيارخ فملي-9880-1405/07/08</t>
  </si>
  <si>
    <t>اختيارف فملي-9151-1405/07/08</t>
  </si>
  <si>
    <t>اختيارف فملي-9880-1405/07/08</t>
  </si>
  <si>
    <t>اختيارف فملي-10609-1405/07/08</t>
  </si>
  <si>
    <t>اختيارف فملي-11339-1405/07/08</t>
  </si>
  <si>
    <t>اختيارف فملي-12797-1405/07/08</t>
  </si>
  <si>
    <t>اختيارف فملي-14255-1405/07/08</t>
  </si>
  <si>
    <t>اختيارخ فملي-17172-1405/07/08</t>
  </si>
  <si>
    <t>شگلح</t>
  </si>
  <si>
    <t>Shares Hold</t>
  </si>
  <si>
    <t>صندوق پالايشي يكم-بخشي</t>
  </si>
  <si>
    <t>ضبساما722</t>
  </si>
  <si>
    <t>اختيارخ بساما-7000-14050726</t>
  </si>
  <si>
    <t>ضبساما723</t>
  </si>
  <si>
    <t>اختيارخ بساما-7500-14050726</t>
  </si>
  <si>
    <t>ضبساما724</t>
  </si>
  <si>
    <t>اختيارخ بساما-8000-14050726</t>
  </si>
  <si>
    <t>ضبساما727</t>
  </si>
  <si>
    <t>اختيارخ بساما-9500-14050726</t>
  </si>
  <si>
    <t>ضبساما728</t>
  </si>
  <si>
    <t>اختيارخ بساما-10000-14050726</t>
  </si>
  <si>
    <t>ضبساما730</t>
  </si>
  <si>
    <t>اختيارخ بساما-12000-14050726</t>
  </si>
  <si>
    <t>ضبساما731</t>
  </si>
  <si>
    <t>اختيارخ بساما-13000-14050726</t>
  </si>
  <si>
    <t>طبساما722</t>
  </si>
  <si>
    <t>اختيارف بساما-7000-14050726</t>
  </si>
  <si>
    <t>طبساما724</t>
  </si>
  <si>
    <t>اختيارف بساما-8000-14050726</t>
  </si>
  <si>
    <t>طبساما725</t>
  </si>
  <si>
    <t>اختيارف بساما-8500-14050726</t>
  </si>
  <si>
    <t>طبساما726</t>
  </si>
  <si>
    <t>اختيارف بساما-9000-14050726</t>
  </si>
  <si>
    <t>طبساما730</t>
  </si>
  <si>
    <t>اختيارف بساما-12000-14050726</t>
  </si>
  <si>
    <t>طبساما731</t>
  </si>
  <si>
    <t>اختيارف بساما-13000-14050726</t>
  </si>
  <si>
    <t>طبساما732</t>
  </si>
  <si>
    <t>اختيارف بساما-14000-14050726</t>
  </si>
  <si>
    <t>طبساما727</t>
  </si>
  <si>
    <t>اختيارف بساما-9500-14050726</t>
  </si>
  <si>
    <t>طبساما723</t>
  </si>
  <si>
    <t>اختيارف بساما-7500-14050726</t>
  </si>
  <si>
    <t>ضبساما732</t>
  </si>
  <si>
    <t>اختيارخ بساما-14000-14050726</t>
  </si>
  <si>
    <t>ضبساما726</t>
  </si>
  <si>
    <t>اختيارخ بساما-9000-14050726</t>
  </si>
  <si>
    <t>طبساما728</t>
  </si>
  <si>
    <t>اختيارف بساما-10000-14050726</t>
  </si>
  <si>
    <t>ضبساما729</t>
  </si>
  <si>
    <t>اختيارخ بساما-11000-14050726</t>
  </si>
  <si>
    <t>ضبساما725</t>
  </si>
  <si>
    <t>اختيارخ بساما-8500-14050726</t>
  </si>
  <si>
    <t>طبساما729</t>
  </si>
  <si>
    <t>اختيارف بساما-11000-14050726</t>
  </si>
  <si>
    <t>1405/05/10</t>
  </si>
  <si>
    <t>1405/05/11</t>
  </si>
  <si>
    <t>PGOC-PCT1G32.5-L50-00</t>
  </si>
  <si>
    <t>SZCE-PCT2G42.5-BEX-00</t>
  </si>
  <si>
    <t>HCC-PCT1G42.5-L50EX-00</t>
  </si>
  <si>
    <t>AAC-PCT2G42.5-BEX-00</t>
  </si>
  <si>
    <t>AAC-PCT2G42.5-JEX-00</t>
  </si>
  <si>
    <t>سیمان پرتلند نوع 2 رده 42/5-جامبوبگ - صادراتی</t>
  </si>
  <si>
    <t xml:space="preserve">  فروش داخلی ماه 4 بر اساس گزارش بورس کالا </t>
  </si>
  <si>
    <t>كقزوي</t>
  </si>
  <si>
    <t>شيشه‌ قزوين‌</t>
  </si>
  <si>
    <t>ثبات2</t>
  </si>
  <si>
    <t>اختيارخ وبملت-1354-1405/05/20</t>
  </si>
  <si>
    <t>اختيارخ وبملت-1454-1405/05/20</t>
  </si>
  <si>
    <t>اختيارخ وبملت-1654-1405/05/20</t>
  </si>
  <si>
    <t>اختيارخ وبملت-1754-1405/05/20</t>
  </si>
  <si>
    <t>انتخاب093</t>
  </si>
  <si>
    <t>مرابحه انتخاب آرمان پاسا090309</t>
  </si>
  <si>
    <t>تابا</t>
  </si>
  <si>
    <t>تابان نيرو سپاهان</t>
  </si>
  <si>
    <t>اختيارف وبملت-654-1405/05/20</t>
  </si>
  <si>
    <t>اختيارف وبملت-854-1405/05/20</t>
  </si>
  <si>
    <t>اختيارف وتجارت-311-1405/06/18</t>
  </si>
  <si>
    <t>اختيارف فملي-10609-1405/05/14</t>
  </si>
  <si>
    <t>اختيارف فملي-12797-1405/05/14</t>
  </si>
  <si>
    <t>اراد273</t>
  </si>
  <si>
    <t>مرابحه عام دولت273-ش.خ071128</t>
  </si>
  <si>
    <t>بلد</t>
  </si>
  <si>
    <t>ص.س.درآمد ثابت برليان شهر-د</t>
  </si>
  <si>
    <t>انتخاب094</t>
  </si>
  <si>
    <t>مرابحه انتخاب آرمان حافظ090309</t>
  </si>
  <si>
    <t>اختيارخ وبملت-1554-1405/05/20</t>
  </si>
  <si>
    <t>صدارو94</t>
  </si>
  <si>
    <t>صكوك  مرابحه دارو94-3ماهه23%</t>
  </si>
  <si>
    <t>تعاون1405</t>
  </si>
  <si>
    <t>امتياز تسهيلات مسكن تعاون1405</t>
  </si>
  <si>
    <t>بنكوداريوش2</t>
  </si>
  <si>
    <t>اختيارف وبملت-954-1405/05/20</t>
  </si>
  <si>
    <t>اكستريم</t>
  </si>
  <si>
    <t>صندوق س.آينده نگردياكو-س</t>
  </si>
  <si>
    <t>اختيارف فملي-6964-1405/05/14</t>
  </si>
  <si>
    <t>تپولا</t>
  </si>
  <si>
    <t>مهندسي مرآت پولاد</t>
  </si>
  <si>
    <t>كربنح</t>
  </si>
  <si>
    <t>ح.كاني كربن طبس</t>
  </si>
  <si>
    <t>پلوله</t>
  </si>
  <si>
    <t>گازلوله‌</t>
  </si>
  <si>
    <t>اختيارف فملي-8422-1405/05/14</t>
  </si>
  <si>
    <t>پايدار2</t>
  </si>
  <si>
    <t>اختيارف فملي-11339-1405/05/14</t>
  </si>
  <si>
    <t>اختيارف فملي-7693-1405/05/14</t>
  </si>
  <si>
    <t>اختيارخ اخابر-753-1405/05/20</t>
  </si>
  <si>
    <t>اختيارف وبملت-754-1405/05/20</t>
  </si>
  <si>
    <t>جهرم0506</t>
  </si>
  <si>
    <t>آتي اهرم-1405/06/25</t>
  </si>
  <si>
    <t>آلياژ2</t>
  </si>
  <si>
    <t>اختيارخ اخابر-503-1405/05/20</t>
  </si>
  <si>
    <t>اختيارخ اخابر-853-1405/07/22</t>
  </si>
  <si>
    <t>اختيارخ اخابر-453-1405/05/20</t>
  </si>
  <si>
    <t>پتروآگاه2</t>
  </si>
  <si>
    <t>جهرم0505</t>
  </si>
  <si>
    <t>آتي اهرم-1405/05/28</t>
  </si>
  <si>
    <t>اختيارخ اخابر-293-1405/05/20</t>
  </si>
  <si>
    <t>اختيارخ اخابر-353-1405/05/20</t>
  </si>
  <si>
    <t>اختيارخ اخابر-403-1405/05/20</t>
  </si>
  <si>
    <t>اختيارخ اخابر-553-1405/05/20</t>
  </si>
  <si>
    <t>اختيارخ اخابر-603-1405/05/20</t>
  </si>
  <si>
    <t>اختيارخ اخابر-653-1405/05/20</t>
  </si>
  <si>
    <t>اختيارخ اخابر-853-1405/05/20</t>
  </si>
  <si>
    <t>اختيارخ اخابر-293-1405/07/22</t>
  </si>
  <si>
    <t>اختيارخ اخابر-403-1405/07/22</t>
  </si>
  <si>
    <t>اراد1714</t>
  </si>
  <si>
    <t>مرابحه عام دولت171-ش.خ060316</t>
  </si>
  <si>
    <t>اختيارخ اخابر-313-1405/05/20</t>
  </si>
  <si>
    <t>اختيارخ اخابر-333-1405/05/20</t>
  </si>
  <si>
    <t>اختيارخ اخابر-703-1405/05/20</t>
  </si>
  <si>
    <t>اختيارخ اخابر-313-1405/07/22</t>
  </si>
  <si>
    <t>اختيارخ اخابر-353-1405/07/22</t>
  </si>
  <si>
    <t>اختيارخ اخابر-453-1405/07/22</t>
  </si>
  <si>
    <t>اختيارخ اخابر-503-1405/07/22</t>
  </si>
  <si>
    <t>اختيارخ اخابر-553-1405/07/22</t>
  </si>
  <si>
    <t>اختيارخ اخابر-603-1405/07/22</t>
  </si>
  <si>
    <t>اختيارخ اخابر-753-1405/07/22</t>
  </si>
  <si>
    <t>اختيارف اخابر-403-1405/07/22</t>
  </si>
  <si>
    <t>اختيارف اخابر-703-1405/05/20</t>
  </si>
  <si>
    <t>اختيارف اخابر-853-1405/05/20</t>
  </si>
  <si>
    <t>اراد2334</t>
  </si>
  <si>
    <t>اراد2454</t>
  </si>
  <si>
    <t>مرابحه عام دولت245-ش.خ070813</t>
  </si>
  <si>
    <t>اختيارف اخابر-293-1405/05/20</t>
  </si>
  <si>
    <t>اراد2354</t>
  </si>
  <si>
    <t>مرابحه عام دولت235-ش.خ060915</t>
  </si>
  <si>
    <t>اختيارخ اخابر-703-1405/07/22</t>
  </si>
  <si>
    <t>اختيارف اخابر-753-1405/05/20</t>
  </si>
  <si>
    <t>اختيارخ اخابر-333-1405/07/22</t>
  </si>
  <si>
    <t>اختيارخ اخابر-653-1405/07/22</t>
  </si>
  <si>
    <t>اختيارف اخابر-553-1405/07/22</t>
  </si>
  <si>
    <t>اختيارف اخابر-553-1405/05/20</t>
  </si>
  <si>
    <t>اختيارف اخابر-653-1405/05/20</t>
  </si>
  <si>
    <t>اختيارف اخابر-293-1405/07/22</t>
  </si>
  <si>
    <t>اختيارف اخابر-333-1405/07/22</t>
  </si>
  <si>
    <t>اختيارف اخابر-353-1405/07/22</t>
  </si>
  <si>
    <t>اختيارف اخابر-453-1405/07/22</t>
  </si>
  <si>
    <t>اختيارف اخابر-503-1405/07/22</t>
  </si>
  <si>
    <t>اختيارف اخابر-603-1405/07/22</t>
  </si>
  <si>
    <t>اختيارف اخابر-653-1405/07/22</t>
  </si>
  <si>
    <t>اختيارف اخابر-703-1405/07/22</t>
  </si>
  <si>
    <t>اختيارف اخابر-853-1405/07/22</t>
  </si>
  <si>
    <t>اختيارف فملي-9880-1405/05/14</t>
  </si>
  <si>
    <t>اختيارف اخابر-753-1405/07/22</t>
  </si>
  <si>
    <t>اراد2324</t>
  </si>
  <si>
    <t>مرابحه عام دولت232-ش.خ070725</t>
  </si>
  <si>
    <t>اختيارف اخابر-313-1405/07/22</t>
  </si>
  <si>
    <t>اراد2544</t>
  </si>
  <si>
    <t>مرابحه عام دولت254-ش.خ070911</t>
  </si>
  <si>
    <t>اراد2294</t>
  </si>
  <si>
    <t>مرابحه عام دولت229-ش.خ061028</t>
  </si>
  <si>
    <t>اراد2554</t>
  </si>
  <si>
    <t>مرابحه عام دولت255-ش.خ071011</t>
  </si>
  <si>
    <t>اراد2534</t>
  </si>
  <si>
    <t>مرابحه عام دولت253-ش.خ070311</t>
  </si>
  <si>
    <t>اراد2374</t>
  </si>
  <si>
    <t>مرابحه عام دولت237-ش.خ070715</t>
  </si>
  <si>
    <t>اراد228</t>
  </si>
  <si>
    <t>مرابحه عام دولت228-ش.خ070521</t>
  </si>
  <si>
    <t>اراد1944</t>
  </si>
  <si>
    <t>مرابحه عام دولت194-ش.خ060504</t>
  </si>
  <si>
    <t>آوان2</t>
  </si>
  <si>
    <t>ارزش2</t>
  </si>
  <si>
    <t>اراد2584</t>
  </si>
  <si>
    <t>ديار2</t>
  </si>
  <si>
    <t>اراد2564</t>
  </si>
  <si>
    <t>مرابحه عام دولت256-ش.خ070318</t>
  </si>
  <si>
    <t>اراد2514</t>
  </si>
  <si>
    <t>مرابحه عام دولت251-ش.خ070405</t>
  </si>
  <si>
    <t>اراد2464</t>
  </si>
  <si>
    <t>مرابحه عام دولت246-ش.خ070820</t>
  </si>
  <si>
    <t>اراد1964</t>
  </si>
  <si>
    <t>مرابحه عام دولت196-ش.خ050924</t>
  </si>
  <si>
    <t>اراد2344</t>
  </si>
  <si>
    <t>مرابحه عام دولت234-ش.خ070808</t>
  </si>
  <si>
    <t>اراد2654</t>
  </si>
  <si>
    <t>اراد2364</t>
  </si>
  <si>
    <t>مرابحه عام دولت236-ش.خ070815</t>
  </si>
  <si>
    <t>اراد2204</t>
  </si>
  <si>
    <t>مرابحه دولت عام220-ش.خ070303</t>
  </si>
  <si>
    <t>نقرين2</t>
  </si>
  <si>
    <t>عصائب</t>
  </si>
  <si>
    <t>سلف موازي ميلگرد صائب تبريز</t>
  </si>
  <si>
    <t>پاسار09</t>
  </si>
  <si>
    <t>اجاره انرژي پاسارگاد14090325</t>
  </si>
  <si>
    <t>اختيارف اخابر-313-1405/05/20</t>
  </si>
  <si>
    <t>اختيارف اخابر-333-1405/05/20</t>
  </si>
  <si>
    <t>اختيارف اخابر-353-1405/05/20</t>
  </si>
  <si>
    <t>اختيارف اخابر-403-1405/05/20</t>
  </si>
  <si>
    <t>شمس2</t>
  </si>
  <si>
    <t>فجوش</t>
  </si>
  <si>
    <t>جوش‌ و اكسيژن‌ ايران‌</t>
  </si>
  <si>
    <t>زيتون2</t>
  </si>
  <si>
    <t>اراد186</t>
  </si>
  <si>
    <t>مرابحه عام دولت186-ش.خ051124</t>
  </si>
  <si>
    <t>سرو2</t>
  </si>
  <si>
    <t>شپلي2</t>
  </si>
  <si>
    <t>ثزاگرس</t>
  </si>
  <si>
    <t>سرمايه گذاري توسعه عمران زاگرس</t>
  </si>
  <si>
    <t>وپاسار2</t>
  </si>
  <si>
    <t>سكارون2</t>
  </si>
  <si>
    <t>فاذر</t>
  </si>
  <si>
    <t>صنايع‌ آذرآب‌</t>
  </si>
  <si>
    <t>نقرسا2</t>
  </si>
  <si>
    <t>بلد2</t>
  </si>
  <si>
    <t>سيگلو2</t>
  </si>
  <si>
    <t>اعتماد4</t>
  </si>
  <si>
    <t>اراد2692</t>
  </si>
  <si>
    <t>مرابحه عام دولت269-ش.خ071021</t>
  </si>
  <si>
    <t>اراد269</t>
  </si>
  <si>
    <t>اراد253</t>
  </si>
  <si>
    <t xml:space="preserve"> سود دریافت شده از مجامع  در مفید</t>
  </si>
  <si>
    <t>عقيق2</t>
  </si>
  <si>
    <t>اركيده2</t>
  </si>
  <si>
    <t>مشهد7012</t>
  </si>
  <si>
    <t>مشاركت ش مشهد7012-3ماهه23%</t>
  </si>
  <si>
    <t>اختيارف وبملت-704-1405/05/20</t>
  </si>
  <si>
    <t>صدف2</t>
  </si>
  <si>
    <t>اراد283</t>
  </si>
  <si>
    <t>مرابحه عام دولت283-ش.خ080312</t>
  </si>
  <si>
    <t>كاتاليست‌هاي ‌صنعتي‌ آريا‌</t>
  </si>
  <si>
    <t>ح . گلتاش‌</t>
  </si>
  <si>
    <t>ثروت ساز2</t>
  </si>
  <si>
    <t>اختيارف اخابر-603-1405/05/20</t>
  </si>
  <si>
    <t>گوهران2</t>
  </si>
  <si>
    <t>اراد2964</t>
  </si>
  <si>
    <t>مرابحه عام دولت296-ش.خ070930</t>
  </si>
  <si>
    <t>وخاور2</t>
  </si>
  <si>
    <t>اراد232</t>
  </si>
  <si>
    <t>ماكان2</t>
  </si>
  <si>
    <t>طذوب7034</t>
  </si>
  <si>
    <t>اختيارف ذوب-300-1405/07/22</t>
  </si>
  <si>
    <t>طذوب7035</t>
  </si>
  <si>
    <t>اختيارف ذوب-320-1405/07/22</t>
  </si>
  <si>
    <t>طذوب7036</t>
  </si>
  <si>
    <t>اختيارف ذوب-340-1405/07/22</t>
  </si>
  <si>
    <t>طذوب7038</t>
  </si>
  <si>
    <t>اختيارف ذوب-380-1405/07/22</t>
  </si>
  <si>
    <t>طذوب7039</t>
  </si>
  <si>
    <t>اختيارف ذوب-400-1405/07/22</t>
  </si>
  <si>
    <t>طذوب7044</t>
  </si>
  <si>
    <t>اختيارف ذوب-650-1405/07/22</t>
  </si>
  <si>
    <t>فملي2</t>
  </si>
  <si>
    <t>ضذوب7040</t>
  </si>
  <si>
    <t>اختيارخ ذوب-450-1405/07/22</t>
  </si>
  <si>
    <t>ضذوب7036</t>
  </si>
  <si>
    <t>اختيارخ ذوب-340-1405/07/22</t>
  </si>
  <si>
    <t>ضذوب7038</t>
  </si>
  <si>
    <t>اختيارخ ذوب-380-1405/07/22</t>
  </si>
  <si>
    <t>ضذوب7042</t>
  </si>
  <si>
    <t>اختيارخ ذوب-550-1405/07/22</t>
  </si>
  <si>
    <t>ضذوب7043</t>
  </si>
  <si>
    <t>اختيارخ ذوب-600-1405/07/22</t>
  </si>
  <si>
    <t>ضذوب7044</t>
  </si>
  <si>
    <t>اختيارخ ذوب-650-1405/07/22</t>
  </si>
  <si>
    <t>ضذوب7045</t>
  </si>
  <si>
    <t>اختيارخ ذوب-700-1405/07/22</t>
  </si>
  <si>
    <t>ضذوب7041</t>
  </si>
  <si>
    <t>اختيارخ ذوب-500-1405/07/22</t>
  </si>
  <si>
    <t>ضذوب7037</t>
  </si>
  <si>
    <t>اختيارخ ذوب-360-1405/07/22</t>
  </si>
  <si>
    <t>طذوب7037</t>
  </si>
  <si>
    <t>اختيارف ذوب-360-1405/07/22</t>
  </si>
  <si>
    <t>شيفته2</t>
  </si>
  <si>
    <t>ضذوب7039</t>
  </si>
  <si>
    <t>اختيارخ ذوب-400-1405/07/22</t>
  </si>
  <si>
    <t>طذوب7045</t>
  </si>
  <si>
    <t>اختيارف ذوب-700-1405/07/22</t>
  </si>
  <si>
    <t>رايا</t>
  </si>
  <si>
    <t>بيمه اتكايي رايا</t>
  </si>
  <si>
    <t>اراد256</t>
  </si>
  <si>
    <t>شگويا2</t>
  </si>
  <si>
    <t>سخاش2</t>
  </si>
  <si>
    <t>ضذوب7035</t>
  </si>
  <si>
    <t>اختيارخ ذوب-320-1405/07/22</t>
  </si>
  <si>
    <t>طذوب7040</t>
  </si>
  <si>
    <t>اختيارف ذوب-450-1405/07/22</t>
  </si>
  <si>
    <t>پيل سان09</t>
  </si>
  <si>
    <t xml:space="preserve">مرابحه صنعتي پيل سان14090430	</t>
  </si>
  <si>
    <t>سصوفي2</t>
  </si>
  <si>
    <t>وطوبي2</t>
  </si>
  <si>
    <t>نوري2</t>
  </si>
  <si>
    <t>كپرسپوليس2</t>
  </si>
  <si>
    <t>طذوب7043</t>
  </si>
  <si>
    <t>اختيارف ذوب-600-1405/07/22</t>
  </si>
  <si>
    <t>ضذوب7034</t>
  </si>
  <si>
    <t>اختيارخ ذوب-300-1405/07/22</t>
  </si>
  <si>
    <t>افق نگر</t>
  </si>
  <si>
    <t>ص.س جسورانه افق نگر50%تاديه</t>
  </si>
  <si>
    <t>طذوب7042</t>
  </si>
  <si>
    <t>اختيارف ذوب-550-1405/07/22</t>
  </si>
  <si>
    <t>طذوب7041</t>
  </si>
  <si>
    <t>اختيارف ذوب-500-1405/07/22</t>
  </si>
  <si>
    <t>دزاگرس2</t>
  </si>
  <si>
    <t>دیده بان بازار : 1405/05/14 - زمان آخرین معامله : 13:37:15</t>
  </si>
  <si>
    <t>آپ3</t>
  </si>
  <si>
    <t>ولشرق3</t>
  </si>
  <si>
    <t>شفام3</t>
  </si>
  <si>
    <t>دزاگرس3</t>
  </si>
  <si>
    <t>دزهراوي3</t>
  </si>
  <si>
    <t>سمگا3</t>
  </si>
  <si>
    <t>لوتوس3</t>
  </si>
  <si>
    <t>تاديكو3</t>
  </si>
  <si>
    <t>افرا3</t>
  </si>
  <si>
    <t>خريخت3</t>
  </si>
  <si>
    <t>غكورش3</t>
  </si>
  <si>
    <t>اخشان3</t>
  </si>
  <si>
    <t>سشرق3</t>
  </si>
  <si>
    <t>دارو3</t>
  </si>
  <si>
    <t>هانيكو3</t>
  </si>
  <si>
    <t>آردينه3</t>
  </si>
  <si>
    <t>آبادا3</t>
  </si>
  <si>
    <t>وگستر3</t>
  </si>
  <si>
    <t>شيراز3</t>
  </si>
  <si>
    <t>خيمن3</t>
  </si>
  <si>
    <t>ساروج3</t>
  </si>
  <si>
    <t>پرداخت3</t>
  </si>
  <si>
    <t>غمينو3</t>
  </si>
  <si>
    <t>كسرا3</t>
  </si>
  <si>
    <t>امين3</t>
  </si>
  <si>
    <t>وآوا3</t>
  </si>
  <si>
    <t>شيفته3</t>
  </si>
  <si>
    <t>آ س پ3</t>
  </si>
  <si>
    <t>غپينو3</t>
  </si>
  <si>
    <t>سپيد3</t>
  </si>
  <si>
    <t>كدما3</t>
  </si>
  <si>
    <t>كوچين3</t>
  </si>
  <si>
    <t>شپديس3</t>
  </si>
  <si>
    <t>زفارس3</t>
  </si>
  <si>
    <t>غگل3</t>
  </si>
  <si>
    <t>زهلال3</t>
  </si>
  <si>
    <t>سرود3</t>
  </si>
  <si>
    <t>وفيروزه3</t>
  </si>
  <si>
    <t>كانسار3</t>
  </si>
  <si>
    <t>فزرين3</t>
  </si>
  <si>
    <t>دسانكو3</t>
  </si>
  <si>
    <t>خوساز3</t>
  </si>
  <si>
    <t>زفجر3</t>
  </si>
  <si>
    <t>غمهرا3</t>
  </si>
  <si>
    <t>انرژي3</t>
  </si>
  <si>
    <t>عاليس3</t>
  </si>
  <si>
    <t>دفرا3</t>
  </si>
  <si>
    <t>سصوفي3</t>
  </si>
  <si>
    <t>سبهان3</t>
  </si>
  <si>
    <t>بخاور3</t>
  </si>
  <si>
    <t>دكپسول3</t>
  </si>
  <si>
    <t>غگرجي3</t>
  </si>
  <si>
    <t>صنم2</t>
  </si>
  <si>
    <t>غدانه3</t>
  </si>
  <si>
    <t>زگلدشت3</t>
  </si>
  <si>
    <t>وصنا3</t>
  </si>
  <si>
    <t>فگستر3</t>
  </si>
  <si>
    <t>ونفت3</t>
  </si>
  <si>
    <t>غويتا3</t>
  </si>
  <si>
    <t>كسرام3</t>
  </si>
  <si>
    <t>دعبيد3</t>
  </si>
  <si>
    <t>شمس3</t>
  </si>
  <si>
    <t>تكنو3</t>
  </si>
  <si>
    <t>كيميا3</t>
  </si>
  <si>
    <t>كيمياتك3</t>
  </si>
  <si>
    <t>وپست3</t>
  </si>
  <si>
    <t>الكتروماد3</t>
  </si>
  <si>
    <t>ونوين3</t>
  </si>
  <si>
    <t>پرديس3</t>
  </si>
  <si>
    <t>نطرين3</t>
  </si>
  <si>
    <t>اوصتا2</t>
  </si>
  <si>
    <t>ولملت3</t>
  </si>
  <si>
    <t>بپيوند3</t>
  </si>
  <si>
    <t>غشهداب3</t>
  </si>
  <si>
    <t>غپونه3</t>
  </si>
  <si>
    <t>فروس3</t>
  </si>
  <si>
    <t>شپاس3</t>
  </si>
  <si>
    <t>پاسا3</t>
  </si>
  <si>
    <t>بالبر3</t>
  </si>
  <si>
    <t>شگل3</t>
  </si>
  <si>
    <t>وخاور3</t>
  </si>
  <si>
    <t>صخابر61</t>
  </si>
  <si>
    <t>صكوك اجاره اخابر61-3ماهه23%</t>
  </si>
  <si>
    <t>سمتاز3</t>
  </si>
  <si>
    <t>فاذر3</t>
  </si>
  <si>
    <t>بپويا3</t>
  </si>
  <si>
    <t>ثامان3</t>
  </si>
  <si>
    <t>فزر3</t>
  </si>
  <si>
    <t>كرمان3</t>
  </si>
  <si>
    <t>پارسيان3</t>
  </si>
  <si>
    <t>اراد123</t>
  </si>
  <si>
    <t xml:space="preserve">مرابحه عام دولت123-ش.خ051117	</t>
  </si>
  <si>
    <t>حگهر3</t>
  </si>
  <si>
    <t>وساخت3</t>
  </si>
  <si>
    <t>ولغدر3</t>
  </si>
  <si>
    <t>قثابت3</t>
  </si>
  <si>
    <t>بورس3</t>
  </si>
  <si>
    <t>غديس3</t>
  </si>
  <si>
    <t>بكام3</t>
  </si>
  <si>
    <t>وتوسم3</t>
  </si>
  <si>
    <t>اروند3</t>
  </si>
  <si>
    <t>انتخاب3</t>
  </si>
  <si>
    <t>فرود3</t>
  </si>
  <si>
    <t>رنيك3</t>
  </si>
  <si>
    <t>شبريز3</t>
  </si>
  <si>
    <t>وپاسار3</t>
  </si>
  <si>
    <t>تكشا3</t>
  </si>
  <si>
    <t>شپنا3</t>
  </si>
  <si>
    <t>ناما3</t>
  </si>
  <si>
    <t>تايرا3</t>
  </si>
  <si>
    <t>رانيز3</t>
  </si>
  <si>
    <t>شاروم3</t>
  </si>
  <si>
    <t>دتوزيع3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</si>
</sst>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&quot;$&quot;#,##0_);[Red]\(&quot;$&quot;#,##0\)"/>
    <numFmt numFmtId="43" formatCode="_(* #,##0.00_);_(* \(#,##0.00\);_(* &quot;-&quot;??_);_(@_)"/>
    <numFmt numFmtId="164" formatCode="#,##0;[Red]#,##0"/>
    <numFmt numFmtId="165" formatCode="#,##0.0"/>
    <numFmt numFmtId="166" formatCode="0.0%"/>
    <numFmt numFmtId="167" formatCode="0.0"/>
    <numFmt numFmtId="168" formatCode="#,##0.0;[Red]#,##0.0"/>
    <numFmt numFmtId="169" formatCode="0.0_);[Red]\(0.0\)"/>
    <numFmt numFmtId="170" formatCode="0.00_);[Red]\(0.00\)"/>
    <numFmt numFmtId="171" formatCode="#,##0.00;[Red]#,##0.00"/>
    <numFmt numFmtId="172" formatCode="#,##0.0_);[Red]\(#,##0.0\)"/>
    <numFmt numFmtId="173" formatCode="[$-160429]yyyy/m/d;@"/>
    <numFmt numFmtId="174" formatCode="#,##0.000"/>
    <numFmt numFmtId="175" formatCode="0.000"/>
    <numFmt numFmtId="176" formatCode="0_);[Red]\(0\)"/>
    <numFmt numFmtId="177" formatCode="[$-960429]yyyy/m/d;@"/>
    <numFmt numFmtId="178" formatCode="#,##0.000;[Red]#,##0.000"/>
    <numFmt numFmtId="179" formatCode="&quot;$&quot;#,##0"/>
    <numFmt numFmtId="180" formatCode="[$-3000401]0"/>
    <numFmt numFmtId="181" formatCode="[$-409]d\-mmm\-yy;@"/>
    <numFmt numFmtId="182" formatCode="mm/dd/yy;@"/>
    <numFmt numFmtId="183" formatCode="0.00;[Red]0.00"/>
    <numFmt numFmtId="184" formatCode="&quot;$&quot;#,##0.00"/>
  </numFmts>
  <fonts count="28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B Nazanin"/>
      <charset val="178"/>
    </font>
    <font>
      <sz val="14"/>
      <color rgb="FF0070C0"/>
      <name val="B Nazanin"/>
      <charset val="178"/>
    </font>
    <font>
      <sz val="14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4"/>
      <color rgb="FF0070C0"/>
      <name val="B Nazanin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1"/>
      <name val="B Nazanin"/>
      <charset val="178"/>
    </font>
    <font>
      <b/>
      <sz val="12"/>
      <color theme="1"/>
      <name val="B Nazanin"/>
    </font>
    <font>
      <b/>
      <sz val="12"/>
      <color rgb="FF0070C0"/>
      <name val="B Nazanin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b/>
      <sz val="18"/>
      <color rgb="FF0070C0"/>
      <name val="Calibri"/>
      <family val="2"/>
      <scheme val="minor"/>
    </font>
    <font>
      <sz val="14"/>
      <color rgb="FFFF0000"/>
      <name val="B Nazanin"/>
      <charset val="178"/>
    </font>
    <font>
      <sz val="12"/>
      <color theme="1"/>
      <name val="B Nazanin"/>
    </font>
    <font>
      <b/>
      <sz val="12"/>
      <color rgb="FFFF0000"/>
      <name val="B Nazanin"/>
    </font>
    <font>
      <b/>
      <sz val="14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B Nazanin"/>
      <charset val="178"/>
    </font>
    <font>
      <sz val="18"/>
      <color theme="1"/>
      <name val="Calibri"/>
      <family val="2"/>
      <scheme val="minor"/>
    </font>
    <font>
      <sz val="18"/>
      <color theme="1"/>
      <name val="Calibri"/>
      <family val="2"/>
      <charset val="178"/>
      <scheme val="minor"/>
    </font>
    <font>
      <sz val="16"/>
      <color theme="1"/>
      <name val="B Nazanin"/>
      <charset val="178"/>
    </font>
    <font>
      <b/>
      <sz val="14"/>
      <color rgb="FFFF0000"/>
      <name val="B Nazanin"/>
    </font>
    <font>
      <b/>
      <sz val="18"/>
      <color rgb="FF0070C0"/>
      <name val="B Nazanin"/>
    </font>
    <font>
      <b/>
      <sz val="18"/>
      <color rgb="FF00206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4"/>
      <color theme="9" tint="-0.249977111117893"/>
      <name val="B Nazanin"/>
      <charset val="178"/>
    </font>
    <font>
      <b/>
      <sz val="18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4"/>
      <color theme="1"/>
      <name val="B Nazanin"/>
    </font>
    <font>
      <sz val="16"/>
      <color rgb="FF7030A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8"/>
      <color rgb="FF7976D7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6"/>
      <color theme="1"/>
      <name val="Tahoma"/>
      <family val="2"/>
    </font>
    <font>
      <b/>
      <sz val="16"/>
      <name val="Tahoma"/>
      <family val="2"/>
    </font>
    <font>
      <sz val="12"/>
      <color theme="9" tint="-0.499984740745262"/>
      <name val="B Nazanin"/>
    </font>
    <font>
      <b/>
      <sz val="16"/>
      <color rgb="FF002060"/>
      <name val="Calibri"/>
      <family val="2"/>
      <scheme val="minor"/>
    </font>
    <font>
      <b/>
      <sz val="12"/>
      <color theme="9" tint="-0.249977111117893"/>
      <name val="B Nazanin"/>
    </font>
    <font>
      <b/>
      <sz val="20"/>
      <color rgb="FF0070C0"/>
      <name val="Tahoma"/>
      <family val="2"/>
    </font>
    <font>
      <sz val="16"/>
      <color rgb="FF00206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sz val="12"/>
      <name val="Tahoma"/>
      <family val="2"/>
    </font>
    <font>
      <b/>
      <sz val="16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8" tint="-0.249977111117893"/>
      <name val="Calibri"/>
      <family val="2"/>
      <scheme val="minor"/>
    </font>
    <font>
      <sz val="36"/>
      <color theme="1"/>
      <name val="B Nazanin"/>
      <charset val="178"/>
    </font>
    <font>
      <b/>
      <sz val="28"/>
      <color theme="1"/>
      <name val="B Nazanin"/>
    </font>
    <font>
      <b/>
      <sz val="18"/>
      <color theme="7" tint="0.39997558519241921"/>
      <name val="Calibri"/>
      <family val="2"/>
      <scheme val="minor"/>
    </font>
    <font>
      <b/>
      <sz val="11"/>
      <color rgb="FF7030A0"/>
      <name val="B Nazanin"/>
    </font>
    <font>
      <b/>
      <sz val="14"/>
      <color rgb="FF7976D7"/>
      <name val="Calibri"/>
      <family val="2"/>
      <scheme val="minor"/>
    </font>
    <font>
      <b/>
      <sz val="11"/>
      <color rgb="FF002060"/>
      <name val="B Nazanin"/>
    </font>
    <font>
      <b/>
      <sz val="12"/>
      <color rgb="FF0070C0"/>
      <name val="Tahoma"/>
      <family val="2"/>
    </font>
    <font>
      <b/>
      <sz val="11"/>
      <color rgb="FF0070C0"/>
      <name val="Tahoma"/>
      <family val="2"/>
    </font>
    <font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theme="1"/>
      <name val="B Nazanin"/>
    </font>
    <font>
      <b/>
      <sz val="14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7030A0"/>
      <name val="B Nazanin"/>
    </font>
    <font>
      <b/>
      <sz val="13"/>
      <color theme="9" tint="-0.499984740745262"/>
      <name val="B Nazanin"/>
    </font>
    <font>
      <b/>
      <sz val="13"/>
      <color theme="1"/>
      <name val="B Nazanin"/>
    </font>
    <font>
      <b/>
      <sz val="13"/>
      <color rgb="FF0070C0"/>
      <name val="B Nazanin"/>
    </font>
    <font>
      <b/>
      <sz val="13"/>
      <color rgb="FFFF0000"/>
      <name val="B Nazanin"/>
    </font>
    <font>
      <b/>
      <sz val="13"/>
      <color rgb="FF002060"/>
      <name val="B Nazanin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1"/>
      <color theme="1"/>
      <name val="B Nazanin"/>
    </font>
    <font>
      <b/>
      <sz val="10"/>
      <color rgb="FF7030A0"/>
      <name val="B Nazanin"/>
    </font>
    <font>
      <sz val="18"/>
      <color rgb="FF00B050"/>
      <name val="Calibri"/>
      <family val="2"/>
      <scheme val="minor"/>
    </font>
    <font>
      <b/>
      <sz val="12"/>
      <color rgb="FF000000"/>
      <name val="B Nazanin"/>
    </font>
    <font>
      <b/>
      <sz val="12"/>
      <color theme="9" tint="-0.249977111117893"/>
      <name val="Tahoma"/>
      <family val="2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sz val="12"/>
      <color rgb="FFFF0000"/>
      <name val="Tahoma"/>
      <family val="2"/>
    </font>
    <font>
      <b/>
      <sz val="10"/>
      <color theme="1"/>
      <name val="B Nazanin"/>
    </font>
    <font>
      <b/>
      <sz val="16"/>
      <color rgb="FF7030A0"/>
      <name val="Tahoma"/>
      <family val="2"/>
    </font>
    <font>
      <b/>
      <sz val="10"/>
      <color theme="9" tint="-0.249977111117893"/>
      <name val="B Nazanin"/>
    </font>
    <font>
      <b/>
      <sz val="10"/>
      <color theme="1"/>
      <name val="Calibri"/>
      <family val="2"/>
      <scheme val="minor"/>
    </font>
    <font>
      <b/>
      <sz val="24"/>
      <color theme="1"/>
      <name val="B Nazanin"/>
      <charset val="178"/>
    </font>
    <font>
      <b/>
      <sz val="20"/>
      <color theme="1"/>
      <name val="B Nazanin"/>
    </font>
    <font>
      <b/>
      <sz val="12"/>
      <color rgb="FF7030A0"/>
      <name val="B Nazanin"/>
    </font>
    <font>
      <b/>
      <sz val="14"/>
      <color theme="5" tint="-0.249977111117893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2"/>
      <color theme="1"/>
      <name val="Tahoma"/>
      <family val="2"/>
    </font>
    <font>
      <b/>
      <sz val="14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8"/>
      <color theme="1"/>
      <name val="B Nazanin"/>
    </font>
    <font>
      <b/>
      <sz val="26"/>
      <color theme="1"/>
      <name val="B Nazanin"/>
    </font>
    <font>
      <b/>
      <sz val="14"/>
      <color theme="4" tint="0.59999389629810485"/>
      <name val="Calibri"/>
      <family val="2"/>
      <scheme val="minor"/>
    </font>
    <font>
      <b/>
      <sz val="14"/>
      <color rgb="FFB7C2FD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rgb="FFFF5C8E"/>
      <name val="Calibri"/>
      <family val="2"/>
      <scheme val="minor"/>
    </font>
    <font>
      <b/>
      <sz val="11"/>
      <color theme="1" tint="0.14999847407452621"/>
      <name val="B Nazanin"/>
    </font>
    <font>
      <b/>
      <sz val="10"/>
      <color theme="1" tint="0.14999847407452621"/>
      <name val="B Nazanin"/>
    </font>
    <font>
      <b/>
      <sz val="20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2"/>
      <color theme="1" tint="0.14999847407452621"/>
      <name val="B Nazanin"/>
    </font>
    <font>
      <b/>
      <sz val="18"/>
      <color rgb="FFC00000"/>
      <name val="Calibri"/>
      <family val="2"/>
      <scheme val="minor"/>
    </font>
    <font>
      <b/>
      <sz val="10"/>
      <color theme="9" tint="-0.499984740745262"/>
      <name val="B Nazanin"/>
    </font>
    <font>
      <sz val="14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6"/>
      <color theme="1"/>
      <name val="Calibri"/>
      <family val="2"/>
      <charset val="178"/>
      <scheme val="minor"/>
    </font>
    <font>
      <b/>
      <sz val="14"/>
      <color theme="1"/>
      <name val="Calibri (Body)"/>
    </font>
    <font>
      <b/>
      <sz val="14"/>
      <color theme="7" tint="0.79998168889431442"/>
      <name val="Calibri"/>
      <family val="2"/>
      <scheme val="minor"/>
    </font>
    <font>
      <b/>
      <sz val="14"/>
      <color theme="0" tint="-0.249977111117893"/>
      <name val="Calibri"/>
      <family val="2"/>
      <scheme val="minor"/>
    </font>
    <font>
      <b/>
      <sz val="11"/>
      <color theme="1"/>
      <name val="Tahoma"/>
      <family val="2"/>
    </font>
    <font>
      <b/>
      <sz val="14"/>
      <color rgb="FF7030A0"/>
      <name val="Tahoma"/>
      <family val="2"/>
    </font>
    <font>
      <b/>
      <sz val="14"/>
      <color theme="1"/>
      <name val="Tahoma"/>
      <family val="2"/>
    </font>
    <font>
      <b/>
      <sz val="16"/>
      <color theme="5" tint="-0.249977111117893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4"/>
      <color rgb="FFC00000"/>
      <name val="B Nazanin"/>
    </font>
    <font>
      <b/>
      <sz val="14"/>
      <color rgb="FF7030A0"/>
      <name val="B Nazanin"/>
    </font>
    <font>
      <sz val="14"/>
      <color rgb="FF0070C0"/>
      <name val="Tahoma"/>
      <family val="2"/>
    </font>
    <font>
      <b/>
      <sz val="14"/>
      <color theme="9" tint="-0.249977111117893"/>
      <name val="B Nazanin"/>
    </font>
    <font>
      <b/>
      <sz val="12"/>
      <color theme="0"/>
      <name val="Calibri"/>
      <family val="2"/>
      <scheme val="minor"/>
    </font>
    <font>
      <b/>
      <sz val="12"/>
      <color theme="9" tint="-0.499984740745262"/>
      <name val="B Nazanin"/>
    </font>
    <font>
      <b/>
      <sz val="16"/>
      <color theme="3"/>
      <name val="Calibri"/>
      <family val="2"/>
      <scheme val="minor"/>
    </font>
    <font>
      <sz val="12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1FB107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6"/>
      <color rgb="FFC00000"/>
      <name val="Tahoma"/>
      <family val="2"/>
    </font>
    <font>
      <b/>
      <sz val="18"/>
      <color rgb="FF00B0F0"/>
      <name val="Calibri"/>
      <family val="2"/>
      <scheme val="minor"/>
    </font>
    <font>
      <b/>
      <sz val="16"/>
      <color rgb="FF0070C0"/>
      <name val="B Nazanin"/>
    </font>
    <font>
      <b/>
      <sz val="10"/>
      <color rgb="FF0070C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rgb="FF548235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1"/>
      <color rgb="FFFF0000"/>
      <name val="B Nazanin"/>
    </font>
    <font>
      <sz val="16"/>
      <color rgb="FFFF0000"/>
      <name val="B Nazanin"/>
      <charset val="178"/>
    </font>
    <font>
      <sz val="9"/>
      <color rgb="FF00000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rgb="FF0070C0"/>
      <name val="B Nazanin"/>
    </font>
    <font>
      <b/>
      <sz val="16"/>
      <color theme="2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rgb="FF00B050"/>
      <name val="B Nazanin"/>
    </font>
    <font>
      <b/>
      <sz val="14"/>
      <color rgb="FF00B050"/>
      <name val="B Nazanin"/>
    </font>
    <font>
      <sz val="14"/>
      <color rgb="FF002060"/>
      <name val="B Nazanin"/>
    </font>
    <font>
      <b/>
      <sz val="14"/>
      <color theme="4" tint="0.39997558519241921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9"/>
      <color theme="1" tint="0.14999847407452621"/>
      <name val="B Nazanin"/>
    </font>
    <font>
      <b/>
      <sz val="22"/>
      <color rgb="FFC00000"/>
      <name val="Calibri"/>
      <family val="2"/>
      <scheme val="minor"/>
    </font>
    <font>
      <b/>
      <sz val="16"/>
      <color theme="0" tint="-0.34998626667073579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4"/>
      <color rgb="FF1FB107"/>
      <name val="Calibri"/>
      <family val="2"/>
      <scheme val="minor"/>
    </font>
    <font>
      <sz val="12"/>
      <color rgb="FF1FB107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rgb="FF7030A0"/>
      <name val="B Nazanin"/>
    </font>
    <font>
      <b/>
      <sz val="20"/>
      <color rgb="FF00B05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sz val="24"/>
      <color rgb="FF00B050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22"/>
      <color rgb="FF00B05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b/>
      <sz val="16"/>
      <color rgb="FF1FB107"/>
      <name val="Calibri"/>
      <family val="2"/>
      <scheme val="minor"/>
    </font>
    <font>
      <sz val="16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b/>
      <sz val="16"/>
      <color rgb="FFC00000"/>
      <name val="B Nazanin"/>
    </font>
    <font>
      <b/>
      <sz val="16"/>
      <color theme="1"/>
      <name val="B Nazanin"/>
    </font>
    <font>
      <b/>
      <sz val="22"/>
      <color theme="9" tint="-0.249977111117893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color rgb="FF0070C0"/>
      <name val="Tahoma"/>
      <family val="2"/>
    </font>
    <font>
      <b/>
      <sz val="24"/>
      <color rgb="FF7030A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2"/>
      <color rgb="FF7030A0"/>
      <name val="Aptos Narrow"/>
      <family val="2"/>
    </font>
    <font>
      <b/>
      <sz val="18"/>
      <color theme="1"/>
      <name val="Tahoma"/>
      <family val="2"/>
    </font>
    <font>
      <b/>
      <sz val="14"/>
      <color rgb="FFC00000"/>
      <name val="Tahoma"/>
      <family val="2"/>
    </font>
    <font>
      <b/>
      <sz val="10"/>
      <color rgb="FFC0000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6"/>
      <color rgb="FF0070C0"/>
      <name val="B Nazanin"/>
      <charset val="178"/>
    </font>
    <font>
      <b/>
      <sz val="24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Tahoma"/>
      <family val="2"/>
    </font>
    <font>
      <sz val="24"/>
      <color rgb="FFFF0000"/>
      <name val="Calibri"/>
      <family val="2"/>
      <scheme val="minor"/>
    </font>
    <font>
      <b/>
      <sz val="28"/>
      <color rgb="FF002060"/>
      <name val="Calibri"/>
      <family val="2"/>
      <scheme val="minor"/>
    </font>
    <font>
      <b/>
      <sz val="28"/>
      <color theme="1"/>
      <name val="Tahoma"/>
      <family val="2"/>
    </font>
    <font>
      <b/>
      <sz val="28"/>
      <color rgb="FF0070C0"/>
      <name val="Calibri"/>
      <family val="2"/>
      <scheme val="minor"/>
    </font>
    <font>
      <b/>
      <sz val="28"/>
      <color rgb="FF7030A0"/>
      <name val="Tahoma"/>
      <family val="2"/>
    </font>
    <font>
      <b/>
      <sz val="28"/>
      <color rgb="FF0070C0"/>
      <name val="Tahoma"/>
      <family val="2"/>
    </font>
    <font>
      <b/>
      <sz val="28"/>
      <color rgb="FF00B05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20"/>
      <color theme="0" tint="-0.249977111117893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0" tint="-0.249977111117893"/>
      <name val="Calibri"/>
      <family val="2"/>
      <scheme val="minor"/>
    </font>
    <font>
      <b/>
      <sz val="22"/>
      <color theme="0" tint="-0.249977111117893"/>
      <name val="Calibri"/>
      <family val="2"/>
      <scheme val="minor"/>
    </font>
    <font>
      <b/>
      <sz val="12"/>
      <color rgb="FFC00000"/>
      <name val="B Nazanin"/>
    </font>
    <font>
      <b/>
      <sz val="16"/>
      <name val="Calibri"/>
      <family val="2"/>
      <scheme val="minor"/>
    </font>
    <font>
      <b/>
      <sz val="16"/>
      <color rgb="FF7030A0"/>
      <name val="B Nazanin"/>
    </font>
    <font>
      <b/>
      <sz val="16"/>
      <name val="Tahoma"/>
      <family val="2"/>
    </font>
    <font>
      <b/>
      <sz val="16"/>
      <color rgb="FFD99EC1"/>
      <name val="Calibri"/>
      <family val="2"/>
      <scheme val="minor"/>
    </font>
    <font>
      <sz val="14"/>
      <color theme="1"/>
      <name val="Tahoma"/>
      <family val="2"/>
    </font>
    <font>
      <sz val="14"/>
      <color theme="9" tint="-0.249977111117893"/>
      <name val="Tahoma"/>
      <family val="2"/>
    </font>
    <font>
      <sz val="14"/>
      <color rgb="FF7030A0"/>
      <name val="Tahoma"/>
      <family val="2"/>
    </font>
    <font>
      <b/>
      <sz val="24"/>
      <color rgb="FF7030A0"/>
      <name val="Tahoma"/>
      <family val="2"/>
    </font>
    <font>
      <b/>
      <sz val="36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6"/>
      <color rgb="FF7030A0"/>
      <name val="Tahoma"/>
      <family val="2"/>
    </font>
    <font>
      <b/>
      <sz val="36"/>
      <color rgb="FF0070C0"/>
      <name val="Calibri"/>
      <family val="2"/>
      <scheme val="minor"/>
    </font>
    <font>
      <b/>
      <sz val="10"/>
      <color rgb="FFFF0000"/>
      <name val="B Nazanin"/>
    </font>
    <font>
      <sz val="28"/>
      <color theme="1"/>
      <name val="Calibri"/>
      <family val="2"/>
      <scheme val="minor"/>
    </font>
    <font>
      <sz val="16"/>
      <color rgb="FFC00000"/>
      <name val="B Nazanin"/>
    </font>
    <font>
      <sz val="16"/>
      <color theme="1"/>
      <name val="B Nazanin"/>
    </font>
    <font>
      <sz val="16"/>
      <color rgb="FF00B050"/>
      <name val="Calibri"/>
      <family val="2"/>
      <scheme val="minor"/>
    </font>
    <font>
      <sz val="16"/>
      <color rgb="FF002060"/>
      <name val="B Nazanin"/>
    </font>
    <font>
      <b/>
      <sz val="12"/>
      <color rgb="FFFF000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5B4B8"/>
        <bgColor indexed="64"/>
      </patternFill>
    </fill>
    <fill>
      <patternFill patternType="solid">
        <fgColor rgb="FFD99EC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7C2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7D1D7"/>
        <bgColor indexed="64"/>
      </patternFill>
    </fill>
    <fill>
      <patternFill patternType="solid">
        <fgColor rgb="FF8AF7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7D1D7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5C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B7C2FD"/>
        <bgColor theme="9" tint="0.79998168889431442"/>
      </patternFill>
    </fill>
    <fill>
      <patternFill patternType="solid">
        <fgColor rgb="FFF480F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8AF7FF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5C8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rgb="FF000000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0">
    <xf numFmtId="0" fontId="0" fillId="0" borderId="0"/>
    <xf numFmtId="43" fontId="13" fillId="0" borderId="0" applyFont="0" applyFill="0" applyBorder="0" applyAlignment="0" applyProtection="0"/>
    <xf numFmtId="0" fontId="46" fillId="0" borderId="0"/>
    <xf numFmtId="0" fontId="109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2507">
    <xf numFmtId="0" fontId="0" fillId="0" borderId="0" xfId="0"/>
    <xf numFmtId="0" fontId="0" fillId="9" borderId="0" xfId="0" applyFill="1"/>
    <xf numFmtId="3" fontId="3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0" fontId="0" fillId="9" borderId="0" xfId="0" applyNumberFormat="1" applyFill="1" applyAlignment="1">
      <alignment horizontal="right"/>
    </xf>
    <xf numFmtId="10" fontId="0" fillId="0" borderId="0" xfId="0" applyNumberFormat="1" applyAlignment="1">
      <alignment horizontal="right"/>
    </xf>
    <xf numFmtId="170" fontId="25" fillId="0" borderId="2" xfId="0" applyNumberFormat="1" applyFont="1" applyBorder="1" applyAlignment="1">
      <alignment horizontal="right"/>
    </xf>
    <xf numFmtId="168" fontId="25" fillId="2" borderId="1" xfId="0" applyNumberFormat="1" applyFont="1" applyFill="1" applyBorder="1" applyAlignment="1">
      <alignment horizontal="right"/>
    </xf>
    <xf numFmtId="3" fontId="21" fillId="0" borderId="2" xfId="0" applyNumberFormat="1" applyFont="1" applyBorder="1" applyAlignment="1">
      <alignment horizontal="right"/>
    </xf>
    <xf numFmtId="0" fontId="0" fillId="9" borderId="0" xfId="0" applyFill="1" applyAlignment="1">
      <alignment horizontal="right"/>
    </xf>
    <xf numFmtId="0" fontId="14" fillId="9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164" fontId="24" fillId="7" borderId="1" xfId="0" applyNumberFormat="1" applyFont="1" applyFill="1" applyBorder="1" applyAlignment="1">
      <alignment horizontal="right"/>
    </xf>
    <xf numFmtId="3" fontId="27" fillId="2" borderId="2" xfId="0" applyNumberFormat="1" applyFont="1" applyFill="1" applyBorder="1" applyAlignment="1">
      <alignment horizontal="right"/>
    </xf>
    <xf numFmtId="165" fontId="28" fillId="2" borderId="1" xfId="0" applyNumberFormat="1" applyFont="1" applyFill="1" applyBorder="1" applyAlignment="1">
      <alignment horizontal="right"/>
    </xf>
    <xf numFmtId="3" fontId="23" fillId="7" borderId="1" xfId="0" applyNumberFormat="1" applyFont="1" applyFill="1" applyBorder="1" applyAlignment="1">
      <alignment horizontal="right"/>
    </xf>
    <xf numFmtId="4" fontId="27" fillId="2" borderId="1" xfId="0" applyNumberFormat="1" applyFont="1" applyFill="1" applyBorder="1" applyAlignment="1">
      <alignment horizontal="right"/>
    </xf>
    <xf numFmtId="3" fontId="21" fillId="2" borderId="1" xfId="0" applyNumberFormat="1" applyFont="1" applyFill="1" applyBorder="1" applyAlignment="1">
      <alignment horizontal="right"/>
    </xf>
    <xf numFmtId="166" fontId="21" fillId="2" borderId="2" xfId="0" applyNumberFormat="1" applyFont="1" applyFill="1" applyBorder="1" applyAlignment="1">
      <alignment horizontal="right"/>
    </xf>
    <xf numFmtId="166" fontId="21" fillId="2" borderId="1" xfId="0" applyNumberFormat="1" applyFont="1" applyFill="1" applyBorder="1" applyAlignment="1">
      <alignment horizontal="right"/>
    </xf>
    <xf numFmtId="38" fontId="23" fillId="7" borderId="1" xfId="0" applyNumberFormat="1" applyFont="1" applyFill="1" applyBorder="1" applyAlignment="1">
      <alignment horizontal="right"/>
    </xf>
    <xf numFmtId="38" fontId="23" fillId="7" borderId="1" xfId="1" applyNumberFormat="1" applyFont="1" applyFill="1" applyBorder="1" applyAlignment="1">
      <alignment horizontal="right"/>
    </xf>
    <xf numFmtId="164" fontId="17" fillId="2" borderId="1" xfId="0" applyNumberFormat="1" applyFont="1" applyFill="1" applyBorder="1" applyAlignment="1">
      <alignment horizontal="right"/>
    </xf>
    <xf numFmtId="164" fontId="23" fillId="7" borderId="1" xfId="0" applyNumberFormat="1" applyFont="1" applyFill="1" applyBorder="1" applyAlignment="1">
      <alignment horizontal="right"/>
    </xf>
    <xf numFmtId="38" fontId="23" fillId="7" borderId="2" xfId="0" applyNumberFormat="1" applyFont="1" applyFill="1" applyBorder="1" applyAlignment="1">
      <alignment horizontal="right"/>
    </xf>
    <xf numFmtId="38" fontId="23" fillId="7" borderId="2" xfId="1" applyNumberFormat="1" applyFont="1" applyFill="1" applyBorder="1" applyAlignment="1">
      <alignment horizontal="right"/>
    </xf>
    <xf numFmtId="164" fontId="17" fillId="2" borderId="2" xfId="0" applyNumberFormat="1" applyFont="1" applyFill="1" applyBorder="1" applyAlignment="1">
      <alignment horizontal="right"/>
    </xf>
    <xf numFmtId="164" fontId="23" fillId="7" borderId="2" xfId="0" applyNumberFormat="1" applyFont="1" applyFill="1" applyBorder="1" applyAlignment="1">
      <alignment horizontal="right"/>
    </xf>
    <xf numFmtId="3" fontId="18" fillId="6" borderId="1" xfId="0" applyNumberFormat="1" applyFont="1" applyFill="1" applyBorder="1" applyAlignment="1">
      <alignment horizontal="right" readingOrder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21" fillId="0" borderId="2" xfId="0" applyNumberFormat="1" applyFont="1" applyBorder="1" applyAlignment="1">
      <alignment horizontal="right"/>
    </xf>
    <xf numFmtId="0" fontId="0" fillId="9" borderId="0" xfId="0" applyFill="1" applyAlignment="1">
      <alignment horizontal="center"/>
    </xf>
    <xf numFmtId="164" fontId="14" fillId="3" borderId="3" xfId="0" applyNumberFormat="1" applyFont="1" applyFill="1" applyBorder="1" applyAlignment="1">
      <alignment horizontal="center" vertical="center" wrapText="1"/>
    </xf>
    <xf numFmtId="164" fontId="14" fillId="3" borderId="3" xfId="0" applyNumberFormat="1" applyFont="1" applyFill="1" applyBorder="1" applyAlignment="1">
      <alignment horizontal="center" vertical="center"/>
    </xf>
    <xf numFmtId="4" fontId="18" fillId="5" borderId="6" xfId="0" applyNumberFormat="1" applyFont="1" applyFill="1" applyBorder="1" applyAlignment="1">
      <alignment horizontal="center" vertical="center" readingOrder="1"/>
    </xf>
    <xf numFmtId="165" fontId="14" fillId="3" borderId="3" xfId="0" applyNumberFormat="1" applyFont="1" applyFill="1" applyBorder="1" applyAlignment="1">
      <alignment horizontal="center" vertical="center" wrapText="1"/>
    </xf>
    <xf numFmtId="4" fontId="18" fillId="5" borderId="3" xfId="0" applyNumberFormat="1" applyFont="1" applyFill="1" applyBorder="1" applyAlignment="1">
      <alignment horizontal="center" vertical="center" readingOrder="1"/>
    </xf>
    <xf numFmtId="10" fontId="14" fillId="3" borderId="3" xfId="0" applyNumberFormat="1" applyFont="1" applyFill="1" applyBorder="1" applyAlignment="1">
      <alignment horizontal="center" vertical="center" wrapText="1"/>
    </xf>
    <xf numFmtId="166" fontId="14" fillId="3" borderId="3" xfId="0" applyNumberFormat="1" applyFont="1" applyFill="1" applyBorder="1" applyAlignment="1">
      <alignment horizontal="center" vertical="center" wrapText="1"/>
    </xf>
    <xf numFmtId="3" fontId="14" fillId="3" borderId="3" xfId="0" applyNumberFormat="1" applyFont="1" applyFill="1" applyBorder="1" applyAlignment="1">
      <alignment horizontal="center" vertical="center" wrapText="1"/>
    </xf>
    <xf numFmtId="167" fontId="14" fillId="3" borderId="3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2" xfId="0" applyFill="1" applyBorder="1" applyAlignment="1">
      <alignment horizontal="right"/>
    </xf>
    <xf numFmtId="164" fontId="25" fillId="7" borderId="2" xfId="0" applyNumberFormat="1" applyFont="1" applyFill="1" applyBorder="1" applyAlignment="1">
      <alignment horizontal="right"/>
    </xf>
    <xf numFmtId="0" fontId="0" fillId="7" borderId="2" xfId="0" applyFill="1" applyBorder="1" applyAlignment="1">
      <alignment horizontal="center"/>
    </xf>
    <xf numFmtId="0" fontId="14" fillId="7" borderId="2" xfId="0" applyFont="1" applyFill="1" applyBorder="1" applyAlignment="1">
      <alignment horizontal="right"/>
    </xf>
    <xf numFmtId="3" fontId="26" fillId="7" borderId="2" xfId="0" applyNumberFormat="1" applyFont="1" applyFill="1" applyBorder="1" applyAlignment="1">
      <alignment horizontal="right"/>
    </xf>
    <xf numFmtId="38" fontId="24" fillId="7" borderId="1" xfId="0" applyNumberFormat="1" applyFont="1" applyFill="1" applyBorder="1" applyAlignment="1">
      <alignment horizontal="right"/>
    </xf>
    <xf numFmtId="38" fontId="24" fillId="7" borderId="2" xfId="0" applyNumberFormat="1" applyFont="1" applyFill="1" applyBorder="1" applyAlignment="1">
      <alignment horizontal="right"/>
    </xf>
    <xf numFmtId="38" fontId="24" fillId="7" borderId="1" xfId="1" applyNumberFormat="1" applyFont="1" applyFill="1" applyBorder="1" applyAlignment="1">
      <alignment horizontal="right"/>
    </xf>
    <xf numFmtId="38" fontId="24" fillId="7" borderId="2" xfId="1" applyNumberFormat="1" applyFont="1" applyFill="1" applyBorder="1" applyAlignment="1">
      <alignment horizontal="right"/>
    </xf>
    <xf numFmtId="38" fontId="25" fillId="0" borderId="2" xfId="0" applyNumberFormat="1" applyFont="1" applyBorder="1" applyAlignment="1">
      <alignment horizontal="right"/>
    </xf>
    <xf numFmtId="164" fontId="45" fillId="3" borderId="3" xfId="0" applyNumberFormat="1" applyFont="1" applyFill="1" applyBorder="1" applyAlignment="1">
      <alignment horizontal="center" vertical="center" wrapText="1"/>
    </xf>
    <xf numFmtId="0" fontId="45" fillId="9" borderId="0" xfId="0" applyFont="1" applyFill="1" applyAlignment="1">
      <alignment horizontal="right"/>
    </xf>
    <xf numFmtId="0" fontId="45" fillId="0" borderId="0" xfId="0" applyFont="1" applyAlignment="1">
      <alignment horizontal="right"/>
    </xf>
    <xf numFmtId="3" fontId="23" fillId="7" borderId="2" xfId="0" applyNumberFormat="1" applyFont="1" applyFill="1" applyBorder="1" applyAlignment="1">
      <alignment horizontal="right"/>
    </xf>
    <xf numFmtId="10" fontId="24" fillId="7" borderId="1" xfId="0" applyNumberFormat="1" applyFont="1" applyFill="1" applyBorder="1" applyAlignment="1">
      <alignment horizontal="right"/>
    </xf>
    <xf numFmtId="164" fontId="17" fillId="2" borderId="1" xfId="0" applyNumberFormat="1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right" wrapText="1"/>
    </xf>
    <xf numFmtId="0" fontId="14" fillId="3" borderId="3" xfId="0" applyFont="1" applyFill="1" applyBorder="1" applyAlignment="1">
      <alignment horizontal="center" vertical="center"/>
    </xf>
    <xf numFmtId="3" fontId="0" fillId="9" borderId="0" xfId="0" applyNumberFormat="1" applyFill="1"/>
    <xf numFmtId="3" fontId="0" fillId="0" borderId="0" xfId="0" applyNumberFormat="1"/>
    <xf numFmtId="0" fontId="47" fillId="0" borderId="2" xfId="2" applyFont="1" applyBorder="1" applyAlignment="1">
      <alignment readingOrder="1"/>
    </xf>
    <xf numFmtId="0" fontId="48" fillId="0" borderId="2" xfId="2" applyFont="1" applyBorder="1" applyAlignment="1">
      <alignment readingOrder="1"/>
    </xf>
    <xf numFmtId="164" fontId="49" fillId="2" borderId="1" xfId="0" applyNumberFormat="1" applyFont="1" applyFill="1" applyBorder="1" applyAlignment="1">
      <alignment horizontal="right"/>
    </xf>
    <xf numFmtId="0" fontId="48" fillId="0" borderId="0" xfId="2" applyFont="1" applyAlignment="1">
      <alignment readingOrder="1"/>
    </xf>
    <xf numFmtId="0" fontId="14" fillId="4" borderId="1" xfId="0" applyFont="1" applyFill="1" applyBorder="1"/>
    <xf numFmtId="0" fontId="22" fillId="4" borderId="1" xfId="0" applyFont="1" applyFill="1" applyBorder="1" applyAlignment="1">
      <alignment wrapText="1"/>
    </xf>
    <xf numFmtId="0" fontId="14" fillId="4" borderId="1" xfId="0" applyFont="1" applyFill="1" applyBorder="1" applyAlignment="1">
      <alignment horizontal="right"/>
    </xf>
    <xf numFmtId="0" fontId="38" fillId="4" borderId="1" xfId="0" applyFont="1" applyFill="1" applyBorder="1" applyAlignment="1">
      <alignment horizontal="center" vertical="center"/>
    </xf>
    <xf numFmtId="165" fontId="17" fillId="4" borderId="1" xfId="0" applyNumberFormat="1" applyFont="1" applyFill="1" applyBorder="1"/>
    <xf numFmtId="3" fontId="17" fillId="4" borderId="1" xfId="0" applyNumberFormat="1" applyFont="1" applyFill="1" applyBorder="1"/>
    <xf numFmtId="165" fontId="17" fillId="4" borderId="1" xfId="0" applyNumberFormat="1" applyFont="1" applyFill="1" applyBorder="1" applyAlignment="1">
      <alignment horizontal="right"/>
    </xf>
    <xf numFmtId="10" fontId="17" fillId="4" borderId="1" xfId="0" applyNumberFormat="1" applyFont="1" applyFill="1" applyBorder="1" applyAlignment="1">
      <alignment horizontal="right"/>
    </xf>
    <xf numFmtId="0" fontId="38" fillId="4" borderId="1" xfId="0" applyFont="1" applyFill="1" applyBorder="1" applyAlignment="1">
      <alignment horizontal="center"/>
    </xf>
    <xf numFmtId="166" fontId="22" fillId="4" borderId="1" xfId="0" applyNumberFormat="1" applyFont="1" applyFill="1" applyBorder="1" applyAlignment="1">
      <alignment horizontal="right" wrapText="1"/>
    </xf>
    <xf numFmtId="3" fontId="16" fillId="4" borderId="1" xfId="0" applyNumberFormat="1" applyFont="1" applyFill="1" applyBorder="1" applyAlignment="1">
      <alignment horizontal="right"/>
    </xf>
    <xf numFmtId="3" fontId="23" fillId="4" borderId="1" xfId="0" applyNumberFormat="1" applyFont="1" applyFill="1" applyBorder="1" applyAlignment="1">
      <alignment horizontal="right"/>
    </xf>
    <xf numFmtId="3" fontId="14" fillId="4" borderId="1" xfId="0" applyNumberFormat="1" applyFont="1" applyFill="1" applyBorder="1" applyAlignment="1">
      <alignment horizontal="right"/>
    </xf>
    <xf numFmtId="166" fontId="14" fillId="4" borderId="1" xfId="0" applyNumberFormat="1" applyFont="1" applyFill="1" applyBorder="1" applyAlignment="1">
      <alignment horizontal="right"/>
    </xf>
    <xf numFmtId="167" fontId="14" fillId="4" borderId="1" xfId="0" applyNumberFormat="1" applyFont="1" applyFill="1" applyBorder="1" applyAlignment="1">
      <alignment horizontal="right"/>
    </xf>
    <xf numFmtId="2" fontId="37" fillId="4" borderId="1" xfId="0" applyNumberFormat="1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right"/>
    </xf>
    <xf numFmtId="3" fontId="15" fillId="2" borderId="7" xfId="0" applyNumberFormat="1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3" fontId="50" fillId="2" borderId="7" xfId="0" applyNumberFormat="1" applyFont="1" applyFill="1" applyBorder="1" applyAlignment="1">
      <alignment horizontal="center" vertical="center" wrapText="1"/>
    </xf>
    <xf numFmtId="3" fontId="19" fillId="2" borderId="7" xfId="0" applyNumberFormat="1" applyFont="1" applyFill="1" applyBorder="1" applyAlignment="1">
      <alignment horizontal="center" vertical="center" wrapText="1"/>
    </xf>
    <xf numFmtId="3" fontId="42" fillId="2" borderId="7" xfId="0" applyNumberFormat="1" applyFont="1" applyFill="1" applyBorder="1" applyAlignment="1">
      <alignment vertical="center" wrapText="1"/>
    </xf>
    <xf numFmtId="3" fontId="42" fillId="2" borderId="7" xfId="0" applyNumberFormat="1" applyFont="1" applyFill="1" applyBorder="1" applyAlignment="1">
      <alignment horizontal="center" vertical="center" wrapText="1"/>
    </xf>
    <xf numFmtId="3" fontId="41" fillId="2" borderId="7" xfId="0" applyNumberFormat="1" applyFont="1" applyFill="1" applyBorder="1" applyAlignment="1">
      <alignment horizontal="center" vertical="center" wrapText="1"/>
    </xf>
    <xf numFmtId="164" fontId="14" fillId="2" borderId="7" xfId="0" applyNumberFormat="1" applyFont="1" applyFill="1" applyBorder="1" applyAlignment="1">
      <alignment horizontal="center" vertical="center" wrapText="1"/>
    </xf>
    <xf numFmtId="3" fontId="19" fillId="2" borderId="9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3" fontId="19" fillId="2" borderId="9" xfId="0" applyNumberFormat="1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3" fontId="42" fillId="2" borderId="9" xfId="0" applyNumberFormat="1" applyFont="1" applyFill="1" applyBorder="1" applyAlignment="1">
      <alignment horizontal="center" vertical="center" wrapText="1"/>
    </xf>
    <xf numFmtId="172" fontId="25" fillId="0" borderId="2" xfId="0" applyNumberFormat="1" applyFont="1" applyBorder="1" applyAlignment="1">
      <alignment horizontal="right"/>
    </xf>
    <xf numFmtId="169" fontId="53" fillId="0" borderId="2" xfId="0" applyNumberFormat="1" applyFont="1" applyBorder="1" applyAlignment="1">
      <alignment horizontal="right"/>
    </xf>
    <xf numFmtId="169" fontId="54" fillId="0" borderId="2" xfId="0" applyNumberFormat="1" applyFont="1" applyBorder="1" applyAlignment="1">
      <alignment horizontal="right"/>
    </xf>
    <xf numFmtId="173" fontId="25" fillId="7" borderId="2" xfId="0" applyNumberFormat="1" applyFont="1" applyFill="1" applyBorder="1" applyAlignment="1">
      <alignment horizontal="right"/>
    </xf>
    <xf numFmtId="0" fontId="0" fillId="2" borderId="0" xfId="0" applyFill="1"/>
    <xf numFmtId="174" fontId="25" fillId="2" borderId="1" xfId="0" applyNumberFormat="1" applyFont="1" applyFill="1" applyBorder="1" applyAlignment="1">
      <alignment horizontal="right"/>
    </xf>
    <xf numFmtId="3" fontId="28" fillId="3" borderId="3" xfId="0" applyNumberFormat="1" applyFont="1" applyFill="1" applyBorder="1" applyAlignment="1">
      <alignment horizontal="center" vertical="center" wrapText="1"/>
    </xf>
    <xf numFmtId="164" fontId="28" fillId="3" borderId="3" xfId="0" applyNumberFormat="1" applyFont="1" applyFill="1" applyBorder="1" applyAlignment="1">
      <alignment horizontal="center" vertical="center" wrapText="1"/>
    </xf>
    <xf numFmtId="166" fontId="28" fillId="3" borderId="3" xfId="0" applyNumberFormat="1" applyFont="1" applyFill="1" applyBorder="1" applyAlignment="1">
      <alignment horizontal="center" vertical="center" wrapText="1"/>
    </xf>
    <xf numFmtId="169" fontId="56" fillId="0" borderId="2" xfId="0" applyNumberFormat="1" applyFont="1" applyBorder="1" applyAlignment="1">
      <alignment horizontal="right"/>
    </xf>
    <xf numFmtId="166" fontId="57" fillId="3" borderId="3" xfId="0" applyNumberFormat="1" applyFont="1" applyFill="1" applyBorder="1" applyAlignment="1">
      <alignment horizontal="center" vertical="center" wrapText="1"/>
    </xf>
    <xf numFmtId="3" fontId="58" fillId="2" borderId="7" xfId="0" applyNumberFormat="1" applyFont="1" applyFill="1" applyBorder="1" applyAlignment="1">
      <alignment horizontal="center" vertical="center" wrapText="1"/>
    </xf>
    <xf numFmtId="3" fontId="58" fillId="2" borderId="9" xfId="0" applyNumberFormat="1" applyFont="1" applyFill="1" applyBorder="1" applyAlignment="1">
      <alignment horizontal="center" vertical="center" wrapText="1"/>
    </xf>
    <xf numFmtId="166" fontId="59" fillId="4" borderId="1" xfId="0" applyNumberFormat="1" applyFont="1" applyFill="1" applyBorder="1" applyAlignment="1">
      <alignment horizontal="right" wrapText="1"/>
    </xf>
    <xf numFmtId="0" fontId="59" fillId="0" borderId="0" xfId="0" applyFont="1" applyAlignment="1">
      <alignment horizontal="right"/>
    </xf>
    <xf numFmtId="3" fontId="57" fillId="3" borderId="3" xfId="0" applyNumberFormat="1" applyFont="1" applyFill="1" applyBorder="1" applyAlignment="1">
      <alignment horizontal="center" vertical="center" wrapText="1"/>
    </xf>
    <xf numFmtId="3" fontId="60" fillId="4" borderId="1" xfId="0" applyNumberFormat="1" applyFont="1" applyFill="1" applyBorder="1" applyAlignment="1">
      <alignment horizontal="right"/>
    </xf>
    <xf numFmtId="165" fontId="29" fillId="3" borderId="3" xfId="0" applyNumberFormat="1" applyFont="1" applyFill="1" applyBorder="1" applyAlignment="1">
      <alignment horizontal="center" vertical="center" wrapText="1"/>
    </xf>
    <xf numFmtId="3" fontId="61" fillId="2" borderId="7" xfId="0" applyNumberFormat="1" applyFont="1" applyFill="1" applyBorder="1" applyAlignment="1">
      <alignment horizontal="center" vertical="center" wrapText="1"/>
    </xf>
    <xf numFmtId="3" fontId="61" fillId="2" borderId="9" xfId="0" applyNumberFormat="1" applyFont="1" applyFill="1" applyBorder="1" applyAlignment="1">
      <alignment horizontal="center" vertical="center" wrapText="1"/>
    </xf>
    <xf numFmtId="165" fontId="30" fillId="4" borderId="1" xfId="0" applyNumberFormat="1" applyFont="1" applyFill="1" applyBorder="1"/>
    <xf numFmtId="0" fontId="29" fillId="0" borderId="0" xfId="0" applyFont="1"/>
    <xf numFmtId="3" fontId="62" fillId="2" borderId="7" xfId="0" applyNumberFormat="1" applyFont="1" applyFill="1" applyBorder="1" applyAlignment="1">
      <alignment horizontal="center" vertical="center" wrapText="1"/>
    </xf>
    <xf numFmtId="0" fontId="62" fillId="2" borderId="7" xfId="0" applyFont="1" applyFill="1" applyBorder="1" applyAlignment="1">
      <alignment horizontal="center" vertical="center" wrapText="1"/>
    </xf>
    <xf numFmtId="3" fontId="52" fillId="2" borderId="9" xfId="0" applyNumberFormat="1" applyFont="1" applyFill="1" applyBorder="1" applyAlignment="1">
      <alignment horizontal="center" vertical="center" wrapText="1"/>
    </xf>
    <xf numFmtId="0" fontId="52" fillId="2" borderId="9" xfId="0" applyFont="1" applyFill="1" applyBorder="1" applyAlignment="1">
      <alignment horizontal="center" vertical="center" wrapText="1"/>
    </xf>
    <xf numFmtId="164" fontId="32" fillId="2" borderId="2" xfId="0" applyNumberFormat="1" applyFont="1" applyFill="1" applyBorder="1" applyAlignment="1">
      <alignment horizontal="right" wrapText="1"/>
    </xf>
    <xf numFmtId="164" fontId="55" fillId="7" borderId="1" xfId="0" applyNumberFormat="1" applyFont="1" applyFill="1" applyBorder="1" applyAlignment="1">
      <alignment horizontal="center"/>
    </xf>
    <xf numFmtId="164" fontId="55" fillId="2" borderId="1" xfId="0" applyNumberFormat="1" applyFont="1" applyFill="1" applyBorder="1" applyAlignment="1">
      <alignment horizontal="right"/>
    </xf>
    <xf numFmtId="38" fontId="64" fillId="2" borderId="1" xfId="0" applyNumberFormat="1" applyFont="1" applyFill="1" applyBorder="1" applyAlignment="1">
      <alignment horizontal="right"/>
    </xf>
    <xf numFmtId="173" fontId="65" fillId="7" borderId="2" xfId="0" applyNumberFormat="1" applyFont="1" applyFill="1" applyBorder="1" applyAlignment="1">
      <alignment horizontal="right"/>
    </xf>
    <xf numFmtId="3" fontId="66" fillId="2" borderId="7" xfId="0" applyNumberFormat="1" applyFont="1" applyFill="1" applyBorder="1" applyAlignment="1">
      <alignment horizontal="center" vertical="center" wrapText="1"/>
    </xf>
    <xf numFmtId="3" fontId="65" fillId="4" borderId="1" xfId="0" applyNumberFormat="1" applyFont="1" applyFill="1" applyBorder="1"/>
    <xf numFmtId="3" fontId="68" fillId="0" borderId="0" xfId="0" applyNumberFormat="1" applyFont="1"/>
    <xf numFmtId="165" fontId="21" fillId="3" borderId="3" xfId="0" applyNumberFormat="1" applyFont="1" applyFill="1" applyBorder="1" applyAlignment="1">
      <alignment horizontal="center" vertical="center" wrapText="1"/>
    </xf>
    <xf numFmtId="3" fontId="20" fillId="2" borderId="7" xfId="0" applyNumberFormat="1" applyFont="1" applyFill="1" applyBorder="1" applyAlignment="1">
      <alignment horizontal="center" vertical="center" wrapText="1"/>
    </xf>
    <xf numFmtId="165" fontId="25" fillId="4" borderId="1" xfId="0" applyNumberFormat="1" applyFont="1" applyFill="1" applyBorder="1"/>
    <xf numFmtId="0" fontId="26" fillId="0" borderId="0" xfId="0" applyFont="1"/>
    <xf numFmtId="3" fontId="50" fillId="2" borderId="9" xfId="0" applyNumberFormat="1" applyFont="1" applyFill="1" applyBorder="1" applyAlignment="1">
      <alignment horizontal="center" vertical="center" wrapText="1"/>
    </xf>
    <xf numFmtId="3" fontId="69" fillId="2" borderId="9" xfId="0" applyNumberFormat="1" applyFont="1" applyFill="1" applyBorder="1" applyAlignment="1">
      <alignment horizontal="center" vertical="center" wrapText="1"/>
    </xf>
    <xf numFmtId="171" fontId="25" fillId="2" borderId="1" xfId="0" applyNumberFormat="1" applyFont="1" applyFill="1" applyBorder="1" applyAlignment="1">
      <alignment horizontal="right"/>
    </xf>
    <xf numFmtId="166" fontId="73" fillId="3" borderId="3" xfId="0" applyNumberFormat="1" applyFont="1" applyFill="1" applyBorder="1" applyAlignment="1">
      <alignment horizontal="center" vertical="center" wrapText="1"/>
    </xf>
    <xf numFmtId="176" fontId="32" fillId="0" borderId="2" xfId="0" applyNumberFormat="1" applyFont="1" applyBorder="1" applyAlignment="1">
      <alignment horizontal="right"/>
    </xf>
    <xf numFmtId="3" fontId="74" fillId="0" borderId="2" xfId="0" applyNumberFormat="1" applyFont="1" applyBorder="1"/>
    <xf numFmtId="1" fontId="32" fillId="0" borderId="2" xfId="0" applyNumberFormat="1" applyFont="1" applyBorder="1" applyAlignment="1">
      <alignment horizontal="right"/>
    </xf>
    <xf numFmtId="0" fontId="48" fillId="0" borderId="1" xfId="2" applyFont="1" applyBorder="1" applyAlignment="1">
      <alignment readingOrder="1"/>
    </xf>
    <xf numFmtId="1" fontId="32" fillId="16" borderId="2" xfId="0" applyNumberFormat="1" applyFont="1" applyFill="1" applyBorder="1" applyAlignment="1">
      <alignment horizontal="center" vertical="center"/>
    </xf>
    <xf numFmtId="0" fontId="79" fillId="2" borderId="7" xfId="0" applyFont="1" applyFill="1" applyBorder="1" applyAlignment="1">
      <alignment horizontal="center" vertical="center" wrapText="1"/>
    </xf>
    <xf numFmtId="0" fontId="79" fillId="2" borderId="9" xfId="0" applyFon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177" fontId="25" fillId="7" borderId="2" xfId="0" applyNumberFormat="1" applyFont="1" applyFill="1" applyBorder="1" applyAlignment="1">
      <alignment horizontal="right"/>
    </xf>
    <xf numFmtId="3" fontId="81" fillId="2" borderId="9" xfId="0" applyNumberFormat="1" applyFon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/>
    </xf>
    <xf numFmtId="164" fontId="14" fillId="2" borderId="9" xfId="0" applyNumberFormat="1" applyFont="1" applyFill="1" applyBorder="1" applyAlignment="1">
      <alignment horizontal="center" vertical="center" wrapText="1"/>
    </xf>
    <xf numFmtId="164" fontId="17" fillId="2" borderId="9" xfId="0" applyNumberFormat="1" applyFont="1" applyFill="1" applyBorder="1" applyAlignment="1">
      <alignment horizontal="center" vertical="center" wrapText="1"/>
    </xf>
    <xf numFmtId="3" fontId="82" fillId="0" borderId="1" xfId="2" applyNumberFormat="1" applyFont="1" applyBorder="1" applyAlignment="1">
      <alignment readingOrder="1"/>
    </xf>
    <xf numFmtId="2" fontId="28" fillId="16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164" fontId="25" fillId="2" borderId="2" xfId="0" applyNumberFormat="1" applyFont="1" applyFill="1" applyBorder="1" applyAlignment="1">
      <alignment horizontal="right"/>
    </xf>
    <xf numFmtId="177" fontId="25" fillId="2" borderId="2" xfId="0" applyNumberFormat="1" applyFont="1" applyFill="1" applyBorder="1" applyAlignment="1">
      <alignment horizontal="right"/>
    </xf>
    <xf numFmtId="3" fontId="25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right"/>
    </xf>
    <xf numFmtId="178" fontId="25" fillId="2" borderId="2" xfId="0" applyNumberFormat="1" applyFont="1" applyFill="1" applyBorder="1" applyAlignment="1">
      <alignment horizontal="right"/>
    </xf>
    <xf numFmtId="3" fontId="44" fillId="16" borderId="2" xfId="0" applyNumberFormat="1" applyFont="1" applyFill="1" applyBorder="1" applyAlignment="1">
      <alignment horizontal="right"/>
    </xf>
    <xf numFmtId="3" fontId="26" fillId="2" borderId="2" xfId="0" applyNumberFormat="1" applyFont="1" applyFill="1" applyBorder="1" applyAlignment="1">
      <alignment horizontal="right"/>
    </xf>
    <xf numFmtId="3" fontId="40" fillId="2" borderId="2" xfId="0" applyNumberFormat="1" applyFont="1" applyFill="1" applyBorder="1" applyAlignment="1">
      <alignment horizontal="right"/>
    </xf>
    <xf numFmtId="4" fontId="25" fillId="2" borderId="2" xfId="0" applyNumberFormat="1" applyFont="1" applyFill="1" applyBorder="1" applyAlignment="1">
      <alignment horizontal="right"/>
    </xf>
    <xf numFmtId="165" fontId="25" fillId="2" borderId="2" xfId="0" applyNumberFormat="1" applyFont="1" applyFill="1" applyBorder="1" applyAlignment="1">
      <alignment horizontal="right"/>
    </xf>
    <xf numFmtId="3" fontId="17" fillId="2" borderId="2" xfId="0" applyNumberFormat="1" applyFont="1" applyFill="1" applyBorder="1" applyAlignment="1">
      <alignment horizontal="right"/>
    </xf>
    <xf numFmtId="0" fontId="80" fillId="2" borderId="2" xfId="0" applyFont="1" applyFill="1" applyBorder="1"/>
    <xf numFmtId="179" fontId="83" fillId="2" borderId="2" xfId="0" applyNumberFormat="1" applyFont="1" applyFill="1" applyBorder="1"/>
    <xf numFmtId="169" fontId="67" fillId="19" borderId="1" xfId="0" applyNumberFormat="1" applyFont="1" applyFill="1" applyBorder="1" applyAlignment="1">
      <alignment horizontal="right"/>
    </xf>
    <xf numFmtId="169" fontId="67" fillId="7" borderId="1" xfId="0" applyNumberFormat="1" applyFont="1" applyFill="1" applyBorder="1" applyAlignment="1">
      <alignment horizontal="right"/>
    </xf>
    <xf numFmtId="172" fontId="67" fillId="2" borderId="1" xfId="0" applyNumberFormat="1" applyFont="1" applyFill="1" applyBorder="1" applyAlignment="1">
      <alignment horizontal="right"/>
    </xf>
    <xf numFmtId="3" fontId="88" fillId="0" borderId="19" xfId="2" applyNumberFormat="1" applyFont="1" applyBorder="1" applyAlignment="1">
      <alignment readingOrder="1"/>
    </xf>
    <xf numFmtId="169" fontId="65" fillId="0" borderId="1" xfId="0" applyNumberFormat="1" applyFont="1" applyBorder="1" applyAlignment="1">
      <alignment wrapText="1"/>
    </xf>
    <xf numFmtId="164" fontId="25" fillId="8" borderId="1" xfId="0" applyNumberFormat="1" applyFont="1" applyFill="1" applyBorder="1" applyAlignment="1">
      <alignment horizontal="right"/>
    </xf>
    <xf numFmtId="3" fontId="24" fillId="17" borderId="2" xfId="0" applyNumberFormat="1" applyFont="1" applyFill="1" applyBorder="1" applyAlignment="1">
      <alignment wrapText="1"/>
    </xf>
    <xf numFmtId="3" fontId="14" fillId="0" borderId="0" xfId="0" applyNumberFormat="1" applyFont="1" applyAlignment="1">
      <alignment wrapText="1"/>
    </xf>
    <xf numFmtId="3" fontId="21" fillId="0" borderId="16" xfId="0" applyNumberFormat="1" applyFont="1" applyBorder="1" applyAlignment="1">
      <alignment wrapText="1"/>
    </xf>
    <xf numFmtId="0" fontId="77" fillId="16" borderId="1" xfId="2" applyFont="1" applyFill="1" applyBorder="1" applyAlignment="1">
      <alignment horizontal="center" vertical="center" readingOrder="1"/>
    </xf>
    <xf numFmtId="1" fontId="57" fillId="16" borderId="2" xfId="0" applyNumberFormat="1" applyFont="1" applyFill="1" applyBorder="1" applyAlignment="1">
      <alignment horizontal="center" vertical="center"/>
    </xf>
    <xf numFmtId="4" fontId="26" fillId="2" borderId="2" xfId="0" applyNumberFormat="1" applyFont="1" applyFill="1" applyBorder="1" applyAlignment="1">
      <alignment horizontal="right"/>
    </xf>
    <xf numFmtId="164" fontId="14" fillId="8" borderId="15" xfId="0" applyNumberFormat="1" applyFont="1" applyFill="1" applyBorder="1" applyAlignment="1">
      <alignment horizontal="center" vertical="center"/>
    </xf>
    <xf numFmtId="164" fontId="14" fillId="2" borderId="15" xfId="0" applyNumberFormat="1" applyFont="1" applyFill="1" applyBorder="1" applyAlignment="1">
      <alignment horizontal="center" vertical="center"/>
    </xf>
    <xf numFmtId="0" fontId="0" fillId="0" borderId="15" xfId="0" applyBorder="1"/>
    <xf numFmtId="164" fontId="30" fillId="4" borderId="14" xfId="0" applyNumberFormat="1" applyFont="1" applyFill="1" applyBorder="1" applyAlignment="1">
      <alignment horizontal="center" vertical="center"/>
    </xf>
    <xf numFmtId="3" fontId="30" fillId="4" borderId="8" xfId="0" applyNumberFormat="1" applyFont="1" applyFill="1" applyBorder="1" applyAlignment="1">
      <alignment horizontal="right"/>
    </xf>
    <xf numFmtId="3" fontId="25" fillId="2" borderId="2" xfId="0" applyNumberFormat="1" applyFont="1" applyFill="1" applyBorder="1" applyAlignment="1">
      <alignment horizontal="right"/>
    </xf>
    <xf numFmtId="3" fontId="0" fillId="9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166" fontId="14" fillId="4" borderId="1" xfId="0" applyNumberFormat="1" applyFont="1" applyFill="1" applyBorder="1" applyAlignment="1">
      <alignment horizontal="center" vertical="center"/>
    </xf>
    <xf numFmtId="0" fontId="48" fillId="0" borderId="3" xfId="2" applyFont="1" applyBorder="1" applyAlignment="1">
      <alignment readingOrder="1"/>
    </xf>
    <xf numFmtId="3" fontId="24" fillId="17" borderId="1" xfId="0" applyNumberFormat="1" applyFont="1" applyFill="1" applyBorder="1" applyAlignment="1">
      <alignment wrapText="1"/>
    </xf>
    <xf numFmtId="169" fontId="65" fillId="0" borderId="3" xfId="0" applyNumberFormat="1" applyFont="1" applyBorder="1" applyAlignment="1">
      <alignment wrapText="1"/>
    </xf>
    <xf numFmtId="0" fontId="86" fillId="0" borderId="1" xfId="0" applyFont="1" applyBorder="1" applyAlignment="1">
      <alignment wrapText="1"/>
    </xf>
    <xf numFmtId="169" fontId="65" fillId="0" borderId="2" xfId="0" applyNumberFormat="1" applyFont="1" applyBorder="1" applyAlignment="1">
      <alignment wrapText="1"/>
    </xf>
    <xf numFmtId="169" fontId="65" fillId="0" borderId="11" xfId="0" applyNumberFormat="1" applyFont="1" applyBorder="1" applyAlignment="1">
      <alignment wrapText="1"/>
    </xf>
    <xf numFmtId="0" fontId="90" fillId="0" borderId="11" xfId="0" applyFont="1" applyBorder="1" applyAlignment="1">
      <alignment wrapText="1"/>
    </xf>
    <xf numFmtId="0" fontId="48" fillId="0" borderId="11" xfId="2" applyFont="1" applyBorder="1" applyAlignment="1">
      <alignment readingOrder="1"/>
    </xf>
    <xf numFmtId="3" fontId="14" fillId="0" borderId="11" xfId="0" applyNumberFormat="1" applyFont="1" applyBorder="1" applyAlignment="1">
      <alignment wrapText="1"/>
    </xf>
    <xf numFmtId="3" fontId="21" fillId="0" borderId="11" xfId="0" applyNumberFormat="1" applyFont="1" applyBorder="1" applyAlignment="1">
      <alignment wrapText="1"/>
    </xf>
    <xf numFmtId="3" fontId="14" fillId="0" borderId="12" xfId="0" applyNumberFormat="1" applyFont="1" applyBorder="1" applyAlignment="1">
      <alignment wrapText="1"/>
    </xf>
    <xf numFmtId="3" fontId="21" fillId="0" borderId="13" xfId="0" applyNumberFormat="1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25" fillId="0" borderId="2" xfId="0" applyFont="1" applyBorder="1" applyAlignment="1">
      <alignment wrapText="1"/>
    </xf>
    <xf numFmtId="0" fontId="21" fillId="0" borderId="2" xfId="0" applyFont="1" applyBorder="1" applyAlignment="1">
      <alignment wrapText="1"/>
    </xf>
    <xf numFmtId="0" fontId="21" fillId="0" borderId="3" xfId="0" applyFont="1" applyBorder="1" applyAlignment="1">
      <alignment wrapText="1"/>
    </xf>
    <xf numFmtId="180" fontId="0" fillId="0" borderId="0" xfId="0" applyNumberFormat="1"/>
    <xf numFmtId="0" fontId="48" fillId="0" borderId="19" xfId="2" applyFont="1" applyBorder="1" applyAlignment="1">
      <alignment readingOrder="1"/>
    </xf>
    <xf numFmtId="3" fontId="48" fillId="0" borderId="19" xfId="2" applyNumberFormat="1" applyFont="1" applyBorder="1" applyAlignment="1">
      <alignment readingOrder="1"/>
    </xf>
    <xf numFmtId="0" fontId="22" fillId="22" borderId="1" xfId="0" applyFont="1" applyFill="1" applyBorder="1" applyAlignment="1">
      <alignment wrapText="1"/>
    </xf>
    <xf numFmtId="0" fontId="14" fillId="22" borderId="1" xfId="0" applyFont="1" applyFill="1" applyBorder="1"/>
    <xf numFmtId="0" fontId="38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right"/>
    </xf>
    <xf numFmtId="165" fontId="17" fillId="22" borderId="1" xfId="0" applyNumberFormat="1" applyFont="1" applyFill="1" applyBorder="1"/>
    <xf numFmtId="3" fontId="17" fillId="22" borderId="1" xfId="0" applyNumberFormat="1" applyFont="1" applyFill="1" applyBorder="1" applyAlignment="1">
      <alignment horizontal="center" vertical="center"/>
    </xf>
    <xf numFmtId="165" fontId="17" fillId="22" borderId="1" xfId="0" applyNumberFormat="1" applyFont="1" applyFill="1" applyBorder="1" applyAlignment="1">
      <alignment horizontal="right"/>
    </xf>
    <xf numFmtId="0" fontId="0" fillId="25" borderId="0" xfId="0" applyFill="1"/>
    <xf numFmtId="0" fontId="0" fillId="25" borderId="0" xfId="0" applyFill="1" applyAlignment="1">
      <alignment horizontal="right"/>
    </xf>
    <xf numFmtId="3" fontId="0" fillId="25" borderId="0" xfId="0" applyNumberFormat="1" applyFill="1"/>
    <xf numFmtId="0" fontId="0" fillId="26" borderId="0" xfId="0" applyFill="1"/>
    <xf numFmtId="0" fontId="0" fillId="26" borderId="0" xfId="0" applyFill="1" applyAlignment="1">
      <alignment horizontal="right"/>
    </xf>
    <xf numFmtId="164" fontId="25" fillId="2" borderId="2" xfId="0" applyNumberFormat="1" applyFont="1" applyFill="1" applyBorder="1" applyAlignment="1">
      <alignment horizontal="center" vertical="center"/>
    </xf>
    <xf numFmtId="38" fontId="93" fillId="0" borderId="2" xfId="0" applyNumberFormat="1" applyFont="1" applyBorder="1" applyAlignment="1">
      <alignment horizontal="right"/>
    </xf>
    <xf numFmtId="164" fontId="30" fillId="2" borderId="2" xfId="0" applyNumberFormat="1" applyFont="1" applyFill="1" applyBorder="1" applyAlignment="1">
      <alignment horizontal="right" wrapText="1"/>
    </xf>
    <xf numFmtId="0" fontId="91" fillId="30" borderId="1" xfId="0" applyFont="1" applyFill="1" applyBorder="1" applyAlignment="1">
      <alignment horizontal="center" vertical="center"/>
    </xf>
    <xf numFmtId="166" fontId="86" fillId="17" borderId="2" xfId="0" applyNumberFormat="1" applyFont="1" applyFill="1" applyBorder="1" applyAlignment="1">
      <alignment horizontal="right" wrapText="1"/>
    </xf>
    <xf numFmtId="164" fontId="87" fillId="17" borderId="2" xfId="0" applyNumberFormat="1" applyFont="1" applyFill="1" applyBorder="1" applyAlignment="1">
      <alignment horizontal="right" wrapText="1"/>
    </xf>
    <xf numFmtId="0" fontId="26" fillId="0" borderId="2" xfId="0" applyFont="1" applyBorder="1" applyAlignment="1">
      <alignment wrapText="1"/>
    </xf>
    <xf numFmtId="0" fontId="0" fillId="24" borderId="24" xfId="0" applyFill="1" applyBorder="1" applyAlignment="1">
      <alignment horizontal="center" vertical="center"/>
    </xf>
    <xf numFmtId="0" fontId="0" fillId="24" borderId="24" xfId="0" applyFill="1" applyBorder="1" applyAlignment="1">
      <alignment horizontal="center" vertical="center" wrapText="1"/>
    </xf>
    <xf numFmtId="0" fontId="0" fillId="24" borderId="26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65" fillId="0" borderId="2" xfId="0" applyNumberFormat="1" applyFont="1" applyBorder="1" applyAlignment="1">
      <alignment horizontal="right"/>
    </xf>
    <xf numFmtId="38" fontId="21" fillId="0" borderId="2" xfId="0" applyNumberFormat="1" applyFont="1" applyBorder="1" applyAlignment="1">
      <alignment horizontal="right"/>
    </xf>
    <xf numFmtId="166" fontId="21" fillId="0" borderId="2" xfId="0" applyNumberFormat="1" applyFont="1" applyBorder="1" applyAlignment="1">
      <alignment horizontal="right"/>
    </xf>
    <xf numFmtId="179" fontId="83" fillId="2" borderId="2" xfId="0" applyNumberFormat="1" applyFont="1" applyFill="1" applyBorder="1" applyAlignment="1">
      <alignment horizontal="right"/>
    </xf>
    <xf numFmtId="0" fontId="80" fillId="2" borderId="3" xfId="0" applyFont="1" applyFill="1" applyBorder="1"/>
    <xf numFmtId="179" fontId="83" fillId="2" borderId="3" xfId="0" applyNumberFormat="1" applyFont="1" applyFill="1" applyBorder="1" applyAlignment="1">
      <alignment horizontal="right"/>
    </xf>
    <xf numFmtId="179" fontId="83" fillId="2" borderId="3" xfId="0" applyNumberFormat="1" applyFont="1" applyFill="1" applyBorder="1"/>
    <xf numFmtId="0" fontId="0" fillId="2" borderId="3" xfId="0" applyFill="1" applyBorder="1"/>
    <xf numFmtId="177" fontId="25" fillId="2" borderId="3" xfId="0" applyNumberFormat="1" applyFont="1" applyFill="1" applyBorder="1" applyAlignment="1">
      <alignment horizontal="right"/>
    </xf>
    <xf numFmtId="164" fontId="25" fillId="2" borderId="3" xfId="0" applyNumberFormat="1" applyFont="1" applyFill="1" applyBorder="1" applyAlignment="1">
      <alignment horizontal="right"/>
    </xf>
    <xf numFmtId="164" fontId="25" fillId="2" borderId="3" xfId="0" applyNumberFormat="1" applyFont="1" applyFill="1" applyBorder="1" applyAlignment="1">
      <alignment horizontal="center" vertical="center"/>
    </xf>
    <xf numFmtId="38" fontId="64" fillId="8" borderId="1" xfId="0" applyNumberFormat="1" applyFont="1" applyFill="1" applyBorder="1" applyAlignment="1">
      <alignment horizontal="right"/>
    </xf>
    <xf numFmtId="38" fontId="49" fillId="8" borderId="1" xfId="0" applyNumberFormat="1" applyFont="1" applyFill="1" applyBorder="1" applyAlignment="1">
      <alignment horizontal="right"/>
    </xf>
    <xf numFmtId="169" fontId="67" fillId="8" borderId="1" xfId="0" applyNumberFormat="1" applyFont="1" applyFill="1" applyBorder="1" applyAlignment="1">
      <alignment horizontal="right"/>
    </xf>
    <xf numFmtId="164" fontId="17" fillId="2" borderId="24" xfId="0" applyNumberFormat="1" applyFont="1" applyFill="1" applyBorder="1" applyAlignment="1">
      <alignment horizontal="right" wrapText="1"/>
    </xf>
    <xf numFmtId="172" fontId="94" fillId="0" borderId="24" xfId="0" applyNumberFormat="1" applyFont="1" applyBorder="1" applyAlignment="1">
      <alignment horizontal="right"/>
    </xf>
    <xf numFmtId="0" fontId="0" fillId="0" borderId="12" xfId="0" applyBorder="1"/>
    <xf numFmtId="0" fontId="0" fillId="0" borderId="11" xfId="0" applyBorder="1"/>
    <xf numFmtId="0" fontId="0" fillId="0" borderId="11" xfId="0" applyBorder="1" applyAlignment="1">
      <alignment horizontal="right"/>
    </xf>
    <xf numFmtId="3" fontId="0" fillId="0" borderId="11" xfId="0" applyNumberFormat="1" applyBorder="1"/>
    <xf numFmtId="0" fontId="26" fillId="27" borderId="0" xfId="0" applyFont="1" applyFill="1"/>
    <xf numFmtId="0" fontId="26" fillId="27" borderId="0" xfId="0" applyFont="1" applyFill="1" applyAlignment="1">
      <alignment horizontal="right"/>
    </xf>
    <xf numFmtId="3" fontId="26" fillId="27" borderId="0" xfId="0" applyNumberFormat="1" applyFont="1" applyFill="1"/>
    <xf numFmtId="3" fontId="85" fillId="3" borderId="2" xfId="0" applyNumberFormat="1" applyFont="1" applyFill="1" applyBorder="1" applyAlignment="1">
      <alignment horizontal="right"/>
    </xf>
    <xf numFmtId="164" fontId="64" fillId="3" borderId="1" xfId="0" applyNumberFormat="1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3" fontId="0" fillId="3" borderId="0" xfId="0" applyNumberFormat="1" applyFill="1"/>
    <xf numFmtId="3" fontId="85" fillId="27" borderId="2" xfId="0" applyNumberFormat="1" applyFont="1" applyFill="1" applyBorder="1" applyAlignment="1">
      <alignment horizontal="right"/>
    </xf>
    <xf numFmtId="164" fontId="64" fillId="19" borderId="1" xfId="0" applyNumberFormat="1" applyFont="1" applyFill="1" applyBorder="1" applyAlignment="1">
      <alignment horizontal="right"/>
    </xf>
    <xf numFmtId="164" fontId="64" fillId="8" borderId="1" xfId="0" applyNumberFormat="1" applyFont="1" applyFill="1" applyBorder="1" applyAlignment="1">
      <alignment horizontal="right"/>
    </xf>
    <xf numFmtId="177" fontId="25" fillId="2" borderId="4" xfId="0" applyNumberFormat="1" applyFont="1" applyFill="1" applyBorder="1"/>
    <xf numFmtId="38" fontId="80" fillId="28" borderId="1" xfId="0" applyNumberFormat="1" applyFont="1" applyFill="1" applyBorder="1" applyAlignment="1">
      <alignment horizontal="right"/>
    </xf>
    <xf numFmtId="40" fontId="80" fillId="28" borderId="1" xfId="0" applyNumberFormat="1" applyFont="1" applyFill="1" applyBorder="1" applyAlignment="1">
      <alignment horizontal="right"/>
    </xf>
    <xf numFmtId="0" fontId="0" fillId="16" borderId="26" xfId="0" applyFill="1" applyBorder="1" applyAlignment="1">
      <alignment horizontal="center" vertical="center" wrapText="1"/>
    </xf>
    <xf numFmtId="0" fontId="0" fillId="24" borderId="0" xfId="0" applyFill="1"/>
    <xf numFmtId="0" fontId="0" fillId="16" borderId="0" xfId="0" applyFill="1"/>
    <xf numFmtId="16" fontId="0" fillId="0" borderId="0" xfId="0" applyNumberFormat="1" applyAlignment="1">
      <alignment horizontal="right"/>
    </xf>
    <xf numFmtId="3" fontId="24" fillId="0" borderId="2" xfId="0" applyNumberFormat="1" applyFont="1" applyBorder="1" applyAlignment="1">
      <alignment horizontal="right"/>
    </xf>
    <xf numFmtId="38" fontId="64" fillId="28" borderId="1" xfId="0" applyNumberFormat="1" applyFont="1" applyFill="1" applyBorder="1" applyAlignment="1">
      <alignment horizontal="right"/>
    </xf>
    <xf numFmtId="181" fontId="25" fillId="2" borderId="1" xfId="0" applyNumberFormat="1" applyFont="1" applyFill="1" applyBorder="1" applyAlignment="1">
      <alignment horizontal="right"/>
    </xf>
    <xf numFmtId="176" fontId="64" fillId="33" borderId="1" xfId="0" applyNumberFormat="1" applyFont="1" applyFill="1" applyBorder="1" applyAlignment="1">
      <alignment horizontal="right"/>
    </xf>
    <xf numFmtId="171" fontId="25" fillId="2" borderId="2" xfId="0" applyNumberFormat="1" applyFont="1" applyFill="1" applyBorder="1" applyAlignment="1">
      <alignment horizontal="right"/>
    </xf>
    <xf numFmtId="169" fontId="67" fillId="17" borderId="1" xfId="0" applyNumberFormat="1" applyFont="1" applyFill="1" applyBorder="1" applyAlignment="1">
      <alignment horizontal="right"/>
    </xf>
    <xf numFmtId="38" fontId="49" fillId="2" borderId="1" xfId="0" applyNumberFormat="1" applyFont="1" applyFill="1" applyBorder="1" applyAlignment="1">
      <alignment horizontal="right"/>
    </xf>
    <xf numFmtId="38" fontId="55" fillId="2" borderId="1" xfId="0" applyNumberFormat="1" applyFont="1" applyFill="1" applyBorder="1" applyAlignment="1">
      <alignment horizontal="right"/>
    </xf>
    <xf numFmtId="0" fontId="42" fillId="2" borderId="9" xfId="0" applyFont="1" applyFill="1" applyBorder="1" applyAlignment="1">
      <alignment horizontal="center" vertical="center" wrapText="1"/>
    </xf>
    <xf numFmtId="3" fontId="43" fillId="2" borderId="9" xfId="0" applyNumberFormat="1" applyFont="1" applyFill="1" applyBorder="1" applyAlignment="1">
      <alignment horizontal="center" vertical="center" wrapText="1"/>
    </xf>
    <xf numFmtId="0" fontId="101" fillId="0" borderId="2" xfId="2" applyFont="1" applyBorder="1" applyAlignment="1">
      <alignment readingOrder="1"/>
    </xf>
    <xf numFmtId="0" fontId="102" fillId="0" borderId="2" xfId="2" applyFont="1" applyBorder="1" applyAlignment="1">
      <alignment readingOrder="1"/>
    </xf>
    <xf numFmtId="2" fontId="35" fillId="2" borderId="2" xfId="0" applyNumberFormat="1" applyFont="1" applyFill="1" applyBorder="1" applyAlignment="1">
      <alignment horizontal="right"/>
    </xf>
    <xf numFmtId="3" fontId="35" fillId="2" borderId="2" xfId="0" applyNumberFormat="1" applyFont="1" applyFill="1" applyBorder="1" applyAlignment="1">
      <alignment horizontal="right"/>
    </xf>
    <xf numFmtId="164" fontId="24" fillId="2" borderId="3" xfId="0" applyNumberFormat="1" applyFont="1" applyFill="1" applyBorder="1" applyAlignment="1">
      <alignment horizontal="center" vertical="center"/>
    </xf>
    <xf numFmtId="3" fontId="33" fillId="2" borderId="2" xfId="0" applyNumberFormat="1" applyFont="1" applyFill="1" applyBorder="1" applyAlignment="1">
      <alignment horizontal="right"/>
    </xf>
    <xf numFmtId="3" fontId="104" fillId="4" borderId="1" xfId="0" applyNumberFormat="1" applyFont="1" applyFill="1" applyBorder="1" applyAlignment="1">
      <alignment horizontal="left"/>
    </xf>
    <xf numFmtId="3" fontId="103" fillId="9" borderId="0" xfId="0" applyNumberFormat="1" applyFont="1" applyFill="1" applyAlignment="1">
      <alignment horizontal="right"/>
    </xf>
    <xf numFmtId="3" fontId="103" fillId="0" borderId="0" xfId="0" applyNumberFormat="1" applyFont="1" applyAlignment="1">
      <alignment horizontal="right"/>
    </xf>
    <xf numFmtId="3" fontId="104" fillId="3" borderId="3" xfId="0" applyNumberFormat="1" applyFont="1" applyFill="1" applyBorder="1" applyAlignment="1">
      <alignment horizontal="center" vertical="center" wrapText="1"/>
    </xf>
    <xf numFmtId="172" fontId="89" fillId="35" borderId="1" xfId="0" applyNumberFormat="1" applyFont="1" applyFill="1" applyBorder="1" applyAlignment="1">
      <alignment horizontal="right"/>
    </xf>
    <xf numFmtId="3" fontId="51" fillId="2" borderId="0" xfId="0" applyNumberFormat="1" applyFont="1" applyFill="1" applyAlignment="1">
      <alignment horizontal="center" vertical="center" wrapText="1"/>
    </xf>
    <xf numFmtId="9" fontId="24" fillId="2" borderId="3" xfId="0" applyNumberFormat="1" applyFont="1" applyFill="1" applyBorder="1" applyAlignment="1">
      <alignment horizontal="center" vertical="center"/>
    </xf>
    <xf numFmtId="3" fontId="85" fillId="27" borderId="33" xfId="0" applyNumberFormat="1" applyFont="1" applyFill="1" applyBorder="1" applyAlignment="1">
      <alignment horizontal="right"/>
    </xf>
    <xf numFmtId="166" fontId="49" fillId="28" borderId="38" xfId="0" applyNumberFormat="1" applyFont="1" applyFill="1" applyBorder="1" applyAlignment="1">
      <alignment horizontal="right" wrapText="1"/>
    </xf>
    <xf numFmtId="3" fontId="99" fillId="0" borderId="31" xfId="0" applyNumberFormat="1" applyFont="1" applyBorder="1" applyAlignment="1">
      <alignment horizontal="right"/>
    </xf>
    <xf numFmtId="166" fontId="49" fillId="28" borderId="1" xfId="0" applyNumberFormat="1" applyFont="1" applyFill="1" applyBorder="1" applyAlignment="1">
      <alignment horizontal="right" wrapText="1"/>
    </xf>
    <xf numFmtId="0" fontId="0" fillId="0" borderId="37" xfId="0" applyBorder="1"/>
    <xf numFmtId="3" fontId="0" fillId="9" borderId="11" xfId="0" applyNumberFormat="1" applyFill="1" applyBorder="1" applyAlignment="1">
      <alignment horizontal="right"/>
    </xf>
    <xf numFmtId="3" fontId="24" fillId="9" borderId="13" xfId="0" applyNumberFormat="1" applyFont="1" applyFill="1" applyBorder="1" applyAlignment="1">
      <alignment horizontal="right"/>
    </xf>
    <xf numFmtId="3" fontId="85" fillId="3" borderId="1" xfId="0" applyNumberFormat="1" applyFont="1" applyFill="1" applyBorder="1" applyAlignment="1">
      <alignment horizontal="right"/>
    </xf>
    <xf numFmtId="3" fontId="14" fillId="4" borderId="36" xfId="0" applyNumberFormat="1" applyFont="1" applyFill="1" applyBorder="1"/>
    <xf numFmtId="164" fontId="64" fillId="28" borderId="1" xfId="0" applyNumberFormat="1" applyFont="1" applyFill="1" applyBorder="1" applyAlignment="1">
      <alignment horizontal="right"/>
    </xf>
    <xf numFmtId="3" fontId="107" fillId="2" borderId="0" xfId="0" applyNumberFormat="1" applyFont="1" applyFill="1" applyAlignment="1">
      <alignment horizontal="center" vertical="center" wrapText="1"/>
    </xf>
    <xf numFmtId="166" fontId="25" fillId="0" borderId="2" xfId="0" applyNumberFormat="1" applyFont="1" applyBorder="1" applyAlignment="1">
      <alignment horizontal="right"/>
    </xf>
    <xf numFmtId="9" fontId="67" fillId="2" borderId="1" xfId="0" applyNumberFormat="1" applyFont="1" applyFill="1" applyBorder="1" applyAlignment="1">
      <alignment horizontal="right" wrapText="1"/>
    </xf>
    <xf numFmtId="164" fontId="14" fillId="2" borderId="1" xfId="0" applyNumberFormat="1" applyFont="1" applyFill="1" applyBorder="1" applyAlignment="1">
      <alignment horizontal="right" wrapText="1"/>
    </xf>
    <xf numFmtId="166" fontId="71" fillId="0" borderId="2" xfId="0" applyNumberFormat="1" applyFont="1" applyBorder="1" applyAlignment="1">
      <alignment horizontal="right"/>
    </xf>
    <xf numFmtId="3" fontId="24" fillId="0" borderId="1" xfId="0" applyNumberFormat="1" applyFont="1" applyBorder="1" applyAlignment="1">
      <alignment horizontal="right"/>
    </xf>
    <xf numFmtId="0" fontId="49" fillId="2" borderId="0" xfId="0" applyFont="1" applyFill="1" applyAlignment="1">
      <alignment horizontal="center" wrapText="1"/>
    </xf>
    <xf numFmtId="3" fontId="107" fillId="2" borderId="16" xfId="0" applyNumberFormat="1" applyFont="1" applyFill="1" applyBorder="1" applyAlignment="1">
      <alignment horizontal="center" vertical="center" wrapText="1"/>
    </xf>
    <xf numFmtId="0" fontId="49" fillId="2" borderId="0" xfId="0" applyFont="1" applyFill="1" applyAlignment="1">
      <alignment horizontal="center"/>
    </xf>
    <xf numFmtId="0" fontId="22" fillId="2" borderId="1" xfId="0" applyFont="1" applyFill="1" applyBorder="1" applyAlignment="1">
      <alignment wrapText="1"/>
    </xf>
    <xf numFmtId="0" fontId="14" fillId="2" borderId="1" xfId="0" applyFont="1" applyFill="1" applyBorder="1"/>
    <xf numFmtId="0" fontId="38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right"/>
    </xf>
    <xf numFmtId="3" fontId="17" fillId="2" borderId="1" xfId="0" applyNumberFormat="1" applyFont="1" applyFill="1" applyBorder="1" applyAlignment="1">
      <alignment horizontal="center" vertical="center"/>
    </xf>
    <xf numFmtId="165" fontId="17" fillId="2" borderId="1" xfId="0" applyNumberFormat="1" applyFont="1" applyFill="1" applyBorder="1"/>
    <xf numFmtId="165" fontId="17" fillId="2" borderId="1" xfId="0" applyNumberFormat="1" applyFont="1" applyFill="1" applyBorder="1" applyAlignment="1">
      <alignment horizontal="right"/>
    </xf>
    <xf numFmtId="0" fontId="32" fillId="2" borderId="30" xfId="0" applyFont="1" applyFill="1" applyBorder="1" applyAlignment="1">
      <alignment horizontal="center"/>
    </xf>
    <xf numFmtId="0" fontId="91" fillId="2" borderId="1" xfId="0" applyFont="1" applyFill="1" applyBorder="1" applyAlignment="1">
      <alignment horizontal="center" vertical="center"/>
    </xf>
    <xf numFmtId="3" fontId="84" fillId="9" borderId="11" xfId="0" applyNumberFormat="1" applyFont="1" applyFill="1" applyBorder="1" applyAlignment="1">
      <alignment horizontal="right"/>
    </xf>
    <xf numFmtId="3" fontId="69" fillId="2" borderId="11" xfId="0" applyNumberFormat="1" applyFont="1" applyFill="1" applyBorder="1" applyAlignment="1">
      <alignment horizontal="center" vertical="center" wrapText="1"/>
    </xf>
    <xf numFmtId="3" fontId="69" fillId="2" borderId="13" xfId="0" applyNumberFormat="1" applyFont="1" applyFill="1" applyBorder="1" applyAlignment="1">
      <alignment horizontal="center" vertical="center" wrapText="1"/>
    </xf>
    <xf numFmtId="0" fontId="76" fillId="2" borderId="11" xfId="0" applyFont="1" applyFill="1" applyBorder="1" applyAlignment="1">
      <alignment horizontal="center" wrapText="1"/>
    </xf>
    <xf numFmtId="0" fontId="0" fillId="32" borderId="0" xfId="0" applyFill="1"/>
    <xf numFmtId="164" fontId="32" fillId="19" borderId="5" xfId="0" applyNumberFormat="1" applyFont="1" applyFill="1" applyBorder="1" applyAlignment="1">
      <alignment horizontal="right" wrapText="1"/>
    </xf>
    <xf numFmtId="164" fontId="32" fillId="19" borderId="4" xfId="0" applyNumberFormat="1" applyFont="1" applyFill="1" applyBorder="1" applyAlignment="1">
      <alignment horizontal="right" wrapText="1"/>
    </xf>
    <xf numFmtId="166" fontId="49" fillId="19" borderId="1" xfId="0" applyNumberFormat="1" applyFont="1" applyFill="1" applyBorder="1" applyAlignment="1">
      <alignment horizontal="right" wrapText="1"/>
    </xf>
    <xf numFmtId="166" fontId="49" fillId="19" borderId="38" xfId="0" applyNumberFormat="1" applyFont="1" applyFill="1" applyBorder="1" applyAlignment="1">
      <alignment horizontal="right" wrapText="1"/>
    </xf>
    <xf numFmtId="164" fontId="32" fillId="28" borderId="30" xfId="0" applyNumberFormat="1" applyFont="1" applyFill="1" applyBorder="1" applyAlignment="1">
      <alignment horizontal="right" wrapText="1"/>
    </xf>
    <xf numFmtId="164" fontId="32" fillId="28" borderId="20" xfId="0" applyNumberFormat="1" applyFont="1" applyFill="1" applyBorder="1" applyAlignment="1">
      <alignment horizontal="right" wrapText="1"/>
    </xf>
    <xf numFmtId="164" fontId="49" fillId="2" borderId="1" xfId="0" applyNumberFormat="1" applyFont="1" applyFill="1" applyBorder="1" applyAlignment="1">
      <alignment horizontal="right" wrapText="1"/>
    </xf>
    <xf numFmtId="3" fontId="76" fillId="2" borderId="33" xfId="0" applyNumberFormat="1" applyFont="1" applyFill="1" applyBorder="1" applyAlignment="1">
      <alignment horizontal="right"/>
    </xf>
    <xf numFmtId="0" fontId="76" fillId="28" borderId="12" xfId="0" applyFont="1" applyFill="1" applyBorder="1" applyAlignment="1">
      <alignment horizontal="center"/>
    </xf>
    <xf numFmtId="172" fontId="54" fillId="2" borderId="1" xfId="0" applyNumberFormat="1" applyFont="1" applyFill="1" applyBorder="1" applyAlignment="1">
      <alignment horizontal="right"/>
    </xf>
    <xf numFmtId="169" fontId="56" fillId="2" borderId="1" xfId="0" applyNumberFormat="1" applyFont="1" applyFill="1" applyBorder="1" applyAlignment="1">
      <alignment horizontal="right"/>
    </xf>
    <xf numFmtId="0" fontId="76" fillId="17" borderId="12" xfId="0" applyFont="1" applyFill="1" applyBorder="1" applyAlignment="1">
      <alignment horizontal="center"/>
    </xf>
    <xf numFmtId="0" fontId="49" fillId="17" borderId="15" xfId="0" applyFont="1" applyFill="1" applyBorder="1" applyAlignment="1">
      <alignment horizontal="center"/>
    </xf>
    <xf numFmtId="164" fontId="32" fillId="17" borderId="30" xfId="0" applyNumberFormat="1" applyFont="1" applyFill="1" applyBorder="1" applyAlignment="1">
      <alignment horizontal="right" wrapText="1"/>
    </xf>
    <xf numFmtId="164" fontId="32" fillId="17" borderId="20" xfId="0" applyNumberFormat="1" applyFont="1" applyFill="1" applyBorder="1" applyAlignment="1">
      <alignment horizontal="right" wrapText="1"/>
    </xf>
    <xf numFmtId="166" fontId="49" fillId="17" borderId="1" xfId="0" applyNumberFormat="1" applyFont="1" applyFill="1" applyBorder="1" applyAlignment="1">
      <alignment horizontal="right" wrapText="1"/>
    </xf>
    <xf numFmtId="166" fontId="49" fillId="17" borderId="38" xfId="0" applyNumberFormat="1" applyFont="1" applyFill="1" applyBorder="1" applyAlignment="1">
      <alignment horizontal="right" wrapText="1"/>
    </xf>
    <xf numFmtId="0" fontId="0" fillId="17" borderId="37" xfId="0" applyFill="1" applyBorder="1" applyAlignment="1">
      <alignment horizontal="right"/>
    </xf>
    <xf numFmtId="0" fontId="14" fillId="22" borderId="19" xfId="0" applyFont="1" applyFill="1" applyBorder="1" applyAlignment="1">
      <alignment horizontal="right"/>
    </xf>
    <xf numFmtId="3" fontId="42" fillId="2" borderId="11" xfId="0" applyNumberFormat="1" applyFont="1" applyFill="1" applyBorder="1" applyAlignment="1">
      <alignment horizontal="center" vertical="center" wrapText="1"/>
    </xf>
    <xf numFmtId="3" fontId="110" fillId="2" borderId="9" xfId="0" applyNumberFormat="1" applyFont="1" applyFill="1" applyBorder="1" applyAlignment="1">
      <alignment horizontal="center" vertical="center" wrapText="1"/>
    </xf>
    <xf numFmtId="0" fontId="111" fillId="2" borderId="9" xfId="0" applyFont="1" applyFill="1" applyBorder="1" applyAlignment="1">
      <alignment horizontal="center" vertical="center" wrapText="1"/>
    </xf>
    <xf numFmtId="3" fontId="112" fillId="2" borderId="9" xfId="0" applyNumberFormat="1" applyFont="1" applyFill="1" applyBorder="1" applyAlignment="1">
      <alignment horizontal="center" vertical="center" wrapText="1"/>
    </xf>
    <xf numFmtId="0" fontId="112" fillId="2" borderId="9" xfId="0" applyFont="1" applyFill="1" applyBorder="1" applyAlignment="1">
      <alignment horizontal="center" vertical="center" wrapText="1"/>
    </xf>
    <xf numFmtId="3" fontId="112" fillId="33" borderId="9" xfId="0" applyNumberFormat="1" applyFont="1" applyFill="1" applyBorder="1" applyAlignment="1">
      <alignment horizontal="center" vertical="center" wrapText="1"/>
    </xf>
    <xf numFmtId="3" fontId="113" fillId="2" borderId="9" xfId="0" applyNumberFormat="1" applyFont="1" applyFill="1" applyBorder="1" applyAlignment="1">
      <alignment horizontal="center" vertical="center" wrapText="1"/>
    </xf>
    <xf numFmtId="3" fontId="114" fillId="2" borderId="9" xfId="0" applyNumberFormat="1" applyFont="1" applyFill="1" applyBorder="1" applyAlignment="1">
      <alignment horizontal="center" vertical="center" wrapText="1"/>
    </xf>
    <xf numFmtId="3" fontId="112" fillId="2" borderId="9" xfId="0" applyNumberFormat="1" applyFont="1" applyFill="1" applyBorder="1" applyAlignment="1">
      <alignment horizontal="center" vertical="top" wrapText="1"/>
    </xf>
    <xf numFmtId="3" fontId="112" fillId="2" borderId="9" xfId="0" applyNumberFormat="1" applyFont="1" applyFill="1" applyBorder="1" applyAlignment="1">
      <alignment vertical="center" wrapText="1"/>
    </xf>
    <xf numFmtId="3" fontId="113" fillId="2" borderId="9" xfId="0" applyNumberFormat="1" applyFont="1" applyFill="1" applyBorder="1" applyAlignment="1">
      <alignment vertical="center" wrapText="1"/>
    </xf>
    <xf numFmtId="3" fontId="112" fillId="2" borderId="0" xfId="0" applyNumberFormat="1" applyFont="1" applyFill="1" applyAlignment="1">
      <alignment horizontal="center" vertical="center" wrapText="1"/>
    </xf>
    <xf numFmtId="3" fontId="115" fillId="2" borderId="9" xfId="0" applyNumberFormat="1" applyFont="1" applyFill="1" applyBorder="1" applyAlignment="1">
      <alignment horizontal="center" vertical="center" wrapText="1"/>
    </xf>
    <xf numFmtId="0" fontId="116" fillId="0" borderId="0" xfId="0" applyFont="1" applyAlignment="1">
      <alignment horizontal="center" vertical="top"/>
    </xf>
    <xf numFmtId="172" fontId="89" fillId="28" borderId="1" xfId="0" applyNumberFormat="1" applyFont="1" applyFill="1" applyBorder="1" applyAlignment="1">
      <alignment horizontal="right"/>
    </xf>
    <xf numFmtId="172" fontId="108" fillId="28" borderId="1" xfId="0" applyNumberFormat="1" applyFont="1" applyFill="1" applyBorder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right"/>
    </xf>
    <xf numFmtId="3" fontId="0" fillId="37" borderId="0" xfId="0" applyNumberFormat="1" applyFill="1"/>
    <xf numFmtId="0" fontId="0" fillId="0" borderId="36" xfId="0" applyBorder="1"/>
    <xf numFmtId="0" fontId="0" fillId="0" borderId="43" xfId="0" applyBorder="1"/>
    <xf numFmtId="0" fontId="0" fillId="16" borderId="43" xfId="0" applyFill="1" applyBorder="1"/>
    <xf numFmtId="0" fontId="0" fillId="24" borderId="43" xfId="0" applyFill="1" applyBorder="1"/>
    <xf numFmtId="0" fontId="0" fillId="0" borderId="44" xfId="0" applyBorder="1"/>
    <xf numFmtId="0" fontId="49" fillId="2" borderId="14" xfId="0" applyFont="1" applyFill="1" applyBorder="1" applyAlignment="1">
      <alignment horizontal="center"/>
    </xf>
    <xf numFmtId="0" fontId="49" fillId="2" borderId="7" xfId="0" applyFont="1" applyFill="1" applyBorder="1" applyAlignment="1">
      <alignment horizontal="center" wrapText="1"/>
    </xf>
    <xf numFmtId="3" fontId="107" fillId="2" borderId="7" xfId="0" applyNumberFormat="1" applyFont="1" applyFill="1" applyBorder="1" applyAlignment="1">
      <alignment horizontal="center" vertical="center" wrapText="1"/>
    </xf>
    <xf numFmtId="3" fontId="107" fillId="2" borderId="8" xfId="0" applyNumberFormat="1" applyFont="1" applyFill="1" applyBorder="1" applyAlignment="1">
      <alignment horizontal="center" vertical="center" wrapText="1"/>
    </xf>
    <xf numFmtId="0" fontId="117" fillId="0" borderId="0" xfId="0" applyFont="1"/>
    <xf numFmtId="170" fontId="25" fillId="0" borderId="1" xfId="0" applyNumberFormat="1" applyFont="1" applyBorder="1" applyAlignment="1">
      <alignment horizontal="right"/>
    </xf>
    <xf numFmtId="169" fontId="53" fillId="0" borderId="1" xfId="0" applyNumberFormat="1" applyFont="1" applyBorder="1" applyAlignment="1">
      <alignment horizontal="right"/>
    </xf>
    <xf numFmtId="38" fontId="25" fillId="0" borderId="1" xfId="0" applyNumberFormat="1" applyFont="1" applyBorder="1" applyAlignment="1">
      <alignment horizontal="right"/>
    </xf>
    <xf numFmtId="3" fontId="21" fillId="0" borderId="18" xfId="0" applyNumberFormat="1" applyFont="1" applyBorder="1" applyAlignment="1">
      <alignment horizontal="right"/>
    </xf>
    <xf numFmtId="3" fontId="65" fillId="8" borderId="2" xfId="0" applyNumberFormat="1" applyFont="1" applyFill="1" applyBorder="1" applyAlignment="1">
      <alignment horizontal="right"/>
    </xf>
    <xf numFmtId="164" fontId="49" fillId="2" borderId="2" xfId="0" applyNumberFormat="1" applyFont="1" applyFill="1" applyBorder="1" applyAlignment="1">
      <alignment horizontal="right"/>
    </xf>
    <xf numFmtId="0" fontId="17" fillId="0" borderId="2" xfId="0" applyFont="1" applyBorder="1"/>
    <xf numFmtId="0" fontId="59" fillId="4" borderId="1" xfId="0" applyFont="1" applyFill="1" applyBorder="1" applyAlignment="1">
      <alignment horizontal="left"/>
    </xf>
    <xf numFmtId="3" fontId="59" fillId="4" borderId="1" xfId="0" applyNumberFormat="1" applyFont="1" applyFill="1" applyBorder="1" applyAlignment="1">
      <alignment horizontal="left" vertical="center"/>
    </xf>
    <xf numFmtId="164" fontId="17" fillId="2" borderId="18" xfId="0" applyNumberFormat="1" applyFont="1" applyFill="1" applyBorder="1" applyAlignment="1">
      <alignment horizontal="right" wrapText="1"/>
    </xf>
    <xf numFmtId="166" fontId="65" fillId="8" borderId="2" xfId="0" applyNumberFormat="1" applyFont="1" applyFill="1" applyBorder="1" applyAlignment="1">
      <alignment horizontal="right"/>
    </xf>
    <xf numFmtId="172" fontId="35" fillId="2" borderId="1" xfId="0" applyNumberFormat="1" applyFont="1" applyFill="1" applyBorder="1" applyAlignment="1">
      <alignment horizontal="right"/>
    </xf>
    <xf numFmtId="0" fontId="48" fillId="0" borderId="5" xfId="2" applyFont="1" applyBorder="1" applyAlignment="1">
      <alignment readingOrder="1"/>
    </xf>
    <xf numFmtId="0" fontId="47" fillId="0" borderId="5" xfId="2" applyFont="1" applyBorder="1" applyAlignment="1">
      <alignment readingOrder="1"/>
    </xf>
    <xf numFmtId="1" fontId="30" fillId="0" borderId="2" xfId="0" applyNumberFormat="1" applyFont="1" applyBorder="1" applyAlignment="1">
      <alignment horizontal="center"/>
    </xf>
    <xf numFmtId="0" fontId="0" fillId="0" borderId="0" xfId="0" applyAlignment="1">
      <alignment horizontal="right" wrapText="1"/>
    </xf>
    <xf numFmtId="164" fontId="75" fillId="0" borderId="0" xfId="0" applyNumberFormat="1" applyFont="1" applyAlignment="1">
      <alignment horizontal="right"/>
    </xf>
    <xf numFmtId="3" fontId="75" fillId="0" borderId="0" xfId="0" applyNumberFormat="1" applyFont="1" applyAlignment="1">
      <alignment horizontal="right"/>
    </xf>
    <xf numFmtId="164" fontId="119" fillId="2" borderId="1" xfId="0" applyNumberFormat="1" applyFont="1" applyFill="1" applyBorder="1" applyAlignment="1">
      <alignment horizontal="right" wrapText="1"/>
    </xf>
    <xf numFmtId="0" fontId="0" fillId="31" borderId="1" xfId="0" applyFill="1" applyBorder="1" applyAlignment="1">
      <alignment horizontal="center" vertical="center" wrapText="1"/>
    </xf>
    <xf numFmtId="0" fontId="0" fillId="20" borderId="39" xfId="0" applyFill="1" applyBorder="1" applyAlignment="1">
      <alignment horizontal="center" vertical="center" wrapText="1"/>
    </xf>
    <xf numFmtId="0" fontId="0" fillId="20" borderId="40" xfId="0" applyFill="1" applyBorder="1" applyAlignment="1">
      <alignment horizontal="center" vertical="center" wrapText="1"/>
    </xf>
    <xf numFmtId="0" fontId="0" fillId="20" borderId="46" xfId="0" applyFill="1" applyBorder="1" applyAlignment="1">
      <alignment horizontal="center" vertical="center" wrapText="1"/>
    </xf>
    <xf numFmtId="3" fontId="42" fillId="2" borderId="9" xfId="0" applyNumberFormat="1" applyFont="1" applyFill="1" applyBorder="1" applyAlignment="1">
      <alignment vertical="center" wrapText="1"/>
    </xf>
    <xf numFmtId="3" fontId="120" fillId="2" borderId="9" xfId="0" applyNumberFormat="1" applyFont="1" applyFill="1" applyBorder="1" applyAlignment="1">
      <alignment horizontal="center" vertical="center" wrapText="1"/>
    </xf>
    <xf numFmtId="176" fontId="54" fillId="0" borderId="2" xfId="0" applyNumberFormat="1" applyFont="1" applyBorder="1" applyAlignment="1">
      <alignment horizontal="right"/>
    </xf>
    <xf numFmtId="3" fontId="25" fillId="0" borderId="19" xfId="0" applyNumberFormat="1" applyFont="1" applyBorder="1" applyAlignment="1">
      <alignment horizontal="right"/>
    </xf>
    <xf numFmtId="3" fontId="65" fillId="0" borderId="19" xfId="0" applyNumberFormat="1" applyFont="1" applyBorder="1" applyAlignment="1">
      <alignment horizontal="right"/>
    </xf>
    <xf numFmtId="3" fontId="35" fillId="9" borderId="11" xfId="0" applyNumberFormat="1" applyFont="1" applyFill="1" applyBorder="1" applyAlignment="1">
      <alignment horizontal="right"/>
    </xf>
    <xf numFmtId="3" fontId="25" fillId="0" borderId="47" xfId="0" applyNumberFormat="1" applyFont="1" applyBorder="1" applyAlignment="1">
      <alignment horizontal="right"/>
    </xf>
    <xf numFmtId="3" fontId="20" fillId="19" borderId="1" xfId="0" applyNumberFormat="1" applyFont="1" applyFill="1" applyBorder="1" applyAlignment="1">
      <alignment horizontal="right"/>
    </xf>
    <xf numFmtId="4" fontId="27" fillId="19" borderId="1" xfId="0" applyNumberFormat="1" applyFont="1" applyFill="1" applyBorder="1" applyAlignment="1">
      <alignment horizontal="right"/>
    </xf>
    <xf numFmtId="3" fontId="27" fillId="19" borderId="1" xfId="0" applyNumberFormat="1" applyFont="1" applyFill="1" applyBorder="1" applyAlignment="1">
      <alignment horizontal="right"/>
    </xf>
    <xf numFmtId="177" fontId="72" fillId="2" borderId="2" xfId="0" applyNumberFormat="1" applyFont="1" applyFill="1" applyBorder="1" applyAlignment="1">
      <alignment horizontal="center"/>
    </xf>
    <xf numFmtId="0" fontId="30" fillId="8" borderId="16" xfId="0" applyFont="1" applyFill="1" applyBorder="1" applyAlignment="1">
      <alignment horizontal="center" vertical="center"/>
    </xf>
    <xf numFmtId="3" fontId="21" fillId="0" borderId="29" xfId="0" applyNumberFormat="1" applyFon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3" fontId="42" fillId="2" borderId="2" xfId="0" applyNumberFormat="1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3" fontId="42" fillId="2" borderId="13" xfId="0" applyNumberFormat="1" applyFont="1" applyFill="1" applyBorder="1" applyAlignment="1">
      <alignment horizontal="center" vertical="center" wrapText="1"/>
    </xf>
    <xf numFmtId="3" fontId="123" fillId="6" borderId="11" xfId="0" applyNumberFormat="1" applyFont="1" applyFill="1" applyBorder="1" applyAlignment="1">
      <alignment horizontal="center" vertical="center" wrapText="1" readingOrder="2"/>
    </xf>
    <xf numFmtId="166" fontId="56" fillId="20" borderId="37" xfId="0" applyNumberFormat="1" applyFont="1" applyFill="1" applyBorder="1" applyAlignment="1">
      <alignment horizontal="center" vertical="center"/>
    </xf>
    <xf numFmtId="164" fontId="57" fillId="7" borderId="2" xfId="0" applyNumberFormat="1" applyFont="1" applyFill="1" applyBorder="1" applyAlignment="1">
      <alignment horizontal="center"/>
    </xf>
    <xf numFmtId="38" fontId="23" fillId="25" borderId="1" xfId="0" applyNumberFormat="1" applyFont="1" applyFill="1" applyBorder="1" applyAlignment="1">
      <alignment horizontal="right"/>
    </xf>
    <xf numFmtId="164" fontId="35" fillId="2" borderId="2" xfId="0" applyNumberFormat="1" applyFont="1" applyFill="1" applyBorder="1" applyAlignment="1">
      <alignment horizontal="center" vertical="center" wrapText="1"/>
    </xf>
    <xf numFmtId="164" fontId="67" fillId="2" borderId="2" xfId="0" applyNumberFormat="1" applyFont="1" applyFill="1" applyBorder="1" applyAlignment="1">
      <alignment horizontal="center" vertical="center" wrapText="1"/>
    </xf>
    <xf numFmtId="164" fontId="92" fillId="2" borderId="24" xfId="0" applyNumberFormat="1" applyFont="1" applyFill="1" applyBorder="1" applyAlignment="1">
      <alignment horizontal="center" vertical="center" wrapText="1"/>
    </xf>
    <xf numFmtId="0" fontId="65" fillId="0" borderId="2" xfId="0" applyFont="1" applyBorder="1" applyAlignment="1">
      <alignment wrapText="1"/>
    </xf>
    <xf numFmtId="0" fontId="124" fillId="0" borderId="2" xfId="2" applyFont="1" applyBorder="1" applyAlignment="1">
      <alignment readingOrder="1"/>
    </xf>
    <xf numFmtId="164" fontId="64" fillId="19" borderId="5" xfId="0" applyNumberFormat="1" applyFont="1" applyFill="1" applyBorder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183" fontId="33" fillId="0" borderId="0" xfId="0" applyNumberFormat="1" applyFont="1" applyAlignment="1">
      <alignment horizontal="center" vertical="center"/>
    </xf>
    <xf numFmtId="0" fontId="57" fillId="2" borderId="2" xfId="0" applyFont="1" applyFill="1" applyBorder="1" applyAlignment="1">
      <alignment horizontal="center"/>
    </xf>
    <xf numFmtId="0" fontId="57" fillId="0" borderId="0" xfId="0" applyFont="1" applyAlignment="1">
      <alignment horizontal="center"/>
    </xf>
    <xf numFmtId="3" fontId="120" fillId="2" borderId="11" xfId="0" applyNumberFormat="1" applyFont="1" applyFill="1" applyBorder="1" applyAlignment="1">
      <alignment horizontal="center" vertical="center" wrapText="1"/>
    </xf>
    <xf numFmtId="0" fontId="24" fillId="21" borderId="0" xfId="0" applyFont="1" applyFill="1"/>
    <xf numFmtId="171" fontId="32" fillId="2" borderId="2" xfId="0" applyNumberFormat="1" applyFont="1" applyFill="1" applyBorder="1" applyAlignment="1">
      <alignment horizontal="right"/>
    </xf>
    <xf numFmtId="9" fontId="87" fillId="2" borderId="2" xfId="0" applyNumberFormat="1" applyFont="1" applyFill="1" applyBorder="1" applyAlignment="1">
      <alignment horizontal="right"/>
    </xf>
    <xf numFmtId="164" fontId="24" fillId="19" borderId="1" xfId="0" applyNumberFormat="1" applyFont="1" applyFill="1" applyBorder="1" applyAlignment="1">
      <alignment horizontal="right"/>
    </xf>
    <xf numFmtId="164" fontId="14" fillId="2" borderId="2" xfId="0" applyNumberFormat="1" applyFont="1" applyFill="1" applyBorder="1" applyAlignment="1">
      <alignment horizontal="right"/>
    </xf>
    <xf numFmtId="164" fontId="32" fillId="17" borderId="32" xfId="0" applyNumberFormat="1" applyFont="1" applyFill="1" applyBorder="1" applyAlignment="1">
      <alignment horizontal="right" wrapText="1"/>
    </xf>
    <xf numFmtId="3" fontId="85" fillId="23" borderId="12" xfId="0" applyNumberFormat="1" applyFont="1" applyFill="1" applyBorder="1" applyAlignment="1">
      <alignment horizontal="right"/>
    </xf>
    <xf numFmtId="177" fontId="72" fillId="2" borderId="2" xfId="0" applyNumberFormat="1" applyFont="1" applyFill="1" applyBorder="1" applyAlignment="1">
      <alignment horizontal="center" vertical="center"/>
    </xf>
    <xf numFmtId="3" fontId="69" fillId="2" borderId="0" xfId="0" applyNumberFormat="1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76" fillId="19" borderId="11" xfId="0" applyFont="1" applyFill="1" applyBorder="1" applyAlignment="1">
      <alignment horizontal="center"/>
    </xf>
    <xf numFmtId="3" fontId="107" fillId="17" borderId="15" xfId="0" applyNumberFormat="1" applyFont="1" applyFill="1" applyBorder="1" applyAlignment="1">
      <alignment horizontal="center" vertical="center" wrapText="1"/>
    </xf>
    <xf numFmtId="3" fontId="107" fillId="17" borderId="16" xfId="0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66" fontId="126" fillId="17" borderId="20" xfId="0" applyNumberFormat="1" applyFont="1" applyFill="1" applyBorder="1" applyAlignment="1">
      <alignment horizontal="center" vertical="center"/>
    </xf>
    <xf numFmtId="166" fontId="127" fillId="17" borderId="20" xfId="0" applyNumberFormat="1" applyFont="1" applyFill="1" applyBorder="1" applyAlignment="1">
      <alignment horizontal="center" vertical="center"/>
    </xf>
    <xf numFmtId="165" fontId="17" fillId="22" borderId="1" xfId="0" applyNumberFormat="1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left" vertical="center"/>
    </xf>
    <xf numFmtId="10" fontId="17" fillId="2" borderId="1" xfId="0" applyNumberFormat="1" applyFont="1" applyFill="1" applyBorder="1" applyAlignment="1">
      <alignment horizontal="right"/>
    </xf>
    <xf numFmtId="0" fontId="38" fillId="2" borderId="1" xfId="0" applyFont="1" applyFill="1" applyBorder="1" applyAlignment="1">
      <alignment horizontal="center"/>
    </xf>
    <xf numFmtId="166" fontId="22" fillId="2" borderId="1" xfId="0" applyNumberFormat="1" applyFont="1" applyFill="1" applyBorder="1" applyAlignment="1">
      <alignment horizontal="right" wrapText="1"/>
    </xf>
    <xf numFmtId="3" fontId="16" fillId="2" borderId="1" xfId="0" applyNumberFormat="1" applyFont="1" applyFill="1" applyBorder="1" applyAlignment="1">
      <alignment horizontal="right"/>
    </xf>
    <xf numFmtId="3" fontId="23" fillId="2" borderId="1" xfId="0" applyNumberFormat="1" applyFont="1" applyFill="1" applyBorder="1" applyAlignment="1">
      <alignment horizontal="right"/>
    </xf>
    <xf numFmtId="3" fontId="14" fillId="2" borderId="1" xfId="0" applyNumberFormat="1" applyFont="1" applyFill="1" applyBorder="1" applyAlignment="1">
      <alignment horizontal="right"/>
    </xf>
    <xf numFmtId="166" fontId="14" fillId="2" borderId="1" xfId="0" applyNumberFormat="1" applyFont="1" applyFill="1" applyBorder="1" applyAlignment="1">
      <alignment horizontal="right"/>
    </xf>
    <xf numFmtId="167" fontId="14" fillId="2" borderId="1" xfId="0" applyNumberFormat="1" applyFont="1" applyFill="1" applyBorder="1" applyAlignment="1">
      <alignment horizontal="right"/>
    </xf>
    <xf numFmtId="2" fontId="37" fillId="2" borderId="1" xfId="0" applyNumberFormat="1" applyFont="1" applyFill="1" applyBorder="1" applyAlignment="1">
      <alignment horizontal="left" vertical="center"/>
    </xf>
    <xf numFmtId="3" fontId="14" fillId="2" borderId="41" xfId="0" applyNumberFormat="1" applyFont="1" applyFill="1" applyBorder="1" applyAlignment="1">
      <alignment horizontal="right"/>
    </xf>
    <xf numFmtId="0" fontId="59" fillId="2" borderId="1" xfId="0" applyFont="1" applyFill="1" applyBorder="1" applyAlignment="1">
      <alignment horizontal="left"/>
    </xf>
    <xf numFmtId="3" fontId="59" fillId="2" borderId="1" xfId="0" applyNumberFormat="1" applyFont="1" applyFill="1" applyBorder="1" applyAlignment="1">
      <alignment horizontal="left" vertical="center"/>
    </xf>
    <xf numFmtId="0" fontId="14" fillId="2" borderId="19" xfId="0" applyFont="1" applyFill="1" applyBorder="1"/>
    <xf numFmtId="0" fontId="110" fillId="2" borderId="2" xfId="0" applyFont="1" applyFill="1" applyBorder="1" applyAlignment="1">
      <alignment horizontal="center" vertical="center" wrapText="1"/>
    </xf>
    <xf numFmtId="38" fontId="72" fillId="28" borderId="1" xfId="0" applyNumberFormat="1" applyFont="1" applyFill="1" applyBorder="1" applyAlignment="1">
      <alignment horizontal="right"/>
    </xf>
    <xf numFmtId="40" fontId="72" fillId="28" borderId="1" xfId="0" applyNumberFormat="1" applyFont="1" applyFill="1" applyBorder="1" applyAlignment="1">
      <alignment horizontal="right"/>
    </xf>
    <xf numFmtId="38" fontId="23" fillId="27" borderId="1" xfId="0" applyNumberFormat="1" applyFont="1" applyFill="1" applyBorder="1" applyAlignment="1">
      <alignment horizontal="right"/>
    </xf>
    <xf numFmtId="38" fontId="25" fillId="2" borderId="1" xfId="0" applyNumberFormat="1" applyFont="1" applyFill="1" applyBorder="1" applyAlignment="1">
      <alignment horizontal="right"/>
    </xf>
    <xf numFmtId="164" fontId="64" fillId="8" borderId="2" xfId="0" applyNumberFormat="1" applyFont="1" applyFill="1" applyBorder="1" applyAlignment="1">
      <alignment horizontal="right"/>
    </xf>
    <xf numFmtId="0" fontId="0" fillId="2" borderId="1" xfId="0" applyFill="1" applyBorder="1"/>
    <xf numFmtId="179" fontId="83" fillId="2" borderId="1" xfId="0" applyNumberFormat="1" applyFont="1" applyFill="1" applyBorder="1"/>
    <xf numFmtId="166" fontId="71" fillId="0" borderId="1" xfId="0" applyNumberFormat="1" applyFont="1" applyBorder="1" applyAlignment="1">
      <alignment horizontal="right"/>
    </xf>
    <xf numFmtId="164" fontId="25" fillId="2" borderId="1" xfId="0" applyNumberFormat="1" applyFont="1" applyFill="1" applyBorder="1" applyAlignment="1">
      <alignment horizontal="right"/>
    </xf>
    <xf numFmtId="177" fontId="25" fillId="2" borderId="5" xfId="0" applyNumberFormat="1" applyFont="1" applyFill="1" applyBorder="1"/>
    <xf numFmtId="9" fontId="89" fillId="2" borderId="1" xfId="0" applyNumberFormat="1" applyFont="1" applyFill="1" applyBorder="1" applyAlignment="1">
      <alignment horizontal="right"/>
    </xf>
    <xf numFmtId="177" fontId="25" fillId="7" borderId="1" xfId="0" applyNumberFormat="1" applyFont="1" applyFill="1" applyBorder="1" applyAlignment="1">
      <alignment horizontal="right"/>
    </xf>
    <xf numFmtId="164" fontId="25" fillId="7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14" fillId="7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29" fillId="2" borderId="1" xfId="0" applyFont="1" applyFill="1" applyBorder="1" applyAlignment="1">
      <alignment horizontal="right"/>
    </xf>
    <xf numFmtId="2" fontId="35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3" fontId="17" fillId="2" borderId="1" xfId="0" applyNumberFormat="1" applyFont="1" applyFill="1" applyBorder="1" applyAlignment="1">
      <alignment horizontal="right"/>
    </xf>
    <xf numFmtId="178" fontId="25" fillId="2" borderId="1" xfId="0" applyNumberFormat="1" applyFont="1" applyFill="1" applyBorder="1" applyAlignment="1">
      <alignment horizontal="right"/>
    </xf>
    <xf numFmtId="3" fontId="118" fillId="7" borderId="1" xfId="0" applyNumberFormat="1" applyFont="1" applyFill="1" applyBorder="1" applyAlignment="1">
      <alignment horizontal="right"/>
    </xf>
    <xf numFmtId="3" fontId="44" fillId="16" borderId="1" xfId="0" applyNumberFormat="1" applyFont="1" applyFill="1" applyBorder="1" applyAlignment="1">
      <alignment horizontal="right"/>
    </xf>
    <xf numFmtId="3" fontId="40" fillId="2" borderId="1" xfId="0" applyNumberFormat="1" applyFont="1" applyFill="1" applyBorder="1" applyAlignment="1">
      <alignment horizontal="right"/>
    </xf>
    <xf numFmtId="4" fontId="26" fillId="2" borderId="1" xfId="0" applyNumberFormat="1" applyFont="1" applyFill="1" applyBorder="1" applyAlignment="1">
      <alignment horizontal="right"/>
    </xf>
    <xf numFmtId="3" fontId="26" fillId="2" borderId="1" xfId="0" applyNumberFormat="1" applyFont="1" applyFill="1" applyBorder="1" applyAlignment="1">
      <alignment horizontal="right"/>
    </xf>
    <xf numFmtId="3" fontId="26" fillId="7" borderId="1" xfId="0" applyNumberFormat="1" applyFont="1" applyFill="1" applyBorder="1" applyAlignment="1">
      <alignment horizontal="right"/>
    </xf>
    <xf numFmtId="165" fontId="25" fillId="2" borderId="1" xfId="0" applyNumberFormat="1" applyFont="1" applyFill="1" applyBorder="1" applyAlignment="1">
      <alignment horizontal="right"/>
    </xf>
    <xf numFmtId="4" fontId="25" fillId="2" borderId="1" xfId="0" applyNumberFormat="1" applyFont="1" applyFill="1" applyBorder="1" applyAlignment="1">
      <alignment horizontal="right"/>
    </xf>
    <xf numFmtId="3" fontId="25" fillId="2" borderId="1" xfId="0" applyNumberFormat="1" applyFont="1" applyFill="1" applyBorder="1" applyAlignment="1">
      <alignment horizontal="right"/>
    </xf>
    <xf numFmtId="3" fontId="33" fillId="2" borderId="1" xfId="0" applyNumberFormat="1" applyFont="1" applyFill="1" applyBorder="1" applyAlignment="1">
      <alignment horizontal="right"/>
    </xf>
    <xf numFmtId="0" fontId="0" fillId="0" borderId="2" xfId="0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105" fillId="0" borderId="0" xfId="0" applyNumberFormat="1" applyFont="1" applyAlignment="1">
      <alignment horizontal="right"/>
    </xf>
    <xf numFmtId="3" fontId="129" fillId="2" borderId="9" xfId="0" applyNumberFormat="1" applyFont="1" applyFill="1" applyBorder="1" applyAlignment="1">
      <alignment horizontal="center" vertical="center" wrapText="1"/>
    </xf>
    <xf numFmtId="166" fontId="84" fillId="8" borderId="2" xfId="0" applyNumberFormat="1" applyFont="1" applyFill="1" applyBorder="1" applyAlignment="1">
      <alignment horizontal="right"/>
    </xf>
    <xf numFmtId="3" fontId="100" fillId="2" borderId="9" xfId="0" applyNumberFormat="1" applyFont="1" applyFill="1" applyBorder="1" applyAlignment="1">
      <alignment horizontal="center" vertical="center" wrapText="1"/>
    </xf>
    <xf numFmtId="166" fontId="65" fillId="8" borderId="5" xfId="0" applyNumberFormat="1" applyFont="1" applyFill="1" applyBorder="1" applyAlignment="1">
      <alignment horizontal="right"/>
    </xf>
    <xf numFmtId="166" fontId="25" fillId="8" borderId="5" xfId="0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3" fontId="70" fillId="0" borderId="0" xfId="0" applyNumberFormat="1" applyFont="1" applyAlignment="1">
      <alignment horizontal="center" vertical="center"/>
    </xf>
    <xf numFmtId="3" fontId="24" fillId="0" borderId="0" xfId="0" applyNumberFormat="1" applyFont="1"/>
    <xf numFmtId="10" fontId="85" fillId="0" borderId="0" xfId="0" applyNumberFormat="1" applyFont="1"/>
    <xf numFmtId="164" fontId="17" fillId="19" borderId="1" xfId="0" applyNumberFormat="1" applyFont="1" applyFill="1" applyBorder="1" applyAlignment="1">
      <alignment horizontal="right"/>
    </xf>
    <xf numFmtId="9" fontId="49" fillId="34" borderId="1" xfId="0" applyNumberFormat="1" applyFont="1" applyFill="1" applyBorder="1" applyAlignment="1">
      <alignment horizontal="right"/>
    </xf>
    <xf numFmtId="9" fontId="35" fillId="34" borderId="1" xfId="0" applyNumberFormat="1" applyFont="1" applyFill="1" applyBorder="1" applyAlignment="1">
      <alignment horizontal="right"/>
    </xf>
    <xf numFmtId="3" fontId="36" fillId="8" borderId="2" xfId="0" applyNumberFormat="1" applyFont="1" applyFill="1" applyBorder="1" applyAlignment="1">
      <alignment horizontal="right"/>
    </xf>
    <xf numFmtId="0" fontId="21" fillId="0" borderId="0" xfId="0" applyFont="1" applyAlignment="1">
      <alignment wrapText="1"/>
    </xf>
    <xf numFmtId="3" fontId="121" fillId="2" borderId="2" xfId="0" applyNumberFormat="1" applyFont="1" applyFill="1" applyBorder="1" applyAlignment="1">
      <alignment horizontal="center" vertical="center" wrapText="1"/>
    </xf>
    <xf numFmtId="3" fontId="129" fillId="2" borderId="2" xfId="0" applyNumberFormat="1" applyFont="1" applyFill="1" applyBorder="1" applyAlignment="1">
      <alignment horizontal="center" vertical="center" wrapText="1"/>
    </xf>
    <xf numFmtId="0" fontId="129" fillId="2" borderId="2" xfId="0" applyFont="1" applyFill="1" applyBorder="1" applyAlignment="1">
      <alignment horizontal="center" vertical="center" wrapText="1"/>
    </xf>
    <xf numFmtId="3" fontId="131" fillId="2" borderId="9" xfId="0" applyNumberFormat="1" applyFont="1" applyFill="1" applyBorder="1" applyAlignment="1">
      <alignment horizontal="center" vertical="center" wrapText="1"/>
    </xf>
    <xf numFmtId="3" fontId="129" fillId="2" borderId="18" xfId="0" applyNumberFormat="1" applyFont="1" applyFill="1" applyBorder="1" applyAlignment="1">
      <alignment horizontal="center" vertical="center" wrapText="1"/>
    </xf>
    <xf numFmtId="0" fontId="132" fillId="0" borderId="0" xfId="0" applyFont="1" applyAlignment="1">
      <alignment horizontal="center" vertical="top"/>
    </xf>
    <xf numFmtId="166" fontId="35" fillId="0" borderId="2" xfId="0" applyNumberFormat="1" applyFont="1" applyBorder="1" applyAlignment="1">
      <alignment horizontal="right"/>
    </xf>
    <xf numFmtId="3" fontId="69" fillId="17" borderId="11" xfId="0" applyNumberFormat="1" applyFont="1" applyFill="1" applyBorder="1" applyAlignment="1">
      <alignment horizontal="center" vertical="center" wrapText="1"/>
    </xf>
    <xf numFmtId="3" fontId="0" fillId="17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3" fontId="0" fillId="28" borderId="0" xfId="0" applyNumberFormat="1" applyFill="1" applyAlignment="1">
      <alignment horizontal="left"/>
    </xf>
    <xf numFmtId="3" fontId="70" fillId="28" borderId="0" xfId="0" applyNumberFormat="1" applyFont="1" applyFill="1" applyAlignment="1">
      <alignment horizontal="center" vertical="center"/>
    </xf>
    <xf numFmtId="0" fontId="0" fillId="28" borderId="0" xfId="0" applyFill="1" applyAlignment="1">
      <alignment horizontal="left"/>
    </xf>
    <xf numFmtId="3" fontId="24" fillId="28" borderId="0" xfId="0" applyNumberFormat="1" applyFont="1" applyFill="1" applyAlignment="1">
      <alignment horizontal="right"/>
    </xf>
    <xf numFmtId="3" fontId="24" fillId="28" borderId="0" xfId="0" applyNumberFormat="1" applyFont="1" applyFill="1"/>
    <xf numFmtId="10" fontId="85" fillId="28" borderId="0" xfId="0" applyNumberFormat="1" applyFont="1" applyFill="1"/>
    <xf numFmtId="0" fontId="0" fillId="29" borderId="0" xfId="0" applyFill="1" applyAlignment="1">
      <alignment horizontal="left"/>
    </xf>
    <xf numFmtId="3" fontId="35" fillId="29" borderId="0" xfId="0" applyNumberFormat="1" applyFont="1" applyFill="1" applyAlignment="1">
      <alignment horizontal="right"/>
    </xf>
    <xf numFmtId="166" fontId="25" fillId="16" borderId="37" xfId="0" applyNumberFormat="1" applyFont="1" applyFill="1" applyBorder="1" applyAlignment="1">
      <alignment horizontal="center" vertical="center"/>
    </xf>
    <xf numFmtId="166" fontId="25" fillId="0" borderId="3" xfId="0" applyNumberFormat="1" applyFont="1" applyBorder="1" applyAlignment="1">
      <alignment horizontal="right"/>
    </xf>
    <xf numFmtId="3" fontId="135" fillId="2" borderId="2" xfId="0" applyNumberFormat="1" applyFont="1" applyFill="1" applyBorder="1" applyAlignment="1">
      <alignment horizontal="center" vertical="center" wrapText="1"/>
    </xf>
    <xf numFmtId="0" fontId="98" fillId="2" borderId="2" xfId="0" applyFont="1" applyFill="1" applyBorder="1" applyAlignment="1">
      <alignment horizontal="center" vertical="center" wrapText="1"/>
    </xf>
    <xf numFmtId="3" fontId="24" fillId="17" borderId="3" xfId="0" applyNumberFormat="1" applyFont="1" applyFill="1" applyBorder="1" applyAlignment="1">
      <alignment wrapText="1"/>
    </xf>
    <xf numFmtId="3" fontId="24" fillId="17" borderId="11" xfId="0" applyNumberFormat="1" applyFont="1" applyFill="1" applyBorder="1" applyAlignment="1">
      <alignment wrapText="1"/>
    </xf>
    <xf numFmtId="3" fontId="25" fillId="2" borderId="3" xfId="0" applyNumberFormat="1" applyFont="1" applyFill="1" applyBorder="1" applyAlignment="1">
      <alignment horizontal="right"/>
    </xf>
    <xf numFmtId="3" fontId="25" fillId="2" borderId="3" xfId="0" applyNumberFormat="1" applyFont="1" applyFill="1" applyBorder="1" applyAlignment="1">
      <alignment horizontal="center" vertical="center"/>
    </xf>
    <xf numFmtId="166" fontId="25" fillId="0" borderId="24" xfId="0" applyNumberFormat="1" applyFont="1" applyBorder="1" applyAlignment="1">
      <alignment horizontal="right"/>
    </xf>
    <xf numFmtId="3" fontId="25" fillId="2" borderId="24" xfId="0" applyNumberFormat="1" applyFont="1" applyFill="1" applyBorder="1" applyAlignment="1">
      <alignment horizontal="right"/>
    </xf>
    <xf numFmtId="164" fontId="24" fillId="2" borderId="2" xfId="0" applyNumberFormat="1" applyFont="1" applyFill="1" applyBorder="1" applyAlignment="1">
      <alignment horizontal="center" vertical="center"/>
    </xf>
    <xf numFmtId="9" fontId="24" fillId="2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6" fontId="56" fillId="20" borderId="2" xfId="0" applyNumberFormat="1" applyFont="1" applyFill="1" applyBorder="1" applyAlignment="1">
      <alignment horizontal="center" vertical="center"/>
    </xf>
    <xf numFmtId="3" fontId="28" fillId="2" borderId="2" xfId="0" applyNumberFormat="1" applyFont="1" applyFill="1" applyBorder="1" applyAlignment="1">
      <alignment horizontal="right"/>
    </xf>
    <xf numFmtId="3" fontId="136" fillId="2" borderId="2" xfId="0" applyNumberFormat="1" applyFont="1" applyFill="1" applyBorder="1" applyAlignment="1">
      <alignment horizontal="right"/>
    </xf>
    <xf numFmtId="166" fontId="67" fillId="0" borderId="0" xfId="0" applyNumberFormat="1" applyFont="1"/>
    <xf numFmtId="3" fontId="65" fillId="0" borderId="0" xfId="0" applyNumberFormat="1" applyFont="1" applyAlignment="1">
      <alignment horizontal="right"/>
    </xf>
    <xf numFmtId="0" fontId="0" fillId="0" borderId="0" xfId="0" applyAlignment="1">
      <alignment horizontal="center" wrapText="1"/>
    </xf>
    <xf numFmtId="166" fontId="101" fillId="0" borderId="2" xfId="2" applyNumberFormat="1" applyFont="1" applyBorder="1" applyAlignment="1">
      <alignment readingOrder="1"/>
    </xf>
    <xf numFmtId="0" fontId="138" fillId="0" borderId="2" xfId="2" applyFont="1" applyBorder="1" applyAlignment="1">
      <alignment readingOrder="1"/>
    </xf>
    <xf numFmtId="0" fontId="75" fillId="0" borderId="0" xfId="0" applyFont="1" applyAlignment="1">
      <alignment horizontal="center" wrapText="1"/>
    </xf>
    <xf numFmtId="164" fontId="139" fillId="7" borderId="1" xfId="0" applyNumberFormat="1" applyFont="1" applyFill="1" applyBorder="1" applyAlignment="1">
      <alignment horizontal="right"/>
    </xf>
    <xf numFmtId="164" fontId="54" fillId="17" borderId="2" xfId="0" applyNumberFormat="1" applyFont="1" applyFill="1" applyBorder="1" applyAlignment="1">
      <alignment horizontal="right" wrapText="1"/>
    </xf>
    <xf numFmtId="164" fontId="54" fillId="8" borderId="2" xfId="0" applyNumberFormat="1" applyFont="1" applyFill="1" applyBorder="1" applyAlignment="1">
      <alignment horizontal="right" wrapText="1"/>
    </xf>
    <xf numFmtId="164" fontId="54" fillId="7" borderId="2" xfId="0" applyNumberFormat="1" applyFont="1" applyFill="1" applyBorder="1" applyAlignment="1">
      <alignment horizontal="right" wrapText="1"/>
    </xf>
    <xf numFmtId="164" fontId="130" fillId="16" borderId="2" xfId="2" applyNumberFormat="1" applyFont="1" applyFill="1" applyBorder="1" applyAlignment="1">
      <alignment readingOrder="1"/>
    </xf>
    <xf numFmtId="166" fontId="54" fillId="0" borderId="2" xfId="0" applyNumberFormat="1" applyFont="1" applyBorder="1" applyAlignment="1">
      <alignment horizontal="right"/>
    </xf>
    <xf numFmtId="172" fontId="49" fillId="2" borderId="1" xfId="0" applyNumberFormat="1" applyFont="1" applyFill="1" applyBorder="1" applyAlignment="1">
      <alignment horizontal="right" wrapText="1"/>
    </xf>
    <xf numFmtId="177" fontId="24" fillId="2" borderId="1" xfId="0" applyNumberFormat="1" applyFont="1" applyFill="1" applyBorder="1" applyAlignment="1">
      <alignment horizontal="center" vertical="center"/>
    </xf>
    <xf numFmtId="40" fontId="54" fillId="0" borderId="2" xfId="0" applyNumberFormat="1" applyFont="1" applyBorder="1" applyAlignment="1">
      <alignment horizontal="right"/>
    </xf>
    <xf numFmtId="0" fontId="17" fillId="0" borderId="0" xfId="0" applyFont="1" applyAlignment="1">
      <alignment horizontal="right"/>
    </xf>
    <xf numFmtId="181" fontId="0" fillId="0" borderId="0" xfId="0" applyNumberFormat="1" applyAlignment="1">
      <alignment horizontal="right"/>
    </xf>
    <xf numFmtId="166" fontId="35" fillId="2" borderId="2" xfId="0" applyNumberFormat="1" applyFont="1" applyFill="1" applyBorder="1" applyAlignment="1">
      <alignment horizontal="right"/>
    </xf>
    <xf numFmtId="40" fontId="137" fillId="0" borderId="2" xfId="0" applyNumberFormat="1" applyFont="1" applyBorder="1" applyAlignment="1">
      <alignment horizontal="right"/>
    </xf>
    <xf numFmtId="40" fontId="25" fillId="0" borderId="2" xfId="0" applyNumberFormat="1" applyFont="1" applyBorder="1" applyAlignment="1">
      <alignment horizontal="right"/>
    </xf>
    <xf numFmtId="166" fontId="0" fillId="0" borderId="0" xfId="0" applyNumberFormat="1" applyAlignment="1">
      <alignment horizontal="center" vertical="center"/>
    </xf>
    <xf numFmtId="3" fontId="49" fillId="17" borderId="2" xfId="0" applyNumberFormat="1" applyFont="1" applyFill="1" applyBorder="1" applyAlignment="1">
      <alignment horizontal="center" vertical="center"/>
    </xf>
    <xf numFmtId="3" fontId="57" fillId="17" borderId="2" xfId="0" applyNumberFormat="1" applyFont="1" applyFill="1" applyBorder="1" applyAlignment="1">
      <alignment horizontal="center" vertical="center"/>
    </xf>
    <xf numFmtId="3" fontId="32" fillId="17" borderId="2" xfId="0" applyNumberFormat="1" applyFont="1" applyFill="1" applyBorder="1" applyAlignment="1">
      <alignment horizontal="center" vertical="center"/>
    </xf>
    <xf numFmtId="3" fontId="15" fillId="17" borderId="9" xfId="0" applyNumberFormat="1" applyFont="1" applyFill="1" applyBorder="1" applyAlignment="1">
      <alignment horizontal="center" vertical="center" wrapText="1"/>
    </xf>
    <xf numFmtId="166" fontId="14" fillId="3" borderId="40" xfId="0" applyNumberFormat="1" applyFont="1" applyFill="1" applyBorder="1" applyAlignment="1">
      <alignment horizontal="center" vertical="center" wrapText="1"/>
    </xf>
    <xf numFmtId="3" fontId="142" fillId="17" borderId="9" xfId="0" applyNumberFormat="1" applyFont="1" applyFill="1" applyBorder="1" applyAlignment="1">
      <alignment horizontal="center" vertical="center" wrapText="1"/>
    </xf>
    <xf numFmtId="3" fontId="107" fillId="17" borderId="0" xfId="0" applyNumberFormat="1" applyFont="1" applyFill="1" applyAlignment="1">
      <alignment horizontal="center" vertical="center" wrapText="1"/>
    </xf>
    <xf numFmtId="3" fontId="69" fillId="17" borderId="9" xfId="0" applyNumberFormat="1" applyFont="1" applyFill="1" applyBorder="1" applyAlignment="1">
      <alignment horizontal="center" vertical="center" wrapText="1"/>
    </xf>
    <xf numFmtId="3" fontId="129" fillId="17" borderId="9" xfId="0" applyNumberFormat="1" applyFont="1" applyFill="1" applyBorder="1" applyAlignment="1">
      <alignment horizontal="center" vertical="center" wrapText="1"/>
    </xf>
    <xf numFmtId="3" fontId="24" fillId="9" borderId="11" xfId="0" applyNumberFormat="1" applyFont="1" applyFill="1" applyBorder="1" applyAlignment="1">
      <alignment horizontal="right"/>
    </xf>
    <xf numFmtId="3" fontId="85" fillId="23" borderId="2" xfId="0" applyNumberFormat="1" applyFont="1" applyFill="1" applyBorder="1" applyAlignment="1">
      <alignment horizontal="right"/>
    </xf>
    <xf numFmtId="3" fontId="85" fillId="13" borderId="2" xfId="0" applyNumberFormat="1" applyFont="1" applyFill="1" applyBorder="1" applyAlignment="1">
      <alignment horizontal="right"/>
    </xf>
    <xf numFmtId="3" fontId="33" fillId="0" borderId="0" xfId="0" applyNumberFormat="1" applyFont="1" applyAlignment="1">
      <alignment horizontal="left"/>
    </xf>
    <xf numFmtId="2" fontId="80" fillId="0" borderId="0" xfId="0" applyNumberFormat="1" applyFont="1"/>
    <xf numFmtId="3" fontId="72" fillId="0" borderId="0" xfId="0" applyNumberFormat="1" applyFont="1" applyAlignment="1">
      <alignment horizontal="right"/>
    </xf>
    <xf numFmtId="164" fontId="64" fillId="38" borderId="1" xfId="0" applyNumberFormat="1" applyFont="1" applyFill="1" applyBorder="1" applyAlignment="1">
      <alignment horizontal="center"/>
    </xf>
    <xf numFmtId="164" fontId="54" fillId="17" borderId="1" xfId="0" applyNumberFormat="1" applyFont="1" applyFill="1" applyBorder="1" applyAlignment="1">
      <alignment horizontal="right" wrapText="1"/>
    </xf>
    <xf numFmtId="166" fontId="101" fillId="0" borderId="1" xfId="2" applyNumberFormat="1" applyFont="1" applyBorder="1" applyAlignment="1">
      <alignment readingOrder="1"/>
    </xf>
    <xf numFmtId="164" fontId="54" fillId="8" borderId="1" xfId="0" applyNumberFormat="1" applyFont="1" applyFill="1" applyBorder="1" applyAlignment="1">
      <alignment horizontal="right" wrapText="1"/>
    </xf>
    <xf numFmtId="164" fontId="54" fillId="7" borderId="1" xfId="0" applyNumberFormat="1" applyFont="1" applyFill="1" applyBorder="1" applyAlignment="1">
      <alignment horizontal="right" wrapText="1"/>
    </xf>
    <xf numFmtId="38" fontId="101" fillId="0" borderId="2" xfId="2" applyNumberFormat="1" applyFont="1" applyBorder="1" applyAlignment="1">
      <alignment readingOrder="1"/>
    </xf>
    <xf numFmtId="0" fontId="76" fillId="2" borderId="9" xfId="0" applyFont="1" applyFill="1" applyBorder="1" applyAlignment="1">
      <alignment horizontal="center" wrapText="1"/>
    </xf>
    <xf numFmtId="166" fontId="24" fillId="2" borderId="3" xfId="0" applyNumberFormat="1" applyFont="1" applyFill="1" applyBorder="1" applyAlignment="1">
      <alignment horizontal="center" vertical="center"/>
    </xf>
    <xf numFmtId="38" fontId="29" fillId="0" borderId="0" xfId="0" applyNumberFormat="1" applyFont="1" applyAlignment="1">
      <alignment horizontal="right"/>
    </xf>
    <xf numFmtId="3" fontId="92" fillId="0" borderId="0" xfId="0" applyNumberFormat="1" applyFont="1" applyAlignment="1">
      <alignment horizontal="right"/>
    </xf>
    <xf numFmtId="0" fontId="0" fillId="0" borderId="2" xfId="0" applyBorder="1" applyAlignment="1">
      <alignment horizontal="right"/>
    </xf>
    <xf numFmtId="3" fontId="30" fillId="16" borderId="2" xfId="0" applyNumberFormat="1" applyFont="1" applyFill="1" applyBorder="1" applyAlignment="1">
      <alignment horizontal="right"/>
    </xf>
    <xf numFmtId="164" fontId="35" fillId="2" borderId="1" xfId="0" applyNumberFormat="1" applyFont="1" applyFill="1" applyBorder="1" applyAlignment="1">
      <alignment horizontal="center" wrapText="1"/>
    </xf>
    <xf numFmtId="172" fontId="49" fillId="2" borderId="1" xfId="0" applyNumberFormat="1" applyFont="1" applyFill="1" applyBorder="1" applyAlignment="1">
      <alignment horizontal="center" wrapText="1"/>
    </xf>
    <xf numFmtId="0" fontId="91" fillId="2" borderId="0" xfId="0" applyFont="1" applyFill="1" applyAlignment="1">
      <alignment horizontal="center" vertical="center"/>
    </xf>
    <xf numFmtId="164" fontId="14" fillId="2" borderId="3" xfId="0" applyNumberFormat="1" applyFont="1" applyFill="1" applyBorder="1" applyAlignment="1">
      <alignment horizontal="center" vertical="center"/>
    </xf>
    <xf numFmtId="3" fontId="134" fillId="2" borderId="7" xfId="0" applyNumberFormat="1" applyFont="1" applyFill="1" applyBorder="1" applyAlignment="1">
      <alignment horizontal="center" vertical="center"/>
    </xf>
    <xf numFmtId="166" fontId="32" fillId="2" borderId="5" xfId="0" applyNumberFormat="1" applyFont="1" applyFill="1" applyBorder="1" applyAlignment="1">
      <alignment horizontal="right" wrapText="1"/>
    </xf>
    <xf numFmtId="166" fontId="32" fillId="2" borderId="4" xfId="0" applyNumberFormat="1" applyFont="1" applyFill="1" applyBorder="1" applyAlignment="1">
      <alignment horizontal="right" wrapText="1"/>
    </xf>
    <xf numFmtId="166" fontId="32" fillId="2" borderId="52" xfId="0" applyNumberFormat="1" applyFont="1" applyFill="1" applyBorder="1" applyAlignment="1">
      <alignment horizontal="right" wrapText="1"/>
    </xf>
    <xf numFmtId="166" fontId="86" fillId="2" borderId="0" xfId="0" applyNumberFormat="1" applyFont="1" applyFill="1" applyAlignment="1">
      <alignment horizontal="right" wrapText="1"/>
    </xf>
    <xf numFmtId="166" fontId="86" fillId="2" borderId="1" xfId="0" applyNumberFormat="1" applyFont="1" applyFill="1" applyBorder="1" applyAlignment="1">
      <alignment horizontal="right" wrapText="1"/>
    </xf>
    <xf numFmtId="0" fontId="0" fillId="2" borderId="0" xfId="0" applyFill="1" applyAlignment="1">
      <alignment horizontal="right"/>
    </xf>
    <xf numFmtId="0" fontId="76" fillId="25" borderId="12" xfId="0" applyFont="1" applyFill="1" applyBorder="1" applyAlignment="1">
      <alignment horizontal="center"/>
    </xf>
    <xf numFmtId="164" fontId="32" fillId="25" borderId="20" xfId="0" applyNumberFormat="1" applyFont="1" applyFill="1" applyBorder="1" applyAlignment="1">
      <alignment horizontal="right" wrapText="1"/>
    </xf>
    <xf numFmtId="164" fontId="32" fillId="25" borderId="32" xfId="0" applyNumberFormat="1" applyFont="1" applyFill="1" applyBorder="1" applyAlignment="1">
      <alignment horizontal="right" wrapText="1"/>
    </xf>
    <xf numFmtId="166" fontId="49" fillId="25" borderId="1" xfId="0" applyNumberFormat="1" applyFont="1" applyFill="1" applyBorder="1" applyAlignment="1">
      <alignment horizontal="right" wrapText="1"/>
    </xf>
    <xf numFmtId="3" fontId="0" fillId="25" borderId="0" xfId="0" applyNumberFormat="1" applyFill="1" applyAlignment="1">
      <alignment horizontal="left"/>
    </xf>
    <xf numFmtId="3" fontId="70" fillId="25" borderId="0" xfId="0" applyNumberFormat="1" applyFont="1" applyFill="1" applyAlignment="1">
      <alignment horizontal="center" vertical="center"/>
    </xf>
    <xf numFmtId="0" fontId="0" fillId="25" borderId="0" xfId="0" applyFill="1" applyAlignment="1">
      <alignment horizontal="left"/>
    </xf>
    <xf numFmtId="3" fontId="24" fillId="25" borderId="0" xfId="0" applyNumberFormat="1" applyFont="1" applyFill="1" applyAlignment="1">
      <alignment horizontal="right"/>
    </xf>
    <xf numFmtId="3" fontId="24" fillId="25" borderId="0" xfId="0" applyNumberFormat="1" applyFont="1" applyFill="1"/>
    <xf numFmtId="166" fontId="49" fillId="25" borderId="38" xfId="0" applyNumberFormat="1" applyFont="1" applyFill="1" applyBorder="1" applyAlignment="1">
      <alignment horizontal="right" wrapText="1"/>
    </xf>
    <xf numFmtId="3" fontId="85" fillId="25" borderId="20" xfId="0" applyNumberFormat="1" applyFont="1" applyFill="1" applyBorder="1" applyAlignment="1">
      <alignment horizontal="right"/>
    </xf>
    <xf numFmtId="3" fontId="85" fillId="25" borderId="12" xfId="0" applyNumberFormat="1" applyFont="1" applyFill="1" applyBorder="1" applyAlignment="1">
      <alignment horizontal="right"/>
    </xf>
    <xf numFmtId="166" fontId="14" fillId="2" borderId="3" xfId="0" applyNumberFormat="1" applyFont="1" applyFill="1" applyBorder="1" applyAlignment="1">
      <alignment horizontal="center" vertical="center" wrapText="1"/>
    </xf>
    <xf numFmtId="3" fontId="95" fillId="2" borderId="7" xfId="0" applyNumberFormat="1" applyFont="1" applyFill="1" applyBorder="1" applyAlignment="1">
      <alignment horizontal="center" vertical="center" wrapText="1"/>
    </xf>
    <xf numFmtId="3" fontId="99" fillId="2" borderId="41" xfId="0" applyNumberFormat="1" applyFont="1" applyFill="1" applyBorder="1" applyAlignment="1">
      <alignment horizontal="right"/>
    </xf>
    <xf numFmtId="3" fontId="24" fillId="2" borderId="0" xfId="0" applyNumberFormat="1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0" fontId="125" fillId="25" borderId="30" xfId="0" applyFont="1" applyFill="1" applyBorder="1" applyAlignment="1">
      <alignment horizontal="center"/>
    </xf>
    <xf numFmtId="0" fontId="125" fillId="39" borderId="30" xfId="0" applyFont="1" applyFill="1" applyBorder="1" applyAlignment="1">
      <alignment horizontal="center"/>
    </xf>
    <xf numFmtId="164" fontId="32" fillId="39" borderId="20" xfId="0" applyNumberFormat="1" applyFont="1" applyFill="1" applyBorder="1" applyAlignment="1">
      <alignment horizontal="right" wrapText="1"/>
    </xf>
    <xf numFmtId="3" fontId="85" fillId="39" borderId="20" xfId="0" applyNumberFormat="1" applyFont="1" applyFill="1" applyBorder="1" applyAlignment="1">
      <alignment horizontal="right"/>
    </xf>
    <xf numFmtId="166" fontId="49" fillId="39" borderId="1" xfId="0" applyNumberFormat="1" applyFont="1" applyFill="1" applyBorder="1" applyAlignment="1">
      <alignment horizontal="right" wrapText="1"/>
    </xf>
    <xf numFmtId="166" fontId="49" fillId="39" borderId="38" xfId="0" applyNumberFormat="1" applyFont="1" applyFill="1" applyBorder="1" applyAlignment="1">
      <alignment horizontal="right" wrapText="1"/>
    </xf>
    <xf numFmtId="164" fontId="32" fillId="39" borderId="30" xfId="0" applyNumberFormat="1" applyFont="1" applyFill="1" applyBorder="1" applyAlignment="1">
      <alignment horizontal="right" wrapText="1"/>
    </xf>
    <xf numFmtId="164" fontId="32" fillId="39" borderId="32" xfId="0" applyNumberFormat="1" applyFont="1" applyFill="1" applyBorder="1" applyAlignment="1">
      <alignment horizontal="right" wrapText="1"/>
    </xf>
    <xf numFmtId="3" fontId="85" fillId="39" borderId="12" xfId="0" applyNumberFormat="1" applyFont="1" applyFill="1" applyBorder="1" applyAlignment="1">
      <alignment horizontal="right"/>
    </xf>
    <xf numFmtId="3" fontId="105" fillId="39" borderId="0" xfId="0" applyNumberFormat="1" applyFont="1" applyFill="1" applyAlignment="1">
      <alignment horizontal="right"/>
    </xf>
    <xf numFmtId="3" fontId="0" fillId="39" borderId="0" xfId="0" applyNumberFormat="1" applyFill="1" applyAlignment="1">
      <alignment horizontal="left"/>
    </xf>
    <xf numFmtId="3" fontId="70" fillId="39" borderId="0" xfId="0" applyNumberFormat="1" applyFont="1" applyFill="1" applyAlignment="1">
      <alignment horizontal="center" vertical="center"/>
    </xf>
    <xf numFmtId="0" fontId="0" fillId="39" borderId="0" xfId="0" applyFill="1" applyAlignment="1">
      <alignment horizontal="left"/>
    </xf>
    <xf numFmtId="3" fontId="24" fillId="39" borderId="0" xfId="0" applyNumberFormat="1" applyFont="1" applyFill="1" applyAlignment="1">
      <alignment horizontal="right"/>
    </xf>
    <xf numFmtId="3" fontId="24" fillId="39" borderId="0" xfId="0" applyNumberFormat="1" applyFont="1" applyFill="1"/>
    <xf numFmtId="3" fontId="25" fillId="0" borderId="0" xfId="0" applyNumberFormat="1" applyFont="1" applyAlignment="1">
      <alignment horizontal="right"/>
    </xf>
    <xf numFmtId="3" fontId="35" fillId="0" borderId="0" xfId="0" applyNumberFormat="1" applyFont="1" applyAlignment="1">
      <alignment horizontal="right"/>
    </xf>
    <xf numFmtId="38" fontId="0" fillId="0" borderId="0" xfId="0" applyNumberFormat="1" applyAlignment="1">
      <alignment horizontal="right"/>
    </xf>
    <xf numFmtId="165" fontId="21" fillId="0" borderId="1" xfId="0" applyNumberFormat="1" applyFont="1" applyBorder="1" applyAlignment="1">
      <alignment horizontal="right"/>
    </xf>
    <xf numFmtId="166" fontId="25" fillId="0" borderId="1" xfId="0" applyNumberFormat="1" applyFont="1" applyBorder="1" applyAlignment="1">
      <alignment horizontal="right"/>
    </xf>
    <xf numFmtId="0" fontId="0" fillId="28" borderId="0" xfId="0" applyFill="1"/>
    <xf numFmtId="0" fontId="0" fillId="28" borderId="43" xfId="0" applyFill="1" applyBorder="1"/>
    <xf numFmtId="164" fontId="32" fillId="28" borderId="39" xfId="0" applyNumberFormat="1" applyFont="1" applyFill="1" applyBorder="1" applyAlignment="1">
      <alignment horizontal="right" wrapText="1"/>
    </xf>
    <xf numFmtId="3" fontId="24" fillId="0" borderId="45" xfId="0" applyNumberFormat="1" applyFont="1" applyBorder="1" applyAlignment="1">
      <alignment horizontal="right"/>
    </xf>
    <xf numFmtId="0" fontId="76" fillId="39" borderId="11" xfId="0" applyFont="1" applyFill="1" applyBorder="1" applyAlignment="1">
      <alignment horizontal="center"/>
    </xf>
    <xf numFmtId="3" fontId="144" fillId="17" borderId="0" xfId="0" applyNumberFormat="1" applyFont="1" applyFill="1" applyAlignment="1">
      <alignment horizontal="right"/>
    </xf>
    <xf numFmtId="3" fontId="145" fillId="28" borderId="0" xfId="0" applyNumberFormat="1" applyFont="1" applyFill="1" applyAlignment="1">
      <alignment horizontal="right"/>
    </xf>
    <xf numFmtId="3" fontId="65" fillId="25" borderId="0" xfId="0" applyNumberFormat="1" applyFont="1" applyFill="1" applyAlignment="1">
      <alignment horizontal="right"/>
    </xf>
    <xf numFmtId="165" fontId="14" fillId="3" borderId="6" xfId="0" applyNumberFormat="1" applyFont="1" applyFill="1" applyBorder="1" applyAlignment="1">
      <alignment horizontal="center" vertical="center" wrapText="1"/>
    </xf>
    <xf numFmtId="9" fontId="147" fillId="2" borderId="1" xfId="0" applyNumberFormat="1" applyFont="1" applyFill="1" applyBorder="1" applyAlignment="1">
      <alignment horizontal="center"/>
    </xf>
    <xf numFmtId="3" fontId="148" fillId="2" borderId="9" xfId="0" applyNumberFormat="1" applyFont="1" applyFill="1" applyBorder="1" applyAlignment="1">
      <alignment horizontal="center" vertical="center" wrapText="1"/>
    </xf>
    <xf numFmtId="3" fontId="149" fillId="2" borderId="9" xfId="0" applyNumberFormat="1" applyFont="1" applyFill="1" applyBorder="1" applyAlignment="1">
      <alignment horizontal="center" vertical="center" wrapText="1"/>
    </xf>
    <xf numFmtId="3" fontId="0" fillId="0" borderId="2" xfId="0" applyNumberFormat="1" applyBorder="1"/>
    <xf numFmtId="9" fontId="147" fillId="2" borderId="2" xfId="0" applyNumberFormat="1" applyFont="1" applyFill="1" applyBorder="1" applyAlignment="1">
      <alignment horizontal="right"/>
    </xf>
    <xf numFmtId="9" fontId="84" fillId="34" borderId="1" xfId="0" applyNumberFormat="1" applyFont="1" applyFill="1" applyBorder="1" applyAlignment="1">
      <alignment horizontal="right"/>
    </xf>
    <xf numFmtId="172" fontId="150" fillId="2" borderId="1" xfId="0" applyNumberFormat="1" applyFont="1" applyFill="1" applyBorder="1" applyAlignment="1">
      <alignment horizontal="center"/>
    </xf>
    <xf numFmtId="172" fontId="150" fillId="2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164" fontId="14" fillId="3" borderId="24" xfId="0" applyNumberFormat="1" applyFont="1" applyFill="1" applyBorder="1" applyAlignment="1">
      <alignment horizontal="center" vertical="center" wrapText="1"/>
    </xf>
    <xf numFmtId="181" fontId="17" fillId="2" borderId="1" xfId="0" applyNumberFormat="1" applyFont="1" applyFill="1" applyBorder="1" applyAlignment="1">
      <alignment horizontal="right"/>
    </xf>
    <xf numFmtId="9" fontId="55" fillId="34" borderId="1" xfId="0" applyNumberFormat="1" applyFont="1" applyFill="1" applyBorder="1" applyAlignment="1">
      <alignment horizontal="center"/>
    </xf>
    <xf numFmtId="3" fontId="151" fillId="0" borderId="0" xfId="0" applyNumberFormat="1" applyFont="1" applyAlignment="1">
      <alignment horizontal="center" wrapText="1"/>
    </xf>
    <xf numFmtId="3" fontId="0" fillId="0" borderId="1" xfId="0" applyNumberFormat="1" applyBorder="1"/>
    <xf numFmtId="166" fontId="40" fillId="0" borderId="0" xfId="0" applyNumberFormat="1" applyFont="1" applyAlignment="1">
      <alignment vertical="center" wrapText="1"/>
    </xf>
    <xf numFmtId="3" fontId="24" fillId="2" borderId="4" xfId="0" applyNumberFormat="1" applyFont="1" applyFill="1" applyBorder="1"/>
    <xf numFmtId="0" fontId="121" fillId="2" borderId="2" xfId="0" applyFont="1" applyFill="1" applyBorder="1" applyAlignment="1">
      <alignment horizontal="center" vertical="center" wrapText="1"/>
    </xf>
    <xf numFmtId="3" fontId="120" fillId="2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9" fontId="28" fillId="2" borderId="2" xfId="0" applyNumberFormat="1" applyFont="1" applyFill="1" applyBorder="1" applyAlignment="1">
      <alignment horizontal="center" vertical="center"/>
    </xf>
    <xf numFmtId="3" fontId="0" fillId="28" borderId="0" xfId="0" applyNumberFormat="1" applyFill="1" applyAlignment="1">
      <alignment horizontal="right"/>
    </xf>
    <xf numFmtId="3" fontId="0" fillId="17" borderId="0" xfId="0" applyNumberFormat="1" applyFill="1" applyAlignment="1">
      <alignment horizontal="right"/>
    </xf>
    <xf numFmtId="0" fontId="0" fillId="19" borderId="0" xfId="0" applyFill="1"/>
    <xf numFmtId="0" fontId="0" fillId="39" borderId="0" xfId="0" applyFill="1"/>
    <xf numFmtId="3" fontId="0" fillId="39" borderId="0" xfId="0" applyNumberFormat="1" applyFill="1" applyAlignment="1">
      <alignment horizontal="right"/>
    </xf>
    <xf numFmtId="0" fontId="0" fillId="17" borderId="0" xfId="0" applyFill="1" applyAlignment="1">
      <alignment horizontal="right"/>
    </xf>
    <xf numFmtId="166" fontId="127" fillId="7" borderId="20" xfId="0" applyNumberFormat="1" applyFont="1" applyFill="1" applyBorder="1" applyAlignment="1">
      <alignment horizontal="center" vertical="center"/>
    </xf>
    <xf numFmtId="3" fontId="49" fillId="7" borderId="2" xfId="0" applyNumberFormat="1" applyFont="1" applyFill="1" applyBorder="1" applyAlignment="1">
      <alignment horizontal="center" vertical="center"/>
    </xf>
    <xf numFmtId="166" fontId="126" fillId="7" borderId="20" xfId="0" applyNumberFormat="1" applyFont="1" applyFill="1" applyBorder="1" applyAlignment="1">
      <alignment horizontal="center" vertical="center"/>
    </xf>
    <xf numFmtId="3" fontId="57" fillId="7" borderId="2" xfId="0" applyNumberFormat="1" applyFont="1" applyFill="1" applyBorder="1" applyAlignment="1">
      <alignment horizontal="center" vertical="center"/>
    </xf>
    <xf numFmtId="10" fontId="24" fillId="24" borderId="1" xfId="0" applyNumberFormat="1" applyFont="1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172" fontId="56" fillId="34" borderId="1" xfId="0" applyNumberFormat="1" applyFont="1" applyFill="1" applyBorder="1" applyAlignment="1">
      <alignment horizontal="center"/>
    </xf>
    <xf numFmtId="164" fontId="35" fillId="2" borderId="1" xfId="0" applyNumberFormat="1" applyFont="1" applyFill="1" applyBorder="1" applyAlignment="1">
      <alignment horizontal="right" wrapText="1"/>
    </xf>
    <xf numFmtId="164" fontId="30" fillId="7" borderId="2" xfId="0" applyNumberFormat="1" applyFont="1" applyFill="1" applyBorder="1" applyAlignment="1">
      <alignment horizontal="right" wrapText="1"/>
    </xf>
    <xf numFmtId="164" fontId="30" fillId="7" borderId="1" xfId="0" applyNumberFormat="1" applyFont="1" applyFill="1" applyBorder="1" applyAlignment="1">
      <alignment horizontal="right" wrapText="1"/>
    </xf>
    <xf numFmtId="40" fontId="23" fillId="25" borderId="1" xfId="0" applyNumberFormat="1" applyFont="1" applyFill="1" applyBorder="1" applyAlignment="1">
      <alignment horizontal="right"/>
    </xf>
    <xf numFmtId="0" fontId="14" fillId="16" borderId="1" xfId="0" applyFont="1" applyFill="1" applyBorder="1" applyAlignment="1">
      <alignment horizontal="right"/>
    </xf>
    <xf numFmtId="38" fontId="35" fillId="0" borderId="2" xfId="0" applyNumberFormat="1" applyFont="1" applyBorder="1" applyAlignment="1">
      <alignment horizontal="right"/>
    </xf>
    <xf numFmtId="0" fontId="45" fillId="16" borderId="1" xfId="0" applyFont="1" applyFill="1" applyBorder="1" applyAlignment="1">
      <alignment horizontal="right"/>
    </xf>
    <xf numFmtId="0" fontId="45" fillId="25" borderId="1" xfId="0" applyFont="1" applyFill="1" applyBorder="1" applyAlignment="1">
      <alignment horizontal="right"/>
    </xf>
    <xf numFmtId="0" fontId="14" fillId="25" borderId="1" xfId="0" applyFont="1" applyFill="1" applyBorder="1" applyAlignment="1">
      <alignment horizontal="right"/>
    </xf>
    <xf numFmtId="166" fontId="14" fillId="25" borderId="1" xfId="0" applyNumberFormat="1" applyFont="1" applyFill="1" applyBorder="1" applyAlignment="1">
      <alignment horizontal="right"/>
    </xf>
    <xf numFmtId="3" fontId="16" fillId="25" borderId="1" xfId="0" applyNumberFormat="1" applyFont="1" applyFill="1" applyBorder="1" applyAlignment="1">
      <alignment horizontal="right"/>
    </xf>
    <xf numFmtId="166" fontId="22" fillId="25" borderId="1" xfId="0" applyNumberFormat="1" applyFont="1" applyFill="1" applyBorder="1" applyAlignment="1">
      <alignment horizontal="right" wrapText="1"/>
    </xf>
    <xf numFmtId="3" fontId="17" fillId="25" borderId="1" xfId="0" applyNumberFormat="1" applyFont="1" applyFill="1" applyBorder="1" applyAlignment="1">
      <alignment horizontal="center" vertical="center"/>
    </xf>
    <xf numFmtId="3" fontId="14" fillId="25" borderId="1" xfId="0" applyNumberFormat="1" applyFont="1" applyFill="1" applyBorder="1" applyAlignment="1">
      <alignment horizontal="right"/>
    </xf>
    <xf numFmtId="0" fontId="14" fillId="25" borderId="1" xfId="0" applyFont="1" applyFill="1" applyBorder="1"/>
    <xf numFmtId="0" fontId="14" fillId="25" borderId="5" xfId="0" applyFont="1" applyFill="1" applyBorder="1"/>
    <xf numFmtId="3" fontId="104" fillId="25" borderId="1" xfId="0" applyNumberFormat="1" applyFont="1" applyFill="1" applyBorder="1" applyAlignment="1">
      <alignment horizontal="left"/>
    </xf>
    <xf numFmtId="164" fontId="49" fillId="25" borderId="1" xfId="0" applyNumberFormat="1" applyFont="1" applyFill="1" applyBorder="1" applyAlignment="1">
      <alignment horizontal="right"/>
    </xf>
    <xf numFmtId="0" fontId="38" fillId="25" borderId="1" xfId="0" applyFont="1" applyFill="1" applyBorder="1" applyAlignment="1">
      <alignment horizontal="center" vertical="center"/>
    </xf>
    <xf numFmtId="3" fontId="23" fillId="25" borderId="1" xfId="0" applyNumberFormat="1" applyFont="1" applyFill="1" applyBorder="1" applyAlignment="1">
      <alignment horizontal="right"/>
    </xf>
    <xf numFmtId="40" fontId="23" fillId="25" borderId="2" xfId="0" applyNumberFormat="1" applyFont="1" applyFill="1" applyBorder="1" applyAlignment="1">
      <alignment horizontal="right"/>
    </xf>
    <xf numFmtId="3" fontId="14" fillId="25" borderId="43" xfId="0" applyNumberFormat="1" applyFont="1" applyFill="1" applyBorder="1"/>
    <xf numFmtId="38" fontId="101" fillId="0" borderId="1" xfId="2" applyNumberFormat="1" applyFont="1" applyBorder="1" applyAlignment="1">
      <alignment readingOrder="1"/>
    </xf>
    <xf numFmtId="3" fontId="67" fillId="0" borderId="0" xfId="0" applyNumberFormat="1" applyFont="1"/>
    <xf numFmtId="166" fontId="29" fillId="0" borderId="0" xfId="0" applyNumberFormat="1" applyFont="1" applyAlignment="1">
      <alignment horizontal="center"/>
    </xf>
    <xf numFmtId="0" fontId="34" fillId="0" borderId="0" xfId="0" applyFont="1" applyAlignment="1">
      <alignment horizontal="right"/>
    </xf>
    <xf numFmtId="2" fontId="80" fillId="0" borderId="0" xfId="0" applyNumberFormat="1" applyFont="1" applyAlignment="1">
      <alignment horizontal="right"/>
    </xf>
    <xf numFmtId="169" fontId="56" fillId="2" borderId="1" xfId="0" applyNumberFormat="1" applyFont="1" applyFill="1" applyBorder="1" applyAlignment="1">
      <alignment horizontal="right" wrapText="1"/>
    </xf>
    <xf numFmtId="3" fontId="21" fillId="2" borderId="33" xfId="0" applyNumberFormat="1" applyFont="1" applyFill="1" applyBorder="1" applyAlignment="1">
      <alignment horizontal="right"/>
    </xf>
    <xf numFmtId="3" fontId="42" fillId="2" borderId="10" xfId="0" applyNumberFormat="1" applyFont="1" applyFill="1" applyBorder="1" applyAlignment="1">
      <alignment horizontal="center" vertical="center" wrapText="1"/>
    </xf>
    <xf numFmtId="164" fontId="32" fillId="28" borderId="32" xfId="0" applyNumberFormat="1" applyFont="1" applyFill="1" applyBorder="1" applyAlignment="1">
      <alignment horizontal="right" wrapText="1"/>
    </xf>
    <xf numFmtId="164" fontId="49" fillId="2" borderId="2" xfId="0" applyNumberFormat="1" applyFont="1" applyFill="1" applyBorder="1" applyAlignment="1">
      <alignment horizontal="right" wrapText="1"/>
    </xf>
    <xf numFmtId="164" fontId="49" fillId="29" borderId="2" xfId="0" applyNumberFormat="1" applyFont="1" applyFill="1" applyBorder="1" applyAlignment="1">
      <alignment horizontal="right" wrapText="1"/>
    </xf>
    <xf numFmtId="164" fontId="87" fillId="29" borderId="2" xfId="0" applyNumberFormat="1" applyFont="1" applyFill="1" applyBorder="1" applyAlignment="1">
      <alignment horizontal="right" wrapText="1"/>
    </xf>
    <xf numFmtId="166" fontId="32" fillId="29" borderId="2" xfId="0" applyNumberFormat="1" applyFont="1" applyFill="1" applyBorder="1" applyAlignment="1">
      <alignment horizontal="right" wrapText="1"/>
    </xf>
    <xf numFmtId="166" fontId="86" fillId="29" borderId="2" xfId="0" applyNumberFormat="1" applyFont="1" applyFill="1" applyBorder="1" applyAlignment="1">
      <alignment horizontal="right" wrapText="1"/>
    </xf>
    <xf numFmtId="38" fontId="93" fillId="29" borderId="2" xfId="0" applyNumberFormat="1" applyFont="1" applyFill="1" applyBorder="1" applyAlignment="1">
      <alignment horizontal="right"/>
    </xf>
    <xf numFmtId="172" fontId="94" fillId="29" borderId="24" xfId="0" applyNumberFormat="1" applyFont="1" applyFill="1" applyBorder="1" applyAlignment="1">
      <alignment horizontal="right"/>
    </xf>
    <xf numFmtId="166" fontId="49" fillId="28" borderId="2" xfId="0" applyNumberFormat="1" applyFont="1" applyFill="1" applyBorder="1" applyAlignment="1">
      <alignment horizontal="right" wrapText="1"/>
    </xf>
    <xf numFmtId="164" fontId="76" fillId="29" borderId="2" xfId="0" applyNumberFormat="1" applyFont="1" applyFill="1" applyBorder="1" applyAlignment="1">
      <alignment horizontal="right" wrapText="1"/>
    </xf>
    <xf numFmtId="169" fontId="54" fillId="32" borderId="1" xfId="0" applyNumberFormat="1" applyFont="1" applyFill="1" applyBorder="1" applyAlignment="1">
      <alignment horizontal="right"/>
    </xf>
    <xf numFmtId="40" fontId="54" fillId="32" borderId="1" xfId="0" applyNumberFormat="1" applyFont="1" applyFill="1" applyBorder="1" applyAlignment="1">
      <alignment horizontal="right"/>
    </xf>
    <xf numFmtId="166" fontId="35" fillId="32" borderId="1" xfId="0" applyNumberFormat="1" applyFont="1" applyFill="1" applyBorder="1" applyAlignment="1">
      <alignment horizontal="right"/>
    </xf>
    <xf numFmtId="0" fontId="48" fillId="32" borderId="0" xfId="2" applyFont="1" applyFill="1" applyAlignment="1">
      <alignment readingOrder="1"/>
    </xf>
    <xf numFmtId="164" fontId="30" fillId="32" borderId="0" xfId="0" applyNumberFormat="1" applyFont="1" applyFill="1" applyAlignment="1">
      <alignment horizontal="right" wrapText="1"/>
    </xf>
    <xf numFmtId="164" fontId="49" fillId="32" borderId="0" xfId="0" applyNumberFormat="1" applyFont="1" applyFill="1" applyAlignment="1">
      <alignment horizontal="right"/>
    </xf>
    <xf numFmtId="164" fontId="64" fillId="32" borderId="0" xfId="0" applyNumberFormat="1" applyFont="1" applyFill="1" applyAlignment="1">
      <alignment horizontal="right"/>
    </xf>
    <xf numFmtId="172" fontId="89" fillId="32" borderId="0" xfId="0" applyNumberFormat="1" applyFont="1" applyFill="1" applyAlignment="1">
      <alignment horizontal="right"/>
    </xf>
    <xf numFmtId="9" fontId="67" fillId="32" borderId="0" xfId="0" applyNumberFormat="1" applyFont="1" applyFill="1" applyAlignment="1">
      <alignment horizontal="right" wrapText="1"/>
    </xf>
    <xf numFmtId="172" fontId="56" fillId="32" borderId="0" xfId="0" applyNumberFormat="1" applyFont="1" applyFill="1" applyAlignment="1">
      <alignment horizontal="right" wrapText="1"/>
    </xf>
    <xf numFmtId="9" fontId="49" fillId="32" borderId="0" xfId="0" applyNumberFormat="1" applyFont="1" applyFill="1" applyAlignment="1">
      <alignment horizontal="right" wrapText="1"/>
    </xf>
    <xf numFmtId="164" fontId="14" fillId="32" borderId="0" xfId="0" applyNumberFormat="1" applyFont="1" applyFill="1" applyAlignment="1">
      <alignment horizontal="right" wrapText="1"/>
    </xf>
    <xf numFmtId="3" fontId="65" fillId="32" borderId="0" xfId="0" applyNumberFormat="1" applyFont="1" applyFill="1" applyAlignment="1">
      <alignment horizontal="right"/>
    </xf>
    <xf numFmtId="166" fontId="65" fillId="32" borderId="0" xfId="0" applyNumberFormat="1" applyFont="1" applyFill="1" applyAlignment="1">
      <alignment horizontal="right"/>
    </xf>
    <xf numFmtId="166" fontId="125" fillId="32" borderId="15" xfId="0" applyNumberFormat="1" applyFont="1" applyFill="1" applyBorder="1" applyAlignment="1">
      <alignment horizontal="center" vertical="center"/>
    </xf>
    <xf numFmtId="3" fontId="32" fillId="32" borderId="0" xfId="0" applyNumberFormat="1" applyFont="1" applyFill="1" applyAlignment="1">
      <alignment horizontal="center" vertical="center"/>
    </xf>
    <xf numFmtId="3" fontId="55" fillId="32" borderId="0" xfId="0" applyNumberFormat="1" applyFont="1" applyFill="1" applyAlignment="1">
      <alignment horizontal="center" vertical="center"/>
    </xf>
    <xf numFmtId="164" fontId="49" fillId="32" borderId="1" xfId="0" applyNumberFormat="1" applyFont="1" applyFill="1" applyBorder="1" applyAlignment="1">
      <alignment horizontal="right" wrapText="1"/>
    </xf>
    <xf numFmtId="166" fontId="49" fillId="32" borderId="47" xfId="0" applyNumberFormat="1" applyFont="1" applyFill="1" applyBorder="1" applyAlignment="1">
      <alignment horizontal="right" wrapText="1"/>
    </xf>
    <xf numFmtId="3" fontId="24" fillId="32" borderId="0" xfId="0" applyNumberFormat="1" applyFont="1" applyFill="1" applyAlignment="1">
      <alignment horizontal="right"/>
    </xf>
    <xf numFmtId="3" fontId="25" fillId="32" borderId="0" xfId="0" applyNumberFormat="1" applyFont="1" applyFill="1" applyAlignment="1">
      <alignment horizontal="right"/>
    </xf>
    <xf numFmtId="3" fontId="99" fillId="32" borderId="0" xfId="0" applyNumberFormat="1" applyFont="1" applyFill="1" applyAlignment="1">
      <alignment horizontal="right"/>
    </xf>
    <xf numFmtId="3" fontId="24" fillId="32" borderId="9" xfId="0" applyNumberFormat="1" applyFont="1" applyFill="1" applyBorder="1" applyAlignment="1">
      <alignment horizontal="right"/>
    </xf>
    <xf numFmtId="164" fontId="49" fillId="32" borderId="6" xfId="0" applyNumberFormat="1" applyFont="1" applyFill="1" applyBorder="1" applyAlignment="1">
      <alignment horizontal="right" wrapText="1"/>
    </xf>
    <xf numFmtId="166" fontId="49" fillId="32" borderId="53" xfId="0" applyNumberFormat="1" applyFont="1" applyFill="1" applyBorder="1" applyAlignment="1">
      <alignment horizontal="right" wrapText="1"/>
    </xf>
    <xf numFmtId="3" fontId="25" fillId="32" borderId="9" xfId="0" applyNumberFormat="1" applyFont="1" applyFill="1" applyBorder="1" applyAlignment="1">
      <alignment horizontal="right"/>
    </xf>
    <xf numFmtId="3" fontId="99" fillId="32" borderId="16" xfId="0" applyNumberFormat="1" applyFont="1" applyFill="1" applyBorder="1" applyAlignment="1">
      <alignment horizontal="right"/>
    </xf>
    <xf numFmtId="164" fontId="49" fillId="32" borderId="0" xfId="0" applyNumberFormat="1" applyFont="1" applyFill="1" applyAlignment="1">
      <alignment horizontal="right" wrapText="1"/>
    </xf>
    <xf numFmtId="164" fontId="29" fillId="32" borderId="6" xfId="0" applyNumberFormat="1" applyFont="1" applyFill="1" applyBorder="1" applyAlignment="1">
      <alignment horizontal="right" wrapText="1"/>
    </xf>
    <xf numFmtId="164" fontId="30" fillId="32" borderId="1" xfId="0" applyNumberFormat="1" applyFont="1" applyFill="1" applyBorder="1" applyAlignment="1">
      <alignment horizontal="right" wrapText="1"/>
    </xf>
    <xf numFmtId="164" fontId="32" fillId="32" borderId="6" xfId="0" applyNumberFormat="1" applyFont="1" applyFill="1" applyBorder="1" applyAlignment="1">
      <alignment horizontal="right" wrapText="1"/>
    </xf>
    <xf numFmtId="164" fontId="87" fillId="32" borderId="1" xfId="0" applyNumberFormat="1" applyFont="1" applyFill="1" applyBorder="1" applyAlignment="1">
      <alignment horizontal="right" wrapText="1"/>
    </xf>
    <xf numFmtId="166" fontId="32" fillId="32" borderId="1" xfId="0" applyNumberFormat="1" applyFont="1" applyFill="1" applyBorder="1" applyAlignment="1">
      <alignment horizontal="right" wrapText="1"/>
    </xf>
    <xf numFmtId="164" fontId="32" fillId="32" borderId="30" xfId="0" applyNumberFormat="1" applyFont="1" applyFill="1" applyBorder="1" applyAlignment="1">
      <alignment horizontal="right" wrapText="1"/>
    </xf>
    <xf numFmtId="0" fontId="0" fillId="31" borderId="4" xfId="0" applyFill="1" applyBorder="1" applyAlignment="1">
      <alignment horizontal="center" vertical="center"/>
    </xf>
    <xf numFmtId="3" fontId="24" fillId="0" borderId="0" xfId="0" applyNumberFormat="1" applyFont="1" applyAlignment="1">
      <alignment horizontal="left"/>
    </xf>
    <xf numFmtId="164" fontId="57" fillId="8" borderId="1" xfId="0" applyNumberFormat="1" applyFont="1" applyFill="1" applyBorder="1" applyAlignment="1">
      <alignment horizontal="right"/>
    </xf>
    <xf numFmtId="164" fontId="57" fillId="28" borderId="1" xfId="0" applyNumberFormat="1" applyFont="1" applyFill="1" applyBorder="1" applyAlignment="1">
      <alignment horizontal="right"/>
    </xf>
    <xf numFmtId="164" fontId="36" fillId="38" borderId="1" xfId="0" applyNumberFormat="1" applyFont="1" applyFill="1" applyBorder="1" applyAlignment="1">
      <alignment horizontal="right"/>
    </xf>
    <xf numFmtId="3" fontId="24" fillId="3" borderId="2" xfId="0" applyNumberFormat="1" applyFont="1" applyFill="1" applyBorder="1" applyAlignment="1">
      <alignment wrapText="1"/>
    </xf>
    <xf numFmtId="169" fontId="65" fillId="3" borderId="2" xfId="0" applyNumberFormat="1" applyFont="1" applyFill="1" applyBorder="1" applyAlignment="1">
      <alignment wrapText="1"/>
    </xf>
    <xf numFmtId="0" fontId="65" fillId="3" borderId="2" xfId="0" applyFont="1" applyFill="1" applyBorder="1" applyAlignment="1">
      <alignment wrapText="1"/>
    </xf>
    <xf numFmtId="0" fontId="124" fillId="3" borderId="2" xfId="2" applyFont="1" applyFill="1" applyBorder="1" applyAlignment="1">
      <alignment readingOrder="1"/>
    </xf>
    <xf numFmtId="0" fontId="48" fillId="3" borderId="2" xfId="2" applyFont="1" applyFill="1" applyBorder="1" applyAlignment="1">
      <alignment readingOrder="1"/>
    </xf>
    <xf numFmtId="3" fontId="48" fillId="3" borderId="19" xfId="2" applyNumberFormat="1" applyFont="1" applyFill="1" applyBorder="1" applyAlignment="1">
      <alignment readingOrder="1"/>
    </xf>
    <xf numFmtId="3" fontId="21" fillId="3" borderId="16" xfId="0" applyNumberFormat="1" applyFont="1" applyFill="1" applyBorder="1" applyAlignment="1">
      <alignment wrapText="1"/>
    </xf>
    <xf numFmtId="0" fontId="90" fillId="3" borderId="0" xfId="0" applyFont="1" applyFill="1" applyAlignment="1">
      <alignment wrapText="1"/>
    </xf>
    <xf numFmtId="3" fontId="14" fillId="3" borderId="12" xfId="0" applyNumberFormat="1" applyFont="1" applyFill="1" applyBorder="1" applyAlignment="1">
      <alignment wrapText="1"/>
    </xf>
    <xf numFmtId="3" fontId="14" fillId="3" borderId="11" xfId="0" applyNumberFormat="1" applyFont="1" applyFill="1" applyBorder="1" applyAlignment="1">
      <alignment wrapText="1"/>
    </xf>
    <xf numFmtId="3" fontId="21" fillId="3" borderId="13" xfId="0" applyNumberFormat="1" applyFont="1" applyFill="1" applyBorder="1" applyAlignment="1">
      <alignment wrapText="1"/>
    </xf>
    <xf numFmtId="166" fontId="49" fillId="28" borderId="47" xfId="0" applyNumberFormat="1" applyFont="1" applyFill="1" applyBorder="1" applyAlignment="1">
      <alignment horizontal="right" wrapText="1"/>
    </xf>
    <xf numFmtId="0" fontId="35" fillId="3" borderId="2" xfId="0" applyFont="1" applyFill="1" applyBorder="1" applyAlignment="1">
      <alignment wrapText="1"/>
    </xf>
    <xf numFmtId="0" fontId="117" fillId="7" borderId="0" xfId="0" applyFont="1" applyFill="1"/>
    <xf numFmtId="0" fontId="0" fillId="28" borderId="2" xfId="0" applyFill="1" applyBorder="1" applyAlignment="1">
      <alignment horizontal="center" vertical="center" wrapText="1"/>
    </xf>
    <xf numFmtId="0" fontId="153" fillId="0" borderId="2" xfId="0" applyFont="1" applyBorder="1"/>
    <xf numFmtId="3" fontId="131" fillId="2" borderId="2" xfId="0" applyNumberFormat="1" applyFont="1" applyFill="1" applyBorder="1" applyAlignment="1">
      <alignment horizontal="center" vertical="center" wrapText="1"/>
    </xf>
    <xf numFmtId="0" fontId="80" fillId="0" borderId="2" xfId="0" applyFont="1" applyBorder="1"/>
    <xf numFmtId="3" fontId="24" fillId="0" borderId="9" xfId="0" applyNumberFormat="1" applyFont="1" applyBorder="1" applyAlignment="1">
      <alignment wrapText="1"/>
    </xf>
    <xf numFmtId="10" fontId="49" fillId="2" borderId="1" xfId="0" applyNumberFormat="1" applyFont="1" applyFill="1" applyBorder="1" applyAlignment="1">
      <alignment horizontal="right" wrapText="1"/>
    </xf>
    <xf numFmtId="10" fontId="49" fillId="2" borderId="1" xfId="0" applyNumberFormat="1" applyFont="1" applyFill="1" applyBorder="1" applyAlignment="1">
      <alignment horizontal="center" wrapText="1"/>
    </xf>
    <xf numFmtId="0" fontId="0" fillId="8" borderId="26" xfId="0" applyFill="1" applyBorder="1" applyAlignment="1">
      <alignment horizontal="center" vertical="center" wrapText="1"/>
    </xf>
    <xf numFmtId="3" fontId="14" fillId="0" borderId="0" xfId="0" applyNumberFormat="1" applyFont="1"/>
    <xf numFmtId="3" fontId="155" fillId="2" borderId="9" xfId="0" applyNumberFormat="1" applyFont="1" applyFill="1" applyBorder="1" applyAlignment="1">
      <alignment horizontal="center" vertical="center" wrapText="1"/>
    </xf>
    <xf numFmtId="3" fontId="49" fillId="0" borderId="0" xfId="0" applyNumberFormat="1" applyFont="1"/>
    <xf numFmtId="3" fontId="15" fillId="17" borderId="0" xfId="0" applyNumberFormat="1" applyFont="1" applyFill="1" applyAlignment="1">
      <alignment horizontal="center" vertical="center" wrapText="1"/>
    </xf>
    <xf numFmtId="3" fontId="55" fillId="7" borderId="2" xfId="0" applyNumberFormat="1" applyFont="1" applyFill="1" applyBorder="1" applyAlignment="1">
      <alignment horizontal="center" vertical="center"/>
    </xf>
    <xf numFmtId="166" fontId="55" fillId="7" borderId="51" xfId="0" applyNumberFormat="1" applyFont="1" applyFill="1" applyBorder="1" applyAlignment="1">
      <alignment horizontal="center" vertical="center"/>
    </xf>
    <xf numFmtId="164" fontId="36" fillId="32" borderId="0" xfId="0" applyNumberFormat="1" applyFont="1" applyFill="1" applyAlignment="1">
      <alignment horizontal="center" wrapText="1"/>
    </xf>
    <xf numFmtId="3" fontId="129" fillId="17" borderId="0" xfId="0" applyNumberFormat="1" applyFont="1" applyFill="1" applyAlignment="1">
      <alignment horizontal="center" vertical="center" wrapText="1"/>
    </xf>
    <xf numFmtId="3" fontId="55" fillId="17" borderId="2" xfId="0" applyNumberFormat="1" applyFont="1" applyFill="1" applyBorder="1" applyAlignment="1">
      <alignment horizontal="center" vertical="center"/>
    </xf>
    <xf numFmtId="166" fontId="55" fillId="17" borderId="51" xfId="0" applyNumberFormat="1" applyFont="1" applyFill="1" applyBorder="1" applyAlignment="1">
      <alignment horizontal="center" vertical="center"/>
    </xf>
    <xf numFmtId="166" fontId="125" fillId="17" borderId="20" xfId="0" applyNumberFormat="1" applyFont="1" applyFill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3" fontId="104" fillId="25" borderId="5" xfId="0" applyNumberFormat="1" applyFont="1" applyFill="1" applyBorder="1" applyAlignment="1">
      <alignment horizontal="left"/>
    </xf>
    <xf numFmtId="164" fontId="14" fillId="3" borderId="2" xfId="0" applyNumberFormat="1" applyFont="1" applyFill="1" applyBorder="1" applyAlignment="1">
      <alignment horizontal="center" vertical="center" wrapText="1"/>
    </xf>
    <xf numFmtId="3" fontId="120" fillId="2" borderId="0" xfId="0" applyNumberFormat="1" applyFont="1" applyFill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right" wrapText="1"/>
    </xf>
    <xf numFmtId="166" fontId="125" fillId="17" borderId="32" xfId="0" applyNumberFormat="1" applyFont="1" applyFill="1" applyBorder="1" applyAlignment="1">
      <alignment horizontal="center" vertical="center"/>
    </xf>
    <xf numFmtId="3" fontId="32" fillId="17" borderId="24" xfId="0" applyNumberFormat="1" applyFont="1" applyFill="1" applyBorder="1" applyAlignment="1">
      <alignment horizontal="center" vertical="center"/>
    </xf>
    <xf numFmtId="3" fontId="55" fillId="17" borderId="24" xfId="0" applyNumberFormat="1" applyFont="1" applyFill="1" applyBorder="1" applyAlignment="1">
      <alignment horizontal="center" vertical="center"/>
    </xf>
    <xf numFmtId="166" fontId="55" fillId="17" borderId="25" xfId="0" applyNumberFormat="1" applyFont="1" applyFill="1" applyBorder="1" applyAlignment="1">
      <alignment horizontal="center" vertical="center"/>
    </xf>
    <xf numFmtId="9" fontId="87" fillId="2" borderId="1" xfId="0" applyNumberFormat="1" applyFont="1" applyFill="1" applyBorder="1" applyAlignment="1">
      <alignment horizontal="right" wrapText="1"/>
    </xf>
    <xf numFmtId="3" fontId="157" fillId="2" borderId="2" xfId="0" applyNumberFormat="1" applyFont="1" applyFill="1" applyBorder="1" applyAlignment="1">
      <alignment horizontal="center" vertical="center" wrapText="1"/>
    </xf>
    <xf numFmtId="3" fontId="25" fillId="2" borderId="2" xfId="0" applyNumberFormat="1" applyFont="1" applyFill="1" applyBorder="1" applyAlignment="1">
      <alignment horizontal="center"/>
    </xf>
    <xf numFmtId="0" fontId="76" fillId="0" borderId="0" xfId="0" applyFont="1" applyAlignment="1">
      <alignment horizontal="right"/>
    </xf>
    <xf numFmtId="3" fontId="76" fillId="0" borderId="0" xfId="0" applyNumberFormat="1" applyFont="1" applyAlignment="1">
      <alignment horizontal="right"/>
    </xf>
    <xf numFmtId="169" fontId="93" fillId="19" borderId="37" xfId="0" applyNumberFormat="1" applyFont="1" applyFill="1" applyBorder="1" applyAlignment="1">
      <alignment horizontal="right"/>
    </xf>
    <xf numFmtId="172" fontId="93" fillId="17" borderId="37" xfId="0" applyNumberFormat="1" applyFont="1" applyFill="1" applyBorder="1" applyAlignment="1">
      <alignment horizontal="right"/>
    </xf>
    <xf numFmtId="172" fontId="93" fillId="28" borderId="37" xfId="0" applyNumberFormat="1" applyFont="1" applyFill="1" applyBorder="1" applyAlignment="1">
      <alignment horizontal="right"/>
    </xf>
    <xf numFmtId="172" fontId="93" fillId="29" borderId="37" xfId="0" applyNumberFormat="1" applyFont="1" applyFill="1" applyBorder="1" applyAlignment="1">
      <alignment horizontal="right"/>
    </xf>
    <xf numFmtId="172" fontId="93" fillId="25" borderId="37" xfId="0" applyNumberFormat="1" applyFont="1" applyFill="1" applyBorder="1" applyAlignment="1">
      <alignment horizontal="right"/>
    </xf>
    <xf numFmtId="3" fontId="24" fillId="28" borderId="11" xfId="0" applyNumberFormat="1" applyFont="1" applyFill="1" applyBorder="1" applyAlignment="1">
      <alignment wrapText="1"/>
    </xf>
    <xf numFmtId="10" fontId="36" fillId="8" borderId="2" xfId="0" applyNumberFormat="1" applyFont="1" applyFill="1" applyBorder="1" applyAlignment="1">
      <alignment horizontal="right"/>
    </xf>
    <xf numFmtId="9" fontId="36" fillId="34" borderId="1" xfId="0" applyNumberFormat="1" applyFont="1" applyFill="1" applyBorder="1" applyAlignment="1">
      <alignment horizontal="right"/>
    </xf>
    <xf numFmtId="38" fontId="56" fillId="34" borderId="1" xfId="0" applyNumberFormat="1" applyFont="1" applyFill="1" applyBorder="1" applyAlignment="1">
      <alignment horizontal="center"/>
    </xf>
    <xf numFmtId="38" fontId="56" fillId="2" borderId="1" xfId="0" applyNumberFormat="1" applyFont="1" applyFill="1" applyBorder="1" applyAlignment="1">
      <alignment horizontal="right" wrapText="1"/>
    </xf>
    <xf numFmtId="176" fontId="56" fillId="2" borderId="1" xfId="0" applyNumberFormat="1" applyFont="1" applyFill="1" applyBorder="1" applyAlignment="1">
      <alignment horizontal="right" wrapText="1"/>
    </xf>
    <xf numFmtId="164" fontId="30" fillId="7" borderId="24" xfId="0" applyNumberFormat="1" applyFont="1" applyFill="1" applyBorder="1" applyAlignment="1">
      <alignment horizontal="right" wrapText="1"/>
    </xf>
    <xf numFmtId="164" fontId="54" fillId="17" borderId="24" xfId="0" applyNumberFormat="1" applyFont="1" applyFill="1" applyBorder="1" applyAlignment="1">
      <alignment horizontal="right" wrapText="1"/>
    </xf>
    <xf numFmtId="166" fontId="101" fillId="0" borderId="24" xfId="2" applyNumberFormat="1" applyFont="1" applyBorder="1" applyAlignment="1">
      <alignment readingOrder="1"/>
    </xf>
    <xf numFmtId="164" fontId="54" fillId="8" borderId="24" xfId="0" applyNumberFormat="1" applyFont="1" applyFill="1" applyBorder="1" applyAlignment="1">
      <alignment horizontal="right" wrapText="1"/>
    </xf>
    <xf numFmtId="38" fontId="101" fillId="0" borderId="24" xfId="2" applyNumberFormat="1" applyFont="1" applyBorder="1" applyAlignment="1">
      <alignment readingOrder="1"/>
    </xf>
    <xf numFmtId="164" fontId="54" fillId="7" borderId="24" xfId="0" applyNumberFormat="1" applyFont="1" applyFill="1" applyBorder="1" applyAlignment="1">
      <alignment horizontal="right" wrapText="1"/>
    </xf>
    <xf numFmtId="0" fontId="159" fillId="0" borderId="0" xfId="0" applyFont="1"/>
    <xf numFmtId="3" fontId="159" fillId="0" borderId="0" xfId="0" applyNumberFormat="1" applyFont="1" applyAlignment="1">
      <alignment horizontal="right"/>
    </xf>
    <xf numFmtId="164" fontId="156" fillId="10" borderId="1" xfId="0" applyNumberFormat="1" applyFont="1" applyFill="1" applyBorder="1" applyAlignment="1">
      <alignment horizontal="right"/>
    </xf>
    <xf numFmtId="166" fontId="31" fillId="10" borderId="1" xfId="0" applyNumberFormat="1" applyFont="1" applyFill="1" applyBorder="1" applyAlignment="1">
      <alignment horizontal="right"/>
    </xf>
    <xf numFmtId="166" fontId="57" fillId="17" borderId="51" xfId="0" applyNumberFormat="1" applyFont="1" applyFill="1" applyBorder="1" applyAlignment="1">
      <alignment horizontal="center" vertical="center"/>
    </xf>
    <xf numFmtId="164" fontId="35" fillId="2" borderId="1" xfId="0" applyNumberFormat="1" applyFont="1" applyFill="1" applyBorder="1" applyAlignment="1">
      <alignment horizontal="center" vertical="center"/>
    </xf>
    <xf numFmtId="3" fontId="29" fillId="3" borderId="3" xfId="0" applyNumberFormat="1" applyFont="1" applyFill="1" applyBorder="1" applyAlignment="1">
      <alignment horizontal="center" vertical="center" wrapText="1"/>
    </xf>
    <xf numFmtId="3" fontId="160" fillId="4" borderId="1" xfId="0" applyNumberFormat="1" applyFont="1" applyFill="1" applyBorder="1" applyAlignment="1">
      <alignment horizontal="center" vertical="center"/>
    </xf>
    <xf numFmtId="3" fontId="160" fillId="2" borderId="1" xfId="0" applyNumberFormat="1" applyFont="1" applyFill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3" fontId="63" fillId="2" borderId="2" xfId="0" applyNumberFormat="1" applyFont="1" applyFill="1" applyBorder="1" applyAlignment="1">
      <alignment horizontal="center"/>
    </xf>
    <xf numFmtId="38" fontId="158" fillId="7" borderId="1" xfId="0" applyNumberFormat="1" applyFont="1" applyFill="1" applyBorder="1" applyAlignment="1">
      <alignment horizontal="right"/>
    </xf>
    <xf numFmtId="0" fontId="14" fillId="4" borderId="1" xfId="0" applyFont="1" applyFill="1" applyBorder="1" applyAlignment="1">
      <alignment horizontal="center"/>
    </xf>
    <xf numFmtId="166" fontId="53" fillId="2" borderId="2" xfId="0" applyNumberFormat="1" applyFont="1" applyFill="1" applyBorder="1" applyAlignment="1">
      <alignment horizontal="center" vertical="center"/>
    </xf>
    <xf numFmtId="0" fontId="78" fillId="0" borderId="2" xfId="2" applyFont="1" applyBorder="1" applyAlignment="1">
      <alignment readingOrder="1"/>
    </xf>
    <xf numFmtId="0" fontId="0" fillId="0" borderId="0" xfId="0" applyAlignment="1">
      <alignment wrapText="1"/>
    </xf>
    <xf numFmtId="3" fontId="57" fillId="2" borderId="1" xfId="0" applyNumberFormat="1" applyFont="1" applyFill="1" applyBorder="1" applyAlignment="1">
      <alignment horizontal="center"/>
    </xf>
    <xf numFmtId="3" fontId="49" fillId="20" borderId="1" xfId="0" applyNumberFormat="1" applyFont="1" applyFill="1" applyBorder="1" applyAlignment="1">
      <alignment horizontal="center"/>
    </xf>
    <xf numFmtId="9" fontId="32" fillId="2" borderId="1" xfId="0" applyNumberFormat="1" applyFont="1" applyFill="1" applyBorder="1" applyAlignment="1">
      <alignment horizontal="right" wrapText="1"/>
    </xf>
    <xf numFmtId="0" fontId="142" fillId="2" borderId="2" xfId="0" applyFont="1" applyFill="1" applyBorder="1" applyAlignment="1">
      <alignment horizontal="center" vertical="center" wrapText="1"/>
    </xf>
    <xf numFmtId="3" fontId="142" fillId="2" borderId="2" xfId="0" applyNumberFormat="1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16" fontId="17" fillId="0" borderId="0" xfId="0" applyNumberFormat="1" applyFont="1" applyAlignment="1">
      <alignment horizontal="right"/>
    </xf>
    <xf numFmtId="0" fontId="30" fillId="0" borderId="2" xfId="0" applyFont="1" applyBorder="1"/>
    <xf numFmtId="164" fontId="30" fillId="2" borderId="1" xfId="0" applyNumberFormat="1" applyFont="1" applyFill="1" applyBorder="1" applyAlignment="1">
      <alignment horizontal="center"/>
    </xf>
    <xf numFmtId="166" fontId="36" fillId="8" borderId="2" xfId="0" applyNumberFormat="1" applyFont="1" applyFill="1" applyBorder="1" applyAlignment="1">
      <alignment horizontal="right"/>
    </xf>
    <xf numFmtId="0" fontId="0" fillId="0" borderId="0" xfId="0" applyAlignment="1">
      <alignment horizontal="center" vertical="center" wrapText="1" readingOrder="1"/>
    </xf>
    <xf numFmtId="182" fontId="0" fillId="0" borderId="0" xfId="0" applyNumberFormat="1" applyAlignment="1">
      <alignment horizontal="center" vertical="center" wrapText="1"/>
    </xf>
    <xf numFmtId="182" fontId="0" fillId="0" borderId="0" xfId="0" applyNumberFormat="1" applyAlignment="1">
      <alignment horizontal="right"/>
    </xf>
    <xf numFmtId="182" fontId="0" fillId="0" borderId="0" xfId="0" applyNumberFormat="1"/>
    <xf numFmtId="38" fontId="0" fillId="0" borderId="0" xfId="0" applyNumberFormat="1"/>
    <xf numFmtId="38" fontId="151" fillId="0" borderId="0" xfId="0" applyNumberFormat="1" applyFont="1" applyAlignment="1">
      <alignment horizontal="right"/>
    </xf>
    <xf numFmtId="38" fontId="140" fillId="0" borderId="0" xfId="0" applyNumberFormat="1" applyFont="1"/>
    <xf numFmtId="182" fontId="0" fillId="16" borderId="33" xfId="0" applyNumberFormat="1" applyFill="1" applyBorder="1"/>
    <xf numFmtId="3" fontId="105" fillId="16" borderId="27" xfId="0" applyNumberFormat="1" applyFont="1" applyFill="1" applyBorder="1" applyAlignment="1">
      <alignment horizontal="right"/>
    </xf>
    <xf numFmtId="38" fontId="36" fillId="16" borderId="27" xfId="0" applyNumberFormat="1" applyFont="1" applyFill="1" applyBorder="1" applyAlignment="1">
      <alignment horizontal="right"/>
    </xf>
    <xf numFmtId="38" fontId="31" fillId="16" borderId="28" xfId="0" applyNumberFormat="1" applyFont="1" applyFill="1" applyBorder="1"/>
    <xf numFmtId="182" fontId="152" fillId="0" borderId="0" xfId="0" applyNumberFormat="1" applyFont="1" applyAlignment="1">
      <alignment horizontal="center" vertical="center" wrapText="1"/>
    </xf>
    <xf numFmtId="0" fontId="152" fillId="0" borderId="0" xfId="0" applyFont="1" applyAlignment="1">
      <alignment horizontal="center" vertical="center" wrapText="1" readingOrder="1"/>
    </xf>
    <xf numFmtId="0" fontId="152" fillId="0" borderId="0" xfId="0" applyFont="1" applyAlignment="1">
      <alignment horizontal="center" vertical="center"/>
    </xf>
    <xf numFmtId="182" fontId="80" fillId="0" borderId="0" xfId="0" applyNumberFormat="1" applyFont="1" applyAlignment="1">
      <alignment horizontal="center" vertical="center"/>
    </xf>
    <xf numFmtId="182" fontId="75" fillId="0" borderId="0" xfId="0" applyNumberFormat="1" applyFont="1"/>
    <xf numFmtId="182" fontId="30" fillId="0" borderId="0" xfId="0" applyNumberFormat="1" applyFont="1"/>
    <xf numFmtId="38" fontId="105" fillId="0" borderId="0" xfId="0" applyNumberFormat="1" applyFont="1" applyAlignment="1">
      <alignment horizontal="right"/>
    </xf>
    <xf numFmtId="38" fontId="152" fillId="0" borderId="0" xfId="0" applyNumberFormat="1" applyFont="1" applyAlignment="1">
      <alignment horizontal="center" vertical="center" wrapText="1" readingOrder="1"/>
    </xf>
    <xf numFmtId="38" fontId="0" fillId="0" borderId="0" xfId="0" applyNumberFormat="1" applyAlignment="1">
      <alignment horizontal="center" vertical="center" wrapText="1" readingOrder="1"/>
    </xf>
    <xf numFmtId="38" fontId="92" fillId="16" borderId="27" xfId="0" applyNumberFormat="1" applyFont="1" applyFill="1" applyBorder="1" applyAlignment="1">
      <alignment horizontal="right"/>
    </xf>
    <xf numFmtId="3" fontId="0" fillId="16" borderId="27" xfId="0" applyNumberFormat="1" applyFill="1" applyBorder="1" applyAlignment="1">
      <alignment horizontal="center" vertical="center"/>
    </xf>
    <xf numFmtId="3" fontId="17" fillId="0" borderId="0" xfId="0" applyNumberFormat="1" applyFont="1"/>
    <xf numFmtId="166" fontId="140" fillId="0" borderId="0" xfId="0" applyNumberFormat="1" applyFont="1"/>
    <xf numFmtId="0" fontId="0" fillId="28" borderId="52" xfId="0" applyFill="1" applyBorder="1" applyAlignment="1">
      <alignment horizontal="center" vertical="center"/>
    </xf>
    <xf numFmtId="3" fontId="17" fillId="28" borderId="15" xfId="0" applyNumberFormat="1" applyFont="1" applyFill="1" applyBorder="1" applyAlignment="1">
      <alignment wrapText="1"/>
    </xf>
    <xf numFmtId="3" fontId="25" fillId="28" borderId="15" xfId="0" applyNumberFormat="1" applyFont="1" applyFill="1" applyBorder="1" applyAlignment="1">
      <alignment wrapText="1"/>
    </xf>
    <xf numFmtId="3" fontId="139" fillId="28" borderId="15" xfId="0" applyNumberFormat="1" applyFont="1" applyFill="1" applyBorder="1" applyAlignment="1">
      <alignment wrapText="1"/>
    </xf>
    <xf numFmtId="3" fontId="25" fillId="0" borderId="9" xfId="0" applyNumberFormat="1" applyFont="1" applyBorder="1" applyAlignment="1">
      <alignment wrapText="1"/>
    </xf>
    <xf numFmtId="3" fontId="25" fillId="28" borderId="11" xfId="0" applyNumberFormat="1" applyFont="1" applyFill="1" applyBorder="1" applyAlignment="1">
      <alignment wrapText="1"/>
    </xf>
    <xf numFmtId="3" fontId="17" fillId="0" borderId="9" xfId="0" applyNumberFormat="1" applyFont="1" applyBorder="1" applyAlignment="1">
      <alignment wrapText="1"/>
    </xf>
    <xf numFmtId="3" fontId="17" fillId="28" borderId="11" xfId="0" applyNumberFormat="1" applyFont="1" applyFill="1" applyBorder="1" applyAlignment="1">
      <alignment wrapText="1"/>
    </xf>
    <xf numFmtId="3" fontId="24" fillId="17" borderId="0" xfId="0" applyNumberFormat="1" applyFont="1" applyFill="1" applyAlignment="1">
      <alignment wrapText="1"/>
    </xf>
    <xf numFmtId="0" fontId="0" fillId="28" borderId="54" xfId="0" applyFill="1" applyBorder="1" applyAlignment="1">
      <alignment horizontal="center" vertical="center"/>
    </xf>
    <xf numFmtId="0" fontId="0" fillId="28" borderId="29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7" fillId="0" borderId="36" xfId="0" applyFont="1" applyBorder="1"/>
    <xf numFmtId="0" fontId="0" fillId="31" borderId="34" xfId="0" applyFill="1" applyBorder="1" applyAlignment="1">
      <alignment horizontal="center" vertical="center"/>
    </xf>
    <xf numFmtId="0" fontId="0" fillId="20" borderId="57" xfId="0" applyFill="1" applyBorder="1" applyAlignment="1">
      <alignment horizontal="center" vertical="center" wrapText="1"/>
    </xf>
    <xf numFmtId="0" fontId="0" fillId="31" borderId="5" xfId="0" applyFill="1" applyBorder="1" applyAlignment="1">
      <alignment horizontal="center" vertical="center" wrapText="1"/>
    </xf>
    <xf numFmtId="0" fontId="0" fillId="31" borderId="43" xfId="0" applyFill="1" applyBorder="1"/>
    <xf numFmtId="0" fontId="0" fillId="31" borderId="43" xfId="0" applyFill="1" applyBorder="1" applyAlignment="1">
      <alignment horizontal="center" vertical="center"/>
    </xf>
    <xf numFmtId="3" fontId="24" fillId="19" borderId="0" xfId="0" applyNumberFormat="1" applyFont="1" applyFill="1" applyAlignment="1">
      <alignment wrapText="1"/>
    </xf>
    <xf numFmtId="0" fontId="0" fillId="19" borderId="52" xfId="0" applyFill="1" applyBorder="1" applyAlignment="1">
      <alignment horizontal="center" vertical="center"/>
    </xf>
    <xf numFmtId="0" fontId="0" fillId="18" borderId="52" xfId="0" applyFill="1" applyBorder="1" applyAlignment="1">
      <alignment horizontal="center" vertical="center"/>
    </xf>
    <xf numFmtId="0" fontId="0" fillId="18" borderId="54" xfId="0" applyFill="1" applyBorder="1" applyAlignment="1">
      <alignment horizontal="center" vertical="center"/>
    </xf>
    <xf numFmtId="3" fontId="24" fillId="18" borderId="15" xfId="0" applyNumberFormat="1" applyFont="1" applyFill="1" applyBorder="1" applyAlignment="1">
      <alignment wrapText="1"/>
    </xf>
    <xf numFmtId="3" fontId="163" fillId="18" borderId="15" xfId="0" applyNumberFormat="1" applyFont="1" applyFill="1" applyBorder="1" applyAlignment="1">
      <alignment wrapText="1"/>
    </xf>
    <xf numFmtId="3" fontId="24" fillId="18" borderId="0" xfId="0" applyNumberFormat="1" applyFont="1" applyFill="1" applyAlignment="1">
      <alignment wrapText="1"/>
    </xf>
    <xf numFmtId="3" fontId="163" fillId="18" borderId="0" xfId="0" applyNumberFormat="1" applyFont="1" applyFill="1" applyAlignment="1">
      <alignment wrapText="1"/>
    </xf>
    <xf numFmtId="0" fontId="0" fillId="3" borderId="43" xfId="0" applyFill="1" applyBorder="1"/>
    <xf numFmtId="0" fontId="0" fillId="22" borderId="24" xfId="0" applyFill="1" applyBorder="1" applyAlignment="1">
      <alignment horizontal="center" vertical="center" wrapText="1"/>
    </xf>
    <xf numFmtId="0" fontId="0" fillId="18" borderId="24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52" xfId="0" applyFill="1" applyBorder="1" applyAlignment="1">
      <alignment horizontal="center" vertical="center"/>
    </xf>
    <xf numFmtId="3" fontId="17" fillId="17" borderId="15" xfId="0" applyNumberFormat="1" applyFont="1" applyFill="1" applyBorder="1" applyAlignment="1">
      <alignment wrapText="1"/>
    </xf>
    <xf numFmtId="3" fontId="139" fillId="17" borderId="15" xfId="0" applyNumberFormat="1" applyFont="1" applyFill="1" applyBorder="1" applyAlignment="1">
      <alignment wrapText="1"/>
    </xf>
    <xf numFmtId="0" fontId="21" fillId="0" borderId="1" xfId="0" applyFont="1" applyBorder="1" applyAlignment="1">
      <alignment wrapText="1"/>
    </xf>
    <xf numFmtId="3" fontId="24" fillId="2" borderId="0" xfId="0" applyNumberFormat="1" applyFont="1" applyFill="1" applyAlignment="1">
      <alignment wrapText="1"/>
    </xf>
    <xf numFmtId="169" fontId="65" fillId="2" borderId="0" xfId="0" applyNumberFormat="1" applyFont="1" applyFill="1" applyAlignment="1">
      <alignment wrapText="1"/>
    </xf>
    <xf numFmtId="0" fontId="17" fillId="2" borderId="0" xfId="0" applyFont="1" applyFill="1" applyAlignment="1">
      <alignment wrapText="1"/>
    </xf>
    <xf numFmtId="0" fontId="48" fillId="2" borderId="0" xfId="2" applyFont="1" applyFill="1" applyAlignment="1">
      <alignment readingOrder="1"/>
    </xf>
    <xf numFmtId="3" fontId="21" fillId="2" borderId="0" xfId="0" applyNumberFormat="1" applyFont="1" applyFill="1" applyAlignment="1">
      <alignment wrapText="1"/>
    </xf>
    <xf numFmtId="3" fontId="17" fillId="2" borderId="0" xfId="0" applyNumberFormat="1" applyFont="1" applyFill="1" applyAlignment="1">
      <alignment wrapText="1"/>
    </xf>
    <xf numFmtId="3" fontId="139" fillId="2" borderId="0" xfId="0" applyNumberFormat="1" applyFont="1" applyFill="1" applyAlignment="1">
      <alignment wrapText="1"/>
    </xf>
    <xf numFmtId="3" fontId="25" fillId="2" borderId="0" xfId="0" applyNumberFormat="1" applyFont="1" applyFill="1" applyAlignment="1">
      <alignment wrapText="1"/>
    </xf>
    <xf numFmtId="3" fontId="163" fillId="2" borderId="0" xfId="0" applyNumberFormat="1" applyFont="1" applyFill="1" applyAlignment="1">
      <alignment wrapText="1"/>
    </xf>
    <xf numFmtId="3" fontId="139" fillId="18" borderId="15" xfId="0" applyNumberFormat="1" applyFont="1" applyFill="1" applyBorder="1" applyAlignment="1">
      <alignment wrapText="1"/>
    </xf>
    <xf numFmtId="0" fontId="164" fillId="0" borderId="2" xfId="2" applyFont="1" applyBorder="1" applyAlignment="1">
      <alignment readingOrder="1"/>
    </xf>
    <xf numFmtId="0" fontId="0" fillId="24" borderId="26" xfId="0" applyFill="1" applyBorder="1" applyAlignment="1">
      <alignment horizontal="center" vertical="center" wrapText="1"/>
    </xf>
    <xf numFmtId="0" fontId="124" fillId="3" borderId="19" xfId="2" applyFont="1" applyFill="1" applyBorder="1" applyAlignment="1">
      <alignment readingOrder="1"/>
    </xf>
    <xf numFmtId="0" fontId="48" fillId="3" borderId="19" xfId="2" applyFont="1" applyFill="1" applyBorder="1" applyAlignment="1">
      <alignment readingOrder="1"/>
    </xf>
    <xf numFmtId="3" fontId="101" fillId="0" borderId="19" xfId="2" applyNumberFormat="1" applyFont="1" applyBorder="1" applyAlignment="1">
      <alignment readingOrder="1"/>
    </xf>
    <xf numFmtId="0" fontId="0" fillId="40" borderId="26" xfId="0" applyFill="1" applyBorder="1" applyAlignment="1">
      <alignment horizontal="center" vertical="center" wrapText="1"/>
    </xf>
    <xf numFmtId="3" fontId="136" fillId="28" borderId="15" xfId="0" applyNumberFormat="1" applyFont="1" applyFill="1" applyBorder="1" applyAlignment="1">
      <alignment wrapText="1"/>
    </xf>
    <xf numFmtId="3" fontId="48" fillId="0" borderId="2" xfId="2" applyNumberFormat="1" applyFont="1" applyBorder="1" applyAlignment="1">
      <alignment readingOrder="1"/>
    </xf>
    <xf numFmtId="3" fontId="88" fillId="0" borderId="2" xfId="2" applyNumberFormat="1" applyFont="1" applyBorder="1" applyAlignment="1">
      <alignment readingOrder="1"/>
    </xf>
    <xf numFmtId="0" fontId="130" fillId="7" borderId="2" xfId="2" applyFont="1" applyFill="1" applyBorder="1" applyAlignment="1">
      <alignment readingOrder="1"/>
    </xf>
    <xf numFmtId="169" fontId="30" fillId="16" borderId="2" xfId="0" applyNumberFormat="1" applyFont="1" applyFill="1" applyBorder="1" applyAlignment="1">
      <alignment horizontal="center" vertical="center"/>
    </xf>
    <xf numFmtId="0" fontId="48" fillId="0" borderId="19" xfId="2" applyFont="1" applyBorder="1" applyAlignment="1">
      <alignment horizontal="center" readingOrder="1"/>
    </xf>
    <xf numFmtId="0" fontId="165" fillId="0" borderId="19" xfId="2" applyFont="1" applyBorder="1" applyAlignment="1">
      <alignment horizontal="center" readingOrder="1"/>
    </xf>
    <xf numFmtId="0" fontId="48" fillId="2" borderId="0" xfId="2" applyFont="1" applyFill="1" applyAlignment="1">
      <alignment horizontal="center" readingOrder="1"/>
    </xf>
    <xf numFmtId="0" fontId="48" fillId="0" borderId="2" xfId="2" applyFont="1" applyBorder="1" applyAlignment="1">
      <alignment horizontal="center" readingOrder="1"/>
    </xf>
    <xf numFmtId="3" fontId="25" fillId="17" borderId="0" xfId="0" applyNumberFormat="1" applyFont="1" applyFill="1" applyAlignment="1">
      <alignment wrapText="1"/>
    </xf>
    <xf numFmtId="3" fontId="25" fillId="17" borderId="15" xfId="0" applyNumberFormat="1" applyFont="1" applyFill="1" applyBorder="1" applyAlignment="1">
      <alignment wrapText="1"/>
    </xf>
    <xf numFmtId="3" fontId="25" fillId="19" borderId="15" xfId="0" applyNumberFormat="1" applyFont="1" applyFill="1" applyBorder="1" applyAlignment="1">
      <alignment wrapText="1"/>
    </xf>
    <xf numFmtId="9" fontId="25" fillId="19" borderId="15" xfId="0" applyNumberFormat="1" applyFont="1" applyFill="1" applyBorder="1" applyAlignment="1">
      <alignment wrapText="1"/>
    </xf>
    <xf numFmtId="3" fontId="25" fillId="19" borderId="0" xfId="0" applyNumberFormat="1" applyFont="1" applyFill="1" applyAlignment="1">
      <alignment wrapText="1"/>
    </xf>
    <xf numFmtId="9" fontId="84" fillId="17" borderId="15" xfId="0" applyNumberFormat="1" applyFont="1" applyFill="1" applyBorder="1" applyAlignment="1">
      <alignment wrapText="1"/>
    </xf>
    <xf numFmtId="3" fontId="84" fillId="17" borderId="0" xfId="0" applyNumberFormat="1" applyFont="1" applyFill="1" applyAlignment="1">
      <alignment wrapText="1"/>
    </xf>
    <xf numFmtId="9" fontId="84" fillId="19" borderId="15" xfId="0" applyNumberFormat="1" applyFont="1" applyFill="1" applyBorder="1" applyAlignment="1">
      <alignment wrapText="1"/>
    </xf>
    <xf numFmtId="3" fontId="84" fillId="19" borderId="0" xfId="0" applyNumberFormat="1" applyFont="1" applyFill="1" applyAlignment="1">
      <alignment wrapText="1"/>
    </xf>
    <xf numFmtId="0" fontId="0" fillId="12" borderId="4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3" fontId="24" fillId="12" borderId="15" xfId="0" applyNumberFormat="1" applyFont="1" applyFill="1" applyBorder="1" applyAlignment="1">
      <alignment wrapText="1"/>
    </xf>
    <xf numFmtId="3" fontId="163" fillId="12" borderId="0" xfId="0" applyNumberFormat="1" applyFont="1" applyFill="1" applyAlignment="1">
      <alignment wrapText="1"/>
    </xf>
    <xf numFmtId="3" fontId="163" fillId="12" borderId="15" xfId="0" applyNumberFormat="1" applyFont="1" applyFill="1" applyBorder="1" applyAlignment="1">
      <alignment wrapText="1"/>
    </xf>
    <xf numFmtId="0" fontId="0" fillId="17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0" fontId="17" fillId="12" borderId="37" xfId="0" applyFont="1" applyFill="1" applyBorder="1" applyAlignment="1">
      <alignment horizontal="center"/>
    </xf>
    <xf numFmtId="3" fontId="119" fillId="18" borderId="0" xfId="0" applyNumberFormat="1" applyFont="1" applyFill="1" applyAlignment="1">
      <alignment wrapText="1"/>
    </xf>
    <xf numFmtId="0" fontId="0" fillId="18" borderId="1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center" wrapText="1"/>
    </xf>
    <xf numFmtId="0" fontId="0" fillId="38" borderId="4" xfId="0" applyFill="1" applyBorder="1" applyAlignment="1">
      <alignment horizontal="center" vertical="center" wrapText="1"/>
    </xf>
    <xf numFmtId="0" fontId="0" fillId="38" borderId="0" xfId="0" applyFill="1" applyAlignment="1">
      <alignment horizontal="center" vertical="center"/>
    </xf>
    <xf numFmtId="176" fontId="119" fillId="38" borderId="15" xfId="0" applyNumberFormat="1" applyFont="1" applyFill="1" applyBorder="1" applyAlignment="1">
      <alignment horizontal="center" wrapText="1"/>
    </xf>
    <xf numFmtId="166" fontId="119" fillId="38" borderId="15" xfId="0" applyNumberFormat="1" applyFont="1" applyFill="1" applyBorder="1" applyAlignment="1">
      <alignment wrapText="1"/>
    </xf>
    <xf numFmtId="3" fontId="119" fillId="38" borderId="15" xfId="0" applyNumberFormat="1" applyFont="1" applyFill="1" applyBorder="1" applyAlignment="1">
      <alignment wrapText="1"/>
    </xf>
    <xf numFmtId="3" fontId="119" fillId="38" borderId="0" xfId="0" applyNumberFormat="1" applyFont="1" applyFill="1" applyAlignment="1">
      <alignment wrapText="1"/>
    </xf>
    <xf numFmtId="0" fontId="0" fillId="29" borderId="26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176" fontId="54" fillId="19" borderId="1" xfId="0" applyNumberFormat="1" applyFont="1" applyFill="1" applyBorder="1" applyAlignment="1">
      <alignment horizontal="center" wrapText="1"/>
    </xf>
    <xf numFmtId="3" fontId="24" fillId="19" borderId="2" xfId="0" applyNumberFormat="1" applyFont="1" applyFill="1" applyBorder="1" applyAlignment="1">
      <alignment wrapText="1"/>
    </xf>
    <xf numFmtId="3" fontId="24" fillId="19" borderId="1" xfId="0" applyNumberFormat="1" applyFont="1" applyFill="1" applyBorder="1" applyAlignment="1">
      <alignment wrapText="1"/>
    </xf>
    <xf numFmtId="3" fontId="24" fillId="19" borderId="3" xfId="0" applyNumberFormat="1" applyFont="1" applyFill="1" applyBorder="1" applyAlignment="1">
      <alignment wrapText="1"/>
    </xf>
    <xf numFmtId="3" fontId="24" fillId="19" borderId="11" xfId="0" applyNumberFormat="1" applyFont="1" applyFill="1" applyBorder="1" applyAlignment="1">
      <alignment wrapText="1"/>
    </xf>
    <xf numFmtId="3" fontId="36" fillId="14" borderId="1" xfId="0" applyNumberFormat="1" applyFont="1" applyFill="1" applyBorder="1" applyAlignment="1">
      <alignment horizontal="center" wrapText="1"/>
    </xf>
    <xf numFmtId="3" fontId="24" fillId="14" borderId="0" xfId="0" applyNumberFormat="1" applyFont="1" applyFill="1" applyAlignment="1">
      <alignment wrapText="1"/>
    </xf>
    <xf numFmtId="3" fontId="24" fillId="14" borderId="2" xfId="0" applyNumberFormat="1" applyFont="1" applyFill="1" applyBorder="1" applyAlignment="1">
      <alignment wrapText="1"/>
    </xf>
    <xf numFmtId="3" fontId="24" fillId="14" borderId="1" xfId="0" applyNumberFormat="1" applyFont="1" applyFill="1" applyBorder="1" applyAlignment="1">
      <alignment wrapText="1"/>
    </xf>
    <xf numFmtId="3" fontId="24" fillId="14" borderId="3" xfId="0" applyNumberFormat="1" applyFont="1" applyFill="1" applyBorder="1" applyAlignment="1">
      <alignment wrapText="1"/>
    </xf>
    <xf numFmtId="3" fontId="24" fillId="14" borderId="11" xfId="0" applyNumberFormat="1" applyFont="1" applyFill="1" applyBorder="1" applyAlignment="1">
      <alignment wrapText="1"/>
    </xf>
    <xf numFmtId="0" fontId="166" fillId="0" borderId="2" xfId="2" applyFont="1" applyBorder="1" applyAlignment="1">
      <alignment horizontal="center" readingOrder="1"/>
    </xf>
    <xf numFmtId="0" fontId="166" fillId="0" borderId="1" xfId="2" applyFont="1" applyBorder="1" applyAlignment="1">
      <alignment horizontal="center" readingOrder="1"/>
    </xf>
    <xf numFmtId="0" fontId="138" fillId="0" borderId="19" xfId="2" applyFont="1" applyBorder="1" applyAlignment="1">
      <alignment horizontal="center" readingOrder="1"/>
    </xf>
    <xf numFmtId="164" fontId="32" fillId="38" borderId="1" xfId="0" applyNumberFormat="1" applyFont="1" applyFill="1" applyBorder="1" applyAlignment="1">
      <alignment horizontal="center"/>
    </xf>
    <xf numFmtId="0" fontId="0" fillId="38" borderId="2" xfId="0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right"/>
    </xf>
    <xf numFmtId="3" fontId="24" fillId="8" borderId="1" xfId="0" applyNumberFormat="1" applyFont="1" applyFill="1" applyBorder="1" applyAlignment="1">
      <alignment wrapText="1"/>
    </xf>
    <xf numFmtId="3" fontId="24" fillId="8" borderId="2" xfId="0" applyNumberFormat="1" applyFont="1" applyFill="1" applyBorder="1" applyAlignment="1">
      <alignment wrapText="1"/>
    </xf>
    <xf numFmtId="3" fontId="24" fillId="8" borderId="3" xfId="0" applyNumberFormat="1" applyFont="1" applyFill="1" applyBorder="1" applyAlignment="1">
      <alignment wrapText="1"/>
    </xf>
    <xf numFmtId="3" fontId="24" fillId="8" borderId="11" xfId="0" applyNumberFormat="1" applyFont="1" applyFill="1" applyBorder="1" applyAlignment="1">
      <alignment wrapText="1"/>
    </xf>
    <xf numFmtId="9" fontId="36" fillId="8" borderId="1" xfId="0" applyNumberFormat="1" applyFont="1" applyFill="1" applyBorder="1" applyAlignment="1">
      <alignment horizontal="center" wrapText="1"/>
    </xf>
    <xf numFmtId="176" fontId="36" fillId="8" borderId="1" xfId="0" applyNumberFormat="1" applyFont="1" applyFill="1" applyBorder="1" applyAlignment="1">
      <alignment horizontal="center" wrapText="1"/>
    </xf>
    <xf numFmtId="0" fontId="153" fillId="0" borderId="0" xfId="0" applyFont="1"/>
    <xf numFmtId="164" fontId="28" fillId="19" borderId="1" xfId="0" applyNumberFormat="1" applyFont="1" applyFill="1" applyBorder="1" applyAlignment="1">
      <alignment horizontal="right"/>
    </xf>
    <xf numFmtId="0" fontId="17" fillId="0" borderId="1" xfId="0" applyFont="1" applyBorder="1" applyAlignment="1">
      <alignment wrapText="1"/>
    </xf>
    <xf numFmtId="3" fontId="30" fillId="28" borderId="15" xfId="0" applyNumberFormat="1" applyFont="1" applyFill="1" applyBorder="1" applyAlignment="1">
      <alignment wrapText="1"/>
    </xf>
    <xf numFmtId="3" fontId="31" fillId="28" borderId="15" xfId="0" applyNumberFormat="1" applyFont="1" applyFill="1" applyBorder="1" applyAlignment="1">
      <alignment wrapText="1"/>
    </xf>
    <xf numFmtId="3" fontId="35" fillId="28" borderId="43" xfId="0" applyNumberFormat="1" applyFont="1" applyFill="1" applyBorder="1" applyAlignment="1">
      <alignment wrapText="1"/>
    </xf>
    <xf numFmtId="3" fontId="167" fillId="28" borderId="15" xfId="0" applyNumberFormat="1" applyFont="1" applyFill="1" applyBorder="1" applyAlignment="1">
      <alignment wrapText="1"/>
    </xf>
    <xf numFmtId="3" fontId="31" fillId="2" borderId="0" xfId="0" applyNumberFormat="1" applyFont="1" applyFill="1" applyAlignment="1">
      <alignment wrapText="1"/>
    </xf>
    <xf numFmtId="3" fontId="35" fillId="2" borderId="0" xfId="0" applyNumberFormat="1" applyFont="1" applyFill="1" applyAlignment="1">
      <alignment wrapText="1"/>
    </xf>
    <xf numFmtId="3" fontId="30" fillId="0" borderId="9" xfId="0" applyNumberFormat="1" applyFont="1" applyBorder="1" applyAlignment="1">
      <alignment wrapText="1"/>
    </xf>
    <xf numFmtId="3" fontId="36" fillId="0" borderId="9" xfId="0" applyNumberFormat="1" applyFont="1" applyBorder="1" applyAlignment="1">
      <alignment wrapText="1"/>
    </xf>
    <xf numFmtId="3" fontId="35" fillId="0" borderId="9" xfId="0" applyNumberFormat="1" applyFont="1" applyBorder="1" applyAlignment="1">
      <alignment wrapText="1"/>
    </xf>
    <xf numFmtId="3" fontId="36" fillId="13" borderId="11" xfId="0" applyNumberFormat="1" applyFont="1" applyFill="1" applyBorder="1" applyAlignment="1">
      <alignment wrapText="1"/>
    </xf>
    <xf numFmtId="3" fontId="30" fillId="28" borderId="11" xfId="0" applyNumberFormat="1" applyFont="1" applyFill="1" applyBorder="1" applyAlignment="1">
      <alignment wrapText="1"/>
    </xf>
    <xf numFmtId="3" fontId="36" fillId="28" borderId="11" xfId="0" applyNumberFormat="1" applyFont="1" applyFill="1" applyBorder="1" applyAlignment="1">
      <alignment wrapText="1"/>
    </xf>
    <xf numFmtId="3" fontId="35" fillId="28" borderId="11" xfId="0" applyNumberFormat="1" applyFont="1" applyFill="1" applyBorder="1" applyAlignment="1">
      <alignment wrapText="1"/>
    </xf>
    <xf numFmtId="3" fontId="104" fillId="0" borderId="0" xfId="0" applyNumberFormat="1" applyFont="1" applyAlignment="1">
      <alignment horizontal="center" wrapText="1"/>
    </xf>
    <xf numFmtId="164" fontId="36" fillId="7" borderId="1" xfId="0" applyNumberFormat="1" applyFont="1" applyFill="1" applyBorder="1" applyAlignment="1">
      <alignment horizontal="right"/>
    </xf>
    <xf numFmtId="0" fontId="0" fillId="17" borderId="19" xfId="0" applyFill="1" applyBorder="1" applyAlignment="1">
      <alignment horizontal="center" vertical="center" wrapText="1"/>
    </xf>
    <xf numFmtId="0" fontId="0" fillId="17" borderId="54" xfId="0" applyFill="1" applyBorder="1" applyAlignment="1">
      <alignment horizontal="center" vertical="center"/>
    </xf>
    <xf numFmtId="3" fontId="25" fillId="17" borderId="15" xfId="0" applyNumberFormat="1" applyFont="1" applyFill="1" applyBorder="1" applyAlignment="1">
      <alignment horizontal="center" wrapText="1"/>
    </xf>
    <xf numFmtId="3" fontId="14" fillId="2" borderId="1" xfId="0" applyNumberFormat="1" applyFont="1" applyFill="1" applyBorder="1" applyAlignment="1">
      <alignment horizontal="center" vertical="center"/>
    </xf>
    <xf numFmtId="9" fontId="84" fillId="19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right" wrapText="1"/>
    </xf>
    <xf numFmtId="0" fontId="25" fillId="0" borderId="0" xfId="0" applyFont="1" applyAlignment="1">
      <alignment horizontal="center" wrapText="1"/>
    </xf>
    <xf numFmtId="3" fontId="24" fillId="0" borderId="0" xfId="0" applyNumberFormat="1" applyFont="1" applyAlignment="1">
      <alignment horizontal="right" wrapText="1"/>
    </xf>
    <xf numFmtId="3" fontId="108" fillId="0" borderId="0" xfId="0" applyNumberFormat="1" applyFont="1" applyAlignment="1">
      <alignment horizontal="right"/>
    </xf>
    <xf numFmtId="3" fontId="108" fillId="0" borderId="0" xfId="0" applyNumberFormat="1" applyFont="1" applyAlignment="1">
      <alignment horizontal="right" wrapText="1"/>
    </xf>
    <xf numFmtId="3" fontId="139" fillId="0" borderId="0" xfId="0" applyNumberFormat="1" applyFont="1" applyAlignment="1">
      <alignment horizontal="right"/>
    </xf>
    <xf numFmtId="166" fontId="139" fillId="0" borderId="0" xfId="0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3" fontId="0" fillId="0" borderId="0" xfId="0" applyNumberFormat="1" applyAlignment="1">
      <alignment horizontal="right" vertical="top" wrapText="1"/>
    </xf>
    <xf numFmtId="3" fontId="55" fillId="0" borderId="0" xfId="0" applyNumberFormat="1" applyFont="1" applyAlignment="1">
      <alignment horizontal="center" wrapText="1"/>
    </xf>
    <xf numFmtId="3" fontId="0" fillId="0" borderId="0" xfId="0" applyNumberFormat="1" applyAlignment="1">
      <alignment horizontal="center" vertical="top" wrapText="1"/>
    </xf>
    <xf numFmtId="0" fontId="40" fillId="0" borderId="0" xfId="0" applyFont="1" applyAlignment="1">
      <alignment horizontal="center" wrapText="1"/>
    </xf>
    <xf numFmtId="3" fontId="151" fillId="0" borderId="0" xfId="0" applyNumberFormat="1" applyFont="1" applyAlignment="1">
      <alignment horizontal="right" wrapText="1"/>
    </xf>
    <xf numFmtId="3" fontId="105" fillId="0" borderId="0" xfId="0" applyNumberFormat="1" applyFont="1" applyAlignment="1">
      <alignment horizontal="right" wrapText="1"/>
    </xf>
    <xf numFmtId="9" fontId="55" fillId="2" borderId="1" xfId="0" applyNumberFormat="1" applyFont="1" applyFill="1" applyBorder="1" applyAlignment="1">
      <alignment horizontal="right" wrapText="1"/>
    </xf>
    <xf numFmtId="9" fontId="32" fillId="34" borderId="1" xfId="0" applyNumberFormat="1" applyFont="1" applyFill="1" applyBorder="1" applyAlignment="1">
      <alignment horizontal="right"/>
    </xf>
    <xf numFmtId="9" fontId="139" fillId="0" borderId="0" xfId="0" applyNumberFormat="1" applyFont="1"/>
    <xf numFmtId="3" fontId="35" fillId="9" borderId="0" xfId="0" applyNumberFormat="1" applyFont="1" applyFill="1" applyAlignment="1">
      <alignment horizontal="right"/>
    </xf>
    <xf numFmtId="3" fontId="0" fillId="11" borderId="0" xfId="0" applyNumberFormat="1" applyFill="1" applyAlignment="1">
      <alignment horizontal="right"/>
    </xf>
    <xf numFmtId="164" fontId="49" fillId="11" borderId="1" xfId="0" applyNumberFormat="1" applyFont="1" applyFill="1" applyBorder="1" applyAlignment="1">
      <alignment horizontal="right"/>
    </xf>
    <xf numFmtId="3" fontId="28" fillId="28" borderId="15" xfId="0" applyNumberFormat="1" applyFont="1" applyFill="1" applyBorder="1" applyAlignment="1">
      <alignment wrapText="1"/>
    </xf>
    <xf numFmtId="3" fontId="28" fillId="2" borderId="0" xfId="0" applyNumberFormat="1" applyFont="1" applyFill="1" applyAlignment="1">
      <alignment wrapText="1"/>
    </xf>
    <xf numFmtId="3" fontId="108" fillId="41" borderId="0" xfId="0" applyNumberFormat="1" applyFont="1" applyFill="1" applyAlignment="1">
      <alignment horizontal="right" wrapText="1"/>
    </xf>
    <xf numFmtId="3" fontId="139" fillId="41" borderId="0" xfId="0" applyNumberFormat="1" applyFont="1" applyFill="1" applyAlignment="1">
      <alignment horizontal="right"/>
    </xf>
    <xf numFmtId="3" fontId="0" fillId="41" borderId="0" xfId="0" applyNumberFormat="1" applyFill="1" applyAlignment="1">
      <alignment horizontal="right"/>
    </xf>
    <xf numFmtId="3" fontId="108" fillId="41" borderId="0" xfId="0" applyNumberFormat="1" applyFont="1" applyFill="1" applyAlignment="1">
      <alignment horizontal="right"/>
    </xf>
    <xf numFmtId="166" fontId="139" fillId="41" borderId="0" xfId="0" applyNumberFormat="1" applyFont="1" applyFill="1" applyAlignment="1">
      <alignment horizontal="right"/>
    </xf>
    <xf numFmtId="3" fontId="25" fillId="41" borderId="0" xfId="0" applyNumberFormat="1" applyFont="1" applyFill="1" applyAlignment="1">
      <alignment horizontal="right"/>
    </xf>
    <xf numFmtId="3" fontId="0" fillId="41" borderId="0" xfId="0" applyNumberFormat="1" applyFill="1" applyAlignment="1">
      <alignment horizontal="left"/>
    </xf>
    <xf numFmtId="3" fontId="70" fillId="41" borderId="0" xfId="0" applyNumberFormat="1" applyFont="1" applyFill="1" applyAlignment="1">
      <alignment horizontal="center" vertical="center"/>
    </xf>
    <xf numFmtId="3" fontId="141" fillId="41" borderId="0" xfId="0" applyNumberFormat="1" applyFont="1" applyFill="1" applyAlignment="1">
      <alignment horizontal="right"/>
    </xf>
    <xf numFmtId="0" fontId="0" fillId="41" borderId="0" xfId="0" applyFill="1" applyAlignment="1">
      <alignment horizontal="left"/>
    </xf>
    <xf numFmtId="3" fontId="24" fillId="41" borderId="0" xfId="0" applyNumberFormat="1" applyFont="1" applyFill="1" applyAlignment="1">
      <alignment horizontal="right"/>
    </xf>
    <xf numFmtId="3" fontId="105" fillId="41" borderId="0" xfId="0" applyNumberFormat="1" applyFont="1" applyFill="1" applyAlignment="1">
      <alignment horizontal="right" wrapText="1"/>
    </xf>
    <xf numFmtId="0" fontId="40" fillId="41" borderId="0" xfId="0" applyFont="1" applyFill="1" applyAlignment="1">
      <alignment horizontal="center" wrapText="1"/>
    </xf>
    <xf numFmtId="3" fontId="151" fillId="41" borderId="0" xfId="0" applyNumberFormat="1" applyFont="1" applyFill="1" applyAlignment="1">
      <alignment horizontal="right" wrapText="1"/>
    </xf>
    <xf numFmtId="3" fontId="92" fillId="41" borderId="0" xfId="0" applyNumberFormat="1" applyFont="1" applyFill="1" applyAlignment="1">
      <alignment horizontal="right"/>
    </xf>
    <xf numFmtId="3" fontId="105" fillId="41" borderId="0" xfId="0" applyNumberFormat="1" applyFont="1" applyFill="1" applyAlignment="1">
      <alignment horizontal="right"/>
    </xf>
    <xf numFmtId="3" fontId="24" fillId="41" borderId="0" xfId="0" applyNumberFormat="1" applyFont="1" applyFill="1"/>
    <xf numFmtId="38" fontId="53" fillId="0" borderId="0" xfId="0" applyNumberFormat="1" applyFont="1" applyAlignment="1">
      <alignment horizontal="right"/>
    </xf>
    <xf numFmtId="14" fontId="103" fillId="0" borderId="0" xfId="0" applyNumberFormat="1" applyFont="1"/>
    <xf numFmtId="168" fontId="25" fillId="2" borderId="2" xfId="0" applyNumberFormat="1" applyFont="1" applyFill="1" applyBorder="1" applyAlignment="1">
      <alignment horizontal="right"/>
    </xf>
    <xf numFmtId="4" fontId="27" fillId="2" borderId="2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166" fontId="169" fillId="3" borderId="3" xfId="0" applyNumberFormat="1" applyFont="1" applyFill="1" applyBorder="1" applyAlignment="1">
      <alignment horizontal="center" vertical="center" wrapText="1"/>
    </xf>
    <xf numFmtId="0" fontId="0" fillId="0" borderId="16" xfId="0" applyBorder="1"/>
    <xf numFmtId="1" fontId="17" fillId="28" borderId="0" xfId="0" applyNumberFormat="1" applyFont="1" applyFill="1" applyAlignment="1">
      <alignment horizontal="right"/>
    </xf>
    <xf numFmtId="164" fontId="49" fillId="28" borderId="0" xfId="0" applyNumberFormat="1" applyFont="1" applyFill="1" applyAlignment="1">
      <alignment horizontal="right"/>
    </xf>
    <xf numFmtId="164" fontId="55" fillId="28" borderId="0" xfId="0" applyNumberFormat="1" applyFont="1" applyFill="1" applyAlignment="1">
      <alignment horizontal="right"/>
    </xf>
    <xf numFmtId="169" fontId="106" fillId="28" borderId="0" xfId="0" applyNumberFormat="1" applyFont="1" applyFill="1" applyAlignment="1">
      <alignment horizontal="right"/>
    </xf>
    <xf numFmtId="172" fontId="71" fillId="28" borderId="0" xfId="0" applyNumberFormat="1" applyFont="1" applyFill="1" applyAlignment="1">
      <alignment horizontal="right"/>
    </xf>
    <xf numFmtId="9" fontId="49" fillId="34" borderId="0" xfId="0" applyNumberFormat="1" applyFont="1" applyFill="1" applyAlignment="1">
      <alignment horizontal="right"/>
    </xf>
    <xf numFmtId="38" fontId="56" fillId="34" borderId="0" xfId="0" applyNumberFormat="1" applyFont="1" applyFill="1" applyAlignment="1">
      <alignment horizontal="center"/>
    </xf>
    <xf numFmtId="9" fontId="67" fillId="34" borderId="0" xfId="0" applyNumberFormat="1" applyFont="1" applyFill="1" applyAlignment="1">
      <alignment horizontal="center"/>
    </xf>
    <xf numFmtId="172" fontId="156" fillId="34" borderId="0" xfId="0" applyNumberFormat="1" applyFont="1" applyFill="1" applyAlignment="1">
      <alignment horizontal="center"/>
    </xf>
    <xf numFmtId="9" fontId="32" fillId="34" borderId="0" xfId="0" applyNumberFormat="1" applyFont="1" applyFill="1" applyAlignment="1">
      <alignment horizontal="center"/>
    </xf>
    <xf numFmtId="164" fontId="30" fillId="7" borderId="0" xfId="0" applyNumberFormat="1" applyFont="1" applyFill="1" applyAlignment="1">
      <alignment horizontal="right"/>
    </xf>
    <xf numFmtId="164" fontId="72" fillId="38" borderId="0" xfId="0" applyNumberFormat="1" applyFont="1" applyFill="1" applyAlignment="1">
      <alignment horizontal="right"/>
    </xf>
    <xf numFmtId="164" fontId="57" fillId="38" borderId="0" xfId="0" applyNumberFormat="1" applyFont="1" applyFill="1" applyAlignment="1">
      <alignment horizontal="center"/>
    </xf>
    <xf numFmtId="170" fontId="25" fillId="0" borderId="0" xfId="0" applyNumberFormat="1" applyFont="1" applyAlignment="1">
      <alignment horizontal="right"/>
    </xf>
    <xf numFmtId="169" fontId="53" fillId="28" borderId="0" xfId="0" applyNumberFormat="1" applyFont="1" applyFill="1" applyAlignment="1">
      <alignment horizontal="right"/>
    </xf>
    <xf numFmtId="164" fontId="57" fillId="7" borderId="0" xfId="0" applyNumberFormat="1" applyFont="1" applyFill="1" applyAlignment="1">
      <alignment horizontal="center"/>
    </xf>
    <xf numFmtId="3" fontId="63" fillId="2" borderId="0" xfId="0" applyNumberFormat="1" applyFont="1" applyFill="1" applyAlignment="1">
      <alignment horizontal="center"/>
    </xf>
    <xf numFmtId="3" fontId="27" fillId="19" borderId="0" xfId="0" applyNumberFormat="1" applyFont="1" applyFill="1" applyAlignment="1">
      <alignment horizontal="right"/>
    </xf>
    <xf numFmtId="4" fontId="24" fillId="28" borderId="0" xfId="0" applyNumberFormat="1" applyFont="1" applyFill="1" applyAlignment="1">
      <alignment horizontal="right"/>
    </xf>
    <xf numFmtId="164" fontId="17" fillId="2" borderId="0" xfId="0" applyNumberFormat="1" applyFont="1" applyFill="1" applyAlignment="1">
      <alignment horizontal="center"/>
    </xf>
    <xf numFmtId="3" fontId="25" fillId="7" borderId="1" xfId="0" applyNumberFormat="1" applyFont="1" applyFill="1" applyBorder="1" applyAlignment="1">
      <alignment horizontal="right"/>
    </xf>
    <xf numFmtId="169" fontId="24" fillId="28" borderId="0" xfId="0" applyNumberFormat="1" applyFont="1" applyFill="1" applyAlignment="1">
      <alignment horizontal="right"/>
    </xf>
    <xf numFmtId="166" fontId="170" fillId="19" borderId="2" xfId="0" applyNumberFormat="1" applyFont="1" applyFill="1" applyBorder="1" applyAlignment="1">
      <alignment horizontal="right"/>
    </xf>
    <xf numFmtId="166" fontId="171" fillId="19" borderId="2" xfId="0" applyNumberFormat="1" applyFont="1" applyFill="1" applyBorder="1" applyAlignment="1">
      <alignment horizontal="right"/>
    </xf>
    <xf numFmtId="38" fontId="56" fillId="2" borderId="1" xfId="0" applyNumberFormat="1" applyFont="1" applyFill="1" applyBorder="1" applyAlignment="1">
      <alignment horizontal="right"/>
    </xf>
    <xf numFmtId="0" fontId="124" fillId="0" borderId="19" xfId="2" applyFont="1" applyBorder="1" applyAlignment="1">
      <alignment readingOrder="1"/>
    </xf>
    <xf numFmtId="0" fontId="47" fillId="0" borderId="19" xfId="2" applyFont="1" applyBorder="1" applyAlignment="1">
      <alignment readingOrder="1"/>
    </xf>
    <xf numFmtId="0" fontId="101" fillId="0" borderId="19" xfId="2" applyFont="1" applyBorder="1" applyAlignment="1">
      <alignment readingOrder="1"/>
    </xf>
    <xf numFmtId="0" fontId="0" fillId="43" borderId="26" xfId="0" applyFill="1" applyBorder="1" applyAlignment="1">
      <alignment horizontal="center" vertical="center" wrapText="1"/>
    </xf>
    <xf numFmtId="169" fontId="54" fillId="19" borderId="1" xfId="0" applyNumberFormat="1" applyFont="1" applyFill="1" applyBorder="1" applyAlignment="1">
      <alignment horizontal="center" wrapText="1"/>
    </xf>
    <xf numFmtId="169" fontId="165" fillId="19" borderId="19" xfId="2" applyNumberFormat="1" applyFont="1" applyFill="1" applyBorder="1" applyAlignment="1">
      <alignment horizontal="center" readingOrder="1"/>
    </xf>
    <xf numFmtId="38" fontId="25" fillId="0" borderId="0" xfId="0" applyNumberFormat="1" applyFont="1" applyAlignment="1">
      <alignment horizontal="right"/>
    </xf>
    <xf numFmtId="3" fontId="27" fillId="2" borderId="1" xfId="0" applyNumberFormat="1" applyFont="1" applyFill="1" applyBorder="1" applyAlignment="1">
      <alignment horizontal="right"/>
    </xf>
    <xf numFmtId="3" fontId="81" fillId="2" borderId="2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4" fontId="17" fillId="2" borderId="0" xfId="0" applyNumberFormat="1" applyFont="1" applyFill="1" applyAlignment="1">
      <alignment horizontal="right"/>
    </xf>
    <xf numFmtId="164" fontId="25" fillId="35" borderId="0" xfId="0" applyNumberFormat="1" applyFont="1" applyFill="1" applyAlignment="1">
      <alignment horizontal="right"/>
    </xf>
    <xf numFmtId="3" fontId="23" fillId="7" borderId="0" xfId="0" applyNumberFormat="1" applyFont="1" applyFill="1" applyAlignment="1">
      <alignment horizontal="right"/>
    </xf>
    <xf numFmtId="169" fontId="53" fillId="2" borderId="0" xfId="0" applyNumberFormat="1" applyFont="1" applyFill="1" applyAlignment="1">
      <alignment horizontal="right"/>
    </xf>
    <xf numFmtId="3" fontId="21" fillId="2" borderId="0" xfId="0" applyNumberFormat="1" applyFont="1" applyFill="1" applyAlignment="1">
      <alignment horizontal="right"/>
    </xf>
    <xf numFmtId="166" fontId="21" fillId="2" borderId="0" xfId="0" applyNumberFormat="1" applyFont="1" applyFill="1" applyAlignment="1">
      <alignment horizontal="right"/>
    </xf>
    <xf numFmtId="166" fontId="27" fillId="2" borderId="0" xfId="0" applyNumberFormat="1" applyFont="1" applyFill="1" applyAlignment="1">
      <alignment horizontal="right"/>
    </xf>
    <xf numFmtId="3" fontId="85" fillId="13" borderId="17" xfId="0" applyNumberFormat="1" applyFont="1" applyFill="1" applyBorder="1" applyAlignment="1">
      <alignment horizontal="right"/>
    </xf>
    <xf numFmtId="3" fontId="76" fillId="2" borderId="58" xfId="0" applyNumberFormat="1" applyFont="1" applyFill="1" applyBorder="1" applyAlignment="1">
      <alignment horizontal="right"/>
    </xf>
    <xf numFmtId="3" fontId="0" fillId="9" borderId="9" xfId="0" applyNumberFormat="1" applyFill="1" applyBorder="1" applyAlignment="1">
      <alignment horizontal="right"/>
    </xf>
    <xf numFmtId="3" fontId="84" fillId="9" borderId="9" xfId="0" applyNumberFormat="1" applyFont="1" applyFill="1" applyBorder="1" applyAlignment="1">
      <alignment horizontal="right"/>
    </xf>
    <xf numFmtId="3" fontId="24" fillId="9" borderId="10" xfId="0" applyNumberFormat="1" applyFont="1" applyFill="1" applyBorder="1" applyAlignment="1">
      <alignment horizontal="right"/>
    </xf>
    <xf numFmtId="3" fontId="65" fillId="0" borderId="40" xfId="0" applyNumberFormat="1" applyFont="1" applyBorder="1" applyAlignment="1">
      <alignment horizontal="right"/>
    </xf>
    <xf numFmtId="0" fontId="174" fillId="44" borderId="59" xfId="0" applyFont="1" applyFill="1" applyBorder="1"/>
    <xf numFmtId="0" fontId="174" fillId="44" borderId="35" xfId="0" applyFont="1" applyFill="1" applyBorder="1"/>
    <xf numFmtId="180" fontId="174" fillId="44" borderId="35" xfId="0" applyNumberFormat="1" applyFont="1" applyFill="1" applyBorder="1"/>
    <xf numFmtId="0" fontId="0" fillId="0" borderId="60" xfId="0" applyBorder="1"/>
    <xf numFmtId="0" fontId="0" fillId="0" borderId="61" xfId="0" applyBorder="1"/>
    <xf numFmtId="181" fontId="28" fillId="2" borderId="2" xfId="0" applyNumberFormat="1" applyFont="1" applyFill="1" applyBorder="1" applyAlignment="1">
      <alignment horizontal="right"/>
    </xf>
    <xf numFmtId="3" fontId="36" fillId="22" borderId="2" xfId="0" applyNumberFormat="1" applyFont="1" applyFill="1" applyBorder="1" applyAlignment="1">
      <alignment horizontal="right"/>
    </xf>
    <xf numFmtId="168" fontId="54" fillId="2" borderId="2" xfId="0" applyNumberFormat="1" applyFont="1" applyFill="1" applyBorder="1" applyAlignment="1">
      <alignment horizontal="right" wrapText="1"/>
    </xf>
    <xf numFmtId="168" fontId="54" fillId="2" borderId="1" xfId="0" applyNumberFormat="1" applyFont="1" applyFill="1" applyBorder="1" applyAlignment="1">
      <alignment horizontal="right" wrapText="1"/>
    </xf>
    <xf numFmtId="181" fontId="17" fillId="2" borderId="1" xfId="0" applyNumberFormat="1" applyFont="1" applyFill="1" applyBorder="1" applyAlignment="1">
      <alignment horizontal="left" vertical="top"/>
    </xf>
    <xf numFmtId="181" fontId="24" fillId="22" borderId="1" xfId="0" applyNumberFormat="1" applyFont="1" applyFill="1" applyBorder="1" applyAlignment="1">
      <alignment horizontal="left" vertical="top"/>
    </xf>
    <xf numFmtId="181" fontId="24" fillId="2" borderId="0" xfId="0" applyNumberFormat="1" applyFont="1" applyFill="1" applyAlignment="1">
      <alignment horizontal="right"/>
    </xf>
    <xf numFmtId="3" fontId="175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0" fontId="0" fillId="0" borderId="2" xfId="0" applyBorder="1" applyAlignment="1">
      <alignment horizontal="right" vertical="top"/>
    </xf>
    <xf numFmtId="3" fontId="51" fillId="2" borderId="0" xfId="0" applyNumberFormat="1" applyFont="1" applyFill="1" applyAlignment="1">
      <alignment horizontal="right" vertical="top" wrapText="1"/>
    </xf>
    <xf numFmtId="3" fontId="65" fillId="32" borderId="0" xfId="0" applyNumberFormat="1" applyFont="1" applyFill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2" xfId="0" applyBorder="1" applyAlignment="1">
      <alignment horizontal="left"/>
    </xf>
    <xf numFmtId="3" fontId="25" fillId="2" borderId="3" xfId="0" applyNumberFormat="1" applyFont="1" applyFill="1" applyBorder="1" applyAlignment="1">
      <alignment horizontal="left"/>
    </xf>
    <xf numFmtId="3" fontId="25" fillId="2" borderId="2" xfId="0" applyNumberFormat="1" applyFont="1" applyFill="1" applyBorder="1" applyAlignment="1">
      <alignment horizontal="left"/>
    </xf>
    <xf numFmtId="3" fontId="107" fillId="2" borderId="0" xfId="0" applyNumberFormat="1" applyFont="1" applyFill="1" applyAlignment="1">
      <alignment horizontal="left" wrapText="1"/>
    </xf>
    <xf numFmtId="182" fontId="17" fillId="32" borderId="0" xfId="0" applyNumberFormat="1" applyFont="1" applyFill="1" applyAlignment="1">
      <alignment horizontal="left"/>
    </xf>
    <xf numFmtId="3" fontId="25" fillId="2" borderId="24" xfId="0" applyNumberFormat="1" applyFont="1" applyFill="1" applyBorder="1" applyAlignment="1">
      <alignment horizontal="left"/>
    </xf>
    <xf numFmtId="182" fontId="33" fillId="2" borderId="18" xfId="0" applyNumberFormat="1" applyFont="1" applyFill="1" applyBorder="1" applyAlignment="1">
      <alignment horizontal="left"/>
    </xf>
    <xf numFmtId="164" fontId="24" fillId="2" borderId="1" xfId="0" applyNumberFormat="1" applyFont="1" applyFill="1" applyBorder="1" applyAlignment="1">
      <alignment horizontal="center"/>
    </xf>
    <xf numFmtId="3" fontId="139" fillId="0" borderId="19" xfId="0" applyNumberFormat="1" applyFont="1" applyBorder="1" applyAlignment="1">
      <alignment horizontal="right"/>
    </xf>
    <xf numFmtId="3" fontId="25" fillId="28" borderId="62" xfId="0" applyNumberFormat="1" applyFont="1" applyFill="1" applyBorder="1" applyAlignment="1">
      <alignment wrapText="1"/>
    </xf>
    <xf numFmtId="3" fontId="25" fillId="2" borderId="6" xfId="0" applyNumberFormat="1" applyFont="1" applyFill="1" applyBorder="1" applyAlignment="1">
      <alignment wrapText="1"/>
    </xf>
    <xf numFmtId="3" fontId="154" fillId="0" borderId="0" xfId="0" applyNumberFormat="1" applyFont="1"/>
    <xf numFmtId="9" fontId="24" fillId="19" borderId="0" xfId="0" applyNumberFormat="1" applyFont="1" applyFill="1"/>
    <xf numFmtId="0" fontId="177" fillId="0" borderId="0" xfId="0" applyFont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178" fillId="0" borderId="0" xfId="0" applyFont="1"/>
    <xf numFmtId="9" fontId="30" fillId="34" borderId="1" xfId="0" applyNumberFormat="1" applyFont="1" applyFill="1" applyBorder="1" applyAlignment="1">
      <alignment horizontal="right"/>
    </xf>
    <xf numFmtId="0" fontId="0" fillId="8" borderId="0" xfId="0" applyFill="1" applyAlignment="1">
      <alignment horizontal="center" wrapText="1"/>
    </xf>
    <xf numFmtId="3" fontId="140" fillId="8" borderId="0" xfId="0" applyNumberFormat="1" applyFont="1" applyFill="1"/>
    <xf numFmtId="4" fontId="35" fillId="0" borderId="2" xfId="0" applyNumberFormat="1" applyFont="1" applyBorder="1" applyAlignment="1">
      <alignment horizontal="right"/>
    </xf>
    <xf numFmtId="3" fontId="49" fillId="0" borderId="49" xfId="0" applyNumberFormat="1" applyFont="1" applyBorder="1"/>
    <xf numFmtId="9" fontId="181" fillId="34" borderId="1" xfId="0" applyNumberFormat="1" applyFont="1" applyFill="1" applyBorder="1" applyAlignment="1">
      <alignment horizontal="center"/>
    </xf>
    <xf numFmtId="3" fontId="24" fillId="0" borderId="31" xfId="0" applyNumberFormat="1" applyFont="1" applyBorder="1" applyAlignment="1">
      <alignment horizontal="right"/>
    </xf>
    <xf numFmtId="170" fontId="80" fillId="2" borderId="3" xfId="0" applyNumberFormat="1" applyFont="1" applyFill="1" applyBorder="1"/>
    <xf numFmtId="170" fontId="80" fillId="2" borderId="2" xfId="0" applyNumberFormat="1" applyFont="1" applyFill="1" applyBorder="1"/>
    <xf numFmtId="169" fontId="30" fillId="0" borderId="2" xfId="0" applyNumberFormat="1" applyFont="1" applyBorder="1" applyAlignment="1">
      <alignment horizontal="right"/>
    </xf>
    <xf numFmtId="164" fontId="182" fillId="2" borderId="2" xfId="0" applyNumberFormat="1" applyFont="1" applyFill="1" applyBorder="1" applyAlignment="1">
      <alignment horizontal="center"/>
    </xf>
    <xf numFmtId="164" fontId="24" fillId="2" borderId="2" xfId="0" applyNumberFormat="1" applyFont="1" applyFill="1" applyBorder="1" applyAlignment="1">
      <alignment horizontal="right"/>
    </xf>
    <xf numFmtId="169" fontId="152" fillId="0" borderId="2" xfId="0" applyNumberFormat="1" applyFont="1" applyBorder="1" applyAlignment="1">
      <alignment horizontal="right"/>
    </xf>
    <xf numFmtId="169" fontId="54" fillId="0" borderId="4" xfId="0" applyNumberFormat="1" applyFont="1" applyBorder="1" applyAlignment="1">
      <alignment horizontal="right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164" fontId="49" fillId="2" borderId="8" xfId="0" applyNumberFormat="1" applyFont="1" applyFill="1" applyBorder="1" applyAlignment="1">
      <alignment horizontal="right"/>
    </xf>
    <xf numFmtId="164" fontId="49" fillId="2" borderId="16" xfId="0" applyNumberFormat="1" applyFont="1" applyFill="1" applyBorder="1" applyAlignment="1">
      <alignment horizontal="right"/>
    </xf>
    <xf numFmtId="164" fontId="49" fillId="2" borderId="10" xfId="0" applyNumberFormat="1" applyFont="1" applyFill="1" applyBorder="1" applyAlignment="1">
      <alignment horizontal="right"/>
    </xf>
    <xf numFmtId="164" fontId="31" fillId="2" borderId="2" xfId="0" applyNumberFormat="1" applyFont="1" applyFill="1" applyBorder="1" applyAlignment="1">
      <alignment horizontal="center"/>
    </xf>
    <xf numFmtId="0" fontId="75" fillId="17" borderId="0" xfId="0" applyFont="1" applyFill="1" applyAlignment="1">
      <alignment horizontal="center" wrapText="1"/>
    </xf>
    <xf numFmtId="0" fontId="75" fillId="8" borderId="0" xfId="0" applyFont="1" applyFill="1" applyAlignment="1">
      <alignment horizontal="center" wrapText="1"/>
    </xf>
    <xf numFmtId="0" fontId="75" fillId="7" borderId="0" xfId="0" applyFont="1" applyFill="1" applyAlignment="1">
      <alignment horizontal="center" wrapText="1"/>
    </xf>
    <xf numFmtId="0" fontId="75" fillId="16" borderId="0" xfId="0" applyFont="1" applyFill="1" applyAlignment="1">
      <alignment horizontal="center" wrapText="1"/>
    </xf>
    <xf numFmtId="0" fontId="0" fillId="0" borderId="24" xfId="0" applyBorder="1" applyAlignment="1">
      <alignment horizontal="center" wrapText="1"/>
    </xf>
    <xf numFmtId="164" fontId="130" fillId="16" borderId="1" xfId="2" applyNumberFormat="1" applyFont="1" applyFill="1" applyBorder="1" applyAlignment="1">
      <alignment readingOrder="1"/>
    </xf>
    <xf numFmtId="0" fontId="75" fillId="0" borderId="12" xfId="0" applyFont="1" applyBorder="1" applyAlignment="1">
      <alignment horizontal="center" wrapText="1"/>
    </xf>
    <xf numFmtId="0" fontId="75" fillId="0" borderId="11" xfId="0" applyFont="1" applyBorder="1" applyAlignment="1">
      <alignment horizontal="center" wrapText="1"/>
    </xf>
    <xf numFmtId="0" fontId="75" fillId="17" borderId="11" xfId="0" applyFont="1" applyFill="1" applyBorder="1" applyAlignment="1">
      <alignment horizontal="center" wrapText="1"/>
    </xf>
    <xf numFmtId="0" fontId="75" fillId="8" borderId="11" xfId="0" applyFont="1" applyFill="1" applyBorder="1" applyAlignment="1">
      <alignment horizontal="center" wrapText="1"/>
    </xf>
    <xf numFmtId="0" fontId="75" fillId="7" borderId="11" xfId="0" applyFont="1" applyFill="1" applyBorder="1" applyAlignment="1">
      <alignment horizontal="center" wrapText="1"/>
    </xf>
    <xf numFmtId="0" fontId="75" fillId="16" borderId="11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1" fontId="85" fillId="0" borderId="2" xfId="0" applyNumberFormat="1" applyFont="1" applyBorder="1" applyAlignment="1">
      <alignment horizontal="right"/>
    </xf>
    <xf numFmtId="176" fontId="36" fillId="0" borderId="2" xfId="0" applyNumberFormat="1" applyFont="1" applyBorder="1" applyAlignment="1">
      <alignment horizontal="center"/>
    </xf>
    <xf numFmtId="169" fontId="152" fillId="19" borderId="2" xfId="0" applyNumberFormat="1" applyFont="1" applyFill="1" applyBorder="1" applyAlignment="1">
      <alignment horizontal="right"/>
    </xf>
    <xf numFmtId="164" fontId="40" fillId="38" borderId="2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 wrapText="1"/>
    </xf>
    <xf numFmtId="0" fontId="75" fillId="0" borderId="2" xfId="0" applyFont="1" applyBorder="1" applyAlignment="1">
      <alignment horizontal="center"/>
    </xf>
    <xf numFmtId="0" fontId="75" fillId="0" borderId="0" xfId="0" applyFont="1" applyAlignment="1">
      <alignment horizontal="center"/>
    </xf>
    <xf numFmtId="0" fontId="75" fillId="0" borderId="2" xfId="0" applyFont="1" applyBorder="1" applyAlignment="1">
      <alignment horizontal="center" vertical="center"/>
    </xf>
    <xf numFmtId="4" fontId="25" fillId="8" borderId="1" xfId="0" applyNumberFormat="1" applyFont="1" applyFill="1" applyBorder="1" applyAlignment="1">
      <alignment horizontal="center"/>
    </xf>
    <xf numFmtId="166" fontId="25" fillId="2" borderId="1" xfId="0" applyNumberFormat="1" applyFont="1" applyFill="1" applyBorder="1" applyAlignment="1">
      <alignment horizontal="right"/>
    </xf>
    <xf numFmtId="174" fontId="25" fillId="8" borderId="1" xfId="0" applyNumberFormat="1" applyFont="1" applyFill="1" applyBorder="1" applyAlignment="1">
      <alignment horizontal="center"/>
    </xf>
    <xf numFmtId="4" fontId="21" fillId="0" borderId="0" xfId="0" applyNumberFormat="1" applyFont="1" applyAlignment="1">
      <alignment horizontal="center" vertical="center"/>
    </xf>
    <xf numFmtId="0" fontId="75" fillId="8" borderId="2" xfId="0" applyFont="1" applyFill="1" applyBorder="1" applyAlignment="1">
      <alignment horizontal="center"/>
    </xf>
    <xf numFmtId="0" fontId="0" fillId="19" borderId="4" xfId="0" applyFill="1" applyBorder="1" applyAlignment="1">
      <alignment horizontal="center" vertical="center" wrapText="1"/>
    </xf>
    <xf numFmtId="3" fontId="119" fillId="16" borderId="15" xfId="0" applyNumberFormat="1" applyFont="1" applyFill="1" applyBorder="1" applyAlignment="1">
      <alignment wrapText="1"/>
    </xf>
    <xf numFmtId="3" fontId="119" fillId="16" borderId="0" xfId="0" applyNumberFormat="1" applyFont="1" applyFill="1" applyAlignment="1">
      <alignment wrapText="1"/>
    </xf>
    <xf numFmtId="0" fontId="0" fillId="19" borderId="5" xfId="0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wrapText="1"/>
    </xf>
    <xf numFmtId="3" fontId="24" fillId="2" borderId="1" xfId="0" applyNumberFormat="1" applyFont="1" applyFill="1" applyBorder="1" applyAlignment="1">
      <alignment wrapText="1"/>
    </xf>
    <xf numFmtId="164" fontId="35" fillId="25" borderId="1" xfId="0" applyNumberFormat="1" applyFont="1" applyFill="1" applyBorder="1" applyAlignment="1">
      <alignment horizontal="right" wrapText="1"/>
    </xf>
    <xf numFmtId="164" fontId="35" fillId="25" borderId="2" xfId="0" applyNumberFormat="1" applyFont="1" applyFill="1" applyBorder="1" applyAlignment="1">
      <alignment horizontal="right" wrapText="1"/>
    </xf>
    <xf numFmtId="0" fontId="183" fillId="7" borderId="2" xfId="2" applyFont="1" applyFill="1" applyBorder="1" applyAlignment="1">
      <alignment readingOrder="1"/>
    </xf>
    <xf numFmtId="2" fontId="17" fillId="28" borderId="18" xfId="0" applyNumberFormat="1" applyFont="1" applyFill="1" applyBorder="1" applyAlignment="1">
      <alignment horizontal="right"/>
    </xf>
    <xf numFmtId="2" fontId="30" fillId="28" borderId="18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center"/>
    </xf>
    <xf numFmtId="9" fontId="24" fillId="7" borderId="0" xfId="0" applyNumberFormat="1" applyFont="1" applyFill="1"/>
    <xf numFmtId="164" fontId="36" fillId="25" borderId="1" xfId="0" applyNumberFormat="1" applyFont="1" applyFill="1" applyBorder="1" applyAlignment="1">
      <alignment horizontal="right" wrapText="1"/>
    </xf>
    <xf numFmtId="164" fontId="36" fillId="25" borderId="2" xfId="0" applyNumberFormat="1" applyFont="1" applyFill="1" applyBorder="1" applyAlignment="1">
      <alignment horizontal="right" wrapText="1"/>
    </xf>
    <xf numFmtId="164" fontId="36" fillId="25" borderId="24" xfId="0" applyNumberFormat="1" applyFont="1" applyFill="1" applyBorder="1" applyAlignment="1">
      <alignment horizontal="right" wrapText="1"/>
    </xf>
    <xf numFmtId="0" fontId="48" fillId="0" borderId="18" xfId="2" applyFont="1" applyBorder="1" applyAlignment="1">
      <alignment horizontal="center" readingOrder="1"/>
    </xf>
    <xf numFmtId="3" fontId="48" fillId="0" borderId="9" xfId="2" applyNumberFormat="1" applyFont="1" applyBorder="1" applyAlignment="1">
      <alignment readingOrder="1"/>
    </xf>
    <xf numFmtId="3" fontId="128" fillId="0" borderId="2" xfId="2" applyNumberFormat="1" applyFont="1" applyBorder="1" applyAlignment="1">
      <alignment readingOrder="1"/>
    </xf>
    <xf numFmtId="3" fontId="88" fillId="3" borderId="2" xfId="2" applyNumberFormat="1" applyFont="1" applyFill="1" applyBorder="1" applyAlignment="1">
      <alignment readingOrder="1"/>
    </xf>
    <xf numFmtId="9" fontId="119" fillId="19" borderId="1" xfId="0" applyNumberFormat="1" applyFont="1" applyFill="1" applyBorder="1" applyAlignment="1">
      <alignment horizontal="center" wrapText="1"/>
    </xf>
    <xf numFmtId="164" fontId="36" fillId="18" borderId="1" xfId="0" applyNumberFormat="1" applyFont="1" applyFill="1" applyBorder="1" applyAlignment="1">
      <alignment horizontal="right"/>
    </xf>
    <xf numFmtId="0" fontId="165" fillId="0" borderId="2" xfId="2" applyFont="1" applyBorder="1" applyAlignment="1">
      <alignment readingOrder="1"/>
    </xf>
    <xf numFmtId="0" fontId="126" fillId="15" borderId="1" xfId="0" applyFont="1" applyFill="1" applyBorder="1" applyAlignment="1">
      <alignment horizontal="center" vertical="center"/>
    </xf>
    <xf numFmtId="40" fontId="184" fillId="2" borderId="1" xfId="0" applyNumberFormat="1" applyFont="1" applyFill="1" applyBorder="1" applyAlignment="1">
      <alignment horizontal="right" wrapText="1"/>
    </xf>
    <xf numFmtId="0" fontId="34" fillId="0" borderId="0" xfId="0" applyFont="1"/>
    <xf numFmtId="166" fontId="57" fillId="7" borderId="51" xfId="0" applyNumberFormat="1" applyFont="1" applyFill="1" applyBorder="1" applyAlignment="1">
      <alignment horizontal="center" vertical="center"/>
    </xf>
    <xf numFmtId="164" fontId="139" fillId="10" borderId="5" xfId="0" applyNumberFormat="1" applyFont="1" applyFill="1" applyBorder="1" applyAlignment="1">
      <alignment horizontal="right"/>
    </xf>
    <xf numFmtId="166" fontId="24" fillId="24" borderId="1" xfId="0" applyNumberFormat="1" applyFont="1" applyFill="1" applyBorder="1" applyAlignment="1">
      <alignment horizontal="right"/>
    </xf>
    <xf numFmtId="177" fontId="25" fillId="2" borderId="3" xfId="0" applyNumberFormat="1" applyFont="1" applyFill="1" applyBorder="1" applyAlignment="1">
      <alignment horizontal="left"/>
    </xf>
    <xf numFmtId="4" fontId="25" fillId="2" borderId="3" xfId="0" applyNumberFormat="1" applyFont="1" applyFill="1" applyBorder="1" applyAlignment="1">
      <alignment horizontal="right"/>
    </xf>
    <xf numFmtId="177" fontId="28" fillId="2" borderId="2" xfId="0" applyNumberFormat="1" applyFont="1" applyFill="1" applyBorder="1" applyAlignment="1">
      <alignment horizontal="right"/>
    </xf>
    <xf numFmtId="0" fontId="135" fillId="2" borderId="2" xfId="0" applyFont="1" applyFill="1" applyBorder="1" applyAlignment="1">
      <alignment horizontal="center" vertical="center" wrapText="1"/>
    </xf>
    <xf numFmtId="166" fontId="72" fillId="2" borderId="2" xfId="0" applyNumberFormat="1" applyFont="1" applyFill="1" applyBorder="1" applyAlignment="1">
      <alignment horizontal="center" vertical="top"/>
    </xf>
    <xf numFmtId="166" fontId="28" fillId="2" borderId="2" xfId="0" applyNumberFormat="1" applyFont="1" applyFill="1" applyBorder="1" applyAlignment="1">
      <alignment horizontal="center" vertical="top"/>
    </xf>
    <xf numFmtId="166" fontId="173" fillId="38" borderId="2" xfId="0" applyNumberFormat="1" applyFont="1" applyFill="1" applyBorder="1" applyAlignment="1">
      <alignment horizontal="right"/>
    </xf>
    <xf numFmtId="166" fontId="171" fillId="38" borderId="2" xfId="0" applyNumberFormat="1" applyFont="1" applyFill="1" applyBorder="1" applyAlignment="1">
      <alignment horizontal="right"/>
    </xf>
    <xf numFmtId="172" fontId="185" fillId="31" borderId="2" xfId="0" applyNumberFormat="1" applyFont="1" applyFill="1" applyBorder="1" applyAlignment="1">
      <alignment horizontal="right"/>
    </xf>
    <xf numFmtId="169" fontId="54" fillId="38" borderId="2" xfId="0" applyNumberFormat="1" applyFont="1" applyFill="1" applyBorder="1" applyAlignment="1">
      <alignment horizontal="right"/>
    </xf>
    <xf numFmtId="169" fontId="54" fillId="8" borderId="2" xfId="0" applyNumberFormat="1" applyFont="1" applyFill="1" applyBorder="1" applyAlignment="1">
      <alignment horizontal="right"/>
    </xf>
    <xf numFmtId="166" fontId="171" fillId="27" borderId="1" xfId="0" applyNumberFormat="1" applyFont="1" applyFill="1" applyBorder="1" applyAlignment="1">
      <alignment horizontal="right"/>
    </xf>
    <xf numFmtId="3" fontId="186" fillId="2" borderId="1" xfId="0" applyNumberFormat="1" applyFont="1" applyFill="1" applyBorder="1" applyAlignment="1">
      <alignment horizontal="right"/>
    </xf>
    <xf numFmtId="38" fontId="25" fillId="47" borderId="1" xfId="0" applyNumberFormat="1" applyFont="1" applyFill="1" applyBorder="1" applyAlignment="1">
      <alignment horizontal="right"/>
    </xf>
    <xf numFmtId="166" fontId="25" fillId="8" borderId="2" xfId="0" applyNumberFormat="1" applyFont="1" applyFill="1" applyBorder="1" applyAlignment="1">
      <alignment horizontal="right"/>
    </xf>
    <xf numFmtId="0" fontId="14" fillId="0" borderId="0" xfId="0" applyFont="1" applyAlignment="1">
      <alignment horizontal="left"/>
    </xf>
    <xf numFmtId="0" fontId="75" fillId="16" borderId="24" xfId="0" applyFont="1" applyFill="1" applyBorder="1" applyAlignment="1">
      <alignment horizontal="center" wrapText="1"/>
    </xf>
    <xf numFmtId="0" fontId="0" fillId="16" borderId="11" xfId="0" applyFill="1" applyBorder="1" applyAlignment="1">
      <alignment horizontal="center" wrapText="1"/>
    </xf>
    <xf numFmtId="166" fontId="14" fillId="16" borderId="1" xfId="0" applyNumberFormat="1" applyFont="1" applyFill="1" applyBorder="1"/>
    <xf numFmtId="0" fontId="17" fillId="0" borderId="0" xfId="0" applyFont="1" applyAlignment="1">
      <alignment horizontal="center"/>
    </xf>
    <xf numFmtId="3" fontId="27" fillId="27" borderId="1" xfId="0" applyNumberFormat="1" applyFont="1" applyFill="1" applyBorder="1" applyAlignment="1">
      <alignment horizontal="right"/>
    </xf>
    <xf numFmtId="3" fontId="27" fillId="27" borderId="0" xfId="0" applyNumberFormat="1" applyFont="1" applyFill="1" applyAlignment="1">
      <alignment horizontal="right"/>
    </xf>
    <xf numFmtId="3" fontId="45" fillId="2" borderId="1" xfId="0" applyNumberFormat="1" applyFont="1" applyFill="1" applyBorder="1" applyAlignment="1">
      <alignment horizontal="center"/>
    </xf>
    <xf numFmtId="171" fontId="17" fillId="2" borderId="1" xfId="0" applyNumberFormat="1" applyFont="1" applyFill="1" applyBorder="1" applyAlignment="1">
      <alignment horizontal="center"/>
    </xf>
    <xf numFmtId="3" fontId="14" fillId="25" borderId="0" xfId="0" applyNumberFormat="1" applyFont="1" applyFill="1"/>
    <xf numFmtId="3" fontId="27" fillId="10" borderId="1" xfId="0" applyNumberFormat="1" applyFont="1" applyFill="1" applyBorder="1" applyAlignment="1">
      <alignment horizontal="right"/>
    </xf>
    <xf numFmtId="3" fontId="27" fillId="10" borderId="0" xfId="0" applyNumberFormat="1" applyFont="1" applyFill="1" applyAlignment="1">
      <alignment horizontal="right"/>
    </xf>
    <xf numFmtId="3" fontId="23" fillId="10" borderId="1" xfId="0" applyNumberFormat="1" applyFont="1" applyFill="1" applyBorder="1" applyAlignment="1">
      <alignment horizontal="right"/>
    </xf>
    <xf numFmtId="4" fontId="0" fillId="0" borderId="0" xfId="0" applyNumberFormat="1"/>
    <xf numFmtId="164" fontId="49" fillId="49" borderId="2" xfId="0" applyNumberFormat="1" applyFont="1" applyFill="1" applyBorder="1" applyAlignment="1">
      <alignment horizontal="right" wrapText="1"/>
    </xf>
    <xf numFmtId="164" fontId="49" fillId="6" borderId="1" xfId="0" applyNumberFormat="1" applyFont="1" applyFill="1" applyBorder="1" applyAlignment="1">
      <alignment horizontal="right" wrapText="1"/>
    </xf>
    <xf numFmtId="166" fontId="49" fillId="42" borderId="1" xfId="0" applyNumberFormat="1" applyFont="1" applyFill="1" applyBorder="1" applyAlignment="1">
      <alignment horizontal="right" wrapText="1"/>
    </xf>
    <xf numFmtId="3" fontId="188" fillId="0" borderId="2" xfId="0" applyNumberFormat="1" applyFont="1" applyBorder="1" applyAlignment="1">
      <alignment horizontal="right"/>
    </xf>
    <xf numFmtId="166" fontId="49" fillId="48" borderId="1" xfId="0" applyNumberFormat="1" applyFont="1" applyFill="1" applyBorder="1" applyAlignment="1">
      <alignment horizontal="right" wrapText="1"/>
    </xf>
    <xf numFmtId="166" fontId="49" fillId="36" borderId="2" xfId="0" applyNumberFormat="1" applyFont="1" applyFill="1" applyBorder="1" applyAlignment="1">
      <alignment horizontal="right" wrapText="1"/>
    </xf>
    <xf numFmtId="166" fontId="187" fillId="49" borderId="2" xfId="0" applyNumberFormat="1" applyFont="1" applyFill="1" applyBorder="1" applyAlignment="1">
      <alignment horizontal="right" wrapText="1"/>
    </xf>
    <xf numFmtId="166" fontId="49" fillId="50" borderId="1" xfId="0" applyNumberFormat="1" applyFont="1" applyFill="1" applyBorder="1" applyAlignment="1">
      <alignment horizontal="right" wrapText="1"/>
    </xf>
    <xf numFmtId="166" fontId="49" fillId="51" borderId="1" xfId="0" applyNumberFormat="1" applyFont="1" applyFill="1" applyBorder="1" applyAlignment="1">
      <alignment horizontal="right" wrapText="1"/>
    </xf>
    <xf numFmtId="0" fontId="24" fillId="0" borderId="0" xfId="0" applyFont="1" applyAlignment="1">
      <alignment horizontal="center"/>
    </xf>
    <xf numFmtId="166" fontId="31" fillId="0" borderId="0" xfId="0" applyNumberFormat="1" applyFont="1" applyAlignment="1">
      <alignment horizontal="center" vertical="center"/>
    </xf>
    <xf numFmtId="3" fontId="22" fillId="19" borderId="2" xfId="0" applyNumberFormat="1" applyFont="1" applyFill="1" applyBorder="1" applyAlignment="1">
      <alignment horizontal="center"/>
    </xf>
    <xf numFmtId="2" fontId="30" fillId="2" borderId="16" xfId="0" applyNumberFormat="1" applyFont="1" applyFill="1" applyBorder="1" applyAlignment="1">
      <alignment horizontal="center" vertical="center"/>
    </xf>
    <xf numFmtId="167" fontId="30" fillId="2" borderId="16" xfId="0" applyNumberFormat="1" applyFont="1" applyFill="1" applyBorder="1" applyAlignment="1">
      <alignment horizontal="center" vertical="center"/>
    </xf>
    <xf numFmtId="164" fontId="30" fillId="4" borderId="15" xfId="0" applyNumberFormat="1" applyFont="1" applyFill="1" applyBorder="1" applyAlignment="1">
      <alignment horizontal="center" vertical="center"/>
    </xf>
    <xf numFmtId="3" fontId="30" fillId="4" borderId="16" xfId="0" applyNumberFormat="1" applyFont="1" applyFill="1" applyBorder="1" applyAlignment="1">
      <alignment horizontal="right"/>
    </xf>
    <xf numFmtId="164" fontId="30" fillId="23" borderId="15" xfId="0" applyNumberFormat="1" applyFont="1" applyFill="1" applyBorder="1" applyAlignment="1">
      <alignment horizontal="center" vertical="center"/>
    </xf>
    <xf numFmtId="3" fontId="30" fillId="23" borderId="16" xfId="0" applyNumberFormat="1" applyFont="1" applyFill="1" applyBorder="1" applyAlignment="1">
      <alignment horizontal="right"/>
    </xf>
    <xf numFmtId="3" fontId="30" fillId="4" borderId="7" xfId="0" applyNumberFormat="1" applyFont="1" applyFill="1" applyBorder="1" applyAlignment="1">
      <alignment horizontal="center" vertical="center"/>
    </xf>
    <xf numFmtId="166" fontId="30" fillId="4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 wrapText="1"/>
    </xf>
    <xf numFmtId="3" fontId="30" fillId="4" borderId="0" xfId="0" applyNumberFormat="1" applyFont="1" applyFill="1" applyAlignment="1">
      <alignment horizontal="center" vertical="center"/>
    </xf>
    <xf numFmtId="3" fontId="30" fillId="4" borderId="7" xfId="0" applyNumberFormat="1" applyFont="1" applyFill="1" applyBorder="1"/>
    <xf numFmtId="2" fontId="35" fillId="2" borderId="0" xfId="0" applyNumberFormat="1" applyFont="1" applyFill="1" applyAlignment="1">
      <alignment horizontal="center" vertical="center"/>
    </xf>
    <xf numFmtId="164" fontId="14" fillId="2" borderId="15" xfId="0" applyNumberFormat="1" applyFont="1" applyFill="1" applyBorder="1" applyAlignment="1">
      <alignment horizontal="center" vertical="center" wrapText="1"/>
    </xf>
    <xf numFmtId="0" fontId="11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3" fontId="11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0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/>
    </xf>
    <xf numFmtId="164" fontId="14" fillId="23" borderId="15" xfId="0" applyNumberFormat="1" applyFont="1" applyFill="1" applyBorder="1" applyAlignment="1">
      <alignment horizontal="center" vertical="center"/>
    </xf>
    <xf numFmtId="0" fontId="17" fillId="23" borderId="16" xfId="0" applyFont="1" applyFill="1" applyBorder="1" applyAlignment="1">
      <alignment horizontal="center" vertical="center"/>
    </xf>
    <xf numFmtId="167" fontId="30" fillId="2" borderId="0" xfId="0" applyNumberFormat="1" applyFont="1" applyFill="1" applyAlignment="1">
      <alignment horizontal="center" vertical="center"/>
    </xf>
    <xf numFmtId="164" fontId="14" fillId="2" borderId="14" xfId="0" applyNumberFormat="1" applyFont="1" applyFill="1" applyBorder="1" applyAlignment="1">
      <alignment horizontal="center" vertical="center"/>
    </xf>
    <xf numFmtId="2" fontId="35" fillId="2" borderId="7" xfId="0" applyNumberFormat="1" applyFont="1" applyFill="1" applyBorder="1" applyAlignment="1">
      <alignment horizontal="center" vertical="center"/>
    </xf>
    <xf numFmtId="167" fontId="30" fillId="2" borderId="8" xfId="0" applyNumberFormat="1" applyFont="1" applyFill="1" applyBorder="1" applyAlignment="1">
      <alignment horizontal="center" vertical="center"/>
    </xf>
    <xf numFmtId="164" fontId="14" fillId="8" borderId="17" xfId="0" applyNumberFormat="1" applyFont="1" applyFill="1" applyBorder="1" applyAlignment="1">
      <alignment horizontal="center" vertical="center"/>
    </xf>
    <xf numFmtId="0" fontId="30" fillId="8" borderId="9" xfId="0" applyFont="1" applyFill="1" applyBorder="1" applyAlignment="1">
      <alignment horizontal="center" vertical="center"/>
    </xf>
    <xf numFmtId="0" fontId="30" fillId="8" borderId="1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171" fontId="30" fillId="2" borderId="0" xfId="0" applyNumberFormat="1" applyFont="1" applyFill="1" applyAlignment="1">
      <alignment horizontal="center" vertical="center"/>
    </xf>
    <xf numFmtId="164" fontId="18" fillId="52" borderId="15" xfId="0" applyNumberFormat="1" applyFont="1" applyFill="1" applyBorder="1" applyAlignment="1">
      <alignment horizontal="center" vertical="center" wrapText="1"/>
    </xf>
    <xf numFmtId="40" fontId="35" fillId="52" borderId="0" xfId="0" applyNumberFormat="1" applyFont="1" applyFill="1" applyAlignment="1">
      <alignment horizontal="center" vertical="center"/>
    </xf>
    <xf numFmtId="167" fontId="168" fillId="52" borderId="16" xfId="0" applyNumberFormat="1" applyFont="1" applyFill="1" applyBorder="1" applyAlignment="1">
      <alignment horizontal="center" vertical="center"/>
    </xf>
    <xf numFmtId="40" fontId="30" fillId="52" borderId="0" xfId="0" applyNumberFormat="1" applyFont="1" applyFill="1" applyAlignment="1">
      <alignment horizontal="center" vertical="center"/>
    </xf>
    <xf numFmtId="175" fontId="35" fillId="8" borderId="9" xfId="0" applyNumberFormat="1" applyFont="1" applyFill="1" applyBorder="1" applyAlignment="1">
      <alignment horizontal="center" vertical="center"/>
    </xf>
    <xf numFmtId="167" fontId="30" fillId="8" borderId="10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90" fillId="0" borderId="0" xfId="0" applyFont="1" applyAlignment="1">
      <alignment horizontal="center" vertical="center"/>
    </xf>
    <xf numFmtId="0" fontId="189" fillId="0" borderId="0" xfId="0" applyFont="1" applyAlignment="1">
      <alignment horizontal="center" vertical="center" wrapText="1"/>
    </xf>
    <xf numFmtId="2" fontId="189" fillId="0" borderId="0" xfId="0" applyNumberFormat="1" applyFont="1" applyAlignment="1">
      <alignment horizontal="center" vertical="center"/>
    </xf>
    <xf numFmtId="2" fontId="189" fillId="0" borderId="0" xfId="0" applyNumberFormat="1" applyFont="1" applyAlignment="1">
      <alignment horizontal="center" vertical="center" wrapText="1"/>
    </xf>
    <xf numFmtId="2" fontId="90" fillId="0" borderId="0" xfId="0" applyNumberFormat="1" applyFont="1" applyAlignment="1">
      <alignment horizontal="center" vertical="center"/>
    </xf>
    <xf numFmtId="40" fontId="0" fillId="0" borderId="0" xfId="0" applyNumberFormat="1"/>
    <xf numFmtId="9" fontId="35" fillId="0" borderId="0" xfId="0" applyNumberFormat="1" applyFont="1" applyAlignment="1">
      <alignment horizontal="center" vertical="center"/>
    </xf>
    <xf numFmtId="6" fontId="35" fillId="16" borderId="28" xfId="0" applyNumberFormat="1" applyFont="1" applyFill="1" applyBorder="1"/>
    <xf numFmtId="177" fontId="28" fillId="2" borderId="1" xfId="0" applyNumberFormat="1" applyFont="1" applyFill="1" applyBorder="1"/>
    <xf numFmtId="0" fontId="14" fillId="2" borderId="1" xfId="0" applyFont="1" applyFill="1" applyBorder="1" applyAlignment="1">
      <alignment horizontal="center"/>
    </xf>
    <xf numFmtId="166" fontId="139" fillId="2" borderId="2" xfId="0" applyNumberFormat="1" applyFont="1" applyFill="1" applyBorder="1" applyAlignment="1">
      <alignment horizontal="right"/>
    </xf>
    <xf numFmtId="0" fontId="45" fillId="8" borderId="2" xfId="0" applyFont="1" applyFill="1" applyBorder="1" applyAlignment="1">
      <alignment vertical="center" wrapText="1"/>
    </xf>
    <xf numFmtId="0" fontId="45" fillId="8" borderId="2" xfId="0" applyFont="1" applyFill="1" applyBorder="1" applyAlignment="1">
      <alignment vertical="center"/>
    </xf>
    <xf numFmtId="3" fontId="190" fillId="2" borderId="9" xfId="0" applyNumberFormat="1" applyFont="1" applyFill="1" applyBorder="1" applyAlignment="1">
      <alignment horizontal="center" vertical="center" wrapText="1"/>
    </xf>
    <xf numFmtId="171" fontId="35" fillId="2" borderId="0" xfId="0" applyNumberFormat="1" applyFont="1" applyFill="1" applyAlignment="1">
      <alignment horizontal="center" vertical="center"/>
    </xf>
    <xf numFmtId="170" fontId="0" fillId="0" borderId="0" xfId="0" applyNumberFormat="1" applyAlignment="1">
      <alignment horizontal="center"/>
    </xf>
    <xf numFmtId="3" fontId="191" fillId="2" borderId="9" xfId="0" applyNumberFormat="1" applyFont="1" applyFill="1" applyBorder="1" applyAlignment="1">
      <alignment horizontal="center" vertical="center" wrapText="1"/>
    </xf>
    <xf numFmtId="164" fontId="30" fillId="2" borderId="1" xfId="0" applyNumberFormat="1" applyFont="1" applyFill="1" applyBorder="1" applyAlignment="1">
      <alignment horizontal="right" wrapText="1"/>
    </xf>
    <xf numFmtId="164" fontId="80" fillId="2" borderId="2" xfId="0" applyNumberFormat="1" applyFont="1" applyFill="1" applyBorder="1" applyAlignment="1">
      <alignment horizontal="right"/>
    </xf>
    <xf numFmtId="164" fontId="80" fillId="2" borderId="1" xfId="0" applyNumberFormat="1" applyFont="1" applyFill="1" applyBorder="1" applyAlignment="1">
      <alignment horizontal="right"/>
    </xf>
    <xf numFmtId="164" fontId="30" fillId="2" borderId="1" xfId="0" applyNumberFormat="1" applyFont="1" applyFill="1" applyBorder="1" applyAlignment="1">
      <alignment horizontal="right"/>
    </xf>
    <xf numFmtId="164" fontId="14" fillId="25" borderId="15" xfId="0" applyNumberFormat="1" applyFont="1" applyFill="1" applyBorder="1" applyAlignment="1">
      <alignment horizontal="center" vertical="center"/>
    </xf>
    <xf numFmtId="175" fontId="35" fillId="25" borderId="0" xfId="0" applyNumberFormat="1" applyFont="1" applyFill="1" applyAlignment="1">
      <alignment horizontal="center" vertical="center"/>
    </xf>
    <xf numFmtId="167" fontId="30" fillId="25" borderId="16" xfId="0" applyNumberFormat="1" applyFont="1" applyFill="1" applyBorder="1" applyAlignment="1">
      <alignment horizontal="center" vertical="center"/>
    </xf>
    <xf numFmtId="166" fontId="140" fillId="7" borderId="0" xfId="0" applyNumberFormat="1" applyFont="1" applyFill="1" applyAlignment="1">
      <alignment horizontal="center"/>
    </xf>
    <xf numFmtId="164" fontId="14" fillId="7" borderId="15" xfId="0" applyNumberFormat="1" applyFont="1" applyFill="1" applyBorder="1" applyAlignment="1">
      <alignment horizontal="center" vertical="center"/>
    </xf>
    <xf numFmtId="175" fontId="35" fillId="7" borderId="0" xfId="0" applyNumberFormat="1" applyFont="1" applyFill="1" applyAlignment="1">
      <alignment horizontal="center" vertical="center"/>
    </xf>
    <xf numFmtId="167" fontId="30" fillId="7" borderId="16" xfId="0" applyNumberFormat="1" applyFont="1" applyFill="1" applyBorder="1" applyAlignment="1">
      <alignment horizontal="center" vertical="center"/>
    </xf>
    <xf numFmtId="166" fontId="140" fillId="25" borderId="0" xfId="0" applyNumberFormat="1" applyFont="1" applyFill="1" applyAlignment="1">
      <alignment horizontal="center"/>
    </xf>
    <xf numFmtId="164" fontId="14" fillId="38" borderId="15" xfId="0" applyNumberFormat="1" applyFont="1" applyFill="1" applyBorder="1" applyAlignment="1">
      <alignment horizontal="center" vertical="center"/>
    </xf>
    <xf numFmtId="175" fontId="35" fillId="38" borderId="0" xfId="0" applyNumberFormat="1" applyFont="1" applyFill="1" applyAlignment="1">
      <alignment horizontal="center" vertical="center"/>
    </xf>
    <xf numFmtId="167" fontId="30" fillId="38" borderId="16" xfId="0" applyNumberFormat="1" applyFont="1" applyFill="1" applyBorder="1" applyAlignment="1">
      <alignment horizontal="center" vertical="center"/>
    </xf>
    <xf numFmtId="166" fontId="140" fillId="38" borderId="0" xfId="0" applyNumberFormat="1" applyFont="1" applyFill="1" applyAlignment="1">
      <alignment horizontal="center"/>
    </xf>
    <xf numFmtId="3" fontId="36" fillId="2" borderId="42" xfId="0" applyNumberFormat="1" applyFont="1" applyFill="1" applyBorder="1" applyAlignment="1">
      <alignment horizontal="right"/>
    </xf>
    <xf numFmtId="3" fontId="69" fillId="2" borderId="2" xfId="0" applyNumberFormat="1" applyFont="1" applyFill="1" applyBorder="1" applyAlignment="1">
      <alignment horizontal="center" vertical="center" wrapText="1"/>
    </xf>
    <xf numFmtId="2" fontId="17" fillId="19" borderId="29" xfId="0" applyNumberFormat="1" applyFont="1" applyFill="1" applyBorder="1" applyAlignment="1">
      <alignment horizontal="right"/>
    </xf>
    <xf numFmtId="2" fontId="30" fillId="19" borderId="29" xfId="0" applyNumberFormat="1" applyFont="1" applyFill="1" applyBorder="1" applyAlignment="1">
      <alignment horizontal="right"/>
    </xf>
    <xf numFmtId="182" fontId="33" fillId="2" borderId="19" xfId="0" applyNumberFormat="1" applyFont="1" applyFill="1" applyBorder="1" applyAlignment="1">
      <alignment horizontal="left"/>
    </xf>
    <xf numFmtId="181" fontId="17" fillId="2" borderId="20" xfId="0" applyNumberFormat="1" applyFont="1" applyFill="1" applyBorder="1" applyAlignment="1">
      <alignment horizontal="right" vertical="top"/>
    </xf>
    <xf numFmtId="0" fontId="0" fillId="53" borderId="0" xfId="0" applyFill="1"/>
    <xf numFmtId="3" fontId="192" fillId="6" borderId="1" xfId="0" applyNumberFormat="1" applyFont="1" applyFill="1" applyBorder="1" applyAlignment="1">
      <alignment horizontal="right" readingOrder="1"/>
    </xf>
    <xf numFmtId="3" fontId="142" fillId="27" borderId="2" xfId="0" applyNumberFormat="1" applyFont="1" applyFill="1" applyBorder="1" applyAlignment="1">
      <alignment horizontal="center" vertical="center" wrapText="1"/>
    </xf>
    <xf numFmtId="3" fontId="142" fillId="23" borderId="2" xfId="0" applyNumberFormat="1" applyFont="1" applyFill="1" applyBorder="1" applyAlignment="1">
      <alignment horizontal="center" vertical="center" wrapText="1"/>
    </xf>
    <xf numFmtId="164" fontId="14" fillId="19" borderId="3" xfId="0" applyNumberFormat="1" applyFont="1" applyFill="1" applyBorder="1" applyAlignment="1">
      <alignment horizontal="center" vertical="center" wrapText="1"/>
    </xf>
    <xf numFmtId="3" fontId="15" fillId="19" borderId="7" xfId="0" applyNumberFormat="1" applyFont="1" applyFill="1" applyBorder="1" applyAlignment="1">
      <alignment horizontal="center" vertical="center" wrapText="1"/>
    </xf>
    <xf numFmtId="3" fontId="142" fillId="19" borderId="2" xfId="0" applyNumberFormat="1" applyFont="1" applyFill="1" applyBorder="1" applyAlignment="1">
      <alignment horizontal="center" vertical="center" wrapText="1"/>
    </xf>
    <xf numFmtId="9" fontId="25" fillId="10" borderId="0" xfId="0" applyNumberFormat="1" applyFont="1" applyFill="1"/>
    <xf numFmtId="9" fontId="24" fillId="10" borderId="0" xfId="0" applyNumberFormat="1" applyFont="1" applyFill="1"/>
    <xf numFmtId="164" fontId="32" fillId="28" borderId="48" xfId="0" applyNumberFormat="1" applyFont="1" applyFill="1" applyBorder="1" applyAlignment="1">
      <alignment horizontal="right" wrapText="1"/>
    </xf>
    <xf numFmtId="164" fontId="32" fillId="25" borderId="30" xfId="0" applyNumberFormat="1" applyFont="1" applyFill="1" applyBorder="1" applyAlignment="1">
      <alignment horizontal="right" wrapText="1"/>
    </xf>
    <xf numFmtId="3" fontId="35" fillId="0" borderId="2" xfId="0" applyNumberFormat="1" applyFont="1" applyBorder="1" applyAlignment="1">
      <alignment horizontal="right"/>
    </xf>
    <xf numFmtId="164" fontId="85" fillId="7" borderId="2" xfId="0" applyNumberFormat="1" applyFont="1" applyFill="1" applyBorder="1" applyAlignment="1">
      <alignment horizontal="center"/>
    </xf>
    <xf numFmtId="166" fontId="170" fillId="38" borderId="2" xfId="0" applyNumberFormat="1" applyFont="1" applyFill="1" applyBorder="1" applyAlignment="1">
      <alignment horizontal="right"/>
    </xf>
    <xf numFmtId="177" fontId="28" fillId="2" borderId="2" xfId="0" applyNumberFormat="1" applyFont="1" applyFill="1" applyBorder="1" applyAlignment="1">
      <alignment horizontal="center" vertical="center"/>
    </xf>
    <xf numFmtId="3" fontId="129" fillId="2" borderId="4" xfId="0" applyNumberFormat="1" applyFont="1" applyFill="1" applyBorder="1" applyAlignment="1">
      <alignment horizontal="center" vertical="center" wrapText="1"/>
    </xf>
    <xf numFmtId="3" fontId="112" fillId="2" borderId="2" xfId="0" applyNumberFormat="1" applyFont="1" applyFill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right" wrapText="1"/>
    </xf>
    <xf numFmtId="166" fontId="195" fillId="2" borderId="0" xfId="0" applyNumberFormat="1" applyFont="1" applyFill="1" applyAlignment="1">
      <alignment horizontal="right"/>
    </xf>
    <xf numFmtId="166" fontId="23" fillId="7" borderId="2" xfId="0" applyNumberFormat="1" applyFont="1" applyFill="1" applyBorder="1" applyAlignment="1">
      <alignment horizontal="right"/>
    </xf>
    <xf numFmtId="166" fontId="170" fillId="2" borderId="0" xfId="0" applyNumberFormat="1" applyFont="1" applyFill="1" applyAlignment="1">
      <alignment horizontal="right"/>
    </xf>
    <xf numFmtId="3" fontId="35" fillId="28" borderId="15" xfId="0" applyNumberFormat="1" applyFont="1" applyFill="1" applyBorder="1" applyAlignment="1">
      <alignment wrapText="1"/>
    </xf>
    <xf numFmtId="166" fontId="69" fillId="19" borderId="2" xfId="0" applyNumberFormat="1" applyFont="1" applyFill="1" applyBorder="1" applyAlignment="1">
      <alignment horizontal="right"/>
    </xf>
    <xf numFmtId="166" fontId="69" fillId="38" borderId="2" xfId="0" applyNumberFormat="1" applyFont="1" applyFill="1" applyBorder="1" applyAlignment="1">
      <alignment horizontal="right"/>
    </xf>
    <xf numFmtId="166" fontId="171" fillId="19" borderId="1" xfId="0" applyNumberFormat="1" applyFont="1" applyFill="1" applyBorder="1" applyAlignment="1">
      <alignment horizontal="right"/>
    </xf>
    <xf numFmtId="3" fontId="196" fillId="2" borderId="0" xfId="0" applyNumberFormat="1" applyFont="1" applyFill="1" applyAlignment="1">
      <alignment wrapText="1"/>
    </xf>
    <xf numFmtId="3" fontId="84" fillId="2" borderId="0" xfId="0" applyNumberFormat="1" applyFont="1" applyFill="1" applyAlignment="1">
      <alignment wrapText="1"/>
    </xf>
    <xf numFmtId="3" fontId="84" fillId="28" borderId="15" xfId="0" applyNumberFormat="1" applyFont="1" applyFill="1" applyBorder="1" applyAlignment="1">
      <alignment wrapText="1"/>
    </xf>
    <xf numFmtId="169" fontId="54" fillId="7" borderId="2" xfId="0" applyNumberFormat="1" applyFont="1" applyFill="1" applyBorder="1" applyAlignment="1">
      <alignment horizontal="right"/>
    </xf>
    <xf numFmtId="0" fontId="14" fillId="7" borderId="1" xfId="0" applyFont="1" applyFill="1" applyBorder="1"/>
    <xf numFmtId="172" fontId="185" fillId="31" borderId="1" xfId="0" applyNumberFormat="1" applyFont="1" applyFill="1" applyBorder="1" applyAlignment="1">
      <alignment horizontal="right"/>
    </xf>
    <xf numFmtId="0" fontId="80" fillId="2" borderId="2" xfId="0" applyFont="1" applyFill="1" applyBorder="1" applyAlignment="1">
      <alignment horizontal="center"/>
    </xf>
    <xf numFmtId="166" fontId="25" fillId="0" borderId="3" xfId="0" applyNumberFormat="1" applyFont="1" applyBorder="1" applyAlignment="1">
      <alignment horizontal="center"/>
    </xf>
    <xf numFmtId="166" fontId="25" fillId="0" borderId="2" xfId="0" applyNumberFormat="1" applyFont="1" applyBorder="1" applyAlignment="1">
      <alignment horizontal="center"/>
    </xf>
    <xf numFmtId="0" fontId="22" fillId="22" borderId="1" xfId="0" applyFont="1" applyFill="1" applyBorder="1" applyAlignment="1">
      <alignment horizontal="center" wrapText="1"/>
    </xf>
    <xf numFmtId="1" fontId="76" fillId="0" borderId="2" xfId="0" applyNumberFormat="1" applyFont="1" applyBorder="1" applyAlignment="1">
      <alignment horizontal="center"/>
    </xf>
    <xf numFmtId="166" fontId="35" fillId="0" borderId="2" xfId="0" applyNumberFormat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0" borderId="11" xfId="0" applyBorder="1" applyAlignment="1">
      <alignment horizontal="center"/>
    </xf>
    <xf numFmtId="3" fontId="27" fillId="2" borderId="1" xfId="0" applyNumberFormat="1" applyFont="1" applyFill="1" applyBorder="1" applyAlignment="1">
      <alignment horizontal="center"/>
    </xf>
    <xf numFmtId="172" fontId="185" fillId="31" borderId="1" xfId="0" applyNumberFormat="1" applyFont="1" applyFill="1" applyBorder="1" applyAlignment="1">
      <alignment horizontal="center"/>
    </xf>
    <xf numFmtId="1" fontId="17" fillId="28" borderId="0" xfId="0" applyNumberFormat="1" applyFont="1" applyFill="1" applyAlignment="1">
      <alignment horizontal="center"/>
    </xf>
    <xf numFmtId="38" fontId="55" fillId="7" borderId="1" xfId="0" applyNumberFormat="1" applyFont="1" applyFill="1" applyBorder="1" applyAlignment="1">
      <alignment horizontal="right"/>
    </xf>
    <xf numFmtId="38" fontId="49" fillId="7" borderId="1" xfId="1" applyNumberFormat="1" applyFont="1" applyFill="1" applyBorder="1" applyAlignment="1">
      <alignment horizontal="right"/>
    </xf>
    <xf numFmtId="164" fontId="55" fillId="2" borderId="48" xfId="0" applyNumberFormat="1" applyFont="1" applyFill="1" applyBorder="1" applyAlignment="1">
      <alignment horizontal="right" wrapText="1"/>
    </xf>
    <xf numFmtId="0" fontId="0" fillId="0" borderId="49" xfId="0" applyBorder="1"/>
    <xf numFmtId="164" fontId="36" fillId="2" borderId="49" xfId="0" applyNumberFormat="1" applyFont="1" applyFill="1" applyBorder="1" applyAlignment="1">
      <alignment horizontal="center"/>
    </xf>
    <xf numFmtId="0" fontId="0" fillId="0" borderId="49" xfId="0" applyBorder="1" applyAlignment="1">
      <alignment horizontal="right"/>
    </xf>
    <xf numFmtId="3" fontId="0" fillId="0" borderId="49" xfId="0" applyNumberFormat="1" applyBorder="1"/>
    <xf numFmtId="3" fontId="0" fillId="0" borderId="49" xfId="0" applyNumberFormat="1" applyBorder="1" applyAlignment="1">
      <alignment horizontal="right"/>
    </xf>
    <xf numFmtId="10" fontId="0" fillId="0" borderId="49" xfId="0" applyNumberFormat="1" applyBorder="1" applyAlignment="1">
      <alignment horizontal="right"/>
    </xf>
    <xf numFmtId="0" fontId="0" fillId="0" borderId="49" xfId="0" applyBorder="1" applyAlignment="1">
      <alignment horizontal="center"/>
    </xf>
    <xf numFmtId="0" fontId="14" fillId="0" borderId="49" xfId="0" applyFont="1" applyBorder="1" applyAlignment="1">
      <alignment horizontal="right"/>
    </xf>
    <xf numFmtId="0" fontId="29" fillId="0" borderId="49" xfId="0" applyFont="1" applyBorder="1" applyAlignment="1">
      <alignment horizontal="center" vertical="center"/>
    </xf>
    <xf numFmtId="164" fontId="55" fillId="2" borderId="39" xfId="0" applyNumberFormat="1" applyFont="1" applyFill="1" applyBorder="1" applyAlignment="1">
      <alignment horizontal="right" wrapText="1"/>
    </xf>
    <xf numFmtId="0" fontId="0" fillId="0" borderId="40" xfId="0" applyBorder="1"/>
    <xf numFmtId="164" fontId="36" fillId="2" borderId="40" xfId="0" applyNumberFormat="1" applyFont="1" applyFill="1" applyBorder="1" applyAlignment="1">
      <alignment horizontal="center"/>
    </xf>
    <xf numFmtId="0" fontId="0" fillId="0" borderId="40" xfId="0" applyBorder="1" applyAlignment="1">
      <alignment horizontal="right"/>
    </xf>
    <xf numFmtId="3" fontId="0" fillId="0" borderId="40" xfId="0" applyNumberFormat="1" applyBorder="1"/>
    <xf numFmtId="3" fontId="0" fillId="0" borderId="40" xfId="0" applyNumberFormat="1" applyBorder="1" applyAlignment="1">
      <alignment horizontal="right"/>
    </xf>
    <xf numFmtId="10" fontId="0" fillId="0" borderId="40" xfId="0" applyNumberFormat="1" applyBorder="1" applyAlignment="1">
      <alignment horizontal="right"/>
    </xf>
    <xf numFmtId="0" fontId="0" fillId="0" borderId="40" xfId="0" applyBorder="1" applyAlignment="1">
      <alignment horizontal="center"/>
    </xf>
    <xf numFmtId="0" fontId="14" fillId="0" borderId="40" xfId="0" applyFont="1" applyBorder="1" applyAlignment="1">
      <alignment horizontal="right"/>
    </xf>
    <xf numFmtId="0" fontId="29" fillId="0" borderId="40" xfId="0" applyFont="1" applyBorder="1" applyAlignment="1">
      <alignment horizontal="center" vertical="center"/>
    </xf>
    <xf numFmtId="16" fontId="0" fillId="0" borderId="0" xfId="0" applyNumberFormat="1"/>
    <xf numFmtId="169" fontId="198" fillId="27" borderId="2" xfId="0" applyNumberFormat="1" applyFont="1" applyFill="1" applyBorder="1" applyAlignment="1">
      <alignment horizontal="right"/>
    </xf>
    <xf numFmtId="172" fontId="198" fillId="31" borderId="2" xfId="0" applyNumberFormat="1" applyFont="1" applyFill="1" applyBorder="1" applyAlignment="1">
      <alignment horizontal="right"/>
    </xf>
    <xf numFmtId="169" fontId="199" fillId="27" borderId="2" xfId="0" applyNumberFormat="1" applyFont="1" applyFill="1" applyBorder="1" applyAlignment="1">
      <alignment horizontal="right"/>
    </xf>
    <xf numFmtId="169" fontId="199" fillId="31" borderId="2" xfId="0" applyNumberFormat="1" applyFont="1" applyFill="1" applyBorder="1" applyAlignment="1">
      <alignment horizontal="right"/>
    </xf>
    <xf numFmtId="164" fontId="36" fillId="25" borderId="1" xfId="0" applyNumberFormat="1" applyFont="1" applyFill="1" applyBorder="1" applyAlignment="1">
      <alignment horizontal="right"/>
    </xf>
    <xf numFmtId="3" fontId="16" fillId="7" borderId="1" xfId="0" applyNumberFormat="1" applyFont="1" applyFill="1" applyBorder="1" applyAlignment="1">
      <alignment horizontal="right"/>
    </xf>
    <xf numFmtId="166" fontId="14" fillId="16" borderId="2" xfId="0" applyNumberFormat="1" applyFont="1" applyFill="1" applyBorder="1"/>
    <xf numFmtId="166" fontId="36" fillId="7" borderId="2" xfId="0" applyNumberFormat="1" applyFont="1" applyFill="1" applyBorder="1" applyAlignment="1">
      <alignment horizontal="right"/>
    </xf>
    <xf numFmtId="166" fontId="185" fillId="38" borderId="2" xfId="0" applyNumberFormat="1" applyFont="1" applyFill="1" applyBorder="1" applyAlignment="1">
      <alignment horizontal="right"/>
    </xf>
    <xf numFmtId="166" fontId="185" fillId="19" borderId="2" xfId="0" applyNumberFormat="1" applyFont="1" applyFill="1" applyBorder="1" applyAlignment="1">
      <alignment horizontal="right"/>
    </xf>
    <xf numFmtId="166" fontId="107" fillId="38" borderId="2" xfId="0" applyNumberFormat="1" applyFont="1" applyFill="1" applyBorder="1" applyAlignment="1">
      <alignment horizontal="right"/>
    </xf>
    <xf numFmtId="166" fontId="200" fillId="38" borderId="2" xfId="0" applyNumberFormat="1" applyFont="1" applyFill="1" applyBorder="1" applyAlignment="1">
      <alignment horizontal="right"/>
    </xf>
    <xf numFmtId="2" fontId="17" fillId="2" borderId="2" xfId="0" applyNumberFormat="1" applyFont="1" applyFill="1" applyBorder="1" applyAlignment="1">
      <alignment horizontal="right"/>
    </xf>
    <xf numFmtId="0" fontId="0" fillId="31" borderId="52" xfId="0" applyFill="1" applyBorder="1" applyAlignment="1">
      <alignment horizontal="center" vertical="center"/>
    </xf>
    <xf numFmtId="0" fontId="0" fillId="31" borderId="0" xfId="0" applyFill="1" applyAlignment="1">
      <alignment horizontal="center" vertical="center" wrapText="1"/>
    </xf>
    <xf numFmtId="9" fontId="201" fillId="19" borderId="0" xfId="0" applyNumberFormat="1" applyFont="1" applyFill="1"/>
    <xf numFmtId="0" fontId="0" fillId="7" borderId="0" xfId="0" applyFill="1"/>
    <xf numFmtId="164" fontId="14" fillId="7" borderId="2" xfId="0" applyNumberFormat="1" applyFont="1" applyFill="1" applyBorder="1" applyAlignment="1">
      <alignment horizontal="right"/>
    </xf>
    <xf numFmtId="181" fontId="17" fillId="2" borderId="2" xfId="0" applyNumberFormat="1" applyFont="1" applyFill="1" applyBorder="1"/>
    <xf numFmtId="38" fontId="70" fillId="7" borderId="1" xfId="1" applyNumberFormat="1" applyFont="1" applyFill="1" applyBorder="1" applyAlignment="1">
      <alignment horizontal="right"/>
    </xf>
    <xf numFmtId="164" fontId="119" fillId="2" borderId="2" xfId="0" applyNumberFormat="1" applyFont="1" applyFill="1" applyBorder="1" applyAlignment="1">
      <alignment horizontal="right" wrapText="1"/>
    </xf>
    <xf numFmtId="168" fontId="29" fillId="2" borderId="2" xfId="0" applyNumberFormat="1" applyFont="1" applyFill="1" applyBorder="1" applyAlignment="1">
      <alignment horizontal="right" wrapText="1"/>
    </xf>
    <xf numFmtId="0" fontId="0" fillId="31" borderId="0" xfId="0" applyFill="1"/>
    <xf numFmtId="0" fontId="0" fillId="31" borderId="0" xfId="0" applyFill="1" applyAlignment="1">
      <alignment horizontal="right"/>
    </xf>
    <xf numFmtId="3" fontId="105" fillId="19" borderId="0" xfId="0" applyNumberFormat="1" applyFont="1" applyFill="1" applyAlignment="1">
      <alignment horizontal="right"/>
    </xf>
    <xf numFmtId="0" fontId="0" fillId="19" borderId="0" xfId="0" applyFill="1" applyAlignment="1">
      <alignment horizontal="right"/>
    </xf>
    <xf numFmtId="3" fontId="24" fillId="19" borderId="0" xfId="0" applyNumberFormat="1" applyFont="1" applyFill="1" applyAlignment="1">
      <alignment horizontal="right"/>
    </xf>
    <xf numFmtId="0" fontId="0" fillId="19" borderId="0" xfId="0" applyFill="1" applyAlignment="1">
      <alignment horizontal="center" vertical="top" wrapText="1"/>
    </xf>
    <xf numFmtId="3" fontId="0" fillId="19" borderId="0" xfId="0" applyNumberFormat="1" applyFill="1" applyAlignment="1">
      <alignment horizontal="center" vertical="top" wrapText="1"/>
    </xf>
    <xf numFmtId="172" fontId="76" fillId="0" borderId="2" xfId="0" applyNumberFormat="1" applyFont="1" applyBorder="1" applyAlignment="1">
      <alignment horizontal="right"/>
    </xf>
    <xf numFmtId="172" fontId="76" fillId="29" borderId="2" xfId="0" applyNumberFormat="1" applyFont="1" applyFill="1" applyBorder="1" applyAlignment="1">
      <alignment horizontal="right"/>
    </xf>
    <xf numFmtId="0" fontId="159" fillId="7" borderId="0" xfId="0" applyFont="1" applyFill="1"/>
    <xf numFmtId="0" fontId="159" fillId="7" borderId="0" xfId="0" applyFont="1" applyFill="1" applyAlignment="1">
      <alignment horizontal="right"/>
    </xf>
    <xf numFmtId="0" fontId="0" fillId="18" borderId="0" xfId="0" applyFill="1"/>
    <xf numFmtId="0" fontId="159" fillId="25" borderId="0" xfId="0" applyFont="1" applyFill="1"/>
    <xf numFmtId="0" fontId="159" fillId="25" borderId="0" xfId="0" applyFont="1" applyFill="1" applyAlignment="1">
      <alignment horizontal="right"/>
    </xf>
    <xf numFmtId="0" fontId="159" fillId="18" borderId="0" xfId="0" applyFont="1" applyFill="1"/>
    <xf numFmtId="0" fontId="159" fillId="18" borderId="0" xfId="0" applyFont="1" applyFill="1" applyAlignment="1">
      <alignment horizontal="right"/>
    </xf>
    <xf numFmtId="172" fontId="85" fillId="0" borderId="24" xfId="0" applyNumberFormat="1" applyFont="1" applyBorder="1" applyAlignment="1">
      <alignment horizontal="right"/>
    </xf>
    <xf numFmtId="172" fontId="85" fillId="29" borderId="24" xfId="0" applyNumberFormat="1" applyFont="1" applyFill="1" applyBorder="1" applyAlignment="1">
      <alignment horizontal="right"/>
    </xf>
    <xf numFmtId="166" fontId="22" fillId="22" borderId="1" xfId="0" applyNumberFormat="1" applyFont="1" applyFill="1" applyBorder="1" applyAlignment="1">
      <alignment horizontal="right" wrapText="1"/>
    </xf>
    <xf numFmtId="40" fontId="202" fillId="2" borderId="1" xfId="0" applyNumberFormat="1" applyFont="1" applyFill="1" applyBorder="1" applyAlignment="1">
      <alignment horizontal="right" wrapText="1"/>
    </xf>
    <xf numFmtId="3" fontId="203" fillId="2" borderId="2" xfId="0" applyNumberFormat="1" applyFont="1" applyFill="1" applyBorder="1" applyAlignment="1">
      <alignment horizontal="center" vertical="center" wrapText="1"/>
    </xf>
    <xf numFmtId="166" fontId="25" fillId="2" borderId="3" xfId="0" applyNumberFormat="1" applyFont="1" applyFill="1" applyBorder="1" applyAlignment="1">
      <alignment horizontal="right"/>
    </xf>
    <xf numFmtId="164" fontId="97" fillId="27" borderId="18" xfId="0" applyNumberFormat="1" applyFont="1" applyFill="1" applyBorder="1"/>
    <xf numFmtId="164" fontId="97" fillId="27" borderId="29" xfId="0" applyNumberFormat="1" applyFont="1" applyFill="1" applyBorder="1"/>
    <xf numFmtId="164" fontId="97" fillId="27" borderId="4" xfId="0" applyNumberFormat="1" applyFont="1" applyFill="1" applyBorder="1"/>
    <xf numFmtId="3" fontId="105" fillId="17" borderId="0" xfId="0" applyNumberFormat="1" applyFont="1" applyFill="1" applyAlignment="1">
      <alignment horizontal="right"/>
    </xf>
    <xf numFmtId="0" fontId="0" fillId="17" borderId="0" xfId="0" applyFill="1" applyAlignment="1">
      <alignment horizontal="center" vertical="top" wrapText="1"/>
    </xf>
    <xf numFmtId="3" fontId="0" fillId="17" borderId="0" xfId="0" applyNumberFormat="1" applyFill="1" applyAlignment="1">
      <alignment horizontal="center" vertical="top" wrapText="1"/>
    </xf>
    <xf numFmtId="0" fontId="75" fillId="8" borderId="2" xfId="0" applyFont="1" applyFill="1" applyBorder="1" applyAlignment="1">
      <alignment vertical="center"/>
    </xf>
    <xf numFmtId="176" fontId="54" fillId="8" borderId="2" xfId="0" applyNumberFormat="1" applyFont="1" applyFill="1" applyBorder="1" applyAlignment="1">
      <alignment horizontal="right"/>
    </xf>
    <xf numFmtId="164" fontId="30" fillId="2" borderId="2" xfId="0" applyNumberFormat="1" applyFont="1" applyFill="1" applyBorder="1" applyAlignment="1">
      <alignment horizontal="right"/>
    </xf>
    <xf numFmtId="3" fontId="172" fillId="7" borderId="19" xfId="2" applyNumberFormat="1" applyFont="1" applyFill="1" applyBorder="1" applyAlignment="1">
      <alignment horizontal="center" readingOrder="1"/>
    </xf>
    <xf numFmtId="169" fontId="165" fillId="7" borderId="19" xfId="2" applyNumberFormat="1" applyFont="1" applyFill="1" applyBorder="1" applyAlignment="1">
      <alignment horizontal="center" readingOrder="1"/>
    </xf>
    <xf numFmtId="0" fontId="48" fillId="7" borderId="2" xfId="2" applyFont="1" applyFill="1" applyBorder="1" applyAlignment="1">
      <alignment horizontal="center" readingOrder="1"/>
    </xf>
    <xf numFmtId="0" fontId="48" fillId="7" borderId="19" xfId="2" applyFont="1" applyFill="1" applyBorder="1" applyAlignment="1">
      <alignment readingOrder="1"/>
    </xf>
    <xf numFmtId="0" fontId="124" fillId="7" borderId="19" xfId="2" applyFont="1" applyFill="1" applyBorder="1" applyAlignment="1">
      <alignment readingOrder="1"/>
    </xf>
    <xf numFmtId="0" fontId="47" fillId="7" borderId="19" xfId="2" applyFont="1" applyFill="1" applyBorder="1" applyAlignment="1">
      <alignment readingOrder="1"/>
    </xf>
    <xf numFmtId="0" fontId="101" fillId="7" borderId="19" xfId="2" applyFont="1" applyFill="1" applyBorder="1" applyAlignment="1">
      <alignment readingOrder="1"/>
    </xf>
    <xf numFmtId="3" fontId="172" fillId="8" borderId="19" xfId="2" applyNumberFormat="1" applyFont="1" applyFill="1" applyBorder="1" applyAlignment="1">
      <alignment horizontal="center" readingOrder="1"/>
    </xf>
    <xf numFmtId="169" fontId="165" fillId="8" borderId="19" xfId="2" applyNumberFormat="1" applyFont="1" applyFill="1" applyBorder="1" applyAlignment="1">
      <alignment horizontal="center" readingOrder="1"/>
    </xf>
    <xf numFmtId="0" fontId="48" fillId="8" borderId="2" xfId="2" applyFont="1" applyFill="1" applyBorder="1" applyAlignment="1">
      <alignment horizontal="center" readingOrder="1"/>
    </xf>
    <xf numFmtId="0" fontId="48" fillId="8" borderId="19" xfId="2" applyFont="1" applyFill="1" applyBorder="1" applyAlignment="1">
      <alignment readingOrder="1"/>
    </xf>
    <xf numFmtId="0" fontId="124" fillId="8" borderId="19" xfId="2" applyFont="1" applyFill="1" applyBorder="1" applyAlignment="1">
      <alignment readingOrder="1"/>
    </xf>
    <xf numFmtId="0" fontId="47" fillId="8" borderId="19" xfId="2" applyFont="1" applyFill="1" applyBorder="1" applyAlignment="1">
      <alignment readingOrder="1"/>
    </xf>
    <xf numFmtId="0" fontId="101" fillId="8" borderId="19" xfId="2" applyFont="1" applyFill="1" applyBorder="1" applyAlignment="1">
      <alignment readingOrder="1"/>
    </xf>
    <xf numFmtId="3" fontId="172" fillId="19" borderId="19" xfId="2" applyNumberFormat="1" applyFont="1" applyFill="1" applyBorder="1" applyAlignment="1">
      <alignment horizontal="center" readingOrder="1"/>
    </xf>
    <xf numFmtId="0" fontId="48" fillId="19" borderId="2" xfId="2" applyFont="1" applyFill="1" applyBorder="1" applyAlignment="1">
      <alignment horizontal="center" readingOrder="1"/>
    </xf>
    <xf numFmtId="0" fontId="48" fillId="19" borderId="19" xfId="2" applyFont="1" applyFill="1" applyBorder="1" applyAlignment="1">
      <alignment readingOrder="1"/>
    </xf>
    <xf numFmtId="0" fontId="124" fillId="19" borderId="19" xfId="2" applyFont="1" applyFill="1" applyBorder="1" applyAlignment="1">
      <alignment readingOrder="1"/>
    </xf>
    <xf numFmtId="0" fontId="47" fillId="19" borderId="19" xfId="2" applyFont="1" applyFill="1" applyBorder="1" applyAlignment="1">
      <alignment readingOrder="1"/>
    </xf>
    <xf numFmtId="0" fontId="101" fillId="19" borderId="19" xfId="2" applyFont="1" applyFill="1" applyBorder="1" applyAlignment="1">
      <alignment readingOrder="1"/>
    </xf>
    <xf numFmtId="0" fontId="0" fillId="19" borderId="26" xfId="0" applyFill="1" applyBorder="1" applyAlignment="1">
      <alignment horizontal="center" vertical="center" wrapText="1"/>
    </xf>
    <xf numFmtId="3" fontId="172" fillId="17" borderId="19" xfId="2" applyNumberFormat="1" applyFont="1" applyFill="1" applyBorder="1" applyAlignment="1">
      <alignment horizontal="center" readingOrder="1"/>
    </xf>
    <xf numFmtId="169" fontId="165" fillId="17" borderId="19" xfId="2" applyNumberFormat="1" applyFont="1" applyFill="1" applyBorder="1" applyAlignment="1">
      <alignment horizontal="center" readingOrder="1"/>
    </xf>
    <xf numFmtId="0" fontId="0" fillId="17" borderId="26" xfId="0" applyFill="1" applyBorder="1" applyAlignment="1">
      <alignment horizontal="center" vertical="center" wrapText="1"/>
    </xf>
    <xf numFmtId="166" fontId="119" fillId="38" borderId="0" xfId="0" applyNumberFormat="1" applyFont="1" applyFill="1" applyAlignment="1">
      <alignment wrapText="1"/>
    </xf>
    <xf numFmtId="176" fontId="36" fillId="38" borderId="15" xfId="0" applyNumberFormat="1" applyFont="1" applyFill="1" applyBorder="1" applyAlignment="1">
      <alignment horizontal="center" wrapText="1"/>
    </xf>
    <xf numFmtId="3" fontId="0" fillId="55" borderId="0" xfId="0" applyNumberFormat="1" applyFill="1" applyAlignment="1">
      <alignment horizontal="center"/>
    </xf>
    <xf numFmtId="0" fontId="0" fillId="55" borderId="0" xfId="0" applyFill="1" applyAlignment="1">
      <alignment horizontal="center" wrapText="1"/>
    </xf>
    <xf numFmtId="0" fontId="0" fillId="55" borderId="11" xfId="0" applyFill="1" applyBorder="1" applyAlignment="1">
      <alignment horizontal="center" wrapText="1"/>
    </xf>
    <xf numFmtId="3" fontId="36" fillId="55" borderId="0" xfId="0" applyNumberFormat="1" applyFont="1" applyFill="1" applyAlignment="1">
      <alignment horizontal="center"/>
    </xf>
    <xf numFmtId="0" fontId="0" fillId="55" borderId="0" xfId="0" applyFill="1"/>
    <xf numFmtId="182" fontId="32" fillId="0" borderId="37" xfId="0" applyNumberFormat="1" applyFont="1" applyBorder="1"/>
    <xf numFmtId="38" fontId="32" fillId="0" borderId="37" xfId="0" applyNumberFormat="1" applyFont="1" applyBorder="1" applyAlignment="1">
      <alignment horizontal="right"/>
    </xf>
    <xf numFmtId="0" fontId="90" fillId="0" borderId="0" xfId="0" applyFont="1"/>
    <xf numFmtId="38" fontId="31" fillId="0" borderId="0" xfId="0" applyNumberFormat="1" applyFont="1" applyAlignment="1">
      <alignment horizontal="right"/>
    </xf>
    <xf numFmtId="38" fontId="29" fillId="0" borderId="0" xfId="0" applyNumberFormat="1" applyFont="1"/>
    <xf numFmtId="164" fontId="204" fillId="7" borderId="2" xfId="0" applyNumberFormat="1" applyFont="1" applyFill="1" applyBorder="1" applyAlignment="1">
      <alignment horizontal="center"/>
    </xf>
    <xf numFmtId="3" fontId="21" fillId="0" borderId="0" xfId="0" applyNumberFormat="1" applyFont="1" applyAlignment="1">
      <alignment wrapText="1"/>
    </xf>
    <xf numFmtId="0" fontId="0" fillId="38" borderId="39" xfId="0" applyFill="1" applyBorder="1" applyAlignment="1">
      <alignment horizontal="center" vertical="center" wrapText="1"/>
    </xf>
    <xf numFmtId="0" fontId="0" fillId="38" borderId="40" xfId="0" applyFill="1" applyBorder="1" applyAlignment="1">
      <alignment horizontal="center" vertical="center" wrapText="1"/>
    </xf>
    <xf numFmtId="0" fontId="0" fillId="38" borderId="46" xfId="0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/>
    </xf>
    <xf numFmtId="0" fontId="0" fillId="2" borderId="6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204" fillId="0" borderId="2" xfId="0" applyFont="1" applyBorder="1" applyAlignment="1">
      <alignment horizontal="center"/>
    </xf>
    <xf numFmtId="164" fontId="31" fillId="2" borderId="2" xfId="0" applyNumberFormat="1" applyFont="1" applyFill="1" applyBorder="1" applyAlignment="1">
      <alignment horizontal="right" wrapText="1"/>
    </xf>
    <xf numFmtId="0" fontId="183" fillId="0" borderId="2" xfId="2" applyFont="1" applyBorder="1" applyAlignment="1">
      <alignment readingOrder="1"/>
    </xf>
    <xf numFmtId="3" fontId="205" fillId="28" borderId="15" xfId="0" applyNumberFormat="1" applyFont="1" applyFill="1" applyBorder="1" applyAlignment="1">
      <alignment wrapText="1"/>
    </xf>
    <xf numFmtId="0" fontId="31" fillId="0" borderId="2" xfId="0" applyFont="1" applyBorder="1"/>
    <xf numFmtId="3" fontId="146" fillId="26" borderId="24" xfId="0" applyNumberFormat="1" applyFont="1" applyFill="1" applyBorder="1" applyAlignment="1">
      <alignment horizontal="right"/>
    </xf>
    <xf numFmtId="3" fontId="17" fillId="26" borderId="24" xfId="0" applyNumberFormat="1" applyFont="1" applyFill="1" applyBorder="1" applyAlignment="1">
      <alignment horizontal="right"/>
    </xf>
    <xf numFmtId="166" fontId="146" fillId="26" borderId="53" xfId="0" applyNumberFormat="1" applyFont="1" applyFill="1" applyBorder="1"/>
    <xf numFmtId="3" fontId="146" fillId="26" borderId="52" xfId="0" applyNumberFormat="1" applyFont="1" applyFill="1" applyBorder="1" applyAlignment="1">
      <alignment horizontal="right"/>
    </xf>
    <xf numFmtId="9" fontId="146" fillId="26" borderId="24" xfId="0" applyNumberFormat="1" applyFont="1" applyFill="1" applyBorder="1"/>
    <xf numFmtId="3" fontId="146" fillId="55" borderId="24" xfId="0" applyNumberFormat="1" applyFont="1" applyFill="1" applyBorder="1" applyAlignment="1">
      <alignment horizontal="right"/>
    </xf>
    <xf numFmtId="0" fontId="14" fillId="26" borderId="0" xfId="0" applyFont="1" applyFill="1" applyAlignment="1">
      <alignment horizontal="left"/>
    </xf>
    <xf numFmtId="3" fontId="24" fillId="2" borderId="18" xfId="0" applyNumberFormat="1" applyFont="1" applyFill="1" applyBorder="1" applyAlignment="1">
      <alignment wrapText="1"/>
    </xf>
    <xf numFmtId="0" fontId="25" fillId="0" borderId="0" xfId="0" applyFont="1"/>
    <xf numFmtId="3" fontId="92" fillId="0" borderId="2" xfId="0" applyNumberFormat="1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179" fontId="104" fillId="2" borderId="1" xfId="0" applyNumberFormat="1" applyFont="1" applyFill="1" applyBorder="1"/>
    <xf numFmtId="0" fontId="0" fillId="54" borderId="2" xfId="0" applyFill="1" applyBorder="1"/>
    <xf numFmtId="0" fontId="0" fillId="54" borderId="0" xfId="0" applyFill="1"/>
    <xf numFmtId="9" fontId="29" fillId="0" borderId="0" xfId="0" applyNumberFormat="1" applyFont="1"/>
    <xf numFmtId="0" fontId="29" fillId="26" borderId="0" xfId="0" applyFont="1" applyFill="1" applyAlignment="1">
      <alignment horizontal="left"/>
    </xf>
    <xf numFmtId="9" fontId="36" fillId="0" borderId="0" xfId="0" applyNumberFormat="1" applyFont="1"/>
    <xf numFmtId="3" fontId="30" fillId="2" borderId="2" xfId="0" applyNumberFormat="1" applyFont="1" applyFill="1" applyBorder="1" applyAlignment="1">
      <alignment horizontal="right"/>
    </xf>
    <xf numFmtId="3" fontId="14" fillId="38" borderId="15" xfId="0" applyNumberFormat="1" applyFont="1" applyFill="1" applyBorder="1" applyAlignment="1">
      <alignment wrapText="1"/>
    </xf>
    <xf numFmtId="3" fontId="14" fillId="38" borderId="0" xfId="0" applyNumberFormat="1" applyFont="1" applyFill="1" applyAlignment="1">
      <alignment wrapText="1"/>
    </xf>
    <xf numFmtId="3" fontId="21" fillId="38" borderId="16" xfId="0" applyNumberFormat="1" applyFont="1" applyFill="1" applyBorder="1" applyAlignment="1">
      <alignment wrapText="1"/>
    </xf>
    <xf numFmtId="3" fontId="14" fillId="38" borderId="12" xfId="0" applyNumberFormat="1" applyFont="1" applyFill="1" applyBorder="1" applyAlignment="1">
      <alignment wrapText="1"/>
    </xf>
    <xf numFmtId="3" fontId="14" fillId="38" borderId="11" xfId="0" applyNumberFormat="1" applyFont="1" applyFill="1" applyBorder="1" applyAlignment="1">
      <alignment wrapText="1"/>
    </xf>
    <xf numFmtId="3" fontId="21" fillId="38" borderId="13" xfId="0" applyNumberFormat="1" applyFont="1" applyFill="1" applyBorder="1" applyAlignment="1">
      <alignment wrapText="1"/>
    </xf>
    <xf numFmtId="3" fontId="21" fillId="38" borderId="11" xfId="0" applyNumberFormat="1" applyFont="1" applyFill="1" applyBorder="1" applyAlignment="1">
      <alignment wrapText="1"/>
    </xf>
    <xf numFmtId="3" fontId="14" fillId="38" borderId="14" xfId="0" applyNumberFormat="1" applyFont="1" applyFill="1" applyBorder="1" applyAlignment="1">
      <alignment wrapText="1"/>
    </xf>
    <xf numFmtId="3" fontId="14" fillId="38" borderId="7" xfId="0" applyNumberFormat="1" applyFont="1" applyFill="1" applyBorder="1" applyAlignment="1">
      <alignment wrapText="1"/>
    </xf>
    <xf numFmtId="3" fontId="21" fillId="38" borderId="8" xfId="0" applyNumberFormat="1" applyFont="1" applyFill="1" applyBorder="1" applyAlignment="1">
      <alignment wrapText="1"/>
    </xf>
    <xf numFmtId="3" fontId="14" fillId="38" borderId="17" xfId="0" applyNumberFormat="1" applyFont="1" applyFill="1" applyBorder="1" applyAlignment="1">
      <alignment wrapText="1"/>
    </xf>
    <xf numFmtId="3" fontId="14" fillId="38" borderId="9" xfId="0" applyNumberFormat="1" applyFont="1" applyFill="1" applyBorder="1" applyAlignment="1">
      <alignment wrapText="1"/>
    </xf>
    <xf numFmtId="3" fontId="21" fillId="38" borderId="10" xfId="0" applyNumberFormat="1" applyFont="1" applyFill="1" applyBorder="1" applyAlignment="1">
      <alignment wrapText="1"/>
    </xf>
    <xf numFmtId="0" fontId="0" fillId="38" borderId="0" xfId="0" applyFill="1"/>
    <xf numFmtId="0" fontId="0" fillId="38" borderId="52" xfId="0" applyFill="1" applyBorder="1" applyAlignment="1">
      <alignment horizontal="center" vertical="center"/>
    </xf>
    <xf numFmtId="3" fontId="24" fillId="38" borderId="15" xfId="0" applyNumberFormat="1" applyFont="1" applyFill="1" applyBorder="1" applyAlignment="1">
      <alignment wrapText="1"/>
    </xf>
    <xf numFmtId="3" fontId="36" fillId="38" borderId="0" xfId="0" applyNumberFormat="1" applyFont="1" applyFill="1" applyAlignment="1">
      <alignment wrapText="1"/>
    </xf>
    <xf numFmtId="3" fontId="36" fillId="38" borderId="11" xfId="0" applyNumberFormat="1" applyFont="1" applyFill="1" applyBorder="1" applyAlignment="1">
      <alignment wrapText="1"/>
    </xf>
    <xf numFmtId="0" fontId="117" fillId="0" borderId="0" xfId="0" applyFont="1" applyAlignment="1">
      <alignment horizontal="center" wrapText="1"/>
    </xf>
    <xf numFmtId="3" fontId="31" fillId="26" borderId="24" xfId="0" applyNumberFormat="1" applyFont="1" applyFill="1" applyBorder="1" applyAlignment="1">
      <alignment horizontal="right"/>
    </xf>
    <xf numFmtId="0" fontId="206" fillId="0" borderId="0" xfId="0" applyFont="1"/>
    <xf numFmtId="181" fontId="28" fillId="2" borderId="2" xfId="0" applyNumberFormat="1" applyFont="1" applyFill="1" applyBorder="1"/>
    <xf numFmtId="38" fontId="207" fillId="0" borderId="0" xfId="0" applyNumberFormat="1" applyFont="1" applyAlignment="1">
      <alignment horizontal="right"/>
    </xf>
    <xf numFmtId="0" fontId="208" fillId="0" borderId="0" xfId="0" applyFont="1" applyAlignment="1">
      <alignment horizontal="center" vertical="center"/>
    </xf>
    <xf numFmtId="182" fontId="180" fillId="0" borderId="0" xfId="0" applyNumberFormat="1" applyFont="1"/>
    <xf numFmtId="38" fontId="35" fillId="0" borderId="0" xfId="0" applyNumberFormat="1" applyFont="1" applyAlignment="1">
      <alignment horizontal="right"/>
    </xf>
    <xf numFmtId="0" fontId="0" fillId="2" borderId="41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/>
    </xf>
    <xf numFmtId="3" fontId="21" fillId="2" borderId="22" xfId="0" applyNumberFormat="1" applyFont="1" applyFill="1" applyBorder="1" applyAlignment="1">
      <alignment wrapText="1"/>
    </xf>
    <xf numFmtId="3" fontId="21" fillId="2" borderId="29" xfId="0" applyNumberFormat="1" applyFont="1" applyFill="1" applyBorder="1" applyAlignment="1">
      <alignment wrapText="1"/>
    </xf>
    <xf numFmtId="3" fontId="21" fillId="2" borderId="11" xfId="0" applyNumberFormat="1" applyFont="1" applyFill="1" applyBorder="1" applyAlignment="1">
      <alignment wrapText="1"/>
    </xf>
    <xf numFmtId="0" fontId="17" fillId="43" borderId="29" xfId="0" applyFont="1" applyFill="1" applyBorder="1" applyAlignment="1">
      <alignment vertical="center"/>
    </xf>
    <xf numFmtId="0" fontId="17" fillId="43" borderId="4" xfId="0" applyFont="1" applyFill="1" applyBorder="1" applyAlignment="1">
      <alignment vertical="center"/>
    </xf>
    <xf numFmtId="0" fontId="0" fillId="35" borderId="52" xfId="0" applyFill="1" applyBorder="1" applyAlignment="1">
      <alignment horizontal="center" vertical="center"/>
    </xf>
    <xf numFmtId="3" fontId="36" fillId="35" borderId="15" xfId="0" applyNumberFormat="1" applyFont="1" applyFill="1" applyBorder="1" applyAlignment="1">
      <alignment wrapText="1"/>
    </xf>
    <xf numFmtId="3" fontId="36" fillId="35" borderId="0" xfId="0" applyNumberFormat="1" applyFont="1" applyFill="1" applyAlignment="1">
      <alignment wrapText="1"/>
    </xf>
    <xf numFmtId="0" fontId="159" fillId="0" borderId="0" xfId="0" applyFont="1" applyAlignment="1">
      <alignment horizontal="right" vertical="center" wrapText="1"/>
    </xf>
    <xf numFmtId="164" fontId="32" fillId="2" borderId="2" xfId="0" applyNumberFormat="1" applyFont="1" applyFill="1" applyBorder="1" applyAlignment="1">
      <alignment horizontal="center" wrapText="1"/>
    </xf>
    <xf numFmtId="0" fontId="32" fillId="0" borderId="2" xfId="0" applyFont="1" applyBorder="1"/>
    <xf numFmtId="164" fontId="32" fillId="2" borderId="1" xfId="0" applyNumberFormat="1" applyFont="1" applyFill="1" applyBorder="1" applyAlignment="1">
      <alignment horizontal="center"/>
    </xf>
    <xf numFmtId="0" fontId="158" fillId="0" borderId="9" xfId="0" applyFont="1" applyBorder="1" applyAlignment="1">
      <alignment horizontal="center" vertical="center" wrapText="1"/>
    </xf>
    <xf numFmtId="0" fontId="140" fillId="0" borderId="9" xfId="0" applyFont="1" applyBorder="1" applyAlignment="1">
      <alignment horizontal="center" vertical="center" wrapText="1"/>
    </xf>
    <xf numFmtId="1" fontId="32" fillId="0" borderId="2" xfId="0" applyNumberFormat="1" applyFont="1" applyBorder="1" applyAlignment="1">
      <alignment horizontal="center"/>
    </xf>
    <xf numFmtId="3" fontId="210" fillId="2" borderId="2" xfId="0" applyNumberFormat="1" applyFont="1" applyFill="1" applyBorder="1" applyAlignment="1">
      <alignment horizontal="center" vertical="center" wrapText="1"/>
    </xf>
    <xf numFmtId="0" fontId="140" fillId="0" borderId="2" xfId="0" applyFont="1" applyBorder="1" applyAlignment="1">
      <alignment horizontal="center" vertical="center" wrapText="1"/>
    </xf>
    <xf numFmtId="3" fontId="55" fillId="0" borderId="0" xfId="0" applyNumberFormat="1" applyFont="1"/>
    <xf numFmtId="0" fontId="24" fillId="0" borderId="0" xfId="0" applyFont="1" applyAlignment="1">
      <alignment horizontal="center" vertical="center" wrapText="1"/>
    </xf>
    <xf numFmtId="9" fontId="30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1" fontId="211" fillId="0" borderId="2" xfId="0" applyNumberFormat="1" applyFont="1" applyBorder="1" applyAlignment="1">
      <alignment horizontal="center"/>
    </xf>
    <xf numFmtId="1" fontId="212" fillId="0" borderId="2" xfId="0" applyNumberFormat="1" applyFont="1" applyBorder="1" applyAlignment="1">
      <alignment horizontal="center"/>
    </xf>
    <xf numFmtId="0" fontId="213" fillId="0" borderId="0" xfId="0" applyFont="1" applyAlignment="1">
      <alignment horizontal="center"/>
    </xf>
    <xf numFmtId="166" fontId="215" fillId="0" borderId="2" xfId="0" applyNumberFormat="1" applyFont="1" applyBorder="1" applyAlignment="1">
      <alignment horizontal="right"/>
    </xf>
    <xf numFmtId="1" fontId="216" fillId="0" borderId="2" xfId="0" applyNumberFormat="1" applyFont="1" applyBorder="1" applyAlignment="1">
      <alignment horizontal="center"/>
    </xf>
    <xf numFmtId="1" fontId="86" fillId="0" borderId="2" xfId="0" applyNumberFormat="1" applyFont="1" applyBorder="1" applyAlignment="1">
      <alignment horizontal="center"/>
    </xf>
    <xf numFmtId="1" fontId="150" fillId="0" borderId="2" xfId="0" applyNumberFormat="1" applyFont="1" applyBorder="1" applyAlignment="1">
      <alignment horizontal="center"/>
    </xf>
    <xf numFmtId="0" fontId="159" fillId="0" borderId="2" xfId="0" applyFont="1" applyBorder="1" applyAlignment="1">
      <alignment horizontal="center" vertical="center" wrapText="1" readingOrder="2"/>
    </xf>
    <xf numFmtId="3" fontId="110" fillId="2" borderId="2" xfId="0" applyNumberFormat="1" applyFont="1" applyFill="1" applyBorder="1" applyAlignment="1">
      <alignment horizontal="center" vertical="center" wrapText="1"/>
    </xf>
    <xf numFmtId="3" fontId="98" fillId="2" borderId="2" xfId="0" applyNumberFormat="1" applyFont="1" applyFill="1" applyBorder="1" applyAlignment="1">
      <alignment horizontal="center" vertical="center" wrapText="1"/>
    </xf>
    <xf numFmtId="180" fontId="0" fillId="0" borderId="11" xfId="0" applyNumberFormat="1" applyBorder="1" applyAlignment="1">
      <alignment horizontal="center" wrapText="1"/>
    </xf>
    <xf numFmtId="3" fontId="53" fillId="26" borderId="24" xfId="0" applyNumberFormat="1" applyFont="1" applyFill="1" applyBorder="1" applyAlignment="1">
      <alignment horizontal="right"/>
    </xf>
    <xf numFmtId="3" fontId="53" fillId="0" borderId="0" xfId="0" applyNumberFormat="1" applyFont="1"/>
    <xf numFmtId="3" fontId="217" fillId="0" borderId="0" xfId="0" applyNumberFormat="1" applyFont="1"/>
    <xf numFmtId="0" fontId="217" fillId="0" borderId="0" xfId="0" applyFont="1"/>
    <xf numFmtId="0" fontId="159" fillId="0" borderId="18" xfId="0" applyFont="1" applyBorder="1" applyAlignment="1">
      <alignment horizontal="center" vertical="center" wrapText="1" readingOrder="2"/>
    </xf>
    <xf numFmtId="0" fontId="111" fillId="2" borderId="2" xfId="0" applyFont="1" applyFill="1" applyBorder="1" applyAlignment="1">
      <alignment horizontal="center" vertical="center" wrapText="1"/>
    </xf>
    <xf numFmtId="38" fontId="139" fillId="7" borderId="1" xfId="0" applyNumberFormat="1" applyFont="1" applyFill="1" applyBorder="1" applyAlignment="1">
      <alignment horizontal="right"/>
    </xf>
    <xf numFmtId="3" fontId="218" fillId="28" borderId="15" xfId="0" applyNumberFormat="1" applyFont="1" applyFill="1" applyBorder="1" applyAlignment="1">
      <alignment wrapText="1"/>
    </xf>
    <xf numFmtId="3" fontId="219" fillId="2" borderId="0" xfId="0" applyNumberFormat="1" applyFont="1" applyFill="1" applyAlignment="1">
      <alignment wrapText="1"/>
    </xf>
    <xf numFmtId="0" fontId="220" fillId="0" borderId="2" xfId="0" applyFont="1" applyBorder="1" applyAlignment="1">
      <alignment horizontal="center" vertical="center" wrapText="1"/>
    </xf>
    <xf numFmtId="9" fontId="55" fillId="2" borderId="1" xfId="0" applyNumberFormat="1" applyFont="1" applyFill="1" applyBorder="1" applyAlignment="1">
      <alignment horizontal="right"/>
    </xf>
    <xf numFmtId="164" fontId="156" fillId="19" borderId="4" xfId="0" applyNumberFormat="1" applyFont="1" applyFill="1" applyBorder="1" applyAlignment="1">
      <alignment horizontal="right" wrapText="1"/>
    </xf>
    <xf numFmtId="3" fontId="36" fillId="22" borderId="42" xfId="0" applyNumberFormat="1" applyFont="1" applyFill="1" applyBorder="1" applyAlignment="1">
      <alignment horizontal="right"/>
    </xf>
    <xf numFmtId="164" fontId="24" fillId="19" borderId="5" xfId="0" applyNumberFormat="1" applyFont="1" applyFill="1" applyBorder="1" applyAlignment="1">
      <alignment horizontal="right"/>
    </xf>
    <xf numFmtId="164" fontId="33" fillId="10" borderId="1" xfId="0" applyNumberFormat="1" applyFont="1" applyFill="1" applyBorder="1" applyAlignment="1">
      <alignment horizontal="right"/>
    </xf>
    <xf numFmtId="164" fontId="64" fillId="10" borderId="1" xfId="0" applyNumberFormat="1" applyFont="1" applyFill="1" applyBorder="1" applyAlignment="1">
      <alignment horizontal="right"/>
    </xf>
    <xf numFmtId="166" fontId="80" fillId="10" borderId="1" xfId="0" applyNumberFormat="1" applyFont="1" applyFill="1" applyBorder="1" applyAlignment="1">
      <alignment horizontal="right"/>
    </xf>
    <xf numFmtId="164" fontId="139" fillId="10" borderId="1" xfId="0" applyNumberFormat="1" applyFont="1" applyFill="1" applyBorder="1" applyAlignment="1">
      <alignment horizontal="right"/>
    </xf>
    <xf numFmtId="181" fontId="36" fillId="22" borderId="1" xfId="0" applyNumberFormat="1" applyFont="1" applyFill="1" applyBorder="1" applyAlignment="1">
      <alignment horizontal="left" vertical="top"/>
    </xf>
    <xf numFmtId="181" fontId="24" fillId="22" borderId="20" xfId="0" applyNumberFormat="1" applyFont="1" applyFill="1" applyBorder="1" applyAlignment="1">
      <alignment horizontal="right" vertical="top"/>
    </xf>
    <xf numFmtId="3" fontId="159" fillId="0" borderId="0" xfId="0" applyNumberFormat="1" applyFont="1"/>
    <xf numFmtId="0" fontId="14" fillId="0" borderId="0" xfId="0" applyFont="1"/>
    <xf numFmtId="0" fontId="14" fillId="1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53" borderId="0" xfId="0" applyFont="1" applyFill="1"/>
    <xf numFmtId="0" fontId="14" fillId="23" borderId="0" xfId="0" applyFont="1" applyFill="1" applyAlignment="1">
      <alignment horizontal="center"/>
    </xf>
    <xf numFmtId="0" fontId="14" fillId="35" borderId="0" xfId="0" applyFont="1" applyFill="1" applyAlignment="1">
      <alignment horizontal="center"/>
    </xf>
    <xf numFmtId="4" fontId="25" fillId="0" borderId="0" xfId="0" applyNumberFormat="1" applyFont="1"/>
    <xf numFmtId="3" fontId="221" fillId="0" borderId="0" xfId="0" applyNumberFormat="1" applyFont="1"/>
    <xf numFmtId="0" fontId="222" fillId="53" borderId="0" xfId="0" applyFont="1" applyFill="1"/>
    <xf numFmtId="4" fontId="65" fillId="0" borderId="0" xfId="0" applyNumberFormat="1" applyFont="1"/>
    <xf numFmtId="0" fontId="138" fillId="0" borderId="1" xfId="2" applyFont="1" applyBorder="1" applyAlignment="1">
      <alignment readingOrder="1"/>
    </xf>
    <xf numFmtId="3" fontId="14" fillId="8" borderId="0" xfId="0" applyNumberFormat="1" applyFont="1" applyFill="1" applyAlignment="1">
      <alignment wrapText="1"/>
    </xf>
    <xf numFmtId="0" fontId="0" fillId="8" borderId="0" xfId="0" applyFill="1" applyAlignment="1">
      <alignment horizontal="center" vertical="center"/>
    </xf>
    <xf numFmtId="0" fontId="0" fillId="8" borderId="32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31" borderId="15" xfId="0" applyFill="1" applyBorder="1" applyAlignment="1">
      <alignment horizontal="center" vertical="center"/>
    </xf>
    <xf numFmtId="0" fontId="0" fillId="31" borderId="16" xfId="0" applyFill="1" applyBorder="1" applyAlignment="1">
      <alignment horizontal="center" vertical="center"/>
    </xf>
    <xf numFmtId="181" fontId="28" fillId="2" borderId="1" xfId="0" applyNumberFormat="1" applyFont="1" applyFill="1" applyBorder="1" applyAlignment="1">
      <alignment horizontal="left" vertical="top"/>
    </xf>
    <xf numFmtId="164" fontId="35" fillId="2" borderId="1" xfId="0" applyNumberFormat="1" applyFont="1" applyFill="1" applyBorder="1" applyAlignment="1">
      <alignment horizontal="right"/>
    </xf>
    <xf numFmtId="172" fontId="36" fillId="0" borderId="2" xfId="0" applyNumberFormat="1" applyFont="1" applyBorder="1" applyAlignment="1">
      <alignment horizontal="right"/>
    </xf>
    <xf numFmtId="172" fontId="85" fillId="18" borderId="2" xfId="0" applyNumberFormat="1" applyFont="1" applyFill="1" applyBorder="1" applyAlignment="1">
      <alignment horizontal="right"/>
    </xf>
    <xf numFmtId="38" fontId="76" fillId="31" borderId="2" xfId="0" applyNumberFormat="1" applyFont="1" applyFill="1" applyBorder="1" applyAlignment="1">
      <alignment horizontal="right"/>
    </xf>
    <xf numFmtId="38" fontId="76" fillId="23" borderId="2" xfId="0" applyNumberFormat="1" applyFont="1" applyFill="1" applyBorder="1" applyAlignment="1">
      <alignment horizontal="right"/>
    </xf>
    <xf numFmtId="38" fontId="35" fillId="29" borderId="2" xfId="0" applyNumberFormat="1" applyFont="1" applyFill="1" applyBorder="1" applyAlignment="1">
      <alignment horizontal="right"/>
    </xf>
    <xf numFmtId="172" fontId="36" fillId="29" borderId="2" xfId="0" applyNumberFormat="1" applyFont="1" applyFill="1" applyBorder="1" applyAlignment="1">
      <alignment horizontal="right"/>
    </xf>
    <xf numFmtId="0" fontId="36" fillId="0" borderId="0" xfId="0" applyFont="1" applyAlignment="1">
      <alignment horizontal="center"/>
    </xf>
    <xf numFmtId="40" fontId="67" fillId="0" borderId="2" xfId="0" applyNumberFormat="1" applyFont="1" applyBorder="1" applyAlignment="1">
      <alignment horizontal="right"/>
    </xf>
    <xf numFmtId="170" fontId="67" fillId="8" borderId="2" xfId="0" applyNumberFormat="1" applyFont="1" applyFill="1" applyBorder="1" applyAlignment="1">
      <alignment horizontal="right"/>
    </xf>
    <xf numFmtId="40" fontId="67" fillId="8" borderId="2" xfId="0" applyNumberFormat="1" applyFont="1" applyFill="1" applyBorder="1" applyAlignment="1">
      <alignment horizontal="right"/>
    </xf>
    <xf numFmtId="0" fontId="29" fillId="17" borderId="0" xfId="0" applyFont="1" applyFill="1"/>
    <xf numFmtId="0" fontId="29" fillId="53" borderId="0" xfId="0" applyFont="1" applyFill="1"/>
    <xf numFmtId="0" fontId="17" fillId="45" borderId="2" xfId="0" applyFont="1" applyFill="1" applyBorder="1" applyAlignment="1">
      <alignment horizontal="right"/>
    </xf>
    <xf numFmtId="0" fontId="17" fillId="45" borderId="2" xfId="0" applyFont="1" applyFill="1" applyBorder="1"/>
    <xf numFmtId="0" fontId="17" fillId="45" borderId="2" xfId="0" applyFont="1" applyFill="1" applyBorder="1" applyAlignment="1">
      <alignment wrapText="1"/>
    </xf>
    <xf numFmtId="0" fontId="17" fillId="38" borderId="2" xfId="0" applyFont="1" applyFill="1" applyBorder="1" applyAlignment="1">
      <alignment wrapText="1"/>
    </xf>
    <xf numFmtId="0" fontId="17" fillId="0" borderId="18" xfId="0" applyFont="1" applyBorder="1" applyAlignment="1">
      <alignment wrapText="1"/>
    </xf>
    <xf numFmtId="0" fontId="17" fillId="0" borderId="48" xfId="0" applyFont="1" applyBorder="1" applyAlignment="1">
      <alignment wrapText="1"/>
    </xf>
    <xf numFmtId="0" fontId="17" fillId="0" borderId="49" xfId="0" applyFont="1" applyBorder="1" applyAlignment="1">
      <alignment wrapText="1"/>
    </xf>
    <xf numFmtId="0" fontId="17" fillId="0" borderId="50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17" fillId="46" borderId="2" xfId="0" applyFont="1" applyFill="1" applyBorder="1" applyAlignment="1">
      <alignment wrapText="1"/>
    </xf>
    <xf numFmtId="4" fontId="35" fillId="0" borderId="0" xfId="0" applyNumberFormat="1" applyFont="1"/>
    <xf numFmtId="3" fontId="223" fillId="0" borderId="0" xfId="0" applyNumberFormat="1" applyFont="1"/>
    <xf numFmtId="0" fontId="224" fillId="53" borderId="0" xfId="0" applyFont="1" applyFill="1"/>
    <xf numFmtId="4" fontId="84" fillId="0" borderId="0" xfId="0" applyNumberFormat="1" applyFont="1"/>
    <xf numFmtId="2" fontId="70" fillId="0" borderId="0" xfId="0" applyNumberFormat="1" applyFont="1"/>
    <xf numFmtId="3" fontId="35" fillId="0" borderId="0" xfId="0" applyNumberFormat="1" applyFont="1"/>
    <xf numFmtId="0" fontId="29" fillId="0" borderId="0" xfId="0" applyFont="1" applyAlignment="1">
      <alignment horizontal="right"/>
    </xf>
    <xf numFmtId="38" fontId="225" fillId="0" borderId="0" xfId="0" applyNumberFormat="1" applyFont="1"/>
    <xf numFmtId="0" fontId="226" fillId="0" borderId="0" xfId="0" applyFont="1"/>
    <xf numFmtId="166" fontId="29" fillId="0" borderId="0" xfId="0" applyNumberFormat="1" applyFont="1"/>
    <xf numFmtId="0" fontId="29" fillId="0" borderId="0" xfId="0" applyFont="1" applyAlignment="1">
      <alignment horizontal="center"/>
    </xf>
    <xf numFmtId="184" fontId="227" fillId="0" borderId="0" xfId="0" applyNumberFormat="1" applyFont="1"/>
    <xf numFmtId="184" fontId="227" fillId="0" borderId="0" xfId="0" applyNumberFormat="1" applyFont="1" applyAlignment="1">
      <alignment horizontal="right"/>
    </xf>
    <xf numFmtId="184" fontId="29" fillId="0" borderId="0" xfId="0" applyNumberFormat="1" applyFont="1"/>
    <xf numFmtId="0" fontId="30" fillId="0" borderId="0" xfId="0" applyFont="1"/>
    <xf numFmtId="3" fontId="24" fillId="38" borderId="37" xfId="0" applyNumberFormat="1" applyFont="1" applyFill="1" applyBorder="1" applyAlignment="1">
      <alignment wrapText="1"/>
    </xf>
    <xf numFmtId="3" fontId="36" fillId="13" borderId="37" xfId="0" applyNumberFormat="1" applyFont="1" applyFill="1" applyBorder="1" applyAlignment="1">
      <alignment wrapText="1"/>
    </xf>
    <xf numFmtId="3" fontId="21" fillId="8" borderId="0" xfId="0" applyNumberFormat="1" applyFont="1" applyFill="1" applyAlignment="1">
      <alignment wrapText="1"/>
    </xf>
    <xf numFmtId="3" fontId="21" fillId="38" borderId="0" xfId="0" applyNumberFormat="1" applyFont="1" applyFill="1" applyAlignment="1">
      <alignment wrapText="1"/>
    </xf>
    <xf numFmtId="170" fontId="54" fillId="0" borderId="0" xfId="0" applyNumberFormat="1" applyFont="1" applyAlignment="1">
      <alignment horizontal="center"/>
    </xf>
    <xf numFmtId="164" fontId="33" fillId="10" borderId="5" xfId="0" applyNumberFormat="1" applyFont="1" applyFill="1" applyBorder="1" applyAlignment="1">
      <alignment horizontal="right"/>
    </xf>
    <xf numFmtId="164" fontId="33" fillId="27" borderId="5" xfId="0" applyNumberFormat="1" applyFont="1" applyFill="1" applyBorder="1" applyAlignment="1">
      <alignment horizontal="right"/>
    </xf>
    <xf numFmtId="164" fontId="64" fillId="27" borderId="1" xfId="0" applyNumberFormat="1" applyFont="1" applyFill="1" applyBorder="1" applyAlignment="1">
      <alignment horizontal="right"/>
    </xf>
    <xf numFmtId="166" fontId="228" fillId="38" borderId="2" xfId="0" applyNumberFormat="1" applyFont="1" applyFill="1" applyBorder="1" applyAlignment="1">
      <alignment horizontal="right"/>
    </xf>
    <xf numFmtId="166" fontId="229" fillId="38" borderId="2" xfId="0" applyNumberFormat="1" applyFont="1" applyFill="1" applyBorder="1" applyAlignment="1">
      <alignment horizontal="right"/>
    </xf>
    <xf numFmtId="166" fontId="228" fillId="19" borderId="2" xfId="0" applyNumberFormat="1" applyFont="1" applyFill="1" applyBorder="1" applyAlignment="1">
      <alignment horizontal="right"/>
    </xf>
    <xf numFmtId="166" fontId="229" fillId="19" borderId="2" xfId="0" applyNumberFormat="1" applyFont="1" applyFill="1" applyBorder="1" applyAlignment="1">
      <alignment horizontal="right"/>
    </xf>
    <xf numFmtId="3" fontId="72" fillId="2" borderId="2" xfId="0" applyNumberFormat="1" applyFont="1" applyFill="1" applyBorder="1" applyAlignment="1">
      <alignment horizontal="right" vertical="center"/>
    </xf>
    <xf numFmtId="3" fontId="31" fillId="7" borderId="0" xfId="0" applyNumberFormat="1" applyFont="1" applyFill="1" applyAlignment="1">
      <alignment horizontal="right"/>
    </xf>
    <xf numFmtId="181" fontId="17" fillId="2" borderId="2" xfId="0" applyNumberFormat="1" applyFont="1" applyFill="1" applyBorder="1" applyAlignment="1">
      <alignment horizontal="right"/>
    </xf>
    <xf numFmtId="3" fontId="30" fillId="2" borderId="2" xfId="0" applyNumberFormat="1" applyFont="1" applyFill="1" applyBorder="1" applyAlignment="1">
      <alignment horizontal="right" vertical="center"/>
    </xf>
    <xf numFmtId="3" fontId="17" fillId="2" borderId="2" xfId="0" applyNumberFormat="1" applyFont="1" applyFill="1" applyBorder="1" applyAlignment="1">
      <alignment horizontal="right" vertical="center"/>
    </xf>
    <xf numFmtId="38" fontId="87" fillId="28" borderId="37" xfId="0" applyNumberFormat="1" applyFont="1" applyFill="1" applyBorder="1" applyAlignment="1">
      <alignment horizontal="right"/>
    </xf>
    <xf numFmtId="38" fontId="230" fillId="8" borderId="37" xfId="0" applyNumberFormat="1" applyFont="1" applyFill="1" applyBorder="1" applyAlignment="1">
      <alignment horizontal="right"/>
    </xf>
    <xf numFmtId="38" fontId="87" fillId="25" borderId="37" xfId="0" applyNumberFormat="1" applyFont="1" applyFill="1" applyBorder="1" applyAlignment="1">
      <alignment horizontal="right"/>
    </xf>
    <xf numFmtId="38" fontId="230" fillId="18" borderId="37" xfId="0" applyNumberFormat="1" applyFont="1" applyFill="1" applyBorder="1" applyAlignment="1">
      <alignment horizontal="right"/>
    </xf>
    <xf numFmtId="38" fontId="87" fillId="29" borderId="37" xfId="0" applyNumberFormat="1" applyFont="1" applyFill="1" applyBorder="1" applyAlignment="1">
      <alignment horizontal="right"/>
    </xf>
    <xf numFmtId="38" fontId="230" fillId="17" borderId="37" xfId="0" applyNumberFormat="1" applyFont="1" applyFill="1" applyBorder="1" applyAlignment="1">
      <alignment horizontal="right"/>
    </xf>
    <xf numFmtId="38" fontId="230" fillId="3" borderId="37" xfId="0" applyNumberFormat="1" applyFont="1" applyFill="1" applyBorder="1" applyAlignment="1">
      <alignment horizontal="right"/>
    </xf>
    <xf numFmtId="38" fontId="87" fillId="17" borderId="37" xfId="0" applyNumberFormat="1" applyFont="1" applyFill="1" applyBorder="1" applyAlignment="1">
      <alignment horizontal="right"/>
    </xf>
    <xf numFmtId="38" fontId="230" fillId="38" borderId="37" xfId="0" applyNumberFormat="1" applyFont="1" applyFill="1" applyBorder="1" applyAlignment="1">
      <alignment horizontal="right"/>
    </xf>
    <xf numFmtId="38" fontId="87" fillId="19" borderId="37" xfId="0" applyNumberFormat="1" applyFont="1" applyFill="1" applyBorder="1" applyAlignment="1">
      <alignment horizontal="right"/>
    </xf>
    <xf numFmtId="38" fontId="230" fillId="19" borderId="37" xfId="0" applyNumberFormat="1" applyFont="1" applyFill="1" applyBorder="1" applyAlignment="1">
      <alignment horizontal="right"/>
    </xf>
    <xf numFmtId="177" fontId="28" fillId="2" borderId="4" xfId="0" applyNumberFormat="1" applyFont="1" applyFill="1" applyBorder="1" applyAlignment="1">
      <alignment horizontal="center" vertical="center"/>
    </xf>
    <xf numFmtId="38" fontId="35" fillId="2" borderId="1" xfId="0" applyNumberFormat="1" applyFont="1" applyFill="1" applyBorder="1" applyAlignment="1">
      <alignment horizontal="right"/>
    </xf>
    <xf numFmtId="177" fontId="28" fillId="2" borderId="5" xfId="0" applyNumberFormat="1" applyFont="1" applyFill="1" applyBorder="1"/>
    <xf numFmtId="4" fontId="27" fillId="7" borderId="1" xfId="0" applyNumberFormat="1" applyFont="1" applyFill="1" applyBorder="1" applyAlignment="1">
      <alignment horizontal="right"/>
    </xf>
    <xf numFmtId="166" fontId="25" fillId="0" borderId="2" xfId="0" applyNumberFormat="1" applyFont="1" applyBorder="1" applyAlignment="1">
      <alignment horizontal="right" wrapText="1"/>
    </xf>
    <xf numFmtId="166" fontId="36" fillId="2" borderId="1" xfId="0" applyNumberFormat="1" applyFont="1" applyFill="1" applyBorder="1" applyAlignment="1">
      <alignment horizontal="right" wrapText="1"/>
    </xf>
    <xf numFmtId="164" fontId="167" fillId="2" borderId="1" xfId="0" applyNumberFormat="1" applyFont="1" applyFill="1" applyBorder="1" applyAlignment="1">
      <alignment horizontal="right" wrapText="1"/>
    </xf>
    <xf numFmtId="164" fontId="167" fillId="2" borderId="2" xfId="0" applyNumberFormat="1" applyFont="1" applyFill="1" applyBorder="1" applyAlignment="1">
      <alignment horizontal="right" wrapText="1"/>
    </xf>
    <xf numFmtId="3" fontId="233" fillId="0" borderId="0" xfId="0" applyNumberFormat="1" applyFont="1"/>
    <xf numFmtId="0" fontId="233" fillId="0" borderId="0" xfId="0" applyFont="1"/>
    <xf numFmtId="164" fontId="36" fillId="18" borderId="1" xfId="0" applyNumberFormat="1" applyFont="1" applyFill="1" applyBorder="1" applyAlignment="1">
      <alignment horizontal="right" wrapText="1"/>
    </xf>
    <xf numFmtId="164" fontId="36" fillId="18" borderId="2" xfId="0" applyNumberFormat="1" applyFont="1" applyFill="1" applyBorder="1" applyAlignment="1">
      <alignment horizontal="right" wrapText="1"/>
    </xf>
    <xf numFmtId="164" fontId="36" fillId="18" borderId="24" xfId="0" applyNumberFormat="1" applyFont="1" applyFill="1" applyBorder="1" applyAlignment="1">
      <alignment horizontal="right" wrapText="1"/>
    </xf>
    <xf numFmtId="3" fontId="153" fillId="0" borderId="0" xfId="0" applyNumberFormat="1" applyFont="1"/>
    <xf numFmtId="0" fontId="233" fillId="0" borderId="2" xfId="0" applyFont="1" applyBorder="1"/>
    <xf numFmtId="166" fontId="232" fillId="26" borderId="3" xfId="0" applyNumberFormat="1" applyFont="1" applyFill="1" applyBorder="1" applyAlignment="1">
      <alignment horizontal="right" wrapText="1"/>
    </xf>
    <xf numFmtId="1" fontId="212" fillId="0" borderId="1" xfId="0" applyNumberFormat="1" applyFont="1" applyBorder="1" applyAlignment="1">
      <alignment horizontal="center"/>
    </xf>
    <xf numFmtId="0" fontId="217" fillId="0" borderId="2" xfId="0" applyFont="1" applyBorder="1"/>
    <xf numFmtId="9" fontId="30" fillId="0" borderId="2" xfId="0" applyNumberFormat="1" applyFont="1" applyBorder="1" applyAlignment="1">
      <alignment horizontal="center"/>
    </xf>
    <xf numFmtId="0" fontId="214" fillId="0" borderId="2" xfId="0" applyFont="1" applyBorder="1"/>
    <xf numFmtId="0" fontId="234" fillId="37" borderId="1" xfId="2" applyFont="1" applyFill="1" applyBorder="1" applyAlignment="1">
      <alignment readingOrder="1"/>
    </xf>
    <xf numFmtId="0" fontId="234" fillId="37" borderId="2" xfId="2" applyFont="1" applyFill="1" applyBorder="1" applyAlignment="1">
      <alignment readingOrder="1"/>
    </xf>
    <xf numFmtId="0" fontId="14" fillId="0" borderId="2" xfId="0" applyFont="1" applyBorder="1"/>
    <xf numFmtId="9" fontId="35" fillId="0" borderId="0" xfId="0" applyNumberFormat="1" applyFont="1"/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9" fontId="35" fillId="0" borderId="2" xfId="0" applyNumberFormat="1" applyFont="1" applyBorder="1"/>
    <xf numFmtId="9" fontId="35" fillId="0" borderId="0" xfId="0" applyNumberFormat="1" applyFont="1" applyAlignment="1">
      <alignment horizontal="right"/>
    </xf>
    <xf numFmtId="0" fontId="158" fillId="0" borderId="0" xfId="0" applyFont="1" applyAlignment="1">
      <alignment horizontal="center" vertical="center" wrapText="1"/>
    </xf>
    <xf numFmtId="1" fontId="212" fillId="0" borderId="0" xfId="0" applyNumberFormat="1" applyFont="1" applyAlignment="1">
      <alignment horizontal="center"/>
    </xf>
    <xf numFmtId="3" fontId="112" fillId="2" borderId="4" xfId="0" applyNumberFormat="1" applyFont="1" applyFill="1" applyBorder="1" applyAlignment="1">
      <alignment horizontal="center" vertical="center" wrapText="1"/>
    </xf>
    <xf numFmtId="164" fontId="0" fillId="2" borderId="2" xfId="0" applyNumberFormat="1" applyFill="1" applyBorder="1"/>
    <xf numFmtId="166" fontId="35" fillId="2" borderId="1" xfId="0" applyNumberFormat="1" applyFont="1" applyFill="1" applyBorder="1" applyAlignment="1">
      <alignment horizontal="right" wrapText="1"/>
    </xf>
    <xf numFmtId="166" fontId="27" fillId="16" borderId="2" xfId="0" applyNumberFormat="1" applyFont="1" applyFill="1" applyBorder="1" applyAlignment="1">
      <alignment horizontal="right"/>
    </xf>
    <xf numFmtId="2" fontId="37" fillId="4" borderId="1" xfId="0" applyNumberFormat="1" applyFont="1" applyFill="1" applyBorder="1" applyAlignment="1">
      <alignment horizontal="center" vertical="center"/>
    </xf>
    <xf numFmtId="3" fontId="36" fillId="0" borderId="0" xfId="0" applyNumberFormat="1" applyFont="1"/>
    <xf numFmtId="3" fontId="23" fillId="53" borderId="0" xfId="0" applyNumberFormat="1" applyFont="1" applyFill="1"/>
    <xf numFmtId="3" fontId="14" fillId="0" borderId="0" xfId="0" applyNumberFormat="1" applyFont="1" applyAlignment="1">
      <alignment horizontal="center"/>
    </xf>
    <xf numFmtId="38" fontId="223" fillId="0" borderId="0" xfId="0" applyNumberFormat="1" applyFont="1"/>
    <xf numFmtId="3" fontId="70" fillId="0" borderId="0" xfId="0" applyNumberFormat="1" applyFont="1"/>
    <xf numFmtId="170" fontId="54" fillId="16" borderId="0" xfId="0" applyNumberFormat="1" applyFont="1" applyFill="1" applyAlignment="1">
      <alignment horizontal="center"/>
    </xf>
    <xf numFmtId="3" fontId="70" fillId="0" borderId="0" xfId="0" applyNumberFormat="1" applyFont="1" applyAlignment="1">
      <alignment horizontal="right"/>
    </xf>
    <xf numFmtId="0" fontId="235" fillId="0" borderId="0" xfId="0" applyFont="1"/>
    <xf numFmtId="170" fontId="56" fillId="0" borderId="0" xfId="0" applyNumberFormat="1" applyFont="1"/>
    <xf numFmtId="170" fontId="32" fillId="0" borderId="0" xfId="0" applyNumberFormat="1" applyFont="1"/>
    <xf numFmtId="170" fontId="122" fillId="0" borderId="15" xfId="0" applyNumberFormat="1" applyFont="1" applyBorder="1"/>
    <xf numFmtId="170" fontId="122" fillId="0" borderId="0" xfId="0" applyNumberFormat="1" applyFont="1"/>
    <xf numFmtId="170" fontId="122" fillId="19" borderId="0" xfId="0" applyNumberFormat="1" applyFont="1" applyFill="1"/>
    <xf numFmtId="170" fontId="122" fillId="7" borderId="0" xfId="0" applyNumberFormat="1" applyFont="1" applyFill="1"/>
    <xf numFmtId="170" fontId="122" fillId="0" borderId="16" xfId="0" applyNumberFormat="1" applyFont="1" applyBorder="1"/>
    <xf numFmtId="0" fontId="59" fillId="0" borderId="17" xfId="0" applyFont="1" applyBorder="1" applyAlignment="1">
      <alignment horizontal="center"/>
    </xf>
    <xf numFmtId="0" fontId="59" fillId="0" borderId="9" xfId="0" applyFont="1" applyBorder="1" applyAlignment="1">
      <alignment horizontal="center"/>
    </xf>
    <xf numFmtId="9" fontId="122" fillId="0" borderId="9" xfId="0" applyNumberFormat="1" applyFont="1" applyBorder="1" applyAlignment="1">
      <alignment horizontal="center"/>
    </xf>
    <xf numFmtId="0" fontId="59" fillId="0" borderId="10" xfId="0" applyFont="1" applyBorder="1" applyAlignment="1">
      <alignment horizontal="center"/>
    </xf>
    <xf numFmtId="0" fontId="77" fillId="7" borderId="2" xfId="2" applyFont="1" applyFill="1" applyBorder="1" applyAlignment="1">
      <alignment readingOrder="1"/>
    </xf>
    <xf numFmtId="0" fontId="77" fillId="7" borderId="24" xfId="2" applyFont="1" applyFill="1" applyBorder="1" applyAlignment="1">
      <alignment readingOrder="1"/>
    </xf>
    <xf numFmtId="0" fontId="125" fillId="40" borderId="30" xfId="0" applyFont="1" applyFill="1" applyBorder="1" applyAlignment="1">
      <alignment horizontal="center"/>
    </xf>
    <xf numFmtId="164" fontId="32" fillId="40" borderId="20" xfId="0" applyNumberFormat="1" applyFont="1" applyFill="1" applyBorder="1" applyAlignment="1">
      <alignment horizontal="right" wrapText="1"/>
    </xf>
    <xf numFmtId="164" fontId="32" fillId="40" borderId="30" xfId="0" applyNumberFormat="1" applyFont="1" applyFill="1" applyBorder="1" applyAlignment="1">
      <alignment horizontal="right" wrapText="1"/>
    </xf>
    <xf numFmtId="3" fontId="85" fillId="40" borderId="20" xfId="0" applyNumberFormat="1" applyFont="1" applyFill="1" applyBorder="1" applyAlignment="1">
      <alignment horizontal="right"/>
    </xf>
    <xf numFmtId="166" fontId="49" fillId="40" borderId="1" xfId="0" applyNumberFormat="1" applyFont="1" applyFill="1" applyBorder="1" applyAlignment="1">
      <alignment horizontal="right" wrapText="1"/>
    </xf>
    <xf numFmtId="166" fontId="49" fillId="40" borderId="38" xfId="0" applyNumberFormat="1" applyFont="1" applyFill="1" applyBorder="1" applyAlignment="1">
      <alignment horizontal="right" wrapText="1"/>
    </xf>
    <xf numFmtId="0" fontId="0" fillId="40" borderId="0" xfId="0" applyFill="1"/>
    <xf numFmtId="3" fontId="0" fillId="40" borderId="0" xfId="0" applyNumberFormat="1" applyFill="1" applyAlignment="1">
      <alignment horizontal="right"/>
    </xf>
    <xf numFmtId="0" fontId="76" fillId="40" borderId="11" xfId="0" applyFont="1" applyFill="1" applyBorder="1" applyAlignment="1">
      <alignment horizontal="center"/>
    </xf>
    <xf numFmtId="164" fontId="32" fillId="40" borderId="32" xfId="0" applyNumberFormat="1" applyFont="1" applyFill="1" applyBorder="1" applyAlignment="1">
      <alignment horizontal="right" wrapText="1"/>
    </xf>
    <xf numFmtId="3" fontId="85" fillId="40" borderId="12" xfId="0" applyNumberFormat="1" applyFont="1" applyFill="1" applyBorder="1" applyAlignment="1">
      <alignment horizontal="right"/>
    </xf>
    <xf numFmtId="3" fontId="105" fillId="40" borderId="0" xfId="0" applyNumberFormat="1" applyFont="1" applyFill="1" applyAlignment="1">
      <alignment horizontal="right"/>
    </xf>
    <xf numFmtId="3" fontId="0" fillId="40" borderId="0" xfId="0" applyNumberFormat="1" applyFill="1" applyAlignment="1">
      <alignment horizontal="left"/>
    </xf>
    <xf numFmtId="3" fontId="70" fillId="40" borderId="0" xfId="0" applyNumberFormat="1" applyFont="1" applyFill="1" applyAlignment="1">
      <alignment horizontal="center" vertical="center"/>
    </xf>
    <xf numFmtId="0" fontId="0" fillId="40" borderId="0" xfId="0" applyFill="1" applyAlignment="1">
      <alignment horizontal="left"/>
    </xf>
    <xf numFmtId="3" fontId="24" fillId="40" borderId="0" xfId="0" applyNumberFormat="1" applyFont="1" applyFill="1" applyAlignment="1">
      <alignment horizontal="right"/>
    </xf>
    <xf numFmtId="3" fontId="24" fillId="40" borderId="0" xfId="0" applyNumberFormat="1" applyFont="1" applyFill="1"/>
    <xf numFmtId="3" fontId="139" fillId="2" borderId="31" xfId="0" applyNumberFormat="1" applyFont="1" applyFill="1" applyBorder="1" applyAlignment="1">
      <alignment horizontal="right"/>
    </xf>
    <xf numFmtId="0" fontId="14" fillId="0" borderId="9" xfId="0" applyFont="1" applyBorder="1"/>
    <xf numFmtId="3" fontId="67" fillId="2" borderId="9" xfId="0" applyNumberFormat="1" applyFont="1" applyFill="1" applyBorder="1"/>
    <xf numFmtId="3" fontId="14" fillId="0" borderId="9" xfId="0" applyNumberFormat="1" applyFont="1" applyBorder="1"/>
    <xf numFmtId="3" fontId="84" fillId="0" borderId="9" xfId="0" applyNumberFormat="1" applyFont="1" applyBorder="1"/>
    <xf numFmtId="0" fontId="179" fillId="0" borderId="9" xfId="0" applyFont="1" applyBorder="1"/>
    <xf numFmtId="181" fontId="17" fillId="2" borderId="20" xfId="0" applyNumberFormat="1" applyFont="1" applyFill="1" applyBorder="1" applyAlignment="1">
      <alignment horizontal="left" vertical="top"/>
    </xf>
    <xf numFmtId="166" fontId="36" fillId="2" borderId="2" xfId="0" applyNumberFormat="1" applyFont="1" applyFill="1" applyBorder="1" applyAlignment="1">
      <alignment horizontal="right" wrapText="1"/>
    </xf>
    <xf numFmtId="170" fontId="56" fillId="16" borderId="2" xfId="0" applyNumberFormat="1" applyFont="1" applyFill="1" applyBorder="1"/>
    <xf numFmtId="0" fontId="29" fillId="0" borderId="0" xfId="0" applyFont="1" applyAlignment="1">
      <alignment wrapText="1"/>
    </xf>
    <xf numFmtId="0" fontId="14" fillId="0" borderId="0" xfId="0" applyFont="1" applyAlignment="1">
      <alignment wrapText="1"/>
    </xf>
    <xf numFmtId="3" fontId="0" fillId="2" borderId="0" xfId="0" applyNumberFormat="1" applyFill="1"/>
    <xf numFmtId="3" fontId="154" fillId="2" borderId="0" xfId="0" applyNumberFormat="1" applyFont="1" applyFill="1"/>
    <xf numFmtId="0" fontId="23" fillId="26" borderId="0" xfId="0" applyFont="1" applyFill="1" applyAlignment="1">
      <alignment horizontal="left"/>
    </xf>
    <xf numFmtId="3" fontId="231" fillId="0" borderId="0" xfId="0" applyNumberFormat="1" applyFont="1"/>
    <xf numFmtId="3" fontId="238" fillId="0" borderId="0" xfId="0" applyNumberFormat="1" applyFont="1"/>
    <xf numFmtId="0" fontId="239" fillId="26" borderId="0" xfId="0" applyFont="1" applyFill="1" applyAlignment="1">
      <alignment horizontal="left"/>
    </xf>
    <xf numFmtId="0" fontId="238" fillId="0" borderId="2" xfId="0" applyFont="1" applyBorder="1"/>
    <xf numFmtId="0" fontId="238" fillId="0" borderId="0" xfId="0" applyFont="1"/>
    <xf numFmtId="3" fontId="55" fillId="7" borderId="0" xfId="0" applyNumberFormat="1" applyFont="1" applyFill="1"/>
    <xf numFmtId="3" fontId="57" fillId="7" borderId="0" xfId="0" applyNumberFormat="1" applyFont="1" applyFill="1" applyAlignment="1">
      <alignment horizontal="center"/>
    </xf>
    <xf numFmtId="0" fontId="153" fillId="7" borderId="0" xfId="0" applyFont="1" applyFill="1"/>
    <xf numFmtId="9" fontId="70" fillId="7" borderId="0" xfId="0" applyNumberFormat="1" applyFont="1" applyFill="1"/>
    <xf numFmtId="164" fontId="193" fillId="7" borderId="2" xfId="0" applyNumberFormat="1" applyFont="1" applyFill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0" fontId="17" fillId="2" borderId="53" xfId="0" applyFont="1" applyFill="1" applyBorder="1" applyAlignment="1">
      <alignment horizontal="center" wrapText="1"/>
    </xf>
    <xf numFmtId="3" fontId="240" fillId="28" borderId="15" xfId="0" applyNumberFormat="1" applyFont="1" applyFill="1" applyBorder="1" applyAlignment="1">
      <alignment wrapText="1"/>
    </xf>
    <xf numFmtId="3" fontId="240" fillId="2" borderId="0" xfId="0" applyNumberFormat="1" applyFont="1" applyFill="1" applyAlignment="1">
      <alignment wrapText="1"/>
    </xf>
    <xf numFmtId="0" fontId="194" fillId="0" borderId="0" xfId="0" applyFont="1" applyAlignment="1">
      <alignment horizontal="center" vertical="center" wrapText="1"/>
    </xf>
    <xf numFmtId="0" fontId="55" fillId="0" borderId="2" xfId="0" applyFont="1" applyBorder="1"/>
    <xf numFmtId="177" fontId="28" fillId="2" borderId="1" xfId="0" applyNumberFormat="1" applyFont="1" applyFill="1" applyBorder="1" applyAlignment="1">
      <alignment horizontal="center" vertical="center"/>
    </xf>
    <xf numFmtId="3" fontId="25" fillId="20" borderId="1" xfId="0" applyNumberFormat="1" applyFont="1" applyFill="1" applyBorder="1" applyAlignment="1">
      <alignment horizontal="center"/>
    </xf>
    <xf numFmtId="3" fontId="17" fillId="2" borderId="2" xfId="0" applyNumberFormat="1" applyFont="1" applyFill="1" applyBorder="1" applyAlignment="1">
      <alignment horizontal="center" vertical="center"/>
    </xf>
    <xf numFmtId="3" fontId="29" fillId="0" borderId="0" xfId="0" applyNumberFormat="1" applyFont="1"/>
    <xf numFmtId="176" fontId="36" fillId="0" borderId="0" xfId="0" applyNumberFormat="1" applyFont="1"/>
    <xf numFmtId="176" fontId="36" fillId="0" borderId="2" xfId="0" applyNumberFormat="1" applyFont="1" applyBorder="1"/>
    <xf numFmtId="181" fontId="28" fillId="2" borderId="20" xfId="0" applyNumberFormat="1" applyFont="1" applyFill="1" applyBorder="1" applyAlignment="1">
      <alignment horizontal="right" vertical="top"/>
    </xf>
    <xf numFmtId="166" fontId="77" fillId="16" borderId="1" xfId="2" applyNumberFormat="1" applyFont="1" applyFill="1" applyBorder="1" applyAlignment="1">
      <alignment horizontal="center" vertical="center" readingOrder="1"/>
    </xf>
    <xf numFmtId="1" fontId="126" fillId="15" borderId="1" xfId="0" applyNumberFormat="1" applyFont="1" applyFill="1" applyBorder="1" applyAlignment="1">
      <alignment horizontal="center" vertical="center"/>
    </xf>
    <xf numFmtId="181" fontId="28" fillId="2" borderId="18" xfId="0" applyNumberFormat="1" applyFont="1" applyFill="1" applyBorder="1" applyAlignment="1">
      <alignment horizontal="left"/>
    </xf>
    <xf numFmtId="181" fontId="17" fillId="2" borderId="18" xfId="0" applyNumberFormat="1" applyFont="1" applyFill="1" applyBorder="1" applyAlignment="1">
      <alignment horizontal="left"/>
    </xf>
    <xf numFmtId="3" fontId="142" fillId="28" borderId="7" xfId="0" applyNumberFormat="1" applyFont="1" applyFill="1" applyBorder="1" applyAlignment="1">
      <alignment horizontal="center" vertical="center" wrapText="1"/>
    </xf>
    <xf numFmtId="2" fontId="17" fillId="2" borderId="18" xfId="0" applyNumberFormat="1" applyFont="1" applyFill="1" applyBorder="1" applyAlignment="1">
      <alignment horizontal="right"/>
    </xf>
    <xf numFmtId="3" fontId="30" fillId="28" borderId="2" xfId="0" applyNumberFormat="1" applyFont="1" applyFill="1" applyBorder="1" applyAlignment="1">
      <alignment horizontal="right"/>
    </xf>
    <xf numFmtId="3" fontId="142" fillId="28" borderId="2" xfId="0" applyNumberFormat="1" applyFont="1" applyFill="1" applyBorder="1" applyAlignment="1">
      <alignment horizontal="center" vertical="center" wrapText="1"/>
    </xf>
    <xf numFmtId="3" fontId="17" fillId="28" borderId="2" xfId="0" applyNumberFormat="1" applyFont="1" applyFill="1" applyBorder="1" applyAlignment="1">
      <alignment horizontal="right"/>
    </xf>
    <xf numFmtId="3" fontId="36" fillId="22" borderId="2" xfId="0" applyNumberFormat="1" applyFont="1" applyFill="1" applyBorder="1" applyAlignment="1">
      <alignment horizontal="right" vertical="center"/>
    </xf>
    <xf numFmtId="181" fontId="24" fillId="22" borderId="18" xfId="0" applyNumberFormat="1" applyFont="1" applyFill="1" applyBorder="1" applyAlignment="1">
      <alignment horizontal="left"/>
    </xf>
    <xf numFmtId="181" fontId="24" fillId="22" borderId="2" xfId="0" applyNumberFormat="1" applyFont="1" applyFill="1" applyBorder="1" applyAlignment="1">
      <alignment horizontal="right"/>
    </xf>
    <xf numFmtId="0" fontId="165" fillId="31" borderId="53" xfId="2" applyFont="1" applyFill="1" applyBorder="1" applyAlignment="1">
      <alignment horizontal="center" readingOrder="1"/>
    </xf>
    <xf numFmtId="0" fontId="153" fillId="17" borderId="4" xfId="0" applyFont="1" applyFill="1" applyBorder="1" applyAlignment="1">
      <alignment horizontal="center" vertical="center" wrapText="1"/>
    </xf>
    <xf numFmtId="0" fontId="241" fillId="17" borderId="2" xfId="0" applyFont="1" applyFill="1" applyBorder="1" applyAlignment="1">
      <alignment horizontal="center" vertical="center" wrapText="1" readingOrder="2"/>
    </xf>
    <xf numFmtId="0" fontId="0" fillId="31" borderId="0" xfId="0" applyFill="1" applyAlignment="1">
      <alignment horizontal="center" vertical="center"/>
    </xf>
    <xf numFmtId="3" fontId="21" fillId="3" borderId="11" xfId="0" applyNumberFormat="1" applyFont="1" applyFill="1" applyBorder="1" applyAlignment="1">
      <alignment wrapText="1"/>
    </xf>
    <xf numFmtId="3" fontId="36" fillId="38" borderId="0" xfId="0" applyNumberFormat="1" applyFont="1" applyFill="1" applyAlignment="1">
      <alignment horizontal="center" wrapText="1"/>
    </xf>
    <xf numFmtId="3" fontId="36" fillId="0" borderId="13" xfId="0" applyNumberFormat="1" applyFont="1" applyBorder="1" applyAlignment="1">
      <alignment horizontal="center" wrapText="1"/>
    </xf>
    <xf numFmtId="0" fontId="0" fillId="31" borderId="15" xfId="0" applyFill="1" applyBorder="1" applyAlignment="1">
      <alignment horizontal="center" vertical="center" wrapText="1"/>
    </xf>
    <xf numFmtId="0" fontId="0" fillId="31" borderId="16" xfId="0" applyFill="1" applyBorder="1" applyAlignment="1">
      <alignment horizontal="center" vertical="center" wrapText="1"/>
    </xf>
    <xf numFmtId="0" fontId="0" fillId="38" borderId="33" xfId="0" applyFill="1" applyBorder="1" applyAlignment="1">
      <alignment horizontal="center" vertical="center" wrapText="1"/>
    </xf>
    <xf numFmtId="0" fontId="0" fillId="38" borderId="27" xfId="0" applyFill="1" applyBorder="1" applyAlignment="1">
      <alignment horizontal="center" vertical="center" wrapText="1"/>
    </xf>
    <xf numFmtId="0" fontId="0" fillId="38" borderId="28" xfId="0" applyFill="1" applyBorder="1" applyAlignment="1">
      <alignment horizontal="center" vertical="center" wrapText="1"/>
    </xf>
    <xf numFmtId="0" fontId="36" fillId="0" borderId="9" xfId="0" applyFont="1" applyBorder="1"/>
    <xf numFmtId="3" fontId="36" fillId="0" borderId="11" xfId="0" applyNumberFormat="1" applyFont="1" applyBorder="1" applyAlignment="1">
      <alignment wrapText="1"/>
    </xf>
    <xf numFmtId="3" fontId="17" fillId="0" borderId="0" xfId="0" applyNumberFormat="1" applyFont="1" applyAlignment="1">
      <alignment wrapText="1"/>
    </xf>
    <xf numFmtId="3" fontId="24" fillId="0" borderId="0" xfId="0" applyNumberFormat="1" applyFont="1" applyAlignment="1">
      <alignment wrapText="1"/>
    </xf>
    <xf numFmtId="3" fontId="25" fillId="0" borderId="0" xfId="0" applyNumberFormat="1" applyFont="1" applyAlignment="1">
      <alignment wrapText="1"/>
    </xf>
    <xf numFmtId="3" fontId="36" fillId="35" borderId="27" xfId="0" applyNumberFormat="1" applyFont="1" applyFill="1" applyBorder="1" applyAlignment="1">
      <alignment wrapText="1"/>
    </xf>
    <xf numFmtId="3" fontId="24" fillId="38" borderId="27" xfId="0" applyNumberFormat="1" applyFont="1" applyFill="1" applyBorder="1" applyAlignment="1">
      <alignment wrapText="1"/>
    </xf>
    <xf numFmtId="3" fontId="17" fillId="28" borderId="27" xfId="0" applyNumberFormat="1" applyFont="1" applyFill="1" applyBorder="1" applyAlignment="1">
      <alignment wrapText="1"/>
    </xf>
    <xf numFmtId="3" fontId="24" fillId="28" borderId="27" xfId="0" applyNumberFormat="1" applyFont="1" applyFill="1" applyBorder="1" applyAlignment="1">
      <alignment wrapText="1"/>
    </xf>
    <xf numFmtId="3" fontId="25" fillId="28" borderId="28" xfId="0" applyNumberFormat="1" applyFont="1" applyFill="1" applyBorder="1" applyAlignment="1">
      <alignment wrapText="1"/>
    </xf>
    <xf numFmtId="38" fontId="30" fillId="24" borderId="0" xfId="0" applyNumberFormat="1" applyFont="1" applyFill="1" applyAlignment="1">
      <alignment horizontal="right"/>
    </xf>
    <xf numFmtId="38" fontId="119" fillId="0" borderId="0" xfId="0" applyNumberFormat="1" applyFont="1"/>
    <xf numFmtId="3" fontId="104" fillId="4" borderId="1" xfId="0" applyNumberFormat="1" applyFont="1" applyFill="1" applyBorder="1" applyAlignment="1">
      <alignment horizontal="center" vertical="center"/>
    </xf>
    <xf numFmtId="181" fontId="24" fillId="22" borderId="2" xfId="0" applyNumberFormat="1" applyFont="1" applyFill="1" applyBorder="1"/>
    <xf numFmtId="3" fontId="72" fillId="2" borderId="2" xfId="0" applyNumberFormat="1" applyFont="1" applyFill="1" applyBorder="1" applyAlignment="1">
      <alignment horizontal="center" vertical="center"/>
    </xf>
    <xf numFmtId="3" fontId="36" fillId="22" borderId="2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9" fontId="36" fillId="0" borderId="0" xfId="0" applyNumberFormat="1" applyFont="1"/>
    <xf numFmtId="3" fontId="25" fillId="0" borderId="2" xfId="0" applyNumberFormat="1" applyFont="1" applyBorder="1" applyAlignment="1">
      <alignment horizontal="right"/>
    </xf>
    <xf numFmtId="0" fontId="14" fillId="23" borderId="0" xfId="0" applyFont="1" applyFill="1" applyAlignment="1">
      <alignment horizontal="left"/>
    </xf>
    <xf numFmtId="0" fontId="29" fillId="23" borderId="0" xfId="0" applyFont="1" applyFill="1" applyAlignment="1">
      <alignment horizontal="left"/>
    </xf>
    <xf numFmtId="168" fontId="146" fillId="58" borderId="2" xfId="0" applyNumberFormat="1" applyFont="1" applyFill="1" applyBorder="1" applyAlignment="1">
      <alignment horizontal="right" wrapText="1"/>
    </xf>
    <xf numFmtId="3" fontId="146" fillId="58" borderId="2" xfId="0" applyNumberFormat="1" applyFont="1" applyFill="1" applyBorder="1" applyAlignment="1">
      <alignment horizontal="right"/>
    </xf>
    <xf numFmtId="3" fontId="31" fillId="58" borderId="2" xfId="0" applyNumberFormat="1" applyFont="1" applyFill="1" applyBorder="1" applyAlignment="1">
      <alignment horizontal="right"/>
    </xf>
    <xf numFmtId="166" fontId="232" fillId="58" borderId="1" xfId="0" applyNumberFormat="1" applyFont="1" applyFill="1" applyBorder="1" applyAlignment="1">
      <alignment horizontal="right" wrapText="1"/>
    </xf>
    <xf numFmtId="3" fontId="24" fillId="58" borderId="2" xfId="0" applyNumberFormat="1" applyFont="1" applyFill="1" applyBorder="1" applyAlignment="1">
      <alignment horizontal="right"/>
    </xf>
    <xf numFmtId="3" fontId="197" fillId="58" borderId="2" xfId="0" applyNumberFormat="1" applyFont="1" applyFill="1" applyBorder="1" applyAlignment="1">
      <alignment horizontal="right"/>
    </xf>
    <xf numFmtId="3" fontId="53" fillId="58" borderId="2" xfId="0" applyNumberFormat="1" applyFont="1" applyFill="1" applyBorder="1" applyAlignment="1">
      <alignment horizontal="right"/>
    </xf>
    <xf numFmtId="166" fontId="146" fillId="58" borderId="2" xfId="0" applyNumberFormat="1" applyFont="1" applyFill="1" applyBorder="1" applyAlignment="1">
      <alignment horizontal="right"/>
    </xf>
    <xf numFmtId="0" fontId="14" fillId="58" borderId="0" xfId="0" applyFont="1" applyFill="1" applyAlignment="1">
      <alignment horizontal="left"/>
    </xf>
    <xf numFmtId="0" fontId="23" fillId="58" borderId="0" xfId="0" applyFont="1" applyFill="1" applyAlignment="1">
      <alignment horizontal="left"/>
    </xf>
    <xf numFmtId="0" fontId="239" fillId="58" borderId="0" xfId="0" applyFont="1" applyFill="1" applyAlignment="1">
      <alignment horizontal="left"/>
    </xf>
    <xf numFmtId="0" fontId="29" fillId="58" borderId="0" xfId="0" applyFont="1" applyFill="1" applyAlignment="1">
      <alignment horizontal="left"/>
    </xf>
    <xf numFmtId="168" fontId="17" fillId="23" borderId="0" xfId="0" applyNumberFormat="1" applyFont="1" applyFill="1" applyAlignment="1">
      <alignment horizontal="right" wrapText="1"/>
    </xf>
    <xf numFmtId="3" fontId="17" fillId="23" borderId="0" xfId="0" applyNumberFormat="1" applyFont="1" applyFill="1" applyAlignment="1">
      <alignment horizontal="right"/>
    </xf>
    <xf numFmtId="3" fontId="30" fillId="23" borderId="0" xfId="0" applyNumberFormat="1" applyFont="1" applyFill="1" applyAlignment="1">
      <alignment horizontal="right"/>
    </xf>
    <xf numFmtId="166" fontId="30" fillId="23" borderId="0" xfId="0" applyNumberFormat="1" applyFont="1" applyFill="1" applyAlignment="1">
      <alignment horizontal="right" wrapText="1"/>
    </xf>
    <xf numFmtId="166" fontId="30" fillId="23" borderId="1" xfId="0" applyNumberFormat="1" applyFont="1" applyFill="1" applyBorder="1" applyAlignment="1">
      <alignment horizontal="right" wrapText="1"/>
    </xf>
    <xf numFmtId="3" fontId="17" fillId="23" borderId="2" xfId="0" applyNumberFormat="1" applyFont="1" applyFill="1" applyBorder="1" applyAlignment="1">
      <alignment horizontal="right"/>
    </xf>
    <xf numFmtId="3" fontId="86" fillId="23" borderId="0" xfId="0" applyNumberFormat="1" applyFont="1" applyFill="1" applyAlignment="1">
      <alignment horizontal="right"/>
    </xf>
    <xf numFmtId="166" fontId="17" fillId="23" borderId="0" xfId="0" applyNumberFormat="1" applyFont="1" applyFill="1" applyAlignment="1">
      <alignment horizontal="right"/>
    </xf>
    <xf numFmtId="3" fontId="112" fillId="2" borderId="1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 vertical="center" wrapText="1"/>
    </xf>
    <xf numFmtId="166" fontId="25" fillId="0" borderId="2" xfId="0" applyNumberFormat="1" applyFont="1" applyBorder="1" applyAlignment="1">
      <alignment horizontal="center" vertical="center" wrapText="1"/>
    </xf>
    <xf numFmtId="0" fontId="136" fillId="0" borderId="2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164" fontId="127" fillId="7" borderId="2" xfId="0" applyNumberFormat="1" applyFont="1" applyFill="1" applyBorder="1" applyAlignment="1">
      <alignment horizontal="center"/>
    </xf>
    <xf numFmtId="164" fontId="64" fillId="2" borderId="1" xfId="0" applyNumberFormat="1" applyFont="1" applyFill="1" applyBorder="1" applyAlignment="1">
      <alignment horizontal="right"/>
    </xf>
    <xf numFmtId="3" fontId="0" fillId="56" borderId="0" xfId="0" applyNumberFormat="1" applyFill="1" applyAlignment="1">
      <alignment horizontal="center"/>
    </xf>
    <xf numFmtId="0" fontId="0" fillId="56" borderId="0" xfId="0" applyFill="1" applyAlignment="1">
      <alignment horizontal="center" wrapText="1"/>
    </xf>
    <xf numFmtId="0" fontId="0" fillId="56" borderId="11" xfId="0" applyFill="1" applyBorder="1" applyAlignment="1">
      <alignment horizontal="center" wrapText="1"/>
    </xf>
    <xf numFmtId="3" fontId="0" fillId="56" borderId="0" xfId="0" applyNumberFormat="1" applyFill="1"/>
    <xf numFmtId="3" fontId="159" fillId="56" borderId="0" xfId="0" applyNumberFormat="1" applyFont="1" applyFill="1"/>
    <xf numFmtId="3" fontId="146" fillId="56" borderId="24" xfId="0" applyNumberFormat="1" applyFont="1" applyFill="1" applyBorder="1" applyAlignment="1">
      <alignment horizontal="right"/>
    </xf>
    <xf numFmtId="166" fontId="17" fillId="56" borderId="0" xfId="0" applyNumberFormat="1" applyFont="1" applyFill="1" applyAlignment="1">
      <alignment horizontal="right"/>
    </xf>
    <xf numFmtId="0" fontId="0" fillId="56" borderId="2" xfId="0" applyFill="1" applyBorder="1"/>
    <xf numFmtId="9" fontId="201" fillId="56" borderId="0" xfId="0" applyNumberFormat="1" applyFont="1" applyFill="1"/>
    <xf numFmtId="3" fontId="17" fillId="15" borderId="0" xfId="0" applyNumberFormat="1" applyFont="1" applyFill="1" applyAlignment="1">
      <alignment horizontal="center" vertical="center"/>
    </xf>
    <xf numFmtId="3" fontId="139" fillId="15" borderId="0" xfId="0" applyNumberFormat="1" applyFont="1" applyFill="1" applyAlignment="1">
      <alignment horizontal="center" vertical="center"/>
    </xf>
    <xf numFmtId="180" fontId="0" fillId="0" borderId="37" xfId="0" applyNumberFormat="1" applyBorder="1" applyAlignment="1">
      <alignment horizontal="center" wrapText="1"/>
    </xf>
    <xf numFmtId="3" fontId="53" fillId="23" borderId="0" xfId="0" applyNumberFormat="1" applyFont="1" applyFill="1" applyAlignment="1">
      <alignment horizontal="right"/>
    </xf>
    <xf numFmtId="0" fontId="177" fillId="0" borderId="2" xfId="0" applyFont="1" applyBorder="1"/>
    <xf numFmtId="0" fontId="17" fillId="28" borderId="41" xfId="0" applyFont="1" applyFill="1" applyBorder="1" applyAlignment="1">
      <alignment horizontal="center" vertical="center"/>
    </xf>
    <xf numFmtId="0" fontId="17" fillId="28" borderId="29" xfId="0" applyFont="1" applyFill="1" applyBorder="1" applyAlignment="1">
      <alignment horizontal="center" vertical="center"/>
    </xf>
    <xf numFmtId="0" fontId="161" fillId="28" borderId="41" xfId="0" applyFont="1" applyFill="1" applyBorder="1" applyAlignment="1">
      <alignment horizontal="center" vertical="center" wrapText="1"/>
    </xf>
    <xf numFmtId="0" fontId="161" fillId="28" borderId="41" xfId="0" applyFont="1" applyFill="1" applyBorder="1" applyAlignment="1">
      <alignment horizontal="center" vertical="center"/>
    </xf>
    <xf numFmtId="0" fontId="0" fillId="31" borderId="29" xfId="0" applyFill="1" applyBorder="1" applyAlignment="1">
      <alignment horizontal="center" vertical="center"/>
    </xf>
    <xf numFmtId="3" fontId="88" fillId="0" borderId="0" xfId="2" applyNumberFormat="1" applyFont="1" applyAlignment="1">
      <alignment readingOrder="1"/>
    </xf>
    <xf numFmtId="3" fontId="128" fillId="0" borderId="0" xfId="2" applyNumberFormat="1" applyFont="1" applyAlignment="1">
      <alignment readingOrder="1"/>
    </xf>
    <xf numFmtId="3" fontId="88" fillId="3" borderId="0" xfId="2" applyNumberFormat="1" applyFont="1" applyFill="1" applyAlignment="1">
      <alignment readingOrder="1"/>
    </xf>
    <xf numFmtId="3" fontId="35" fillId="0" borderId="0" xfId="0" applyNumberFormat="1" applyFont="1" applyAlignment="1">
      <alignment wrapText="1"/>
    </xf>
    <xf numFmtId="0" fontId="33" fillId="28" borderId="41" xfId="0" applyFont="1" applyFill="1" applyBorder="1" applyAlignment="1">
      <alignment horizontal="center" vertical="center" wrapText="1"/>
    </xf>
    <xf numFmtId="0" fontId="33" fillId="28" borderId="29" xfId="0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17" fillId="0" borderId="8" xfId="0" applyFont="1" applyBorder="1"/>
    <xf numFmtId="0" fontId="0" fillId="28" borderId="19" xfId="0" applyFill="1" applyBorder="1" applyAlignment="1">
      <alignment horizontal="center" vertical="center" wrapText="1"/>
    </xf>
    <xf numFmtId="3" fontId="42" fillId="2" borderId="40" xfId="0" applyNumberFormat="1" applyFont="1" applyFill="1" applyBorder="1" applyAlignment="1">
      <alignment horizontal="center" vertical="center" wrapText="1"/>
    </xf>
    <xf numFmtId="3" fontId="69" fillId="2" borderId="40" xfId="0" applyNumberFormat="1" applyFont="1" applyFill="1" applyBorder="1" applyAlignment="1">
      <alignment horizontal="center" vertical="center" wrapText="1"/>
    </xf>
    <xf numFmtId="164" fontId="72" fillId="25" borderId="1" xfId="0" applyNumberFormat="1" applyFont="1" applyFill="1" applyBorder="1" applyAlignment="1">
      <alignment horizontal="right" wrapText="1"/>
    </xf>
    <xf numFmtId="164" fontId="57" fillId="25" borderId="1" xfId="0" applyNumberFormat="1" applyFont="1" applyFill="1" applyBorder="1" applyAlignment="1">
      <alignment horizontal="right" wrapText="1"/>
    </xf>
    <xf numFmtId="164" fontId="35" fillId="25" borderId="1" xfId="0" applyNumberFormat="1" applyFont="1" applyFill="1" applyBorder="1" applyAlignment="1">
      <alignment horizontal="right"/>
    </xf>
    <xf numFmtId="3" fontId="196" fillId="28" borderId="15" xfId="0" applyNumberFormat="1" applyFont="1" applyFill="1" applyBorder="1" applyAlignment="1">
      <alignment wrapText="1"/>
    </xf>
    <xf numFmtId="3" fontId="28" fillId="2" borderId="2" xfId="0" applyNumberFormat="1" applyFont="1" applyFill="1" applyBorder="1" applyAlignment="1">
      <alignment horizontal="center" vertical="center"/>
    </xf>
    <xf numFmtId="164" fontId="119" fillId="25" borderId="1" xfId="0" applyNumberFormat="1" applyFont="1" applyFill="1" applyBorder="1" applyAlignment="1">
      <alignment horizontal="right"/>
    </xf>
    <xf numFmtId="164" fontId="32" fillId="2" borderId="1" xfId="0" applyNumberFormat="1" applyFont="1" applyFill="1" applyBorder="1" applyAlignment="1">
      <alignment horizontal="right"/>
    </xf>
    <xf numFmtId="0" fontId="28" fillId="0" borderId="2" xfId="0" applyFont="1" applyBorder="1"/>
    <xf numFmtId="0" fontId="24" fillId="0" borderId="2" xfId="0" applyFont="1" applyBorder="1"/>
    <xf numFmtId="3" fontId="55" fillId="48" borderId="2" xfId="0" applyNumberFormat="1" applyFont="1" applyFill="1" applyBorder="1" applyAlignment="1">
      <alignment horizontal="center" vertical="center"/>
    </xf>
    <xf numFmtId="38" fontId="176" fillId="2" borderId="19" xfId="0" applyNumberFormat="1" applyFont="1" applyFill="1" applyBorder="1" applyAlignment="1">
      <alignment horizontal="center" wrapText="1"/>
    </xf>
    <xf numFmtId="38" fontId="176" fillId="2" borderId="19" xfId="0" applyNumberFormat="1" applyFont="1" applyFill="1" applyBorder="1" applyAlignment="1">
      <alignment horizontal="center" vertical="center" wrapText="1"/>
    </xf>
    <xf numFmtId="38" fontId="176" fillId="2" borderId="1" xfId="0" applyNumberFormat="1" applyFont="1" applyFill="1" applyBorder="1" applyAlignment="1">
      <alignment horizontal="center" wrapText="1"/>
    </xf>
    <xf numFmtId="38" fontId="36" fillId="2" borderId="1" xfId="0" applyNumberFormat="1" applyFont="1" applyFill="1" applyBorder="1" applyAlignment="1">
      <alignment horizontal="center" vertical="center" wrapText="1"/>
    </xf>
    <xf numFmtId="166" fontId="231" fillId="16" borderId="2" xfId="0" applyNumberFormat="1" applyFont="1" applyFill="1" applyBorder="1" applyAlignment="1">
      <alignment horizontal="center" vertical="center"/>
    </xf>
    <xf numFmtId="180" fontId="0" fillId="2" borderId="2" xfId="0" applyNumberFormat="1" applyFill="1" applyBorder="1"/>
    <xf numFmtId="166" fontId="25" fillId="0" borderId="0" xfId="0" applyNumberFormat="1" applyFont="1" applyAlignment="1">
      <alignment horizontal="center"/>
    </xf>
    <xf numFmtId="1" fontId="30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1" fontId="85" fillId="0" borderId="2" xfId="0" applyNumberFormat="1" applyFont="1" applyBorder="1" applyAlignment="1">
      <alignment horizontal="center"/>
    </xf>
    <xf numFmtId="1" fontId="86" fillId="0" borderId="0" xfId="0" applyNumberFormat="1" applyFont="1" applyAlignment="1">
      <alignment horizontal="center"/>
    </xf>
    <xf numFmtId="164" fontId="97" fillId="27" borderId="4" xfId="0" applyNumberFormat="1" applyFont="1" applyFill="1" applyBorder="1" applyAlignment="1">
      <alignment horizontal="center"/>
    </xf>
    <xf numFmtId="3" fontId="28" fillId="0" borderId="0" xfId="0" applyNumberFormat="1" applyFont="1" applyAlignment="1">
      <alignment horizontal="right"/>
    </xf>
    <xf numFmtId="3" fontId="55" fillId="7" borderId="49" xfId="0" applyNumberFormat="1" applyFont="1" applyFill="1" applyBorder="1" applyAlignment="1">
      <alignment horizontal="center" vertical="center"/>
    </xf>
    <xf numFmtId="166" fontId="55" fillId="7" borderId="50" xfId="0" applyNumberFormat="1" applyFont="1" applyFill="1" applyBorder="1" applyAlignment="1">
      <alignment horizontal="center" vertical="center"/>
    </xf>
    <xf numFmtId="9" fontId="36" fillId="0" borderId="0" xfId="0" applyNumberFormat="1" applyFont="1" applyAlignment="1">
      <alignment horizontal="center"/>
    </xf>
    <xf numFmtId="0" fontId="77" fillId="0" borderId="2" xfId="2" applyFont="1" applyBorder="1" applyAlignment="1">
      <alignment readingOrder="1"/>
    </xf>
    <xf numFmtId="0" fontId="77" fillId="0" borderId="1" xfId="2" applyFont="1" applyBorder="1" applyAlignment="1">
      <alignment readingOrder="1"/>
    </xf>
    <xf numFmtId="164" fontId="24" fillId="2" borderId="2" xfId="0" applyNumberFormat="1" applyFont="1" applyFill="1" applyBorder="1" applyAlignment="1">
      <alignment horizontal="center" vertical="center" wrapText="1"/>
    </xf>
    <xf numFmtId="164" fontId="139" fillId="2" borderId="2" xfId="0" applyNumberFormat="1" applyFont="1" applyFill="1" applyBorder="1" applyAlignment="1">
      <alignment horizontal="center" vertical="center" wrapText="1"/>
    </xf>
    <xf numFmtId="164" fontId="25" fillId="2" borderId="2" xfId="0" applyNumberFormat="1" applyFont="1" applyFill="1" applyBorder="1" applyAlignment="1">
      <alignment horizontal="center" vertical="center" wrapText="1"/>
    </xf>
    <xf numFmtId="2" fontId="17" fillId="2" borderId="29" xfId="0" applyNumberFormat="1" applyFont="1" applyFill="1" applyBorder="1" applyAlignment="1">
      <alignment horizontal="right"/>
    </xf>
    <xf numFmtId="169" fontId="54" fillId="2" borderId="2" xfId="0" applyNumberFormat="1" applyFont="1" applyFill="1" applyBorder="1" applyAlignment="1">
      <alignment horizontal="right"/>
    </xf>
    <xf numFmtId="40" fontId="67" fillId="2" borderId="2" xfId="0" applyNumberFormat="1" applyFont="1" applyFill="1" applyBorder="1" applyAlignment="1">
      <alignment horizontal="right"/>
    </xf>
    <xf numFmtId="166" fontId="35" fillId="2" borderId="2" xfId="0" applyNumberFormat="1" applyFont="1" applyFill="1" applyBorder="1" applyAlignment="1">
      <alignment horizontal="center"/>
    </xf>
    <xf numFmtId="0" fontId="204" fillId="2" borderId="2" xfId="0" applyFont="1" applyFill="1" applyBorder="1" applyAlignment="1">
      <alignment horizontal="center"/>
    </xf>
    <xf numFmtId="0" fontId="17" fillId="2" borderId="2" xfId="0" applyFont="1" applyFill="1" applyBorder="1"/>
    <xf numFmtId="172" fontId="89" fillId="2" borderId="1" xfId="0" applyNumberFormat="1" applyFont="1" applyFill="1" applyBorder="1" applyAlignment="1">
      <alignment horizontal="right"/>
    </xf>
    <xf numFmtId="166" fontId="49" fillId="2" borderId="1" xfId="0" applyNumberFormat="1" applyFont="1" applyFill="1" applyBorder="1" applyAlignment="1">
      <alignment horizontal="right" wrapText="1"/>
    </xf>
    <xf numFmtId="3" fontId="24" fillId="2" borderId="1" xfId="0" applyNumberFormat="1" applyFont="1" applyFill="1" applyBorder="1" applyAlignment="1">
      <alignment horizontal="right"/>
    </xf>
    <xf numFmtId="3" fontId="65" fillId="2" borderId="2" xfId="0" applyNumberFormat="1" applyFont="1" applyFill="1" applyBorder="1" applyAlignment="1">
      <alignment horizontal="right"/>
    </xf>
    <xf numFmtId="3" fontId="25" fillId="2" borderId="19" xfId="0" applyNumberFormat="1" applyFont="1" applyFill="1" applyBorder="1" applyAlignment="1">
      <alignment horizontal="right"/>
    </xf>
    <xf numFmtId="3" fontId="139" fillId="2" borderId="19" xfId="0" applyNumberFormat="1" applyFont="1" applyFill="1" applyBorder="1" applyAlignment="1">
      <alignment horizontal="right"/>
    </xf>
    <xf numFmtId="164" fontId="32" fillId="2" borderId="32" xfId="0" applyNumberFormat="1" applyFont="1" applyFill="1" applyBorder="1" applyAlignment="1">
      <alignment horizontal="right" wrapText="1"/>
    </xf>
    <xf numFmtId="166" fontId="49" fillId="2" borderId="2" xfId="0" applyNumberFormat="1" applyFont="1" applyFill="1" applyBorder="1" applyAlignment="1">
      <alignment horizontal="right" wrapText="1"/>
    </xf>
    <xf numFmtId="166" fontId="32" fillId="2" borderId="2" xfId="0" applyNumberFormat="1" applyFont="1" applyFill="1" applyBorder="1" applyAlignment="1">
      <alignment horizontal="right" wrapText="1"/>
    </xf>
    <xf numFmtId="3" fontId="24" fillId="2" borderId="2" xfId="0" applyNumberFormat="1" applyFont="1" applyFill="1" applyBorder="1" applyAlignment="1">
      <alignment horizontal="right"/>
    </xf>
    <xf numFmtId="0" fontId="29" fillId="0" borderId="0" xfId="0" applyFont="1" applyAlignment="1">
      <alignment horizontal="center" wrapText="1"/>
    </xf>
    <xf numFmtId="0" fontId="71" fillId="0" borderId="0" xfId="0" applyFont="1" applyAlignment="1">
      <alignment horizontal="center" wrapText="1"/>
    </xf>
    <xf numFmtId="0" fontId="32" fillId="0" borderId="24" xfId="0" applyFont="1" applyBorder="1"/>
    <xf numFmtId="0" fontId="242" fillId="0" borderId="2" xfId="2" applyFont="1" applyBorder="1" applyAlignment="1">
      <alignment readingOrder="1"/>
    </xf>
    <xf numFmtId="0" fontId="242" fillId="0" borderId="0" xfId="2" applyFont="1" applyAlignment="1">
      <alignment readingOrder="1"/>
    </xf>
    <xf numFmtId="0" fontId="32" fillId="2" borderId="2" xfId="0" applyFont="1" applyFill="1" applyBorder="1"/>
    <xf numFmtId="0" fontId="132" fillId="0" borderId="0" xfId="0" applyFont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36" fillId="29" borderId="15" xfId="0" applyNumberFormat="1" applyFont="1" applyFill="1" applyBorder="1" applyAlignment="1">
      <alignment horizontal="center" wrapText="1"/>
    </xf>
    <xf numFmtId="3" fontId="35" fillId="35" borderId="15" xfId="0" applyNumberFormat="1" applyFont="1" applyFill="1" applyBorder="1" applyAlignment="1">
      <alignment wrapText="1"/>
    </xf>
    <xf numFmtId="3" fontId="36" fillId="0" borderId="0" xfId="0" applyNumberFormat="1" applyFont="1" applyAlignment="1">
      <alignment wrapText="1"/>
    </xf>
    <xf numFmtId="3" fontId="30" fillId="0" borderId="0" xfId="0" applyNumberFormat="1" applyFont="1" applyAlignment="1">
      <alignment wrapText="1"/>
    </xf>
    <xf numFmtId="3" fontId="35" fillId="28" borderId="33" xfId="0" applyNumberFormat="1" applyFont="1" applyFill="1" applyBorder="1" applyAlignment="1">
      <alignment wrapText="1"/>
    </xf>
    <xf numFmtId="3" fontId="35" fillId="28" borderId="27" xfId="0" applyNumberFormat="1" applyFont="1" applyFill="1" applyBorder="1" applyAlignment="1">
      <alignment wrapText="1"/>
    </xf>
    <xf numFmtId="3" fontId="36" fillId="28" borderId="27" xfId="0" applyNumberFormat="1" applyFont="1" applyFill="1" applyBorder="1" applyAlignment="1">
      <alignment wrapText="1"/>
    </xf>
    <xf numFmtId="3" fontId="30" fillId="28" borderId="28" xfId="0" applyNumberFormat="1" applyFont="1" applyFill="1" applyBorder="1" applyAlignment="1">
      <alignment wrapText="1"/>
    </xf>
    <xf numFmtId="0" fontId="132" fillId="0" borderId="0" xfId="5" applyFont="1" applyAlignment="1">
      <alignment horizontal="center" vertical="center" wrapText="1"/>
    </xf>
    <xf numFmtId="0" fontId="11" fillId="0" borderId="0" xfId="5"/>
    <xf numFmtId="0" fontId="90" fillId="0" borderId="0" xfId="5" applyFont="1" applyAlignment="1">
      <alignment wrapText="1"/>
    </xf>
    <xf numFmtId="3" fontId="90" fillId="0" borderId="0" xfId="5" applyNumberFormat="1" applyFont="1" applyAlignment="1">
      <alignment wrapText="1"/>
    </xf>
    <xf numFmtId="3" fontId="30" fillId="7" borderId="15" xfId="0" applyNumberFormat="1" applyFont="1" applyFill="1" applyBorder="1" applyAlignment="1">
      <alignment wrapText="1"/>
    </xf>
    <xf numFmtId="3" fontId="30" fillId="2" borderId="0" xfId="0" applyNumberFormat="1" applyFont="1" applyFill="1" applyAlignment="1">
      <alignment wrapText="1"/>
    </xf>
    <xf numFmtId="3" fontId="30" fillId="7" borderId="0" xfId="0" applyNumberFormat="1" applyFont="1" applyFill="1" applyAlignment="1">
      <alignment wrapText="1"/>
    </xf>
    <xf numFmtId="3" fontId="30" fillId="28" borderId="27" xfId="0" applyNumberFormat="1" applyFont="1" applyFill="1" applyBorder="1" applyAlignment="1">
      <alignment wrapText="1"/>
    </xf>
    <xf numFmtId="3" fontId="31" fillId="38" borderId="15" xfId="0" applyNumberFormat="1" applyFont="1" applyFill="1" applyBorder="1" applyAlignment="1">
      <alignment wrapText="1"/>
    </xf>
    <xf numFmtId="3" fontId="31" fillId="38" borderId="0" xfId="0" applyNumberFormat="1" applyFont="1" applyFill="1" applyAlignment="1">
      <alignment wrapText="1"/>
    </xf>
    <xf numFmtId="3" fontId="31" fillId="28" borderId="27" xfId="0" applyNumberFormat="1" applyFont="1" applyFill="1" applyBorder="1" applyAlignment="1">
      <alignment wrapText="1"/>
    </xf>
    <xf numFmtId="172" fontId="53" fillId="16" borderId="15" xfId="0" applyNumberFormat="1" applyFont="1" applyFill="1" applyBorder="1" applyAlignment="1">
      <alignment wrapText="1"/>
    </xf>
    <xf numFmtId="3" fontId="24" fillId="2" borderId="5" xfId="0" applyNumberFormat="1" applyFont="1" applyFill="1" applyBorder="1" applyAlignment="1">
      <alignment horizontal="right"/>
    </xf>
    <xf numFmtId="166" fontId="126" fillId="17" borderId="32" xfId="0" applyNumberFormat="1" applyFont="1" applyFill="1" applyBorder="1" applyAlignment="1">
      <alignment horizontal="center" vertical="center"/>
    </xf>
    <xf numFmtId="164" fontId="32" fillId="19" borderId="52" xfId="0" applyNumberFormat="1" applyFont="1" applyFill="1" applyBorder="1" applyAlignment="1">
      <alignment horizontal="right" wrapText="1"/>
    </xf>
    <xf numFmtId="166" fontId="126" fillId="17" borderId="33" xfId="0" applyNumberFormat="1" applyFont="1" applyFill="1" applyBorder="1" applyAlignment="1">
      <alignment horizontal="center" vertical="center"/>
    </xf>
    <xf numFmtId="3" fontId="57" fillId="17" borderId="27" xfId="0" applyNumberFormat="1" applyFont="1" applyFill="1" applyBorder="1" applyAlignment="1">
      <alignment horizontal="center" vertical="center"/>
    </xf>
    <xf numFmtId="3" fontId="25" fillId="17" borderId="27" xfId="0" applyNumberFormat="1" applyFont="1" applyFill="1" applyBorder="1" applyAlignment="1">
      <alignment horizontal="center" vertical="center"/>
    </xf>
    <xf numFmtId="166" fontId="24" fillId="17" borderId="28" xfId="0" applyNumberFormat="1" applyFont="1" applyFill="1" applyBorder="1" applyAlignment="1">
      <alignment horizontal="center" vertical="center"/>
    </xf>
    <xf numFmtId="164" fontId="24" fillId="19" borderId="27" xfId="0" applyNumberFormat="1" applyFont="1" applyFill="1" applyBorder="1" applyAlignment="1">
      <alignment horizontal="center" vertical="center"/>
    </xf>
    <xf numFmtId="166" fontId="24" fillId="19" borderId="28" xfId="0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right"/>
    </xf>
    <xf numFmtId="9" fontId="89" fillId="2" borderId="1" xfId="0" applyNumberFormat="1" applyFont="1" applyFill="1" applyBorder="1" applyAlignment="1">
      <alignment horizontal="right" wrapText="1"/>
    </xf>
    <xf numFmtId="40" fontId="119" fillId="2" borderId="2" xfId="0" applyNumberFormat="1" applyFont="1" applyFill="1" applyBorder="1" applyAlignment="1">
      <alignment horizontal="right" wrapText="1"/>
    </xf>
    <xf numFmtId="164" fontId="187" fillId="57" borderId="20" xfId="0" applyNumberFormat="1" applyFont="1" applyFill="1" applyBorder="1" applyAlignment="1">
      <alignment horizontal="right" wrapText="1"/>
    </xf>
    <xf numFmtId="0" fontId="166" fillId="0" borderId="19" xfId="2" applyFont="1" applyBorder="1" applyAlignment="1">
      <alignment horizontal="center" readingOrder="1"/>
    </xf>
    <xf numFmtId="0" fontId="234" fillId="2" borderId="19" xfId="2" applyFont="1" applyFill="1" applyBorder="1" applyAlignment="1">
      <alignment horizontal="center" readingOrder="1"/>
    </xf>
    <xf numFmtId="0" fontId="234" fillId="0" borderId="19" xfId="2" applyFont="1" applyBorder="1" applyAlignment="1">
      <alignment horizontal="center" readingOrder="1"/>
    </xf>
    <xf numFmtId="0" fontId="243" fillId="0" borderId="19" xfId="2" applyFont="1" applyBorder="1" applyAlignment="1">
      <alignment horizontal="center" readingOrder="1"/>
    </xf>
    <xf numFmtId="0" fontId="17" fillId="0" borderId="2" xfId="0" applyFont="1" applyBorder="1" applyAlignment="1">
      <alignment horizontal="right"/>
    </xf>
    <xf numFmtId="0" fontId="17" fillId="0" borderId="2" xfId="0" applyFont="1" applyBorder="1" applyAlignment="1">
      <alignment horizontal="right" wrapText="1"/>
    </xf>
    <xf numFmtId="164" fontId="36" fillId="17" borderId="20" xfId="0" applyNumberFormat="1" applyFont="1" applyFill="1" applyBorder="1" applyAlignment="1">
      <alignment horizontal="right" wrapText="1"/>
    </xf>
    <xf numFmtId="164" fontId="36" fillId="2" borderId="1" xfId="0" applyNumberFormat="1" applyFont="1" applyFill="1" applyBorder="1" applyAlignment="1">
      <alignment horizontal="right" wrapText="1"/>
    </xf>
    <xf numFmtId="166" fontId="36" fillId="17" borderId="1" xfId="0" applyNumberFormat="1" applyFont="1" applyFill="1" applyBorder="1" applyAlignment="1">
      <alignment horizontal="right" wrapText="1"/>
    </xf>
    <xf numFmtId="164" fontId="36" fillId="28" borderId="39" xfId="0" applyNumberFormat="1" applyFont="1" applyFill="1" applyBorder="1" applyAlignment="1">
      <alignment horizontal="right" wrapText="1"/>
    </xf>
    <xf numFmtId="164" fontId="36" fillId="2" borderId="45" xfId="0" applyNumberFormat="1" applyFont="1" applyFill="1" applyBorder="1" applyAlignment="1">
      <alignment horizontal="right" wrapText="1"/>
    </xf>
    <xf numFmtId="166" fontId="36" fillId="28" borderId="40" xfId="0" applyNumberFormat="1" applyFont="1" applyFill="1" applyBorder="1" applyAlignment="1">
      <alignment horizontal="right" wrapText="1"/>
    </xf>
    <xf numFmtId="164" fontId="36" fillId="25" borderId="20" xfId="0" applyNumberFormat="1" applyFont="1" applyFill="1" applyBorder="1" applyAlignment="1">
      <alignment horizontal="right" wrapText="1"/>
    </xf>
    <xf numFmtId="166" fontId="36" fillId="25" borderId="1" xfId="0" applyNumberFormat="1" applyFont="1" applyFill="1" applyBorder="1" applyAlignment="1">
      <alignment horizontal="right" wrapText="1"/>
    </xf>
    <xf numFmtId="164" fontId="36" fillId="39" borderId="20" xfId="0" applyNumberFormat="1" applyFont="1" applyFill="1" applyBorder="1" applyAlignment="1">
      <alignment horizontal="right" wrapText="1"/>
    </xf>
    <xf numFmtId="164" fontId="36" fillId="40" borderId="20" xfId="0" applyNumberFormat="1" applyFont="1" applyFill="1" applyBorder="1" applyAlignment="1">
      <alignment horizontal="right" wrapText="1"/>
    </xf>
    <xf numFmtId="166" fontId="36" fillId="39" borderId="3" xfId="0" applyNumberFormat="1" applyFont="1" applyFill="1" applyBorder="1" applyAlignment="1">
      <alignment horizontal="right" wrapText="1"/>
    </xf>
    <xf numFmtId="166" fontId="36" fillId="40" borderId="3" xfId="0" applyNumberFormat="1" applyFont="1" applyFill="1" applyBorder="1" applyAlignment="1">
      <alignment horizontal="right" wrapText="1"/>
    </xf>
    <xf numFmtId="164" fontId="36" fillId="29" borderId="2" xfId="0" applyNumberFormat="1" applyFont="1" applyFill="1" applyBorder="1" applyAlignment="1">
      <alignment horizontal="right" wrapText="1"/>
    </xf>
    <xf numFmtId="166" fontId="36" fillId="29" borderId="2" xfId="0" applyNumberFormat="1" applyFont="1" applyFill="1" applyBorder="1" applyAlignment="1">
      <alignment horizontal="right" wrapText="1"/>
    </xf>
    <xf numFmtId="0" fontId="244" fillId="0" borderId="9" xfId="0" applyFont="1" applyBorder="1" applyAlignment="1">
      <alignment horizontal="center" vertical="center" wrapText="1"/>
    </xf>
    <xf numFmtId="0" fontId="77" fillId="7" borderId="1" xfId="2" applyFont="1" applyFill="1" applyBorder="1" applyAlignment="1">
      <alignment readingOrder="1"/>
    </xf>
    <xf numFmtId="164" fontId="64" fillId="17" borderId="20" xfId="0" applyNumberFormat="1" applyFont="1" applyFill="1" applyBorder="1" applyAlignment="1">
      <alignment horizontal="right" wrapText="1"/>
    </xf>
    <xf numFmtId="164" fontId="64" fillId="28" borderId="20" xfId="0" applyNumberFormat="1" applyFont="1" applyFill="1" applyBorder="1" applyAlignment="1">
      <alignment horizontal="right" wrapText="1"/>
    </xf>
    <xf numFmtId="164" fontId="64" fillId="25" borderId="20" xfId="0" applyNumberFormat="1" applyFont="1" applyFill="1" applyBorder="1" applyAlignment="1">
      <alignment horizontal="right" wrapText="1"/>
    </xf>
    <xf numFmtId="49" fontId="17" fillId="2" borderId="3" xfId="0" applyNumberFormat="1" applyFont="1" applyFill="1" applyBorder="1" applyAlignment="1">
      <alignment horizontal="center" wrapText="1"/>
    </xf>
    <xf numFmtId="9" fontId="201" fillId="3" borderId="0" xfId="0" applyNumberFormat="1" applyFont="1" applyFill="1"/>
    <xf numFmtId="0" fontId="0" fillId="3" borderId="2" xfId="0" applyFill="1" applyBorder="1"/>
    <xf numFmtId="9" fontId="25" fillId="43" borderId="0" xfId="0" applyNumberFormat="1" applyFont="1" applyFill="1"/>
    <xf numFmtId="0" fontId="0" fillId="43" borderId="2" xfId="0" applyFill="1" applyBorder="1"/>
    <xf numFmtId="166" fontId="146" fillId="56" borderId="18" xfId="0" applyNumberFormat="1" applyFont="1" applyFill="1" applyBorder="1" applyAlignment="1">
      <alignment horizontal="right"/>
    </xf>
    <xf numFmtId="3" fontId="146" fillId="59" borderId="4" xfId="0" applyNumberFormat="1" applyFont="1" applyFill="1" applyBorder="1" applyAlignment="1">
      <alignment horizontal="right"/>
    </xf>
    <xf numFmtId="3" fontId="146" fillId="43" borderId="0" xfId="0" applyNumberFormat="1" applyFont="1" applyFill="1" applyAlignment="1">
      <alignment horizontal="right"/>
    </xf>
    <xf numFmtId="9" fontId="24" fillId="43" borderId="0" xfId="0" applyNumberFormat="1" applyFont="1" applyFill="1"/>
    <xf numFmtId="9" fontId="24" fillId="3" borderId="0" xfId="0" applyNumberFormat="1" applyFont="1" applyFill="1"/>
    <xf numFmtId="3" fontId="71" fillId="0" borderId="0" xfId="0" applyNumberFormat="1" applyFont="1"/>
    <xf numFmtId="0" fontId="70" fillId="0" borderId="0" xfId="0" applyFont="1" applyAlignment="1">
      <alignment horizontal="center" wrapText="1"/>
    </xf>
    <xf numFmtId="9" fontId="70" fillId="0" borderId="0" xfId="0" applyNumberFormat="1" applyFont="1"/>
    <xf numFmtId="49" fontId="28" fillId="2" borderId="1" xfId="0" applyNumberFormat="1" applyFont="1" applyFill="1" applyBorder="1" applyAlignment="1">
      <alignment horizontal="center" wrapText="1"/>
    </xf>
    <xf numFmtId="0" fontId="29" fillId="0" borderId="2" xfId="0" applyFont="1" applyBorder="1"/>
    <xf numFmtId="3" fontId="232" fillId="59" borderId="4" xfId="0" applyNumberFormat="1" applyFont="1" applyFill="1" applyBorder="1" applyAlignment="1">
      <alignment horizontal="right"/>
    </xf>
    <xf numFmtId="3" fontId="232" fillId="43" borderId="0" xfId="0" applyNumberFormat="1" applyFont="1" applyFill="1" applyAlignment="1">
      <alignment horizontal="right"/>
    </xf>
    <xf numFmtId="164" fontId="57" fillId="2" borderId="1" xfId="0" applyNumberFormat="1" applyFont="1" applyFill="1" applyBorder="1" applyAlignment="1">
      <alignment horizontal="right"/>
    </xf>
    <xf numFmtId="3" fontId="24" fillId="22" borderId="2" xfId="0" applyNumberFormat="1" applyFont="1" applyFill="1" applyBorder="1" applyAlignment="1">
      <alignment horizontal="center" vertical="center"/>
    </xf>
    <xf numFmtId="164" fontId="30" fillId="29" borderId="1" xfId="0" applyNumberFormat="1" applyFont="1" applyFill="1" applyBorder="1" applyAlignment="1">
      <alignment horizontal="center" wrapText="1"/>
    </xf>
    <xf numFmtId="166" fontId="35" fillId="29" borderId="1" xfId="0" applyNumberFormat="1" applyFont="1" applyFill="1" applyBorder="1" applyAlignment="1">
      <alignment horizontal="right" wrapText="1"/>
    </xf>
    <xf numFmtId="0" fontId="30" fillId="0" borderId="0" xfId="0" applyFont="1" applyAlignment="1">
      <alignment horizontal="center"/>
    </xf>
    <xf numFmtId="0" fontId="30" fillId="60" borderId="2" xfId="0" applyFont="1" applyFill="1" applyBorder="1" applyAlignment="1">
      <alignment horizontal="center" vertical="center"/>
    </xf>
    <xf numFmtId="0" fontId="75" fillId="60" borderId="2" xfId="0" applyFont="1" applyFill="1" applyBorder="1" applyAlignment="1">
      <alignment horizontal="center" vertical="center"/>
    </xf>
    <xf numFmtId="0" fontId="30" fillId="18" borderId="0" xfId="0" applyFont="1" applyFill="1" applyAlignment="1">
      <alignment horizontal="center"/>
    </xf>
    <xf numFmtId="183" fontId="33" fillId="18" borderId="0" xfId="0" applyNumberFormat="1" applyFont="1" applyFill="1" applyAlignment="1">
      <alignment horizontal="center" vertical="center"/>
    </xf>
    <xf numFmtId="4" fontId="25" fillId="2" borderId="3" xfId="0" applyNumberFormat="1" applyFont="1" applyFill="1" applyBorder="1" applyAlignment="1">
      <alignment horizontal="left"/>
    </xf>
    <xf numFmtId="164" fontId="80" fillId="29" borderId="1" xfId="0" applyNumberFormat="1" applyFont="1" applyFill="1" applyBorder="1" applyAlignment="1">
      <alignment horizontal="center"/>
    </xf>
    <xf numFmtId="3" fontId="30" fillId="2" borderId="15" xfId="0" applyNumberFormat="1" applyFont="1" applyFill="1" applyBorder="1" applyAlignment="1">
      <alignment wrapText="1"/>
    </xf>
    <xf numFmtId="164" fontId="139" fillId="27" borderId="5" xfId="0" applyNumberFormat="1" applyFont="1" applyFill="1" applyBorder="1" applyAlignment="1">
      <alignment horizontal="right"/>
    </xf>
    <xf numFmtId="164" fontId="156" fillId="27" borderId="1" xfId="0" applyNumberFormat="1" applyFont="1" applyFill="1" applyBorder="1" applyAlignment="1">
      <alignment horizontal="right"/>
    </xf>
    <xf numFmtId="9" fontId="55" fillId="0" borderId="2" xfId="0" applyNumberFormat="1" applyFont="1" applyBorder="1" applyAlignment="1">
      <alignment horizontal="center"/>
    </xf>
    <xf numFmtId="166" fontId="49" fillId="23" borderId="1" xfId="0" applyNumberFormat="1" applyFont="1" applyFill="1" applyBorder="1" applyAlignment="1">
      <alignment horizontal="right" wrapText="1"/>
    </xf>
    <xf numFmtId="166" fontId="49" fillId="23" borderId="38" xfId="0" applyNumberFormat="1" applyFont="1" applyFill="1" applyBorder="1" applyAlignment="1">
      <alignment horizontal="right" wrapText="1"/>
    </xf>
    <xf numFmtId="0" fontId="125" fillId="23" borderId="30" xfId="0" applyFont="1" applyFill="1" applyBorder="1" applyAlignment="1">
      <alignment horizontal="center"/>
    </xf>
    <xf numFmtId="0" fontId="32" fillId="23" borderId="30" xfId="0" applyFont="1" applyFill="1" applyBorder="1" applyAlignment="1">
      <alignment horizontal="center"/>
    </xf>
    <xf numFmtId="164" fontId="32" fillId="23" borderId="20" xfId="0" applyNumberFormat="1" applyFont="1" applyFill="1" applyBorder="1" applyAlignment="1">
      <alignment horizontal="right" wrapText="1"/>
    </xf>
    <xf numFmtId="3" fontId="85" fillId="23" borderId="20" xfId="0" applyNumberFormat="1" applyFont="1" applyFill="1" applyBorder="1" applyAlignment="1">
      <alignment horizontal="right"/>
    </xf>
    <xf numFmtId="3" fontId="85" fillId="4" borderId="2" xfId="0" applyNumberFormat="1" applyFont="1" applyFill="1" applyBorder="1" applyAlignment="1">
      <alignment horizontal="right"/>
    </xf>
    <xf numFmtId="0" fontId="76" fillId="23" borderId="11" xfId="0" applyFont="1" applyFill="1" applyBorder="1" applyAlignment="1">
      <alignment horizontal="center"/>
    </xf>
    <xf numFmtId="0" fontId="49" fillId="23" borderId="14" xfId="0" applyFont="1" applyFill="1" applyBorder="1" applyAlignment="1">
      <alignment horizontal="center"/>
    </xf>
    <xf numFmtId="164" fontId="32" fillId="23" borderId="30" xfId="0" applyNumberFormat="1" applyFont="1" applyFill="1" applyBorder="1" applyAlignment="1">
      <alignment horizontal="right" wrapText="1"/>
    </xf>
    <xf numFmtId="164" fontId="32" fillId="23" borderId="32" xfId="0" applyNumberFormat="1" applyFont="1" applyFill="1" applyBorder="1" applyAlignment="1">
      <alignment horizontal="right" wrapText="1"/>
    </xf>
    <xf numFmtId="164" fontId="36" fillId="23" borderId="20" xfId="0" applyNumberFormat="1" applyFont="1" applyFill="1" applyBorder="1" applyAlignment="1">
      <alignment horizontal="right" wrapText="1"/>
    </xf>
    <xf numFmtId="3" fontId="85" fillId="4" borderId="1" xfId="0" applyNumberFormat="1" applyFont="1" applyFill="1" applyBorder="1" applyAlignment="1">
      <alignment horizontal="right"/>
    </xf>
    <xf numFmtId="3" fontId="76" fillId="23" borderId="33" xfId="0" applyNumberFormat="1" applyFont="1" applyFill="1" applyBorder="1" applyAlignment="1">
      <alignment horizontal="right"/>
    </xf>
    <xf numFmtId="3" fontId="105" fillId="23" borderId="0" xfId="0" applyNumberFormat="1" applyFont="1" applyFill="1" applyAlignment="1">
      <alignment horizontal="right"/>
    </xf>
    <xf numFmtId="3" fontId="0" fillId="23" borderId="0" xfId="0" applyNumberFormat="1" applyFill="1" applyAlignment="1">
      <alignment horizontal="left"/>
    </xf>
    <xf numFmtId="3" fontId="70" fillId="23" borderId="0" xfId="0" applyNumberFormat="1" applyFont="1" applyFill="1" applyAlignment="1">
      <alignment horizontal="center" vertical="center"/>
    </xf>
    <xf numFmtId="0" fontId="0" fillId="23" borderId="0" xfId="0" applyFill="1" applyAlignment="1">
      <alignment horizontal="left"/>
    </xf>
    <xf numFmtId="3" fontId="24" fillId="23" borderId="0" xfId="0" applyNumberFormat="1" applyFont="1" applyFill="1" applyAlignment="1">
      <alignment horizontal="right"/>
    </xf>
    <xf numFmtId="3" fontId="24" fillId="23" borderId="0" xfId="0" applyNumberFormat="1" applyFont="1" applyFill="1"/>
    <xf numFmtId="166" fontId="36" fillId="23" borderId="3" xfId="0" applyNumberFormat="1" applyFont="1" applyFill="1" applyBorder="1" applyAlignment="1">
      <alignment horizontal="right" wrapText="1"/>
    </xf>
    <xf numFmtId="0" fontId="0" fillId="23" borderId="0" xfId="0" applyFill="1"/>
    <xf numFmtId="3" fontId="0" fillId="23" borderId="0" xfId="0" applyNumberFormat="1" applyFill="1" applyAlignment="1">
      <alignment horizontal="right"/>
    </xf>
    <xf numFmtId="0" fontId="33" fillId="28" borderId="0" xfId="0" applyFont="1" applyFill="1" applyAlignment="1">
      <alignment horizontal="center" vertical="center" wrapText="1"/>
    </xf>
    <xf numFmtId="0" fontId="0" fillId="28" borderId="18" xfId="0" applyFill="1" applyBorder="1" applyAlignment="1">
      <alignment horizontal="center" vertical="center" wrapText="1"/>
    </xf>
    <xf numFmtId="0" fontId="0" fillId="28" borderId="5" xfId="0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3" fontId="35" fillId="2" borderId="36" xfId="0" applyNumberFormat="1" applyFont="1" applyFill="1" applyBorder="1" applyAlignment="1">
      <alignment wrapText="1"/>
    </xf>
    <xf numFmtId="3" fontId="35" fillId="2" borderId="43" xfId="0" applyNumberFormat="1" applyFont="1" applyFill="1" applyBorder="1" applyAlignment="1">
      <alignment wrapText="1"/>
    </xf>
    <xf numFmtId="3" fontId="35" fillId="2" borderId="44" xfId="0" applyNumberFormat="1" applyFont="1" applyFill="1" applyBorder="1" applyAlignment="1">
      <alignment wrapText="1"/>
    </xf>
    <xf numFmtId="3" fontId="35" fillId="2" borderId="15" xfId="0" applyNumberFormat="1" applyFont="1" applyFill="1" applyBorder="1" applyAlignment="1">
      <alignment wrapText="1"/>
    </xf>
    <xf numFmtId="3" fontId="35" fillId="2" borderId="9" xfId="0" applyNumberFormat="1" applyFont="1" applyFill="1" applyBorder="1" applyAlignment="1">
      <alignment wrapText="1"/>
    </xf>
    <xf numFmtId="3" fontId="35" fillId="2" borderId="11" xfId="0" applyNumberFormat="1" applyFont="1" applyFill="1" applyBorder="1" applyAlignment="1">
      <alignment wrapText="1"/>
    </xf>
    <xf numFmtId="9" fontId="55" fillId="0" borderId="0" xfId="0" applyNumberFormat="1" applyFont="1" applyAlignment="1">
      <alignment horizontal="center"/>
    </xf>
    <xf numFmtId="3" fontId="35" fillId="2" borderId="14" xfId="0" applyNumberFormat="1" applyFont="1" applyFill="1" applyBorder="1" applyAlignment="1">
      <alignment wrapText="1"/>
    </xf>
    <xf numFmtId="3" fontId="35" fillId="2" borderId="17" xfId="0" applyNumberFormat="1" applyFont="1" applyFill="1" applyBorder="1" applyAlignment="1">
      <alignment wrapText="1"/>
    </xf>
    <xf numFmtId="1" fontId="49" fillId="0" borderId="0" xfId="0" applyNumberFormat="1" applyFont="1" applyAlignment="1">
      <alignment horizontal="center"/>
    </xf>
    <xf numFmtId="166" fontId="239" fillId="0" borderId="2" xfId="0" applyNumberFormat="1" applyFont="1" applyBorder="1" applyAlignment="1">
      <alignment horizontal="right"/>
    </xf>
    <xf numFmtId="169" fontId="53" fillId="8" borderId="2" xfId="0" applyNumberFormat="1" applyFont="1" applyFill="1" applyBorder="1" applyAlignment="1">
      <alignment horizontal="right"/>
    </xf>
    <xf numFmtId="170" fontId="84" fillId="8" borderId="2" xfId="0" applyNumberFormat="1" applyFont="1" applyFill="1" applyBorder="1" applyAlignment="1">
      <alignment horizontal="right"/>
    </xf>
    <xf numFmtId="1" fontId="36" fillId="0" borderId="2" xfId="0" applyNumberFormat="1" applyFont="1" applyBorder="1" applyAlignment="1">
      <alignment horizontal="center"/>
    </xf>
    <xf numFmtId="1" fontId="54" fillId="0" borderId="2" xfId="0" applyNumberFormat="1" applyFont="1" applyBorder="1" applyAlignment="1">
      <alignment horizontal="center"/>
    </xf>
    <xf numFmtId="1" fontId="72" fillId="0" borderId="2" xfId="0" applyNumberFormat="1" applyFont="1" applyBorder="1" applyAlignment="1">
      <alignment horizontal="center"/>
    </xf>
    <xf numFmtId="9" fontId="55" fillId="20" borderId="2" xfId="0" applyNumberFormat="1" applyFont="1" applyFill="1" applyBorder="1" applyAlignment="1">
      <alignment horizontal="center"/>
    </xf>
    <xf numFmtId="0" fontId="112" fillId="2" borderId="2" xfId="0" applyFont="1" applyFill="1" applyBorder="1" applyAlignment="1">
      <alignment horizontal="center" vertical="center" wrapText="1"/>
    </xf>
    <xf numFmtId="3" fontId="155" fillId="2" borderId="2" xfId="0" applyNumberFormat="1" applyFont="1" applyFill="1" applyBorder="1" applyAlignment="1">
      <alignment horizontal="center" vertical="center" wrapText="1"/>
    </xf>
    <xf numFmtId="3" fontId="148" fillId="2" borderId="2" xfId="0" applyNumberFormat="1" applyFont="1" applyFill="1" applyBorder="1" applyAlignment="1">
      <alignment horizontal="center" vertical="center" wrapText="1"/>
    </xf>
    <xf numFmtId="3" fontId="149" fillId="2" borderId="2" xfId="0" applyNumberFormat="1" applyFont="1" applyFill="1" applyBorder="1" applyAlignment="1">
      <alignment horizontal="center" vertical="center" wrapText="1"/>
    </xf>
    <xf numFmtId="170" fontId="65" fillId="28" borderId="2" xfId="0" applyNumberFormat="1" applyFont="1" applyFill="1" applyBorder="1" applyAlignment="1">
      <alignment horizontal="right"/>
    </xf>
    <xf numFmtId="169" fontId="53" fillId="31" borderId="2" xfId="0" applyNumberFormat="1" applyFont="1" applyFill="1" applyBorder="1" applyAlignment="1">
      <alignment horizontal="right"/>
    </xf>
    <xf numFmtId="2" fontId="139" fillId="2" borderId="2" xfId="0" applyNumberFormat="1" applyFont="1" applyFill="1" applyBorder="1" applyAlignment="1">
      <alignment horizontal="right"/>
    </xf>
    <xf numFmtId="2" fontId="25" fillId="2" borderId="2" xfId="0" applyNumberFormat="1" applyFont="1" applyFill="1" applyBorder="1" applyAlignment="1">
      <alignment horizontal="center"/>
    </xf>
    <xf numFmtId="1" fontId="36" fillId="24" borderId="2" xfId="0" applyNumberFormat="1" applyFont="1" applyFill="1" applyBorder="1" applyAlignment="1">
      <alignment horizontal="center"/>
    </xf>
    <xf numFmtId="1" fontId="55" fillId="24" borderId="2" xfId="0" applyNumberFormat="1" applyFont="1" applyFill="1" applyBorder="1" applyAlignment="1">
      <alignment horizontal="center"/>
    </xf>
    <xf numFmtId="0" fontId="214" fillId="0" borderId="0" xfId="0" applyFont="1"/>
    <xf numFmtId="164" fontId="71" fillId="3" borderId="3" xfId="0" applyNumberFormat="1" applyFont="1" applyFill="1" applyBorder="1" applyAlignment="1">
      <alignment horizontal="right" vertical="center" wrapText="1"/>
    </xf>
    <xf numFmtId="3" fontId="246" fillId="2" borderId="7" xfId="0" applyNumberFormat="1" applyFont="1" applyFill="1" applyBorder="1" applyAlignment="1">
      <alignment horizontal="right" vertical="center" wrapText="1"/>
    </xf>
    <xf numFmtId="3" fontId="185" fillId="2" borderId="2" xfId="0" applyNumberFormat="1" applyFont="1" applyFill="1" applyBorder="1" applyAlignment="1">
      <alignment horizontal="center" vertical="center" wrapText="1"/>
    </xf>
    <xf numFmtId="0" fontId="71" fillId="4" borderId="1" xfId="0" applyFont="1" applyFill="1" applyBorder="1" applyAlignment="1">
      <alignment horizontal="right" wrapText="1"/>
    </xf>
    <xf numFmtId="0" fontId="71" fillId="0" borderId="0" xfId="0" applyFont="1" applyAlignment="1">
      <alignment horizontal="right"/>
    </xf>
    <xf numFmtId="3" fontId="142" fillId="7" borderId="2" xfId="0" applyNumberFormat="1" applyFont="1" applyFill="1" applyBorder="1" applyAlignment="1">
      <alignment horizontal="center" vertical="center" wrapText="1"/>
    </xf>
    <xf numFmtId="3" fontId="142" fillId="17" borderId="2" xfId="0" applyNumberFormat="1" applyFont="1" applyFill="1" applyBorder="1" applyAlignment="1">
      <alignment horizontal="center" vertical="center" wrapText="1"/>
    </xf>
    <xf numFmtId="3" fontId="142" fillId="18" borderId="2" xfId="0" applyNumberFormat="1" applyFont="1" applyFill="1" applyBorder="1" applyAlignment="1">
      <alignment horizontal="center" vertical="center" wrapText="1"/>
    </xf>
    <xf numFmtId="3" fontId="142" fillId="12" borderId="2" xfId="0" applyNumberFormat="1" applyFont="1" applyFill="1" applyBorder="1" applyAlignment="1">
      <alignment horizontal="center" vertical="center" wrapText="1"/>
    </xf>
    <xf numFmtId="164" fontId="187" fillId="61" borderId="20" xfId="0" applyNumberFormat="1" applyFont="1" applyFill="1" applyBorder="1" applyAlignment="1">
      <alignment horizontal="right" wrapText="1"/>
    </xf>
    <xf numFmtId="10" fontId="35" fillId="16" borderId="0" xfId="0" applyNumberFormat="1" applyFont="1" applyFill="1" applyAlignment="1">
      <alignment horizontal="center" vertical="center"/>
    </xf>
    <xf numFmtId="166" fontId="30" fillId="4" borderId="0" xfId="0" applyNumberFormat="1" applyFont="1" applyFill="1"/>
    <xf numFmtId="166" fontId="30" fillId="23" borderId="0" xfId="0" applyNumberFormat="1" applyFont="1" applyFill="1"/>
    <xf numFmtId="40" fontId="30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164" fontId="35" fillId="2" borderId="0" xfId="0" applyNumberFormat="1" applyFont="1" applyFill="1" applyAlignment="1">
      <alignment horizontal="center" vertical="center"/>
    </xf>
    <xf numFmtId="175" fontId="35" fillId="2" borderId="0" xfId="0" applyNumberFormat="1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237" fillId="0" borderId="0" xfId="0" applyFont="1"/>
    <xf numFmtId="0" fontId="249" fillId="0" borderId="2" xfId="2" applyFont="1" applyBorder="1" applyAlignment="1">
      <alignment horizontal="center" readingOrder="1"/>
    </xf>
    <xf numFmtId="164" fontId="209" fillId="27" borderId="2" xfId="0" applyNumberFormat="1" applyFont="1" applyFill="1" applyBorder="1" applyAlignment="1">
      <alignment horizontal="right" wrapText="1"/>
    </xf>
    <xf numFmtId="164" fontId="209" fillId="24" borderId="2" xfId="0" applyNumberFormat="1" applyFont="1" applyFill="1" applyBorder="1" applyAlignment="1">
      <alignment horizontal="right" wrapText="1"/>
    </xf>
    <xf numFmtId="164" fontId="209" fillId="38" borderId="2" xfId="0" applyNumberFormat="1" applyFont="1" applyFill="1" applyBorder="1" applyAlignment="1">
      <alignment horizontal="right" wrapText="1"/>
    </xf>
    <xf numFmtId="164" fontId="209" fillId="43" borderId="2" xfId="0" applyNumberFormat="1" applyFont="1" applyFill="1" applyBorder="1" applyAlignment="1">
      <alignment horizontal="right" wrapText="1"/>
    </xf>
    <xf numFmtId="164" fontId="209" fillId="2" borderId="2" xfId="0" applyNumberFormat="1" applyFont="1" applyFill="1" applyBorder="1" applyAlignment="1">
      <alignment horizontal="right" wrapText="1"/>
    </xf>
    <xf numFmtId="164" fontId="209" fillId="2" borderId="2" xfId="0" applyNumberFormat="1" applyFont="1" applyFill="1" applyBorder="1" applyAlignment="1">
      <alignment horizontal="left" vertical="center" wrapText="1"/>
    </xf>
    <xf numFmtId="172" fontId="245" fillId="13" borderId="2" xfId="0" applyNumberFormat="1" applyFont="1" applyFill="1" applyBorder="1" applyAlignment="1">
      <alignment horizontal="right" wrapText="1"/>
    </xf>
    <xf numFmtId="164" fontId="209" fillId="13" borderId="2" xfId="0" applyNumberFormat="1" applyFont="1" applyFill="1" applyBorder="1" applyAlignment="1">
      <alignment horizontal="right" wrapText="1"/>
    </xf>
    <xf numFmtId="164" fontId="209" fillId="13" borderId="2" xfId="0" applyNumberFormat="1" applyFont="1" applyFill="1" applyBorder="1" applyAlignment="1">
      <alignment horizontal="left" vertical="center" wrapText="1"/>
    </xf>
    <xf numFmtId="172" fontId="245" fillId="4" borderId="2" xfId="0" applyNumberFormat="1" applyFont="1" applyFill="1" applyBorder="1" applyAlignment="1">
      <alignment horizontal="right" wrapText="1"/>
    </xf>
    <xf numFmtId="164" fontId="209" fillId="4" borderId="2" xfId="0" applyNumberFormat="1" applyFont="1" applyFill="1" applyBorder="1" applyAlignment="1">
      <alignment horizontal="right" wrapText="1"/>
    </xf>
    <xf numFmtId="164" fontId="209" fillId="4" borderId="2" xfId="0" applyNumberFormat="1" applyFont="1" applyFill="1" applyBorder="1" applyAlignment="1">
      <alignment horizontal="left" vertical="center" wrapText="1"/>
    </xf>
    <xf numFmtId="0" fontId="249" fillId="0" borderId="6" xfId="2" applyFont="1" applyBorder="1" applyAlignment="1">
      <alignment horizontal="center" readingOrder="1"/>
    </xf>
    <xf numFmtId="172" fontId="245" fillId="2" borderId="2" xfId="0" applyNumberFormat="1" applyFont="1" applyFill="1" applyBorder="1" applyAlignment="1">
      <alignment horizontal="right" wrapText="1"/>
    </xf>
    <xf numFmtId="49" fontId="247" fillId="2" borderId="3" xfId="0" applyNumberFormat="1" applyFont="1" applyFill="1" applyBorder="1" applyAlignment="1">
      <alignment horizontal="center" wrapText="1"/>
    </xf>
    <xf numFmtId="0" fontId="214" fillId="2" borderId="0" xfId="0" applyFont="1" applyFill="1"/>
    <xf numFmtId="0" fontId="250" fillId="7" borderId="37" xfId="0" applyFont="1" applyFill="1" applyBorder="1" applyAlignment="1">
      <alignment horizontal="center" wrapText="1"/>
    </xf>
    <xf numFmtId="164" fontId="251" fillId="2" borderId="2" xfId="0" applyNumberFormat="1" applyFont="1" applyFill="1" applyBorder="1" applyAlignment="1">
      <alignment horizontal="right" wrapText="1"/>
    </xf>
    <xf numFmtId="0" fontId="252" fillId="0" borderId="2" xfId="2" applyFont="1" applyBorder="1" applyAlignment="1">
      <alignment horizontal="center" readingOrder="1"/>
    </xf>
    <xf numFmtId="164" fontId="253" fillId="2" borderId="2" xfId="0" applyNumberFormat="1" applyFont="1" applyFill="1" applyBorder="1" applyAlignment="1">
      <alignment horizontal="right" wrapText="1"/>
    </xf>
    <xf numFmtId="0" fontId="254" fillId="7" borderId="2" xfId="2" applyFont="1" applyFill="1" applyBorder="1" applyAlignment="1">
      <alignment readingOrder="1"/>
    </xf>
    <xf numFmtId="0" fontId="255" fillId="17" borderId="2" xfId="2" applyFont="1" applyFill="1" applyBorder="1" applyAlignment="1">
      <alignment readingOrder="1"/>
    </xf>
    <xf numFmtId="164" fontId="251" fillId="13" borderId="2" xfId="0" applyNumberFormat="1" applyFont="1" applyFill="1" applyBorder="1" applyAlignment="1">
      <alignment horizontal="right" wrapText="1"/>
    </xf>
    <xf numFmtId="0" fontId="252" fillId="0" borderId="24" xfId="2" applyFont="1" applyBorder="1" applyAlignment="1">
      <alignment horizontal="center" readingOrder="1"/>
    </xf>
    <xf numFmtId="164" fontId="253" fillId="2" borderId="1" xfId="0" applyNumberFormat="1" applyFont="1" applyFill="1" applyBorder="1" applyAlignment="1">
      <alignment horizontal="right" wrapText="1"/>
    </xf>
    <xf numFmtId="164" fontId="251" fillId="4" borderId="2" xfId="0" applyNumberFormat="1" applyFont="1" applyFill="1" applyBorder="1" applyAlignment="1">
      <alignment horizontal="right" wrapText="1"/>
    </xf>
    <xf numFmtId="0" fontId="252" fillId="4" borderId="24" xfId="2" applyFont="1" applyFill="1" applyBorder="1" applyAlignment="1">
      <alignment horizontal="center" readingOrder="1"/>
    </xf>
    <xf numFmtId="164" fontId="253" fillId="4" borderId="1" xfId="0" applyNumberFormat="1" applyFont="1" applyFill="1" applyBorder="1" applyAlignment="1">
      <alignment horizontal="right" wrapText="1"/>
    </xf>
    <xf numFmtId="0" fontId="255" fillId="4" borderId="2" xfId="2" applyFont="1" applyFill="1" applyBorder="1" applyAlignment="1">
      <alignment readingOrder="1"/>
    </xf>
    <xf numFmtId="172" fontId="256" fillId="2" borderId="2" xfId="0" applyNumberFormat="1" applyFont="1" applyFill="1" applyBorder="1" applyAlignment="1">
      <alignment horizontal="right" wrapText="1"/>
    </xf>
    <xf numFmtId="172" fontId="253" fillId="13" borderId="2" xfId="0" applyNumberFormat="1" applyFont="1" applyFill="1" applyBorder="1" applyAlignment="1">
      <alignment horizontal="right" wrapText="1"/>
    </xf>
    <xf numFmtId="0" fontId="248" fillId="0" borderId="33" xfId="0" applyFont="1" applyBorder="1" applyAlignment="1">
      <alignment horizontal="center" wrapText="1"/>
    </xf>
    <xf numFmtId="0" fontId="248" fillId="0" borderId="27" xfId="0" applyFont="1" applyBorder="1" applyAlignment="1">
      <alignment horizontal="center" wrapText="1"/>
    </xf>
    <xf numFmtId="0" fontId="248" fillId="2" borderId="27" xfId="0" applyFont="1" applyFill="1" applyBorder="1" applyAlignment="1">
      <alignment horizontal="center" wrapText="1"/>
    </xf>
    <xf numFmtId="0" fontId="248" fillId="2" borderId="38" xfId="0" applyFont="1" applyFill="1" applyBorder="1" applyAlignment="1">
      <alignment horizontal="center" wrapText="1"/>
    </xf>
    <xf numFmtId="0" fontId="257" fillId="19" borderId="37" xfId="0" applyFont="1" applyFill="1" applyBorder="1" applyAlignment="1">
      <alignment horizontal="center" wrapText="1"/>
    </xf>
    <xf numFmtId="0" fontId="248" fillId="2" borderId="11" xfId="0" applyFont="1" applyFill="1" applyBorder="1" applyAlignment="1">
      <alignment horizontal="center" wrapText="1"/>
    </xf>
    <xf numFmtId="0" fontId="248" fillId="2" borderId="72" xfId="0" applyFont="1" applyFill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164" fontId="258" fillId="19" borderId="2" xfId="0" applyNumberFormat="1" applyFont="1" applyFill="1" applyBorder="1" applyAlignment="1">
      <alignment horizontal="right" wrapText="1"/>
    </xf>
    <xf numFmtId="164" fontId="258" fillId="38" borderId="2" xfId="0" applyNumberFormat="1" applyFont="1" applyFill="1" applyBorder="1" applyAlignment="1">
      <alignment horizontal="right" wrapText="1"/>
    </xf>
    <xf numFmtId="9" fontId="258" fillId="7" borderId="2" xfId="0" applyNumberFormat="1" applyFont="1" applyFill="1" applyBorder="1" applyAlignment="1">
      <alignment horizontal="right" wrapText="1"/>
    </xf>
    <xf numFmtId="164" fontId="258" fillId="13" borderId="2" xfId="0" applyNumberFormat="1" applyFont="1" applyFill="1" applyBorder="1" applyAlignment="1">
      <alignment horizontal="right" wrapText="1"/>
    </xf>
    <xf numFmtId="164" fontId="258" fillId="4" borderId="2" xfId="0" applyNumberFormat="1" applyFont="1" applyFill="1" applyBorder="1" applyAlignment="1">
      <alignment horizontal="right" wrapText="1"/>
    </xf>
    <xf numFmtId="38" fontId="259" fillId="0" borderId="0" xfId="0" applyNumberFormat="1" applyFont="1"/>
    <xf numFmtId="3" fontId="260" fillId="22" borderId="2" xfId="0" applyNumberFormat="1" applyFont="1" applyFill="1" applyBorder="1" applyAlignment="1">
      <alignment horizontal="right"/>
    </xf>
    <xf numFmtId="181" fontId="261" fillId="22" borderId="1" xfId="0" applyNumberFormat="1" applyFont="1" applyFill="1" applyBorder="1" applyAlignment="1">
      <alignment horizontal="left" vertical="top"/>
    </xf>
    <xf numFmtId="38" fontId="54" fillId="34" borderId="1" xfId="0" applyNumberFormat="1" applyFont="1" applyFill="1" applyBorder="1" applyAlignment="1">
      <alignment horizontal="center"/>
    </xf>
    <xf numFmtId="10" fontId="31" fillId="16" borderId="0" xfId="0" applyNumberFormat="1" applyFont="1" applyFill="1" applyAlignment="1">
      <alignment horizontal="center" vertical="center"/>
    </xf>
    <xf numFmtId="164" fontId="72" fillId="2" borderId="2" xfId="0" applyNumberFormat="1" applyFont="1" applyFill="1" applyBorder="1" applyAlignment="1">
      <alignment horizontal="right"/>
    </xf>
    <xf numFmtId="0" fontId="28" fillId="0" borderId="2" xfId="0" applyFont="1" applyBorder="1" applyAlignment="1">
      <alignment horizontal="right"/>
    </xf>
    <xf numFmtId="164" fontId="72" fillId="2" borderId="1" xfId="0" applyNumberFormat="1" applyFont="1" applyFill="1" applyBorder="1" applyAlignment="1">
      <alignment horizontal="right"/>
    </xf>
    <xf numFmtId="1" fontId="263" fillId="0" borderId="2" xfId="0" applyNumberFormat="1" applyFont="1" applyBorder="1" applyAlignment="1">
      <alignment horizontal="center"/>
    </xf>
    <xf numFmtId="1" fontId="264" fillId="0" borderId="2" xfId="0" applyNumberFormat="1" applyFont="1" applyBorder="1" applyAlignment="1">
      <alignment horizontal="center"/>
    </xf>
    <xf numFmtId="1" fontId="265" fillId="0" borderId="2" xfId="0" applyNumberFormat="1" applyFont="1" applyBorder="1" applyAlignment="1">
      <alignment horizontal="center"/>
    </xf>
    <xf numFmtId="166" fontId="43" fillId="19" borderId="2" xfId="0" applyNumberFormat="1" applyFont="1" applyFill="1" applyBorder="1" applyAlignment="1">
      <alignment horizontal="right"/>
    </xf>
    <xf numFmtId="166" fontId="151" fillId="7" borderId="2" xfId="0" applyNumberFormat="1" applyFont="1" applyFill="1" applyBorder="1" applyAlignment="1">
      <alignment horizontal="right"/>
    </xf>
    <xf numFmtId="166" fontId="267" fillId="19" borderId="2" xfId="0" applyNumberFormat="1" applyFont="1" applyFill="1" applyBorder="1" applyAlignment="1">
      <alignment horizontal="right"/>
    </xf>
    <xf numFmtId="166" fontId="42" fillId="19" borderId="2" xfId="0" applyNumberFormat="1" applyFont="1" applyFill="1" applyBorder="1" applyAlignment="1">
      <alignment horizontal="right"/>
    </xf>
    <xf numFmtId="169" fontId="262" fillId="0" borderId="2" xfId="0" applyNumberFormat="1" applyFont="1" applyBorder="1" applyAlignment="1">
      <alignment horizontal="right"/>
    </xf>
    <xf numFmtId="166" fontId="43" fillId="38" borderId="2" xfId="0" applyNumberFormat="1" applyFont="1" applyFill="1" applyBorder="1" applyAlignment="1">
      <alignment horizontal="right"/>
    </xf>
    <xf numFmtId="166" fontId="267" fillId="38" borderId="2" xfId="0" applyNumberFormat="1" applyFont="1" applyFill="1" applyBorder="1" applyAlignment="1">
      <alignment horizontal="right"/>
    </xf>
    <xf numFmtId="166" fontId="42" fillId="38" borderId="2" xfId="0" applyNumberFormat="1" applyFont="1" applyFill="1" applyBorder="1" applyAlignment="1">
      <alignment horizontal="right"/>
    </xf>
    <xf numFmtId="0" fontId="266" fillId="0" borderId="2" xfId="0" applyFont="1" applyBorder="1" applyAlignment="1">
      <alignment horizontal="center"/>
    </xf>
    <xf numFmtId="3" fontId="268" fillId="2" borderId="2" xfId="0" applyNumberFormat="1" applyFont="1" applyFill="1" applyBorder="1" applyAlignment="1">
      <alignment horizontal="right" vertical="center"/>
    </xf>
    <xf numFmtId="0" fontId="125" fillId="0" borderId="2" xfId="0" applyFont="1" applyBorder="1" applyAlignment="1">
      <alignment horizontal="center"/>
    </xf>
    <xf numFmtId="181" fontId="28" fillId="2" borderId="2" xfId="0" applyNumberFormat="1" applyFont="1" applyFill="1" applyBorder="1" applyAlignment="1">
      <alignment horizontal="left"/>
    </xf>
    <xf numFmtId="181" fontId="24" fillId="22" borderId="48" xfId="0" applyNumberFormat="1" applyFont="1" applyFill="1" applyBorder="1" applyAlignment="1">
      <alignment horizontal="right" vertical="top"/>
    </xf>
    <xf numFmtId="0" fontId="210" fillId="2" borderId="2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265" fillId="0" borderId="2" xfId="0" applyFont="1" applyBorder="1" applyAlignment="1">
      <alignment horizontal="center"/>
    </xf>
    <xf numFmtId="3" fontId="24" fillId="2" borderId="4" xfId="0" applyNumberFormat="1" applyFont="1" applyFill="1" applyBorder="1" applyAlignment="1">
      <alignment horizontal="center"/>
    </xf>
    <xf numFmtId="0" fontId="162" fillId="17" borderId="13" xfId="0" applyFont="1" applyFill="1" applyBorder="1" applyAlignment="1">
      <alignment horizontal="center"/>
    </xf>
    <xf numFmtId="0" fontId="17" fillId="28" borderId="12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right" wrapText="1"/>
    </xf>
    <xf numFmtId="3" fontId="72" fillId="2" borderId="1" xfId="0" applyNumberFormat="1" applyFont="1" applyFill="1" applyBorder="1" applyAlignment="1">
      <alignment horizontal="right" vertical="center"/>
    </xf>
    <xf numFmtId="166" fontId="269" fillId="19" borderId="2" xfId="0" applyNumberFormat="1" applyFont="1" applyFill="1" applyBorder="1" applyAlignment="1">
      <alignment horizontal="right"/>
    </xf>
    <xf numFmtId="0" fontId="32" fillId="2" borderId="2" xfId="0" applyFont="1" applyFill="1" applyBorder="1" applyAlignment="1">
      <alignment horizontal="center"/>
    </xf>
    <xf numFmtId="164" fontId="187" fillId="48" borderId="20" xfId="0" applyNumberFormat="1" applyFont="1" applyFill="1" applyBorder="1" applyAlignment="1">
      <alignment horizontal="right" wrapText="1"/>
    </xf>
    <xf numFmtId="164" fontId="187" fillId="36" borderId="20" xfId="0" applyNumberFormat="1" applyFont="1" applyFill="1" applyBorder="1" applyAlignment="1">
      <alignment horizontal="right" wrapText="1"/>
    </xf>
    <xf numFmtId="166" fontId="187" fillId="6" borderId="4" xfId="0" applyNumberFormat="1" applyFont="1" applyFill="1" applyBorder="1" applyAlignment="1">
      <alignment horizontal="right" wrapText="1"/>
    </xf>
    <xf numFmtId="164" fontId="187" fillId="50" borderId="20" xfId="0" applyNumberFormat="1" applyFont="1" applyFill="1" applyBorder="1" applyAlignment="1">
      <alignment horizontal="right" wrapText="1"/>
    </xf>
    <xf numFmtId="164" fontId="187" fillId="51" borderId="20" xfId="0" applyNumberFormat="1" applyFont="1" applyFill="1" applyBorder="1" applyAlignment="1">
      <alignment horizontal="right" wrapText="1"/>
    </xf>
    <xf numFmtId="0" fontId="270" fillId="0" borderId="2" xfId="2" applyFont="1" applyBorder="1" applyAlignment="1">
      <alignment readingOrder="1"/>
    </xf>
    <xf numFmtId="3" fontId="271" fillId="28" borderId="15" xfId="0" applyNumberFormat="1" applyFont="1" applyFill="1" applyBorder="1" applyAlignment="1">
      <alignment wrapText="1"/>
    </xf>
    <xf numFmtId="3" fontId="72" fillId="28" borderId="15" xfId="0" applyNumberFormat="1" applyFont="1" applyFill="1" applyBorder="1" applyAlignment="1">
      <alignment wrapText="1"/>
    </xf>
    <xf numFmtId="3" fontId="28" fillId="2" borderId="49" xfId="0" applyNumberFormat="1" applyFont="1" applyFill="1" applyBorder="1" applyAlignment="1">
      <alignment horizontal="center" vertical="center"/>
    </xf>
    <xf numFmtId="181" fontId="28" fillId="2" borderId="68" xfId="0" applyNumberFormat="1" applyFont="1" applyFill="1" applyBorder="1" applyAlignment="1">
      <alignment horizontal="left"/>
    </xf>
    <xf numFmtId="1" fontId="125" fillId="0" borderId="2" xfId="0" applyNumberFormat="1" applyFont="1" applyBorder="1" applyAlignment="1">
      <alignment horizontal="center"/>
    </xf>
    <xf numFmtId="3" fontId="28" fillId="2" borderId="40" xfId="0" applyNumberFormat="1" applyFont="1" applyFill="1" applyBorder="1" applyAlignment="1">
      <alignment horizontal="center" vertical="center"/>
    </xf>
    <xf numFmtId="181" fontId="28" fillId="2" borderId="69" xfId="0" applyNumberFormat="1" applyFont="1" applyFill="1" applyBorder="1" applyAlignment="1">
      <alignment horizontal="left"/>
    </xf>
    <xf numFmtId="3" fontId="57" fillId="7" borderId="40" xfId="0" applyNumberFormat="1" applyFont="1" applyFill="1" applyBorder="1" applyAlignment="1">
      <alignment horizontal="center" vertical="center"/>
    </xf>
    <xf numFmtId="166" fontId="57" fillId="7" borderId="46" xfId="0" applyNumberFormat="1" applyFont="1" applyFill="1" applyBorder="1" applyAlignment="1">
      <alignment horizontal="center" vertical="center"/>
    </xf>
    <xf numFmtId="2" fontId="28" fillId="16" borderId="2" xfId="0" applyNumberFormat="1" applyFont="1" applyFill="1" applyBorder="1" applyAlignment="1">
      <alignment horizontal="center" vertical="center" wrapText="1"/>
    </xf>
    <xf numFmtId="164" fontId="156" fillId="42" borderId="4" xfId="0" applyNumberFormat="1" applyFont="1" applyFill="1" applyBorder="1" applyAlignment="1">
      <alignment horizontal="right" wrapText="1"/>
    </xf>
    <xf numFmtId="0" fontId="30" fillId="0" borderId="2" xfId="0" applyFont="1" applyBorder="1" applyAlignment="1">
      <alignment horizontal="center" vertical="top" wrapText="1"/>
    </xf>
    <xf numFmtId="0" fontId="35" fillId="0" borderId="2" xfId="0" applyFont="1" applyBorder="1" applyAlignment="1">
      <alignment horizontal="center" vertical="top" wrapText="1"/>
    </xf>
    <xf numFmtId="0" fontId="65" fillId="0" borderId="2" xfId="0" applyFont="1" applyBorder="1" applyAlignment="1">
      <alignment horizontal="center" vertical="top" wrapText="1"/>
    </xf>
    <xf numFmtId="0" fontId="36" fillId="0" borderId="2" xfId="0" applyFont="1" applyBorder="1" applyAlignment="1">
      <alignment horizontal="center" vertical="top" wrapText="1"/>
    </xf>
    <xf numFmtId="0" fontId="75" fillId="0" borderId="2" xfId="0" applyFont="1" applyBorder="1" applyAlignment="1">
      <alignment horizontal="center" vertical="top" wrapText="1"/>
    </xf>
    <xf numFmtId="0" fontId="75" fillId="0" borderId="0" xfId="0" applyFont="1" applyAlignment="1">
      <alignment vertical="top"/>
    </xf>
    <xf numFmtId="0" fontId="32" fillId="60" borderId="3" xfId="0" applyFont="1" applyFill="1" applyBorder="1" applyAlignment="1">
      <alignment horizontal="center" wrapText="1"/>
    </xf>
    <xf numFmtId="0" fontId="75" fillId="9" borderId="0" xfId="0" applyFont="1" applyFill="1"/>
    <xf numFmtId="164" fontId="64" fillId="2" borderId="2" xfId="0" applyNumberFormat="1" applyFont="1" applyFill="1" applyBorder="1" applyAlignment="1">
      <alignment horizontal="right" wrapText="1"/>
    </xf>
    <xf numFmtId="0" fontId="272" fillId="0" borderId="2" xfId="2" applyFont="1" applyBorder="1" applyAlignment="1">
      <alignment horizontal="right" readingOrder="1"/>
    </xf>
    <xf numFmtId="0" fontId="172" fillId="0" borderId="2" xfId="2" applyFont="1" applyBorder="1" applyAlignment="1">
      <alignment horizontal="right" readingOrder="1"/>
    </xf>
    <xf numFmtId="9" fontId="273" fillId="0" borderId="2" xfId="2" applyNumberFormat="1" applyFont="1" applyBorder="1" applyAlignment="1">
      <alignment horizontal="right" readingOrder="1"/>
    </xf>
    <xf numFmtId="9" fontId="274" fillId="0" borderId="2" xfId="2" applyNumberFormat="1" applyFont="1" applyBorder="1" applyAlignment="1">
      <alignment horizontal="right" readingOrder="1"/>
    </xf>
    <xf numFmtId="9" fontId="55" fillId="0" borderId="1" xfId="0" applyNumberFormat="1" applyFont="1" applyBorder="1" applyAlignment="1">
      <alignment horizontal="center"/>
    </xf>
    <xf numFmtId="1" fontId="32" fillId="0" borderId="1" xfId="0" applyNumberFormat="1" applyFont="1" applyBorder="1" applyAlignment="1">
      <alignment horizontal="center"/>
    </xf>
    <xf numFmtId="9" fontId="23" fillId="13" borderId="2" xfId="0" applyNumberFormat="1" applyFont="1" applyFill="1" applyBorder="1" applyAlignment="1">
      <alignment horizontal="right" wrapText="1"/>
    </xf>
    <xf numFmtId="0" fontId="272" fillId="0" borderId="24" xfId="2" applyFont="1" applyBorder="1" applyAlignment="1">
      <alignment horizontal="right" readingOrder="1"/>
    </xf>
    <xf numFmtId="0" fontId="172" fillId="0" borderId="24" xfId="2" applyFont="1" applyBorder="1" applyAlignment="1">
      <alignment horizontal="right" readingOrder="1"/>
    </xf>
    <xf numFmtId="9" fontId="274" fillId="0" borderId="24" xfId="2" applyNumberFormat="1" applyFont="1" applyBorder="1" applyAlignment="1">
      <alignment horizontal="right" readingOrder="1"/>
    </xf>
    <xf numFmtId="172" fontId="49" fillId="4" borderId="2" xfId="0" applyNumberFormat="1" applyFont="1" applyFill="1" applyBorder="1" applyAlignment="1">
      <alignment horizontal="right" wrapText="1"/>
    </xf>
    <xf numFmtId="164" fontId="64" fillId="4" borderId="2" xfId="0" applyNumberFormat="1" applyFont="1" applyFill="1" applyBorder="1" applyAlignment="1">
      <alignment horizontal="right" wrapText="1"/>
    </xf>
    <xf numFmtId="164" fontId="104" fillId="4" borderId="2" xfId="0" applyNumberFormat="1" applyFont="1" applyFill="1" applyBorder="1" applyAlignment="1">
      <alignment horizontal="right" wrapText="1"/>
    </xf>
    <xf numFmtId="164" fontId="21" fillId="4" borderId="2" xfId="0" applyNumberFormat="1" applyFont="1" applyFill="1" applyBorder="1" applyAlignment="1">
      <alignment horizontal="right" wrapText="1"/>
    </xf>
    <xf numFmtId="0" fontId="59" fillId="0" borderId="0" xfId="0" applyFont="1"/>
    <xf numFmtId="9" fontId="275" fillId="7" borderId="2" xfId="2" applyNumberFormat="1" applyFont="1" applyFill="1" applyBorder="1" applyAlignment="1">
      <alignment horizontal="right" readingOrder="1"/>
    </xf>
    <xf numFmtId="38" fontId="258" fillId="4" borderId="2" xfId="0" applyNumberFormat="1" applyFont="1" applyFill="1" applyBorder="1" applyAlignment="1">
      <alignment horizontal="right" wrapText="1"/>
    </xf>
    <xf numFmtId="164" fontId="248" fillId="27" borderId="2" xfId="0" applyNumberFormat="1" applyFont="1" applyFill="1" applyBorder="1" applyAlignment="1">
      <alignment horizontal="right" wrapText="1"/>
    </xf>
    <xf numFmtId="164" fontId="248" fillId="24" borderId="2" xfId="0" applyNumberFormat="1" applyFont="1" applyFill="1" applyBorder="1" applyAlignment="1">
      <alignment horizontal="right" wrapText="1"/>
    </xf>
    <xf numFmtId="164" fontId="248" fillId="38" borderId="2" xfId="0" applyNumberFormat="1" applyFont="1" applyFill="1" applyBorder="1" applyAlignment="1">
      <alignment horizontal="right" wrapText="1"/>
    </xf>
    <xf numFmtId="164" fontId="248" fillId="43" borderId="2" xfId="0" applyNumberFormat="1" applyFont="1" applyFill="1" applyBorder="1" applyAlignment="1">
      <alignment horizontal="right" wrapText="1"/>
    </xf>
    <xf numFmtId="164" fontId="248" fillId="13" borderId="2" xfId="0" applyNumberFormat="1" applyFont="1" applyFill="1" applyBorder="1" applyAlignment="1">
      <alignment horizontal="right" wrapText="1"/>
    </xf>
    <xf numFmtId="38" fontId="276" fillId="38" borderId="2" xfId="0" applyNumberFormat="1" applyFont="1" applyFill="1" applyBorder="1" applyAlignment="1">
      <alignment horizontal="center" wrapText="1"/>
    </xf>
    <xf numFmtId="9" fontId="23" fillId="13" borderId="3" xfId="0" applyNumberFormat="1" applyFont="1" applyFill="1" applyBorder="1" applyAlignment="1">
      <alignment horizontal="right" wrapText="1"/>
    </xf>
    <xf numFmtId="0" fontId="32" fillId="0" borderId="73" xfId="0" applyFont="1" applyBorder="1" applyAlignment="1">
      <alignment horizontal="center" wrapText="1"/>
    </xf>
    <xf numFmtId="0" fontId="75" fillId="3" borderId="2" xfId="0" applyFont="1" applyFill="1" applyBorder="1" applyAlignment="1">
      <alignment horizontal="center" wrapText="1"/>
    </xf>
    <xf numFmtId="0" fontId="242" fillId="0" borderId="1" xfId="2" applyFont="1" applyBorder="1" applyAlignment="1">
      <alignment horizontal="center" readingOrder="1"/>
    </xf>
    <xf numFmtId="164" fontId="64" fillId="2" borderId="1" xfId="0" applyNumberFormat="1" applyFont="1" applyFill="1" applyBorder="1" applyAlignment="1">
      <alignment horizontal="right" wrapText="1"/>
    </xf>
    <xf numFmtId="0" fontId="75" fillId="3" borderId="4" xfId="0" applyFont="1" applyFill="1" applyBorder="1" applyAlignment="1">
      <alignment horizontal="center" wrapText="1"/>
    </xf>
    <xf numFmtId="0" fontId="40" fillId="3" borderId="2" xfId="0" applyFont="1" applyFill="1" applyBorder="1" applyAlignment="1">
      <alignment horizontal="center" wrapText="1"/>
    </xf>
    <xf numFmtId="0" fontId="277" fillId="3" borderId="2" xfId="0" applyFont="1" applyFill="1" applyBorder="1" applyAlignment="1">
      <alignment horizontal="center" wrapText="1"/>
    </xf>
    <xf numFmtId="0" fontId="151" fillId="3" borderId="2" xfId="0" applyFont="1" applyFill="1" applyBorder="1" applyAlignment="1">
      <alignment horizontal="center" wrapText="1"/>
    </xf>
    <xf numFmtId="9" fontId="278" fillId="2" borderId="2" xfId="2" applyNumberFormat="1" applyFont="1" applyFill="1" applyBorder="1" applyAlignment="1">
      <alignment horizontal="center" readingOrder="1"/>
    </xf>
    <xf numFmtId="176" fontId="279" fillId="2" borderId="2" xfId="0" applyNumberFormat="1" applyFont="1" applyFill="1" applyBorder="1" applyAlignment="1">
      <alignment horizontal="center" wrapText="1"/>
    </xf>
    <xf numFmtId="164" fontId="253" fillId="13" borderId="2" xfId="0" applyNumberFormat="1" applyFont="1" applyFill="1" applyBorder="1" applyAlignment="1">
      <alignment horizontal="right" wrapText="1"/>
    </xf>
    <xf numFmtId="181" fontId="24" fillId="22" borderId="19" xfId="0" applyNumberFormat="1" applyFont="1" applyFill="1" applyBorder="1" applyAlignment="1">
      <alignment horizontal="left"/>
    </xf>
    <xf numFmtId="38" fontId="105" fillId="29" borderId="0" xfId="0" applyNumberFormat="1" applyFont="1" applyFill="1" applyAlignment="1">
      <alignment horizontal="right"/>
    </xf>
    <xf numFmtId="38" fontId="92" fillId="29" borderId="0" xfId="0" applyNumberFormat="1" applyFont="1" applyFill="1" applyAlignment="1">
      <alignment horizontal="right"/>
    </xf>
    <xf numFmtId="1" fontId="32" fillId="0" borderId="0" xfId="0" applyNumberFormat="1" applyFont="1" applyAlignment="1">
      <alignment horizontal="center"/>
    </xf>
    <xf numFmtId="0" fontId="75" fillId="7" borderId="4" xfId="0" applyFont="1" applyFill="1" applyBorder="1" applyAlignment="1">
      <alignment horizontal="center" wrapText="1"/>
    </xf>
    <xf numFmtId="0" fontId="40" fillId="7" borderId="2" xfId="0" applyFont="1" applyFill="1" applyBorder="1" applyAlignment="1">
      <alignment horizontal="center" wrapText="1"/>
    </xf>
    <xf numFmtId="0" fontId="75" fillId="7" borderId="2" xfId="0" applyFont="1" applyFill="1" applyBorder="1" applyAlignment="1">
      <alignment horizontal="center" wrapText="1"/>
    </xf>
    <xf numFmtId="0" fontId="277" fillId="7" borderId="2" xfId="0" applyFont="1" applyFill="1" applyBorder="1" applyAlignment="1">
      <alignment horizontal="center" wrapText="1"/>
    </xf>
    <xf numFmtId="0" fontId="151" fillId="7" borderId="2" xfId="0" applyFont="1" applyFill="1" applyBorder="1" applyAlignment="1">
      <alignment horizontal="center" wrapText="1"/>
    </xf>
    <xf numFmtId="0" fontId="75" fillId="7" borderId="1" xfId="0" applyFont="1" applyFill="1" applyBorder="1" applyAlignment="1">
      <alignment horizontal="center" wrapText="1"/>
    </xf>
    <xf numFmtId="0" fontId="59" fillId="8" borderId="11" xfId="0" applyFont="1" applyFill="1" applyBorder="1" applyAlignment="1">
      <alignment horizontal="center" wrapText="1"/>
    </xf>
    <xf numFmtId="0" fontId="32" fillId="8" borderId="11" xfId="0" applyFont="1" applyFill="1" applyBorder="1" applyAlignment="1">
      <alignment horizontal="center" wrapText="1"/>
    </xf>
    <xf numFmtId="0" fontId="32" fillId="8" borderId="13" xfId="0" applyFont="1" applyFill="1" applyBorder="1" applyAlignment="1">
      <alignment horizontal="center" wrapText="1"/>
    </xf>
    <xf numFmtId="0" fontId="59" fillId="8" borderId="0" xfId="0" applyFont="1" applyFill="1" applyAlignment="1">
      <alignment horizontal="center" wrapText="1"/>
    </xf>
    <xf numFmtId="0" fontId="32" fillId="8" borderId="0" xfId="0" applyFont="1" applyFill="1" applyAlignment="1">
      <alignment horizontal="center" wrapText="1"/>
    </xf>
    <xf numFmtId="9" fontId="36" fillId="7" borderId="2" xfId="0" applyNumberFormat="1" applyFont="1" applyFill="1" applyBorder="1" applyAlignment="1">
      <alignment horizontal="center"/>
    </xf>
    <xf numFmtId="0" fontId="280" fillId="2" borderId="2" xfId="0" applyFont="1" applyFill="1" applyBorder="1" applyAlignment="1">
      <alignment horizontal="center" vertical="center" wrapText="1"/>
    </xf>
    <xf numFmtId="3" fontId="21" fillId="2" borderId="15" xfId="0" applyNumberFormat="1" applyFont="1" applyFill="1" applyBorder="1" applyAlignment="1">
      <alignment wrapText="1"/>
    </xf>
    <xf numFmtId="3" fontId="14" fillId="38" borderId="29" xfId="0" applyNumberFormat="1" applyFont="1" applyFill="1" applyBorder="1" applyAlignment="1">
      <alignment wrapText="1"/>
    </xf>
    <xf numFmtId="3" fontId="14" fillId="8" borderId="16" xfId="0" applyNumberFormat="1" applyFont="1" applyFill="1" applyBorder="1" applyAlignment="1">
      <alignment wrapText="1"/>
    </xf>
    <xf numFmtId="3" fontId="21" fillId="8" borderId="15" xfId="0" applyNumberFormat="1" applyFont="1" applyFill="1" applyBorder="1" applyAlignment="1">
      <alignment wrapText="1"/>
    </xf>
    <xf numFmtId="3" fontId="21" fillId="2" borderId="16" xfId="0" applyNumberFormat="1" applyFont="1" applyFill="1" applyBorder="1" applyAlignment="1">
      <alignment wrapText="1"/>
    </xf>
    <xf numFmtId="3" fontId="21" fillId="38" borderId="29" xfId="0" applyNumberFormat="1" applyFont="1" applyFill="1" applyBorder="1" applyAlignment="1">
      <alignment wrapText="1"/>
    </xf>
    <xf numFmtId="3" fontId="14" fillId="8" borderId="15" xfId="0" applyNumberFormat="1" applyFont="1" applyFill="1" applyBorder="1" applyAlignment="1">
      <alignment wrapText="1"/>
    </xf>
    <xf numFmtId="3" fontId="21" fillId="8" borderId="16" xfId="0" applyNumberFormat="1" applyFont="1" applyFill="1" applyBorder="1" applyAlignment="1">
      <alignment wrapText="1"/>
    </xf>
    <xf numFmtId="9" fontId="54" fillId="11" borderId="2" xfId="0" applyNumberFormat="1" applyFont="1" applyFill="1" applyBorder="1" applyAlignment="1">
      <alignment horizontal="center"/>
    </xf>
    <xf numFmtId="9" fontId="36" fillId="11" borderId="2" xfId="0" applyNumberFormat="1" applyFont="1" applyFill="1" applyBorder="1" applyAlignment="1">
      <alignment horizontal="center"/>
    </xf>
    <xf numFmtId="9" fontId="36" fillId="2" borderId="2" xfId="0" applyNumberFormat="1" applyFont="1" applyFill="1" applyBorder="1" applyAlignment="1">
      <alignment horizontal="center"/>
    </xf>
    <xf numFmtId="9" fontId="54" fillId="2" borderId="2" xfId="0" applyNumberFormat="1" applyFont="1" applyFill="1" applyBorder="1" applyAlignment="1">
      <alignment horizontal="center"/>
    </xf>
    <xf numFmtId="164" fontId="248" fillId="17" borderId="1" xfId="0" applyNumberFormat="1" applyFont="1" applyFill="1" applyBorder="1" applyAlignment="1">
      <alignment horizontal="center" vertical="center"/>
    </xf>
    <xf numFmtId="0" fontId="281" fillId="0" borderId="0" xfId="0" applyFont="1" applyAlignment="1">
      <alignment horizontal="center" vertical="center"/>
    </xf>
    <xf numFmtId="164" fontId="248" fillId="17" borderId="1" xfId="0" applyNumberFormat="1" applyFont="1" applyFill="1" applyBorder="1" applyAlignment="1">
      <alignment horizontal="center"/>
    </xf>
    <xf numFmtId="0" fontId="281" fillId="0" borderId="0" xfId="0" applyFont="1"/>
    <xf numFmtId="164" fontId="248" fillId="34" borderId="1" xfId="0" applyNumberFormat="1" applyFont="1" applyFill="1" applyBorder="1" applyAlignment="1">
      <alignment horizontal="center"/>
    </xf>
    <xf numFmtId="0" fontId="281" fillId="0" borderId="0" xfId="0" applyFont="1" applyAlignment="1">
      <alignment horizontal="right"/>
    </xf>
    <xf numFmtId="0" fontId="252" fillId="17" borderId="2" xfId="2" applyFont="1" applyFill="1" applyBorder="1" applyAlignment="1">
      <alignment horizontal="center" vertical="center" readingOrder="1"/>
    </xf>
    <xf numFmtId="164" fontId="248" fillId="17" borderId="2" xfId="0" applyNumberFormat="1" applyFont="1" applyFill="1" applyBorder="1" applyAlignment="1">
      <alignment horizontal="center" vertical="center" wrapText="1"/>
    </xf>
    <xf numFmtId="164" fontId="248" fillId="2" borderId="1" xfId="0" applyNumberFormat="1" applyFont="1" applyFill="1" applyBorder="1" applyAlignment="1">
      <alignment horizontal="center" vertical="center"/>
    </xf>
    <xf numFmtId="164" fontId="248" fillId="27" borderId="1" xfId="0" applyNumberFormat="1" applyFont="1" applyFill="1" applyBorder="1" applyAlignment="1">
      <alignment horizontal="center" vertical="center"/>
    </xf>
    <xf numFmtId="164" fontId="248" fillId="19" borderId="1" xfId="0" applyNumberFormat="1" applyFont="1" applyFill="1" applyBorder="1" applyAlignment="1">
      <alignment horizontal="center" vertical="center"/>
    </xf>
    <xf numFmtId="3" fontId="248" fillId="2" borderId="1" xfId="0" applyNumberFormat="1" applyFont="1" applyFill="1" applyBorder="1" applyAlignment="1">
      <alignment horizontal="center" vertical="center"/>
    </xf>
    <xf numFmtId="40" fontId="248" fillId="2" borderId="1" xfId="0" applyNumberFormat="1" applyFont="1" applyFill="1" applyBorder="1" applyAlignment="1">
      <alignment horizontal="center" vertical="center"/>
    </xf>
    <xf numFmtId="38" fontId="248" fillId="2" borderId="1" xfId="0" applyNumberFormat="1" applyFont="1" applyFill="1" applyBorder="1" applyAlignment="1">
      <alignment horizontal="center" vertical="center"/>
    </xf>
    <xf numFmtId="3" fontId="248" fillId="8" borderId="1" xfId="0" applyNumberFormat="1" applyFont="1" applyFill="1" applyBorder="1" applyAlignment="1">
      <alignment horizontal="center" vertical="center"/>
    </xf>
    <xf numFmtId="38" fontId="248" fillId="12" borderId="1" xfId="0" applyNumberFormat="1" applyFont="1" applyFill="1" applyBorder="1" applyAlignment="1">
      <alignment horizontal="center" vertical="center"/>
    </xf>
    <xf numFmtId="38" fontId="248" fillId="28" borderId="1" xfId="0" applyNumberFormat="1" applyFont="1" applyFill="1" applyBorder="1" applyAlignment="1">
      <alignment horizontal="center" vertical="center"/>
    </xf>
    <xf numFmtId="164" fontId="248" fillId="18" borderId="1" xfId="0" applyNumberFormat="1" applyFont="1" applyFill="1" applyBorder="1" applyAlignment="1">
      <alignment horizontal="center" vertical="center"/>
    </xf>
    <xf numFmtId="38" fontId="248" fillId="7" borderId="1" xfId="1" applyNumberFormat="1" applyFont="1" applyFill="1" applyBorder="1" applyAlignment="1">
      <alignment horizontal="center" vertical="center"/>
    </xf>
    <xf numFmtId="38" fontId="248" fillId="2" borderId="1" xfId="1" applyNumberFormat="1" applyFont="1" applyFill="1" applyBorder="1" applyAlignment="1">
      <alignment horizontal="center" vertical="center"/>
    </xf>
    <xf numFmtId="3" fontId="248" fillId="17" borderId="2" xfId="0" applyNumberFormat="1" applyFont="1" applyFill="1" applyBorder="1" applyAlignment="1">
      <alignment horizontal="center" vertical="center"/>
    </xf>
    <xf numFmtId="0" fontId="252" fillId="17" borderId="2" xfId="2" applyFont="1" applyFill="1" applyBorder="1" applyAlignment="1">
      <alignment readingOrder="1"/>
    </xf>
    <xf numFmtId="164" fontId="248" fillId="17" borderId="2" xfId="0" applyNumberFormat="1" applyFont="1" applyFill="1" applyBorder="1" applyAlignment="1">
      <alignment horizontal="right" vertical="center" wrapText="1"/>
    </xf>
    <xf numFmtId="164" fontId="248" fillId="2" borderId="1" xfId="0" applyNumberFormat="1" applyFont="1" applyFill="1" applyBorder="1" applyAlignment="1">
      <alignment horizontal="center"/>
    </xf>
    <xf numFmtId="164" fontId="248" fillId="27" borderId="1" xfId="0" applyNumberFormat="1" applyFont="1" applyFill="1" applyBorder="1" applyAlignment="1">
      <alignment horizontal="center"/>
    </xf>
    <xf numFmtId="164" fontId="248" fillId="19" borderId="1" xfId="0" applyNumberFormat="1" applyFont="1" applyFill="1" applyBorder="1" applyAlignment="1">
      <alignment horizontal="center"/>
    </xf>
    <xf numFmtId="3" fontId="248" fillId="2" borderId="1" xfId="0" applyNumberFormat="1" applyFont="1" applyFill="1" applyBorder="1" applyAlignment="1">
      <alignment horizontal="right"/>
    </xf>
    <xf numFmtId="40" fontId="248" fillId="2" borderId="1" xfId="0" applyNumberFormat="1" applyFont="1" applyFill="1" applyBorder="1" applyAlignment="1">
      <alignment horizontal="right"/>
    </xf>
    <xf numFmtId="38" fontId="248" fillId="2" borderId="1" xfId="0" applyNumberFormat="1" applyFont="1" applyFill="1" applyBorder="1" applyAlignment="1">
      <alignment horizontal="right"/>
    </xf>
    <xf numFmtId="3" fontId="248" fillId="8" borderId="1" xfId="0" applyNumberFormat="1" applyFont="1" applyFill="1" applyBorder="1" applyAlignment="1">
      <alignment horizontal="right"/>
    </xf>
    <xf numFmtId="38" fontId="248" fillId="12" borderId="1" xfId="0" applyNumberFormat="1" applyFont="1" applyFill="1" applyBorder="1" applyAlignment="1">
      <alignment horizontal="right"/>
    </xf>
    <xf numFmtId="38" fontId="248" fillId="28" borderId="1" xfId="0" applyNumberFormat="1" applyFont="1" applyFill="1" applyBorder="1" applyAlignment="1">
      <alignment horizontal="right"/>
    </xf>
    <xf numFmtId="164" fontId="248" fillId="18" borderId="1" xfId="0" applyNumberFormat="1" applyFont="1" applyFill="1" applyBorder="1" applyAlignment="1">
      <alignment horizontal="right"/>
    </xf>
    <xf numFmtId="164" fontId="248" fillId="2" borderId="1" xfId="0" applyNumberFormat="1" applyFont="1" applyFill="1" applyBorder="1" applyAlignment="1">
      <alignment horizontal="right"/>
    </xf>
    <xf numFmtId="38" fontId="248" fillId="7" borderId="1" xfId="1" applyNumberFormat="1" applyFont="1" applyFill="1" applyBorder="1" applyAlignment="1">
      <alignment horizontal="right"/>
    </xf>
    <xf numFmtId="38" fontId="248" fillId="2" borderId="1" xfId="1" applyNumberFormat="1" applyFont="1" applyFill="1" applyBorder="1" applyAlignment="1">
      <alignment horizontal="right"/>
    </xf>
    <xf numFmtId="3" fontId="248" fillId="17" borderId="2" xfId="0" applyNumberFormat="1" applyFont="1" applyFill="1" applyBorder="1" applyAlignment="1">
      <alignment horizontal="right"/>
    </xf>
    <xf numFmtId="0" fontId="252" fillId="34" borderId="2" xfId="2" applyFont="1" applyFill="1" applyBorder="1" applyAlignment="1">
      <alignment readingOrder="1"/>
    </xf>
    <xf numFmtId="164" fontId="248" fillId="34" borderId="2" xfId="0" applyNumberFormat="1" applyFont="1" applyFill="1" applyBorder="1" applyAlignment="1">
      <alignment horizontal="right" wrapText="1"/>
    </xf>
    <xf numFmtId="3" fontId="248" fillId="34" borderId="1" xfId="0" applyNumberFormat="1" applyFont="1" applyFill="1" applyBorder="1" applyAlignment="1">
      <alignment horizontal="right"/>
    </xf>
    <xf numFmtId="40" fontId="248" fillId="34" borderId="1" xfId="0" applyNumberFormat="1" applyFont="1" applyFill="1" applyBorder="1" applyAlignment="1">
      <alignment horizontal="right"/>
    </xf>
    <xf numFmtId="38" fontId="248" fillId="34" borderId="1" xfId="0" applyNumberFormat="1" applyFont="1" applyFill="1" applyBorder="1" applyAlignment="1">
      <alignment horizontal="right"/>
    </xf>
    <xf numFmtId="164" fontId="248" fillId="34" borderId="1" xfId="0" applyNumberFormat="1" applyFont="1" applyFill="1" applyBorder="1" applyAlignment="1">
      <alignment horizontal="right"/>
    </xf>
    <xf numFmtId="38" fontId="248" fillId="34" borderId="1" xfId="1" applyNumberFormat="1" applyFont="1" applyFill="1" applyBorder="1" applyAlignment="1">
      <alignment horizontal="right"/>
    </xf>
    <xf numFmtId="3" fontId="248" fillId="34" borderId="2" xfId="0" applyNumberFormat="1" applyFont="1" applyFill="1" applyBorder="1" applyAlignment="1">
      <alignment horizontal="right"/>
    </xf>
    <xf numFmtId="164" fontId="125" fillId="17" borderId="2" xfId="0" applyNumberFormat="1" applyFont="1" applyFill="1" applyBorder="1" applyAlignment="1">
      <alignment horizontal="center" vertical="center" wrapText="1"/>
    </xf>
    <xf numFmtId="164" fontId="86" fillId="17" borderId="2" xfId="0" applyNumberFormat="1" applyFont="1" applyFill="1" applyBorder="1" applyAlignment="1">
      <alignment horizontal="center" vertical="center" wrapText="1"/>
    </xf>
    <xf numFmtId="164" fontId="32" fillId="17" borderId="2" xfId="0" applyNumberFormat="1" applyFont="1" applyFill="1" applyBorder="1" applyAlignment="1">
      <alignment horizontal="center" vertical="center" wrapText="1"/>
    </xf>
    <xf numFmtId="0" fontId="151" fillId="0" borderId="2" xfId="0" applyFont="1" applyBorder="1" applyAlignment="1">
      <alignment wrapText="1"/>
    </xf>
    <xf numFmtId="0" fontId="75" fillId="0" borderId="2" xfId="0" applyFont="1" applyBorder="1" applyAlignment="1">
      <alignment wrapText="1"/>
    </xf>
    <xf numFmtId="166" fontId="119" fillId="16" borderId="2" xfId="0" applyNumberFormat="1" applyFont="1" applyFill="1" applyBorder="1" applyAlignment="1">
      <alignment horizontal="center" vertical="center"/>
    </xf>
    <xf numFmtId="0" fontId="1" fillId="0" borderId="0" xfId="5" applyFont="1" applyAlignment="1">
      <alignment wrapText="1"/>
    </xf>
    <xf numFmtId="0" fontId="1" fillId="0" borderId="0" xfId="5" applyFont="1"/>
    <xf numFmtId="3" fontId="57" fillId="7" borderId="24" xfId="0" applyNumberFormat="1" applyFont="1" applyFill="1" applyBorder="1" applyAlignment="1">
      <alignment horizontal="center" vertical="center"/>
    </xf>
    <xf numFmtId="166" fontId="57" fillId="7" borderId="25" xfId="0" applyNumberFormat="1" applyFont="1" applyFill="1" applyBorder="1" applyAlignment="1">
      <alignment horizontal="center" vertical="center"/>
    </xf>
    <xf numFmtId="166" fontId="70" fillId="7" borderId="2" xfId="0" applyNumberFormat="1" applyFont="1" applyFill="1" applyBorder="1" applyAlignment="1">
      <alignment horizontal="right"/>
    </xf>
    <xf numFmtId="166" fontId="282" fillId="38" borderId="2" xfId="0" applyNumberFormat="1" applyFont="1" applyFill="1" applyBorder="1" applyAlignment="1">
      <alignment horizontal="right"/>
    </xf>
    <xf numFmtId="166" fontId="282" fillId="19" borderId="2" xfId="0" applyNumberFormat="1" applyFont="1" applyFill="1" applyBorder="1" applyAlignment="1">
      <alignment horizontal="right"/>
    </xf>
    <xf numFmtId="166" fontId="283" fillId="19" borderId="2" xfId="0" applyNumberFormat="1" applyFont="1" applyFill="1" applyBorder="1" applyAlignment="1">
      <alignment horizontal="right"/>
    </xf>
    <xf numFmtId="166" fontId="195" fillId="19" borderId="2" xfId="0" applyNumberFormat="1" applyFont="1" applyFill="1" applyBorder="1" applyAlignment="1">
      <alignment horizontal="right"/>
    </xf>
    <xf numFmtId="169" fontId="284" fillId="0" borderId="2" xfId="0" applyNumberFormat="1" applyFont="1" applyBorder="1" applyAlignment="1">
      <alignment horizontal="right"/>
    </xf>
    <xf numFmtId="166" fontId="195" fillId="38" borderId="2" xfId="0" applyNumberFormat="1" applyFont="1" applyFill="1" applyBorder="1" applyAlignment="1">
      <alignment horizontal="right"/>
    </xf>
    <xf numFmtId="181" fontId="28" fillId="2" borderId="20" xfId="0" applyNumberFormat="1" applyFont="1" applyFill="1" applyBorder="1" applyAlignment="1">
      <alignment horizontal="left" vertical="top"/>
    </xf>
    <xf numFmtId="40" fontId="84" fillId="8" borderId="2" xfId="0" applyNumberFormat="1" applyFont="1" applyFill="1" applyBorder="1" applyAlignment="1">
      <alignment horizontal="right"/>
    </xf>
    <xf numFmtId="9" fontId="36" fillId="18" borderId="2" xfId="0" applyNumberFormat="1" applyFont="1" applyFill="1" applyBorder="1" applyAlignment="1">
      <alignment horizontal="center"/>
    </xf>
    <xf numFmtId="3" fontId="70" fillId="7" borderId="1" xfId="0" applyNumberFormat="1" applyFont="1" applyFill="1" applyBorder="1" applyAlignment="1">
      <alignment horizontal="right"/>
    </xf>
    <xf numFmtId="166" fontId="285" fillId="19" borderId="2" xfId="0" applyNumberFormat="1" applyFont="1" applyFill="1" applyBorder="1" applyAlignment="1">
      <alignment horizontal="right"/>
    </xf>
    <xf numFmtId="9" fontId="55" fillId="34" borderId="1" xfId="0" applyNumberFormat="1" applyFont="1" applyFill="1" applyBorder="1" applyAlignment="1">
      <alignment horizontal="right"/>
    </xf>
    <xf numFmtId="0" fontId="75" fillId="2" borderId="2" xfId="0" applyFont="1" applyFill="1" applyBorder="1" applyAlignment="1">
      <alignment wrapText="1"/>
    </xf>
    <xf numFmtId="0" fontId="75" fillId="0" borderId="24" xfId="0" applyFont="1" applyBorder="1" applyAlignment="1">
      <alignment wrapText="1"/>
    </xf>
    <xf numFmtId="0" fontId="45" fillId="0" borderId="2" xfId="0" applyFont="1" applyBorder="1" applyAlignment="1">
      <alignment wrapText="1"/>
    </xf>
    <xf numFmtId="164" fontId="73" fillId="3" borderId="1" xfId="0" applyNumberFormat="1" applyFont="1" applyFill="1" applyBorder="1" applyAlignment="1">
      <alignment horizontal="right"/>
    </xf>
    <xf numFmtId="164" fontId="30" fillId="2" borderId="2" xfId="0" applyNumberFormat="1" applyFont="1" applyFill="1" applyBorder="1" applyAlignment="1">
      <alignment horizontal="center" wrapText="1"/>
    </xf>
    <xf numFmtId="0" fontId="17" fillId="0" borderId="24" xfId="0" applyFont="1" applyBorder="1"/>
    <xf numFmtId="0" fontId="75" fillId="0" borderId="2" xfId="0" applyFont="1" applyBorder="1"/>
    <xf numFmtId="0" fontId="286" fillId="0" borderId="2" xfId="0" applyFont="1" applyBorder="1" applyAlignment="1">
      <alignment wrapText="1"/>
    </xf>
    <xf numFmtId="0" fontId="57" fillId="0" borderId="2" xfId="0" applyFont="1" applyBorder="1"/>
    <xf numFmtId="38" fontId="151" fillId="0" borderId="0" xfId="0" applyNumberFormat="1" applyFont="1"/>
    <xf numFmtId="3" fontId="142" fillId="7" borderId="7" xfId="0" applyNumberFormat="1" applyFont="1" applyFill="1" applyBorder="1" applyAlignment="1">
      <alignment horizontal="center" vertical="center" wrapText="1"/>
    </xf>
    <xf numFmtId="3" fontId="142" fillId="28" borderId="18" xfId="0" applyNumberFormat="1" applyFont="1" applyFill="1" applyBorder="1" applyAlignment="1">
      <alignment horizontal="center" vertical="center" wrapText="1"/>
    </xf>
    <xf numFmtId="3" fontId="142" fillId="28" borderId="4" xfId="0" applyNumberFormat="1" applyFont="1" applyFill="1" applyBorder="1" applyAlignment="1">
      <alignment horizontal="center" vertical="center" wrapText="1"/>
    </xf>
    <xf numFmtId="3" fontId="133" fillId="19" borderId="7" xfId="0" applyNumberFormat="1" applyFont="1" applyFill="1" applyBorder="1" applyAlignment="1">
      <alignment horizontal="center" vertical="center" wrapText="1"/>
    </xf>
    <xf numFmtId="3" fontId="133" fillId="17" borderId="14" xfId="0" applyNumberFormat="1" applyFont="1" applyFill="1" applyBorder="1" applyAlignment="1">
      <alignment horizontal="center" vertical="center" wrapText="1"/>
    </xf>
    <xf numFmtId="3" fontId="133" fillId="28" borderId="14" xfId="0" applyNumberFormat="1" applyFont="1" applyFill="1" applyBorder="1" applyAlignment="1">
      <alignment horizontal="center" vertical="center" wrapText="1"/>
    </xf>
    <xf numFmtId="3" fontId="24" fillId="2" borderId="18" xfId="0" applyNumberFormat="1" applyFont="1" applyFill="1" applyBorder="1" applyAlignment="1">
      <alignment horizontal="center"/>
    </xf>
    <xf numFmtId="3" fontId="95" fillId="28" borderId="12" xfId="0" applyNumberFormat="1" applyFont="1" applyFill="1" applyBorder="1" applyAlignment="1">
      <alignment horizontal="center" vertical="center" wrapText="1"/>
    </xf>
    <xf numFmtId="3" fontId="95" fillId="28" borderId="11" xfId="0" applyNumberFormat="1" applyFont="1" applyFill="1" applyBorder="1" applyAlignment="1">
      <alignment horizontal="center" vertical="center" wrapText="1"/>
    </xf>
    <xf numFmtId="3" fontId="95" fillId="28" borderId="13" xfId="0" applyNumberFormat="1" applyFont="1" applyFill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/>
    </xf>
    <xf numFmtId="3" fontId="143" fillId="39" borderId="7" xfId="0" applyNumberFormat="1" applyFont="1" applyFill="1" applyBorder="1" applyAlignment="1">
      <alignment horizontal="center" vertical="center" wrapText="1"/>
    </xf>
    <xf numFmtId="3" fontId="143" fillId="25" borderId="14" xfId="0" applyNumberFormat="1" applyFont="1" applyFill="1" applyBorder="1" applyAlignment="1">
      <alignment horizontal="center" vertical="center" wrapText="1"/>
    </xf>
    <xf numFmtId="3" fontId="134" fillId="29" borderId="12" xfId="0" applyNumberFormat="1" applyFont="1" applyFill="1" applyBorder="1" applyAlignment="1">
      <alignment horizontal="center" vertical="center"/>
    </xf>
    <xf numFmtId="3" fontId="143" fillId="23" borderId="7" xfId="0" applyNumberFormat="1" applyFont="1" applyFill="1" applyBorder="1" applyAlignment="1">
      <alignment horizontal="center" vertical="center" wrapText="1"/>
    </xf>
    <xf numFmtId="3" fontId="143" fillId="40" borderId="7" xfId="0" applyNumberFormat="1" applyFont="1" applyFill="1" applyBorder="1" applyAlignment="1">
      <alignment horizontal="center" vertical="center" wrapText="1"/>
    </xf>
    <xf numFmtId="3" fontId="95" fillId="25" borderId="12" xfId="0" applyNumberFormat="1" applyFont="1" applyFill="1" applyBorder="1" applyAlignment="1">
      <alignment horizontal="center" vertical="center" wrapText="1"/>
    </xf>
    <xf numFmtId="3" fontId="95" fillId="25" borderId="11" xfId="0" applyNumberFormat="1" applyFont="1" applyFill="1" applyBorder="1" applyAlignment="1">
      <alignment horizontal="center" vertical="center" wrapText="1"/>
    </xf>
    <xf numFmtId="3" fontId="95" fillId="25" borderId="13" xfId="0" applyNumberFormat="1" applyFont="1" applyFill="1" applyBorder="1" applyAlignment="1">
      <alignment horizontal="center" vertical="center" wrapText="1"/>
    </xf>
    <xf numFmtId="3" fontId="96" fillId="29" borderId="42" xfId="0" applyNumberFormat="1" applyFont="1" applyFill="1" applyBorder="1" applyAlignment="1">
      <alignment horizontal="center" vertical="center"/>
    </xf>
    <xf numFmtId="3" fontId="96" fillId="29" borderId="29" xfId="0" applyNumberFormat="1" applyFont="1" applyFill="1" applyBorder="1" applyAlignment="1">
      <alignment horizontal="center" vertical="center"/>
    </xf>
    <xf numFmtId="3" fontId="96" fillId="29" borderId="4" xfId="0" applyNumberFormat="1" applyFont="1" applyFill="1" applyBorder="1" applyAlignment="1">
      <alignment horizontal="center" vertical="center"/>
    </xf>
    <xf numFmtId="3" fontId="24" fillId="2" borderId="4" xfId="0" applyNumberFormat="1" applyFont="1" applyFill="1" applyBorder="1" applyAlignment="1">
      <alignment horizontal="center"/>
    </xf>
    <xf numFmtId="3" fontId="17" fillId="0" borderId="17" xfId="0" applyNumberFormat="1" applyFont="1" applyBorder="1" applyAlignment="1">
      <alignment horizontal="center" vertical="center" wrapText="1"/>
    </xf>
    <xf numFmtId="3" fontId="17" fillId="0" borderId="70" xfId="0" applyNumberFormat="1" applyFont="1" applyBorder="1" applyAlignment="1">
      <alignment horizontal="center" vertical="center" wrapText="1"/>
    </xf>
    <xf numFmtId="3" fontId="193" fillId="0" borderId="47" xfId="0" applyNumberFormat="1" applyFont="1" applyBorder="1" applyAlignment="1">
      <alignment horizontal="left"/>
    </xf>
    <xf numFmtId="3" fontId="193" fillId="0" borderId="9" xfId="0" applyNumberFormat="1" applyFont="1" applyBorder="1" applyAlignment="1">
      <alignment horizontal="left"/>
    </xf>
    <xf numFmtId="3" fontId="193" fillId="0" borderId="10" xfId="0" applyNumberFormat="1" applyFont="1" applyBorder="1" applyAlignment="1">
      <alignment horizontal="left"/>
    </xf>
    <xf numFmtId="3" fontId="17" fillId="0" borderId="39" xfId="0" applyNumberFormat="1" applyFont="1" applyBorder="1" applyAlignment="1">
      <alignment horizontal="center" vertical="center" wrapText="1"/>
    </xf>
    <xf numFmtId="3" fontId="17" fillId="0" borderId="40" xfId="0" applyNumberFormat="1" applyFont="1" applyBorder="1" applyAlignment="1">
      <alignment horizontal="center" vertical="center" wrapText="1"/>
    </xf>
    <xf numFmtId="38" fontId="49" fillId="0" borderId="40" xfId="0" applyNumberFormat="1" applyFont="1" applyBorder="1" applyAlignment="1">
      <alignment horizontal="left"/>
    </xf>
    <xf numFmtId="38" fontId="49" fillId="0" borderId="46" xfId="0" applyNumberFormat="1" applyFont="1" applyBorder="1" applyAlignment="1">
      <alignment horizontal="left"/>
    </xf>
    <xf numFmtId="3" fontId="76" fillId="0" borderId="49" xfId="0" applyNumberFormat="1" applyFont="1" applyBorder="1" applyAlignment="1">
      <alignment horizontal="left"/>
    </xf>
    <xf numFmtId="3" fontId="76" fillId="0" borderId="50" xfId="0" applyNumberFormat="1" applyFont="1" applyBorder="1" applyAlignment="1">
      <alignment horizontal="left"/>
    </xf>
    <xf numFmtId="3" fontId="76" fillId="0" borderId="48" xfId="0" applyNumberFormat="1" applyFont="1" applyBorder="1" applyAlignment="1">
      <alignment horizontal="center"/>
    </xf>
    <xf numFmtId="3" fontId="76" fillId="0" borderId="49" xfId="0" applyNumberFormat="1" applyFont="1" applyBorder="1" applyAlignment="1">
      <alignment horizontal="center"/>
    </xf>
    <xf numFmtId="3" fontId="142" fillId="7" borderId="64" xfId="0" applyNumberFormat="1" applyFont="1" applyFill="1" applyBorder="1" applyAlignment="1">
      <alignment horizontal="center" vertical="center" wrapText="1"/>
    </xf>
    <xf numFmtId="3" fontId="142" fillId="28" borderId="11" xfId="0" applyNumberFormat="1" applyFont="1" applyFill="1" applyBorder="1" applyAlignment="1">
      <alignment horizontal="center" vertical="center" wrapText="1"/>
    </xf>
    <xf numFmtId="3" fontId="76" fillId="0" borderId="64" xfId="0" applyNumberFormat="1" applyFont="1" applyBorder="1" applyAlignment="1">
      <alignment horizontal="center" vertical="center"/>
    </xf>
    <xf numFmtId="3" fontId="76" fillId="0" borderId="8" xfId="0" applyNumberFormat="1" applyFont="1" applyBorder="1" applyAlignment="1">
      <alignment horizontal="center" vertical="center"/>
    </xf>
    <xf numFmtId="3" fontId="76" fillId="0" borderId="19" xfId="0" applyNumberFormat="1" applyFont="1" applyBorder="1" applyAlignment="1">
      <alignment horizontal="center" vertical="center"/>
    </xf>
    <xf numFmtId="3" fontId="76" fillId="0" borderId="56" xfId="0" applyNumberFormat="1" applyFont="1" applyBorder="1" applyAlignment="1">
      <alignment horizontal="center" vertical="center"/>
    </xf>
    <xf numFmtId="3" fontId="76" fillId="0" borderId="14" xfId="0" applyNumberFormat="1" applyFont="1" applyBorder="1" applyAlignment="1">
      <alignment horizontal="center" vertical="center"/>
    </xf>
    <xf numFmtId="3" fontId="76" fillId="0" borderId="15" xfId="0" applyNumberFormat="1" applyFont="1" applyBorder="1" applyAlignment="1">
      <alignment horizontal="center" vertical="center"/>
    </xf>
    <xf numFmtId="3" fontId="76" fillId="0" borderId="16" xfId="0" applyNumberFormat="1" applyFont="1" applyBorder="1" applyAlignment="1">
      <alignment horizontal="center" vertical="center"/>
    </xf>
    <xf numFmtId="3" fontId="76" fillId="0" borderId="63" xfId="0" applyNumberFormat="1" applyFont="1" applyBorder="1" applyAlignment="1">
      <alignment horizontal="center" vertical="center"/>
    </xf>
    <xf numFmtId="3" fontId="76" fillId="0" borderId="55" xfId="0" applyNumberFormat="1" applyFont="1" applyBorder="1" applyAlignment="1">
      <alignment horizontal="center" vertical="center"/>
    </xf>
    <xf numFmtId="3" fontId="76" fillId="0" borderId="5" xfId="0" applyNumberFormat="1" applyFont="1" applyBorder="1" applyAlignment="1">
      <alignment horizontal="center" vertical="center"/>
    </xf>
    <xf numFmtId="3" fontId="95" fillId="19" borderId="7" xfId="0" applyNumberFormat="1" applyFont="1" applyFill="1" applyBorder="1" applyAlignment="1">
      <alignment horizontal="center" vertical="center" wrapText="1"/>
    </xf>
    <xf numFmtId="3" fontId="95" fillId="19" borderId="8" xfId="0" applyNumberFormat="1" applyFont="1" applyFill="1" applyBorder="1" applyAlignment="1">
      <alignment horizontal="center" vertical="center" wrapText="1"/>
    </xf>
    <xf numFmtId="3" fontId="95" fillId="17" borderId="14" xfId="0" applyNumberFormat="1" applyFont="1" applyFill="1" applyBorder="1" applyAlignment="1">
      <alignment horizontal="center" vertical="center" wrapText="1"/>
    </xf>
    <xf numFmtId="3" fontId="95" fillId="17" borderId="7" xfId="0" applyNumberFormat="1" applyFont="1" applyFill="1" applyBorder="1" applyAlignment="1">
      <alignment horizontal="center" vertical="center" wrapText="1"/>
    </xf>
    <xf numFmtId="3" fontId="95" fillId="17" borderId="8" xfId="0" applyNumberFormat="1" applyFont="1" applyFill="1" applyBorder="1" applyAlignment="1">
      <alignment horizontal="center" vertical="center" wrapText="1"/>
    </xf>
    <xf numFmtId="181" fontId="17" fillId="0" borderId="65" xfId="0" applyNumberFormat="1" applyFont="1" applyBorder="1" applyAlignment="1">
      <alignment horizontal="center" vertical="center"/>
    </xf>
    <xf numFmtId="181" fontId="17" fillId="0" borderId="66" xfId="0" applyNumberFormat="1" applyFont="1" applyBorder="1" applyAlignment="1">
      <alignment horizontal="center" vertical="center"/>
    </xf>
    <xf numFmtId="3" fontId="17" fillId="0" borderId="24" xfId="0" applyNumberFormat="1" applyFont="1" applyBorder="1" applyAlignment="1">
      <alignment horizontal="center" vertical="center" wrapText="1"/>
    </xf>
    <xf numFmtId="3" fontId="49" fillId="0" borderId="49" xfId="0" applyNumberFormat="1" applyFont="1" applyBorder="1" applyAlignment="1">
      <alignment horizontal="center"/>
    </xf>
    <xf numFmtId="3" fontId="33" fillId="0" borderId="0" xfId="0" applyNumberFormat="1" applyFont="1" applyAlignment="1">
      <alignment horizontal="center" wrapText="1"/>
    </xf>
    <xf numFmtId="3" fontId="76" fillId="0" borderId="18" xfId="0" applyNumberFormat="1" applyFont="1" applyBorder="1" applyAlignment="1">
      <alignment horizontal="center"/>
    </xf>
    <xf numFmtId="3" fontId="76" fillId="0" borderId="29" xfId="0" applyNumberFormat="1" applyFont="1" applyBorder="1" applyAlignment="1">
      <alignment horizontal="center"/>
    </xf>
    <xf numFmtId="3" fontId="76" fillId="0" borderId="4" xfId="0" applyNumberFormat="1" applyFont="1" applyBorder="1" applyAlignment="1">
      <alignment horizontal="center"/>
    </xf>
    <xf numFmtId="3" fontId="17" fillId="0" borderId="25" xfId="0" applyNumberFormat="1" applyFont="1" applyBorder="1" applyAlignment="1">
      <alignment horizontal="center" vertical="center" wrapText="1"/>
    </xf>
    <xf numFmtId="3" fontId="17" fillId="0" borderId="71" xfId="0" applyNumberFormat="1" applyFont="1" applyBorder="1" applyAlignment="1">
      <alignment horizontal="center" vertical="center" wrapText="1"/>
    </xf>
    <xf numFmtId="3" fontId="17" fillId="0" borderId="52" xfId="0" applyNumberFormat="1" applyFont="1" applyBorder="1" applyAlignment="1">
      <alignment horizontal="center" vertical="center" wrapText="1"/>
    </xf>
    <xf numFmtId="3" fontId="95" fillId="23" borderId="11" xfId="0" applyNumberFormat="1" applyFont="1" applyFill="1" applyBorder="1" applyAlignment="1">
      <alignment horizontal="center" vertical="center" wrapText="1"/>
    </xf>
    <xf numFmtId="3" fontId="95" fillId="23" borderId="13" xfId="0" applyNumberFormat="1" applyFont="1" applyFill="1" applyBorder="1" applyAlignment="1">
      <alignment horizontal="center" vertical="center" wrapText="1"/>
    </xf>
    <xf numFmtId="3" fontId="95" fillId="40" borderId="11" xfId="0" applyNumberFormat="1" applyFont="1" applyFill="1" applyBorder="1" applyAlignment="1">
      <alignment horizontal="center" vertical="center" wrapText="1"/>
    </xf>
    <xf numFmtId="3" fontId="95" fillId="40" borderId="13" xfId="0" applyNumberFormat="1" applyFont="1" applyFill="1" applyBorder="1" applyAlignment="1">
      <alignment horizontal="center" vertical="center" wrapText="1"/>
    </xf>
    <xf numFmtId="3" fontId="95" fillId="39" borderId="11" xfId="0" applyNumberFormat="1" applyFont="1" applyFill="1" applyBorder="1" applyAlignment="1">
      <alignment horizontal="center" vertical="center" wrapText="1"/>
    </xf>
    <xf numFmtId="3" fontId="95" fillId="39" borderId="13" xfId="0" applyNumberFormat="1" applyFont="1" applyFill="1" applyBorder="1" applyAlignment="1">
      <alignment horizontal="center" vertical="center" wrapText="1"/>
    </xf>
    <xf numFmtId="0" fontId="17" fillId="28" borderId="12" xfId="0" applyFont="1" applyFill="1" applyBorder="1" applyAlignment="1">
      <alignment horizontal="center" vertical="center"/>
    </xf>
    <xf numFmtId="0" fontId="17" fillId="28" borderId="11" xfId="0" applyFont="1" applyFill="1" applyBorder="1" applyAlignment="1">
      <alignment horizontal="center" vertical="center"/>
    </xf>
    <xf numFmtId="0" fontId="17" fillId="28" borderId="13" xfId="0" applyFont="1" applyFill="1" applyBorder="1" applyAlignment="1">
      <alignment horizontal="center" vertical="center"/>
    </xf>
    <xf numFmtId="0" fontId="17" fillId="28" borderId="12" xfId="0" applyFont="1" applyFill="1" applyBorder="1" applyAlignment="1">
      <alignment horizontal="center" vertical="center" wrapText="1"/>
    </xf>
    <xf numFmtId="0" fontId="17" fillId="28" borderId="11" xfId="0" applyFont="1" applyFill="1" applyBorder="1" applyAlignment="1">
      <alignment horizontal="center" vertical="center" wrapText="1"/>
    </xf>
    <xf numFmtId="0" fontId="17" fillId="28" borderId="13" xfId="0" applyFont="1" applyFill="1" applyBorder="1" applyAlignment="1">
      <alignment horizontal="center" vertical="center" wrapText="1"/>
    </xf>
    <xf numFmtId="0" fontId="161" fillId="28" borderId="12" xfId="0" applyFont="1" applyFill="1" applyBorder="1" applyAlignment="1">
      <alignment horizontal="center" vertical="center"/>
    </xf>
    <xf numFmtId="0" fontId="161" fillId="28" borderId="11" xfId="0" applyFont="1" applyFill="1" applyBorder="1" applyAlignment="1">
      <alignment horizontal="center" vertical="center"/>
    </xf>
    <xf numFmtId="0" fontId="161" fillId="28" borderId="13" xfId="0" applyFont="1" applyFill="1" applyBorder="1" applyAlignment="1">
      <alignment horizontal="center" vertical="center"/>
    </xf>
    <xf numFmtId="0" fontId="33" fillId="28" borderId="12" xfId="0" applyFont="1" applyFill="1" applyBorder="1" applyAlignment="1">
      <alignment horizontal="center" vertical="center" wrapText="1"/>
    </xf>
    <xf numFmtId="0" fontId="33" fillId="28" borderId="11" xfId="0" applyFont="1" applyFill="1" applyBorder="1" applyAlignment="1">
      <alignment horizontal="center" vertical="center" wrapText="1"/>
    </xf>
    <xf numFmtId="0" fontId="33" fillId="28" borderId="13" xfId="0" applyFont="1" applyFill="1" applyBorder="1" applyAlignment="1">
      <alignment horizontal="center" vertical="center" wrapText="1"/>
    </xf>
    <xf numFmtId="0" fontId="161" fillId="28" borderId="12" xfId="0" applyFont="1" applyFill="1" applyBorder="1" applyAlignment="1">
      <alignment horizontal="center" vertical="center" wrapText="1"/>
    </xf>
    <xf numFmtId="0" fontId="161" fillId="28" borderId="11" xfId="0" applyFont="1" applyFill="1" applyBorder="1" applyAlignment="1">
      <alignment horizontal="center" vertical="center" wrapText="1"/>
    </xf>
    <xf numFmtId="0" fontId="161" fillId="28" borderId="13" xfId="0" applyFont="1" applyFill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/>
    </xf>
    <xf numFmtId="0" fontId="33" fillId="28" borderId="11" xfId="0" applyFont="1" applyFill="1" applyBorder="1" applyAlignment="1">
      <alignment horizontal="center" vertical="center"/>
    </xf>
    <xf numFmtId="0" fontId="33" fillId="28" borderId="13" xfId="0" applyFont="1" applyFill="1" applyBorder="1" applyAlignment="1">
      <alignment horizontal="center" vertical="center"/>
    </xf>
    <xf numFmtId="0" fontId="17" fillId="43" borderId="55" xfId="0" applyFont="1" applyFill="1" applyBorder="1" applyAlignment="1">
      <alignment horizontal="center" vertical="center"/>
    </xf>
    <xf numFmtId="0" fontId="17" fillId="43" borderId="41" xfId="0" applyFont="1" applyFill="1" applyBorder="1" applyAlignment="1">
      <alignment horizontal="center" vertical="center"/>
    </xf>
    <xf numFmtId="0" fontId="17" fillId="43" borderId="56" xfId="0" applyFont="1" applyFill="1" applyBorder="1" applyAlignment="1">
      <alignment horizontal="center" vertical="center"/>
    </xf>
    <xf numFmtId="0" fontId="17" fillId="43" borderId="29" xfId="0" applyFont="1" applyFill="1" applyBorder="1" applyAlignment="1">
      <alignment horizontal="center" vertical="center"/>
    </xf>
    <xf numFmtId="0" fontId="17" fillId="43" borderId="4" xfId="0" applyFont="1" applyFill="1" applyBorder="1" applyAlignment="1">
      <alignment horizontal="center" vertical="center"/>
    </xf>
    <xf numFmtId="0" fontId="17" fillId="20" borderId="22" xfId="0" applyFont="1" applyFill="1" applyBorder="1" applyAlignment="1">
      <alignment horizontal="center" vertical="center"/>
    </xf>
    <xf numFmtId="0" fontId="17" fillId="20" borderId="23" xfId="0" applyFont="1" applyFill="1" applyBorder="1" applyAlignment="1">
      <alignment horizontal="center" vertical="center"/>
    </xf>
    <xf numFmtId="0" fontId="17" fillId="38" borderId="12" xfId="0" applyFont="1" applyFill="1" applyBorder="1" applyAlignment="1">
      <alignment horizontal="center" vertical="center"/>
    </xf>
    <xf numFmtId="0" fontId="17" fillId="38" borderId="11" xfId="0" applyFont="1" applyFill="1" applyBorder="1" applyAlignment="1">
      <alignment horizontal="center" vertical="center"/>
    </xf>
    <xf numFmtId="0" fontId="17" fillId="18" borderId="14" xfId="0" applyFont="1" applyFill="1" applyBorder="1" applyAlignment="1">
      <alignment horizontal="center"/>
    </xf>
    <xf numFmtId="0" fontId="17" fillId="18" borderId="7" xfId="0" applyFont="1" applyFill="1" applyBorder="1" applyAlignment="1">
      <alignment horizontal="center"/>
    </xf>
    <xf numFmtId="0" fontId="17" fillId="18" borderId="8" xfId="0" applyFont="1" applyFill="1" applyBorder="1" applyAlignment="1">
      <alignment horizontal="center"/>
    </xf>
    <xf numFmtId="0" fontId="17" fillId="19" borderId="11" xfId="0" applyFont="1" applyFill="1" applyBorder="1" applyAlignment="1">
      <alignment horizontal="center"/>
    </xf>
    <xf numFmtId="0" fontId="17" fillId="19" borderId="13" xfId="0" applyFont="1" applyFill="1" applyBorder="1" applyAlignment="1">
      <alignment horizontal="center"/>
    </xf>
    <xf numFmtId="0" fontId="161" fillId="17" borderId="12" xfId="0" applyFont="1" applyFill="1" applyBorder="1" applyAlignment="1">
      <alignment horizontal="center"/>
    </xf>
    <xf numFmtId="0" fontId="162" fillId="17" borderId="11" xfId="0" applyFont="1" applyFill="1" applyBorder="1" applyAlignment="1">
      <alignment horizontal="center"/>
    </xf>
    <xf numFmtId="0" fontId="162" fillId="17" borderId="13" xfId="0" applyFont="1" applyFill="1" applyBorder="1" applyAlignment="1">
      <alignment horizontal="center"/>
    </xf>
    <xf numFmtId="0" fontId="17" fillId="8" borderId="21" xfId="0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17" fillId="8" borderId="23" xfId="0" applyFont="1" applyFill="1" applyBorder="1" applyAlignment="1">
      <alignment horizontal="center" vertical="center"/>
    </xf>
    <xf numFmtId="0" fontId="17" fillId="20" borderId="21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</cellXfs>
  <cellStyles count="20">
    <cellStyle name="Comma" xfId="1" builtinId="3"/>
    <cellStyle name="Normal" xfId="0" builtinId="0"/>
    <cellStyle name="Normal 10" xfId="10" xr:uid="{B0365624-8BB4-4322-8079-A3C8D905D164}"/>
    <cellStyle name="Normal 11" xfId="11" xr:uid="{8A6728E3-E388-4427-9ECB-892591792E29}"/>
    <cellStyle name="Normal 12" xfId="12" xr:uid="{385AB08C-EBE0-41C6-8CB1-FEAA23CE1BC1}"/>
    <cellStyle name="Normal 13" xfId="13" xr:uid="{FC757740-ECEE-4D23-BC9E-D3415C4529A5}"/>
    <cellStyle name="Normal 14" xfId="14" xr:uid="{51A1E3C2-DF27-4152-BEAF-FE2189AA61A7}"/>
    <cellStyle name="Normal 15" xfId="15" xr:uid="{B161FB20-7D34-4CB1-8D65-6616ABB025E5}"/>
    <cellStyle name="Normal 16" xfId="16" xr:uid="{9FFF7BB5-8DE7-458A-8A28-04B8D48AE88E}"/>
    <cellStyle name="Normal 17" xfId="17" xr:uid="{9F1605BB-9B37-4CB2-9D0F-079E1AD5D23C}"/>
    <cellStyle name="Normal 18" xfId="18" xr:uid="{2EBE50FA-FF49-4A5F-8695-918F5A9767B1}"/>
    <cellStyle name="Normal 19" xfId="19" xr:uid="{896CEB5C-4109-4052-8D6E-8FCA2C689DC8}"/>
    <cellStyle name="Normal 2" xfId="2" xr:uid="{A6E7588B-77E4-A94C-9C4E-13CDC5A218C3}"/>
    <cellStyle name="Normal 3" xfId="3" xr:uid="{366B550C-4B4C-5648-B685-49C6886793B7}"/>
    <cellStyle name="Normal 4" xfId="4" xr:uid="{67826A47-D1AF-4336-8147-710AC7EFF9CD}"/>
    <cellStyle name="Normal 5" xfId="5" xr:uid="{A07AFD76-77C4-4B2E-967D-6B8120C13E53}"/>
    <cellStyle name="Normal 6" xfId="6" xr:uid="{B748AC32-3D3B-49E1-B2AE-B17D5460AC7C}"/>
    <cellStyle name="Normal 7" xfId="7" xr:uid="{FDD03D37-A46A-4EF8-BECB-EB1C54DA0AC0}"/>
    <cellStyle name="Normal 8" xfId="8" xr:uid="{5A14F555-FA42-4650-B198-D530DCBD0910}"/>
    <cellStyle name="Normal 9" xfId="9" xr:uid="{818C0B8B-3FB3-436C-BC8C-3B40E0791B66}"/>
  </cellStyles>
  <dxfs count="204">
    <dxf>
      <fill>
        <patternFill>
          <bgColor theme="0" tint="-0.1499679555650502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D5B4B8"/>
      <color rgb="FFF7D1D7"/>
      <color rgb="FFFCE4D6"/>
      <color rgb="FF8AF7FF"/>
      <color rgb="FFD99EC1"/>
      <color rgb="FFA3D1CD"/>
      <color rgb="FFFF5C8E"/>
      <color rgb="FF1FB107"/>
      <color rgb="FFF480F0"/>
      <color rgb="FFB7C2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hmadalipour/Downloads/&#1578;&#1606;&#1575;&#1688;&#1607;&#1575;&#1740;%20&#1593;&#1585;&#1590;&#1607;%20&#1588;&#1583;&#1607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B-1404.12.02"/>
      <sheetName val="9-1404.12.03"/>
    </sheet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6163B195-FD7E-EA48-B7FC-160844226462}" autoFormatId="16" applyNumberFormats="0" applyBorderFormats="0" applyFontFormats="0" applyPatternFormats="0" applyAlignmentFormats="0" applyWidthHeightFormats="0">
  <queryTableRefresh nextId="27" unboundColumnsRight="3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D2E6FC-6BCA-B247-B32A-D2979842B0C2}" name="دیده_بان_بازار__234" displayName="دیده_بان_بازار__234" ref="A1:Z2989" tableType="queryTable" totalsRowShown="0">
  <tableColumns count="26">
    <tableColumn id="1" xr3:uid="{6D8CA78C-0B0E-9B44-9BAD-B0B41F1BDE8C}" uniqueName="1" name="Column1" queryTableFieldId="1" dataDxfId="3"/>
    <tableColumn id="2" xr3:uid="{97C23EFB-B1A0-6049-AD2D-C15EC7DCBA70}" uniqueName="2" name="Column2" queryTableFieldId="2" dataDxfId="2"/>
    <tableColumn id="3" xr3:uid="{1FECF602-8852-0649-A04F-1D2476C91AA8}" uniqueName="3" name="Column3" queryTableFieldId="3"/>
    <tableColumn id="4" xr3:uid="{8AD86BAC-19C9-204F-AC28-1C6ABC48702E}" uniqueName="4" name="Column4" queryTableFieldId="4"/>
    <tableColumn id="5" xr3:uid="{C4E0756A-99EA-8F42-8CA0-FD21DF90AA91}" uniqueName="5" name="Column5" queryTableFieldId="5"/>
    <tableColumn id="6" xr3:uid="{DF7A3058-41DB-A644-9154-45EDD3EBD6A5}" uniqueName="6" name="Column6" queryTableFieldId="6"/>
    <tableColumn id="7" xr3:uid="{27BA0EFD-6428-814E-97CF-ABA9E494465A}" uniqueName="7" name="Column7" queryTableFieldId="7"/>
    <tableColumn id="8" xr3:uid="{18A1398F-D781-8749-B005-CA05EDF3B9AF}" uniqueName="8" name="Column8" queryTableFieldId="8"/>
    <tableColumn id="9" xr3:uid="{8BDFB58B-65EE-944C-AA1B-CD0700F93944}" uniqueName="9" name="Column9" queryTableFieldId="9"/>
    <tableColumn id="10" xr3:uid="{492A7427-4621-1147-AB80-B6EACEC6E0B4}" uniqueName="10" name="Column10" queryTableFieldId="10"/>
    <tableColumn id="11" xr3:uid="{857B166F-E1E9-A346-A28C-91C7F45542EB}" uniqueName="11" name="Column11" queryTableFieldId="11"/>
    <tableColumn id="12" xr3:uid="{17DB8B1B-F694-0443-ACD3-F9D216A18B7F}" uniqueName="12" name="Column12" queryTableFieldId="12"/>
    <tableColumn id="13" xr3:uid="{E7C88042-1811-4745-9B76-DF32DBEBF2DF}" uniqueName="13" name="Column13" queryTableFieldId="13"/>
    <tableColumn id="14" xr3:uid="{185826CD-717D-B547-9120-AF903C60F90B}" uniqueName="14" name="Column14" queryTableFieldId="14"/>
    <tableColumn id="15" xr3:uid="{9ADDB581-0171-5147-B57A-D8904D454CAB}" uniqueName="15" name="Column15" queryTableFieldId="15"/>
    <tableColumn id="16" xr3:uid="{BF2DF001-CF75-EF49-BF7D-9CC825A3054C}" uniqueName="16" name="Column16" queryTableFieldId="16"/>
    <tableColumn id="17" xr3:uid="{56630F4F-457D-E345-8638-A231EADED9FB}" uniqueName="17" name="Column17" queryTableFieldId="17"/>
    <tableColumn id="18" xr3:uid="{3A666F3C-DD87-2D41-AC64-D74B29319E34}" uniqueName="18" name="Column18" queryTableFieldId="18"/>
    <tableColumn id="19" xr3:uid="{735221B7-7F28-994C-9353-C95D4D0D3599}" uniqueName="19" name="Column19" queryTableFieldId="19"/>
    <tableColumn id="20" xr3:uid="{5F496B67-A3E8-E24F-B566-5E64EB1456E9}" uniqueName="20" name="Column20" queryTableFieldId="20"/>
    <tableColumn id="21" xr3:uid="{27F2999F-3D69-1341-BEF7-6B4F35D071EC}" uniqueName="21" name="Column21" queryTableFieldId="21"/>
    <tableColumn id="22" xr3:uid="{CC87ECBD-1264-134F-8D97-3587109E3941}" uniqueName="22" name="Column22" queryTableFieldId="22"/>
    <tableColumn id="23" xr3:uid="{6B0E109A-45B4-744A-8B1E-FC9030B92455}" uniqueName="23" name="Column23" queryTableFieldId="23"/>
    <tableColumn id="24" xr3:uid="{6B5203DB-0F0A-2D4B-987F-909EE75D3B8A}" uniqueName="24" name="Column24" queryTableFieldId="24" dataDxfId="1"/>
    <tableColumn id="25" xr3:uid="{843737BF-4D42-184B-802E-0BEF38DCB5BA}" uniqueName="25" name="Column25" queryTableFieldId="25"/>
    <tableColumn id="26" xr3:uid="{CE463DC9-B3A8-BC44-BE5D-2C0B150A5FF5}" uniqueName="26" name="Column26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FECABA0-7F9C-DC42-B182-A5F6532121A3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93FCA203-8FAF-8545-A4DA-233D85AEE2EC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B0C1-1092-CF45-935C-AA1E97272759}">
  <sheetPr codeName="Sheet9">
    <tabColor theme="7" tint="0.39997558519241921"/>
    <pageSetUpPr fitToPage="1"/>
  </sheetPr>
  <dimension ref="A1:AE116"/>
  <sheetViews>
    <sheetView zoomScale="70" zoomScaleNormal="70" workbookViewId="0">
      <pane xSplit="13" ySplit="5" topLeftCell="P51" activePane="bottomRight" state="frozen"/>
      <selection pane="topRight" activeCell="M1" sqref="M1"/>
      <selection pane="bottomLeft" activeCell="A6" sqref="A6"/>
      <selection pane="bottomRight" activeCell="A70" sqref="A70:XFD70"/>
    </sheetView>
  </sheetViews>
  <sheetFormatPr baseColWidth="10" defaultColWidth="11" defaultRowHeight="16"/>
  <cols>
    <col min="1" max="1" width="7.5" customWidth="1"/>
    <col min="2" max="2" width="36.83203125" customWidth="1"/>
    <col min="3" max="3" width="13.83203125" customWidth="1"/>
    <col min="4" max="4" width="6.5" customWidth="1"/>
    <col min="5" max="5" width="3" customWidth="1"/>
    <col min="7" max="7" width="12.1640625" customWidth="1"/>
    <col min="8" max="8" width="15.6640625" customWidth="1"/>
    <col min="11" max="12" width="14.33203125" customWidth="1"/>
    <col min="13" max="13" width="15.83203125" customWidth="1"/>
    <col min="14" max="14" width="3.6640625" customWidth="1"/>
    <col min="15" max="15" width="18.33203125" customWidth="1"/>
    <col min="16" max="16" width="13.33203125" bestFit="1" customWidth="1"/>
    <col min="17" max="17" width="15.83203125" customWidth="1"/>
    <col min="18" max="18" width="15.6640625" customWidth="1"/>
    <col min="19" max="19" width="17" bestFit="1" customWidth="1"/>
    <col min="20" max="20" width="14.1640625" bestFit="1" customWidth="1"/>
    <col min="21" max="21" width="2.33203125" customWidth="1"/>
    <col min="23" max="23" width="13" customWidth="1"/>
    <col min="27" max="27" width="14.6640625" bestFit="1" customWidth="1"/>
    <col min="28" max="28" width="14.33203125" bestFit="1" customWidth="1"/>
    <col min="29" max="29" width="19.6640625" bestFit="1" customWidth="1"/>
    <col min="31" max="31" width="18.33203125" bestFit="1" customWidth="1"/>
  </cols>
  <sheetData>
    <row r="1" spans="1:30">
      <c r="B1" s="1111" t="s">
        <v>0</v>
      </c>
      <c r="C1" s="1112" t="s">
        <v>1</v>
      </c>
      <c r="D1" s="1112"/>
      <c r="E1" s="1112"/>
      <c r="F1" s="1112" t="s">
        <v>2</v>
      </c>
      <c r="G1" s="1112" t="s">
        <v>3</v>
      </c>
      <c r="H1" s="1112" t="s">
        <v>4</v>
      </c>
      <c r="I1" s="1112" t="s">
        <v>5</v>
      </c>
      <c r="J1" s="1113" t="s">
        <v>6</v>
      </c>
    </row>
    <row r="3" spans="1:30" ht="17" thickBot="1">
      <c r="B3" s="1115"/>
      <c r="C3" s="1114"/>
      <c r="D3" s="1114"/>
      <c r="E3" s="1114"/>
      <c r="F3" s="1114"/>
      <c r="G3" s="1114"/>
      <c r="H3" s="1114"/>
      <c r="I3" s="1114"/>
      <c r="J3" s="1114"/>
      <c r="K3" s="3" t="s">
        <v>7</v>
      </c>
      <c r="L3" s="3"/>
      <c r="M3" s="3" t="s">
        <v>8</v>
      </c>
    </row>
    <row r="4" spans="1:30" ht="55" customHeight="1">
      <c r="A4" s="1654" t="s">
        <v>9</v>
      </c>
      <c r="B4" s="1655" t="s">
        <v>10</v>
      </c>
      <c r="C4" s="1656" t="s">
        <v>11</v>
      </c>
      <c r="D4" s="1656"/>
      <c r="E4" s="1656"/>
      <c r="F4" s="1656" t="s">
        <v>12</v>
      </c>
      <c r="G4" s="1656" t="s">
        <v>13</v>
      </c>
      <c r="H4" s="1656" t="s">
        <v>14</v>
      </c>
      <c r="I4" s="1656" t="s">
        <v>15</v>
      </c>
      <c r="J4" s="1656" t="s">
        <v>16</v>
      </c>
      <c r="K4" s="1657" t="s">
        <v>17</v>
      </c>
      <c r="L4" s="1657" t="s">
        <v>8462</v>
      </c>
      <c r="M4" s="1657" t="s">
        <v>18</v>
      </c>
      <c r="N4" s="1658"/>
      <c r="O4" s="1659" t="s">
        <v>19</v>
      </c>
      <c r="P4" s="1660" t="s">
        <v>20</v>
      </c>
      <c r="Q4" s="1660" t="s">
        <v>21</v>
      </c>
      <c r="R4" s="1660" t="s">
        <v>22</v>
      </c>
      <c r="S4" s="1660" t="s">
        <v>23</v>
      </c>
      <c r="T4" s="1661" t="s">
        <v>24</v>
      </c>
      <c r="U4" s="1662"/>
      <c r="V4" s="1663" t="s">
        <v>12</v>
      </c>
      <c r="W4" s="1663" t="s">
        <v>25</v>
      </c>
      <c r="X4" s="1663" t="s">
        <v>26</v>
      </c>
      <c r="Y4" s="1663" t="s">
        <v>15</v>
      </c>
      <c r="Z4" s="1663" t="s">
        <v>16</v>
      </c>
      <c r="AA4" s="1663" t="s">
        <v>17</v>
      </c>
      <c r="AB4" s="1663" t="s">
        <v>8462</v>
      </c>
      <c r="AC4" s="1663" t="s">
        <v>18</v>
      </c>
    </row>
    <row r="5" spans="1:30" ht="13" customHeight="1">
      <c r="O5" s="183"/>
      <c r="T5" s="1061"/>
    </row>
    <row r="6" spans="1:30" ht="20" customHeight="1">
      <c r="A6" s="1614">
        <f>IFERROR(MATCH(C6,'دیده بان بازار'!$A$5:$A$3994,0 )+4,"Closed")</f>
        <v>1934</v>
      </c>
      <c r="B6" s="1652" t="s">
        <v>27</v>
      </c>
      <c r="C6" s="1652" t="s">
        <v>28</v>
      </c>
      <c r="D6" s="1615" t="s">
        <v>29</v>
      </c>
      <c r="E6" s="1616"/>
      <c r="F6" s="119">
        <f>IFERROR(_xlfn.LET(_xlpm.lookup_result,_xlfn.XLOOKUP($C6,'دیده بان بازار'!$A$5:$A$3994,'دیده بان بازار'!F$5:F$3994),IF(ISERROR(_xlpm.lookup_result),V6,_xlpm.lookup_result)),V6)</f>
        <v>55530</v>
      </c>
      <c r="G6" s="119">
        <f>IFERROR(_xlfn.LET(_xlpm.lookup_result,_xlfn.XLOOKUP($C6,'دیده بان بازار'!$A$5:$A$3994,'دیده بان بازار'!H$5:H$3994),IF(ISERROR(_xlpm.lookup_result),W6,_xlpm.lookup_result)),W6)</f>
        <v>57190</v>
      </c>
      <c r="H6" s="119">
        <f>IFERROR(_xlfn.LET(_xlpm.lookup_result,_xlfn.XLOOKUP($C6,'دیده بان بازار'!$A$5:$A$3994,'دیده بان بازار'!K$5:K$3994),IF(ISERROR(_xlpm.lookup_result),X6,_xlpm.lookup_result)),X6)</f>
        <v>57170</v>
      </c>
      <c r="I6" s="119">
        <f>IFERROR(_xlfn.LET(_xlpm.lookup_result,_xlfn.XLOOKUP($C6,'دیده بان بازار'!$A$5:$A$3994,'دیده بان بازار'!P$5:P$3994),IF(ISERROR(_xlpm.lookup_result),Y6,_xlpm.lookup_result)),Y6)</f>
        <v>11890</v>
      </c>
      <c r="J6" s="119">
        <f>IFERROR(_xlfn.LET(_xlpm.lookup_result,_xlfn.XLOOKUP($C6,'دیده بان بازار'!$A$5:$A$3994,'دیده بان بازار'!Q$5:Q$3994),IF(ISERROR(_xlpm.lookup_result),Z6,_xlpm.lookup_result)),Z6)</f>
        <v>4.8099999999999996</v>
      </c>
      <c r="K6" s="1664">
        <f>_xlfn.XLOOKUP(C6,Cement!$Q$7:$Q$35,Cement!$S$7:$S$35,"")/1000</f>
        <v>7.6634599999999997</v>
      </c>
      <c r="L6" s="1742">
        <f>_xlfn.XLOOKUP(C6,'Cement Portfolio'!$O$8:$O$36,'Cement Portfolio'!$AP$8:$AP$36,"")</f>
        <v>280000</v>
      </c>
      <c r="M6" s="1665">
        <f>_xlfn.XLOOKUP(C6,'Cement Portfolio'!$O$8:$O$36,'Cement Portfolio'!$AQ$8:$AQ$36,"")</f>
        <v>1587228.3839999998</v>
      </c>
      <c r="O6" s="1752" t="str">
        <f>IF(AND(Q6&lt;0,R6&lt;0,Q6&lt;R6),Q6-R6,"")</f>
        <v/>
      </c>
      <c r="P6" s="1753" t="str">
        <f t="shared" ref="P6:P50" si="0">IF(AND(Q6&gt;=0,R6&gt;=0,Q6&gt;R6),Q6-R6,"")</f>
        <v/>
      </c>
      <c r="Q6" s="1754">
        <f t="shared" ref="Q6:Q34" si="1">IFERROR(((K6-AA6)*100)/ABS($K$106),"")</f>
        <v>8.1787074554985156E-2</v>
      </c>
      <c r="R6" s="1755">
        <f t="shared" ref="R6:R34" si="2">IFERROR((($AB6*$G6*0.9912*0.0001)-AC6)*100/ABS($AC$108),"")</f>
        <v>2.8519501082438192</v>
      </c>
      <c r="S6" s="1753">
        <f>IF(AND(R6&gt;0,Q6&gt;0,R6&gt;Q6),R6-Q6,"")</f>
        <v>2.7701630336888341</v>
      </c>
      <c r="T6" s="1756" t="str">
        <f>IF(AND(R6&lt;0,Q6&lt;0,R6&lt;Q6),R6-Q6,"")</f>
        <v/>
      </c>
      <c r="U6" s="1614"/>
      <c r="V6" s="1614">
        <v>54640</v>
      </c>
      <c r="W6" s="1614">
        <v>56100</v>
      </c>
      <c r="X6" s="1614">
        <v>55530</v>
      </c>
      <c r="Y6" s="1614">
        <v>11890</v>
      </c>
      <c r="Z6" s="1614">
        <v>4.67</v>
      </c>
      <c r="AA6" s="1620">
        <v>7.5173999999999994</v>
      </c>
      <c r="AB6" s="508">
        <v>280000</v>
      </c>
      <c r="AC6" s="1621">
        <v>1556976.96</v>
      </c>
    </row>
    <row r="7" spans="1:30" ht="20" customHeight="1">
      <c r="A7" s="1614">
        <f>IFERROR(MATCH(C7,'دیده بان بازار'!$A$5:$A$3994,0 )+4,"Closed")</f>
        <v>517</v>
      </c>
      <c r="B7" s="1652" t="s">
        <v>30</v>
      </c>
      <c r="C7" s="1652" t="s">
        <v>31</v>
      </c>
      <c r="D7" s="1615" t="s">
        <v>29</v>
      </c>
      <c r="E7" s="1616"/>
      <c r="F7" s="119">
        <f>IFERROR(_xlfn.LET(_xlpm.lookup_result,_xlfn.XLOOKUP($C7,'دیده بان بازار'!$A$5:$A$3994,'دیده بان بازار'!F$5:F$3994),IF(ISERROR(_xlpm.lookup_result),V7,_xlpm.lookup_result)),V7)</f>
        <v>19150</v>
      </c>
      <c r="G7" s="119">
        <f>IFERROR(_xlfn.LET(_xlpm.lookup_result,_xlfn.XLOOKUP($C7,'دیده بان بازار'!$A$5:$A$3994,'دیده بان بازار'!H$5:H$3994),IF(ISERROR(_xlpm.lookup_result),W7,_xlpm.lookup_result)),W7)</f>
        <v>19720</v>
      </c>
      <c r="H7" s="119">
        <f>IFERROR(_xlfn.LET(_xlpm.lookup_result,_xlfn.XLOOKUP($C7,'دیده بان بازار'!$A$5:$A$3994,'دیده بان بازار'!K$5:K$3994),IF(ISERROR(_xlpm.lookup_result),X7,_xlpm.lookup_result)),X7)</f>
        <v>19720</v>
      </c>
      <c r="I7" s="119">
        <f>IFERROR(_xlfn.LET(_xlpm.lookup_result,_xlfn.XLOOKUP($C7,'دیده بان بازار'!$A$5:$A$3994,'دیده بان بازار'!P$5:P$3994),IF(ISERROR(_xlpm.lookup_result),Y7,_xlpm.lookup_result)),Y7)</f>
        <v>3056</v>
      </c>
      <c r="J7" s="119">
        <f>IFERROR(_xlfn.LET(_xlpm.lookup_result,_xlfn.XLOOKUP($C7,'دیده بان بازار'!$A$5:$A$3994,'دیده بان بازار'!Q$5:Q$3994),IF(ISERROR(_xlpm.lookup_result),Z7,_xlpm.lookup_result)),Z7)</f>
        <v>6.45</v>
      </c>
      <c r="K7" s="1664">
        <f>_xlfn.XLOOKUP(C7,Cement!$Q$7:$Q$35,Cement!$S$7:$S$35,"")/1000</f>
        <v>12.2264</v>
      </c>
      <c r="L7" s="1742">
        <f>_xlfn.XLOOKUP(C7,'Cement Portfolio'!$O$8:$O$36,'Cement Portfolio'!$AP$8:$AP$36,"")</f>
        <v>100000</v>
      </c>
      <c r="M7" s="1665">
        <f>_xlfn.XLOOKUP(C7,'Cement Portfolio'!$O$8:$O$36,'Cement Portfolio'!$AQ$8:$AQ$36,"")</f>
        <v>195464.63999999998</v>
      </c>
      <c r="O7" s="1752" t="str">
        <f>IF(AND(Q7&lt;0,R7&lt;0,Q7&lt;R7),Q7-R7,"")</f>
        <v/>
      </c>
      <c r="P7" s="1753" t="str">
        <f t="shared" si="0"/>
        <v/>
      </c>
      <c r="Q7" s="1754">
        <f t="shared" si="1"/>
        <v>0.18747304231828657</v>
      </c>
      <c r="R7" s="1755">
        <f t="shared" si="2"/>
        <v>1.5138136223312539</v>
      </c>
      <c r="S7" s="1753">
        <f>IF(AND(R7&gt;0,Q7&gt;0,R7&gt;Q7),R7-Q7,"")</f>
        <v>1.3263405800129673</v>
      </c>
      <c r="T7" s="1756" t="str">
        <f>IF(AND(R7&lt;0,Q7&lt;0,R7&lt;Q7),R7-Q7,"")</f>
        <v/>
      </c>
      <c r="U7" s="1614"/>
      <c r="V7" s="1614">
        <v>18630</v>
      </c>
      <c r="W7" s="1614">
        <v>19180</v>
      </c>
      <c r="X7" s="1614">
        <v>19150</v>
      </c>
      <c r="Y7" s="1614">
        <v>3056</v>
      </c>
      <c r="Z7" s="1614">
        <v>6.27</v>
      </c>
      <c r="AA7" s="1620">
        <v>11.8916</v>
      </c>
      <c r="AB7" s="508">
        <v>300000</v>
      </c>
      <c r="AC7" s="1621">
        <v>570336.48</v>
      </c>
      <c r="AD7" s="993"/>
    </row>
    <row r="8" spans="1:30" ht="20" customHeight="1">
      <c r="A8" s="1614">
        <f>IFERROR(MATCH(C8,'دیده بان بازار'!$A$5:$A$3994,0 )+4,"Closed")</f>
        <v>167</v>
      </c>
      <c r="B8" s="1652" t="s">
        <v>32</v>
      </c>
      <c r="C8" s="1652" t="s">
        <v>33</v>
      </c>
      <c r="D8" s="1615" t="s">
        <v>29</v>
      </c>
      <c r="E8" s="1616"/>
      <c r="F8" s="119">
        <f>IFERROR(_xlfn.LET(_xlpm.lookup_result,_xlfn.XLOOKUP($C8,'دیده بان بازار'!$A$5:$A$3994,'دیده بان بازار'!F$5:F$3994),IF(ISERROR(_xlpm.lookup_result),V8,_xlpm.lookup_result)),V8)</f>
        <v>11230</v>
      </c>
      <c r="G8" s="119">
        <f>IFERROR(_xlfn.LET(_xlpm.lookup_result,_xlfn.XLOOKUP($C8,'دیده بان بازار'!$A$5:$A$3994,'دیده بان بازار'!H$5:H$3994),IF(ISERROR(_xlpm.lookup_result),W8,_xlpm.lookup_result)),W8)</f>
        <v>11560</v>
      </c>
      <c r="H8" s="119">
        <f>IFERROR(_xlfn.LET(_xlpm.lookup_result,_xlfn.XLOOKUP($C8,'دیده بان بازار'!$A$5:$A$3994,'دیده بان بازار'!K$5:K$3994),IF(ISERROR(_xlpm.lookup_result),X8,_xlpm.lookup_result)),X8)</f>
        <v>11520</v>
      </c>
      <c r="I8" s="119">
        <f>IFERROR(_xlfn.LET(_xlpm.lookup_result,_xlfn.XLOOKUP($C8,'دیده بان بازار'!$A$5:$A$3994,'دیده بان بازار'!P$5:P$3994),IF(ISERROR(_xlpm.lookup_result),Y8,_xlpm.lookup_result)),Y8)</f>
        <v>1929</v>
      </c>
      <c r="J8" s="119">
        <f>IFERROR(_xlfn.LET(_xlpm.lookup_result,_xlfn.XLOOKUP($C8,'دیده بان بازار'!$A$5:$A$3994,'دیده بان بازار'!Q$5:Q$3994),IF(ISERROR(_xlpm.lookup_result),Z8,_xlpm.lookup_result)),Z8)</f>
        <v>5.97</v>
      </c>
      <c r="K8" s="1664">
        <f>_xlfn.XLOOKUP(C8,Cement!$Q$7:$Q$35,Cement!$S$7:$S$35,"")/1000</f>
        <v>6.1268000000000002</v>
      </c>
      <c r="L8" s="1742">
        <f>_xlfn.XLOOKUP(C8,'Cement Portfolio'!$O$8:$O$36,'Cement Portfolio'!$AP$8:$AP$36,"")</f>
        <v>2650000</v>
      </c>
      <c r="M8" s="1665">
        <f>_xlfn.XLOOKUP(C8,'Cement Portfolio'!$O$8:$O$36,'Cement Portfolio'!$AQ$8:$AQ$36,"")</f>
        <v>3036442.08</v>
      </c>
      <c r="O8" s="1752" t="str">
        <f t="shared" ref="O8:O34" si="3">IF(AND(Q8&lt;0,R8&lt;0,Q8&lt;R8),Q8-R8,"")</f>
        <v/>
      </c>
      <c r="P8" s="1753" t="str">
        <f t="shared" si="0"/>
        <v/>
      </c>
      <c r="Q8" s="1754">
        <f t="shared" si="1"/>
        <v>8.9032896441480186E-2</v>
      </c>
      <c r="R8" s="1755">
        <f t="shared" si="2"/>
        <v>7.428900183662642</v>
      </c>
      <c r="S8" s="1753">
        <f t="shared" ref="S8:S33" si="4">IF(AND(R8&gt;0,Q8&gt;0,R8&gt;Q8),R8-Q8,"")</f>
        <v>7.3398672872211614</v>
      </c>
      <c r="T8" s="1756" t="str">
        <f t="shared" ref="T8:T33" si="5">IF(AND(R8&lt;0,Q8&lt;0,R8&lt;Q8),R8-Q8,"")</f>
        <v/>
      </c>
      <c r="U8" s="1614"/>
      <c r="V8" s="1614">
        <v>10960</v>
      </c>
      <c r="W8" s="1614">
        <v>11260</v>
      </c>
      <c r="X8" s="1614">
        <v>11230</v>
      </c>
      <c r="Y8" s="1614">
        <v>1929</v>
      </c>
      <c r="Z8" s="1614">
        <v>5.82</v>
      </c>
      <c r="AA8" s="1620">
        <v>5.9678000000000004</v>
      </c>
      <c r="AB8" s="508">
        <v>2650000</v>
      </c>
      <c r="AC8" s="1621">
        <v>2957641.6799999997</v>
      </c>
    </row>
    <row r="9" spans="1:30" ht="20" customHeight="1">
      <c r="A9" s="1614">
        <f>IFERROR(MATCH(C9,'دیده بان بازار'!$A$5:$A$3994,0 )+4,"Closed")</f>
        <v>1362</v>
      </c>
      <c r="B9" s="1652" t="s">
        <v>34</v>
      </c>
      <c r="C9" s="1652" t="s">
        <v>35</v>
      </c>
      <c r="D9" s="1615" t="s">
        <v>29</v>
      </c>
      <c r="E9" s="1616"/>
      <c r="F9" s="119">
        <f>IFERROR(_xlfn.LET(_xlpm.lookup_result,_xlfn.XLOOKUP($C9,'دیده بان بازار'!$A$5:$A$3994,'دیده بان بازار'!F$5:F$3994),IF(ISERROR(_xlpm.lookup_result),V9,_xlpm.lookup_result)),V9)</f>
        <v>5310</v>
      </c>
      <c r="G9" s="119">
        <f>IFERROR(_xlfn.LET(_xlpm.lookup_result,_xlfn.XLOOKUP($C9,'دیده بان بازار'!$A$5:$A$3994,'دیده بان بازار'!H$5:H$3994),IF(ISERROR(_xlpm.lookup_result),W9,_xlpm.lookup_result)),W9)</f>
        <v>5460</v>
      </c>
      <c r="H9" s="119">
        <f>IFERROR(_xlfn.LET(_xlpm.lookup_result,_xlfn.XLOOKUP($C9,'دیده بان بازار'!$A$5:$A$3994,'دیده بان بازار'!K$5:K$3994),IF(ISERROR(_xlpm.lookup_result),X9,_xlpm.lookup_result)),X9)</f>
        <v>5460</v>
      </c>
      <c r="I9" s="119">
        <f>IFERROR(_xlfn.LET(_xlpm.lookup_result,_xlfn.XLOOKUP($C9,'دیده بان بازار'!$A$5:$A$3994,'دیده بان بازار'!P$5:P$3994),IF(ISERROR(_xlpm.lookup_result),Y9,_xlpm.lookup_result)),Y9)</f>
        <v>989</v>
      </c>
      <c r="J9" s="119">
        <f>IFERROR(_xlfn.LET(_xlpm.lookup_result,_xlfn.XLOOKUP($C9,'دیده بان بازار'!$A$5:$A$3994,'دیده بان بازار'!Q$5:Q$3994),IF(ISERROR(_xlpm.lookup_result),Z9,_xlpm.lookup_result)),Z9)</f>
        <v>5.52</v>
      </c>
      <c r="K9" s="1664">
        <f>_xlfn.XLOOKUP(C9,Cement!$Q$7:$Q$35,Cement!$S$7:$S$35,"")/1000</f>
        <v>4.0404</v>
      </c>
      <c r="L9" s="1742">
        <f>_xlfn.XLOOKUP(C9,'Cement Portfolio'!$O$8:$O$36,'Cement Portfolio'!$AP$8:$AP$36,"")</f>
        <v>2400000</v>
      </c>
      <c r="M9" s="1665">
        <f>_xlfn.XLOOKUP(C9,'Cement Portfolio'!$O$8:$O$36,'Cement Portfolio'!$AQ$8:$AQ$36,"")</f>
        <v>1298868.48</v>
      </c>
      <c r="O9" s="1752" t="str">
        <f t="shared" si="3"/>
        <v/>
      </c>
      <c r="P9" s="1753" t="str">
        <f t="shared" si="0"/>
        <v/>
      </c>
      <c r="Q9" s="1754">
        <f t="shared" si="1"/>
        <v>5.8011371517844849E-2</v>
      </c>
      <c r="R9" s="1755">
        <f t="shared" si="2"/>
        <v>3.1397615870574098</v>
      </c>
      <c r="S9" s="1753">
        <f t="shared" si="4"/>
        <v>3.0817502155395649</v>
      </c>
      <c r="T9" s="1756" t="str">
        <f t="shared" si="5"/>
        <v/>
      </c>
      <c r="U9" s="1614"/>
      <c r="V9" s="1614">
        <v>5170</v>
      </c>
      <c r="W9" s="1614">
        <v>5320</v>
      </c>
      <c r="X9" s="1614">
        <v>5310</v>
      </c>
      <c r="Y9" s="1614">
        <v>989</v>
      </c>
      <c r="Z9" s="1614">
        <v>5.37</v>
      </c>
      <c r="AA9" s="1620">
        <v>3.9368000000000003</v>
      </c>
      <c r="AB9" s="508">
        <v>2400000</v>
      </c>
      <c r="AC9" s="1621">
        <v>1265564.1599999999</v>
      </c>
    </row>
    <row r="10" spans="1:30" ht="20" customHeight="1">
      <c r="A10" s="1614">
        <f>IFERROR(MATCH(C10,'دیده بان بازار'!$A$5:$A$3994,0 )+4,"Closed")</f>
        <v>1658</v>
      </c>
      <c r="B10" s="1652" t="s">
        <v>36</v>
      </c>
      <c r="C10" s="1652" t="s">
        <v>37</v>
      </c>
      <c r="D10" s="1615" t="s">
        <v>29</v>
      </c>
      <c r="E10" s="1616"/>
      <c r="F10" s="119">
        <f>IFERROR(_xlfn.LET(_xlpm.lookup_result,_xlfn.XLOOKUP($C10,'دیده بان بازار'!$A$5:$A$3994,'دیده بان بازار'!F$5:F$3994),IF(ISERROR(_xlpm.lookup_result),V10,_xlpm.lookup_result)),V10)</f>
        <v>18740</v>
      </c>
      <c r="G10" s="119">
        <f>IFERROR(_xlfn.LET(_xlpm.lookup_result,_xlfn.XLOOKUP($C10,'دیده بان بازار'!$A$5:$A$3994,'دیده بان بازار'!H$5:H$3994),IF(ISERROR(_xlpm.lookup_result),W10,_xlpm.lookup_result)),W10)</f>
        <v>19300</v>
      </c>
      <c r="H10" s="119">
        <f>IFERROR(_xlfn.LET(_xlpm.lookup_result,_xlfn.XLOOKUP($C10,'دیده بان بازار'!$A$5:$A$3994,'دیده بان بازار'!K$5:K$3994),IF(ISERROR(_xlpm.lookup_result),X10,_xlpm.lookup_result)),X10)</f>
        <v>19290</v>
      </c>
      <c r="I10" s="119">
        <f>IFERROR(_xlfn.LET(_xlpm.lookup_result,_xlfn.XLOOKUP($C10,'دیده بان بازار'!$A$5:$A$3994,'دیده بان بازار'!P$5:P$3994),IF(ISERROR(_xlpm.lookup_result),Y10,_xlpm.lookup_result)),Y10)</f>
        <v>2433</v>
      </c>
      <c r="J10" s="119">
        <f>IFERROR(_xlfn.LET(_xlpm.lookup_result,_xlfn.XLOOKUP($C10,'دیده بان بازار'!$A$5:$A$3994,'دیده بان بازار'!Q$5:Q$3994),IF(ISERROR(_xlpm.lookup_result),Z10,_xlpm.lookup_result)),Z10)</f>
        <v>7.93</v>
      </c>
      <c r="K10" s="1664">
        <f>_xlfn.XLOOKUP(C10,Cement!$Q$7:$Q$35,Cement!$S$7:$S$35,"")/1000</f>
        <v>13.0275</v>
      </c>
      <c r="L10" s="1742">
        <f>_xlfn.XLOOKUP(C10,'Cement Portfolio'!$O$8:$O$36,'Cement Portfolio'!$AP$8:$AP$36,"")</f>
        <v>0</v>
      </c>
      <c r="M10" s="1665">
        <f>_xlfn.XLOOKUP(C10,'Cement Portfolio'!$O$8:$O$36,'Cement Portfolio'!$AQ$8:$AQ$36,"")</f>
        <v>0</v>
      </c>
      <c r="O10" s="1752" t="str">
        <f t="shared" si="3"/>
        <v/>
      </c>
      <c r="P10" s="1753">
        <f t="shared" si="0"/>
        <v>0.20410371542716688</v>
      </c>
      <c r="Q10" s="1754">
        <f t="shared" si="1"/>
        <v>0.20410371542716688</v>
      </c>
      <c r="R10" s="1755">
        <f t="shared" si="2"/>
        <v>0</v>
      </c>
      <c r="S10" s="1753" t="str">
        <f t="shared" si="4"/>
        <v/>
      </c>
      <c r="T10" s="1756" t="str">
        <f t="shared" si="5"/>
        <v/>
      </c>
      <c r="U10" s="1614"/>
      <c r="V10" s="1614">
        <v>18220</v>
      </c>
      <c r="W10" s="1614">
        <v>18760</v>
      </c>
      <c r="X10" s="1614">
        <v>18740</v>
      </c>
      <c r="Y10" s="1614">
        <v>2433</v>
      </c>
      <c r="Z10" s="1614">
        <v>7.7</v>
      </c>
      <c r="AA10" s="1620">
        <v>12.663</v>
      </c>
      <c r="AB10" s="508">
        <v>0</v>
      </c>
      <c r="AC10" s="1621">
        <v>0</v>
      </c>
    </row>
    <row r="11" spans="1:30" ht="20" customHeight="1">
      <c r="A11" s="1614">
        <f>IFERROR(MATCH(C11,'دیده بان بازار'!$A$5:$A$3994,0 )+4,"Closed")</f>
        <v>1754</v>
      </c>
      <c r="B11" s="1652" t="s">
        <v>38</v>
      </c>
      <c r="C11" s="1652" t="s">
        <v>39</v>
      </c>
      <c r="D11" s="1615" t="s">
        <v>29</v>
      </c>
      <c r="E11" s="1616"/>
      <c r="F11" s="119">
        <f>IFERROR(_xlfn.LET(_xlpm.lookup_result,_xlfn.XLOOKUP($C11,'دیده بان بازار'!$A$5:$A$3994,'دیده بان بازار'!F$5:F$3994),IF(ISERROR(_xlpm.lookup_result),V11,_xlpm.lookup_result)),V11)</f>
        <v>16180</v>
      </c>
      <c r="G11" s="119">
        <f>IFERROR(_xlfn.LET(_xlpm.lookup_result,_xlfn.XLOOKUP($C11,'دیده بان بازار'!$A$5:$A$3994,'دیده بان بازار'!H$5:H$3994),IF(ISERROR(_xlpm.lookup_result),W11,_xlpm.lookup_result)),W11)</f>
        <v>16660</v>
      </c>
      <c r="H11" s="119">
        <f>IFERROR(_xlfn.LET(_xlpm.lookup_result,_xlfn.XLOOKUP($C11,'دیده بان بازار'!$A$5:$A$3994,'دیده بان بازار'!K$5:K$3994),IF(ISERROR(_xlpm.lookup_result),X11,_xlpm.lookup_result)),X11)</f>
        <v>16660</v>
      </c>
      <c r="I11" s="119">
        <f>IFERROR(_xlfn.LET(_xlpm.lookup_result,_xlfn.XLOOKUP($C11,'دیده بان بازار'!$A$5:$A$3994,'دیده بان بازار'!P$5:P$3994),IF(ISERROR(_xlpm.lookup_result),Y11,_xlpm.lookup_result)),Y11)</f>
        <v>2424</v>
      </c>
      <c r="J11" s="119">
        <f>IFERROR(_xlfn.LET(_xlpm.lookup_result,_xlfn.XLOOKUP($C11,'دیده بان بازار'!$A$5:$A$3994,'دیده بان بازار'!Q$5:Q$3994),IF(ISERROR(_xlpm.lookup_result),Z11,_xlpm.lookup_result)),Z11)</f>
        <v>6.87</v>
      </c>
      <c r="K11" s="1664">
        <f>_xlfn.XLOOKUP(C11,Cement!$Q$7:$Q$35,Cement!$S$7:$S$35,"")/1000</f>
        <v>15.993698294</v>
      </c>
      <c r="L11" s="1742">
        <f>_xlfn.XLOOKUP(C11,'Cement Portfolio'!$O$8:$O$36,'Cement Portfolio'!$AP$8:$AP$36,"")</f>
        <v>1000000</v>
      </c>
      <c r="M11" s="1665">
        <f>_xlfn.XLOOKUP(C11,'Cement Portfolio'!$O$8:$O$36,'Cement Portfolio'!$AQ$8:$AQ$36,"")</f>
        <v>1651339.2</v>
      </c>
      <c r="O11" s="1752" t="str">
        <f t="shared" si="3"/>
        <v/>
      </c>
      <c r="P11" s="1753" t="str">
        <f t="shared" si="0"/>
        <v/>
      </c>
      <c r="Q11" s="1754">
        <f t="shared" si="1"/>
        <v>0.25802899887670905</v>
      </c>
      <c r="R11" s="1755">
        <f t="shared" si="2"/>
        <v>4.4853736957963219</v>
      </c>
      <c r="S11" s="1753">
        <f t="shared" si="4"/>
        <v>4.2273446969196131</v>
      </c>
      <c r="T11" s="1756" t="str">
        <f t="shared" si="5"/>
        <v/>
      </c>
      <c r="U11" s="1614"/>
      <c r="V11" s="1614">
        <v>15710</v>
      </c>
      <c r="W11" s="1614">
        <v>16180</v>
      </c>
      <c r="X11" s="1614">
        <v>16180</v>
      </c>
      <c r="Y11" s="1614">
        <v>2424</v>
      </c>
      <c r="Z11" s="1614">
        <v>6.67</v>
      </c>
      <c r="AA11" s="1620">
        <v>15.532895462000001</v>
      </c>
      <c r="AB11" s="508">
        <v>1000000</v>
      </c>
      <c r="AC11" s="1621">
        <v>1603761.5999999999</v>
      </c>
    </row>
    <row r="12" spans="1:30" ht="20" customHeight="1">
      <c r="A12" s="1614">
        <f>IFERROR(MATCH(C12,'دیده بان بازار'!$A$5:$A$3994,0 )+4,"Closed")</f>
        <v>648</v>
      </c>
      <c r="B12" s="1652" t="s">
        <v>40</v>
      </c>
      <c r="C12" s="1652" t="s">
        <v>41</v>
      </c>
      <c r="D12" s="1615" t="s">
        <v>29</v>
      </c>
      <c r="E12" s="1616"/>
      <c r="F12" s="119">
        <f>IFERROR(_xlfn.LET(_xlpm.lookup_result,_xlfn.XLOOKUP($C12,'دیده بان بازار'!$A$5:$A$3994,'دیده بان بازار'!F$5:F$3994),IF(ISERROR(_xlpm.lookup_result),V12,_xlpm.lookup_result)),V12)</f>
        <v>71630</v>
      </c>
      <c r="G12" s="119">
        <f>IFERROR(_xlfn.LET(_xlpm.lookup_result,_xlfn.XLOOKUP($C12,'دیده بان بازار'!$A$5:$A$3994,'دیده بان بازار'!H$5:H$3994),IF(ISERROR(_xlpm.lookup_result),W12,_xlpm.lookup_result)),W12)</f>
        <v>73770</v>
      </c>
      <c r="H12" s="119">
        <f>IFERROR(_xlfn.LET(_xlpm.lookup_result,_xlfn.XLOOKUP($C12,'دیده بان بازار'!$A$5:$A$3994,'دیده بان بازار'!K$5:K$3994),IF(ISERROR(_xlpm.lookup_result),X12,_xlpm.lookup_result)),X12)</f>
        <v>73770</v>
      </c>
      <c r="I12" s="119">
        <f>IFERROR(_xlfn.LET(_xlpm.lookup_result,_xlfn.XLOOKUP($C12,'دیده بان بازار'!$A$5:$A$3994,'دیده بان بازار'!P$5:P$3994),IF(ISERROR(_xlpm.lookup_result),Y12,_xlpm.lookup_result)),Y12)</f>
        <v>15662</v>
      </c>
      <c r="J12" s="119">
        <f>IFERROR(_xlfn.LET(_xlpm.lookup_result,_xlfn.XLOOKUP($C12,'دیده بان بازار'!$A$5:$A$3994,'دیده بان بازار'!Q$5:Q$3994),IF(ISERROR(_xlpm.lookup_result),Z12,_xlpm.lookup_result)),Z12)</f>
        <v>4.71</v>
      </c>
      <c r="K12" s="1664">
        <f>_xlfn.XLOOKUP(C12,Cement!$Q$7:$Q$35,Cement!$S$7:$S$35,"")/1000</f>
        <v>10.3278</v>
      </c>
      <c r="L12" s="1742">
        <f>_xlfn.XLOOKUP(C12,'Cement Portfolio'!$O$8:$O$36,'Cement Portfolio'!$AP$8:$AP$36,"")</f>
        <v>0</v>
      </c>
      <c r="M12" s="1665">
        <f>_xlfn.XLOOKUP(C12,'Cement Portfolio'!$O$8:$O$36,'Cement Portfolio'!$AQ$8:$AQ$36,"")</f>
        <v>0</v>
      </c>
      <c r="O12" s="1752" t="str">
        <f>IF(AND(Q12&lt;0,R12&lt;0,Q12&lt;R12),Q12-R12,"")</f>
        <v/>
      </c>
      <c r="P12" s="1753">
        <f t="shared" si="0"/>
        <v>0.16776261492998418</v>
      </c>
      <c r="Q12" s="1754">
        <f t="shared" si="1"/>
        <v>0.16776261492998418</v>
      </c>
      <c r="R12" s="1755">
        <f t="shared" si="2"/>
        <v>0</v>
      </c>
      <c r="S12" s="1753" t="str">
        <f t="shared" si="4"/>
        <v/>
      </c>
      <c r="T12" s="1756" t="str">
        <f t="shared" si="5"/>
        <v/>
      </c>
      <c r="U12" s="1614"/>
      <c r="V12" s="1614">
        <v>69550</v>
      </c>
      <c r="W12" s="1614">
        <v>71630</v>
      </c>
      <c r="X12" s="1614">
        <v>71630</v>
      </c>
      <c r="Y12" s="1614">
        <v>15662</v>
      </c>
      <c r="Z12" s="1614">
        <v>4.57</v>
      </c>
      <c r="AA12" s="1620">
        <v>10.0282</v>
      </c>
      <c r="AB12" s="508">
        <v>0</v>
      </c>
      <c r="AC12" s="1621">
        <v>0</v>
      </c>
    </row>
    <row r="13" spans="1:30" ht="20" customHeight="1">
      <c r="A13" s="1614">
        <f>IFERROR(MATCH(C13,'دیده بان بازار'!$A$5:$A$3994,0 )+4,"Closed")</f>
        <v>197</v>
      </c>
      <c r="B13" s="1652" t="s">
        <v>42</v>
      </c>
      <c r="C13" s="1652" t="s">
        <v>43</v>
      </c>
      <c r="D13" s="1615" t="s">
        <v>29</v>
      </c>
      <c r="E13" s="1616"/>
      <c r="F13" s="119">
        <f>IFERROR(_xlfn.LET(_xlpm.lookup_result,_xlfn.XLOOKUP($C13,'دیده بان بازار'!$A$5:$A$3994,'دیده بان بازار'!F$5:F$3994),IF(ISERROR(_xlpm.lookup_result),V13,_xlpm.lookup_result)),V13)</f>
        <v>199400</v>
      </c>
      <c r="G13" s="119">
        <f>IFERROR(_xlfn.LET(_xlpm.lookup_result,_xlfn.XLOOKUP($C13,'دیده بان بازار'!$A$5:$A$3994,'دیده بان بازار'!H$5:H$3994),IF(ISERROR(_xlpm.lookup_result),W13,_xlpm.lookup_result)),W13)</f>
        <v>205300</v>
      </c>
      <c r="H13" s="119">
        <f>IFERROR(_xlfn.LET(_xlpm.lookup_result,_xlfn.XLOOKUP($C13,'دیده بان بازار'!$A$5:$A$3994,'دیده بان بازار'!K$5:K$3994),IF(ISERROR(_xlpm.lookup_result),X13,_xlpm.lookup_result)),X13)</f>
        <v>205300</v>
      </c>
      <c r="I13" s="119">
        <f>IFERROR(_xlfn.LET(_xlpm.lookup_result,_xlfn.XLOOKUP($C13,'دیده بان بازار'!$A$5:$A$3994,'دیده بان بازار'!P$5:P$3994),IF(ISERROR(_xlpm.lookup_result),Y13,_xlpm.lookup_result)),Y13)</f>
        <v>34336</v>
      </c>
      <c r="J13" s="119">
        <f>IFERROR(_xlfn.LET(_xlpm.lookup_result,_xlfn.XLOOKUP($C13,'دیده بان بازار'!$A$5:$A$3994,'دیده بان بازار'!Q$5:Q$3994),IF(ISERROR(_xlpm.lookup_result),Z13,_xlpm.lookup_result)),Z13)</f>
        <v>5.98</v>
      </c>
      <c r="K13" s="1664">
        <f>_xlfn.XLOOKUP(C13,Cement!$Q$7:$Q$35,Cement!$S$7:$S$35,"")/1000</f>
        <v>20.53</v>
      </c>
      <c r="L13" s="1742">
        <f>_xlfn.XLOOKUP(C13,'Cement Portfolio'!$O$8:$O$36,'Cement Portfolio'!$AP$8:$AP$36,"")</f>
        <v>90000</v>
      </c>
      <c r="M13" s="1665">
        <f>_xlfn.XLOOKUP(C13,'Cement Portfolio'!$O$8:$O$36,'Cement Portfolio'!$AQ$8:$AQ$36,"")</f>
        <v>1831440.24</v>
      </c>
      <c r="O13" s="1752" t="str">
        <f t="shared" si="3"/>
        <v/>
      </c>
      <c r="P13" s="1753" t="str">
        <f t="shared" si="0"/>
        <v/>
      </c>
      <c r="Q13" s="1754">
        <f t="shared" si="1"/>
        <v>0.33037364088348026</v>
      </c>
      <c r="R13" s="1755">
        <f t="shared" si="2"/>
        <v>4.9619446509746448</v>
      </c>
      <c r="S13" s="1753">
        <f t="shared" si="4"/>
        <v>4.6315710100911645</v>
      </c>
      <c r="T13" s="1756" t="str">
        <f t="shared" si="5"/>
        <v/>
      </c>
      <c r="U13" s="1614"/>
      <c r="V13" s="1614">
        <v>193600</v>
      </c>
      <c r="W13" s="1614">
        <v>199400</v>
      </c>
      <c r="X13" s="1614">
        <v>199400</v>
      </c>
      <c r="Y13" s="1614">
        <v>34336</v>
      </c>
      <c r="Z13" s="1614">
        <v>5.81</v>
      </c>
      <c r="AA13" s="1620">
        <v>19.940000000000001</v>
      </c>
      <c r="AB13" s="508">
        <v>90000</v>
      </c>
      <c r="AC13" s="1621">
        <v>1778807.52</v>
      </c>
    </row>
    <row r="14" spans="1:30" ht="20" customHeight="1">
      <c r="A14" s="1614">
        <f>IFERROR(MATCH(C14,'دیده بان بازار'!$A$5:$A$3994,0 )+4,"Closed")</f>
        <v>2060</v>
      </c>
      <c r="B14" s="1652" t="s">
        <v>44</v>
      </c>
      <c r="C14" s="1652" t="s">
        <v>45</v>
      </c>
      <c r="D14" s="1615" t="s">
        <v>29</v>
      </c>
      <c r="E14" s="1616"/>
      <c r="F14" s="119">
        <f>IFERROR(_xlfn.LET(_xlpm.lookup_result,_xlfn.XLOOKUP($C14,'دیده بان بازار'!$A$5:$A$3994,'دیده بان بازار'!F$5:F$3994),IF(ISERROR(_xlpm.lookup_result),V14,_xlpm.lookup_result)),V14)</f>
        <v>5370</v>
      </c>
      <c r="G14" s="119">
        <f>IFERROR(_xlfn.LET(_xlpm.lookup_result,_xlfn.XLOOKUP($C14,'دیده بان بازار'!$A$5:$A$3994,'دیده بان بازار'!H$5:H$3994),IF(ISERROR(_xlpm.lookup_result),W14,_xlpm.lookup_result)),W14)</f>
        <v>5530</v>
      </c>
      <c r="H14" s="119">
        <f>IFERROR(_xlfn.LET(_xlpm.lookup_result,_xlfn.XLOOKUP($C14,'دیده بان بازار'!$A$5:$A$3994,'دیده بان بازار'!K$5:K$3994),IF(ISERROR(_xlpm.lookup_result),X14,_xlpm.lookup_result)),X14)</f>
        <v>5530</v>
      </c>
      <c r="I14" s="119">
        <f>IFERROR(_xlfn.LET(_xlpm.lookup_result,_xlfn.XLOOKUP($C14,'دیده بان بازار'!$A$5:$A$3994,'دیده بان بازار'!P$5:P$3994),IF(ISERROR(_xlpm.lookup_result),Y14,_xlpm.lookup_result)),Y14)</f>
        <v>822</v>
      </c>
      <c r="J14" s="119">
        <f>IFERROR(_xlfn.LET(_xlpm.lookup_result,_xlfn.XLOOKUP($C14,'دیده بان بازار'!$A$5:$A$3994,'دیده بان بازار'!Q$5:Q$3994),IF(ISERROR(_xlpm.lookup_result),Z14,_xlpm.lookup_result)),Z14)</f>
        <v>6.73</v>
      </c>
      <c r="K14" s="1664">
        <f>_xlfn.XLOOKUP(C14,Cement!$Q$7:$Q$35,Cement!$S$7:$S$35,"")/1000</f>
        <v>5.1429</v>
      </c>
      <c r="L14" s="1742">
        <f>_xlfn.XLOOKUP(C14,'Cement Portfolio'!$O$8:$O$36,'Cement Portfolio'!$AP$8:$AP$36,"")</f>
        <v>100000</v>
      </c>
      <c r="M14" s="1665">
        <f>_xlfn.XLOOKUP(C14,'Cement Portfolio'!$O$8:$O$36,'Cement Portfolio'!$AQ$8:$AQ$36,"")</f>
        <v>54813.36</v>
      </c>
      <c r="O14" s="1752" t="str">
        <f t="shared" si="3"/>
        <v/>
      </c>
      <c r="P14" s="1753" t="str">
        <f t="shared" si="0"/>
        <v/>
      </c>
      <c r="Q14" s="1754">
        <f t="shared" si="1"/>
        <v>8.3321352141460581E-2</v>
      </c>
      <c r="R14" s="1755">
        <f t="shared" si="2"/>
        <v>0.14951245652654355</v>
      </c>
      <c r="S14" s="1753">
        <f>IF(AND(R14&gt;0,Q14&gt;0,R14&gt;Q14),R14-Q14,"")</f>
        <v>6.6191104385082966E-2</v>
      </c>
      <c r="T14" s="1756" t="str">
        <f t="shared" si="5"/>
        <v/>
      </c>
      <c r="U14" s="1614"/>
      <c r="V14" s="1614">
        <v>5220</v>
      </c>
      <c r="W14" s="1614">
        <v>5370</v>
      </c>
      <c r="X14" s="1614">
        <v>5370</v>
      </c>
      <c r="Y14" s="1614">
        <v>822</v>
      </c>
      <c r="Z14" s="1614">
        <v>6.53</v>
      </c>
      <c r="AA14" s="1620">
        <v>4.9941000000000004</v>
      </c>
      <c r="AB14" s="508">
        <v>100000</v>
      </c>
      <c r="AC14" s="1621">
        <v>53227.439999999995</v>
      </c>
    </row>
    <row r="15" spans="1:30" ht="20" customHeight="1">
      <c r="A15" s="1614">
        <f>IFERROR(MATCH(C15,'دیده بان بازار'!$A$5:$A$3994,0 )+4,"Closed")</f>
        <v>2027</v>
      </c>
      <c r="B15" s="1652" t="s">
        <v>46</v>
      </c>
      <c r="C15" s="1652" t="s">
        <v>47</v>
      </c>
      <c r="D15" s="1615" t="s">
        <v>29</v>
      </c>
      <c r="E15" s="1616"/>
      <c r="F15" s="119">
        <f>IFERROR(_xlfn.LET(_xlpm.lookup_result,_xlfn.XLOOKUP($C15,'دیده بان بازار'!$A$5:$A$3994,'دیده بان بازار'!F$5:F$3994),IF(ISERROR(_xlpm.lookup_result),V15,_xlpm.lookup_result)),V15)</f>
        <v>235800</v>
      </c>
      <c r="G15" s="119">
        <f>IFERROR(_xlfn.LET(_xlpm.lookup_result,_xlfn.XLOOKUP($C15,'دیده بان بازار'!$A$5:$A$3994,'دیده بان بازار'!H$5:H$3994),IF(ISERROR(_xlpm.lookup_result),W15,_xlpm.lookup_result)),W15)</f>
        <v>242800</v>
      </c>
      <c r="H15" s="119">
        <f>IFERROR(_xlfn.LET(_xlpm.lookup_result,_xlfn.XLOOKUP($C15,'دیده بان بازار'!$A$5:$A$3994,'دیده بان بازار'!K$5:K$3994),IF(ISERROR(_xlpm.lookup_result),X15,_xlpm.lookup_result)),X15)</f>
        <v>242800</v>
      </c>
      <c r="I15" s="119">
        <f>IFERROR(_xlfn.LET(_xlpm.lookup_result,_xlfn.XLOOKUP($C15,'دیده بان بازار'!$A$5:$A$3994,'دیده بان بازار'!P$5:P$3994),IF(ISERROR(_xlpm.lookup_result),Y15,_xlpm.lookup_result)),Y15)</f>
        <v>44486</v>
      </c>
      <c r="J15" s="119">
        <f>IFERROR(_xlfn.LET(_xlpm.lookup_result,_xlfn.XLOOKUP($C15,'دیده بان بازار'!$A$5:$A$3994,'دیده بان بازار'!Q$5:Q$3994),IF(ISERROR(_xlpm.lookup_result),Z15,_xlpm.lookup_result)),Z15)</f>
        <v>5.46</v>
      </c>
      <c r="K15" s="1664">
        <f>_xlfn.XLOOKUP(C15,Cement!$Q$7:$Q$35,Cement!$S$7:$S$35,"")/1000</f>
        <v>14.568</v>
      </c>
      <c r="L15" s="1742">
        <f>_xlfn.XLOOKUP(C15,'Cement Portfolio'!$O$8:$O$36,'Cement Portfolio'!$AP$8:$AP$36,"")</f>
        <v>230000</v>
      </c>
      <c r="M15" s="1665">
        <f>_xlfn.XLOOKUP(C15,'Cement Portfolio'!$O$8:$O$36,'Cement Portfolio'!$AQ$8:$AQ$36,"")</f>
        <v>5535257.2800000003</v>
      </c>
      <c r="O15" s="1752" t="str">
        <f t="shared" si="3"/>
        <v/>
      </c>
      <c r="P15" s="1753" t="str">
        <f t="shared" si="0"/>
        <v/>
      </c>
      <c r="Q15" s="1754">
        <f t="shared" si="1"/>
        <v>0.23518123588315545</v>
      </c>
      <c r="R15" s="1755">
        <f t="shared" si="2"/>
        <v>15.044690937983411</v>
      </c>
      <c r="S15" s="1753">
        <f t="shared" si="4"/>
        <v>14.809509702100256</v>
      </c>
      <c r="T15" s="1756" t="str">
        <f t="shared" si="5"/>
        <v/>
      </c>
      <c r="U15" s="1614"/>
      <c r="V15" s="1614">
        <v>229000</v>
      </c>
      <c r="W15" s="1614">
        <v>235800</v>
      </c>
      <c r="X15" s="1614">
        <v>235800</v>
      </c>
      <c r="Y15" s="1614">
        <v>44486</v>
      </c>
      <c r="Z15" s="1614">
        <v>5.3</v>
      </c>
      <c r="AA15" s="1620">
        <v>14.148</v>
      </c>
      <c r="AB15" s="508">
        <v>230000</v>
      </c>
      <c r="AC15" s="1621">
        <v>5375674.0800000001</v>
      </c>
    </row>
    <row r="16" spans="1:30" ht="20" customHeight="1">
      <c r="A16" s="1614">
        <f>IFERROR(MATCH(C16,'دیده بان بازار'!$A$5:$A$3994,0 )+4,"Closed")</f>
        <v>2229</v>
      </c>
      <c r="B16" s="1652" t="s">
        <v>48</v>
      </c>
      <c r="C16" s="1652" t="s">
        <v>49</v>
      </c>
      <c r="D16" s="1615" t="s">
        <v>29</v>
      </c>
      <c r="E16" s="1616"/>
      <c r="F16" s="119">
        <f>IFERROR(_xlfn.LET(_xlpm.lookup_result,_xlfn.XLOOKUP($C16,'دیده بان بازار'!$A$5:$A$3994,'دیده بان بازار'!F$5:F$3994),IF(ISERROR(_xlpm.lookup_result),V16,_xlpm.lookup_result)),V16)</f>
        <v>25710</v>
      </c>
      <c r="G16" s="119">
        <f>IFERROR(_xlfn.LET(_xlpm.lookup_result,_xlfn.XLOOKUP($C16,'دیده بان بازار'!$A$5:$A$3994,'دیده بان بازار'!H$5:H$3994),IF(ISERROR(_xlpm.lookup_result),W16,_xlpm.lookup_result)),W16)</f>
        <v>26480</v>
      </c>
      <c r="H16" s="119">
        <f>IFERROR(_xlfn.LET(_xlpm.lookup_result,_xlfn.XLOOKUP($C16,'دیده بان بازار'!$A$5:$A$3994,'دیده بان بازار'!K$5:K$3994),IF(ISERROR(_xlpm.lookup_result),X16,_xlpm.lookup_result)),X16)</f>
        <v>26480</v>
      </c>
      <c r="I16" s="119">
        <f>IFERROR(_xlfn.LET(_xlpm.lookup_result,_xlfn.XLOOKUP($C16,'دیده بان بازار'!$A$5:$A$3994,'دیده بان بازار'!P$5:P$3994),IF(ISERROR(_xlpm.lookup_result),Y16,_xlpm.lookup_result)),Y16)</f>
        <v>5074</v>
      </c>
      <c r="J16" s="119">
        <f>IFERROR(_xlfn.LET(_xlpm.lookup_result,_xlfn.XLOOKUP($C16,'دیده بان بازار'!$A$5:$A$3994,'دیده بان بازار'!Q$5:Q$3994),IF(ISERROR(_xlpm.lookup_result),Z16,_xlpm.lookup_result)),Z16)</f>
        <v>5.22</v>
      </c>
      <c r="K16" s="1664">
        <f>_xlfn.XLOOKUP(C16,Cement!$Q$7:$Q$35,Cement!$S$7:$S$35,"")/1000</f>
        <v>6.0109599999999999</v>
      </c>
      <c r="L16" s="1742">
        <f>_xlfn.XLOOKUP(C16,'Cement Portfolio'!$O$8:$O$36,'Cement Portfolio'!$AP$8:$AP$36,"")</f>
        <v>0</v>
      </c>
      <c r="M16" s="1665">
        <f>_xlfn.XLOOKUP(C16,'Cement Portfolio'!$O$8:$O$36,'Cement Portfolio'!$AQ$8:$AQ$36,"")</f>
        <v>0</v>
      </c>
      <c r="O16" s="1752" t="str">
        <f t="shared" si="3"/>
        <v/>
      </c>
      <c r="P16" s="1753">
        <f t="shared" si="0"/>
        <v>9.7874591000039757E-2</v>
      </c>
      <c r="Q16" s="1754">
        <f t="shared" si="1"/>
        <v>9.7874591000039757E-2</v>
      </c>
      <c r="R16" s="1755">
        <f t="shared" si="2"/>
        <v>0</v>
      </c>
      <c r="S16" s="1753" t="str">
        <f t="shared" si="4"/>
        <v/>
      </c>
      <c r="T16" s="1756" t="str">
        <f t="shared" si="5"/>
        <v/>
      </c>
      <c r="U16" s="1614"/>
      <c r="V16" s="1614">
        <v>24970</v>
      </c>
      <c r="W16" s="1614">
        <v>25710</v>
      </c>
      <c r="X16" s="1614">
        <v>25710</v>
      </c>
      <c r="Y16" s="1614">
        <v>5074</v>
      </c>
      <c r="Z16" s="1614">
        <v>5.07</v>
      </c>
      <c r="AA16" s="1620">
        <v>5.8361700000000001</v>
      </c>
      <c r="AB16" s="508">
        <v>0</v>
      </c>
      <c r="AC16" s="1621">
        <v>0</v>
      </c>
    </row>
    <row r="17" spans="1:29" ht="20" customHeight="1">
      <c r="A17" s="1614">
        <f>IFERROR(MATCH(C17,'دیده بان بازار'!$A$5:$A$3994,0 )+4,"Closed")</f>
        <v>1389</v>
      </c>
      <c r="B17" s="1652" t="s">
        <v>50</v>
      </c>
      <c r="C17" s="1652" t="s">
        <v>51</v>
      </c>
      <c r="D17" s="1615" t="s">
        <v>29</v>
      </c>
      <c r="E17" s="1616"/>
      <c r="F17" s="119">
        <f>IFERROR(_xlfn.LET(_xlpm.lookup_result,_xlfn.XLOOKUP($C17,'دیده بان بازار'!$A$5:$A$3994,'دیده بان بازار'!F$5:F$3994),IF(ISERROR(_xlpm.lookup_result),V17,_xlpm.lookup_result)),V17)</f>
        <v>14190</v>
      </c>
      <c r="G17" s="119">
        <f>IFERROR(_xlfn.LET(_xlpm.lookup_result,_xlfn.XLOOKUP($C17,'دیده بان بازار'!$A$5:$A$3994,'دیده بان بازار'!H$5:H$3994),IF(ISERROR(_xlpm.lookup_result),W17,_xlpm.lookup_result)),W17)</f>
        <v>14610</v>
      </c>
      <c r="H17" s="119">
        <f>IFERROR(_xlfn.LET(_xlpm.lookup_result,_xlfn.XLOOKUP($C17,'دیده بان بازار'!$A$5:$A$3994,'دیده بان بازار'!K$5:K$3994),IF(ISERROR(_xlpm.lookup_result),X17,_xlpm.lookup_result)),X17)</f>
        <v>14610</v>
      </c>
      <c r="I17" s="119">
        <f>IFERROR(_xlfn.LET(_xlpm.lookup_result,_xlfn.XLOOKUP($C17,'دیده بان بازار'!$A$5:$A$3994,'دیده بان بازار'!P$5:P$3994),IF(ISERROR(_xlpm.lookup_result),Y17,_xlpm.lookup_result)),Y17)</f>
        <v>2372</v>
      </c>
      <c r="J17" s="119">
        <f>IFERROR(_xlfn.LET(_xlpm.lookup_result,_xlfn.XLOOKUP($C17,'دیده بان بازار'!$A$5:$A$3994,'دیده بان بازار'!Q$5:Q$3994),IF(ISERROR(_xlpm.lookup_result),Z17,_xlpm.lookup_result)),Z17)</f>
        <v>6.16</v>
      </c>
      <c r="K17" s="1664">
        <f>_xlfn.XLOOKUP(C17,Cement!$Q$7:$Q$35,Cement!$S$7:$S$35,"")/1000</f>
        <v>7.3049999999999997</v>
      </c>
      <c r="L17" s="1742">
        <f>_xlfn.XLOOKUP(C17,'Cement Portfolio'!$O$8:$O$36,'Cement Portfolio'!$AP$8:$AP$36,"")</f>
        <v>72765</v>
      </c>
      <c r="M17" s="1665">
        <f>_xlfn.XLOOKUP(C17,'Cement Portfolio'!$O$8:$O$36,'Cement Portfolio'!$AQ$8:$AQ$36,"")</f>
        <v>105374.139948</v>
      </c>
      <c r="O17" s="1752" t="str">
        <f t="shared" si="3"/>
        <v/>
      </c>
      <c r="P17" s="1753" t="str">
        <f t="shared" si="0"/>
        <v/>
      </c>
      <c r="Q17" s="1754">
        <f t="shared" si="1"/>
        <v>0.11759061794157773</v>
      </c>
      <c r="R17" s="1755">
        <f t="shared" si="2"/>
        <v>0.28558093985279082</v>
      </c>
      <c r="S17" s="1753">
        <f>IF(AND(R17&gt;0,Q17&gt;0,R17&gt;Q17),R17-Q17,"")</f>
        <v>0.1679903219112131</v>
      </c>
      <c r="T17" s="1756" t="str">
        <f t="shared" si="5"/>
        <v/>
      </c>
      <c r="U17" s="1614"/>
      <c r="V17" s="1614">
        <v>13780</v>
      </c>
      <c r="W17" s="1614">
        <v>14190</v>
      </c>
      <c r="X17" s="1614">
        <v>14190</v>
      </c>
      <c r="Y17" s="1614">
        <v>2372</v>
      </c>
      <c r="Z17" s="1614">
        <v>5.98</v>
      </c>
      <c r="AA17" s="1620">
        <v>7.0949999999999998</v>
      </c>
      <c r="AB17" s="508">
        <v>72765</v>
      </c>
      <c r="AC17" s="1621">
        <v>102344.903892</v>
      </c>
    </row>
    <row r="18" spans="1:29" ht="20" customHeight="1">
      <c r="A18" s="1614">
        <f>IFERROR(MATCH(C18,'دیده بان بازار'!$A$5:$A$3994,0 )+4,"Closed")</f>
        <v>2710</v>
      </c>
      <c r="B18" s="1652" t="s">
        <v>52</v>
      </c>
      <c r="C18" s="1652" t="s">
        <v>53</v>
      </c>
      <c r="D18" s="1615" t="s">
        <v>29</v>
      </c>
      <c r="E18" s="1616"/>
      <c r="F18" s="119">
        <f>IFERROR(_xlfn.LET(_xlpm.lookup_result,_xlfn.XLOOKUP($C18,'دیده بان بازار'!$A$5:$A$3994,'دیده بان بازار'!F$5:F$3994),IF(ISERROR(_xlpm.lookup_result),V18,_xlpm.lookup_result)),V18)</f>
        <v>10050</v>
      </c>
      <c r="G18" s="119">
        <f>IFERROR(_xlfn.LET(_xlpm.lookup_result,_xlfn.XLOOKUP($C18,'دیده بان بازار'!$A$5:$A$3994,'دیده بان بازار'!H$5:H$3994),IF(ISERROR(_xlpm.lookup_result),W18,_xlpm.lookup_result)),W18)</f>
        <v>10350</v>
      </c>
      <c r="H18" s="119">
        <f>IFERROR(_xlfn.LET(_xlpm.lookup_result,_xlfn.XLOOKUP($C18,'دیده بان بازار'!$A$5:$A$3994,'دیده بان بازار'!K$5:K$3994),IF(ISERROR(_xlpm.lookup_result),X18,_xlpm.lookup_result)),X18)</f>
        <v>10350</v>
      </c>
      <c r="I18" s="119">
        <f>IFERROR(_xlfn.LET(_xlpm.lookup_result,_xlfn.XLOOKUP($C18,'دیده بان بازار'!$A$5:$A$3994,'دیده بان بازار'!P$5:P$3994),IF(ISERROR(_xlpm.lookup_result),Y18,_xlpm.lookup_result)),Y18)</f>
        <v>1489</v>
      </c>
      <c r="J18" s="119">
        <f>IFERROR(_xlfn.LET(_xlpm.lookup_result,_xlfn.XLOOKUP($C18,'دیده بان بازار'!$A$5:$A$3994,'دیده بان بازار'!Q$5:Q$3994),IF(ISERROR(_xlpm.lookup_result),Z18,_xlpm.lookup_result)),Z18)</f>
        <v>6.95</v>
      </c>
      <c r="K18" s="1664">
        <f>_xlfn.XLOOKUP(C18,Cement!$Q$7:$Q$35,Cement!$S$7:$S$35,"")/1000</f>
        <v>17.78242608</v>
      </c>
      <c r="L18" s="1742">
        <f>_xlfn.XLOOKUP(C18,'Cement Portfolio'!$O$8:$O$36,'Cement Portfolio'!$AP$8:$AP$36,"")</f>
        <v>0</v>
      </c>
      <c r="M18" s="1665">
        <f>_xlfn.XLOOKUP(C18,'Cement Portfolio'!$O$8:$O$36,'Cement Portfolio'!$AQ$8:$AQ$36,"")</f>
        <v>0</v>
      </c>
      <c r="O18" s="1752" t="str">
        <f t="shared" si="3"/>
        <v/>
      </c>
      <c r="P18" s="1753">
        <f t="shared" si="0"/>
        <v>0.27899860900014323</v>
      </c>
      <c r="Q18" s="1754">
        <f t="shared" si="1"/>
        <v>0.27899860900014323</v>
      </c>
      <c r="R18" s="1755">
        <f t="shared" si="2"/>
        <v>0</v>
      </c>
      <c r="S18" s="1753" t="str">
        <f t="shared" si="4"/>
        <v/>
      </c>
      <c r="T18" s="1756" t="str">
        <f t="shared" si="5"/>
        <v/>
      </c>
      <c r="U18" s="1614"/>
      <c r="V18" s="1614">
        <v>9770</v>
      </c>
      <c r="W18" s="1614">
        <v>10060</v>
      </c>
      <c r="X18" s="1614">
        <v>10050</v>
      </c>
      <c r="Y18" s="1614">
        <v>1489</v>
      </c>
      <c r="Z18" s="1614">
        <v>6.75</v>
      </c>
      <c r="AA18" s="1620">
        <v>17.284174528000001</v>
      </c>
      <c r="AB18" s="508">
        <v>0</v>
      </c>
      <c r="AC18" s="1621">
        <v>0</v>
      </c>
    </row>
    <row r="19" spans="1:29" ht="20" customHeight="1">
      <c r="A19" s="1614">
        <f>IFERROR(MATCH(C19,'دیده بان بازار'!$A$5:$A$3994,0 )+4,"Closed")</f>
        <v>2553</v>
      </c>
      <c r="B19" s="1652" t="s">
        <v>54</v>
      </c>
      <c r="C19" s="1652" t="s">
        <v>55</v>
      </c>
      <c r="D19" s="1615" t="s">
        <v>29</v>
      </c>
      <c r="E19" s="1616"/>
      <c r="F19" s="119">
        <f>IFERROR(_xlfn.LET(_xlpm.lookup_result,_xlfn.XLOOKUP($C19,'دیده بان بازار'!$A$5:$A$3994,'دیده بان بازار'!F$5:F$3994),IF(ISERROR(_xlpm.lookup_result),V19,_xlpm.lookup_result)),V19)</f>
        <v>54760</v>
      </c>
      <c r="G19" s="119">
        <f>IFERROR(_xlfn.LET(_xlpm.lookup_result,_xlfn.XLOOKUP($C19,'دیده بان بازار'!$A$5:$A$3994,'دیده بان بازار'!H$5:H$3994),IF(ISERROR(_xlpm.lookup_result),W19,_xlpm.lookup_result)),W19)</f>
        <v>56400</v>
      </c>
      <c r="H19" s="119">
        <f>IFERROR(_xlfn.LET(_xlpm.lookup_result,_xlfn.XLOOKUP($C19,'دیده بان بازار'!$A$5:$A$3994,'دیده بان بازار'!K$5:K$3994),IF(ISERROR(_xlpm.lookup_result),X19,_xlpm.lookup_result)),X19)</f>
        <v>56370</v>
      </c>
      <c r="I19" s="119">
        <f>IFERROR(_xlfn.LET(_xlpm.lookup_result,_xlfn.XLOOKUP($C19,'دیده بان بازار'!$A$5:$A$3994,'دیده بان بازار'!P$5:P$3994),IF(ISERROR(_xlpm.lookup_result),Y19,_xlpm.lookup_result)),Y19)</f>
        <v>8478</v>
      </c>
      <c r="J19" s="119">
        <f>IFERROR(_xlfn.LET(_xlpm.lookup_result,_xlfn.XLOOKUP($C19,'دیده بان بازار'!$A$5:$A$3994,'دیده بان بازار'!Q$5:Q$3994),IF(ISERROR(_xlpm.lookup_result),Z19,_xlpm.lookup_result)),Z19)</f>
        <v>6.65</v>
      </c>
      <c r="K19" s="1664">
        <f>_xlfn.XLOOKUP(C19,Cement!$Q$7:$Q$35,Cement!$S$7:$S$35,"")/1000</f>
        <v>11.28</v>
      </c>
      <c r="L19" s="1742">
        <f>_xlfn.XLOOKUP(C19,'Cement Portfolio'!$O$8:$O$36,'Cement Portfolio'!$AP$8:$AP$36,"")</f>
        <v>0</v>
      </c>
      <c r="M19" s="1665">
        <f>_xlfn.XLOOKUP(C19,'Cement Portfolio'!$O$8:$O$36,'Cement Portfolio'!$AQ$8:$AQ$36,"")</f>
        <v>0</v>
      </c>
      <c r="O19" s="1752" t="str">
        <f t="shared" si="3"/>
        <v/>
      </c>
      <c r="P19" s="1753">
        <f t="shared" si="0"/>
        <v>0.17022641835352123</v>
      </c>
      <c r="Q19" s="1754">
        <f t="shared" si="1"/>
        <v>0.17022641835352123</v>
      </c>
      <c r="R19" s="1755">
        <f t="shared" si="2"/>
        <v>0</v>
      </c>
      <c r="S19" s="1753" t="str">
        <f t="shared" si="4"/>
        <v/>
      </c>
      <c r="T19" s="1756" t="str">
        <f t="shared" si="5"/>
        <v/>
      </c>
      <c r="U19" s="1614"/>
      <c r="V19" s="1614">
        <v>53290</v>
      </c>
      <c r="W19" s="1614">
        <v>54880</v>
      </c>
      <c r="X19" s="1614">
        <v>54760</v>
      </c>
      <c r="Y19" s="1614">
        <v>8478</v>
      </c>
      <c r="Z19" s="1614">
        <v>6.46</v>
      </c>
      <c r="AA19" s="1620">
        <v>10.976000000000001</v>
      </c>
      <c r="AB19" s="508">
        <v>0</v>
      </c>
      <c r="AC19" s="1621">
        <v>0</v>
      </c>
    </row>
    <row r="20" spans="1:29" ht="20" customHeight="1">
      <c r="A20" s="1614">
        <f>IFERROR(MATCH(C20,'دیده بان بازار'!$A$5:$A$3994,0 )+4,"Closed")</f>
        <v>1767</v>
      </c>
      <c r="B20" s="1652" t="s">
        <v>56</v>
      </c>
      <c r="C20" s="1652" t="s">
        <v>57</v>
      </c>
      <c r="D20" s="1615" t="s">
        <v>29</v>
      </c>
      <c r="E20" s="1616"/>
      <c r="F20" s="119">
        <f>IFERROR(_xlfn.LET(_xlpm.lookup_result,_xlfn.XLOOKUP($C20,'دیده بان بازار'!$A$5:$A$3994,'دیده بان بازار'!F$5:F$3994),IF(ISERROR(_xlpm.lookup_result),V20,_xlpm.lookup_result)),V20)</f>
        <v>162500</v>
      </c>
      <c r="G20" s="119">
        <f>IFERROR(_xlfn.LET(_xlpm.lookup_result,_xlfn.XLOOKUP($C20,'دیده بان بازار'!$A$5:$A$3994,'دیده بان بازار'!H$5:H$3994),IF(ISERROR(_xlpm.lookup_result),W20,_xlpm.lookup_result)),W20)</f>
        <v>167300</v>
      </c>
      <c r="H20" s="119">
        <f>IFERROR(_xlfn.LET(_xlpm.lookup_result,_xlfn.XLOOKUP($C20,'دیده بان بازار'!$A$5:$A$3994,'دیده بان بازار'!K$5:K$3994),IF(ISERROR(_xlpm.lookup_result),X20,_xlpm.lookup_result)),X20)</f>
        <v>167300</v>
      </c>
      <c r="I20" s="119">
        <f>IFERROR(_xlfn.LET(_xlpm.lookup_result,_xlfn.XLOOKUP($C20,'دیده بان بازار'!$A$5:$A$3994,'دیده بان بازار'!P$5:P$3994),IF(ISERROR(_xlpm.lookup_result),Y20,_xlpm.lookup_result)),Y20)</f>
        <v>30922</v>
      </c>
      <c r="J20" s="119">
        <f>IFERROR(_xlfn.LET(_xlpm.lookup_result,_xlfn.XLOOKUP($C20,'دیده بان بازار'!$A$5:$A$3994,'دیده بان بازار'!Q$5:Q$3994),IF(ISERROR(_xlpm.lookup_result),Z20,_xlpm.lookup_result)),Z20)</f>
        <v>5.41</v>
      </c>
      <c r="K20" s="1664">
        <f>_xlfn.XLOOKUP(C20,Cement!$Q$7:$Q$35,Cement!$S$7:$S$35,"")/1000</f>
        <v>18.402999999999999</v>
      </c>
      <c r="L20" s="1742">
        <f>_xlfn.XLOOKUP(C20,'Cement Portfolio'!$O$8:$O$36,'Cement Portfolio'!$AP$8:$AP$36,"")</f>
        <v>0</v>
      </c>
      <c r="M20" s="1665">
        <f>_xlfn.XLOOKUP(C20,'Cement Portfolio'!$O$8:$O$36,'Cement Portfolio'!$AQ$8:$AQ$36,"")</f>
        <v>0</v>
      </c>
      <c r="O20" s="1752" t="str">
        <f t="shared" si="3"/>
        <v/>
      </c>
      <c r="P20" s="1753">
        <f t="shared" si="0"/>
        <v>0.25869935947147094</v>
      </c>
      <c r="Q20" s="1754">
        <f t="shared" si="1"/>
        <v>0.25869935947147094</v>
      </c>
      <c r="R20" s="1755">
        <f t="shared" si="2"/>
        <v>0</v>
      </c>
      <c r="S20" s="1753" t="str">
        <f t="shared" si="4"/>
        <v/>
      </c>
      <c r="T20" s="1756" t="str">
        <f t="shared" si="5"/>
        <v/>
      </c>
      <c r="U20" s="1614"/>
      <c r="V20" s="1614">
        <v>158400</v>
      </c>
      <c r="W20" s="1614">
        <v>163100</v>
      </c>
      <c r="X20" s="1614">
        <v>162500</v>
      </c>
      <c r="Y20" s="1614">
        <v>30922</v>
      </c>
      <c r="Z20" s="1614">
        <v>5.26</v>
      </c>
      <c r="AA20" s="1620">
        <v>17.940999999999999</v>
      </c>
      <c r="AB20" s="508">
        <v>0</v>
      </c>
      <c r="AC20" s="1621">
        <v>0</v>
      </c>
    </row>
    <row r="21" spans="1:29" ht="20" customHeight="1">
      <c r="A21" s="1614">
        <f>IFERROR(MATCH(C21,'دیده بان بازار'!$A$5:$A$3994,0 )+4,"Closed")</f>
        <v>528</v>
      </c>
      <c r="B21" s="1652" t="s">
        <v>58</v>
      </c>
      <c r="C21" s="1652" t="s">
        <v>59</v>
      </c>
      <c r="D21" s="1615" t="s">
        <v>29</v>
      </c>
      <c r="E21" s="1616"/>
      <c r="F21" s="119">
        <f>IFERROR(_xlfn.LET(_xlpm.lookup_result,_xlfn.XLOOKUP($C21,'دیده بان بازار'!$A$5:$A$3994,'دیده بان بازار'!F$5:F$3994),IF(ISERROR(_xlpm.lookup_result),V21,_xlpm.lookup_result)),V21)</f>
        <v>18940</v>
      </c>
      <c r="G21" s="119">
        <f>IFERROR(_xlfn.LET(_xlpm.lookup_result,_xlfn.XLOOKUP($C21,'دیده بان بازار'!$A$5:$A$3994,'دیده بان بازار'!H$5:H$3994),IF(ISERROR(_xlpm.lookup_result),W21,_xlpm.lookup_result)),W21)</f>
        <v>19500</v>
      </c>
      <c r="H21" s="119">
        <f>IFERROR(_xlfn.LET(_xlpm.lookup_result,_xlfn.XLOOKUP($C21,'دیده بان بازار'!$A$5:$A$3994,'دیده بان بازار'!K$5:K$3994),IF(ISERROR(_xlpm.lookup_result),X21,_xlpm.lookup_result)),X21)</f>
        <v>19500</v>
      </c>
      <c r="I21" s="119">
        <f>IFERROR(_xlfn.LET(_xlpm.lookup_result,_xlfn.XLOOKUP($C21,'دیده بان بازار'!$A$5:$A$3994,'دیده بان بازار'!P$5:P$3994),IF(ISERROR(_xlpm.lookup_result),Y21,_xlpm.lookup_result)),Y21)</f>
        <v>1143</v>
      </c>
      <c r="J21" s="119">
        <f>IFERROR(_xlfn.LET(_xlpm.lookup_result,_xlfn.XLOOKUP($C21,'دیده بان بازار'!$A$5:$A$3994,'دیده بان بازار'!Q$5:Q$3994),IF(ISERROR(_xlpm.lookup_result),Z21,_xlpm.lookup_result)),Z21)</f>
        <v>17.059999999999999</v>
      </c>
      <c r="K21" s="1664">
        <f>_xlfn.XLOOKUP(C21,Cement!$Q$7:$Q$35,Cement!$S$7:$S$35,"")/1000</f>
        <v>14.2272</v>
      </c>
      <c r="L21" s="1742">
        <f>_xlfn.XLOOKUP(C21,'Cement Portfolio'!$O$8:$O$36,'Cement Portfolio'!$AP$8:$AP$36,"")</f>
        <v>0</v>
      </c>
      <c r="M21" s="1665">
        <f>_xlfn.XLOOKUP(C21,'Cement Portfolio'!$O$8:$O$36,'Cement Portfolio'!$AQ$8:$AQ$36,"")</f>
        <v>0</v>
      </c>
      <c r="O21" s="1752" t="str">
        <f t="shared" si="3"/>
        <v/>
      </c>
      <c r="P21" s="1753">
        <f t="shared" si="0"/>
        <v>0.12256302121453612</v>
      </c>
      <c r="Q21" s="1754">
        <f t="shared" si="1"/>
        <v>0.12256302121453612</v>
      </c>
      <c r="R21" s="1755">
        <f t="shared" si="2"/>
        <v>0</v>
      </c>
      <c r="S21" s="1753" t="str">
        <f t="shared" si="4"/>
        <v/>
      </c>
      <c r="T21" s="1756" t="str">
        <f t="shared" si="5"/>
        <v/>
      </c>
      <c r="U21" s="1614"/>
      <c r="V21" s="1614">
        <v>18690</v>
      </c>
      <c r="W21" s="1614">
        <v>19200</v>
      </c>
      <c r="X21" s="1614">
        <v>18940</v>
      </c>
      <c r="Y21" s="1614">
        <v>1143</v>
      </c>
      <c r="Z21" s="1614">
        <v>16.57</v>
      </c>
      <c r="AA21" s="1620">
        <v>14.008319999999999</v>
      </c>
      <c r="AB21" s="508">
        <v>0</v>
      </c>
      <c r="AC21" s="1621">
        <v>0</v>
      </c>
    </row>
    <row r="22" spans="1:29" ht="20" customHeight="1">
      <c r="A22" s="1614" t="str">
        <f>IFERROR(MATCH(C22,'دیده بان بازار'!$A$5:$A$3994,0 )+4,"Closed")</f>
        <v>Closed</v>
      </c>
      <c r="B22" s="1652" t="s">
        <v>60</v>
      </c>
      <c r="C22" s="1652" t="s">
        <v>61</v>
      </c>
      <c r="D22" s="1615" t="s">
        <v>29</v>
      </c>
      <c r="E22" s="1616"/>
      <c r="F22" s="119">
        <f>IFERROR(_xlfn.LET(_xlpm.lookup_result,_xlfn.XLOOKUP($C22,'دیده بان بازار'!$A$5:$A$3994,'دیده بان بازار'!F$5:F$3994),IF(ISERROR(_xlpm.lookup_result),V22,_xlpm.lookup_result)),V22)</f>
        <v>64080</v>
      </c>
      <c r="G22" s="119">
        <f>IFERROR(_xlfn.LET(_xlpm.lookup_result,_xlfn.XLOOKUP($C22,'دیده بان بازار'!$A$5:$A$3994,'دیده بان بازار'!H$5:H$3994),IF(ISERROR(_xlpm.lookup_result),W22,_xlpm.lookup_result)),W22)</f>
        <v>15410</v>
      </c>
      <c r="H22" s="119">
        <f>IFERROR(_xlfn.LET(_xlpm.lookup_result,_xlfn.XLOOKUP($C22,'دیده بان بازار'!$A$5:$A$3994,'دیده بان بازار'!K$5:K$3994),IF(ISERROR(_xlpm.lookup_result),X22,_xlpm.lookup_result)),X22)</f>
        <v>15410</v>
      </c>
      <c r="I22" s="119">
        <f>IFERROR(_xlfn.LET(_xlpm.lookup_result,_xlfn.XLOOKUP($C22,'دیده بان بازار'!$A$5:$A$3994,'دیده بان بازار'!P$5:P$3994),IF(ISERROR(_xlpm.lookup_result),Y22,_xlpm.lookup_result)),Y22)</f>
        <v>2361</v>
      </c>
      <c r="J22" s="119">
        <f>IFERROR(_xlfn.LET(_xlpm.lookup_result,_xlfn.XLOOKUP($C22,'دیده بان بازار'!$A$5:$A$3994,'دیده بان بازار'!Q$5:Q$3994),IF(ISERROR(_xlpm.lookup_result),Z22,_xlpm.lookup_result)),Z22)</f>
        <v>6.53</v>
      </c>
      <c r="K22" s="1664">
        <f>_xlfn.XLOOKUP(C22,Cement!$Q$7:$Q$35,Cement!$S$7:$S$35,"")/1000</f>
        <v>7.7050000000000001</v>
      </c>
      <c r="L22" s="1742">
        <f>_xlfn.XLOOKUP(C22,'Cement Portfolio'!$O$8:$O$36,'Cement Portfolio'!$AP$8:$AP$36,"")</f>
        <v>0</v>
      </c>
      <c r="M22" s="1665">
        <f>_xlfn.XLOOKUP(C22,'Cement Portfolio'!$O$8:$O$36,'Cement Portfolio'!$AQ$8:$AQ$36,"")</f>
        <v>0</v>
      </c>
      <c r="O22" s="1752" t="str">
        <f t="shared" si="3"/>
        <v/>
      </c>
      <c r="P22" s="1753" t="str">
        <f t="shared" si="0"/>
        <v/>
      </c>
      <c r="Q22" s="1754">
        <f t="shared" si="1"/>
        <v>0</v>
      </c>
      <c r="R22" s="1755">
        <f t="shared" si="2"/>
        <v>0</v>
      </c>
      <c r="S22" s="1753" t="str">
        <f t="shared" si="4"/>
        <v/>
      </c>
      <c r="T22" s="1756" t="str">
        <f t="shared" si="5"/>
        <v/>
      </c>
      <c r="U22" s="1614"/>
      <c r="V22" s="1614">
        <v>64080</v>
      </c>
      <c r="W22" s="1614">
        <v>15410</v>
      </c>
      <c r="X22" s="1614">
        <v>15410</v>
      </c>
      <c r="Y22" s="1614">
        <v>2361</v>
      </c>
      <c r="Z22" s="1614">
        <v>6.53</v>
      </c>
      <c r="AA22" s="1620">
        <v>7.7050000000000001</v>
      </c>
      <c r="AB22" s="508">
        <v>0</v>
      </c>
      <c r="AC22" s="1621">
        <v>0</v>
      </c>
    </row>
    <row r="23" spans="1:29" ht="20" customHeight="1">
      <c r="A23" s="1614">
        <f>IFERROR(MATCH(C23,'دیده بان بازار'!$A$5:$A$3994,0 )+4,"Closed")</f>
        <v>1010</v>
      </c>
      <c r="B23" s="1652" t="s">
        <v>62</v>
      </c>
      <c r="C23" s="1652" t="s">
        <v>63</v>
      </c>
      <c r="D23" s="1615" t="s">
        <v>29</v>
      </c>
      <c r="E23" s="1616"/>
      <c r="F23" s="119">
        <f>IFERROR(_xlfn.LET(_xlpm.lookup_result,_xlfn.XLOOKUP($C23,'دیده بان بازار'!$A$5:$A$3994,'دیده بان بازار'!F$5:F$3994),IF(ISERROR(_xlpm.lookup_result),V23,_xlpm.lookup_result)),V23)</f>
        <v>51750</v>
      </c>
      <c r="G23" s="119">
        <f>IFERROR(_xlfn.LET(_xlpm.lookup_result,_xlfn.XLOOKUP($C23,'دیده بان بازار'!$A$5:$A$3994,'دیده بان بازار'!H$5:H$3994),IF(ISERROR(_xlpm.lookup_result),W23,_xlpm.lookup_result)),W23)</f>
        <v>53300</v>
      </c>
      <c r="H23" s="119">
        <f>IFERROR(_xlfn.LET(_xlpm.lookup_result,_xlfn.XLOOKUP($C23,'دیده بان بازار'!$A$5:$A$3994,'دیده بان بازار'!K$5:K$3994),IF(ISERROR(_xlpm.lookup_result),X23,_xlpm.lookup_result)),X23)</f>
        <v>53300</v>
      </c>
      <c r="I23" s="119">
        <f>IFERROR(_xlfn.LET(_xlpm.lookup_result,_xlfn.XLOOKUP($C23,'دیده بان بازار'!$A$5:$A$3994,'دیده بان بازار'!P$5:P$3994),IF(ISERROR(_xlpm.lookup_result),Y23,_xlpm.lookup_result)),Y23)</f>
        <v>8458</v>
      </c>
      <c r="J23" s="119">
        <f>IFERROR(_xlfn.LET(_xlpm.lookup_result,_xlfn.XLOOKUP($C23,'دیده بان بازار'!$A$5:$A$3994,'دیده بان بازار'!Q$5:Q$3994),IF(ISERROR(_xlpm.lookup_result),Z23,_xlpm.lookup_result)),Z23)</f>
        <v>6.3</v>
      </c>
      <c r="K23" s="1664">
        <f>_xlfn.XLOOKUP(C23,Cement!$Q$7:$Q$35,Cement!$S$7:$S$35,"")/1000</f>
        <v>8.5280000000000005</v>
      </c>
      <c r="L23" s="1742">
        <f>_xlfn.XLOOKUP(C23,'Cement Portfolio'!$O$8:$O$36,'Cement Portfolio'!$AP$8:$AP$36,"")</f>
        <v>180000</v>
      </c>
      <c r="M23" s="1665">
        <f>_xlfn.XLOOKUP(C23,'Cement Portfolio'!$O$8:$O$36,'Cement Portfolio'!$AQ$8:$AQ$36,"")</f>
        <v>950957.28</v>
      </c>
      <c r="O23" s="1752" t="str">
        <f t="shared" si="3"/>
        <v/>
      </c>
      <c r="P23" s="1753" t="str">
        <f t="shared" si="0"/>
        <v/>
      </c>
      <c r="Q23" s="1754">
        <f t="shared" si="1"/>
        <v>0.13528520616516757</v>
      </c>
      <c r="R23" s="1755">
        <f t="shared" si="2"/>
        <v>2.5398428552446601</v>
      </c>
      <c r="S23" s="1753">
        <f t="shared" si="4"/>
        <v>2.4045576490794924</v>
      </c>
      <c r="T23" s="1756" t="str">
        <f t="shared" si="5"/>
        <v/>
      </c>
      <c r="U23" s="1614"/>
      <c r="V23" s="1614">
        <v>50290</v>
      </c>
      <c r="W23" s="1614">
        <v>51790</v>
      </c>
      <c r="X23" s="1614">
        <v>51750</v>
      </c>
      <c r="Y23" s="1614">
        <v>8458</v>
      </c>
      <c r="Z23" s="1614">
        <v>6.12</v>
      </c>
      <c r="AA23" s="1620">
        <v>8.2864000000000004</v>
      </c>
      <c r="AB23" s="508">
        <v>180000</v>
      </c>
      <c r="AC23" s="1621">
        <v>924016.46399999992</v>
      </c>
    </row>
    <row r="24" spans="1:29" ht="20" customHeight="1">
      <c r="A24" s="1614">
        <f>IFERROR(MATCH(C24,'دیده بان بازار'!$A$5:$A$3994,0 )+4,"Closed")</f>
        <v>2240</v>
      </c>
      <c r="B24" s="1652" t="s">
        <v>64</v>
      </c>
      <c r="C24" s="1652" t="s">
        <v>65</v>
      </c>
      <c r="D24" s="1615" t="s">
        <v>29</v>
      </c>
      <c r="E24" s="1616"/>
      <c r="F24" s="119">
        <f>IFERROR(_xlfn.LET(_xlpm.lookup_result,_xlfn.XLOOKUP($C24,'دیده بان بازار'!$A$5:$A$3994,'دیده بان بازار'!F$5:F$3994),IF(ISERROR(_xlpm.lookup_result),V24,_xlpm.lookup_result)),V24)</f>
        <v>73370</v>
      </c>
      <c r="G24" s="119">
        <f>IFERROR(_xlfn.LET(_xlpm.lookup_result,_xlfn.XLOOKUP($C24,'دیده بان بازار'!$A$5:$A$3994,'دیده بان بازار'!H$5:H$3994),IF(ISERROR(_xlpm.lookup_result),W24,_xlpm.lookup_result)),W24)</f>
        <v>75570</v>
      </c>
      <c r="H24" s="119">
        <f>IFERROR(_xlfn.LET(_xlpm.lookup_result,_xlfn.XLOOKUP($C24,'دیده بان بازار'!$A$5:$A$3994,'دیده بان بازار'!K$5:K$3994),IF(ISERROR(_xlpm.lookup_result),X24,_xlpm.lookup_result)),X24)</f>
        <v>75570</v>
      </c>
      <c r="I24" s="119">
        <f>IFERROR(_xlfn.LET(_xlpm.lookup_result,_xlfn.XLOOKUP($C24,'دیده بان بازار'!$A$5:$A$3994,'دیده بان بازار'!P$5:P$3994),IF(ISERROR(_xlpm.lookup_result),Y24,_xlpm.lookup_result)),Y24)</f>
        <v>11804</v>
      </c>
      <c r="J24" s="119">
        <f>IFERROR(_xlfn.LET(_xlpm.lookup_result,_xlfn.XLOOKUP($C24,'دیده بان بازار'!$A$5:$A$3994,'دیده بان بازار'!Q$5:Q$3994),IF(ISERROR(_xlpm.lookup_result),Z24,_xlpm.lookup_result)),Z24)</f>
        <v>6.4</v>
      </c>
      <c r="K24" s="1664">
        <f>_xlfn.XLOOKUP(C24,Cement!$Q$7:$Q$35,Cement!$S$7:$S$35,"")/1000</f>
        <v>18.635562</v>
      </c>
      <c r="L24" s="1742">
        <f>_xlfn.XLOOKUP(C24,'Cement Portfolio'!$O$8:$O$36,'Cement Portfolio'!$AP$8:$AP$36,"")</f>
        <v>350000</v>
      </c>
      <c r="M24" s="1665">
        <f>_xlfn.XLOOKUP(C24,'Cement Portfolio'!$O$8:$O$36,'Cement Portfolio'!$AQ$8:$AQ$36,"")</f>
        <v>2621674.44</v>
      </c>
      <c r="O24" s="1752" t="str">
        <f t="shared" si="3"/>
        <v/>
      </c>
      <c r="P24" s="1753" t="str">
        <f t="shared" si="0"/>
        <v/>
      </c>
      <c r="Q24" s="1754">
        <f t="shared" si="1"/>
        <v>0.30378696212221296</v>
      </c>
      <c r="R24" s="1755">
        <f t="shared" si="2"/>
        <v>7.4008665980638835</v>
      </c>
      <c r="S24" s="1753">
        <f t="shared" si="4"/>
        <v>7.0970796359416708</v>
      </c>
      <c r="T24" s="1756" t="str">
        <f t="shared" si="5"/>
        <v/>
      </c>
      <c r="U24" s="1614"/>
      <c r="V24" s="1614">
        <v>71240</v>
      </c>
      <c r="W24" s="1614">
        <v>73370</v>
      </c>
      <c r="X24" s="1614">
        <v>73370</v>
      </c>
      <c r="Y24" s="1614">
        <v>11804</v>
      </c>
      <c r="Z24" s="1614">
        <v>6.22</v>
      </c>
      <c r="AA24" s="1620">
        <v>18.093042000000001</v>
      </c>
      <c r="AB24" s="508">
        <v>360000</v>
      </c>
      <c r="AC24" s="1621">
        <v>2618076.3840000001</v>
      </c>
    </row>
    <row r="25" spans="1:29" ht="20" customHeight="1">
      <c r="A25" s="1614">
        <f>IFERROR(MATCH(C25,'دیده بان بازار'!$A$5:$A$3994,0 )+4,"Closed")</f>
        <v>1288</v>
      </c>
      <c r="B25" s="1652" t="s">
        <v>66</v>
      </c>
      <c r="C25" s="1652" t="s">
        <v>67</v>
      </c>
      <c r="D25" s="1615" t="s">
        <v>29</v>
      </c>
      <c r="E25" s="1616"/>
      <c r="F25" s="119">
        <f>IFERROR(_xlfn.LET(_xlpm.lookup_result,_xlfn.XLOOKUP($C25,'دیده بان بازار'!$A$5:$A$3994,'دیده بان بازار'!F$5:F$3994),IF(ISERROR(_xlpm.lookup_result),V25,_xlpm.lookup_result)),V25)</f>
        <v>65940</v>
      </c>
      <c r="G25" s="119">
        <f>IFERROR(_xlfn.LET(_xlpm.lookup_result,_xlfn.XLOOKUP($C25,'دیده بان بازار'!$A$5:$A$3994,'دیده بان بازار'!H$5:H$3994),IF(ISERROR(_xlpm.lookup_result),W25,_xlpm.lookup_result)),W25)</f>
        <v>67910</v>
      </c>
      <c r="H25" s="119">
        <f>IFERROR(_xlfn.LET(_xlpm.lookup_result,_xlfn.XLOOKUP($C25,'دیده بان بازار'!$A$5:$A$3994,'دیده بان بازار'!K$5:K$3994),IF(ISERROR(_xlpm.lookup_result),X25,_xlpm.lookup_result)),X25)</f>
        <v>67910</v>
      </c>
      <c r="I25" s="119">
        <f>IFERROR(_xlfn.LET(_xlpm.lookup_result,_xlfn.XLOOKUP($C25,'دیده بان بازار'!$A$5:$A$3994,'دیده بان بازار'!P$5:P$3994),IF(ISERROR(_xlpm.lookup_result),Y25,_xlpm.lookup_result)),Y25)</f>
        <v>11726</v>
      </c>
      <c r="J25" s="119">
        <f>IFERROR(_xlfn.LET(_xlpm.lookup_result,_xlfn.XLOOKUP($C25,'دیده بان بازار'!$A$5:$A$3994,'دیده بان بازار'!Q$5:Q$3994),IF(ISERROR(_xlpm.lookup_result),Z25,_xlpm.lookup_result)),Z25)</f>
        <v>5.79</v>
      </c>
      <c r="K25" s="1664">
        <f>_xlfn.XLOOKUP(C25,Cement!$Q$7:$Q$35,Cement!$S$7:$S$35,"")/1000</f>
        <v>10.186500000000001</v>
      </c>
      <c r="L25" s="1742">
        <f>_xlfn.XLOOKUP(C25,'Cement Portfolio'!$O$8:$O$36,'Cement Portfolio'!$AP$8:$AP$36,"")</f>
        <v>0</v>
      </c>
      <c r="M25" s="1665">
        <f>_xlfn.XLOOKUP(C25,'Cement Portfolio'!$O$8:$O$36,'Cement Portfolio'!$AQ$8:$AQ$36,"")</f>
        <v>0</v>
      </c>
      <c r="O25" s="1752" t="str">
        <f t="shared" si="3"/>
        <v/>
      </c>
      <c r="P25" s="1753">
        <f t="shared" si="0"/>
        <v>0.16546679810350615</v>
      </c>
      <c r="Q25" s="1754">
        <f t="shared" si="1"/>
        <v>0.16546679810350615</v>
      </c>
      <c r="R25" s="1755">
        <f t="shared" si="2"/>
        <v>0</v>
      </c>
      <c r="S25" s="1753" t="str">
        <f>IF(AND(R25&gt;0,Q25&gt;0,R25&gt;Q25),R25-Q25,"")</f>
        <v/>
      </c>
      <c r="T25" s="1756" t="str">
        <f t="shared" si="5"/>
        <v/>
      </c>
      <c r="U25" s="1614"/>
      <c r="V25" s="1614">
        <v>64020</v>
      </c>
      <c r="W25" s="1614">
        <v>65940</v>
      </c>
      <c r="X25" s="1614">
        <v>65940</v>
      </c>
      <c r="Y25" s="1614">
        <v>11726</v>
      </c>
      <c r="Z25" s="1614">
        <v>5.62</v>
      </c>
      <c r="AA25" s="1620">
        <v>9.891</v>
      </c>
      <c r="AB25" s="508">
        <v>0</v>
      </c>
      <c r="AC25" s="1621">
        <v>0</v>
      </c>
    </row>
    <row r="26" spans="1:29" ht="20" customHeight="1">
      <c r="A26" s="1614">
        <f>IFERROR(MATCH(C26,'دیده بان بازار'!$A$5:$A$3994,0 )+4,"Closed")</f>
        <v>1472</v>
      </c>
      <c r="B26" s="1652" t="s">
        <v>68</v>
      </c>
      <c r="C26" s="1652" t="s">
        <v>69</v>
      </c>
      <c r="D26" s="1615" t="s">
        <v>29</v>
      </c>
      <c r="E26" s="1616"/>
      <c r="F26" s="119">
        <f>IFERROR(_xlfn.LET(_xlpm.lookup_result,_xlfn.XLOOKUP($C26,'دیده بان بازار'!$A$5:$A$3994,'دیده بان بازار'!F$5:F$3994),IF(ISERROR(_xlpm.lookup_result),V26,_xlpm.lookup_result)),V26)</f>
        <v>66880</v>
      </c>
      <c r="G26" s="119">
        <f>IFERROR(_xlfn.LET(_xlpm.lookup_result,_xlfn.XLOOKUP($C26,'دیده بان بازار'!$A$5:$A$3994,'دیده بان بازار'!H$5:H$3994),IF(ISERROR(_xlpm.lookup_result),W26,_xlpm.lookup_result)),W26)</f>
        <v>68880</v>
      </c>
      <c r="H26" s="119">
        <f>IFERROR(_xlfn.LET(_xlpm.lookup_result,_xlfn.XLOOKUP($C26,'دیده بان بازار'!$A$5:$A$3994,'دیده بان بازار'!K$5:K$3994),IF(ISERROR(_xlpm.lookup_result),X26,_xlpm.lookup_result)),X26)</f>
        <v>68880</v>
      </c>
      <c r="I26" s="119">
        <f>IFERROR(_xlfn.LET(_xlpm.lookup_result,_xlfn.XLOOKUP($C26,'دیده بان بازار'!$A$5:$A$3994,'دیده بان بازار'!P$5:P$3994),IF(ISERROR(_xlpm.lookup_result),Y26,_xlpm.lookup_result)),Y26)</f>
        <v>10205</v>
      </c>
      <c r="J26" s="119">
        <f>IFERROR(_xlfn.LET(_xlpm.lookup_result,_xlfn.XLOOKUP($C26,'دیده بان بازار'!$A$5:$A$3994,'دیده بان بازار'!Q$5:Q$3994),IF(ISERROR(_xlpm.lookup_result),Z26,_xlpm.lookup_result)),Z26)</f>
        <v>6.75</v>
      </c>
      <c r="K26" s="1664">
        <f>_xlfn.XLOOKUP(C26,Cement!$Q$7:$Q$35,Cement!$S$7:$S$35,"")/1000</f>
        <v>20.383665288</v>
      </c>
      <c r="L26" s="1742">
        <f>_xlfn.XLOOKUP(C26,'Cement Portfolio'!$O$8:$O$36,'Cement Portfolio'!$AP$8:$AP$36,"")</f>
        <v>0</v>
      </c>
      <c r="M26" s="1665">
        <f>_xlfn.XLOOKUP(C26,'Cement Portfolio'!$O$8:$O$36,'Cement Portfolio'!$AQ$8:$AQ$36,"")</f>
        <v>0</v>
      </c>
      <c r="O26" s="1752" t="str">
        <f t="shared" si="3"/>
        <v/>
      </c>
      <c r="P26" s="1753">
        <f t="shared" si="0"/>
        <v>0.32644404072966715</v>
      </c>
      <c r="Q26" s="1754">
        <f t="shared" si="1"/>
        <v>0.32644404072966715</v>
      </c>
      <c r="R26" s="1755">
        <f t="shared" si="2"/>
        <v>0</v>
      </c>
      <c r="S26" s="1753" t="str">
        <f t="shared" si="4"/>
        <v/>
      </c>
      <c r="T26" s="1756" t="str">
        <f t="shared" si="5"/>
        <v/>
      </c>
      <c r="U26" s="1614"/>
      <c r="V26" s="1614">
        <v>64970</v>
      </c>
      <c r="W26" s="1614">
        <v>66910</v>
      </c>
      <c r="X26" s="1614">
        <v>66880</v>
      </c>
      <c r="Y26" s="1614">
        <v>10205</v>
      </c>
      <c r="Z26" s="1614">
        <v>6.55</v>
      </c>
      <c r="AA26" s="1620">
        <v>19.800682991000002</v>
      </c>
      <c r="AB26" s="508">
        <v>0</v>
      </c>
      <c r="AC26" s="1621">
        <v>0</v>
      </c>
    </row>
    <row r="27" spans="1:29" ht="20" customHeight="1">
      <c r="A27" s="1614">
        <f>IFERROR(MATCH(C27,'دیده بان بازار'!$A$5:$A$3994,0 )+4,"Closed")</f>
        <v>1297</v>
      </c>
      <c r="B27" s="1652" t="s">
        <v>70</v>
      </c>
      <c r="C27" s="1652" t="s">
        <v>71</v>
      </c>
      <c r="D27" s="1615" t="s">
        <v>29</v>
      </c>
      <c r="E27" s="1616"/>
      <c r="F27" s="119">
        <f>IFERROR(_xlfn.LET(_xlpm.lookup_result,_xlfn.XLOOKUP($C27,'دیده بان بازار'!$A$5:$A$3994,'دیده بان بازار'!F$5:F$3994),IF(ISERROR(_xlpm.lookup_result),V27,_xlpm.lookup_result)),V27)</f>
        <v>131800</v>
      </c>
      <c r="G27" s="119">
        <f>IFERROR(_xlfn.LET(_xlpm.lookup_result,_xlfn.XLOOKUP($C27,'دیده بان بازار'!$A$5:$A$3994,'دیده بان بازار'!H$5:H$3994),IF(ISERROR(_xlpm.lookup_result),W27,_xlpm.lookup_result)),W27)</f>
        <v>135700</v>
      </c>
      <c r="H27" s="119">
        <f>IFERROR(_xlfn.LET(_xlpm.lookup_result,_xlfn.XLOOKUP($C27,'دیده بان بازار'!$A$5:$A$3994,'دیده بان بازار'!K$5:K$3994),IF(ISERROR(_xlpm.lookup_result),X27,_xlpm.lookup_result)),X27)</f>
        <v>135700</v>
      </c>
      <c r="I27" s="119">
        <f>IFERROR(_xlfn.LET(_xlpm.lookup_result,_xlfn.XLOOKUP($C27,'دیده بان بازار'!$A$5:$A$3994,'دیده بان بازار'!P$5:P$3994),IF(ISERROR(_xlpm.lookup_result),Y27,_xlpm.lookup_result)),Y27)</f>
        <v>26819</v>
      </c>
      <c r="J27" s="119">
        <f>IFERROR(_xlfn.LET(_xlpm.lookup_result,_xlfn.XLOOKUP($C27,'دیده بان بازار'!$A$5:$A$3994,'دیده بان بازار'!Q$5:Q$3994),IF(ISERROR(_xlpm.lookup_result),Z27,_xlpm.lookup_result)),Z27)</f>
        <v>5.0599999999999996</v>
      </c>
      <c r="K27" s="1664">
        <f>_xlfn.XLOOKUP(C27,Cement!$Q$7:$Q$35,Cement!$S$7:$S$35,"")/1000</f>
        <v>9.8896667300000001</v>
      </c>
      <c r="L27" s="1742">
        <f>_xlfn.XLOOKUP(C27,'Cement Portfolio'!$O$8:$O$36,'Cement Portfolio'!$AP$8:$AP$36,"")</f>
        <v>3000</v>
      </c>
      <c r="M27" s="1665">
        <f>_xlfn.XLOOKUP(C27,'Cement Portfolio'!$O$8:$O$36,'Cement Portfolio'!$AQ$8:$AQ$36,"")</f>
        <v>40351.752</v>
      </c>
      <c r="O27" s="1752" t="str">
        <f t="shared" si="3"/>
        <v/>
      </c>
      <c r="P27" s="1753">
        <f t="shared" si="0"/>
        <v>4.7268766988705122E-2</v>
      </c>
      <c r="Q27" s="1754">
        <f t="shared" si="1"/>
        <v>0.15099303370399469</v>
      </c>
      <c r="R27" s="1755">
        <f t="shared" si="2"/>
        <v>0.10372426671528957</v>
      </c>
      <c r="S27" s="1753" t="str">
        <f>IF(AND(R27&gt;0,Q27&gt;0,R27&gt;Q27),R27-Q27,"")</f>
        <v/>
      </c>
      <c r="T27" s="1756" t="str">
        <f t="shared" si="5"/>
        <v/>
      </c>
      <c r="U27" s="1614"/>
      <c r="V27" s="1614">
        <v>128200</v>
      </c>
      <c r="W27" s="1614">
        <v>132000</v>
      </c>
      <c r="X27" s="1614">
        <v>131800</v>
      </c>
      <c r="Y27" s="1614">
        <v>26819</v>
      </c>
      <c r="Z27" s="1614">
        <v>4.91</v>
      </c>
      <c r="AA27" s="1620">
        <v>9.6200148000000016</v>
      </c>
      <c r="AB27" s="508">
        <v>3000</v>
      </c>
      <c r="AC27" s="1621">
        <v>39251.519999999997</v>
      </c>
    </row>
    <row r="28" spans="1:29" ht="20" customHeight="1">
      <c r="A28" s="1614">
        <f>IFERROR(MATCH(C28,'دیده بان بازار'!$A$5:$A$3994,0 )+4,"Closed")</f>
        <v>2271</v>
      </c>
      <c r="B28" s="1652" t="s">
        <v>72</v>
      </c>
      <c r="C28" s="1652" t="s">
        <v>73</v>
      </c>
      <c r="D28" s="1615" t="s">
        <v>29</v>
      </c>
      <c r="E28" s="1616"/>
      <c r="F28" s="119">
        <f>IFERROR(_xlfn.LET(_xlpm.lookup_result,_xlfn.XLOOKUP($C28,'دیده بان بازار'!$A$5:$A$3994,'دیده بان بازار'!F$5:F$3994),IF(ISERROR(_xlpm.lookup_result),V28,_xlpm.lookup_result)),V28)</f>
        <v>7660</v>
      </c>
      <c r="G28" s="119">
        <f>IFERROR(_xlfn.LET(_xlpm.lookup_result,_xlfn.XLOOKUP($C28,'دیده بان بازار'!$A$5:$A$3994,'دیده بان بازار'!H$5:H$3994),IF(ISERROR(_xlpm.lookup_result),W28,_xlpm.lookup_result)),W28)</f>
        <v>7880</v>
      </c>
      <c r="H28" s="119">
        <f>IFERROR(_xlfn.LET(_xlpm.lookup_result,_xlfn.XLOOKUP($C28,'دیده بان بازار'!$A$5:$A$3994,'دیده بان بازار'!K$5:K$3994),IF(ISERROR(_xlpm.lookup_result),X28,_xlpm.lookup_result)),X28)</f>
        <v>7880</v>
      </c>
      <c r="I28" s="119">
        <f>IFERROR(_xlfn.LET(_xlpm.lookup_result,_xlfn.XLOOKUP($C28,'دیده بان بازار'!$A$5:$A$3994,'دیده بان بازار'!P$5:P$3994),IF(ISERROR(_xlpm.lookup_result),Y28,_xlpm.lookup_result)),Y28)</f>
        <v>1220</v>
      </c>
      <c r="J28" s="119">
        <f>IFERROR(_xlfn.LET(_xlpm.lookup_result,_xlfn.XLOOKUP($C28,'دیده بان بازار'!$A$5:$A$3994,'دیده بان بازار'!Q$5:Q$3994),IF(ISERROR(_xlpm.lookup_result),Z28,_xlpm.lookup_result)),Z28)</f>
        <v>6.46</v>
      </c>
      <c r="K28" s="1664">
        <f>_xlfn.XLOOKUP(C28,Cement!$Q$7:$Q$35,Cement!$S$7:$S$35,"")/1000</f>
        <v>4.4521999999999995</v>
      </c>
      <c r="L28" s="1742">
        <f>_xlfn.XLOOKUP(C28,'Cement Portfolio'!$O$8:$O$36,'Cement Portfolio'!$AP$8:$AP$36,"")</f>
        <v>0</v>
      </c>
      <c r="M28" s="1665">
        <f>_xlfn.XLOOKUP(C28,'Cement Portfolio'!$O$8:$O$36,'Cement Portfolio'!$AQ$8:$AQ$36,"")</f>
        <v>0</v>
      </c>
      <c r="O28" s="1752" t="str">
        <f t="shared" si="3"/>
        <v/>
      </c>
      <c r="P28" s="1753">
        <f t="shared" si="0"/>
        <v>6.0111203981087144E-2</v>
      </c>
      <c r="Q28" s="1754">
        <f t="shared" si="1"/>
        <v>6.0111203981087144E-2</v>
      </c>
      <c r="R28" s="1755">
        <f t="shared" si="2"/>
        <v>0</v>
      </c>
      <c r="S28" s="1753" t="str">
        <f t="shared" si="4"/>
        <v/>
      </c>
      <c r="T28" s="1756" t="str">
        <f t="shared" si="5"/>
        <v/>
      </c>
      <c r="U28" s="1614"/>
      <c r="V28" s="1614">
        <v>7470</v>
      </c>
      <c r="W28" s="1614">
        <v>7690</v>
      </c>
      <c r="X28" s="1614">
        <v>7660</v>
      </c>
      <c r="Y28" s="1614">
        <v>1220</v>
      </c>
      <c r="Z28" s="1614">
        <v>6.28</v>
      </c>
      <c r="AA28" s="1620">
        <v>4.3448500000000001</v>
      </c>
      <c r="AB28" s="508">
        <v>0</v>
      </c>
      <c r="AC28" s="1621">
        <v>0</v>
      </c>
    </row>
    <row r="29" spans="1:29" ht="20" customHeight="1">
      <c r="A29" s="1614" t="str">
        <f>IFERROR(MATCH(C29,'دیده بان بازار'!$A$5:$A$3994,0 )+4,"Closed")</f>
        <v>Closed</v>
      </c>
      <c r="B29" s="1652" t="s">
        <v>74</v>
      </c>
      <c r="C29" s="1652" t="s">
        <v>75</v>
      </c>
      <c r="D29" s="1615" t="s">
        <v>29</v>
      </c>
      <c r="E29" s="1616"/>
      <c r="F29" s="119">
        <f>IFERROR(_xlfn.LET(_xlpm.lookup_result,_xlfn.XLOOKUP($C29,'دیده بان بازار'!$A$5:$A$3994,'دیده بان بازار'!F$5:F$3994),IF(ISERROR(_xlpm.lookup_result),V29,_xlpm.lookup_result)),V29)</f>
        <v>13240</v>
      </c>
      <c r="G29" s="119">
        <f>IFERROR(_xlfn.LET(_xlpm.lookup_result,_xlfn.XLOOKUP($C29,'دیده بان بازار'!$A$5:$A$3994,'دیده بان بازار'!H$5:H$3994),IF(ISERROR(_xlpm.lookup_result),W29,_xlpm.lookup_result)),W29)</f>
        <v>12080</v>
      </c>
      <c r="H29" s="119">
        <f>IFERROR(_xlfn.LET(_xlpm.lookup_result,_xlfn.XLOOKUP($C29,'دیده بان بازار'!$A$5:$A$3994,'دیده بان بازار'!K$5:K$3994),IF(ISERROR(_xlpm.lookup_result),X29,_xlpm.lookup_result)),X29)</f>
        <v>12080</v>
      </c>
      <c r="I29" s="119">
        <f>IFERROR(_xlfn.LET(_xlpm.lookup_result,_xlfn.XLOOKUP($C29,'دیده بان بازار'!$A$5:$A$3994,'دیده بان بازار'!P$5:P$3994),IF(ISERROR(_xlpm.lookup_result),Y29,_xlpm.lookup_result)),Y29)</f>
        <v>1902</v>
      </c>
      <c r="J29" s="119">
        <f>IFERROR(_xlfn.LET(_xlpm.lookup_result,_xlfn.XLOOKUP($C29,'دیده بان بازار'!$A$5:$A$3994,'دیده بان بازار'!Q$5:Q$3994),IF(ISERROR(_xlpm.lookup_result),Z29,_xlpm.lookup_result)),Z29)</f>
        <v>7.16</v>
      </c>
      <c r="K29" s="1664">
        <f>_xlfn.XLOOKUP(C29,Cement!$Q$7:$Q$35,Cement!$S$7:$S$35,"")/1000</f>
        <v>20.536000000000001</v>
      </c>
      <c r="L29" s="1742">
        <f>_xlfn.XLOOKUP(C29,'Cement Portfolio'!$O$8:$O$36,'Cement Portfolio'!$AP$8:$AP$36,"")</f>
        <v>130000</v>
      </c>
      <c r="M29" s="1665">
        <f>_xlfn.XLOOKUP(C29,'Cement Portfolio'!$O$8:$O$36,'Cement Portfolio'!$AQ$8:$AQ$36,"")</f>
        <v>155658.04800000001</v>
      </c>
      <c r="O29" s="1752" t="str">
        <f t="shared" si="3"/>
        <v/>
      </c>
      <c r="P29" s="1753" t="str">
        <f t="shared" si="0"/>
        <v/>
      </c>
      <c r="Q29" s="1754">
        <f t="shared" si="1"/>
        <v>0</v>
      </c>
      <c r="R29" s="1755">
        <f t="shared" si="2"/>
        <v>0</v>
      </c>
      <c r="S29" s="1753" t="str">
        <f t="shared" si="4"/>
        <v/>
      </c>
      <c r="T29" s="1756" t="str">
        <f t="shared" si="5"/>
        <v/>
      </c>
      <c r="U29" s="1614"/>
      <c r="V29" s="1614">
        <v>13240</v>
      </c>
      <c r="W29" s="1614">
        <v>12080</v>
      </c>
      <c r="X29" s="1614">
        <v>12080</v>
      </c>
      <c r="Y29" s="1614">
        <v>1902</v>
      </c>
      <c r="Z29" s="1614">
        <v>7.16</v>
      </c>
      <c r="AA29" s="1620">
        <v>20.536000000000001</v>
      </c>
      <c r="AB29" s="508">
        <v>130000</v>
      </c>
      <c r="AC29" s="1621">
        <v>155658.04800000001</v>
      </c>
    </row>
    <row r="30" spans="1:29" ht="20" customHeight="1">
      <c r="A30" s="1614">
        <f>IFERROR(MATCH(C30,'دیده بان بازار'!$A$5:$A$3994,0 )+4,"Closed")</f>
        <v>536</v>
      </c>
      <c r="B30" s="1652" t="s">
        <v>76</v>
      </c>
      <c r="C30" s="1652" t="s">
        <v>77</v>
      </c>
      <c r="D30" s="1615" t="s">
        <v>29</v>
      </c>
      <c r="E30" s="1616"/>
      <c r="F30" s="119">
        <f>IFERROR(_xlfn.LET(_xlpm.lookup_result,_xlfn.XLOOKUP($C30,'دیده بان بازار'!$A$5:$A$3994,'دیده بان بازار'!F$5:F$3994),IF(ISERROR(_xlpm.lookup_result),V30,_xlpm.lookup_result)),V30)</f>
        <v>23580</v>
      </c>
      <c r="G30" s="119">
        <f>IFERROR(_xlfn.LET(_xlpm.lookup_result,_xlfn.XLOOKUP($C30,'دیده بان بازار'!$A$5:$A$3994,'دیده بان بازار'!H$5:H$3994),IF(ISERROR(_xlpm.lookup_result),W30,_xlpm.lookup_result)),W30)</f>
        <v>24280</v>
      </c>
      <c r="H30" s="119">
        <f>IFERROR(_xlfn.LET(_xlpm.lookup_result,_xlfn.XLOOKUP($C30,'دیده بان بازار'!$A$5:$A$3994,'دیده بان بازار'!K$5:K$3994),IF(ISERROR(_xlpm.lookup_result),X30,_xlpm.lookup_result)),X30)</f>
        <v>24280</v>
      </c>
      <c r="I30" s="119">
        <f>IFERROR(_xlfn.LET(_xlpm.lookup_result,_xlfn.XLOOKUP($C30,'دیده بان بازار'!$A$5:$A$3994,'دیده بان بازار'!P$5:P$3994),IF(ISERROR(_xlpm.lookup_result),Y30,_xlpm.lookup_result)),Y30)</f>
        <v>3814</v>
      </c>
      <c r="J30" s="119">
        <f>IFERROR(_xlfn.LET(_xlpm.lookup_result,_xlfn.XLOOKUP($C30,'دیده بان بازار'!$A$5:$A$3994,'دیده بان بازار'!Q$5:Q$3994),IF(ISERROR(_xlpm.lookup_result),Z30,_xlpm.lookup_result)),Z30)</f>
        <v>6.37</v>
      </c>
      <c r="K30" s="1664">
        <f>_xlfn.XLOOKUP(C30,Cement!$Q$7:$Q$35,Cement!$S$7:$S$35,"")/1000</f>
        <v>9.7119999999999997</v>
      </c>
      <c r="L30" s="1742">
        <f>_xlfn.XLOOKUP(C30,'Cement Portfolio'!$O$8:$O$36,'Cement Portfolio'!$AP$8:$AP$36,"")</f>
        <v>820000</v>
      </c>
      <c r="M30" s="1665">
        <f>_xlfn.XLOOKUP(C30,'Cement Portfolio'!$O$8:$O$36,'Cement Portfolio'!$AQ$8:$AQ$36,"")</f>
        <v>1973439.5519999999</v>
      </c>
      <c r="O30" s="1752" t="str">
        <f t="shared" ref="O30:O31" si="6">IF(AND(Q30&lt;0,R30&lt;0,Q30&lt;R30),Q30-R30,"")</f>
        <v/>
      </c>
      <c r="P30" s="1753" t="str">
        <f t="shared" ref="P30:P31" si="7">IF(AND(Q30&gt;=0,R30&gt;=0,Q30&gt;R30),Q30-R30,"")</f>
        <v/>
      </c>
      <c r="Q30" s="1754">
        <f t="shared" si="1"/>
        <v>0.15678749058876998</v>
      </c>
      <c r="R30" s="1755">
        <f t="shared" si="2"/>
        <v>5.3637593778897426</v>
      </c>
      <c r="S30" s="1753">
        <f t="shared" ref="S30:S31" si="8">IF(AND(R30&gt;0,Q30&gt;0,R30&gt;Q30),R30-Q30,"")</f>
        <v>5.2069718873009725</v>
      </c>
      <c r="T30" s="1756" t="str">
        <f t="shared" ref="T30:T31" si="9">IF(AND(R30&lt;0,Q30&lt;0,R30&lt;Q30),R30-Q30,"")</f>
        <v/>
      </c>
      <c r="U30" s="1614"/>
      <c r="V30" s="1614">
        <v>22900</v>
      </c>
      <c r="W30" s="1614">
        <v>23580</v>
      </c>
      <c r="X30" s="1614">
        <v>23580</v>
      </c>
      <c r="Y30" s="1614">
        <v>3814</v>
      </c>
      <c r="Z30" s="1614">
        <v>6.18</v>
      </c>
      <c r="AA30" s="1620">
        <v>9.4320000000000004</v>
      </c>
      <c r="AB30" s="508">
        <v>820000</v>
      </c>
      <c r="AC30" s="1621">
        <v>1916544.672</v>
      </c>
    </row>
    <row r="31" spans="1:29" ht="20" customHeight="1">
      <c r="A31" s="1614">
        <f>IFERROR(MATCH(C31,'دیده بان بازار'!$A$5:$A$3994,0 )+4,"Closed")</f>
        <v>1150</v>
      </c>
      <c r="B31" s="1652" t="s">
        <v>78</v>
      </c>
      <c r="C31" s="1652" t="s">
        <v>79</v>
      </c>
      <c r="D31" s="1615" t="s">
        <v>29</v>
      </c>
      <c r="E31" s="1616"/>
      <c r="F31" s="119">
        <f>IFERROR(_xlfn.LET(_xlpm.lookup_result,_xlfn.XLOOKUP($C31,'دیده بان بازار'!$A$5:$A$3994,'دیده بان بازار'!F$5:F$3994),IF(ISERROR(_xlpm.lookup_result),V31,_xlpm.lookup_result)),V31)</f>
        <v>8590</v>
      </c>
      <c r="G31" s="119">
        <f>IFERROR(_xlfn.LET(_xlpm.lookup_result,_xlfn.XLOOKUP($C31,'دیده بان بازار'!$A$5:$A$3994,'دیده بان بازار'!H$5:H$3994),IF(ISERROR(_xlpm.lookup_result),W31,_xlpm.lookup_result)),W31)</f>
        <v>8820</v>
      </c>
      <c r="H31" s="119">
        <f>IFERROR(_xlfn.LET(_xlpm.lookup_result,_xlfn.XLOOKUP($C31,'دیده بان بازار'!$A$5:$A$3994,'دیده بان بازار'!K$5:K$3994),IF(ISERROR(_xlpm.lookup_result),X31,_xlpm.lookup_result)),X31)</f>
        <v>8820</v>
      </c>
      <c r="I31" s="119">
        <f>IFERROR(_xlfn.LET(_xlpm.lookup_result,_xlfn.XLOOKUP($C31,'دیده بان بازار'!$A$5:$A$3994,'دیده بان بازار'!P$5:P$3994),IF(ISERROR(_xlpm.lookup_result),Y31,_xlpm.lookup_result)),Y31)</f>
        <v>1761</v>
      </c>
      <c r="J31" s="119">
        <f>IFERROR(_xlfn.LET(_xlpm.lookup_result,_xlfn.XLOOKUP($C31,'دیده بان بازار'!$A$5:$A$3994,'دیده بان بازار'!Q$5:Q$3994),IF(ISERROR(_xlpm.lookup_result),Z31,_xlpm.lookup_result)),Z31)</f>
        <v>5.01</v>
      </c>
      <c r="K31" s="1664">
        <f>_xlfn.XLOOKUP(C31,Cement!$Q$7:$Q$35,Cement!$S$7:$S$35,"")/1000</f>
        <v>8.82</v>
      </c>
      <c r="L31" s="1742">
        <f>_xlfn.XLOOKUP(C31,'Cement Portfolio'!$O$8:$O$36,'Cement Portfolio'!$AP$8:$AP$36,"")</f>
        <v>5600000</v>
      </c>
      <c r="M31" s="1665">
        <f>_xlfn.XLOOKUP(C31,'Cement Portfolio'!$O$8:$O$36,'Cement Portfolio'!$AQ$8:$AQ$36,"")</f>
        <v>4895735.04</v>
      </c>
      <c r="O31" s="1752" t="str">
        <f t="shared" si="6"/>
        <v/>
      </c>
      <c r="P31" s="1753" t="str">
        <f t="shared" si="7"/>
        <v/>
      </c>
      <c r="Q31" s="1754">
        <f t="shared" si="1"/>
        <v>0.12878972441220443</v>
      </c>
      <c r="R31" s="1755">
        <f t="shared" si="2"/>
        <v>12.250676906643648</v>
      </c>
      <c r="S31" s="1753">
        <f t="shared" si="8"/>
        <v>12.121887182231443</v>
      </c>
      <c r="T31" s="1756" t="str">
        <f t="shared" si="9"/>
        <v/>
      </c>
      <c r="U31" s="1614"/>
      <c r="V31" s="1614">
        <v>8340</v>
      </c>
      <c r="W31" s="1614">
        <v>8590</v>
      </c>
      <c r="X31" s="1614">
        <v>8590</v>
      </c>
      <c r="Y31" s="1614">
        <v>1761</v>
      </c>
      <c r="Z31" s="1614">
        <v>4.88</v>
      </c>
      <c r="AA31" s="1620">
        <v>8.59</v>
      </c>
      <c r="AB31" s="508">
        <v>5700000</v>
      </c>
      <c r="AC31" s="1621">
        <v>4853212.5599999996</v>
      </c>
    </row>
    <row r="32" spans="1:29" ht="20" customHeight="1">
      <c r="A32" s="1614">
        <f>IFERROR(MATCH(C32,'دیده بان بازار'!$A$5:$A$3994,0 )+4,"Closed")</f>
        <v>2664</v>
      </c>
      <c r="B32" s="1652" t="s">
        <v>80</v>
      </c>
      <c r="C32" s="1652" t="s">
        <v>81</v>
      </c>
      <c r="D32" s="1615" t="s">
        <v>29</v>
      </c>
      <c r="E32" s="1616"/>
      <c r="F32" s="119">
        <f>IFERROR(_xlfn.LET(_xlpm.lookup_result,_xlfn.XLOOKUP($C32,'دیده بان بازار'!$A$5:$A$3994,'دیده بان بازار'!F$5:F$3994),IF(ISERROR(_xlpm.lookup_result),V32,_xlpm.lookup_result)),V32)</f>
        <v>47760</v>
      </c>
      <c r="G32" s="119">
        <f>IFERROR(_xlfn.LET(_xlpm.lookup_result,_xlfn.XLOOKUP($C32,'دیده بان بازار'!$A$5:$A$3994,'دیده بان بازار'!H$5:H$3994),IF(ISERROR(_xlpm.lookup_result),W32,_xlpm.lookup_result)),W32)</f>
        <v>49190</v>
      </c>
      <c r="H32" s="119">
        <f>IFERROR(_xlfn.LET(_xlpm.lookup_result,_xlfn.XLOOKUP($C32,'دیده بان بازار'!$A$5:$A$3994,'دیده بان بازار'!K$5:K$3994),IF(ISERROR(_xlpm.lookup_result),X32,_xlpm.lookup_result)),X32)</f>
        <v>49180</v>
      </c>
      <c r="I32" s="119">
        <f>IFERROR(_xlfn.LET(_xlpm.lookup_result,_xlfn.XLOOKUP($C32,'دیده بان بازار'!$A$5:$A$3994,'دیده بان بازار'!P$5:P$3994),IF(ISERROR(_xlpm.lookup_result),Y32,_xlpm.lookup_result)),Y32)</f>
        <v>8801</v>
      </c>
      <c r="J32" s="119">
        <f>IFERROR(_xlfn.LET(_xlpm.lookup_result,_xlfn.XLOOKUP($C32,'دیده بان بازار'!$A$5:$A$3994,'دیده بان بازار'!Q$5:Q$3994),IF(ISERROR(_xlpm.lookup_result),Z32,_xlpm.lookup_result)),Z32)</f>
        <v>5.59</v>
      </c>
      <c r="K32" s="1664">
        <f>_xlfn.XLOOKUP(C32,Cement!$Q$7:$Q$35,Cement!$S$7:$S$35,"")/1000</f>
        <v>9.8379999999999992</v>
      </c>
      <c r="L32" s="1742">
        <f>_xlfn.XLOOKUP(C32,'Cement Portfolio'!$O$8:$O$36,'Cement Portfolio'!$AP$8:$AP$36,"")</f>
        <v>290000</v>
      </c>
      <c r="M32" s="1665">
        <f>_xlfn.XLOOKUP(C32,'Cement Portfolio'!$O$8:$O$36,'Cement Portfolio'!$AQ$8:$AQ$36,"")</f>
        <v>1413956.7120000001</v>
      </c>
      <c r="O32" s="1752" t="str">
        <f t="shared" si="3"/>
        <v/>
      </c>
      <c r="P32" s="1753" t="str">
        <f t="shared" si="0"/>
        <v/>
      </c>
      <c r="Q32" s="1754">
        <f t="shared" si="1"/>
        <v>0.15230784800051889</v>
      </c>
      <c r="R32" s="1755">
        <f t="shared" si="2"/>
        <v>3.6854820533792925</v>
      </c>
      <c r="S32" s="1753">
        <f t="shared" si="4"/>
        <v>3.5331742053787734</v>
      </c>
      <c r="T32" s="1756" t="str">
        <f t="shared" si="5"/>
        <v/>
      </c>
      <c r="U32" s="1614"/>
      <c r="V32" s="1614">
        <v>46440</v>
      </c>
      <c r="W32" s="1614">
        <v>47830</v>
      </c>
      <c r="X32" s="1614">
        <v>47760</v>
      </c>
      <c r="Y32" s="1614">
        <v>8801</v>
      </c>
      <c r="Z32" s="1614">
        <v>5.43</v>
      </c>
      <c r="AA32" s="1620">
        <v>9.5660000000000007</v>
      </c>
      <c r="AB32" s="508">
        <v>290000</v>
      </c>
      <c r="AC32" s="1621">
        <v>1374863.784</v>
      </c>
    </row>
    <row r="33" spans="1:29" ht="20" customHeight="1">
      <c r="A33" s="1614">
        <f>IFERROR(MATCH(C33,'دیده بان بازار'!$A$5:$A$3994,0 )+4,"Closed")</f>
        <v>564</v>
      </c>
      <c r="B33" s="1652" t="s">
        <v>82</v>
      </c>
      <c r="C33" s="1652" t="s">
        <v>83</v>
      </c>
      <c r="D33" s="1615" t="s">
        <v>29</v>
      </c>
      <c r="E33" s="1616"/>
      <c r="F33" s="119">
        <f>IFERROR(_xlfn.LET(_xlpm.lookup_result,_xlfn.XLOOKUP($C33,'دیده بان بازار'!$A$5:$A$3994,'دیده بان بازار'!F$5:F$3994),IF(ISERROR(_xlpm.lookup_result),V33,_xlpm.lookup_result)),V33)</f>
        <v>13450</v>
      </c>
      <c r="G33" s="119">
        <f>IFERROR(_xlfn.LET(_xlpm.lookup_result,_xlfn.XLOOKUP($C33,'دیده بان بازار'!$A$5:$A$3994,'دیده بان بازار'!H$5:H$3994),IF(ISERROR(_xlpm.lookup_result),W33,_xlpm.lookup_result)),W33)</f>
        <v>13850</v>
      </c>
      <c r="H33" s="119">
        <f>IFERROR(_xlfn.LET(_xlpm.lookup_result,_xlfn.XLOOKUP($C33,'دیده بان بازار'!$A$5:$A$3994,'دیده بان بازار'!K$5:K$3994),IF(ISERROR(_xlpm.lookup_result),X33,_xlpm.lookup_result)),X33)</f>
        <v>13830</v>
      </c>
      <c r="I33" s="119">
        <f>IFERROR(_xlfn.LET(_xlpm.lookup_result,_xlfn.XLOOKUP($C33,'دیده بان بازار'!$A$5:$A$3994,'دیده بان بازار'!P$5:P$3994),IF(ISERROR(_xlpm.lookup_result),Y33,_xlpm.lookup_result)),Y33)</f>
        <v>2014</v>
      </c>
      <c r="J33" s="119">
        <f>IFERROR(_xlfn.LET(_xlpm.lookup_result,_xlfn.XLOOKUP($C33,'دیده بان بازار'!$A$5:$A$3994,'دیده بان بازار'!Q$5:Q$3994),IF(ISERROR(_xlpm.lookup_result),Z33,_xlpm.lookup_result)),Z33)</f>
        <v>6.87</v>
      </c>
      <c r="K33" s="1664">
        <f>_xlfn.XLOOKUP(C33,Cement!$Q$7:$Q$35,Cement!$S$7:$S$35,"")/1000</f>
        <v>4.0164999999999997</v>
      </c>
      <c r="L33" s="1742">
        <f>_xlfn.XLOOKUP(C33,'Cement Portfolio'!$O$8:$O$36,'Cement Portfolio'!$AP$8:$AP$36,"")</f>
        <v>0</v>
      </c>
      <c r="M33" s="1665">
        <f>_xlfn.XLOOKUP(C33,'Cement Portfolio'!$O$8:$O$36,'Cement Portfolio'!$AQ$8:$AQ$36,"")</f>
        <v>0</v>
      </c>
      <c r="O33" s="1752" t="str">
        <f t="shared" si="3"/>
        <v/>
      </c>
      <c r="P33" s="1753">
        <f t="shared" si="0"/>
        <v>6.4954817529633238E-2</v>
      </c>
      <c r="Q33" s="1754">
        <f t="shared" si="1"/>
        <v>6.4954817529633238E-2</v>
      </c>
      <c r="R33" s="1755">
        <f t="shared" si="2"/>
        <v>0</v>
      </c>
      <c r="S33" s="1753" t="str">
        <f t="shared" si="4"/>
        <v/>
      </c>
      <c r="T33" s="1756" t="str">
        <f t="shared" si="5"/>
        <v/>
      </c>
      <c r="U33" s="1614"/>
      <c r="V33" s="1614">
        <v>13060</v>
      </c>
      <c r="W33" s="1614">
        <v>13450</v>
      </c>
      <c r="X33" s="1614">
        <v>13450</v>
      </c>
      <c r="Y33" s="1614">
        <v>2014</v>
      </c>
      <c r="Z33" s="1614">
        <v>6.68</v>
      </c>
      <c r="AA33" s="1620">
        <v>3.9005000000000001</v>
      </c>
      <c r="AB33" s="508">
        <v>0</v>
      </c>
      <c r="AC33" s="1621">
        <v>0</v>
      </c>
    </row>
    <row r="34" spans="1:29" ht="20" customHeight="1">
      <c r="A34" s="1614">
        <f>IFERROR(MATCH(C34,'دیده بان بازار'!$A$5:$A$3994,0 )+4,"Closed")</f>
        <v>2722</v>
      </c>
      <c r="B34" s="1652" t="s">
        <v>84</v>
      </c>
      <c r="C34" s="1652" t="s">
        <v>85</v>
      </c>
      <c r="D34" s="1615" t="s">
        <v>29</v>
      </c>
      <c r="E34" s="1616"/>
      <c r="F34" s="119">
        <f>IFERROR(_xlfn.LET(_xlpm.lookup_result,_xlfn.XLOOKUP($C34,'دیده بان بازار'!$A$5:$A$3994,'دیده بان بازار'!F$5:F$3994),IF(ISERROR(_xlpm.lookup_result),V34,_xlpm.lookup_result)),V34)</f>
        <v>81220</v>
      </c>
      <c r="G34" s="119">
        <f>IFERROR(_xlfn.LET(_xlpm.lookup_result,_xlfn.XLOOKUP($C34,'دیده بان بازار'!$A$5:$A$3994,'دیده بان بازار'!H$5:H$3994),IF(ISERROR(_xlpm.lookup_result),W34,_xlpm.lookup_result)),W34)</f>
        <v>83650</v>
      </c>
      <c r="H34" s="119">
        <f>IFERROR(_xlfn.LET(_xlpm.lookup_result,_xlfn.XLOOKUP($C34,'دیده بان بازار'!$A$5:$A$3994,'دیده بان بازار'!K$5:K$3994),IF(ISERROR(_xlpm.lookup_result),X34,_xlpm.lookup_result)),X34)</f>
        <v>83270</v>
      </c>
      <c r="I34" s="119">
        <f>IFERROR(_xlfn.LET(_xlpm.lookup_result,_xlfn.XLOOKUP($C34,'دیده بان بازار'!$A$5:$A$3994,'دیده بان بازار'!P$5:P$3994),IF(ISERROR(_xlpm.lookup_result),Y34,_xlpm.lookup_result)),Y34)</f>
        <v>11188</v>
      </c>
      <c r="J34" s="119">
        <f>IFERROR(_xlfn.LET(_xlpm.lookup_result,_xlfn.XLOOKUP($C34,'دیده بان بازار'!$A$5:$A$3994,'دیده بان بازار'!Q$5:Q$3994),IF(ISERROR(_xlpm.lookup_result),Z34,_xlpm.lookup_result)),Z34)</f>
        <v>7.44</v>
      </c>
      <c r="K34" s="1664">
        <f>_xlfn.XLOOKUP(C34,Cement!$Q$7:$Q$35,Cement!$S$7:$S$35,"")/1000</f>
        <v>12.0456</v>
      </c>
      <c r="L34" s="1742">
        <f>_xlfn.XLOOKUP(C34,'Cement Portfolio'!$O$8:$O$36,'Cement Portfolio'!$AP$8:$AP$36,"")</f>
        <v>0</v>
      </c>
      <c r="M34" s="1665">
        <f>_xlfn.XLOOKUP(C34,'Cement Portfolio'!$O$8:$O$36,'Cement Portfolio'!$AQ$8:$AQ$36,"")</f>
        <v>0</v>
      </c>
      <c r="O34" s="1752" t="str">
        <f t="shared" si="3"/>
        <v/>
      </c>
      <c r="P34" s="1753">
        <f t="shared" si="0"/>
        <v>0.18303819615591926</v>
      </c>
      <c r="Q34" s="1754">
        <f t="shared" si="1"/>
        <v>0.18303819615591926</v>
      </c>
      <c r="R34" s="1755">
        <f t="shared" si="2"/>
        <v>0</v>
      </c>
      <c r="S34" s="1753" t="str">
        <f t="shared" ref="S34" si="10">IF(AND(R34&gt;0,Q34&gt;0,R34&gt;Q34),R34-Q34,"")</f>
        <v/>
      </c>
      <c r="T34" s="1756" t="str">
        <f t="shared" ref="T34" si="11">IF(AND(R34&lt;0,Q34&lt;0,R34&lt;Q34),R34-Q34,"")</f>
        <v/>
      </c>
      <c r="U34" s="1614"/>
      <c r="V34" s="1614">
        <v>79440</v>
      </c>
      <c r="W34" s="1614">
        <v>81380</v>
      </c>
      <c r="X34" s="1614">
        <v>81220</v>
      </c>
      <c r="Y34" s="1614">
        <v>11188</v>
      </c>
      <c r="Z34" s="1614">
        <v>7.26</v>
      </c>
      <c r="AA34" s="1620">
        <v>11.718719999999999</v>
      </c>
      <c r="AB34" s="508">
        <v>0</v>
      </c>
      <c r="AC34" s="1621">
        <v>0</v>
      </c>
    </row>
    <row r="35" spans="1:29" ht="13" customHeight="1">
      <c r="A35" s="1617"/>
      <c r="B35" s="1653"/>
      <c r="C35" s="1653"/>
      <c r="D35" s="1617"/>
      <c r="E35" s="1617"/>
      <c r="F35" s="1653"/>
      <c r="G35" s="1653"/>
      <c r="H35" s="1653"/>
      <c r="I35" s="1653"/>
      <c r="J35" s="1653"/>
      <c r="K35" s="1653"/>
      <c r="L35" s="1653"/>
      <c r="M35" s="1666"/>
      <c r="N35" s="1344"/>
      <c r="O35" s="1344"/>
      <c r="P35" s="1344"/>
      <c r="Q35" s="1344"/>
      <c r="R35" s="1344"/>
      <c r="S35" s="1344"/>
      <c r="T35" s="1344"/>
      <c r="U35" s="1617"/>
      <c r="V35" s="1617"/>
      <c r="W35" s="1617"/>
      <c r="X35" s="1617"/>
      <c r="Y35" s="1617"/>
      <c r="Z35" s="1617"/>
      <c r="AA35" s="1617"/>
      <c r="AB35" s="1743"/>
      <c r="AC35" s="1622"/>
    </row>
    <row r="36" spans="1:29" ht="20" customHeight="1">
      <c r="A36" s="1614">
        <f>IFERROR(MATCH(C36,'دیده بان بازار'!$A$5:$A$3994,0 )+4,"Closed")</f>
        <v>2187</v>
      </c>
      <c r="B36" s="1652" t="s">
        <v>86</v>
      </c>
      <c r="C36" s="1652" t="s">
        <v>87</v>
      </c>
      <c r="D36" s="1618" t="str">
        <f>_xlfn.XLOOKUP(C36,MOPFRA!$R$7:$R$56,MOPFRA!$P$7:$P$56,"")</f>
        <v>AP</v>
      </c>
      <c r="E36" s="1614"/>
      <c r="F36" s="119">
        <f>IFERROR(_xlfn.LET(_xlpm.lookup_result,_xlfn.XLOOKUP($C36,'دیده بان بازار'!$A$5:$A$3994,'دیده بان بازار'!F$5:F$3994),IF(ISERROR(_xlpm.lookup_result),V36,_xlpm.lookup_result)),V36)</f>
        <v>6400</v>
      </c>
      <c r="G36" s="119">
        <f>IFERROR(_xlfn.LET(_xlpm.lookup_result,_xlfn.XLOOKUP($C36,'دیده بان بازار'!$A$5:$A$3994,'دیده بان بازار'!H$5:H$3994),IF(ISERROR(_xlpm.lookup_result),W36,_xlpm.lookup_result)),W36)</f>
        <v>6590</v>
      </c>
      <c r="H36" s="119">
        <f>IFERROR(_xlfn.LET(_xlpm.lookup_result,_xlfn.XLOOKUP($C36,'دیده بان بازار'!$A$5:$A$3994,'دیده بان بازار'!K$5:K$3994),IF(ISERROR(_xlpm.lookup_result),X36,_xlpm.lookup_result)),X36)</f>
        <v>6570</v>
      </c>
      <c r="I36" s="119">
        <f>IFERROR(_xlfn.LET(_xlpm.lookup_result,_xlfn.XLOOKUP($C36,'دیده بان بازار'!$A$5:$A$3994,'دیده بان بازار'!P$5:P$3994),IF(ISERROR(_xlpm.lookup_result),Y36,_xlpm.lookup_result)),Y36)</f>
        <v>1058</v>
      </c>
      <c r="J36" s="119">
        <f>IFERROR(_xlfn.LET(_xlpm.lookup_result,_xlfn.XLOOKUP($C36,'دیده بان بازار'!$A$5:$A$3994,'دیده بان بازار'!Q$5:Q$3994),IF(ISERROR(_xlpm.lookup_result),Z36,_xlpm.lookup_result)),Z36)</f>
        <v>6.21</v>
      </c>
      <c r="K36" s="1664">
        <f>_xlfn.XLOOKUP(C36,MOPFRA!$R$7:$R$56,MOPFRA!$T$7:$T$56,"")/1000</f>
        <v>3.2949999999999999</v>
      </c>
      <c r="L36" s="1742">
        <f>_xlfn.XLOOKUP(C36,'MOPFRA Portfolio'!$P$8:$P$78,'MOPFRA Portfolio'!$AT$8:$AT$78,"")</f>
        <v>535000</v>
      </c>
      <c r="M36" s="1665">
        <f>_xlfn.XLOOKUP(C36,'MOPFRA Portfolio'!$P$8:$P$78,'MOPFRA Portfolio'!$AU$8:$AU$78,"")</f>
        <v>349462.42800000001</v>
      </c>
      <c r="O36" s="1752" t="str">
        <f>IF(AND(Q36&lt;0,R36&lt;0,Q36&lt;R36),Q36-R36,"")</f>
        <v/>
      </c>
      <c r="P36" s="1753" t="str">
        <f t="shared" si="0"/>
        <v/>
      </c>
      <c r="Q36" s="1754">
        <f t="shared" ref="Q36:Q74" si="12">IFERROR(((K36-AA36)*100)/ABS($K$106),"")</f>
        <v>5.8795308970788863E-2</v>
      </c>
      <c r="R36" s="1755">
        <f t="shared" ref="R36:R69" si="13">IFERROR((($AB36*$G36*0.9912*0.0001)-AC36)*100/ABS($AC$108),"")</f>
        <v>1.0498577806723233</v>
      </c>
      <c r="S36" s="1753">
        <f>IF(AND(R36&gt;0,Q36&gt;0,R36&gt;Q36),R36-Q36,"")</f>
        <v>0.99106247170153439</v>
      </c>
      <c r="T36" s="1756" t="str">
        <f>IF(AND(R36&lt;0,Q36&lt;0,R36&lt;Q36),R36-Q36,"")</f>
        <v/>
      </c>
      <c r="U36" s="1614"/>
      <c r="V36" s="1614">
        <v>6250</v>
      </c>
      <c r="W36" s="1614">
        <v>6380</v>
      </c>
      <c r="X36" s="1614">
        <v>6400</v>
      </c>
      <c r="Y36" s="1614">
        <v>1058</v>
      </c>
      <c r="Z36" s="1614">
        <v>6.05</v>
      </c>
      <c r="AA36" s="1620">
        <v>3.19</v>
      </c>
      <c r="AB36" s="508">
        <v>535000</v>
      </c>
      <c r="AC36" s="1621">
        <v>338326.29599999997</v>
      </c>
    </row>
    <row r="37" spans="1:29" ht="20" customHeight="1">
      <c r="A37" s="1614">
        <f>IFERROR(MATCH(C37,'دیده بان بازار'!$A$5:$A$3994,0 )+4,"Closed")</f>
        <v>1107</v>
      </c>
      <c r="B37" s="1652" t="s">
        <v>88</v>
      </c>
      <c r="C37" s="1652" t="s">
        <v>89</v>
      </c>
      <c r="D37" s="1618" t="str">
        <f>_xlfn.XLOOKUP(C37,MOPFRA!$R$7:$R$56,MOPFRA!$P$7:$P$56,"")</f>
        <v>AL</v>
      </c>
      <c r="E37" s="1614"/>
      <c r="F37" s="119">
        <f>IFERROR(_xlfn.LET(_xlpm.lookup_result,_xlfn.XLOOKUP($C37,'دیده بان بازار'!$A$5:$A$3994,'دیده بان بازار'!F$5:F$3994),IF(ISERROR(_xlpm.lookup_result),V37,_xlpm.lookup_result)),V37)</f>
        <v>148500</v>
      </c>
      <c r="G37" s="119">
        <f>IFERROR(_xlfn.LET(_xlpm.lookup_result,_xlfn.XLOOKUP($C37,'دیده بان بازار'!$A$5:$A$3994,'دیده بان بازار'!H$5:H$3994),IF(ISERROR(_xlpm.lookup_result),W37,_xlpm.lookup_result)),W37)</f>
        <v>152900</v>
      </c>
      <c r="H37" s="119">
        <f>IFERROR(_xlfn.LET(_xlpm.lookup_result,_xlfn.XLOOKUP($C37,'دیده بان بازار'!$A$5:$A$3994,'دیده بان بازار'!K$5:K$3994),IF(ISERROR(_xlpm.lookup_result),X37,_xlpm.lookup_result)),X37)</f>
        <v>152900</v>
      </c>
      <c r="I37" s="119">
        <f>IFERROR(_xlfn.LET(_xlpm.lookup_result,_xlfn.XLOOKUP($C37,'دیده بان بازار'!$A$5:$A$3994,'دیده بان بازار'!P$5:P$3994),IF(ISERROR(_xlpm.lookup_result),Y37,_xlpm.lookup_result)),Y37)</f>
        <v>16822</v>
      </c>
      <c r="J37" s="119">
        <f>IFERROR(_xlfn.LET(_xlpm.lookup_result,_xlfn.XLOOKUP($C37,'دیده بان بازار'!$A$5:$A$3994,'دیده بان بازار'!Q$5:Q$3994),IF(ISERROR(_xlpm.lookup_result),Z37,_xlpm.lookup_result)),Z37)</f>
        <v>9.09</v>
      </c>
      <c r="K37" s="1664">
        <f>_xlfn.XLOOKUP(C37,MOPFRA!$R$7:$R$56,MOPFRA!$T$7:$T$56,"")/1000</f>
        <v>30.576468009999999</v>
      </c>
      <c r="L37" s="1742">
        <f>_xlfn.XLOOKUP(C37,'MOPFRA Portfolio'!$P$8:$P$78,'MOPFRA Portfolio'!$AT$8:$AT$78,"")</f>
        <v>0</v>
      </c>
      <c r="M37" s="1665">
        <f>_xlfn.XLOOKUP(C37,'MOPFRA Portfolio'!$P$8:$P$78,'MOPFRA Portfolio'!$AU$8:$AU$78,"")</f>
        <v>0</v>
      </c>
      <c r="O37" s="1752"/>
      <c r="P37" s="1753">
        <f t="shared" si="0"/>
        <v>0.49270377084847938</v>
      </c>
      <c r="Q37" s="1754">
        <f t="shared" si="12"/>
        <v>0.49270377084847938</v>
      </c>
      <c r="R37" s="1755">
        <f t="shared" si="13"/>
        <v>0</v>
      </c>
      <c r="S37" s="1753"/>
      <c r="T37" s="1756"/>
      <c r="U37" s="1614"/>
      <c r="V37" s="1614">
        <v>144200</v>
      </c>
      <c r="W37" s="1614">
        <v>148500</v>
      </c>
      <c r="X37" s="1614">
        <v>148500</v>
      </c>
      <c r="Y37" s="1614">
        <v>16822</v>
      </c>
      <c r="Z37" s="1614">
        <v>8.83</v>
      </c>
      <c r="AA37" s="1620">
        <v>29.696569650000001</v>
      </c>
      <c r="AB37" s="508">
        <v>0</v>
      </c>
      <c r="AC37" s="1621">
        <v>0</v>
      </c>
    </row>
    <row r="38" spans="1:29" ht="20" customHeight="1">
      <c r="A38" s="1614">
        <f>IFERROR(MATCH(C38,'دیده بان بازار'!$A$5:$A$3994,0 )+4,"Closed")</f>
        <v>2932</v>
      </c>
      <c r="B38" s="1652" t="s">
        <v>90</v>
      </c>
      <c r="C38" s="1652" t="s">
        <v>91</v>
      </c>
      <c r="D38" s="1618" t="str">
        <f>_xlfn.XLOOKUP(C38,MOPFRA!$R$7:$R$56,MOPFRA!$P$7:$P$56,"")</f>
        <v>DH</v>
      </c>
      <c r="E38" s="1614"/>
      <c r="F38" s="119">
        <f>IFERROR(_xlfn.LET(_xlpm.lookup_result,_xlfn.XLOOKUP($C38,'دیده بان بازار'!$A$5:$A$3994,'دیده بان بازار'!F$5:F$3994),IF(ISERROR(_xlpm.lookup_result),V38,_xlpm.lookup_result)),V38)</f>
        <v>3340</v>
      </c>
      <c r="G38" s="119">
        <f>IFERROR(_xlfn.LET(_xlpm.lookup_result,_xlfn.XLOOKUP($C38,'دیده بان بازار'!$A$5:$A$3994,'دیده بان بازار'!H$5:H$3994),IF(ISERROR(_xlpm.lookup_result),W38,_xlpm.lookup_result)),W38)</f>
        <v>3440</v>
      </c>
      <c r="H38" s="119">
        <f>IFERROR(_xlfn.LET(_xlpm.lookup_result,_xlfn.XLOOKUP($C38,'دیده بان بازار'!$A$5:$A$3994,'دیده بان بازار'!K$5:K$3994),IF(ISERROR(_xlpm.lookup_result),X38,_xlpm.lookup_result)),X38)</f>
        <v>3440</v>
      </c>
      <c r="I38" s="119">
        <f>IFERROR(_xlfn.LET(_xlpm.lookup_result,_xlfn.XLOOKUP($C38,'دیده بان بازار'!$A$5:$A$3994,'دیده بان بازار'!P$5:P$3994),IF(ISERROR(_xlpm.lookup_result),Y38,_xlpm.lookup_result)),Y38)</f>
        <v>590</v>
      </c>
      <c r="J38" s="119">
        <f>IFERROR(_xlfn.LET(_xlpm.lookup_result,_xlfn.XLOOKUP($C38,'دیده بان بازار'!$A$5:$A$3994,'دیده بان بازار'!Q$5:Q$3994),IF(ISERROR(_xlpm.lookup_result),Z38,_xlpm.lookup_result)),Z38)</f>
        <v>5.83</v>
      </c>
      <c r="K38" s="1664">
        <f>_xlfn.XLOOKUP(C38,MOPFRA!$R$7:$R$56,MOPFRA!$T$7:$T$56,"")/1000</f>
        <v>6.1231999999999998</v>
      </c>
      <c r="L38" s="1742">
        <f>_xlfn.XLOOKUP(C38,'MOPFRA Portfolio'!$P$8:$P$78,'MOPFRA Portfolio'!$AT$8:$AT$78,"")</f>
        <v>2100000</v>
      </c>
      <c r="M38" s="1665">
        <f>_xlfn.XLOOKUP(C38,'MOPFRA Portfolio'!$P$8:$P$78,'MOPFRA Portfolio'!$AU$8:$AU$78,"")</f>
        <v>716042.88</v>
      </c>
      <c r="O38" s="1752" t="str">
        <f>IF(AND(Q38&lt;0,R38&lt;0,Q38&lt;R38),Q38-R38,"")</f>
        <v/>
      </c>
      <c r="P38" s="1753" t="str">
        <f t="shared" si="0"/>
        <v/>
      </c>
      <c r="Q38" s="1754">
        <f t="shared" si="12"/>
        <v>9.9672047588575396E-2</v>
      </c>
      <c r="R38" s="1755">
        <f t="shared" si="13"/>
        <v>2.0557962772399692</v>
      </c>
      <c r="S38" s="1753">
        <f>IF(AND(R38&gt;0,Q38&gt;0,R38&gt;Q38),R38-Q38,"")</f>
        <v>1.9561242296513939</v>
      </c>
      <c r="T38" s="1756" t="str">
        <f>IF(AND(R38&lt;0,Q38&lt;0,R38&lt;Q38),R38-Q38,"")</f>
        <v/>
      </c>
      <c r="U38" s="1614"/>
      <c r="V38" s="1614">
        <v>3250</v>
      </c>
      <c r="W38" s="1614">
        <v>3340</v>
      </c>
      <c r="X38" s="1614">
        <v>3340</v>
      </c>
      <c r="Y38" s="1614">
        <v>590</v>
      </c>
      <c r="Z38" s="1614">
        <v>5.66</v>
      </c>
      <c r="AA38" s="1620">
        <v>5.9451999999999998</v>
      </c>
      <c r="AB38" s="508">
        <v>2200000</v>
      </c>
      <c r="AC38" s="1621">
        <v>728333.76</v>
      </c>
    </row>
    <row r="39" spans="1:29" ht="20" customHeight="1">
      <c r="A39" s="1614" t="str">
        <f>IFERROR(MATCH(C39,'دیده بان بازار'!$A$5:$A$3994,0 )+4,"Closed")</f>
        <v>Closed</v>
      </c>
      <c r="B39" s="1652" t="s">
        <v>92</v>
      </c>
      <c r="C39" s="1652" t="s">
        <v>93</v>
      </c>
      <c r="D39" s="1618" t="str">
        <f>_xlfn.XLOOKUP(C39,MOPFRA!$R$7:$R$56,MOPFRA!$P$7:$P$56,"")</f>
        <v>DH</v>
      </c>
      <c r="E39" s="1614"/>
      <c r="F39" s="119">
        <f>IFERROR(_xlfn.LET(_xlpm.lookup_result,_xlfn.XLOOKUP($C39,'دیده بان بازار'!$A$5:$A$3994,'دیده بان بازار'!F$5:F$3994),IF(ISERROR(_xlpm.lookup_result),V39,_xlpm.lookup_result)),V39)</f>
        <v>9820</v>
      </c>
      <c r="G39" s="119">
        <f>IFERROR(_xlfn.LET(_xlpm.lookup_result,_xlfn.XLOOKUP($C39,'دیده بان بازار'!$A$5:$A$3994,'دیده بان بازار'!H$5:H$3994),IF(ISERROR(_xlpm.lookup_result),W39,_xlpm.lookup_result)),W39)</f>
        <v>10110</v>
      </c>
      <c r="H39" s="119">
        <f>IFERROR(_xlfn.LET(_xlpm.lookup_result,_xlfn.XLOOKUP($C39,'دیده بان بازار'!$A$5:$A$3994,'دیده بان بازار'!K$5:K$3994),IF(ISERROR(_xlpm.lookup_result),X39,_xlpm.lookup_result)),X39)</f>
        <v>10110</v>
      </c>
      <c r="I39" s="119">
        <f>IFERROR(_xlfn.LET(_xlpm.lookup_result,_xlfn.XLOOKUP($C39,'دیده بان بازار'!$A$5:$A$3994,'دیده بان بازار'!P$5:P$3994),IF(ISERROR(_xlpm.lookup_result),Y39,_xlpm.lookup_result)),Y39)</f>
        <v>1886</v>
      </c>
      <c r="J39" s="119">
        <f>IFERROR(_xlfn.LET(_xlpm.lookup_result,_xlfn.XLOOKUP($C39,'دیده بان بازار'!$A$5:$A$3994,'دیده بان بازار'!Q$5:Q$3994),IF(ISERROR(_xlpm.lookup_result),Z39,_xlpm.lookup_result)),Z39)</f>
        <v>5.36</v>
      </c>
      <c r="K39" s="1664">
        <f>_xlfn.XLOOKUP(C39,MOPFRA!$R$7:$R$56,MOPFRA!$T$7:$T$56,"")/1000</f>
        <v>2.1231</v>
      </c>
      <c r="L39" s="1742">
        <f>_xlfn.XLOOKUP(C39,'MOPFRA Portfolio'!$P$8:$P$78,'MOPFRA Portfolio'!$AT$8:$AT$78,"")</f>
        <v>0</v>
      </c>
      <c r="M39" s="1665">
        <f>_xlfn.XLOOKUP(C39,'MOPFRA Portfolio'!$P$8:$P$78,'MOPFRA Portfolio'!$AU$8:$AU$78,"")</f>
        <v>0</v>
      </c>
      <c r="O39" s="1752" t="str">
        <f>IF(AND(Q39&lt;0,R39&lt;0,Q39&lt;R39),Q39-R39,"")</f>
        <v/>
      </c>
      <c r="P39" s="1753" t="str">
        <f t="shared" si="0"/>
        <v/>
      </c>
      <c r="Q39" s="1754">
        <f t="shared" si="12"/>
        <v>0</v>
      </c>
      <c r="R39" s="1755">
        <f t="shared" si="13"/>
        <v>0</v>
      </c>
      <c r="S39" s="1753" t="str">
        <f>IF(AND(R39&gt;0,Q39&gt;0,R39&gt;Q39),R39-Q39,"")</f>
        <v/>
      </c>
      <c r="T39" s="1756" t="str">
        <f>IF(AND(R39&lt;0,Q39&lt;0,R39&lt;Q39),R39-Q39,"")</f>
        <v/>
      </c>
      <c r="U39" s="1614"/>
      <c r="V39" s="1614">
        <v>9820</v>
      </c>
      <c r="W39" s="1614">
        <v>10110</v>
      </c>
      <c r="X39" s="1614">
        <v>10110</v>
      </c>
      <c r="Y39" s="1614">
        <v>1886</v>
      </c>
      <c r="Z39" s="1614">
        <v>5.36</v>
      </c>
      <c r="AA39" s="1620">
        <v>2.1231</v>
      </c>
      <c r="AB39" s="508">
        <v>0</v>
      </c>
      <c r="AC39" s="1621">
        <v>0</v>
      </c>
    </row>
    <row r="40" spans="1:29" ht="20" customHeight="1">
      <c r="A40" s="1614">
        <f>IFERROR(MATCH(C40,'دیده بان بازار'!$A$5:$A$3994,0 )+4,"Closed")</f>
        <v>1697</v>
      </c>
      <c r="B40" s="1652" t="s">
        <v>94</v>
      </c>
      <c r="C40" s="1652" t="s">
        <v>95</v>
      </c>
      <c r="D40" s="1618" t="str">
        <f>_xlfn.XLOOKUP(C40,MOPFRA!$R$7:$R$56,MOPFRA!$P$7:$P$56,"")</f>
        <v>DH</v>
      </c>
      <c r="E40" s="1614"/>
      <c r="F40" s="119">
        <f>IFERROR(_xlfn.LET(_xlpm.lookup_result,_xlfn.XLOOKUP($C40,'دیده بان بازار'!$A$5:$A$3994,'دیده بان بازار'!F$5:F$3994),IF(ISERROR(_xlpm.lookup_result),V40,_xlpm.lookup_result)),V40)</f>
        <v>2839</v>
      </c>
      <c r="G40" s="119">
        <f>IFERROR(_xlfn.LET(_xlpm.lookup_result,_xlfn.XLOOKUP($C40,'دیده بان بازار'!$A$5:$A$3994,'دیده بان بازار'!H$5:H$3994),IF(ISERROR(_xlpm.lookup_result),W40,_xlpm.lookup_result)),W40)</f>
        <v>2826</v>
      </c>
      <c r="H40" s="119">
        <f>IFERROR(_xlfn.LET(_xlpm.lookup_result,_xlfn.XLOOKUP($C40,'دیده بان بازار'!$A$5:$A$3994,'دیده بان بازار'!K$5:K$3994),IF(ISERROR(_xlpm.lookup_result),X40,_xlpm.lookup_result)),X40)</f>
        <v>2816</v>
      </c>
      <c r="I40" s="119">
        <f>IFERROR(_xlfn.LET(_xlpm.lookup_result,_xlfn.XLOOKUP($C40,'دیده بان بازار'!$A$5:$A$3994,'دیده بان بازار'!P$5:P$3994),IF(ISERROR(_xlpm.lookup_result),Y40,_xlpm.lookup_result)),Y40)</f>
        <v>352</v>
      </c>
      <c r="J40" s="119">
        <f>IFERROR(_xlfn.LET(_xlpm.lookup_result,_xlfn.XLOOKUP($C40,'دیده بان بازار'!$A$5:$A$3994,'دیده بان بازار'!Q$5:Q$3994),IF(ISERROR(_xlpm.lookup_result),Z40,_xlpm.lookup_result)),Z40)</f>
        <v>8</v>
      </c>
      <c r="K40" s="1664">
        <f>_xlfn.XLOOKUP(C40,MOPFRA!$R$7:$R$56,MOPFRA!$T$7:$T$56,"")/1000</f>
        <v>4.8041999999999998</v>
      </c>
      <c r="L40" s="1742">
        <f>_xlfn.XLOOKUP(C40,'MOPFRA Portfolio'!$P$8:$P$78,'MOPFRA Portfolio'!$AT$8:$AT$78,"")</f>
        <v>35288</v>
      </c>
      <c r="M40" s="1665">
        <f>_xlfn.XLOOKUP(C40,'MOPFRA Portfolio'!$P$8:$P$78,'MOPFRA Portfolio'!$AU$8:$AU$78,"")</f>
        <v>9884.6317785600004</v>
      </c>
      <c r="O40" s="1752"/>
      <c r="P40" s="1753">
        <f t="shared" si="0"/>
        <v>1.3929080207224272E-2</v>
      </c>
      <c r="Q40" s="1754">
        <f t="shared" si="12"/>
        <v>3.0461569600103579E-2</v>
      </c>
      <c r="R40" s="1755">
        <f t="shared" si="13"/>
        <v>1.6532489392879306E-2</v>
      </c>
      <c r="S40" s="1753"/>
      <c r="T40" s="1756"/>
      <c r="U40" s="1614"/>
      <c r="V40" s="1614">
        <v>2000</v>
      </c>
      <c r="W40" s="1614">
        <v>2794</v>
      </c>
      <c r="X40" s="1614">
        <v>2839</v>
      </c>
      <c r="Y40" s="1614">
        <v>352</v>
      </c>
      <c r="Z40" s="1614">
        <v>8.07</v>
      </c>
      <c r="AA40" s="1620">
        <v>4.7498000000000005</v>
      </c>
      <c r="AB40" s="508">
        <v>55288</v>
      </c>
      <c r="AC40" s="1621">
        <v>15311.529488639999</v>
      </c>
    </row>
    <row r="41" spans="1:29" ht="20" customHeight="1">
      <c r="A41" s="1614">
        <f>IFERROR(MATCH(C41,'دیده بان بازار'!$A$5:$A$3994,0 )+4,"Closed")</f>
        <v>1456</v>
      </c>
      <c r="B41" s="1652" t="s">
        <v>96</v>
      </c>
      <c r="C41" s="1652" t="s">
        <v>97</v>
      </c>
      <c r="D41" s="1618" t="str">
        <f>_xlfn.XLOOKUP(C41,MOPFRA!$R$7:$R$56,MOPFRA!$P$7:$P$56,"")</f>
        <v>F</v>
      </c>
      <c r="E41" s="1614"/>
      <c r="F41" s="119">
        <f>IFERROR(_xlfn.LET(_xlpm.lookup_result,_xlfn.XLOOKUP($C41,'دیده بان بازار'!$A$5:$A$3994,'دیده بان بازار'!F$5:F$3994),IF(ISERROR(_xlpm.lookup_result),V41,_xlpm.lookup_result)),V41)</f>
        <v>7910</v>
      </c>
      <c r="G41" s="119">
        <f>IFERROR(_xlfn.LET(_xlpm.lookup_result,_xlfn.XLOOKUP($C41,'دیده بان بازار'!$A$5:$A$3994,'دیده بان بازار'!H$5:H$3994),IF(ISERROR(_xlpm.lookup_result),W41,_xlpm.lookup_result)),W41)</f>
        <v>8140</v>
      </c>
      <c r="H41" s="119">
        <f>IFERROR(_xlfn.LET(_xlpm.lookup_result,_xlfn.XLOOKUP($C41,'دیده بان بازار'!$A$5:$A$3994,'دیده بان بازار'!K$5:K$3994),IF(ISERROR(_xlpm.lookup_result),X41,_xlpm.lookup_result)),X41)</f>
        <v>8140</v>
      </c>
      <c r="I41" s="119">
        <f>IFERROR(_xlfn.LET(_xlpm.lookup_result,_xlfn.XLOOKUP($C41,'دیده بان بازار'!$A$5:$A$3994,'دیده بان بازار'!P$5:P$3994),IF(ISERROR(_xlpm.lookup_result),Y41,_xlpm.lookup_result)),Y41)</f>
        <v>1348</v>
      </c>
      <c r="J41" s="119">
        <f>IFERROR(_xlfn.LET(_xlpm.lookup_result,_xlfn.XLOOKUP($C41,'دیده بان بازار'!$A$5:$A$3994,'دیده بان بازار'!Q$5:Q$3994),IF(ISERROR(_xlpm.lookup_result),Z41,_xlpm.lookup_result)),Z41)</f>
        <v>6.04</v>
      </c>
      <c r="K41" s="1664">
        <f>_xlfn.XLOOKUP(C41,MOPFRA!$R$7:$R$56,MOPFRA!$T$7:$T$56,"")/1000</f>
        <v>4.8840000000000003</v>
      </c>
      <c r="L41" s="1742">
        <f>_xlfn.XLOOKUP(C41,'MOPFRA Portfolio'!$P$8:$P$78,'MOPFRA Portfolio'!$AT$8:$AT$78,"")</f>
        <v>160000</v>
      </c>
      <c r="M41" s="1665">
        <f>_xlfn.XLOOKUP(C41,'MOPFRA Portfolio'!$P$8:$P$78,'MOPFRA Portfolio'!$AU$8:$AU$78,"")</f>
        <v>129093.88799999999</v>
      </c>
      <c r="O41" s="1752" t="str">
        <f>IF(AND(Q41&lt;0,R41&lt;0,Q41&lt;R41),Q41-R41,"")</f>
        <v/>
      </c>
      <c r="P41" s="1753" t="str">
        <f t="shared" si="0"/>
        <v/>
      </c>
      <c r="Q41" s="1754">
        <f t="shared" si="12"/>
        <v>7.7273834647322459E-2</v>
      </c>
      <c r="R41" s="1755">
        <f t="shared" si="13"/>
        <v>0.34387865001104984</v>
      </c>
      <c r="S41" s="1753">
        <f>IF(AND(R41&gt;0,Q41&gt;0,R41&gt;Q41),R41-Q41,"")</f>
        <v>0.26660481536372738</v>
      </c>
      <c r="T41" s="1756" t="str">
        <f>IF(AND(R41&lt;0,Q41&lt;0,R41&lt;Q41),R41-Q41,"")</f>
        <v/>
      </c>
      <c r="U41" s="1614"/>
      <c r="V41" s="1614">
        <v>7680</v>
      </c>
      <c r="W41" s="1614">
        <v>7910</v>
      </c>
      <c r="X41" s="1614">
        <v>7910</v>
      </c>
      <c r="Y41" s="1614">
        <v>1348</v>
      </c>
      <c r="Z41" s="1614">
        <v>5.87</v>
      </c>
      <c r="AA41" s="1620">
        <v>4.7460000000000004</v>
      </c>
      <c r="AB41" s="508">
        <v>160000</v>
      </c>
      <c r="AC41" s="1621">
        <v>125446.272</v>
      </c>
    </row>
    <row r="42" spans="1:29" ht="20" customHeight="1">
      <c r="A42" s="1614">
        <f>IFERROR(MATCH(C42,'دیده بان بازار'!$A$5:$A$3994,0 )+4,"Closed")</f>
        <v>2099</v>
      </c>
      <c r="B42" s="1652" t="s">
        <v>98</v>
      </c>
      <c r="C42" s="1652" t="s">
        <v>99</v>
      </c>
      <c r="D42" s="1618" t="str">
        <f>_xlfn.XLOOKUP(C42,MOPFRA!$R$7:$R$56,MOPFRA!$P$7:$P$56,"")</f>
        <v>F</v>
      </c>
      <c r="E42" s="1614"/>
      <c r="F42" s="119">
        <f>IFERROR(_xlfn.LET(_xlpm.lookup_result,_xlfn.XLOOKUP($C42,'دیده بان بازار'!$A$5:$A$3994,'دیده بان بازار'!F$5:F$3994),IF(ISERROR(_xlpm.lookup_result),V42,_xlpm.lookup_result)),V42)</f>
        <v>8270</v>
      </c>
      <c r="G42" s="119">
        <f>IFERROR(_xlfn.LET(_xlpm.lookup_result,_xlfn.XLOOKUP($C42,'دیده بان بازار'!$A$5:$A$3994,'دیده بان بازار'!H$5:H$3994),IF(ISERROR(_xlpm.lookup_result),W42,_xlpm.lookup_result)),W42)</f>
        <v>8410</v>
      </c>
      <c r="H42" s="119">
        <f>IFERROR(_xlfn.LET(_xlpm.lookup_result,_xlfn.XLOOKUP($C42,'دیده بان بازار'!$A$5:$A$3994,'دیده بان بازار'!K$5:K$3994),IF(ISERROR(_xlpm.lookup_result),X42,_xlpm.lookup_result)),X42)</f>
        <v>8370</v>
      </c>
      <c r="I42" s="119">
        <f>IFERROR(_xlfn.LET(_xlpm.lookup_result,_xlfn.XLOOKUP($C42,'دیده بان بازار'!$A$5:$A$3994,'دیده بان بازار'!P$5:P$3994),IF(ISERROR(_xlpm.lookup_result),Y42,_xlpm.lookup_result)),Y42)</f>
        <v>1231</v>
      </c>
      <c r="J42" s="119">
        <f>IFERROR(_xlfn.LET(_xlpm.lookup_result,_xlfn.XLOOKUP($C42,'دیده بان بازار'!$A$5:$A$3994,'دیده بان بازار'!Q$5:Q$3994),IF(ISERROR(_xlpm.lookup_result),Z42,_xlpm.lookup_result)),Z42)</f>
        <v>6.8</v>
      </c>
      <c r="K42" s="1664">
        <f>_xlfn.XLOOKUP(C42,MOPFRA!$R$7:$R$56,MOPFRA!$T$7:$T$56,"")/1000</f>
        <v>5.8869999999999996</v>
      </c>
      <c r="L42" s="1742">
        <f>_xlfn.XLOOKUP(C42,'MOPFRA Portfolio'!$P$8:$P$78,'MOPFRA Portfolio'!$AT$8:$AT$78,"")</f>
        <v>650000</v>
      </c>
      <c r="M42" s="1665">
        <f>_xlfn.XLOOKUP(C42,'MOPFRA Portfolio'!$P$8:$P$78,'MOPFRA Portfolio'!$AU$8:$AU$78,"")</f>
        <v>541839.48</v>
      </c>
      <c r="O42" s="1752" t="str">
        <f>IF(AND(Q42&lt;0,R42&lt;0,Q42&lt;R42),Q42-R42,"")</f>
        <v/>
      </c>
      <c r="P42" s="1753" t="str">
        <f t="shared" si="0"/>
        <v/>
      </c>
      <c r="Q42" s="1754">
        <f t="shared" si="12"/>
        <v>5.4875621706069543E-2</v>
      </c>
      <c r="R42" s="1755">
        <f t="shared" si="13"/>
        <v>0.85035209649471744</v>
      </c>
      <c r="S42" s="1753">
        <f>IF(AND(R42&gt;0,Q42&gt;0,R42&gt;Q42),R42-Q42,"")</f>
        <v>0.79547647478864791</v>
      </c>
      <c r="T42" s="1756" t="str">
        <f>IF(AND(R42&lt;0,Q42&lt;0,R42&lt;Q42),R42-Q42,"")</f>
        <v/>
      </c>
      <c r="U42" s="1614"/>
      <c r="V42" s="1614">
        <v>8050</v>
      </c>
      <c r="W42" s="1614">
        <v>8270</v>
      </c>
      <c r="X42" s="1614">
        <v>8270</v>
      </c>
      <c r="Y42" s="1614">
        <v>1231</v>
      </c>
      <c r="Z42" s="1614">
        <v>6.72</v>
      </c>
      <c r="AA42" s="1620">
        <v>5.7889999999999997</v>
      </c>
      <c r="AB42" s="508">
        <v>650000</v>
      </c>
      <c r="AC42" s="1621">
        <v>532819.55999999994</v>
      </c>
    </row>
    <row r="43" spans="1:29" ht="20" customHeight="1">
      <c r="A43" s="1614">
        <f>IFERROR(MATCH(C43,'دیده بان بازار'!$A$5:$A$3994,0 )+4,"Closed")</f>
        <v>2106</v>
      </c>
      <c r="B43" s="1652" t="s">
        <v>100</v>
      </c>
      <c r="C43" s="1652" t="s">
        <v>101</v>
      </c>
      <c r="D43" s="1618" t="str">
        <f>_xlfn.XLOOKUP(C43,MOPFRA!$R$7:$R$56,MOPFRA!$P$7:$P$56,"")</f>
        <v>F</v>
      </c>
      <c r="E43" s="1614"/>
      <c r="F43" s="119">
        <f>IFERROR(_xlfn.LET(_xlpm.lookup_result,_xlfn.XLOOKUP($C43,'دیده بان بازار'!$A$5:$A$3994,'دیده بان بازار'!F$5:F$3994),IF(ISERROR(_xlpm.lookup_result),V43,_xlpm.lookup_result)),V43)</f>
        <v>17340</v>
      </c>
      <c r="G43" s="119">
        <f>IFERROR(_xlfn.LET(_xlpm.lookup_result,_xlfn.XLOOKUP($C43,'دیده بان بازار'!$A$5:$A$3994,'دیده بان بازار'!H$5:H$3994),IF(ISERROR(_xlpm.lookup_result),W43,_xlpm.lookup_result)),W43)</f>
        <v>17860</v>
      </c>
      <c r="H43" s="119">
        <f>IFERROR(_xlfn.LET(_xlpm.lookup_result,_xlfn.XLOOKUP($C43,'دیده بان بازار'!$A$5:$A$3994,'دیده بان بازار'!K$5:K$3994),IF(ISERROR(_xlpm.lookup_result),X43,_xlpm.lookup_result)),X43)</f>
        <v>17850</v>
      </c>
      <c r="I43" s="119">
        <f>IFERROR(_xlfn.LET(_xlpm.lookup_result,_xlfn.XLOOKUP($C43,'دیده بان بازار'!$A$5:$A$3994,'دیده بان بازار'!P$5:P$3994),IF(ISERROR(_xlpm.lookup_result),Y43,_xlpm.lookup_result)),Y43)</f>
        <v>2564</v>
      </c>
      <c r="J43" s="119">
        <f>IFERROR(_xlfn.LET(_xlpm.lookup_result,_xlfn.XLOOKUP($C43,'دیده بان بازار'!$A$5:$A$3994,'دیده بان بازار'!Q$5:Q$3994),IF(ISERROR(_xlpm.lookup_result),Z43,_xlpm.lookup_result)),Z43)</f>
        <v>6.96</v>
      </c>
      <c r="K43" s="1664">
        <f>_xlfn.XLOOKUP(C43,MOPFRA!$R$7:$R$56,MOPFRA!$T$7:$T$56,"")/1000</f>
        <v>8.93</v>
      </c>
      <c r="L43" s="1742">
        <f>_xlfn.XLOOKUP(C43,'MOPFRA Portfolio'!$P$8:$P$78,'MOPFRA Portfolio'!$AT$8:$AT$78,"")</f>
        <v>110000</v>
      </c>
      <c r="M43" s="1665">
        <f>_xlfn.XLOOKUP(C43,'MOPFRA Portfolio'!$P$8:$P$78,'MOPFRA Portfolio'!$AU$8:$AU$78,"")</f>
        <v>194731.152</v>
      </c>
      <c r="O43" s="1752" t="str">
        <f>IF(AND(Q43&lt;0,R43&lt;0,Q43&lt;R43),Q43-R43,"")</f>
        <v/>
      </c>
      <c r="P43" s="1753" t="str">
        <f t="shared" si="0"/>
        <v/>
      </c>
      <c r="Q43" s="1754">
        <f t="shared" si="12"/>
        <v>0.14558838411814376</v>
      </c>
      <c r="R43" s="1755">
        <f t="shared" si="13"/>
        <v>0.53450703208239314</v>
      </c>
      <c r="S43" s="1753">
        <f>IF(AND(R43&gt;0,Q43&gt;0,R43&gt;Q43),R43-Q43,"")</f>
        <v>0.38891864796424935</v>
      </c>
      <c r="T43" s="1756" t="str">
        <f>IF(AND(R43&lt;0,Q43&lt;0,R43&lt;Q43),R43-Q43,"")</f>
        <v/>
      </c>
      <c r="U43" s="1614"/>
      <c r="V43" s="1614">
        <v>16840</v>
      </c>
      <c r="W43" s="1614">
        <v>17340</v>
      </c>
      <c r="X43" s="1614">
        <v>17340</v>
      </c>
      <c r="Y43" s="1614">
        <v>2564</v>
      </c>
      <c r="Z43" s="1614">
        <v>6.76</v>
      </c>
      <c r="AA43" s="1620">
        <v>8.67</v>
      </c>
      <c r="AB43" s="508">
        <v>110000</v>
      </c>
      <c r="AC43" s="1621">
        <v>189061.48799999998</v>
      </c>
    </row>
    <row r="44" spans="1:29" ht="20" customHeight="1">
      <c r="A44" s="1614">
        <f>IFERROR(MATCH(C44,'دیده بان بازار'!$A$5:$A$3994,0 )+4,"Closed")</f>
        <v>2376</v>
      </c>
      <c r="B44" s="1652" t="s">
        <v>102</v>
      </c>
      <c r="C44" s="1652" t="s">
        <v>103</v>
      </c>
      <c r="D44" s="1618" t="str">
        <f>_xlfn.XLOOKUP(C44,MOPFRA!$R$7:$R$56,MOPFRA!$P$7:$P$56,"")</f>
        <v>F</v>
      </c>
      <c r="E44" s="1614"/>
      <c r="F44" s="119">
        <f>IFERROR(_xlfn.LET(_xlpm.lookup_result,_xlfn.XLOOKUP($C44,'دیده بان بازار'!$A$5:$A$3994,'دیده بان بازار'!F$5:F$3994),IF(ISERROR(_xlpm.lookup_result),V44,_xlpm.lookup_result)),V44)</f>
        <v>18640</v>
      </c>
      <c r="G44" s="119">
        <f>IFERROR(_xlfn.LET(_xlpm.lookup_result,_xlfn.XLOOKUP($C44,'دیده بان بازار'!$A$5:$A$3994,'دیده بان بازار'!H$5:H$3994),IF(ISERROR(_xlpm.lookup_result),W44,_xlpm.lookup_result)),W44)</f>
        <v>19190</v>
      </c>
      <c r="H44" s="119">
        <f>IFERROR(_xlfn.LET(_xlpm.lookup_result,_xlfn.XLOOKUP($C44,'دیده بان بازار'!$A$5:$A$3994,'دیده بان بازار'!K$5:K$3994),IF(ISERROR(_xlpm.lookup_result),X44,_xlpm.lookup_result)),X44)</f>
        <v>19170</v>
      </c>
      <c r="I44" s="119">
        <f>IFERROR(_xlfn.LET(_xlpm.lookup_result,_xlfn.XLOOKUP($C44,'دیده بان بازار'!$A$5:$A$3994,'دیده بان بازار'!P$5:P$3994),IF(ISERROR(_xlpm.lookup_result),Y44,_xlpm.lookup_result)),Y44)</f>
        <v>2993</v>
      </c>
      <c r="J44" s="119">
        <f>IFERROR(_xlfn.LET(_xlpm.lookup_result,_xlfn.XLOOKUP($C44,'دیده بان بازار'!$A$5:$A$3994,'دیده بان بازار'!Q$5:Q$3994),IF(ISERROR(_xlpm.lookup_result),Z44,_xlpm.lookup_result)),Z44)</f>
        <v>6.4</v>
      </c>
      <c r="K44" s="1664">
        <f>_xlfn.XLOOKUP(C44,MOPFRA!$R$7:$R$56,MOPFRA!$T$7:$T$56,"")/1000</f>
        <v>84.436000000000007</v>
      </c>
      <c r="L44" s="1742">
        <f>_xlfn.XLOOKUP(C44,'MOPFRA Portfolio'!$P$8:$P$78,'MOPFRA Portfolio'!$AT$8:$AT$78,"")</f>
        <v>0</v>
      </c>
      <c r="M44" s="1665">
        <f>_xlfn.XLOOKUP(C44,'MOPFRA Portfolio'!$P$8:$P$78,'MOPFRA Portfolio'!$AU$8:$AU$78,"")</f>
        <v>0</v>
      </c>
      <c r="O44" s="1752"/>
      <c r="P44" s="1753">
        <f t="shared" si="0"/>
        <v>1.4536440198873155</v>
      </c>
      <c r="Q44" s="1754">
        <f t="shared" si="12"/>
        <v>1.4536440198873155</v>
      </c>
      <c r="R44" s="1755">
        <f t="shared" si="13"/>
        <v>0</v>
      </c>
      <c r="S44" s="1753"/>
      <c r="T44" s="1756"/>
      <c r="U44" s="1614"/>
      <c r="V44" s="1614">
        <v>18110</v>
      </c>
      <c r="W44" s="1614">
        <v>18600</v>
      </c>
      <c r="X44" s="1614">
        <v>18640</v>
      </c>
      <c r="Y44" s="1614">
        <v>2993</v>
      </c>
      <c r="Z44" s="1614">
        <v>6.23</v>
      </c>
      <c r="AA44" s="1620">
        <v>81.84</v>
      </c>
      <c r="AB44" s="508">
        <v>0</v>
      </c>
      <c r="AC44" s="1621">
        <v>0</v>
      </c>
    </row>
    <row r="45" spans="1:29" ht="20" customHeight="1">
      <c r="A45" s="1614">
        <f>IFERROR(MATCH(C45,'دیده بان بازار'!$A$5:$A$3994,0 )+4,"Closed")</f>
        <v>254</v>
      </c>
      <c r="B45" s="1652" t="s">
        <v>104</v>
      </c>
      <c r="C45" s="1652" t="s">
        <v>105</v>
      </c>
      <c r="D45" s="1618" t="str">
        <f>_xlfn.XLOOKUP(C45,MOPFRA!$R$7:$R$56,MOPFRA!$P$7:$P$56,"")</f>
        <v>F</v>
      </c>
      <c r="E45" s="1614"/>
      <c r="F45" s="119">
        <f>IFERROR(_xlfn.LET(_xlpm.lookup_result,_xlfn.XLOOKUP($C45,'دیده بان بازار'!$A$5:$A$3994,'دیده بان بازار'!F$5:F$3994),IF(ISERROR(_xlpm.lookup_result),V45,_xlpm.lookup_result)),V45)</f>
        <v>3264</v>
      </c>
      <c r="G45" s="119">
        <f>IFERROR(_xlfn.LET(_xlpm.lookup_result,_xlfn.XLOOKUP($C45,'دیده بان بازار'!$A$5:$A$3994,'دیده بان بازار'!H$5:H$3994),IF(ISERROR(_xlpm.lookup_result),W45,_xlpm.lookup_result)),W45)</f>
        <v>3361</v>
      </c>
      <c r="H45" s="119">
        <f>IFERROR(_xlfn.LET(_xlpm.lookup_result,_xlfn.XLOOKUP($C45,'دیده بان بازار'!$A$5:$A$3994,'دیده بان بازار'!K$5:K$3994),IF(ISERROR(_xlpm.lookup_result),X45,_xlpm.lookup_result)),X45)</f>
        <v>3361</v>
      </c>
      <c r="I45" s="119">
        <f>IFERROR(_xlfn.LET(_xlpm.lookup_result,_xlfn.XLOOKUP($C45,'دیده بان بازار'!$A$5:$A$3994,'دیده بان بازار'!P$5:P$3994),IF(ISERROR(_xlpm.lookup_result),Y45,_xlpm.lookup_result)),Y45)</f>
        <v>620</v>
      </c>
      <c r="J45" s="119">
        <f>IFERROR(_xlfn.LET(_xlpm.lookup_result,_xlfn.XLOOKUP($C45,'دیده بان بازار'!$A$5:$A$3994,'دیده بان بازار'!Q$5:Q$3994),IF(ISERROR(_xlpm.lookup_result),Z45,_xlpm.lookup_result)),Z45)</f>
        <v>5.42</v>
      </c>
      <c r="K45" s="1664">
        <f>_xlfn.XLOOKUP(C45,MOPFRA!$R$7:$R$56,MOPFRA!$T$7:$T$56,"")/1000</f>
        <v>14.452299999999999</v>
      </c>
      <c r="L45" s="1742">
        <f>_xlfn.XLOOKUP(C45,'MOPFRA Portfolio'!$P$8:$P$78,'MOPFRA Portfolio'!$AT$8:$AT$78,"")</f>
        <v>0</v>
      </c>
      <c r="M45" s="1665">
        <f>_xlfn.XLOOKUP(C45,'MOPFRA Portfolio'!$P$8:$P$78,'MOPFRA Portfolio'!$AU$8:$AU$78,"")</f>
        <v>0</v>
      </c>
      <c r="O45" s="1752"/>
      <c r="P45" s="1753">
        <f t="shared" si="0"/>
        <v>0.23355736544491343</v>
      </c>
      <c r="Q45" s="1754">
        <f t="shared" si="12"/>
        <v>0.23355736544491343</v>
      </c>
      <c r="R45" s="1755">
        <f t="shared" si="13"/>
        <v>0</v>
      </c>
      <c r="S45" s="1753"/>
      <c r="T45" s="1756"/>
      <c r="U45" s="1614"/>
      <c r="V45" s="1614">
        <v>3169</v>
      </c>
      <c r="W45" s="1614">
        <v>3264</v>
      </c>
      <c r="X45" s="1614">
        <v>3264</v>
      </c>
      <c r="Y45" s="1614">
        <v>620</v>
      </c>
      <c r="Z45" s="1614">
        <v>5.26</v>
      </c>
      <c r="AA45" s="1620">
        <v>14.035200000000001</v>
      </c>
      <c r="AB45" s="508">
        <v>0</v>
      </c>
      <c r="AC45" s="1621">
        <v>0</v>
      </c>
    </row>
    <row r="46" spans="1:29" ht="20" customHeight="1">
      <c r="A46" s="1614">
        <f>IFERROR(MATCH(C46,'دیده بان بازار'!$A$5:$A$3994,0 )+4,"Closed")</f>
        <v>1749</v>
      </c>
      <c r="B46" s="1652" t="s">
        <v>106</v>
      </c>
      <c r="C46" s="1652" t="s">
        <v>107</v>
      </c>
      <c r="D46" s="1618" t="str">
        <f>_xlfn.XLOOKUP(C46,MOPFRA!$R$7:$R$56,MOPFRA!$P$7:$P$56,"")</f>
        <v>F</v>
      </c>
      <c r="E46" s="1614"/>
      <c r="F46" s="119">
        <f>IFERROR(_xlfn.LET(_xlpm.lookup_result,_xlfn.XLOOKUP($C46,'دیده بان بازار'!$A$5:$A$3994,'دیده بان بازار'!F$5:F$3994),IF(ISERROR(_xlpm.lookup_result),V46,_xlpm.lookup_result)),V46)</f>
        <v>44440</v>
      </c>
      <c r="G46" s="119">
        <f>IFERROR(_xlfn.LET(_xlpm.lookup_result,_xlfn.XLOOKUP($C46,'دیده بان بازار'!$A$5:$A$3994,'دیده بان بازار'!H$5:H$3994),IF(ISERROR(_xlpm.lookup_result),W46,_xlpm.lookup_result)),W46)</f>
        <v>45770</v>
      </c>
      <c r="H46" s="119">
        <f>IFERROR(_xlfn.LET(_xlpm.lookup_result,_xlfn.XLOOKUP($C46,'دیده بان بازار'!$A$5:$A$3994,'دیده بان بازار'!K$5:K$3994),IF(ISERROR(_xlpm.lookup_result),X46,_xlpm.lookup_result)),X46)</f>
        <v>45770</v>
      </c>
      <c r="I46" s="119">
        <f>IFERROR(_xlfn.LET(_xlpm.lookup_result,_xlfn.XLOOKUP($C46,'دیده بان بازار'!$A$5:$A$3994,'دیده بان بازار'!P$5:P$3994),IF(ISERROR(_xlpm.lookup_result),Y46,_xlpm.lookup_result)),Y46)</f>
        <v>7903</v>
      </c>
      <c r="J46" s="119">
        <f>IFERROR(_xlfn.LET(_xlpm.lookup_result,_xlfn.XLOOKUP($C46,'دیده بان بازار'!$A$5:$A$3994,'دیده بان بازار'!Q$5:Q$3994),IF(ISERROR(_xlpm.lookup_result),Z46,_xlpm.lookup_result)),Z46)</f>
        <v>5.79</v>
      </c>
      <c r="K46" s="1664">
        <f>_xlfn.XLOOKUP(C46,MOPFRA!$R$7:$R$56,MOPFRA!$T$7:$T$56,"")/1000</f>
        <v>4.1193</v>
      </c>
      <c r="L46" s="1742">
        <f>_xlfn.XLOOKUP(C46,'MOPFRA Portfolio'!$P$8:$P$78,'MOPFRA Portfolio'!$AT$8:$AT$78,"")</f>
        <v>10000</v>
      </c>
      <c r="M46" s="1665">
        <f>_xlfn.XLOOKUP(C46,'MOPFRA Portfolio'!$P$8:$P$78,'MOPFRA Portfolio'!$AU$8:$AU$78,"")</f>
        <v>45367.224000000002</v>
      </c>
      <c r="O46" s="1752"/>
      <c r="P46" s="1753" t="str">
        <f t="shared" ref="P46" si="14">IF(AND(Q46&gt;=0,R46&gt;=0,Q46&gt;R46),Q46-R46,"")</f>
        <v/>
      </c>
      <c r="Q46" s="1754">
        <f t="shared" si="12"/>
        <v>6.3498933688451706E-2</v>
      </c>
      <c r="R46" s="1755">
        <f t="shared" si="13"/>
        <v>0.11774105951465301</v>
      </c>
      <c r="S46" s="1753"/>
      <c r="T46" s="1756"/>
      <c r="U46" s="1614"/>
      <c r="V46" s="1614">
        <v>43220</v>
      </c>
      <c r="W46" s="1614">
        <v>44510</v>
      </c>
      <c r="X46" s="1614">
        <v>44440</v>
      </c>
      <c r="Y46" s="1614">
        <v>7903</v>
      </c>
      <c r="Z46" s="1614">
        <v>5.62</v>
      </c>
      <c r="AA46" s="1620">
        <v>4.0059000000000005</v>
      </c>
      <c r="AB46" s="508">
        <v>10000</v>
      </c>
      <c r="AC46" s="1621">
        <v>44118.311999999998</v>
      </c>
    </row>
    <row r="47" spans="1:29" ht="20" customHeight="1">
      <c r="A47" s="1614">
        <f>IFERROR(MATCH(C47,'دیده بان بازار'!$A$5:$A$3994,0 )+4,"Closed")</f>
        <v>2338</v>
      </c>
      <c r="B47" s="1652" t="s">
        <v>108</v>
      </c>
      <c r="C47" s="1652" t="s">
        <v>109</v>
      </c>
      <c r="D47" s="1618" t="str">
        <f>_xlfn.XLOOKUP(C47,MOPFRA!$R$7:$R$56,MOPFRA!$P$7:$P$56,"")</f>
        <v>HH</v>
      </c>
      <c r="E47" s="1614"/>
      <c r="F47" s="119">
        <f>IFERROR(_xlfn.LET(_xlpm.lookup_result,_xlfn.XLOOKUP($C47,'دیده بان بازار'!$A$5:$A$3994,'دیده بان بازار'!F$5:F$3994),IF(ISERROR(_xlpm.lookup_result),V47,_xlpm.lookup_result)),V47)</f>
        <v>3520</v>
      </c>
      <c r="G47" s="119">
        <f>IFERROR(_xlfn.LET(_xlpm.lookup_result,_xlfn.XLOOKUP($C47,'دیده بان بازار'!$A$5:$A$3994,'دیده بان بازار'!H$5:H$3994),IF(ISERROR(_xlpm.lookup_result),W47,_xlpm.lookup_result)),W47)</f>
        <v>3620</v>
      </c>
      <c r="H47" s="119">
        <f>IFERROR(_xlfn.LET(_xlpm.lookup_result,_xlfn.XLOOKUP($C47,'دیده بان بازار'!$A$5:$A$3994,'دیده بان بازار'!K$5:K$3994),IF(ISERROR(_xlpm.lookup_result),X47,_xlpm.lookup_result)),X47)</f>
        <v>3620</v>
      </c>
      <c r="I47" s="119">
        <f>IFERROR(_xlfn.LET(_xlpm.lookup_result,_xlfn.XLOOKUP($C47,'دیده بان بازار'!$A$5:$A$3994,'دیده بان بازار'!P$5:P$3994),IF(ISERROR(_xlpm.lookup_result),Y47,_xlpm.lookup_result)),Y47)</f>
        <v>957</v>
      </c>
      <c r="J47" s="119">
        <f>IFERROR(_xlfn.LET(_xlpm.lookup_result,_xlfn.XLOOKUP($C47,'دیده بان بازار'!$A$5:$A$3994,'دیده بان بازار'!Q$5:Q$3994),IF(ISERROR(_xlpm.lookup_result),Z47,_xlpm.lookup_result)),Z47)</f>
        <v>3.78</v>
      </c>
      <c r="K47" s="1664">
        <f>_xlfn.XLOOKUP(C47,MOPFRA!$R$7:$R$56,MOPFRA!$T$7:$T$56,"")/1000</f>
        <v>3.258</v>
      </c>
      <c r="L47" s="1742">
        <f>_xlfn.XLOOKUP(C47,'MOPFRA Portfolio'!$P$8:$P$78,'MOPFRA Portfolio'!$AT$8:$AT$78,"")</f>
        <v>600000</v>
      </c>
      <c r="M47" s="1665">
        <f>_xlfn.XLOOKUP(C47,'MOPFRA Portfolio'!$P$8:$P$78,'MOPFRA Portfolio'!$AU$8:$AU$78,"")</f>
        <v>215288.63999999998</v>
      </c>
      <c r="O47" s="1752" t="str">
        <f t="shared" ref="O47:O70" si="15">IF(AND(Q47&lt;0,R47&lt;0,Q47&lt;R47),Q47-R47,"")</f>
        <v/>
      </c>
      <c r="P47" s="1753" t="str">
        <f t="shared" si="0"/>
        <v/>
      </c>
      <c r="Q47" s="1754">
        <f t="shared" si="12"/>
        <v>5.0395979117818956E-2</v>
      </c>
      <c r="R47" s="1755">
        <f t="shared" si="13"/>
        <v>0.28033585598726873</v>
      </c>
      <c r="S47" s="1753">
        <f t="shared" ref="S47:S70" si="16">IF(AND(R47&gt;0,Q47&gt;0,R47&gt;Q47),R47-Q47,"")</f>
        <v>0.22993987686944978</v>
      </c>
      <c r="T47" s="1756" t="str">
        <f t="shared" ref="T47:T70" si="17">IF(AND(R47&lt;0,Q47&lt;0,R47&lt;Q47),R47-Q47,"")</f>
        <v/>
      </c>
      <c r="U47" s="1614"/>
      <c r="V47" s="1614">
        <v>3420</v>
      </c>
      <c r="W47" s="1614">
        <v>3520</v>
      </c>
      <c r="X47" s="1614">
        <v>3520</v>
      </c>
      <c r="Y47" s="1614">
        <v>957</v>
      </c>
      <c r="Z47" s="1614">
        <v>3.68</v>
      </c>
      <c r="AA47" s="1620">
        <v>3.1680000000000001</v>
      </c>
      <c r="AB47" s="508">
        <v>300000</v>
      </c>
      <c r="AC47" s="1621">
        <v>104670.72</v>
      </c>
    </row>
    <row r="48" spans="1:29" ht="20" customHeight="1">
      <c r="A48" s="1614">
        <f>IFERROR(MATCH(C48,'دیده بان بازار'!$A$5:$A$3994,0 )+4,"Closed")</f>
        <v>1191</v>
      </c>
      <c r="B48" s="1652" t="s">
        <v>110</v>
      </c>
      <c r="C48" s="1652" t="s">
        <v>111</v>
      </c>
      <c r="D48" s="1618" t="str">
        <f>_xlfn.XLOOKUP(C48,MOPFRA!$R$7:$R$56,MOPFRA!$P$7:$P$56,"")</f>
        <v>HL</v>
      </c>
      <c r="E48" s="1614"/>
      <c r="F48" s="119">
        <f>IFERROR(_xlfn.LET(_xlpm.lookup_result,_xlfn.XLOOKUP($C48,'دیده بان بازار'!$A$5:$A$3994,'دیده بان بازار'!F$5:F$3994),IF(ISERROR(_xlpm.lookup_result),V48,_xlpm.lookup_result)),V48)</f>
        <v>3290</v>
      </c>
      <c r="G48" s="119">
        <f>IFERROR(_xlfn.LET(_xlpm.lookup_result,_xlfn.XLOOKUP($C48,'دیده بان بازار'!$A$5:$A$3994,'دیده بان بازار'!H$5:H$3994),IF(ISERROR(_xlpm.lookup_result),W48,_xlpm.lookup_result)),W48)</f>
        <v>3380</v>
      </c>
      <c r="H48" s="119">
        <f>IFERROR(_xlfn.LET(_xlpm.lookup_result,_xlfn.XLOOKUP($C48,'دیده بان بازار'!$A$5:$A$3994,'دیده بان بازار'!K$5:K$3994),IF(ISERROR(_xlpm.lookup_result),X48,_xlpm.lookup_result)),X48)</f>
        <v>3380</v>
      </c>
      <c r="I48" s="119">
        <f>IFERROR(_xlfn.LET(_xlpm.lookup_result,_xlfn.XLOOKUP($C48,'دیده بان بازار'!$A$5:$A$3994,'دیده بان بازار'!P$5:P$3994),IF(ISERROR(_xlpm.lookup_result),Y48,_xlpm.lookup_result)),Y48)</f>
        <v>1120</v>
      </c>
      <c r="J48" s="119">
        <f>IFERROR(_xlfn.LET(_xlpm.lookup_result,_xlfn.XLOOKUP($C48,'دیده بان بازار'!$A$5:$A$3994,'دیده بان بازار'!Q$5:Q$3994),IF(ISERROR(_xlpm.lookup_result),Z48,_xlpm.lookup_result)),Z48)</f>
        <v>3.02</v>
      </c>
      <c r="K48" s="1664">
        <f>_xlfn.XLOOKUP(C48,MOPFRA!$R$7:$R$56,MOPFRA!$T$7:$T$56,"")/1000</f>
        <v>3.38</v>
      </c>
      <c r="L48" s="1742">
        <f>_xlfn.XLOOKUP(C48,'MOPFRA Portfolio'!$P$8:$P$78,'MOPFRA Portfolio'!$AT$8:$AT$78,"")</f>
        <v>0</v>
      </c>
      <c r="M48" s="1665">
        <f>_xlfn.XLOOKUP(C48,'MOPFRA Portfolio'!$P$8:$P$78,'MOPFRA Portfolio'!$AU$8:$AU$78,"")</f>
        <v>0</v>
      </c>
      <c r="O48" s="1752" t="str">
        <f t="shared" si="15"/>
        <v/>
      </c>
      <c r="P48" s="1753">
        <f t="shared" si="0"/>
        <v>5.0395979117818956E-2</v>
      </c>
      <c r="Q48" s="1754">
        <f t="shared" si="12"/>
        <v>5.0395979117818956E-2</v>
      </c>
      <c r="R48" s="1755">
        <f t="shared" si="13"/>
        <v>0</v>
      </c>
      <c r="S48" s="1753" t="str">
        <f t="shared" si="16"/>
        <v/>
      </c>
      <c r="T48" s="1756" t="str">
        <f t="shared" si="17"/>
        <v/>
      </c>
      <c r="U48" s="1614"/>
      <c r="V48" s="1614">
        <v>3200</v>
      </c>
      <c r="W48" s="1614">
        <v>3290</v>
      </c>
      <c r="X48" s="1614">
        <v>3290</v>
      </c>
      <c r="Y48" s="1614">
        <v>1120</v>
      </c>
      <c r="Z48" s="1614">
        <v>2.94</v>
      </c>
      <c r="AA48" s="1620">
        <v>3.29</v>
      </c>
      <c r="AB48" s="508">
        <v>0</v>
      </c>
      <c r="AC48" s="1621">
        <v>0</v>
      </c>
    </row>
    <row r="49" spans="1:29" ht="20" customHeight="1">
      <c r="A49" s="1614">
        <f>IFERROR(MATCH(C49,'دیده بان بازار'!$A$5:$A$3994,0 )+4,"Closed")</f>
        <v>1875</v>
      </c>
      <c r="B49" s="1652" t="s">
        <v>112</v>
      </c>
      <c r="C49" s="1652" t="s">
        <v>113</v>
      </c>
      <c r="D49" s="1618" t="str">
        <f>_xlfn.XLOOKUP(C49,MOPFRA!$R$7:$R$56,MOPFRA!$P$7:$P$56,"")</f>
        <v>IT</v>
      </c>
      <c r="E49" s="1614"/>
      <c r="F49" s="119">
        <f>IFERROR(_xlfn.LET(_xlpm.lookup_result,_xlfn.XLOOKUP($C49,'دیده بان بازار'!$A$5:$A$3994,'دیده بان بازار'!F$5:F$3994),IF(ISERROR(_xlpm.lookup_result),V49,_xlpm.lookup_result)),V49)</f>
        <v>7230</v>
      </c>
      <c r="G49" s="119">
        <f>IFERROR(_xlfn.LET(_xlpm.lookup_result,_xlfn.XLOOKUP($C49,'دیده بان بازار'!$A$5:$A$3994,'دیده بان بازار'!H$5:H$3994),IF(ISERROR(_xlpm.lookup_result),W49,_xlpm.lookup_result)),W49)</f>
        <v>7440</v>
      </c>
      <c r="H49" s="119">
        <f>IFERROR(_xlfn.LET(_xlpm.lookup_result,_xlfn.XLOOKUP($C49,'دیده بان بازار'!$A$5:$A$3994,'دیده بان بازار'!K$5:K$3994),IF(ISERROR(_xlpm.lookup_result),X49,_xlpm.lookup_result)),X49)</f>
        <v>7440</v>
      </c>
      <c r="I49" s="119">
        <f>IFERROR(_xlfn.LET(_xlpm.lookup_result,_xlfn.XLOOKUP($C49,'دیده بان بازار'!$A$5:$A$3994,'دیده بان بازار'!P$5:P$3994),IF(ISERROR(_xlpm.lookup_result),Y49,_xlpm.lookup_result)),Y49)</f>
        <v>1478</v>
      </c>
      <c r="J49" s="119">
        <f>IFERROR(_xlfn.LET(_xlpm.lookup_result,_xlfn.XLOOKUP($C49,'دیده بان بازار'!$A$5:$A$3994,'دیده بان بازار'!Q$5:Q$3994),IF(ISERROR(_xlpm.lookup_result),Z49,_xlpm.lookup_result)),Z49)</f>
        <v>5.03</v>
      </c>
      <c r="K49" s="1664">
        <f>_xlfn.XLOOKUP(C49,MOPFRA!$R$7:$R$56,MOPFRA!$T$7:$T$56,"")/1000</f>
        <v>4.4640000000000004</v>
      </c>
      <c r="L49" s="1742">
        <f>_xlfn.XLOOKUP(C49,'MOPFRA Portfolio'!$P$8:$P$78,'MOPFRA Portfolio'!$AT$8:$AT$78,"")</f>
        <v>0</v>
      </c>
      <c r="M49" s="1665">
        <f>_xlfn.XLOOKUP(C49,'MOPFRA Portfolio'!$P$8:$P$78,'MOPFRA Portfolio'!$AU$8:$AU$78,"")</f>
        <v>0</v>
      </c>
      <c r="O49" s="1752" t="str">
        <f t="shared" si="15"/>
        <v/>
      </c>
      <c r="P49" s="1753">
        <f t="shared" si="0"/>
        <v>7.0554370764946833E-2</v>
      </c>
      <c r="Q49" s="1754">
        <f t="shared" si="12"/>
        <v>7.0554370764946833E-2</v>
      </c>
      <c r="R49" s="1755">
        <f t="shared" si="13"/>
        <v>0</v>
      </c>
      <c r="S49" s="1753" t="str">
        <f t="shared" si="16"/>
        <v/>
      </c>
      <c r="T49" s="1756" t="str">
        <f t="shared" si="17"/>
        <v/>
      </c>
      <c r="U49" s="1614"/>
      <c r="V49" s="1614">
        <v>7020</v>
      </c>
      <c r="W49" s="1614">
        <v>7230</v>
      </c>
      <c r="X49" s="1614">
        <v>7230</v>
      </c>
      <c r="Y49" s="1614">
        <v>1478</v>
      </c>
      <c r="Z49" s="1614">
        <v>4.8899999999999997</v>
      </c>
      <c r="AA49" s="1620">
        <v>4.3380000000000001</v>
      </c>
      <c r="AB49" s="508">
        <v>0</v>
      </c>
      <c r="AC49" s="1621">
        <v>0</v>
      </c>
    </row>
    <row r="50" spans="1:29" ht="20" customHeight="1">
      <c r="A50" s="1614">
        <f>IFERROR(MATCH(C50,'دیده بان بازار'!$A$5:$A$3994,0 )+4,"Closed")</f>
        <v>2917</v>
      </c>
      <c r="B50" s="1652" t="s">
        <v>114</v>
      </c>
      <c r="C50" s="1652" t="s">
        <v>115</v>
      </c>
      <c r="D50" s="1618" t="str">
        <f>_xlfn.XLOOKUP(C50,MOPFRA!$R$7:$R$56,MOPFRA!$P$7:$P$56,"")</f>
        <v>M</v>
      </c>
      <c r="E50" s="1614"/>
      <c r="F50" s="119">
        <f>IFERROR(_xlfn.LET(_xlpm.lookup_result,_xlfn.XLOOKUP($C50,'دیده بان بازار'!$A$5:$A$3994,'دیده بان بازار'!F$5:F$3994),IF(ISERROR(_xlpm.lookup_result),V50,_xlpm.lookup_result)),V50)</f>
        <v>4510</v>
      </c>
      <c r="G50" s="119">
        <f>IFERROR(_xlfn.LET(_xlpm.lookup_result,_xlfn.XLOOKUP($C50,'دیده بان بازار'!$A$5:$A$3994,'دیده بان بازار'!H$5:H$3994),IF(ISERROR(_xlpm.lookup_result),W50,_xlpm.lookup_result)),W50)</f>
        <v>4640</v>
      </c>
      <c r="H50" s="119">
        <f>IFERROR(_xlfn.LET(_xlpm.lookup_result,_xlfn.XLOOKUP($C50,'دیده بان بازار'!$A$5:$A$3994,'دیده بان بازار'!K$5:K$3994),IF(ISERROR(_xlpm.lookup_result),X50,_xlpm.lookup_result)),X50)</f>
        <v>4640</v>
      </c>
      <c r="I50" s="119">
        <f>IFERROR(_xlfn.LET(_xlpm.lookup_result,_xlfn.XLOOKUP($C50,'دیده بان بازار'!$A$5:$A$3994,'دیده بان بازار'!P$5:P$3994),IF(ISERROR(_xlpm.lookup_result),Y50,_xlpm.lookup_result)),Y50)</f>
        <v>1216</v>
      </c>
      <c r="J50" s="119">
        <f>IFERROR(_xlfn.LET(_xlpm.lookup_result,_xlfn.XLOOKUP($C50,'دیده بان بازار'!$A$5:$A$3994,'دیده بان بازار'!Q$5:Q$3994),IF(ISERROR(_xlpm.lookup_result),Z50,_xlpm.lookup_result)),Z50)</f>
        <v>3.82</v>
      </c>
      <c r="K50" s="1664">
        <f>_xlfn.XLOOKUP(C50,MOPFRA!$R$7:$R$56,MOPFRA!$T$7:$T$56,"")/1000</f>
        <v>5.8</v>
      </c>
      <c r="L50" s="1742">
        <f>_xlfn.XLOOKUP(C50,'MOPFRA Portfolio'!$P$8:$P$78,'MOPFRA Portfolio'!$AT$8:$AT$78,"")</f>
        <v>800000</v>
      </c>
      <c r="M50" s="1665">
        <f>_xlfn.XLOOKUP(C50,'MOPFRA Portfolio'!$P$8:$P$78,'MOPFRA Portfolio'!$AU$8:$AU$78,"")</f>
        <v>367933.44</v>
      </c>
      <c r="O50" s="1752" t="str">
        <f t="shared" si="15"/>
        <v/>
      </c>
      <c r="P50" s="1753" t="str">
        <f t="shared" si="0"/>
        <v/>
      </c>
      <c r="Q50" s="1754">
        <f t="shared" si="12"/>
        <v>9.0992740073839729E-2</v>
      </c>
      <c r="R50" s="1755">
        <f t="shared" si="13"/>
        <v>0.9718309674225335</v>
      </c>
      <c r="S50" s="1753">
        <f t="shared" si="16"/>
        <v>0.88083822734869377</v>
      </c>
      <c r="T50" s="1756" t="str">
        <f t="shared" si="17"/>
        <v/>
      </c>
      <c r="U50" s="1614"/>
      <c r="V50" s="1614">
        <v>4380</v>
      </c>
      <c r="W50" s="1614">
        <v>4510</v>
      </c>
      <c r="X50" s="1614">
        <v>4510</v>
      </c>
      <c r="Y50" s="1614">
        <v>1216</v>
      </c>
      <c r="Z50" s="1614">
        <v>3.71</v>
      </c>
      <c r="AA50" s="1620">
        <v>5.6375000000000002</v>
      </c>
      <c r="AB50" s="508">
        <v>800000</v>
      </c>
      <c r="AC50" s="1621">
        <v>357624.95999999996</v>
      </c>
    </row>
    <row r="51" spans="1:29" ht="20" customHeight="1">
      <c r="A51" s="1614">
        <f>IFERROR(MATCH(C51,'دیده بان بازار'!$A$5:$A$3994,0 )+4,"Closed")</f>
        <v>211</v>
      </c>
      <c r="B51" s="1652" t="s">
        <v>116</v>
      </c>
      <c r="C51" s="1652" t="s">
        <v>117</v>
      </c>
      <c r="D51" s="1618" t="str">
        <f>_xlfn.XLOOKUP(C51,MOPFRA!$R$7:$R$56,MOPFRA!$P$7:$P$56,"")</f>
        <v>M</v>
      </c>
      <c r="E51" s="1614"/>
      <c r="F51" s="119">
        <f>IFERROR(_xlfn.LET(_xlpm.lookup_result,_xlfn.XLOOKUP($C51,'دیده بان بازار'!$A$5:$A$3994,'دیده بان بازار'!F$5:F$3994),IF(ISERROR(_xlpm.lookup_result),V51,_xlpm.lookup_result)),V51)</f>
        <v>4840</v>
      </c>
      <c r="G51" s="119">
        <f>IFERROR(_xlfn.LET(_xlpm.lookup_result,_xlfn.XLOOKUP($C51,'دیده بان بازار'!$A$5:$A$3994,'دیده بان بازار'!H$5:H$3994),IF(ISERROR(_xlpm.lookup_result),W51,_xlpm.lookup_result)),W51)</f>
        <v>4980</v>
      </c>
      <c r="H51" s="119">
        <f>IFERROR(_xlfn.LET(_xlpm.lookup_result,_xlfn.XLOOKUP($C51,'دیده بان بازار'!$A$5:$A$3994,'دیده بان بازار'!K$5:K$3994),IF(ISERROR(_xlpm.lookup_result),X51,_xlpm.lookup_result)),X51)</f>
        <v>4980</v>
      </c>
      <c r="I51" s="119">
        <f>IFERROR(_xlfn.LET(_xlpm.lookup_result,_xlfn.XLOOKUP($C51,'دیده بان بازار'!$A$5:$A$3994,'دیده بان بازار'!P$5:P$3994),IF(ISERROR(_xlpm.lookup_result),Y51,_xlpm.lookup_result)),Y51)</f>
        <v>1065</v>
      </c>
      <c r="J51" s="119">
        <f>IFERROR(_xlfn.LET(_xlpm.lookup_result,_xlfn.XLOOKUP($C51,'دیده بان بازار'!$A$5:$A$3994,'دیده بان بازار'!Q$5:Q$3994),IF(ISERROR(_xlpm.lookup_result),Z51,_xlpm.lookup_result)),Z51)</f>
        <v>4.68</v>
      </c>
      <c r="K51" s="1664">
        <f>_xlfn.XLOOKUP(C51,MOPFRA!$R$7:$R$56,MOPFRA!$T$7:$T$56,"")/1000</f>
        <v>9.9600000000000009</v>
      </c>
      <c r="L51" s="1742">
        <f>_xlfn.XLOOKUP(C51,'MOPFRA Portfolio'!$P$8:$P$78,'MOPFRA Portfolio'!$AT$8:$AT$78,"")</f>
        <v>500000</v>
      </c>
      <c r="M51" s="1665">
        <f>_xlfn.XLOOKUP(C51,'MOPFRA Portfolio'!$P$8:$P$78,'MOPFRA Portfolio'!$AU$8:$AU$78,"")</f>
        <v>246808.8</v>
      </c>
      <c r="O51" s="1752" t="str">
        <f t="shared" si="15"/>
        <v/>
      </c>
      <c r="P51" s="1753" t="str">
        <f t="shared" ref="P51:P55" si="18">IF(AND(Q51&gt;=0,R51&gt;=0,Q51&gt;R51),Q51-R51,"")</f>
        <v/>
      </c>
      <c r="Q51" s="1754">
        <f t="shared" si="12"/>
        <v>0.15678749058877098</v>
      </c>
      <c r="R51" s="1755">
        <f t="shared" si="13"/>
        <v>0.65411699730362793</v>
      </c>
      <c r="S51" s="1753">
        <f t="shared" si="16"/>
        <v>0.49732950671485698</v>
      </c>
      <c r="T51" s="1756" t="str">
        <f t="shared" si="17"/>
        <v/>
      </c>
      <c r="U51" s="1614"/>
      <c r="V51" s="1614">
        <v>4700</v>
      </c>
      <c r="W51" s="1614">
        <v>4840</v>
      </c>
      <c r="X51" s="1614">
        <v>4840</v>
      </c>
      <c r="Y51" s="1614">
        <v>1065</v>
      </c>
      <c r="Z51" s="1614">
        <v>4.54</v>
      </c>
      <c r="AA51" s="1620">
        <v>9.68</v>
      </c>
      <c r="AB51" s="508">
        <v>500000</v>
      </c>
      <c r="AC51" s="1621">
        <v>239870.4</v>
      </c>
    </row>
    <row r="52" spans="1:29" ht="20" customHeight="1">
      <c r="A52" s="1614" t="str">
        <f>IFERROR(MATCH(C52,'دیده بان بازار'!$A$5:$A$3994,0 )+4,"Closed")</f>
        <v>Closed</v>
      </c>
      <c r="B52" s="1652" t="s">
        <v>118</v>
      </c>
      <c r="C52" s="1652" t="s">
        <v>119</v>
      </c>
      <c r="D52" s="1618" t="str">
        <f>_xlfn.XLOOKUP(C52,MOPFRA!$R$7:$R$56,MOPFRA!$P$7:$P$56,"")</f>
        <v>M</v>
      </c>
      <c r="E52" s="1614"/>
      <c r="F52" s="119">
        <f>IFERROR(_xlfn.LET(_xlpm.lookup_result,_xlfn.XLOOKUP($C52,'دیده بان بازار'!$A$5:$A$3994,'دیده بان بازار'!F$5:F$3994),IF(ISERROR(_xlpm.lookup_result),V52,_xlpm.lookup_result)),V52)</f>
        <v>2604</v>
      </c>
      <c r="G52" s="119">
        <f>IFERROR(_xlfn.LET(_xlpm.lookup_result,_xlfn.XLOOKUP($C52,'دیده بان بازار'!$A$5:$A$3994,'دیده بان بازار'!H$5:H$3994),IF(ISERROR(_xlpm.lookup_result),W52,_xlpm.lookup_result)),W52)</f>
        <v>2549</v>
      </c>
      <c r="H52" s="119">
        <f>IFERROR(_xlfn.LET(_xlpm.lookup_result,_xlfn.XLOOKUP($C52,'دیده بان بازار'!$A$5:$A$3994,'دیده بان بازار'!K$5:K$3994),IF(ISERROR(_xlpm.lookup_result),X52,_xlpm.lookup_result)),X52)</f>
        <v>2549</v>
      </c>
      <c r="I52" s="119">
        <f>IFERROR(_xlfn.LET(_xlpm.lookup_result,_xlfn.XLOOKUP($C52,'دیده بان بازار'!$A$5:$A$3994,'دیده بان بازار'!P$5:P$3994),IF(ISERROR(_xlpm.lookup_result),Y52,_xlpm.lookup_result)),Y52)</f>
        <v>518</v>
      </c>
      <c r="J52" s="119">
        <f>IFERROR(_xlfn.LET(_xlpm.lookup_result,_xlfn.XLOOKUP($C52,'دیده بان بازار'!$A$5:$A$3994,'دیده بان بازار'!Q$5:Q$3994),IF(ISERROR(_xlpm.lookup_result),Z52,_xlpm.lookup_result)),Z52)</f>
        <v>5.03</v>
      </c>
      <c r="K52" s="1664">
        <f>_xlfn.XLOOKUP(C52,MOPFRA!$R$7:$R$56,MOPFRA!$T$7:$T$56,"")/1000</f>
        <v>493.23149999999998</v>
      </c>
      <c r="L52" s="1742">
        <f>_xlfn.XLOOKUP(C52,'MOPFRA Portfolio'!$P$8:$P$78,'MOPFRA Portfolio'!$AT$8:$AT$78,"")</f>
        <v>0</v>
      </c>
      <c r="M52" s="1665">
        <f>_xlfn.XLOOKUP(C52,'MOPFRA Portfolio'!$P$8:$P$78,'MOPFRA Portfolio'!$AU$8:$AU$78,"")</f>
        <v>0</v>
      </c>
      <c r="O52" s="1752" t="str">
        <f t="shared" si="15"/>
        <v/>
      </c>
      <c r="P52" s="1753" t="str">
        <f t="shared" si="18"/>
        <v/>
      </c>
      <c r="Q52" s="1754">
        <f t="shared" si="12"/>
        <v>0</v>
      </c>
      <c r="R52" s="1755">
        <f t="shared" si="13"/>
        <v>0</v>
      </c>
      <c r="S52" s="1753" t="str">
        <f t="shared" si="16"/>
        <v/>
      </c>
      <c r="T52" s="1756" t="str">
        <f t="shared" si="17"/>
        <v/>
      </c>
      <c r="U52" s="1614"/>
      <c r="V52" s="1614">
        <v>2604</v>
      </c>
      <c r="W52" s="1614">
        <v>2549</v>
      </c>
      <c r="X52" s="1614">
        <v>2549</v>
      </c>
      <c r="Y52" s="1614">
        <v>518</v>
      </c>
      <c r="Z52" s="1614">
        <v>5.03</v>
      </c>
      <c r="AA52" s="1620">
        <v>493.23149999999998</v>
      </c>
      <c r="AB52" s="508">
        <v>0</v>
      </c>
      <c r="AC52" s="1621">
        <v>0</v>
      </c>
    </row>
    <row r="53" spans="1:29" ht="20" customHeight="1">
      <c r="A53" s="1614">
        <f>IFERROR(MATCH(C53,'دیده بان بازار'!$A$5:$A$3994,0 )+4,"Closed")</f>
        <v>2285</v>
      </c>
      <c r="B53" s="1652" t="s">
        <v>120</v>
      </c>
      <c r="C53" s="1652" t="s">
        <v>121</v>
      </c>
      <c r="D53" s="1618" t="str">
        <f>_xlfn.XLOOKUP(C53,MOPFRA!$R$7:$R$56,MOPFRA!$P$7:$P$56,"")</f>
        <v>M</v>
      </c>
      <c r="E53" s="1614"/>
      <c r="F53" s="119">
        <f>IFERROR(_xlfn.LET(_xlpm.lookup_result,_xlfn.XLOOKUP($C53,'دیده بان بازار'!$A$5:$A$3994,'دیده بان بازار'!F$5:F$3994),IF(ISERROR(_xlpm.lookup_result),V53,_xlpm.lookup_result)),V53)</f>
        <v>65760</v>
      </c>
      <c r="G53" s="119">
        <f>IFERROR(_xlfn.LET(_xlpm.lookup_result,_xlfn.XLOOKUP($C53,'دیده بان بازار'!$A$5:$A$3994,'دیده بان بازار'!H$5:H$3994),IF(ISERROR(_xlpm.lookup_result),W53,_xlpm.lookup_result)),W53)</f>
        <v>67730</v>
      </c>
      <c r="H53" s="119">
        <f>IFERROR(_xlfn.LET(_xlpm.lookup_result,_xlfn.XLOOKUP($C53,'دیده بان بازار'!$A$5:$A$3994,'دیده بان بازار'!K$5:K$3994),IF(ISERROR(_xlpm.lookup_result),X53,_xlpm.lookup_result)),X53)</f>
        <v>67620</v>
      </c>
      <c r="I53" s="119">
        <f>IFERROR(_xlfn.LET(_xlpm.lookup_result,_xlfn.XLOOKUP($C53,'دیده بان بازار'!$A$5:$A$3994,'دیده بان بازار'!P$5:P$3994),IF(ISERROR(_xlpm.lookup_result),Y53,_xlpm.lookup_result)),Y53)</f>
        <v>14832</v>
      </c>
      <c r="J53" s="119">
        <f>IFERROR(_xlfn.LET(_xlpm.lookup_result,_xlfn.XLOOKUP($C53,'دیده بان بازار'!$A$5:$A$3994,'دیده بان بازار'!Q$5:Q$3994),IF(ISERROR(_xlpm.lookup_result),Z53,_xlpm.lookup_result)),Z53)</f>
        <v>4.5599999999999996</v>
      </c>
      <c r="K53" s="1664">
        <f>_xlfn.XLOOKUP(C53,MOPFRA!$R$7:$R$56,MOPFRA!$T$7:$T$56,"")/1000</f>
        <v>27.091999999999999</v>
      </c>
      <c r="L53" s="1742">
        <f>_xlfn.XLOOKUP(C53,'MOPFRA Portfolio'!$P$8:$P$78,'MOPFRA Portfolio'!$AT$8:$AT$78,"")</f>
        <v>45000</v>
      </c>
      <c r="M53" s="1665">
        <f>_xlfn.XLOOKUP(C53,'MOPFRA Portfolio'!$P$8:$P$78,'MOPFRA Portfolio'!$AU$8:$AU$78,"")</f>
        <v>302102.89199999999</v>
      </c>
      <c r="O53" s="1752" t="str">
        <f t="shared" si="15"/>
        <v/>
      </c>
      <c r="P53" s="1753" t="str">
        <f t="shared" si="18"/>
        <v/>
      </c>
      <c r="Q53" s="1754">
        <f t="shared" si="12"/>
        <v>0.36733069223654696</v>
      </c>
      <c r="R53" s="1755">
        <f t="shared" si="13"/>
        <v>0.68962620572867805</v>
      </c>
      <c r="S53" s="1753">
        <f t="shared" si="16"/>
        <v>0.32229551349213109</v>
      </c>
      <c r="T53" s="1756" t="str">
        <f t="shared" si="17"/>
        <v/>
      </c>
      <c r="U53" s="1614"/>
      <c r="V53" s="1614">
        <v>64170</v>
      </c>
      <c r="W53" s="1614">
        <v>66090</v>
      </c>
      <c r="X53" s="1614">
        <v>65760</v>
      </c>
      <c r="Y53" s="1614">
        <v>14832</v>
      </c>
      <c r="Z53" s="1614">
        <v>4.43</v>
      </c>
      <c r="AA53" s="1620">
        <v>26.436</v>
      </c>
      <c r="AB53" s="508">
        <v>45000</v>
      </c>
      <c r="AC53" s="1621">
        <v>294787.83600000001</v>
      </c>
    </row>
    <row r="54" spans="1:29" ht="20" customHeight="1">
      <c r="A54" s="1614">
        <f>IFERROR(MATCH(C54,'دیده بان بازار'!$A$5:$A$3994,0 )+4,"Closed")</f>
        <v>1128</v>
      </c>
      <c r="B54" s="1652" t="s">
        <v>122</v>
      </c>
      <c r="C54" s="1652" t="s">
        <v>123</v>
      </c>
      <c r="D54" s="1618" t="str">
        <f>_xlfn.XLOOKUP(C54,MOPFRA!$R$7:$R$56,MOPFRA!$P$7:$P$56,"")</f>
        <v>M</v>
      </c>
      <c r="E54" s="1614"/>
      <c r="F54" s="119">
        <f>IFERROR(_xlfn.LET(_xlpm.lookup_result,_xlfn.XLOOKUP($C54,'دیده بان بازار'!$A$5:$A$3994,'دیده بان بازار'!F$5:F$3994),IF(ISERROR(_xlpm.lookup_result),V54,_xlpm.lookup_result)),V54)</f>
        <v>2714</v>
      </c>
      <c r="G54" s="119">
        <f>IFERROR(_xlfn.LET(_xlpm.lookup_result,_xlfn.XLOOKUP($C54,'دیده بان بازار'!$A$5:$A$3994,'دیده بان بازار'!H$5:H$3994),IF(ISERROR(_xlpm.lookup_result),W54,_xlpm.lookup_result)),W54)</f>
        <v>2795</v>
      </c>
      <c r="H54" s="119">
        <f>IFERROR(_xlfn.LET(_xlpm.lookup_result,_xlfn.XLOOKUP($C54,'دیده بان بازار'!$A$5:$A$3994,'دیده بان بازار'!K$5:K$3994),IF(ISERROR(_xlpm.lookup_result),X54,_xlpm.lookup_result)),X54)</f>
        <v>2795</v>
      </c>
      <c r="I54" s="119">
        <f>IFERROR(_xlfn.LET(_xlpm.lookup_result,_xlfn.XLOOKUP($C54,'دیده بان بازار'!$A$5:$A$3994,'دیده بان بازار'!P$5:P$3994),IF(ISERROR(_xlpm.lookup_result),Y54,_xlpm.lookup_result)),Y54)</f>
        <v>158</v>
      </c>
      <c r="J54" s="119">
        <f>IFERROR(_xlfn.LET(_xlpm.lookup_result,_xlfn.XLOOKUP($C54,'دیده بان بازار'!$A$5:$A$3994,'دیده بان بازار'!Q$5:Q$3994),IF(ISERROR(_xlpm.lookup_result),Z54,_xlpm.lookup_result)),Z54)</f>
        <v>17.690000000000001</v>
      </c>
      <c r="K54" s="1664">
        <f>_xlfn.XLOOKUP(C54,MOPFRA!$R$7:$R$56,MOPFRA!$T$7:$T$56,"")/1000</f>
        <v>13.975</v>
      </c>
      <c r="L54" s="1742">
        <f>_xlfn.XLOOKUP(C54,'MOPFRA Portfolio'!$P$8:$P$78,'MOPFRA Portfolio'!$AT$8:$AT$78,"")</f>
        <v>2678001</v>
      </c>
      <c r="M54" s="1665">
        <f>_xlfn.XLOOKUP(C54,'MOPFRA Portfolio'!$P$8:$P$78,'MOPFRA Portfolio'!$AU$8:$AU$78,"")</f>
        <v>741914.46824039996</v>
      </c>
      <c r="O54" s="1752" t="str">
        <f>IF(AND(Q54&lt;0,R54&lt;0,Q54&lt;R54),Q54-R54,"")</f>
        <v/>
      </c>
      <c r="P54" s="1753" t="str">
        <f t="shared" si="18"/>
        <v/>
      </c>
      <c r="Q54" s="1754">
        <f t="shared" si="12"/>
        <v>0.21838257617721515</v>
      </c>
      <c r="R54" s="1755">
        <f t="shared" si="13"/>
        <v>1.9519232269413764</v>
      </c>
      <c r="S54" s="1753">
        <f>IF(AND(R54&gt;0,Q54&gt;0,R54&gt;Q54),R54-Q54,"")</f>
        <v>1.7335406507641613</v>
      </c>
      <c r="T54" s="1756" t="str">
        <f>IF(AND(R54&lt;0,Q54&lt;0,R54&lt;Q54),R54-Q54,"")</f>
        <v/>
      </c>
      <c r="U54" s="1614"/>
      <c r="V54" s="1614">
        <v>2638</v>
      </c>
      <c r="W54" s="1614">
        <v>2717</v>
      </c>
      <c r="X54" s="1614">
        <v>2714</v>
      </c>
      <c r="Y54" s="1614">
        <v>158</v>
      </c>
      <c r="Z54" s="1614">
        <v>17.18</v>
      </c>
      <c r="AA54" s="1620">
        <v>13.585000000000001</v>
      </c>
      <c r="AB54" s="508">
        <v>2678001</v>
      </c>
      <c r="AC54" s="1621">
        <v>721209.87842903996</v>
      </c>
    </row>
    <row r="55" spans="1:29" ht="20" customHeight="1">
      <c r="A55" s="1614">
        <f>IFERROR(MATCH(C55,'دیده بان بازار'!$A$5:$A$3994,0 )+4,"Closed")</f>
        <v>2504</v>
      </c>
      <c r="B55" s="1652" t="s">
        <v>124</v>
      </c>
      <c r="C55" s="1652" t="s">
        <v>125</v>
      </c>
      <c r="D55" s="1618" t="str">
        <f>_xlfn.XLOOKUP(C55,MOPFRA!$R$7:$R$56,MOPFRA!$P$7:$P$56,"")</f>
        <v>M</v>
      </c>
      <c r="E55" s="1614"/>
      <c r="F55" s="119">
        <f>IFERROR(_xlfn.LET(_xlpm.lookup_result,_xlfn.XLOOKUP($C55,'دیده بان بازار'!$A$5:$A$3994,'دیده بان بازار'!F$5:F$3994),IF(ISERROR(_xlpm.lookup_result),V55,_xlpm.lookup_result)),V55)</f>
        <v>3990</v>
      </c>
      <c r="G55" s="119">
        <f>IFERROR(_xlfn.LET(_xlpm.lookup_result,_xlfn.XLOOKUP($C55,'دیده بان بازار'!$A$5:$A$3994,'دیده بان بازار'!H$5:H$3994),IF(ISERROR(_xlpm.lookup_result),W55,_xlpm.lookup_result)),W55)</f>
        <v>4100</v>
      </c>
      <c r="H55" s="119">
        <f>IFERROR(_xlfn.LET(_xlpm.lookup_result,_xlfn.XLOOKUP($C55,'دیده بان بازار'!$A$5:$A$3994,'دیده بان بازار'!K$5:K$3994),IF(ISERROR(_xlpm.lookup_result),X55,_xlpm.lookup_result)),X55)</f>
        <v>4100</v>
      </c>
      <c r="I55" s="119">
        <f>IFERROR(_xlfn.LET(_xlpm.lookup_result,_xlfn.XLOOKUP($C55,'دیده بان بازار'!$A$5:$A$3994,'دیده بان بازار'!P$5:P$3994),IF(ISERROR(_xlpm.lookup_result),Y55,_xlpm.lookup_result)),Y55)</f>
        <v>813</v>
      </c>
      <c r="J55" s="119">
        <f>IFERROR(_xlfn.LET(_xlpm.lookup_result,_xlfn.XLOOKUP($C55,'دیده بان بازار'!$A$5:$A$3994,'دیده بان بازار'!Q$5:Q$3994),IF(ISERROR(_xlpm.lookup_result),Z55,_xlpm.lookup_result)),Z55)</f>
        <v>5.04</v>
      </c>
      <c r="K55" s="1664">
        <f>_xlfn.XLOOKUP(C55,MOPFRA!$R$7:$R$56,MOPFRA!$T$7:$T$56,"")/1000</f>
        <v>51.25</v>
      </c>
      <c r="L55" s="1742">
        <f>_xlfn.XLOOKUP(C55,'MOPFRA Portfolio'!$P$8:$P$78,'MOPFRA Portfolio'!$AT$8:$AT$78,"")</f>
        <v>0</v>
      </c>
      <c r="M55" s="1665">
        <f>_xlfn.XLOOKUP(C55,'MOPFRA Portfolio'!$P$8:$P$78,'MOPFRA Portfolio'!$AU$8:$AU$78,"")</f>
        <v>0</v>
      </c>
      <c r="O55" s="1752" t="str">
        <f t="shared" si="15"/>
        <v/>
      </c>
      <c r="P55" s="1753">
        <f t="shared" si="18"/>
        <v>0.76993856985556863</v>
      </c>
      <c r="Q55" s="1754">
        <f t="shared" si="12"/>
        <v>0.76993856985556863</v>
      </c>
      <c r="R55" s="1755">
        <f t="shared" si="13"/>
        <v>0</v>
      </c>
      <c r="S55" s="1753" t="str">
        <f t="shared" si="16"/>
        <v/>
      </c>
      <c r="T55" s="1756" t="str">
        <f t="shared" si="17"/>
        <v/>
      </c>
      <c r="U55" s="1614"/>
      <c r="V55" s="1614">
        <v>3880</v>
      </c>
      <c r="W55" s="1614">
        <v>3990</v>
      </c>
      <c r="X55" s="1614">
        <v>3990</v>
      </c>
      <c r="Y55" s="1614">
        <v>813</v>
      </c>
      <c r="Z55" s="1614">
        <v>4.91</v>
      </c>
      <c r="AA55" s="1620">
        <v>49.875</v>
      </c>
      <c r="AB55" s="508">
        <v>0</v>
      </c>
      <c r="AC55" s="1621">
        <v>0</v>
      </c>
    </row>
    <row r="56" spans="1:29" ht="20" customHeight="1">
      <c r="A56" s="1614">
        <f>IFERROR(MATCH(C56,'دیده بان بازار'!$A$5:$A$3994,0 )+4,"Closed")</f>
        <v>616</v>
      </c>
      <c r="B56" s="1652" t="s">
        <v>126</v>
      </c>
      <c r="C56" s="1652" t="s">
        <v>127</v>
      </c>
      <c r="D56" s="1618" t="str">
        <f>_xlfn.XLOOKUP(C56,MOPFRA!$R$7:$R$56,MOPFRA!$P$7:$P$56,"")</f>
        <v>CO</v>
      </c>
      <c r="E56" s="1614"/>
      <c r="F56" s="119">
        <f>IFERROR(_xlfn.LET(_xlpm.lookup_result,_xlfn.XLOOKUP($C56,'دیده بان بازار'!$A$5:$A$3994,'دیده بان بازار'!F$5:F$3994),IF(ISERROR(_xlpm.lookup_result),V56,_xlpm.lookup_result)),V56)</f>
        <v>15750</v>
      </c>
      <c r="G56" s="119">
        <f>IFERROR(_xlfn.LET(_xlpm.lookup_result,_xlfn.XLOOKUP($C56,'دیده بان بازار'!$A$5:$A$3994,'دیده بان بازار'!H$5:H$3994),IF(ISERROR(_xlpm.lookup_result),W56,_xlpm.lookup_result)),W56)</f>
        <v>16220</v>
      </c>
      <c r="H56" s="119">
        <f>IFERROR(_xlfn.LET(_xlpm.lookup_result,_xlfn.XLOOKUP($C56,'دیده بان بازار'!$A$5:$A$3994,'دیده بان بازار'!K$5:K$3994),IF(ISERROR(_xlpm.lookup_result),X56,_xlpm.lookup_result)),X56)</f>
        <v>16220</v>
      </c>
      <c r="I56" s="119">
        <f>IFERROR(_xlfn.LET(_xlpm.lookup_result,_xlfn.XLOOKUP($C56,'دیده بان بازار'!$A$5:$A$3994,'دیده بان بازار'!P$5:P$3994),IF(ISERROR(_xlpm.lookup_result),Y56,_xlpm.lookup_result)),Y56)</f>
        <v>1411</v>
      </c>
      <c r="J56" s="119">
        <f>IFERROR(_xlfn.LET(_xlpm.lookup_result,_xlfn.XLOOKUP($C56,'دیده بان بازار'!$A$5:$A$3994,'دیده بان بازار'!Q$5:Q$3994),IF(ISERROR(_xlpm.lookup_result),Z56,_xlpm.lookup_result)),Z56)</f>
        <v>11.5</v>
      </c>
      <c r="K56" s="1664">
        <f>_xlfn.XLOOKUP(C56,MOPFRA!$R$7:$R$56,MOPFRA!$T$7:$T$56,"")/1000</f>
        <v>2335.6799999999998</v>
      </c>
      <c r="L56" s="1742">
        <f>_xlfn.XLOOKUP(C56,'MOPFRA Portfolio'!$P$8:$P$78,'MOPFRA Portfolio'!$AT$8:$AT$78,"")</f>
        <v>0</v>
      </c>
      <c r="M56" s="1665">
        <f>_xlfn.XLOOKUP(C56,'MOPFRA Portfolio'!$P$8:$P$78,'MOPFRA Portfolio'!$AU$8:$AU$78,"")</f>
        <v>0</v>
      </c>
      <c r="O56" s="1752" t="str">
        <f t="shared" si="15"/>
        <v/>
      </c>
      <c r="P56" s="1753">
        <f>IF(AND(Q56&gt;=0,R56&gt;=0,Q56&gt;R56),Q56-R56,"")</f>
        <v>37.897776296599822</v>
      </c>
      <c r="Q56" s="1754">
        <f t="shared" si="12"/>
        <v>37.897776296599822</v>
      </c>
      <c r="R56" s="1755">
        <f t="shared" si="13"/>
        <v>0</v>
      </c>
      <c r="S56" s="1753" t="str">
        <f t="shared" si="16"/>
        <v/>
      </c>
      <c r="T56" s="1756" t="str">
        <f t="shared" si="17"/>
        <v/>
      </c>
      <c r="U56" s="1614"/>
      <c r="V56" s="1614">
        <v>15300</v>
      </c>
      <c r="W56" s="1614">
        <v>15750</v>
      </c>
      <c r="X56" s="1614">
        <v>15750</v>
      </c>
      <c r="Y56" s="1614">
        <v>1411</v>
      </c>
      <c r="Z56" s="1614">
        <v>11.16</v>
      </c>
      <c r="AA56" s="1620">
        <v>2268</v>
      </c>
      <c r="AB56" s="508">
        <v>0</v>
      </c>
      <c r="AC56" s="1621">
        <v>0</v>
      </c>
    </row>
    <row r="57" spans="1:29" ht="20" customHeight="1">
      <c r="A57" s="1614">
        <f>IFERROR(MATCH(C57,'دیده بان بازار'!$A$5:$A$3994,0 )+4,"Closed")</f>
        <v>568</v>
      </c>
      <c r="B57" s="1652" t="s">
        <v>128</v>
      </c>
      <c r="C57" s="1652" t="s">
        <v>129</v>
      </c>
      <c r="D57" s="1618" t="str">
        <f>_xlfn.XLOOKUP(C57,MOPFRA!$R$7:$R$56,MOPFRA!$P$7:$P$56,"")</f>
        <v>CO</v>
      </c>
      <c r="E57" s="1614"/>
      <c r="F57" s="119">
        <f>IFERROR(_xlfn.LET(_xlpm.lookup_result,_xlfn.XLOOKUP($C57,'دیده بان بازار'!$A$5:$A$3994,'دیده بان بازار'!F$5:F$3994),IF(ISERROR(_xlpm.lookup_result),V57,_xlpm.lookup_result)),V57)</f>
        <v>10490</v>
      </c>
      <c r="G57" s="119">
        <f>IFERROR(_xlfn.LET(_xlpm.lookup_result,_xlfn.XLOOKUP($C57,'دیده بان بازار'!$A$5:$A$3994,'دیده بان بازار'!H$5:H$3994),IF(ISERROR(_xlpm.lookup_result),W57,_xlpm.lookup_result)),W57)</f>
        <v>10800</v>
      </c>
      <c r="H57" s="119">
        <f>IFERROR(_xlfn.LET(_xlpm.lookup_result,_xlfn.XLOOKUP($C57,'دیده بان بازار'!$A$5:$A$3994,'دیده بان بازار'!K$5:K$3994),IF(ISERROR(_xlpm.lookup_result),X57,_xlpm.lookup_result)),X57)</f>
        <v>10800</v>
      </c>
      <c r="I57" s="119">
        <f>IFERROR(_xlfn.LET(_xlpm.lookup_result,_xlfn.XLOOKUP($C57,'دیده بان بازار'!$A$5:$A$3994,'دیده بان بازار'!P$5:P$3994),IF(ISERROR(_xlpm.lookup_result),Y57,_xlpm.lookup_result)),Y57)</f>
        <v>1069</v>
      </c>
      <c r="J57" s="119">
        <f>IFERROR(_xlfn.LET(_xlpm.lookup_result,_xlfn.XLOOKUP($C57,'دیده بان بازار'!$A$5:$A$3994,'دیده بان بازار'!Q$5:Q$3994),IF(ISERROR(_xlpm.lookup_result),Z57,_xlpm.lookup_result)),Z57)</f>
        <v>10.1</v>
      </c>
      <c r="K57" s="1664">
        <f>_xlfn.XLOOKUP(C57,MOPFRA!$R$7:$R$56,MOPFRA!$T$7:$T$56,"")/1000</f>
        <v>26.549998559999999</v>
      </c>
      <c r="L57" s="1742">
        <f>_xlfn.XLOOKUP(C57,'MOPFRA Portfolio'!$P$8:$P$78,'MOPFRA Portfolio'!$AT$8:$AT$78,"")</f>
        <v>0</v>
      </c>
      <c r="M57" s="1665">
        <f>_xlfn.XLOOKUP(C57,'MOPFRA Portfolio'!$P$8:$P$78,'MOPFRA Portfolio'!$AU$8:$AU$78,"")</f>
        <v>0</v>
      </c>
      <c r="O57" s="1752" t="str">
        <f>IF(AND(Q57&lt;0,R57&lt;0,Q57&lt;R57),Q57-R57,"")</f>
        <v/>
      </c>
      <c r="P57" s="1753">
        <f t="shared" ref="P57:P100" si="19">IF(AND(Q57&gt;=0,R57&gt;=0,Q57&gt;R57),Q57-R57,"")</f>
        <v>0.41296702870613805</v>
      </c>
      <c r="Q57" s="1754">
        <f t="shared" si="12"/>
        <v>0.41296702870613805</v>
      </c>
      <c r="R57" s="1755">
        <f t="shared" si="13"/>
        <v>0</v>
      </c>
      <c r="S57" s="1753" t="str">
        <f>IF(AND(R57&gt;0,Q57&gt;0,R57&gt;Q57),R57-Q57,"")</f>
        <v/>
      </c>
      <c r="T57" s="1756" t="str">
        <f>IF(AND(R57&lt;0,Q57&lt;0,R57&lt;Q57),R57-Q57,"")</f>
        <v/>
      </c>
      <c r="U57" s="1614"/>
      <c r="V57" s="1614">
        <v>10200</v>
      </c>
      <c r="W57" s="1614">
        <v>10500</v>
      </c>
      <c r="X57" s="1614">
        <v>10490</v>
      </c>
      <c r="Y57" s="1614">
        <v>1069</v>
      </c>
      <c r="Z57" s="1614">
        <v>9.81</v>
      </c>
      <c r="AA57" s="1620">
        <v>25.812498599999998</v>
      </c>
      <c r="AB57" s="508">
        <v>0</v>
      </c>
      <c r="AC57" s="1621">
        <v>0</v>
      </c>
    </row>
    <row r="58" spans="1:29" ht="20" customHeight="1">
      <c r="A58" s="1614">
        <f>IFERROR(MATCH(C58,'دیده بان بازار'!$A$5:$A$3994,0 )+4,"Closed")</f>
        <v>2799</v>
      </c>
      <c r="B58" s="1652" t="s">
        <v>130</v>
      </c>
      <c r="C58" s="1652" t="s">
        <v>131</v>
      </c>
      <c r="D58" s="1618" t="str">
        <f>_xlfn.XLOOKUP(C58,MOPFRA!$R$7:$R$56,MOPFRA!$P$7:$P$56,"")</f>
        <v>KN</v>
      </c>
      <c r="E58" s="1614"/>
      <c r="F58" s="119">
        <f>IFERROR(_xlfn.LET(_xlpm.lookup_result,_xlfn.XLOOKUP($C58,'دیده بان بازار'!$A$5:$A$3994,'دیده بان بازار'!F$5:F$3994),IF(ISERROR(_xlpm.lookup_result),V58,_xlpm.lookup_result)),V58)</f>
        <v>3540</v>
      </c>
      <c r="G58" s="119">
        <f>IFERROR(_xlfn.LET(_xlpm.lookup_result,_xlfn.XLOOKUP($C58,'دیده بان بازار'!$A$5:$A$3994,'دیده بان بازار'!H$5:H$3994),IF(ISERROR(_xlpm.lookup_result),W58,_xlpm.lookup_result)),W58)</f>
        <v>3640</v>
      </c>
      <c r="H58" s="119">
        <f>IFERROR(_xlfn.LET(_xlpm.lookup_result,_xlfn.XLOOKUP($C58,'دیده بان بازار'!$A$5:$A$3994,'دیده بان بازار'!K$5:K$3994),IF(ISERROR(_xlpm.lookup_result),X58,_xlpm.lookup_result)),X58)</f>
        <v>3640</v>
      </c>
      <c r="I58" s="119">
        <f>IFERROR(_xlfn.LET(_xlpm.lookup_result,_xlfn.XLOOKUP($C58,'دیده بان بازار'!$A$5:$A$3994,'دیده بان بازار'!P$5:P$3994),IF(ISERROR(_xlpm.lookup_result),Y58,_xlpm.lookup_result)),Y58)</f>
        <v>612</v>
      </c>
      <c r="J58" s="119">
        <f>IFERROR(_xlfn.LET(_xlpm.lookup_result,_xlfn.XLOOKUP($C58,'دیده بان بازار'!$A$5:$A$3994,'دیده بان بازار'!Q$5:Q$3994),IF(ISERROR(_xlpm.lookup_result),Z58,_xlpm.lookup_result)),Z58)</f>
        <v>5.95</v>
      </c>
      <c r="K58" s="1664">
        <f>_xlfn.XLOOKUP(C58,MOPFRA!$R$7:$R$56,MOPFRA!$T$7:$T$56,"")/1000</f>
        <v>1.456</v>
      </c>
      <c r="L58" s="1742">
        <f>_xlfn.XLOOKUP(C58,'MOPFRA Portfolio'!$P$8:$P$78,'MOPFRA Portfolio'!$AT$8:$AT$78,"")</f>
        <v>0</v>
      </c>
      <c r="M58" s="1665">
        <f>_xlfn.XLOOKUP(C58,'MOPFRA Portfolio'!$P$8:$P$78,'MOPFRA Portfolio'!$AU$8:$AU$78,"")</f>
        <v>0</v>
      </c>
      <c r="O58" s="1752" t="str">
        <f t="shared" si="15"/>
        <v/>
      </c>
      <c r="P58" s="1753">
        <f t="shared" si="19"/>
        <v>2.2398212941252924E-2</v>
      </c>
      <c r="Q58" s="1754">
        <f t="shared" si="12"/>
        <v>2.2398212941252924E-2</v>
      </c>
      <c r="R58" s="1755">
        <f t="shared" si="13"/>
        <v>0</v>
      </c>
      <c r="S58" s="1753" t="str">
        <f t="shared" si="16"/>
        <v/>
      </c>
      <c r="T58" s="1756" t="str">
        <f t="shared" si="17"/>
        <v/>
      </c>
      <c r="U58" s="1614"/>
      <c r="V58" s="1614">
        <v>3440</v>
      </c>
      <c r="W58" s="1614">
        <v>3540</v>
      </c>
      <c r="X58" s="1614">
        <v>3540</v>
      </c>
      <c r="Y58" s="1614">
        <v>612</v>
      </c>
      <c r="Z58" s="1614">
        <v>5.78</v>
      </c>
      <c r="AA58" s="1620">
        <v>1.4159999999999999</v>
      </c>
      <c r="AB58" s="508">
        <v>0</v>
      </c>
      <c r="AC58" s="1621">
        <v>0</v>
      </c>
    </row>
    <row r="59" spans="1:29" ht="20" customHeight="1">
      <c r="A59" s="1614">
        <f>IFERROR(MATCH(C59,'دیده بان بازار'!$A$5:$A$3994,0 )+4,"Closed")</f>
        <v>1303</v>
      </c>
      <c r="B59" s="1652" t="s">
        <v>132</v>
      </c>
      <c r="C59" s="1652" t="s">
        <v>133</v>
      </c>
      <c r="D59" s="1618" t="str">
        <f>_xlfn.XLOOKUP(C59,MOPFRA!$R$7:$R$56,MOPFRA!$P$7:$P$56,"")</f>
        <v>KN</v>
      </c>
      <c r="E59" s="1614"/>
      <c r="F59" s="119">
        <f>IFERROR(_xlfn.LET(_xlpm.lookup_result,_xlfn.XLOOKUP($C59,'دیده بان بازار'!$A$5:$A$3994,'دیده بان بازار'!F$5:F$3994),IF(ISERROR(_xlpm.lookup_result),V59,_xlpm.lookup_result)),V59)</f>
        <v>4770</v>
      </c>
      <c r="G59" s="119">
        <f>IFERROR(_xlfn.LET(_xlpm.lookup_result,_xlfn.XLOOKUP($C59,'دیده بان بازار'!$A$5:$A$3994,'دیده بان بازار'!H$5:H$3994),IF(ISERROR(_xlpm.lookup_result),W59,_xlpm.lookup_result)),W59)</f>
        <v>4720</v>
      </c>
      <c r="H59" s="119">
        <f>IFERROR(_xlfn.LET(_xlpm.lookup_result,_xlfn.XLOOKUP($C59,'دیده بان بازار'!$A$5:$A$3994,'دیده بان بازار'!K$5:K$3994),IF(ISERROR(_xlpm.lookup_result),X59,_xlpm.lookup_result)),X59)</f>
        <v>4690</v>
      </c>
      <c r="I59" s="119">
        <f>IFERROR(_xlfn.LET(_xlpm.lookup_result,_xlfn.XLOOKUP($C59,'دیده بان بازار'!$A$5:$A$3994,'دیده بان بازار'!P$5:P$3994),IF(ISERROR(_xlpm.lookup_result),Y59,_xlpm.lookup_result)),Y59)</f>
        <v>742</v>
      </c>
      <c r="J59" s="119">
        <f>IFERROR(_xlfn.LET(_xlpm.lookup_result,_xlfn.XLOOKUP($C59,'دیده بان بازار'!$A$5:$A$3994,'دیده بان بازار'!Q$5:Q$3994),IF(ISERROR(_xlpm.lookup_result),Z59,_xlpm.lookup_result)),Z59)</f>
        <v>6.32</v>
      </c>
      <c r="K59" s="1664">
        <f>_xlfn.XLOOKUP(C59,MOPFRA!$R$7:$R$56,MOPFRA!$T$7:$T$56,"")/1000</f>
        <v>7.7880000000000003</v>
      </c>
      <c r="L59" s="1742">
        <f>_xlfn.XLOOKUP(C59,'MOPFRA Portfolio'!$P$8:$P$78,'MOPFRA Portfolio'!$AT$8:$AT$78,"")</f>
        <v>0</v>
      </c>
      <c r="M59" s="1665">
        <f>_xlfn.XLOOKUP(C59,'MOPFRA Portfolio'!$P$8:$P$78,'MOPFRA Portfolio'!$AU$8:$AU$78,"")</f>
        <v>0</v>
      </c>
      <c r="O59" s="1752" t="str">
        <f>IF(AND(Q59&lt;0,R59&lt;0,Q59&lt;R59),Q59-R59,"")</f>
        <v/>
      </c>
      <c r="P59" s="1753">
        <f t="shared" si="19"/>
        <v>2.7717788514800525E-2</v>
      </c>
      <c r="Q59" s="1754">
        <f t="shared" si="12"/>
        <v>2.7717788514800525E-2</v>
      </c>
      <c r="R59" s="1755">
        <f t="shared" si="13"/>
        <v>0</v>
      </c>
      <c r="S59" s="1753" t="str">
        <f>IF(AND(R59&gt;0,Q59&gt;0,R59&gt;Q59),R59-Q59,"")</f>
        <v/>
      </c>
      <c r="T59" s="1756" t="str">
        <f>IF(AND(R59&lt;0,Q59&lt;0,R59&lt;Q59),R59-Q59,"")</f>
        <v/>
      </c>
      <c r="U59" s="1614"/>
      <c r="V59" s="1614">
        <v>4780</v>
      </c>
      <c r="W59" s="1614">
        <v>4690</v>
      </c>
      <c r="X59" s="1614">
        <v>4770</v>
      </c>
      <c r="Y59" s="1614">
        <v>742</v>
      </c>
      <c r="Z59" s="1614">
        <v>6.43</v>
      </c>
      <c r="AA59" s="1620">
        <v>7.7385000000000002</v>
      </c>
      <c r="AB59" s="508">
        <v>0</v>
      </c>
      <c r="AC59" s="1621">
        <v>0</v>
      </c>
    </row>
    <row r="60" spans="1:29" ht="20" customHeight="1">
      <c r="A60" s="1614">
        <f>IFERROR(MATCH(C60,'دیده بان بازار'!$A$5:$A$3994,0 )+4,"Closed")</f>
        <v>500</v>
      </c>
      <c r="B60" s="1652" t="s">
        <v>134</v>
      </c>
      <c r="C60" s="1652" t="s">
        <v>135</v>
      </c>
      <c r="D60" s="1618" t="str">
        <f>_xlfn.XLOOKUP(C60,MOPFRA!$R$7:$R$56,MOPFRA!$P$7:$P$56,"")</f>
        <v>KM</v>
      </c>
      <c r="E60" s="1614"/>
      <c r="F60" s="119">
        <f>IFERROR(_xlfn.LET(_xlpm.lookup_result,_xlfn.XLOOKUP($C60,'دیده بان بازار'!$A$5:$A$3994,'دیده بان بازار'!F$5:F$3994),IF(ISERROR(_xlpm.lookup_result),V60,_xlpm.lookup_result)),V60)</f>
        <v>13680</v>
      </c>
      <c r="G60" s="119">
        <f>IFERROR(_xlfn.LET(_xlpm.lookup_result,_xlfn.XLOOKUP($C60,'دیده بان بازار'!$A$5:$A$3994,'دیده بان بازار'!H$5:H$3994),IF(ISERROR(_xlpm.lookup_result),W60,_xlpm.lookup_result)),W60)</f>
        <v>14060</v>
      </c>
      <c r="H60" s="119">
        <f>IFERROR(_xlfn.LET(_xlpm.lookup_result,_xlfn.XLOOKUP($C60,'دیده بان بازار'!$A$5:$A$3994,'دیده بان بازار'!K$5:K$3994),IF(ISERROR(_xlpm.lookup_result),X60,_xlpm.lookup_result)),X60)</f>
        <v>14050</v>
      </c>
      <c r="I60" s="119">
        <f>IFERROR(_xlfn.LET(_xlpm.lookup_result,_xlfn.XLOOKUP($C60,'دیده بان بازار'!$A$5:$A$3994,'دیده بان بازار'!P$5:P$3994),IF(ISERROR(_xlpm.lookup_result),Y60,_xlpm.lookup_result)),Y60)</f>
        <v>1506</v>
      </c>
      <c r="J60" s="119">
        <f>IFERROR(_xlfn.LET(_xlpm.lookup_result,_xlfn.XLOOKUP($C60,'دیده بان بازار'!$A$5:$A$3994,'دیده بان بازار'!Q$5:Q$3994),IF(ISERROR(_xlpm.lookup_result),Z60,_xlpm.lookup_result)),Z60)</f>
        <v>9.33</v>
      </c>
      <c r="K60" s="1664">
        <f>_xlfn.XLOOKUP(C60,MOPFRA!$R$7:$R$56,MOPFRA!$T$7:$T$56,"")/1000</f>
        <v>7.8736000000000006</v>
      </c>
      <c r="L60" s="1742">
        <f>_xlfn.XLOOKUP(C60,'MOPFRA Portfolio'!$P$8:$P$78,'MOPFRA Portfolio'!$AT$8:$AT$78,"")</f>
        <v>0</v>
      </c>
      <c r="M60" s="1665">
        <f>_xlfn.XLOOKUP(C60,'MOPFRA Portfolio'!$P$8:$P$78,'MOPFRA Portfolio'!$AU$8:$AU$78,"")</f>
        <v>0</v>
      </c>
      <c r="O60" s="1752"/>
      <c r="P60" s="1753">
        <f t="shared" si="19"/>
        <v>9.0936744541487216E-2</v>
      </c>
      <c r="Q60" s="1754">
        <f t="shared" si="12"/>
        <v>9.0936744541487216E-2</v>
      </c>
      <c r="R60" s="1755">
        <f t="shared" si="13"/>
        <v>0</v>
      </c>
      <c r="S60" s="1753"/>
      <c r="T60" s="1756"/>
      <c r="U60" s="1614"/>
      <c r="V60" s="1614">
        <v>13370</v>
      </c>
      <c r="W60" s="1614">
        <v>13770</v>
      </c>
      <c r="X60" s="1614">
        <v>13680</v>
      </c>
      <c r="Y60" s="1614">
        <v>1506</v>
      </c>
      <c r="Z60" s="1614">
        <v>9.08</v>
      </c>
      <c r="AA60" s="1620">
        <v>7.7111999999999998</v>
      </c>
      <c r="AB60" s="508">
        <v>0</v>
      </c>
      <c r="AC60" s="1621">
        <v>0</v>
      </c>
    </row>
    <row r="61" spans="1:29" ht="20" customHeight="1">
      <c r="A61" s="1614">
        <f>IFERROR(MATCH(C61,'دیده بان بازار'!$A$5:$A$3994,0 )+4,"Closed")</f>
        <v>2153</v>
      </c>
      <c r="B61" s="1652" t="s">
        <v>136</v>
      </c>
      <c r="C61" s="1652" t="s">
        <v>137</v>
      </c>
      <c r="D61" s="1618" t="str">
        <f>_xlfn.XLOOKUP(C61,MOPFRA!$R$7:$R$56,MOPFRA!$P$7:$P$56,"")</f>
        <v>KM</v>
      </c>
      <c r="E61" s="1614"/>
      <c r="F61" s="119">
        <f>IFERROR(_xlfn.LET(_xlpm.lookup_result,_xlfn.XLOOKUP($C61,'دیده بان بازار'!$A$5:$A$3994,'دیده بان بازار'!F$5:F$3994),IF(ISERROR(_xlpm.lookup_result),V61,_xlpm.lookup_result)),V61)</f>
        <v>2328</v>
      </c>
      <c r="G61" s="119">
        <f>IFERROR(_xlfn.LET(_xlpm.lookup_result,_xlfn.XLOOKUP($C61,'دیده بان بازار'!$A$5:$A$3994,'دیده بان بازار'!H$5:H$3994),IF(ISERROR(_xlpm.lookup_result),W61,_xlpm.lookup_result)),W61)</f>
        <v>2397</v>
      </c>
      <c r="H61" s="119">
        <f>IFERROR(_xlfn.LET(_xlpm.lookup_result,_xlfn.XLOOKUP($C61,'دیده بان بازار'!$A$5:$A$3994,'دیده بان بازار'!K$5:K$3994),IF(ISERROR(_xlpm.lookup_result),X61,_xlpm.lookup_result)),X61)</f>
        <v>2397</v>
      </c>
      <c r="I61" s="119">
        <f>IFERROR(_xlfn.LET(_xlpm.lookup_result,_xlfn.XLOOKUP($C61,'دیده بان بازار'!$A$5:$A$3994,'دیده بان بازار'!P$5:P$3994),IF(ISERROR(_xlpm.lookup_result),Y61,_xlpm.lookup_result)),Y61)</f>
        <v>288</v>
      </c>
      <c r="J61" s="119">
        <f>IFERROR(_xlfn.LET(_xlpm.lookup_result,_xlfn.XLOOKUP($C61,'دیده بان بازار'!$A$5:$A$3994,'دیده بان بازار'!Q$5:Q$3994),IF(ISERROR(_xlpm.lookup_result),Z61,_xlpm.lookup_result)),Z61)</f>
        <v>8.32</v>
      </c>
      <c r="K61" s="1664">
        <f>_xlfn.XLOOKUP(C61,MOPFRA!$R$7:$R$56,MOPFRA!$T$7:$T$56,"")/1000</f>
        <v>136.98854999999998</v>
      </c>
      <c r="L61" s="1742">
        <f>_xlfn.XLOOKUP(C61,'MOPFRA Portfolio'!$P$8:$P$78,'MOPFRA Portfolio'!$AT$8:$AT$78,"")</f>
        <v>1300000</v>
      </c>
      <c r="M61" s="1665">
        <f>_xlfn.XLOOKUP(C61,'MOPFRA Portfolio'!$P$8:$P$78,'MOPFRA Portfolio'!$AU$8:$AU$78,"")</f>
        <v>308867.83199999999</v>
      </c>
      <c r="O61" s="1752" t="str">
        <f t="shared" si="15"/>
        <v/>
      </c>
      <c r="P61" s="1753">
        <f t="shared" si="19"/>
        <v>1.3500420559982624</v>
      </c>
      <c r="Q61" s="1754">
        <f t="shared" si="12"/>
        <v>2.1760983783074113</v>
      </c>
      <c r="R61" s="1755">
        <f t="shared" si="13"/>
        <v>0.82605632230914883</v>
      </c>
      <c r="S61" s="1753" t="str">
        <f t="shared" si="16"/>
        <v/>
      </c>
      <c r="T61" s="1756" t="str">
        <f t="shared" si="17"/>
        <v/>
      </c>
      <c r="U61" s="1614"/>
      <c r="V61" s="1614">
        <v>2262</v>
      </c>
      <c r="W61" s="1614">
        <v>2329</v>
      </c>
      <c r="X61" s="1614">
        <v>2328</v>
      </c>
      <c r="Y61" s="1614">
        <v>288</v>
      </c>
      <c r="Z61" s="1614">
        <v>8.08</v>
      </c>
      <c r="AA61" s="1620">
        <v>133.10235</v>
      </c>
      <c r="AB61" s="508">
        <v>1300000</v>
      </c>
      <c r="AC61" s="1621">
        <v>300105.62400000001</v>
      </c>
    </row>
    <row r="62" spans="1:29" ht="20" customHeight="1">
      <c r="A62" s="1614">
        <f>IFERROR(MATCH(C62,'دیده بان بازار'!$A$5:$A$3994,0 )+4,"Closed")</f>
        <v>2677</v>
      </c>
      <c r="B62" s="1652" t="s">
        <v>138</v>
      </c>
      <c r="C62" s="1652" t="s">
        <v>139</v>
      </c>
      <c r="D62" s="1618" t="str">
        <f>_xlfn.XLOOKUP(C62,MOPFRA!$R$7:$R$56,MOPFRA!$P$7:$P$56,"")</f>
        <v>PAB</v>
      </c>
      <c r="E62" s="1614"/>
      <c r="F62" s="119">
        <f>IFERROR(_xlfn.LET(_xlpm.lookup_result,_xlfn.XLOOKUP($C62,'دیده بان بازار'!$A$5:$A$3994,'دیده بان بازار'!F$5:F$3994),IF(ISERROR(_xlpm.lookup_result),V62,_xlpm.lookup_result)),V62)</f>
        <v>10690</v>
      </c>
      <c r="G62" s="119">
        <f>IFERROR(_xlfn.LET(_xlpm.lookup_result,_xlfn.XLOOKUP($C62,'دیده بان بازار'!$A$5:$A$3994,'دیده بان بازار'!H$5:H$3994),IF(ISERROR(_xlpm.lookup_result),W62,_xlpm.lookup_result)),W62)</f>
        <v>11010</v>
      </c>
      <c r="H62" s="119">
        <f>IFERROR(_xlfn.LET(_xlpm.lookup_result,_xlfn.XLOOKUP($C62,'دیده بان بازار'!$A$5:$A$3994,'دیده بان بازار'!K$5:K$3994),IF(ISERROR(_xlpm.lookup_result),X62,_xlpm.lookup_result)),X62)</f>
        <v>11010</v>
      </c>
      <c r="I62" s="119">
        <f>IFERROR(_xlfn.LET(_xlpm.lookup_result,_xlfn.XLOOKUP($C62,'دیده بان بازار'!$A$5:$A$3994,'دیده بان بازار'!P$5:P$3994),IF(ISERROR(_xlpm.lookup_result),Y62,_xlpm.lookup_result)),Y62)</f>
        <v>2884</v>
      </c>
      <c r="J62" s="119">
        <f>IFERROR(_xlfn.LET(_xlpm.lookup_result,_xlfn.XLOOKUP($C62,'دیده بان بازار'!$A$5:$A$3994,'دیده بان بازار'!Q$5:Q$3994),IF(ISERROR(_xlpm.lookup_result),Z62,_xlpm.lookup_result)),Z62)</f>
        <v>3.82</v>
      </c>
      <c r="K62" s="1664">
        <f>_xlfn.XLOOKUP(C62,MOPFRA!$R$7:$R$56,MOPFRA!$T$7:$T$56,"")/1000</f>
        <v>11.01</v>
      </c>
      <c r="L62" s="1742">
        <f>_xlfn.XLOOKUP(C62,'MOPFRA Portfolio'!$P$8:$P$78,'MOPFRA Portfolio'!$AT$8:$AT$78,"")</f>
        <v>750000</v>
      </c>
      <c r="M62" s="1665">
        <f>_xlfn.XLOOKUP(C62,'MOPFRA Portfolio'!$P$8:$P$78,'MOPFRA Portfolio'!$AU$8:$AU$78,"")</f>
        <v>818483.4</v>
      </c>
      <c r="O62" s="1752" t="str">
        <f t="shared" si="15"/>
        <v/>
      </c>
      <c r="P62" s="1753" t="str">
        <f t="shared" si="19"/>
        <v/>
      </c>
      <c r="Q62" s="1754">
        <f t="shared" si="12"/>
        <v>0.17918570353002339</v>
      </c>
      <c r="R62" s="1755">
        <f t="shared" si="13"/>
        <v>2.2426868478981499</v>
      </c>
      <c r="S62" s="1753">
        <f t="shared" si="16"/>
        <v>2.0635011443681264</v>
      </c>
      <c r="T62" s="1756" t="str">
        <f t="shared" si="17"/>
        <v/>
      </c>
      <c r="U62" s="1614"/>
      <c r="V62" s="1614">
        <v>10380</v>
      </c>
      <c r="W62" s="1614">
        <v>10690</v>
      </c>
      <c r="X62" s="1614">
        <v>10690</v>
      </c>
      <c r="Y62" s="1614">
        <v>2884</v>
      </c>
      <c r="Z62" s="1614">
        <v>3.71</v>
      </c>
      <c r="AA62" s="1620">
        <v>10.69</v>
      </c>
      <c r="AB62" s="508">
        <v>750000</v>
      </c>
      <c r="AC62" s="1621">
        <v>794694.6</v>
      </c>
    </row>
    <row r="63" spans="1:29" ht="20" customHeight="1">
      <c r="A63" s="1614">
        <f>IFERROR(MATCH(C63,'دیده بان بازار'!$A$5:$A$3994,0 )+4,"Closed")</f>
        <v>2318</v>
      </c>
      <c r="B63" s="1652" t="s">
        <v>140</v>
      </c>
      <c r="C63" s="1652" t="s">
        <v>141</v>
      </c>
      <c r="D63" s="1618" t="str">
        <f>_xlfn.XLOOKUP(C63,MOPFRA!$R$7:$R$56,MOPFRA!$P$7:$P$56,"")</f>
        <v>PVC</v>
      </c>
      <c r="E63" s="1614"/>
      <c r="F63" s="119">
        <f>IFERROR(_xlfn.LET(_xlpm.lookup_result,_xlfn.XLOOKUP($C63,'دیده بان بازار'!$A$5:$A$3994,'دیده بان بازار'!F$5:F$3994),IF(ISERROR(_xlpm.lookup_result),V63,_xlpm.lookup_result)),V63)</f>
        <v>45260</v>
      </c>
      <c r="G63" s="119">
        <f>IFERROR(_xlfn.LET(_xlpm.lookup_result,_xlfn.XLOOKUP($C63,'دیده بان بازار'!$A$5:$A$3994,'دیده بان بازار'!H$5:H$3994),IF(ISERROR(_xlpm.lookup_result),W63,_xlpm.lookup_result)),W63)</f>
        <v>46610</v>
      </c>
      <c r="H63" s="119">
        <f>IFERROR(_xlfn.LET(_xlpm.lookup_result,_xlfn.XLOOKUP($C63,'دیده بان بازار'!$A$5:$A$3994,'دیده بان بازار'!K$5:K$3994),IF(ISERROR(_xlpm.lookup_result),X63,_xlpm.lookup_result)),X63)</f>
        <v>46590</v>
      </c>
      <c r="I63" s="119">
        <f>IFERROR(_xlfn.LET(_xlpm.lookup_result,_xlfn.XLOOKUP($C63,'دیده بان بازار'!$A$5:$A$3994,'دیده بان بازار'!P$5:P$3994),IF(ISERROR(_xlpm.lookup_result),Y63,_xlpm.lookup_result)),Y63)</f>
        <v>3275</v>
      </c>
      <c r="J63" s="119">
        <f>IFERROR(_xlfn.LET(_xlpm.lookup_result,_xlfn.XLOOKUP($C63,'دیده بان بازار'!$A$5:$A$3994,'دیده بان بازار'!Q$5:Q$3994),IF(ISERROR(_xlpm.lookup_result),Z63,_xlpm.lookup_result)),Z63)</f>
        <v>14.23</v>
      </c>
      <c r="K63" s="1664">
        <f>_xlfn.XLOOKUP(C63,MOPFRA!$R$7:$R$56,MOPFRA!$T$7:$T$56,"")/1000</f>
        <v>55.932000000000002</v>
      </c>
      <c r="L63" s="1742">
        <f>_xlfn.XLOOKUP(C63,'MOPFRA Portfolio'!$P$8:$P$78,'MOPFRA Portfolio'!$AT$8:$AT$78,"")</f>
        <v>0</v>
      </c>
      <c r="M63" s="1665">
        <f>_xlfn.XLOOKUP(C63,'MOPFRA Portfolio'!$P$8:$P$78,'MOPFRA Portfolio'!$AU$8:$AU$78,"")</f>
        <v>0</v>
      </c>
      <c r="O63" s="1752"/>
      <c r="P63" s="1753"/>
      <c r="Q63" s="1754">
        <f t="shared" si="12"/>
        <v>0.88024976859124071</v>
      </c>
      <c r="R63" s="1755">
        <f t="shared" si="13"/>
        <v>0</v>
      </c>
      <c r="S63" s="1753"/>
      <c r="T63" s="1756"/>
      <c r="U63" s="1614"/>
      <c r="V63" s="1614">
        <v>43990</v>
      </c>
      <c r="W63" s="1614">
        <v>45300</v>
      </c>
      <c r="X63" s="1614">
        <v>45260</v>
      </c>
      <c r="Y63" s="1614">
        <v>3275</v>
      </c>
      <c r="Z63" s="1614">
        <v>13.82</v>
      </c>
      <c r="AA63" s="1620">
        <v>54.36</v>
      </c>
      <c r="AB63" s="508">
        <v>0</v>
      </c>
      <c r="AC63" s="1621">
        <v>0</v>
      </c>
    </row>
    <row r="64" spans="1:29" ht="20" customHeight="1">
      <c r="A64" s="1614">
        <f>IFERROR(MATCH(C64,'دیده بان بازار'!$A$5:$A$3994,0 )+4,"Closed")</f>
        <v>163</v>
      </c>
      <c r="B64" s="1652" t="s">
        <v>142</v>
      </c>
      <c r="C64" s="1652" t="s">
        <v>143</v>
      </c>
      <c r="D64" s="1618" t="str">
        <f>_xlfn.XLOOKUP(C64,MOPFRA!$R$7:$R$56,MOPFRA!$P$7:$P$56,"")</f>
        <v>PUR</v>
      </c>
      <c r="E64" s="1614"/>
      <c r="F64" s="119">
        <f>IFERROR(_xlfn.LET(_xlpm.lookup_result,_xlfn.XLOOKUP($C64,'دیده بان بازار'!$A$5:$A$3994,'دیده بان بازار'!F$5:F$3994),IF(ISERROR(_xlpm.lookup_result),V64,_xlpm.lookup_result)),V64)</f>
        <v>10620</v>
      </c>
      <c r="G64" s="119">
        <f>IFERROR(_xlfn.LET(_xlpm.lookup_result,_xlfn.XLOOKUP($C64,'دیده بان بازار'!$A$5:$A$3994,'دیده بان بازار'!H$5:H$3994),IF(ISERROR(_xlpm.lookup_result),W64,_xlpm.lookup_result)),W64)</f>
        <v>10930</v>
      </c>
      <c r="H64" s="119">
        <f>IFERROR(_xlfn.LET(_xlpm.lookup_result,_xlfn.XLOOKUP($C64,'دیده بان بازار'!$A$5:$A$3994,'دیده بان بازار'!K$5:K$3994),IF(ISERROR(_xlpm.lookup_result),X64,_xlpm.lookup_result)),X64)</f>
        <v>10930</v>
      </c>
      <c r="I64" s="119">
        <f>IFERROR(_xlfn.LET(_xlpm.lookup_result,_xlfn.XLOOKUP($C64,'دیده بان بازار'!$A$5:$A$3994,'دیده بان بازار'!P$5:P$3994),IF(ISERROR(_xlpm.lookup_result),Y64,_xlpm.lookup_result)),Y64)</f>
        <v>1879</v>
      </c>
      <c r="J64" s="119">
        <f>IFERROR(_xlfn.LET(_xlpm.lookup_result,_xlfn.XLOOKUP($C64,'دیده بان بازار'!$A$5:$A$3994,'دیده بان بازار'!Q$5:Q$3994),IF(ISERROR(_xlpm.lookup_result),Z64,_xlpm.lookup_result)),Z64)</f>
        <v>5.82</v>
      </c>
      <c r="K64" s="1664">
        <f>_xlfn.XLOOKUP(C64,MOPFRA!$R$7:$R$56,MOPFRA!$T$7:$T$56,"")/1000</f>
        <v>255.29507039999999</v>
      </c>
      <c r="L64" s="1742">
        <f>_xlfn.XLOOKUP(C64,'MOPFRA Portfolio'!$P$8:$P$78,'MOPFRA Portfolio'!$AT$8:$AT$78,"")</f>
        <v>210000</v>
      </c>
      <c r="M64" s="1665">
        <f>_xlfn.XLOOKUP(C64,'MOPFRA Portfolio'!$P$8:$P$78,'MOPFRA Portfolio'!$AU$8:$AU$78,"")</f>
        <v>227510.136</v>
      </c>
      <c r="O64" s="1752" t="str">
        <f t="shared" si="15"/>
        <v/>
      </c>
      <c r="P64" s="1753">
        <f t="shared" si="19"/>
        <v>3.4461715090632445</v>
      </c>
      <c r="Q64" s="1754">
        <f t="shared" si="12"/>
        <v>4.0545003165556164</v>
      </c>
      <c r="R64" s="1755">
        <f t="shared" si="13"/>
        <v>0.60832880749237195</v>
      </c>
      <c r="S64" s="1753" t="str">
        <f t="shared" si="16"/>
        <v/>
      </c>
      <c r="T64" s="1756" t="str">
        <f t="shared" si="17"/>
        <v/>
      </c>
      <c r="U64" s="1614"/>
      <c r="V64" s="1614">
        <v>10320</v>
      </c>
      <c r="W64" s="1614">
        <v>10620</v>
      </c>
      <c r="X64" s="1614">
        <v>10620</v>
      </c>
      <c r="Y64" s="1614">
        <v>1879</v>
      </c>
      <c r="Z64" s="1614">
        <v>5.65</v>
      </c>
      <c r="AA64" s="1620">
        <v>248.0543136</v>
      </c>
      <c r="AB64" s="508">
        <v>210000</v>
      </c>
      <c r="AC64" s="1621">
        <v>221057.424</v>
      </c>
    </row>
    <row r="65" spans="1:30" ht="20" customHeight="1">
      <c r="A65" s="1614">
        <f>IFERROR(MATCH(C65,'دیده بان بازار'!$A$5:$A$3994,0 )+4,"Closed")</f>
        <v>2219</v>
      </c>
      <c r="B65" s="1652" t="s">
        <v>144</v>
      </c>
      <c r="C65" s="1652" t="s">
        <v>145</v>
      </c>
      <c r="D65" s="1618" t="str">
        <f>_xlfn.XLOOKUP(C65,MOPFRA!$R$7:$R$56,MOPFRA!$P$7:$P$56,"")</f>
        <v>PUR</v>
      </c>
      <c r="E65" s="1614"/>
      <c r="F65" s="119">
        <f>IFERROR(_xlfn.LET(_xlpm.lookup_result,_xlfn.XLOOKUP($C65,'دیده بان بازار'!$A$5:$A$3994,'دیده بان بازار'!F$5:F$3994),IF(ISERROR(_xlpm.lookup_result),V65,_xlpm.lookup_result)),V65)</f>
        <v>62800</v>
      </c>
      <c r="G65" s="119">
        <f>IFERROR(_xlfn.LET(_xlpm.lookup_result,_xlfn.XLOOKUP($C65,'دیده بان بازار'!$A$5:$A$3994,'دیده بان بازار'!H$5:H$3994),IF(ISERROR(_xlpm.lookup_result),W65,_xlpm.lookup_result)),W65)</f>
        <v>64680</v>
      </c>
      <c r="H65" s="119">
        <f>IFERROR(_xlfn.LET(_xlpm.lookup_result,_xlfn.XLOOKUP($C65,'دیده بان بازار'!$A$5:$A$3994,'دیده بان بازار'!K$5:K$3994),IF(ISERROR(_xlpm.lookup_result),X65,_xlpm.lookup_result)),X65)</f>
        <v>64680</v>
      </c>
      <c r="I65" s="119">
        <f>IFERROR(_xlfn.LET(_xlpm.lookup_result,_xlfn.XLOOKUP($C65,'دیده بان بازار'!$A$5:$A$3994,'دیده بان بازار'!P$5:P$3994),IF(ISERROR(_xlpm.lookup_result),Y65,_xlpm.lookup_result)),Y65)</f>
        <v>9681</v>
      </c>
      <c r="J65" s="119">
        <f>IFERROR(_xlfn.LET(_xlpm.lookup_result,_xlfn.XLOOKUP($C65,'دیده بان بازار'!$A$5:$A$3994,'دیده بان بازار'!Q$5:Q$3994),IF(ISERROR(_xlpm.lookup_result),Z65,_xlpm.lookup_result)),Z65)</f>
        <v>6.68</v>
      </c>
      <c r="K65" s="1664">
        <f>_xlfn.XLOOKUP(C65,MOPFRA!$R$7:$R$56,MOPFRA!$T$7:$T$56,"")/1000</f>
        <v>98.960399999999993</v>
      </c>
      <c r="L65" s="1742">
        <f>_xlfn.XLOOKUP(C65,'MOPFRA Portfolio'!$P$8:$P$78,'MOPFRA Portfolio'!$AT$8:$AT$78,"")</f>
        <v>20000</v>
      </c>
      <c r="M65" s="1665">
        <f>_xlfn.XLOOKUP(C65,'MOPFRA Portfolio'!$P$8:$P$78,'MOPFRA Portfolio'!$AU$8:$AU$78,"")</f>
        <v>128221.632</v>
      </c>
      <c r="O65" s="1752" t="str">
        <f t="shared" si="15"/>
        <v/>
      </c>
      <c r="P65" s="1753">
        <f>IF(AND(Q65&gt;=0,R65&gt;=0,Q65&gt;R65),Q65-R65,"")</f>
        <v>1.2526028090246675</v>
      </c>
      <c r="Q65" s="1754">
        <f t="shared" si="12"/>
        <v>1.6020881761554635</v>
      </c>
      <c r="R65" s="1755">
        <f t="shared" si="13"/>
        <v>0.34948536713079603</v>
      </c>
      <c r="S65" s="1753" t="str">
        <f t="shared" si="16"/>
        <v/>
      </c>
      <c r="T65" s="1756" t="str">
        <f t="shared" si="17"/>
        <v/>
      </c>
      <c r="U65" s="1614"/>
      <c r="V65" s="1614">
        <v>60990</v>
      </c>
      <c r="W65" s="1614">
        <v>62810</v>
      </c>
      <c r="X65" s="1614">
        <v>62800</v>
      </c>
      <c r="Y65" s="1614">
        <v>9681</v>
      </c>
      <c r="Z65" s="1614">
        <v>6.49</v>
      </c>
      <c r="AA65" s="1620">
        <v>96.099299999999999</v>
      </c>
      <c r="AB65" s="508">
        <v>20000</v>
      </c>
      <c r="AC65" s="1621">
        <v>124514.54399999999</v>
      </c>
    </row>
    <row r="66" spans="1:30" ht="20" customHeight="1">
      <c r="A66" s="1614">
        <f>IFERROR(MATCH(C66,'دیده بان بازار'!$A$5:$A$3994,0 )+4,"Closed")</f>
        <v>2386</v>
      </c>
      <c r="B66" s="1652" t="s">
        <v>146</v>
      </c>
      <c r="C66" s="1652" t="s">
        <v>147</v>
      </c>
      <c r="D66" s="1618" t="str">
        <f>_xlfn.XLOOKUP(C66,MOPFRA!$R$7:$R$56,MOPFRA!$P$7:$P$56,"")</f>
        <v>PEP</v>
      </c>
      <c r="E66" s="1614"/>
      <c r="F66" s="119">
        <f>IFERROR(_xlfn.LET(_xlpm.lookup_result,_xlfn.XLOOKUP($C66,'دیده بان بازار'!$A$5:$A$3994,'دیده بان بازار'!F$5:F$3994),IF(ISERROR(_xlpm.lookup_result),V66,_xlpm.lookup_result)),V66)</f>
        <v>28170</v>
      </c>
      <c r="G66" s="119">
        <f>IFERROR(_xlfn.LET(_xlpm.lookup_result,_xlfn.XLOOKUP($C66,'دیده بان بازار'!$A$5:$A$3994,'دیده بان بازار'!H$5:H$3994),IF(ISERROR(_xlpm.lookup_result),W66,_xlpm.lookup_result)),W66)</f>
        <v>29010</v>
      </c>
      <c r="H66" s="119">
        <f>IFERROR(_xlfn.LET(_xlpm.lookup_result,_xlfn.XLOOKUP($C66,'دیده بان بازار'!$A$5:$A$3994,'دیده بان بازار'!K$5:K$3994),IF(ISERROR(_xlpm.lookup_result),X66,_xlpm.lookup_result)),X66)</f>
        <v>29000</v>
      </c>
      <c r="I66" s="119">
        <f>IFERROR(_xlfn.LET(_xlpm.lookup_result,_xlfn.XLOOKUP($C66,'دیده بان بازار'!$A$5:$A$3994,'دیده بان بازار'!P$5:P$3994),IF(ISERROR(_xlpm.lookup_result),Y66,_xlpm.lookup_result)),Y66)</f>
        <v>4878</v>
      </c>
      <c r="J66" s="119">
        <f>IFERROR(_xlfn.LET(_xlpm.lookup_result,_xlfn.XLOOKUP($C66,'دیده بان بازار'!$A$5:$A$3994,'دیده بان بازار'!Q$5:Q$3994),IF(ISERROR(_xlpm.lookup_result),Z66,_xlpm.lookup_result)),Z66)</f>
        <v>5.95</v>
      </c>
      <c r="K66" s="1664">
        <f>_xlfn.XLOOKUP(C66,MOPFRA!$R$7:$R$56,MOPFRA!$T$7:$T$56,"")/1000</f>
        <v>99.732898800000001</v>
      </c>
      <c r="L66" s="1742">
        <f>_xlfn.XLOOKUP(C66,'MOPFRA Portfolio'!$P$8:$P$78,'MOPFRA Portfolio'!$AT$8:$AT$78,"")</f>
        <v>0</v>
      </c>
      <c r="M66" s="1665">
        <f>_xlfn.XLOOKUP(C66,'MOPFRA Portfolio'!$P$8:$P$78,'MOPFRA Portfolio'!$AU$8:$AU$78,"")</f>
        <v>0</v>
      </c>
      <c r="O66" s="1752" t="str">
        <f t="shared" si="15"/>
        <v/>
      </c>
      <c r="P66" s="1753">
        <f t="shared" si="19"/>
        <v>1.5977991423593447</v>
      </c>
      <c r="Q66" s="1754">
        <f t="shared" si="12"/>
        <v>1.5977991423593447</v>
      </c>
      <c r="R66" s="1755">
        <f t="shared" si="13"/>
        <v>0</v>
      </c>
      <c r="S66" s="1753" t="str">
        <f t="shared" si="16"/>
        <v/>
      </c>
      <c r="T66" s="1756" t="str">
        <f t="shared" si="17"/>
        <v/>
      </c>
      <c r="U66" s="1614"/>
      <c r="V66" s="1614">
        <v>27360</v>
      </c>
      <c r="W66" s="1614">
        <v>28180</v>
      </c>
      <c r="X66" s="1614">
        <v>28170</v>
      </c>
      <c r="Y66" s="1614">
        <v>4878</v>
      </c>
      <c r="Z66" s="1614">
        <v>5.77</v>
      </c>
      <c r="AA66" s="1620">
        <v>96.879458400000004</v>
      </c>
      <c r="AB66" s="508">
        <v>0</v>
      </c>
      <c r="AC66" s="1621">
        <v>0</v>
      </c>
    </row>
    <row r="67" spans="1:30" ht="20" customHeight="1">
      <c r="A67" s="1614">
        <f>IFERROR(MATCH(C67,'دیده بان بازار'!$A$5:$A$3994,0 )+4,"Closed")</f>
        <v>2437</v>
      </c>
      <c r="B67" s="1652" t="s">
        <v>148</v>
      </c>
      <c r="C67" s="1652" t="s">
        <v>149</v>
      </c>
      <c r="D67" s="1618" t="str">
        <f>_xlfn.XLOOKUP(C67,MOPFRA!$R$7:$R$56,MOPFRA!$P$7:$P$56,"")</f>
        <v>PEP</v>
      </c>
      <c r="E67" s="1614"/>
      <c r="F67" s="119">
        <f>IFERROR(_xlfn.LET(_xlpm.lookup_result,_xlfn.XLOOKUP($C67,'دیده بان بازار'!$A$5:$A$3994,'دیده بان بازار'!F$5:F$3994),IF(ISERROR(_xlpm.lookup_result),V67,_xlpm.lookup_result)),V67)</f>
        <v>19050</v>
      </c>
      <c r="G67" s="119">
        <f>IFERROR(_xlfn.LET(_xlpm.lookup_result,_xlfn.XLOOKUP($C67,'دیده بان بازار'!$A$5:$A$3994,'دیده بان بازار'!H$5:H$3994),IF(ISERROR(_xlpm.lookup_result),W67,_xlpm.lookup_result)),W67)</f>
        <v>19620</v>
      </c>
      <c r="H67" s="119">
        <f>IFERROR(_xlfn.LET(_xlpm.lookup_result,_xlfn.XLOOKUP($C67,'دیده بان بازار'!$A$5:$A$3994,'دیده بان بازار'!K$5:K$3994),IF(ISERROR(_xlpm.lookup_result),X67,_xlpm.lookup_result)),X67)</f>
        <v>19620</v>
      </c>
      <c r="I67" s="119">
        <f>IFERROR(_xlfn.LET(_xlpm.lookup_result,_xlfn.XLOOKUP($C67,'دیده بان بازار'!$A$5:$A$3994,'دیده بان بازار'!P$5:P$3994),IF(ISERROR(_xlpm.lookup_result),Y67,_xlpm.lookup_result)),Y67)</f>
        <v>3871</v>
      </c>
      <c r="J67" s="119">
        <f>IFERROR(_xlfn.LET(_xlpm.lookup_result,_xlfn.XLOOKUP($C67,'دیده بان بازار'!$A$5:$A$3994,'دیده بان بازار'!Q$5:Q$3994),IF(ISERROR(_xlpm.lookup_result),Z67,_xlpm.lookup_result)),Z67)</f>
        <v>5.07</v>
      </c>
      <c r="K67" s="1664">
        <f>_xlfn.XLOOKUP(C67,MOPFRA!$R$7:$R$56,MOPFRA!$T$7:$T$56,"")/1000</f>
        <v>33.353999999999999</v>
      </c>
      <c r="L67" s="1742">
        <f>_xlfn.XLOOKUP(C67,'MOPFRA Portfolio'!$P$8:$P$78,'MOPFRA Portfolio'!$AT$8:$AT$78,"")</f>
        <v>130000</v>
      </c>
      <c r="M67" s="1665">
        <f>_xlfn.XLOOKUP(C67,'MOPFRA Portfolio'!$P$8:$P$78,'MOPFRA Portfolio'!$AU$8:$AU$78,"")</f>
        <v>252815.47199999998</v>
      </c>
      <c r="O67" s="1752" t="str">
        <f>IF(AND(Q67&lt;0,R67&lt;0,Q67&lt;R67),Q67-R67,"")</f>
        <v/>
      </c>
      <c r="P67" s="1753" t="str">
        <f t="shared" si="19"/>
        <v/>
      </c>
      <c r="Q67" s="1754">
        <f t="shared" si="12"/>
        <v>0.45692354400156066</v>
      </c>
      <c r="R67" s="1755">
        <f t="shared" si="13"/>
        <v>0.58309858045351948</v>
      </c>
      <c r="S67" s="1753">
        <f>IF(AND(R67&gt;0,Q67&gt;0,R67&gt;Q67),R67-Q67,"")</f>
        <v>0.12617503645195882</v>
      </c>
      <c r="T67" s="1756" t="str">
        <f>IF(AND(R67&lt;0,Q67&lt;0,R67&lt;Q67),R67-Q67,"")</f>
        <v/>
      </c>
      <c r="U67" s="1614"/>
      <c r="V67" s="1614">
        <v>18590</v>
      </c>
      <c r="W67" s="1614">
        <v>19140</v>
      </c>
      <c r="X67" s="1614">
        <v>19050</v>
      </c>
      <c r="Y67" s="1614">
        <v>3871</v>
      </c>
      <c r="Z67" s="1614">
        <v>4.92</v>
      </c>
      <c r="AA67" s="1620">
        <v>32.537999999999997</v>
      </c>
      <c r="AB67" s="508">
        <v>130000</v>
      </c>
      <c r="AC67" s="1621">
        <v>246630.38399999999</v>
      </c>
    </row>
    <row r="68" spans="1:30" ht="20" customHeight="1">
      <c r="A68" s="1614">
        <f>IFERROR(MATCH(C68,'دیده بان بازار'!$A$5:$A$3994,0 )+4,"Closed")</f>
        <v>2825</v>
      </c>
      <c r="B68" s="1652" t="s">
        <v>150</v>
      </c>
      <c r="C68" s="1652" t="s">
        <v>151</v>
      </c>
      <c r="D68" s="1618" t="str">
        <f>_xlfn.XLOOKUP(C68,MOPFRA!$R$7:$R$56,MOPFRA!$P$7:$P$56,"")</f>
        <v>PEP</v>
      </c>
      <c r="E68" s="1614"/>
      <c r="F68" s="119">
        <f>IFERROR(_xlfn.LET(_xlpm.lookup_result,_xlfn.XLOOKUP($C68,'دیده بان بازار'!$A$5:$A$3994,'دیده بان بازار'!F$5:F$3994),IF(ISERROR(_xlpm.lookup_result),V68,_xlpm.lookup_result)),V68)</f>
        <v>54210</v>
      </c>
      <c r="G68" s="119">
        <f>IFERROR(_xlfn.LET(_xlpm.lookup_result,_xlfn.XLOOKUP($C68,'دیده بان بازار'!$A$5:$A$3994,'دیده بان بازار'!H$5:H$3994),IF(ISERROR(_xlpm.lookup_result),W68,_xlpm.lookup_result)),W68)</f>
        <v>55830</v>
      </c>
      <c r="H68" s="119">
        <f>IFERROR(_xlfn.LET(_xlpm.lookup_result,_xlfn.XLOOKUP($C68,'دیده بان بازار'!$A$5:$A$3994,'دیده بان بازار'!K$5:K$3994),IF(ISERROR(_xlpm.lookup_result),X68,_xlpm.lookup_result)),X68)</f>
        <v>55820</v>
      </c>
      <c r="I68" s="119">
        <f>IFERROR(_xlfn.LET(_xlpm.lookup_result,_xlfn.XLOOKUP($C68,'دیده بان بازار'!$A$5:$A$3994,'دیده بان بازار'!P$5:P$3994),IF(ISERROR(_xlpm.lookup_result),Y68,_xlpm.lookup_result)),Y68)</f>
        <v>9454</v>
      </c>
      <c r="J68" s="119">
        <f>IFERROR(_xlfn.LET(_xlpm.lookup_result,_xlfn.XLOOKUP($C68,'دیده بان بازار'!$A$5:$A$3994,'دیده بان بازار'!Q$5:Q$3994),IF(ISERROR(_xlpm.lookup_result),Z68,_xlpm.lookup_result)),Z68)</f>
        <v>5.9</v>
      </c>
      <c r="K68" s="1664">
        <f>_xlfn.XLOOKUP(C68,MOPFRA!$R$7:$R$56,MOPFRA!$T$7:$T$56,"")/1000</f>
        <v>128.40899999999999</v>
      </c>
      <c r="L68" s="1742">
        <f>_xlfn.XLOOKUP(C68,'MOPFRA Portfolio'!$P$8:$P$78,'MOPFRA Portfolio'!$AT$8:$AT$78,"")</f>
        <v>0</v>
      </c>
      <c r="M68" s="1665">
        <f>_xlfn.XLOOKUP(C68,'MOPFRA Portfolio'!$P$8:$P$78,'MOPFRA Portfolio'!$AU$8:$AU$78,"")</f>
        <v>0</v>
      </c>
      <c r="O68" s="1752" t="str">
        <f>IF(AND(Q68&lt;0,R68&lt;0,Q68&lt;R68),Q68-R68,"")</f>
        <v/>
      </c>
      <c r="P68" s="1753">
        <f t="shared" ref="P68" si="20">IF(AND(Q68&gt;=0,R68&gt;=0,Q68&gt;R68),Q68-R68,"")</f>
        <v>2.112151480360144</v>
      </c>
      <c r="Q68" s="1754">
        <f t="shared" si="12"/>
        <v>2.112151480360144</v>
      </c>
      <c r="R68" s="1755">
        <f t="shared" si="13"/>
        <v>0</v>
      </c>
      <c r="S68" s="1753" t="str">
        <f>IF(AND(R68&gt;0,Q68&gt;0,R68&gt;Q68),R68-Q68,"")</f>
        <v/>
      </c>
      <c r="T68" s="1756" t="str">
        <f>IF(AND(R68&lt;0,Q68&lt;0,R68&lt;Q68),R68-Q68,"")</f>
        <v/>
      </c>
      <c r="U68" s="1614"/>
      <c r="V68" s="1614">
        <v>52990</v>
      </c>
      <c r="W68" s="1614">
        <v>54190</v>
      </c>
      <c r="X68" s="1614">
        <v>54210</v>
      </c>
      <c r="Y68" s="1614">
        <v>9454</v>
      </c>
      <c r="Z68" s="1614">
        <v>5.73</v>
      </c>
      <c r="AA68" s="1620">
        <v>124.637</v>
      </c>
      <c r="AB68" s="508">
        <v>0</v>
      </c>
      <c r="AC68" s="1621">
        <v>0</v>
      </c>
      <c r="AD68">
        <v>0</v>
      </c>
    </row>
    <row r="69" spans="1:30" ht="20" customHeight="1">
      <c r="A69" s="1614">
        <f>IFERROR(MATCH(C69,'دیده بان بازار'!$A$5:$A$3994,0 )+4,"Closed")</f>
        <v>1015</v>
      </c>
      <c r="B69" s="1652" t="s">
        <v>152</v>
      </c>
      <c r="C69" s="1652" t="s">
        <v>153</v>
      </c>
      <c r="D69" s="1618" t="str">
        <f>_xlfn.XLOOKUP(C69,MOPFRA!$R$7:$R$56,MOPFRA!$P$7:$P$56,"")</f>
        <v>PET</v>
      </c>
      <c r="E69" s="1614"/>
      <c r="F69" s="119">
        <f>IFERROR(_xlfn.LET(_xlpm.lookup_result,_xlfn.XLOOKUP($C69,'دیده بان بازار'!$A$5:$A$3994,'دیده بان بازار'!F$5:F$3994),IF(ISERROR(_xlpm.lookup_result),V69,_xlpm.lookup_result)),V69)</f>
        <v>7820</v>
      </c>
      <c r="G69" s="119">
        <f>IFERROR(_xlfn.LET(_xlpm.lookup_result,_xlfn.XLOOKUP($C69,'دیده بان بازار'!$A$5:$A$3994,'دیده بان بازار'!H$5:H$3994),IF(ISERROR(_xlpm.lookup_result),W69,_xlpm.lookup_result)),W69)</f>
        <v>8050</v>
      </c>
      <c r="H69" s="119">
        <f>IFERROR(_xlfn.LET(_xlpm.lookup_result,_xlfn.XLOOKUP($C69,'دیده بان بازار'!$A$5:$A$3994,'دیده بان بازار'!K$5:K$3994),IF(ISERROR(_xlpm.lookup_result),X69,_xlpm.lookup_result)),X69)</f>
        <v>8020</v>
      </c>
      <c r="I69" s="119">
        <f>IFERROR(_xlfn.LET(_xlpm.lookup_result,_xlfn.XLOOKUP($C69,'دیده بان بازار'!$A$5:$A$3994,'دیده بان بازار'!P$5:P$3994),IF(ISERROR(_xlpm.lookup_result),Y69,_xlpm.lookup_result)),Y69)</f>
        <v>1099</v>
      </c>
      <c r="J69" s="119">
        <f>IFERROR(_xlfn.LET(_xlpm.lookup_result,_xlfn.XLOOKUP($C69,'دیده بان بازار'!$A$5:$A$3994,'دیده بان بازار'!Q$5:Q$3994),IF(ISERROR(_xlpm.lookup_result),Z69,_xlpm.lookup_result)),Z69)</f>
        <v>7.3</v>
      </c>
      <c r="K69" s="1664">
        <f>_xlfn.XLOOKUP(C69,MOPFRA!$R$7:$R$56,MOPFRA!$T$7:$T$56,"")/1000</f>
        <v>27.37</v>
      </c>
      <c r="L69" s="1742">
        <f>_xlfn.XLOOKUP(C69,'MOPFRA Portfolio'!$P$8:$P$78,'MOPFRA Portfolio'!$AT$8:$AT$78,"")</f>
        <v>0</v>
      </c>
      <c r="M69" s="1665">
        <f>_xlfn.XLOOKUP(C69,'MOPFRA Portfolio'!$P$8:$P$78,'MOPFRA Portfolio'!$AU$8:$AU$78,"")</f>
        <v>0</v>
      </c>
      <c r="O69" s="1752" t="str">
        <f t="shared" si="15"/>
        <v/>
      </c>
      <c r="P69" s="1753">
        <f t="shared" si="19"/>
        <v>0.41884658200142993</v>
      </c>
      <c r="Q69" s="1754">
        <f t="shared" si="12"/>
        <v>0.41884658200142993</v>
      </c>
      <c r="R69" s="1755">
        <f t="shared" si="13"/>
        <v>0</v>
      </c>
      <c r="S69" s="1753" t="str">
        <f t="shared" si="16"/>
        <v/>
      </c>
      <c r="T69" s="1756" t="str">
        <f t="shared" si="17"/>
        <v/>
      </c>
      <c r="U69" s="1614"/>
      <c r="V69" s="1614">
        <v>7610</v>
      </c>
      <c r="W69" s="1614">
        <v>7830</v>
      </c>
      <c r="X69" s="1614">
        <v>7820</v>
      </c>
      <c r="Y69" s="1614">
        <v>1099</v>
      </c>
      <c r="Z69" s="1614">
        <v>7.12</v>
      </c>
      <c r="AA69" s="1620">
        <v>26.622</v>
      </c>
      <c r="AB69" s="508">
        <v>0</v>
      </c>
      <c r="AC69" s="1621">
        <v>0</v>
      </c>
    </row>
    <row r="70" spans="1:30" ht="20" customHeight="1">
      <c r="A70" s="1614">
        <f>IFERROR(MATCH(C70,'دیده بان بازار'!$A$5:$A$3994,0 )+4,"Closed")</f>
        <v>1321</v>
      </c>
      <c r="B70" s="1652" t="s">
        <v>156</v>
      </c>
      <c r="C70" s="1652" t="s">
        <v>157</v>
      </c>
      <c r="D70" s="1618" t="str">
        <f>_xlfn.XLOOKUP(C70,MOPFRA!$R$7:$R$56,MOPFRA!$P$7:$P$56,"")</f>
        <v>PH</v>
      </c>
      <c r="E70" s="1614"/>
      <c r="F70" s="119">
        <f>IFERROR(_xlfn.LET(_xlpm.lookup_result,_xlfn.XLOOKUP($C70,'دیده بان بازار'!$A$5:$A$3994,'دیده بان بازار'!F$5:F$3994),IF(ISERROR(_xlpm.lookup_result),V70,_xlpm.lookup_result)),V70)</f>
        <v>12420</v>
      </c>
      <c r="G70" s="119">
        <f>IFERROR(_xlfn.LET(_xlpm.lookup_result,_xlfn.XLOOKUP($C70,'دیده بان بازار'!$A$5:$A$3994,'دیده بان بازار'!H$5:H$3994),IF(ISERROR(_xlpm.lookup_result),W70,_xlpm.lookup_result)),W70)</f>
        <v>12790</v>
      </c>
      <c r="H70" s="119">
        <f>IFERROR(_xlfn.LET(_xlpm.lookup_result,_xlfn.XLOOKUP($C70,'دیده بان بازار'!$A$5:$A$3994,'دیده بان بازار'!K$5:K$3994),IF(ISERROR(_xlpm.lookup_result),X70,_xlpm.lookup_result)),X70)</f>
        <v>12790</v>
      </c>
      <c r="I70" s="119">
        <f>IFERROR(_xlfn.LET(_xlpm.lookup_result,_xlfn.XLOOKUP($C70,'دیده بان بازار'!$A$5:$A$3994,'دیده بان بازار'!P$5:P$3994),IF(ISERROR(_xlpm.lookup_result),Y70,_xlpm.lookup_result)),Y70)</f>
        <v>1956</v>
      </c>
      <c r="J70" s="119">
        <f>IFERROR(_xlfn.LET(_xlpm.lookup_result,_xlfn.XLOOKUP($C70,'دیده بان بازار'!$A$5:$A$3994,'دیده بان بازار'!Q$5:Q$3994),IF(ISERROR(_xlpm.lookup_result),Z70,_xlpm.lookup_result)),Z70)</f>
        <v>6.54</v>
      </c>
      <c r="K70" s="1664">
        <f>_xlfn.XLOOKUP(C70,MOPFRA!$R$7:$R$56,MOPFRA!$T$7:$T$56,"")/1000</f>
        <v>11.774474</v>
      </c>
      <c r="L70" s="1742">
        <f>_xlfn.XLOOKUP(C70,'MOPFRA Portfolio'!$P$8:$P$78,'MOPFRA Portfolio'!$AT$8:$AT$78,"")</f>
        <v>0</v>
      </c>
      <c r="M70" s="1665">
        <f>_xlfn.XLOOKUP(C70,'MOPFRA Portfolio'!$P$8:$P$78,'MOPFRA Portfolio'!$AU$8:$AU$78,"")</f>
        <v>0</v>
      </c>
      <c r="O70" s="1752" t="str">
        <f t="shared" si="15"/>
        <v/>
      </c>
      <c r="P70" s="1753">
        <f t="shared" si="19"/>
        <v>0.18557815350345627</v>
      </c>
      <c r="Q70" s="1754">
        <f t="shared" si="12"/>
        <v>0.18557815350345627</v>
      </c>
      <c r="R70" s="1755">
        <f t="shared" ref="R70:R85" si="21">IFERROR((($AB70*$G70*0.9912*0.0001)-AC70)*100/ABS($AC$108),"")</f>
        <v>0</v>
      </c>
      <c r="S70" s="1753" t="str">
        <f t="shared" si="16"/>
        <v/>
      </c>
      <c r="T70" s="1756" t="str">
        <f t="shared" si="17"/>
        <v/>
      </c>
      <c r="U70" s="1614"/>
      <c r="V70" s="1614">
        <v>12070</v>
      </c>
      <c r="W70" s="1614">
        <v>12430</v>
      </c>
      <c r="X70" s="1614">
        <v>12420</v>
      </c>
      <c r="Y70" s="1614">
        <v>1956</v>
      </c>
      <c r="Z70" s="1614">
        <v>6.35</v>
      </c>
      <c r="AA70" s="1620">
        <v>11.443058000000001</v>
      </c>
      <c r="AB70" s="508">
        <v>0</v>
      </c>
      <c r="AC70" s="1621">
        <v>0</v>
      </c>
    </row>
    <row r="71" spans="1:30" ht="20" customHeight="1">
      <c r="A71" s="1614">
        <f>IFERROR(MATCH(C71,'دیده بان بازار'!$A$5:$A$3994,0 )+4,"Closed")</f>
        <v>159</v>
      </c>
      <c r="B71" s="1652" t="s">
        <v>158</v>
      </c>
      <c r="C71" s="1652" t="s">
        <v>159</v>
      </c>
      <c r="D71" s="1618" t="str">
        <f>_xlfn.XLOOKUP(C71,MOPFRA!$R$7:$R$56,MOPFRA!$P$7:$P$56,"")</f>
        <v>PH</v>
      </c>
      <c r="E71" s="1614"/>
      <c r="F71" s="119">
        <f>IFERROR(_xlfn.LET(_xlpm.lookup_result,_xlfn.XLOOKUP($C71,'دیده بان بازار'!$A$5:$A$3994,'دیده بان بازار'!F$5:F$3994),IF(ISERROR(_xlpm.lookup_result),V71,_xlpm.lookup_result)),V71)</f>
        <v>48010</v>
      </c>
      <c r="G71" s="119">
        <f>IFERROR(_xlfn.LET(_xlpm.lookup_result,_xlfn.XLOOKUP($C71,'دیده بان بازار'!$A$5:$A$3994,'دیده بان بازار'!H$5:H$3994),IF(ISERROR(_xlpm.lookup_result),W71,_xlpm.lookup_result)),W71)</f>
        <v>49450</v>
      </c>
      <c r="H71" s="119">
        <f>IFERROR(_xlfn.LET(_xlpm.lookup_result,_xlfn.XLOOKUP($C71,'دیده بان بازار'!$A$5:$A$3994,'دیده بان بازار'!K$5:K$3994),IF(ISERROR(_xlpm.lookup_result),X71,_xlpm.lookup_result)),X71)</f>
        <v>49450</v>
      </c>
      <c r="I71" s="119">
        <f>IFERROR(_xlfn.LET(_xlpm.lookup_result,_xlfn.XLOOKUP($C71,'دیده بان بازار'!$A$5:$A$3994,'دیده بان بازار'!P$5:P$3994),IF(ISERROR(_xlpm.lookup_result),Y71,_xlpm.lookup_result)),Y71)</f>
        <v>5324</v>
      </c>
      <c r="J71" s="119">
        <f>IFERROR(_xlfn.LET(_xlpm.lookup_result,_xlfn.XLOOKUP($C71,'دیده بان بازار'!$A$5:$A$3994,'دیده بان بازار'!Q$5:Q$3994),IF(ISERROR(_xlpm.lookup_result),Z71,_xlpm.lookup_result)),Z71)</f>
        <v>9.2899999999999991</v>
      </c>
      <c r="K71" s="1664">
        <f>_xlfn.XLOOKUP(C71,MOPFRA!$R$7:$R$56,MOPFRA!$T$7:$T$56,"")/1000</f>
        <v>12.11525</v>
      </c>
      <c r="L71" s="1742">
        <f>_xlfn.XLOOKUP(C71,'MOPFRA Portfolio'!$P$8:$P$78,'MOPFRA Portfolio'!$AT$8:$AT$78,"")</f>
        <v>160000</v>
      </c>
      <c r="M71" s="1665">
        <f>_xlfn.XLOOKUP(C71,'MOPFRA Portfolio'!$P$8:$P$78,'MOPFRA Portfolio'!$AU$8:$AU$78,"")</f>
        <v>784237.44</v>
      </c>
      <c r="O71" s="1752"/>
      <c r="P71" s="1753" t="str">
        <f t="shared" si="19"/>
        <v/>
      </c>
      <c r="Q71" s="1754">
        <f t="shared" si="12"/>
        <v>0.1838333327153325</v>
      </c>
      <c r="R71" s="1755">
        <f t="shared" si="21"/>
        <v>2.0034669174556856</v>
      </c>
      <c r="S71" s="1753"/>
      <c r="T71" s="1756"/>
      <c r="U71" s="1614"/>
      <c r="V71" s="1614">
        <v>46710</v>
      </c>
      <c r="W71" s="1614">
        <v>48110</v>
      </c>
      <c r="X71" s="1614">
        <v>48010</v>
      </c>
      <c r="Y71" s="1614">
        <v>5324</v>
      </c>
      <c r="Z71" s="1614">
        <v>9.02</v>
      </c>
      <c r="AA71" s="1620">
        <v>11.786950000000001</v>
      </c>
      <c r="AB71" s="508">
        <v>160000</v>
      </c>
      <c r="AC71" s="1621">
        <v>762986.11199999996</v>
      </c>
    </row>
    <row r="72" spans="1:30" ht="20" customHeight="1">
      <c r="A72" s="1614">
        <f>IFERROR(MATCH(C72,'دیده بان بازار'!$A$5:$A$3994,0 )+4,"Closed")</f>
        <v>1548</v>
      </c>
      <c r="B72" s="1652" t="s">
        <v>160</v>
      </c>
      <c r="C72" s="1652" t="s">
        <v>161</v>
      </c>
      <c r="D72" s="1618" t="str">
        <f>_xlfn.XLOOKUP(C72,MOPFRA!$R$7:$R$56,MOPFRA!$P$7:$P$56,"")</f>
        <v>PH</v>
      </c>
      <c r="E72" s="1614"/>
      <c r="F72" s="119">
        <f>IFERROR(_xlfn.LET(_xlpm.lookup_result,_xlfn.XLOOKUP($C72,'دیده بان بازار'!$A$5:$A$3994,'دیده بان بازار'!F$5:F$3994),IF(ISERROR(_xlpm.lookup_result),V72,_xlpm.lookup_result)),V72)</f>
        <v>20580</v>
      </c>
      <c r="G72" s="119">
        <f>IFERROR(_xlfn.LET(_xlpm.lookup_result,_xlfn.XLOOKUP($C72,'دیده بان بازار'!$A$5:$A$3994,'دیده بان بازار'!H$5:H$3994),IF(ISERROR(_xlpm.lookup_result),W72,_xlpm.lookup_result)),W72)</f>
        <v>21190</v>
      </c>
      <c r="H72" s="119">
        <f>IFERROR(_xlfn.LET(_xlpm.lookup_result,_xlfn.XLOOKUP($C72,'دیده بان بازار'!$A$5:$A$3994,'دیده بان بازار'!K$5:K$3994),IF(ISERROR(_xlpm.lookup_result),X72,_xlpm.lookup_result)),X72)</f>
        <v>21130</v>
      </c>
      <c r="I72" s="119">
        <f>IFERROR(_xlfn.LET(_xlpm.lookup_result,_xlfn.XLOOKUP($C72,'دیده بان بازار'!$A$5:$A$3994,'دیده بان بازار'!P$5:P$3994),IF(ISERROR(_xlpm.lookup_result),Y72,_xlpm.lookup_result)),Y72)</f>
        <v>3000</v>
      </c>
      <c r="J72" s="119">
        <f>IFERROR(_xlfn.LET(_xlpm.lookup_result,_xlfn.XLOOKUP($C72,'دیده بان بازار'!$A$5:$A$3994,'دیده بان بازار'!Q$5:Q$3994),IF(ISERROR(_xlpm.lookup_result),Z72,_xlpm.lookup_result)),Z72)</f>
        <v>7.04</v>
      </c>
      <c r="K72" s="1664">
        <f>_xlfn.XLOOKUP(C72,MOPFRA!$R$7:$R$56,MOPFRA!$T$7:$T$56,"")/1000</f>
        <v>16.316299999999998</v>
      </c>
      <c r="L72" s="1742">
        <f>_xlfn.XLOOKUP(C72,'MOPFRA Portfolio'!$P$8:$P$78,'MOPFRA Portfolio'!$AT$8:$AT$78,"")</f>
        <v>260000</v>
      </c>
      <c r="M72" s="1665">
        <f>_xlfn.XLOOKUP(C72,'MOPFRA Portfolio'!$P$8:$P$78,'MOPFRA Portfolio'!$AU$8:$AU$78,"")</f>
        <v>546091.728</v>
      </c>
      <c r="O72" s="1752" t="str">
        <f>IF(AND(Q72&lt;0,R72&lt;0,Q72&lt;R72),Q72-R72,"")</f>
        <v/>
      </c>
      <c r="P72" s="1753" t="str">
        <f t="shared" si="19"/>
        <v/>
      </c>
      <c r="Q72" s="1754">
        <f t="shared" si="12"/>
        <v>0.32768585533052924</v>
      </c>
      <c r="R72" s="1755">
        <f t="shared" si="21"/>
        <v>1.8464788381028032</v>
      </c>
      <c r="S72" s="1753">
        <f>IF(AND(R72&gt;0,Q72&gt;0,R72&gt;Q72),R72-Q72,"")</f>
        <v>1.5187929827722739</v>
      </c>
      <c r="T72" s="1756" t="str">
        <f>IF(AND(R72&lt;0,Q72&lt;0,R72&lt;Q72),R72-Q72,"")</f>
        <v/>
      </c>
      <c r="U72" s="1614"/>
      <c r="V72" s="1614">
        <v>20030</v>
      </c>
      <c r="W72" s="1614">
        <v>20430</v>
      </c>
      <c r="X72" s="1614">
        <v>20580</v>
      </c>
      <c r="Y72" s="1614">
        <v>3000</v>
      </c>
      <c r="Z72" s="1614">
        <v>6.86</v>
      </c>
      <c r="AA72" s="1620">
        <v>15.7311</v>
      </c>
      <c r="AB72" s="508">
        <v>260000</v>
      </c>
      <c r="AC72" s="1621">
        <v>526505.61600000004</v>
      </c>
    </row>
    <row r="73" spans="1:30" ht="20" customHeight="1">
      <c r="A73" s="1614">
        <f>IFERROR(MATCH(C73,'دیده بان بازار'!$A$5:$A$3994,0 )+4,"Closed")</f>
        <v>2385</v>
      </c>
      <c r="B73" s="1652" t="s">
        <v>162</v>
      </c>
      <c r="C73" s="1652" t="s">
        <v>163</v>
      </c>
      <c r="D73" s="1618" t="str">
        <f>_xlfn.XLOOKUP(C73,MOPFRA!$R$7:$R$56,MOPFRA!$P$7:$P$56,"")</f>
        <v>PH</v>
      </c>
      <c r="E73" s="1614"/>
      <c r="F73" s="119">
        <f>IFERROR(_xlfn.LET(_xlpm.lookup_result,_xlfn.XLOOKUP($C73,'دیده بان بازار'!$A$5:$A$3994,'دیده بان بازار'!F$5:F$3994),IF(ISERROR(_xlpm.lookup_result),V73,_xlpm.lookup_result)),V73)</f>
        <v>6900</v>
      </c>
      <c r="G73" s="119">
        <f>IFERROR(_xlfn.LET(_xlpm.lookup_result,_xlfn.XLOOKUP($C73,'دیده بان بازار'!$A$5:$A$3994,'دیده بان بازار'!H$5:H$3994),IF(ISERROR(_xlpm.lookup_result),W73,_xlpm.lookup_result)),W73)</f>
        <v>7100</v>
      </c>
      <c r="H73" s="119">
        <f>IFERROR(_xlfn.LET(_xlpm.lookup_result,_xlfn.XLOOKUP($C73,'دیده بان بازار'!$A$5:$A$3994,'دیده بان بازار'!K$5:K$3994),IF(ISERROR(_xlpm.lookup_result),X73,_xlpm.lookup_result)),X73)</f>
        <v>7090</v>
      </c>
      <c r="I73" s="119">
        <f>IFERROR(_xlfn.LET(_xlpm.lookup_result,_xlfn.XLOOKUP($C73,'دیده بان بازار'!$A$5:$A$3994,'دیده بان بازار'!P$5:P$3994),IF(ISERROR(_xlpm.lookup_result),Y73,_xlpm.lookup_result)),Y73)</f>
        <v>841</v>
      </c>
      <c r="J73" s="119">
        <f>IFERROR(_xlfn.LET(_xlpm.lookup_result,_xlfn.XLOOKUP($C73,'دیده بان بازار'!$A$5:$A$3994,'دیده بان بازار'!Q$5:Q$3994),IF(ISERROR(_xlpm.lookup_result),Z73,_xlpm.lookup_result)),Z73)</f>
        <v>8.43</v>
      </c>
      <c r="K73" s="1664">
        <f>_xlfn.XLOOKUP(C73,MOPFRA!$R$7:$R$56,MOPFRA!$T$7:$T$56,"")/1000</f>
        <v>36.777999999999999</v>
      </c>
      <c r="L73" s="1742">
        <f>_xlfn.XLOOKUP(C73,'MOPFRA Portfolio'!$P$8:$P$78,'MOPFRA Portfolio'!$AT$8:$AT$78,"")</f>
        <v>1100000</v>
      </c>
      <c r="M73" s="1665">
        <f>_xlfn.XLOOKUP(C73,'MOPFRA Portfolio'!$P$8:$P$78,'MOPFRA Portfolio'!$AU$8:$AU$78,"")</f>
        <v>774127.2</v>
      </c>
      <c r="O73" s="1752" t="str">
        <f>IF(AND(Q73&lt;0,R73&lt;0,Q73&lt;R73),Q73-R73,"")</f>
        <v/>
      </c>
      <c r="P73" s="1753" t="str">
        <f t="shared" si="19"/>
        <v/>
      </c>
      <c r="Q73" s="1754">
        <f t="shared" si="12"/>
        <v>0.58011371517845101</v>
      </c>
      <c r="R73" s="1755">
        <f t="shared" si="21"/>
        <v>2.0557962772399798</v>
      </c>
      <c r="S73" s="1753">
        <f>IF(AND(R73&gt;0,Q73&gt;0,R73&gt;Q73),R73-Q73,"")</f>
        <v>1.4756825620615288</v>
      </c>
      <c r="T73" s="1756" t="str">
        <f>IF(AND(R73&lt;0,Q73&lt;0,R73&lt;Q73),R73-Q73,"")</f>
        <v/>
      </c>
      <c r="U73" s="1614"/>
      <c r="V73" s="1614">
        <v>6700</v>
      </c>
      <c r="W73" s="1614">
        <v>6900</v>
      </c>
      <c r="X73" s="1614">
        <v>6900</v>
      </c>
      <c r="Y73" s="1614">
        <v>841</v>
      </c>
      <c r="Z73" s="1614">
        <v>8.1999999999999993</v>
      </c>
      <c r="AA73" s="1620">
        <v>35.741999999999997</v>
      </c>
      <c r="AB73" s="508">
        <v>1100000</v>
      </c>
      <c r="AC73" s="1621">
        <v>752320.79999999993</v>
      </c>
    </row>
    <row r="74" spans="1:30" ht="20" customHeight="1">
      <c r="A74" s="1614">
        <f>IFERROR(MATCH(C74,'دیده بان بازار'!$A$5:$A$3994,0 )+4,"Closed")</f>
        <v>1152</v>
      </c>
      <c r="B74" s="1652" t="s">
        <v>164</v>
      </c>
      <c r="C74" s="1652" t="s">
        <v>165</v>
      </c>
      <c r="D74" s="1618" t="str">
        <f>_xlfn.XLOOKUP(C74,MOPFRA!$R$7:$R$56,MOPFRA!$P$7:$P$56,"")</f>
        <v>PH</v>
      </c>
      <c r="E74" s="1614"/>
      <c r="F74" s="119">
        <f>IFERROR(_xlfn.LET(_xlpm.lookup_result,_xlfn.XLOOKUP($C74,'دیده بان بازار'!$A$5:$A$3994,'دیده بان بازار'!F$5:F$3994),IF(ISERROR(_xlpm.lookup_result),V74,_xlpm.lookup_result)),V74)</f>
        <v>30090</v>
      </c>
      <c r="G74" s="119">
        <f>IFERROR(_xlfn.LET(_xlpm.lookup_result,_xlfn.XLOOKUP($C74,'دیده بان بازار'!$A$5:$A$3994,'دیده بان بازار'!H$5:H$3994),IF(ISERROR(_xlpm.lookup_result),W74,_xlpm.lookup_result)),W74)</f>
        <v>30990</v>
      </c>
      <c r="H74" s="119">
        <f>IFERROR(_xlfn.LET(_xlpm.lookup_result,_xlfn.XLOOKUP($C74,'دیده بان بازار'!$A$5:$A$3994,'دیده بان بازار'!K$5:K$3994),IF(ISERROR(_xlpm.lookup_result),X74,_xlpm.lookup_result)),X74)</f>
        <v>30990</v>
      </c>
      <c r="I74" s="119">
        <f>IFERROR(_xlfn.LET(_xlpm.lookup_result,_xlfn.XLOOKUP($C74,'دیده بان بازار'!$A$5:$A$3994,'دیده بان بازار'!P$5:P$3994),IF(ISERROR(_xlpm.lookup_result),Y74,_xlpm.lookup_result)),Y74)</f>
        <v>3831</v>
      </c>
      <c r="J74" s="119">
        <f>IFERROR(_xlfn.LET(_xlpm.lookup_result,_xlfn.XLOOKUP($C74,'دیده بان بازار'!$A$5:$A$3994,'دیده بان بازار'!Q$5:Q$3994),IF(ISERROR(_xlpm.lookup_result),Z74,_xlpm.lookup_result)),Z74)</f>
        <v>8.09</v>
      </c>
      <c r="K74" s="1664">
        <f>_xlfn.XLOOKUP(C74,MOPFRA!$R$7:$R$56,MOPFRA!$T$7:$T$56,"")/1000</f>
        <v>24.606060000000003</v>
      </c>
      <c r="L74" s="1742">
        <f>_xlfn.XLOOKUP(C74,'MOPFRA Portfolio'!$P$8:$P$78,'MOPFRA Portfolio'!$AT$8:$AT$78,"")</f>
        <v>30000</v>
      </c>
      <c r="M74" s="1665">
        <f>_xlfn.XLOOKUP(C74,'MOPFRA Portfolio'!$P$8:$P$78,'MOPFRA Portfolio'!$AU$8:$AU$78,"")</f>
        <v>92151.864000000001</v>
      </c>
      <c r="O74" s="1752"/>
      <c r="P74" s="1753">
        <f t="shared" si="19"/>
        <v>0.14619911709797731</v>
      </c>
      <c r="Q74" s="1754">
        <f t="shared" si="12"/>
        <v>0.39569802892664607</v>
      </c>
      <c r="R74" s="1755">
        <f t="shared" si="21"/>
        <v>0.24949891182866876</v>
      </c>
      <c r="S74" s="1753"/>
      <c r="T74" s="1756"/>
      <c r="U74" s="1614"/>
      <c r="V74" s="1614">
        <v>29230</v>
      </c>
      <c r="W74" s="1614">
        <v>30100</v>
      </c>
      <c r="X74" s="1614">
        <v>30090</v>
      </c>
      <c r="Y74" s="1614">
        <v>3831</v>
      </c>
      <c r="Z74" s="1614">
        <v>7.85</v>
      </c>
      <c r="AA74" s="1620">
        <v>23.8994</v>
      </c>
      <c r="AB74" s="508">
        <v>30000</v>
      </c>
      <c r="AC74" s="1621">
        <v>89505.36</v>
      </c>
    </row>
    <row r="75" spans="1:30" ht="20" customHeight="1">
      <c r="A75" s="1614">
        <f>IFERROR(MATCH(C75,'دیده بان بازار'!$A$5:$A$3994,0 )+4,"Closed")</f>
        <v>2931</v>
      </c>
      <c r="B75" s="1652" t="s">
        <v>166</v>
      </c>
      <c r="C75" s="1652" t="s">
        <v>167</v>
      </c>
      <c r="D75" s="1618" t="s">
        <v>168</v>
      </c>
      <c r="E75" s="1614"/>
      <c r="F75" s="119">
        <f>IFERROR(_xlfn.LET(_xlpm.lookup_result,_xlfn.XLOOKUP($C75,'دیده بان بازار'!$A$5:$A$3994,'دیده بان بازار'!F$5:F$3994),IF(ISERROR(_xlpm.lookup_result),V75,_xlpm.lookup_result)),V75)</f>
        <v>69780</v>
      </c>
      <c r="G75" s="119">
        <f>IFERROR(_xlfn.LET(_xlpm.lookup_result,_xlfn.XLOOKUP($C75,'دیده بان بازار'!$A$5:$A$3994,'دیده بان بازار'!H$5:H$3994),IF(ISERROR(_xlpm.lookup_result),W75,_xlpm.lookup_result)),W75)</f>
        <v>71870</v>
      </c>
      <c r="H75" s="119">
        <f>IFERROR(_xlfn.LET(_xlpm.lookup_result,_xlfn.XLOOKUP($C75,'دیده بان بازار'!$A$5:$A$3994,'دیده بان بازار'!K$5:K$3994),IF(ISERROR(_xlpm.lookup_result),X75,_xlpm.lookup_result)),X75)</f>
        <v>71870</v>
      </c>
      <c r="I75" s="119">
        <f>IFERROR(_xlfn.LET(_xlpm.lookup_result,_xlfn.XLOOKUP($C75,'دیده بان بازار'!$A$5:$A$3994,'دیده بان بازار'!P$5:P$3994),IF(ISERROR(_xlpm.lookup_result),Y75,_xlpm.lookup_result)),Y75)</f>
        <v>9289</v>
      </c>
      <c r="J75" s="119">
        <f>IFERROR(_xlfn.LET(_xlpm.lookup_result,_xlfn.XLOOKUP($C75,'دیده بان بازار'!$A$5:$A$3994,'دیده بان بازار'!Q$5:Q$3994),IF(ISERROR(_xlpm.lookup_result),Z75,_xlpm.lookup_result)),Z75)</f>
        <v>7.74</v>
      </c>
      <c r="K75" s="1664">
        <f>_xlfn.XLOOKUP(C75,MOPFRA!$R$7:$R$56,MOPFRA!$T$7:$T$56,"")/1000</f>
        <v>17.248799999999999</v>
      </c>
      <c r="L75" s="1742">
        <f>_xlfn.XLOOKUP(C75,'MOPFRA Portfolio'!$P$8:$P$78,'MOPFRA Portfolio'!$AT$8:$AT$78,"")</f>
        <v>0</v>
      </c>
      <c r="M75" s="1665">
        <f>_xlfn.XLOOKUP(C75,'MOPFRA Portfolio'!$P$8:$P$78,'MOPFRA Portfolio'!$AU$8:$AU$78,"")</f>
        <v>0</v>
      </c>
      <c r="O75" s="1752"/>
      <c r="P75" s="1753"/>
      <c r="Q75" s="1754">
        <f t="shared" ref="Q75" si="22">IFERROR(((K75-AA75)*100)/ABS($K$106),"")</f>
        <v>0.28087359028331133</v>
      </c>
      <c r="R75" s="1755">
        <f t="shared" si="21"/>
        <v>0</v>
      </c>
      <c r="S75" s="1753"/>
      <c r="T75" s="1756"/>
      <c r="U75" s="1614"/>
      <c r="V75" s="1614">
        <v>67750</v>
      </c>
      <c r="W75" s="1614">
        <v>69780</v>
      </c>
      <c r="X75" s="1614">
        <v>69780</v>
      </c>
      <c r="Y75" s="1614">
        <v>9289</v>
      </c>
      <c r="Z75" s="1614">
        <v>7.51</v>
      </c>
      <c r="AA75" s="1620">
        <v>16.747199999999999</v>
      </c>
      <c r="AB75" s="508">
        <v>0</v>
      </c>
      <c r="AC75" s="1621">
        <v>0</v>
      </c>
    </row>
    <row r="76" spans="1:30" ht="20" customHeight="1">
      <c r="A76" s="1614">
        <f>IFERROR(MATCH(C76,'دیده بان بازار'!$A$5:$A$3994,0 )+4,"Closed")</f>
        <v>1506</v>
      </c>
      <c r="B76" s="1652" t="s">
        <v>169</v>
      </c>
      <c r="C76" s="1652" t="s">
        <v>170</v>
      </c>
      <c r="D76" s="1618" t="s">
        <v>168</v>
      </c>
      <c r="E76" s="1614"/>
      <c r="F76" s="119">
        <f>IFERROR(_xlfn.LET(_xlpm.lookup_result,_xlfn.XLOOKUP($C76,'دیده بان بازار'!$A$5:$A$3994,'دیده بان بازار'!F$5:F$3994),IF(ISERROR(_xlpm.lookup_result),V76,_xlpm.lookup_result)),V76)</f>
        <v>43470</v>
      </c>
      <c r="G76" s="119">
        <f>IFERROR(_xlfn.LET(_xlpm.lookup_result,_xlfn.XLOOKUP($C76,'دیده بان بازار'!$A$5:$A$3994,'دیده بان بازار'!H$5:H$3994),IF(ISERROR(_xlpm.lookup_result),W76,_xlpm.lookup_result)),W76)</f>
        <v>44770</v>
      </c>
      <c r="H76" s="119">
        <f>IFERROR(_xlfn.LET(_xlpm.lookup_result,_xlfn.XLOOKUP($C76,'دیده بان بازار'!$A$5:$A$3994,'دیده بان بازار'!K$5:K$3994),IF(ISERROR(_xlpm.lookup_result),X76,_xlpm.lookup_result)),X76)</f>
        <v>44670</v>
      </c>
      <c r="I76" s="119">
        <f>IFERROR(_xlfn.LET(_xlpm.lookup_result,_xlfn.XLOOKUP($C76,'دیده بان بازار'!$A$5:$A$3994,'دیده بان بازار'!P$5:P$3994),IF(ISERROR(_xlpm.lookup_result),Y76,_xlpm.lookup_result)),Y76)</f>
        <v>5718</v>
      </c>
      <c r="J76" s="119">
        <f>IFERROR(_xlfn.LET(_xlpm.lookup_result,_xlfn.XLOOKUP($C76,'دیده بان بازار'!$A$5:$A$3994,'دیده بان بازار'!Q$5:Q$3994),IF(ISERROR(_xlpm.lookup_result),Z76,_xlpm.lookup_result)),Z76)</f>
        <v>7.81</v>
      </c>
      <c r="K76" s="1664">
        <f>_xlfn.XLOOKUP(C76,MOPFRA!$R$7:$R$56,MOPFRA!$T$7:$T$56,"")/1000</f>
        <v>12.535600000000001</v>
      </c>
      <c r="L76" s="1742">
        <f>_xlfn.XLOOKUP(C76,'MOPFRA Portfolio'!$P$8:$P$78,'MOPFRA Portfolio'!$AT$8:$AT$78,"")</f>
        <v>0</v>
      </c>
      <c r="M76" s="1665">
        <f>_xlfn.XLOOKUP(C76,'MOPFRA Portfolio'!$P$8:$P$78,'MOPFRA Portfolio'!$AU$8:$AU$78,"")</f>
        <v>0</v>
      </c>
      <c r="O76" s="1752"/>
      <c r="P76" s="1753"/>
      <c r="Q76" s="1754">
        <f t="shared" ref="Q76" si="23">IFERROR(((K76-AA76)*100)/ABS($K$106),"")</f>
        <v>0.18500923889474852</v>
      </c>
      <c r="R76" s="1755">
        <f t="shared" si="21"/>
        <v>0</v>
      </c>
      <c r="S76" s="1753"/>
      <c r="T76" s="1756"/>
      <c r="U76" s="1614"/>
      <c r="V76" s="1614">
        <v>43190</v>
      </c>
      <c r="W76" s="1614">
        <v>43590</v>
      </c>
      <c r="X76" s="1614">
        <v>43470</v>
      </c>
      <c r="Y76" s="1614">
        <v>5718</v>
      </c>
      <c r="Z76" s="1614">
        <v>7.6</v>
      </c>
      <c r="AA76" s="1620">
        <v>12.205200000000001</v>
      </c>
      <c r="AB76" s="508">
        <v>0</v>
      </c>
      <c r="AC76" s="1621">
        <v>0</v>
      </c>
    </row>
    <row r="77" spans="1:30" ht="20" customHeight="1">
      <c r="A77" s="1614">
        <f>IFERROR(MATCH(C77,'دیده بان بازار'!$A$5:$A$3994,0 )+4,"Closed")</f>
        <v>2307</v>
      </c>
      <c r="B77" s="1652" t="s">
        <v>171</v>
      </c>
      <c r="C77" s="1652" t="s">
        <v>172</v>
      </c>
      <c r="D77" s="1618" t="str">
        <f>_xlfn.XLOOKUP(C77,MOPFRA!$R$7:$R$56,MOPFRA!$P$7:$P$56,"")</f>
        <v>R</v>
      </c>
      <c r="E77" s="1614"/>
      <c r="F77" s="119">
        <f>IFERROR(_xlfn.LET(_xlpm.lookup_result,_xlfn.XLOOKUP($C77,'دیده بان بازار'!$A$5:$A$3994,'دیده بان بازار'!F$5:F$3994),IF(ISERROR(_xlpm.lookup_result),V77,_xlpm.lookup_result)),V77)</f>
        <v>4380</v>
      </c>
      <c r="G77" s="119">
        <f>IFERROR(_xlfn.LET(_xlpm.lookup_result,_xlfn.XLOOKUP($C77,'دیده بان بازار'!$A$5:$A$3994,'دیده بان بازار'!H$5:H$3994),IF(ISERROR(_xlpm.lookup_result),W77,_xlpm.lookup_result)),W77)</f>
        <v>4510</v>
      </c>
      <c r="H77" s="119">
        <f>IFERROR(_xlfn.LET(_xlpm.lookup_result,_xlfn.XLOOKUP($C77,'دیده بان بازار'!$A$5:$A$3994,'دیده بان بازار'!K$5:K$3994),IF(ISERROR(_xlpm.lookup_result),X77,_xlpm.lookup_result)),X77)</f>
        <v>4510</v>
      </c>
      <c r="I77" s="119">
        <f>IFERROR(_xlfn.LET(_xlpm.lookup_result,_xlfn.XLOOKUP($C77,'دیده بان بازار'!$A$5:$A$3994,'دیده بان بازار'!P$5:P$3994),IF(ISERROR(_xlpm.lookup_result),Y77,_xlpm.lookup_result)),Y77)</f>
        <v>1249</v>
      </c>
      <c r="J77" s="119">
        <f>IFERROR(_xlfn.LET(_xlpm.lookup_result,_xlfn.XLOOKUP($C77,'دیده بان بازار'!$A$5:$A$3994,'دیده بان بازار'!Q$5:Q$3994),IF(ISERROR(_xlpm.lookup_result),Z77,_xlpm.lookup_result)),Z77)</f>
        <v>3.61</v>
      </c>
      <c r="K77" s="1664">
        <f>_xlfn.XLOOKUP(C77,MOPFRA!$R$7:$R$56,MOPFRA!$T$7:$T$56,"")/1000</f>
        <v>294.27749999999997</v>
      </c>
      <c r="L77" s="1742">
        <f>_xlfn.XLOOKUP(C77,'MOPFRA Portfolio'!$P$8:$P$78,'MOPFRA Portfolio'!$AT$8:$AT$78,"")</f>
        <v>1570000</v>
      </c>
      <c r="M77" s="1665">
        <f>_xlfn.XLOOKUP(C77,'MOPFRA Portfolio'!$P$8:$P$78,'MOPFRA Portfolio'!$AU$8:$AU$78,"")</f>
        <v>701838.98399999994</v>
      </c>
      <c r="O77" s="1752" t="str">
        <f>IF(AND(Q77&lt;0,R77&lt;0,Q77&lt;R77),Q77-R77,"")</f>
        <v/>
      </c>
      <c r="P77" s="1753">
        <f t="shared" si="19"/>
        <v>2.842602758287696</v>
      </c>
      <c r="Q77" s="1754">
        <f t="shared" ref="Q77:Q100" si="24">IFERROR(((K77-AA77)*100)/ABS($K$106),"")</f>
        <v>4.7498210318544212</v>
      </c>
      <c r="R77" s="1755">
        <f t="shared" si="21"/>
        <v>1.9072182735667249</v>
      </c>
      <c r="S77" s="1753" t="str">
        <f>IF(AND(R77&gt;0,Q77&gt;0,R77&gt;Q77),R77-Q77,"")</f>
        <v/>
      </c>
      <c r="T77" s="1756" t="str">
        <f>IF(AND(R77&lt;0,Q77&lt;0,R77&lt;Q77),R77-Q77,"")</f>
        <v/>
      </c>
      <c r="U77" s="1614"/>
      <c r="V77" s="1614">
        <v>4260</v>
      </c>
      <c r="W77" s="1614">
        <v>4380</v>
      </c>
      <c r="X77" s="1614">
        <v>4380</v>
      </c>
      <c r="Y77" s="1614">
        <v>1249</v>
      </c>
      <c r="Z77" s="1614">
        <v>3.51</v>
      </c>
      <c r="AA77" s="1620">
        <v>285.79500000000002</v>
      </c>
      <c r="AB77" s="508">
        <v>1570000</v>
      </c>
      <c r="AC77" s="1621">
        <v>681608.59199999995</v>
      </c>
    </row>
    <row r="78" spans="1:30" ht="20" customHeight="1">
      <c r="A78" s="1614">
        <f>IFERROR(MATCH(C78,'دیده بان بازار'!$A$5:$A$3994,0 )+4,"Closed")</f>
        <v>1436</v>
      </c>
      <c r="B78" s="1652" t="s">
        <v>173</v>
      </c>
      <c r="C78" s="1652" t="s">
        <v>174</v>
      </c>
      <c r="D78" s="1618" t="str">
        <f>_xlfn.XLOOKUP(C78,MOPFRA!$R$7:$R$56,MOPFRA!$P$7:$P$56,"")</f>
        <v>R</v>
      </c>
      <c r="E78" s="1614"/>
      <c r="F78" s="119">
        <f>IFERROR(_xlfn.LET(_xlpm.lookup_result,_xlfn.XLOOKUP($C78,'دیده بان بازار'!$A$5:$A$3994,'دیده بان بازار'!F$5:F$3994),IF(ISERROR(_xlpm.lookup_result),V78,_xlpm.lookup_result)),V78)</f>
        <v>12360</v>
      </c>
      <c r="G78" s="119">
        <f>IFERROR(_xlfn.LET(_xlpm.lookup_result,_xlfn.XLOOKUP($C78,'دیده بان بازار'!$A$5:$A$3994,'دیده بان بازار'!H$5:H$3994),IF(ISERROR(_xlpm.lookup_result),W78,_xlpm.lookup_result)),W78)</f>
        <v>12730</v>
      </c>
      <c r="H78" s="119">
        <f>IFERROR(_xlfn.LET(_xlpm.lookup_result,_xlfn.XLOOKUP($C78,'دیده بان بازار'!$A$5:$A$3994,'دیده بان بازار'!K$5:K$3994),IF(ISERROR(_xlpm.lookup_result),X78,_xlpm.lookup_result)),X78)</f>
        <v>12730</v>
      </c>
      <c r="I78" s="119">
        <f>IFERROR(_xlfn.LET(_xlpm.lookup_result,_xlfn.XLOOKUP($C78,'دیده بان بازار'!$A$5:$A$3994,'دیده بان بازار'!P$5:P$3994),IF(ISERROR(_xlpm.lookup_result),Y78,_xlpm.lookup_result)),Y78)</f>
        <v>2555</v>
      </c>
      <c r="J78" s="119">
        <f>IFERROR(_xlfn.LET(_xlpm.lookup_result,_xlfn.XLOOKUP($C78,'دیده بان بازار'!$A$5:$A$3994,'دیده بان بازار'!Q$5:Q$3994),IF(ISERROR(_xlpm.lookup_result),Z78,_xlpm.lookup_result)),Z78)</f>
        <v>4.9800000000000004</v>
      </c>
      <c r="K78" s="1664">
        <f>_xlfn.XLOOKUP(C78,MOPFRA!$R$7:$R$56,MOPFRA!$T$7:$T$56,"")/1000</f>
        <v>521.61340489999998</v>
      </c>
      <c r="L78" s="1742">
        <f>_xlfn.XLOOKUP(C78,'MOPFRA Portfolio'!$P$8:$P$78,'MOPFRA Portfolio'!$AT$8:$AT$78,"")</f>
        <v>900000</v>
      </c>
      <c r="M78" s="1665">
        <f>_xlfn.XLOOKUP(C78,'MOPFRA Portfolio'!$P$8:$P$78,'MOPFRA Portfolio'!$AU$8:$AU$78,"")</f>
        <v>1135617.8399999999</v>
      </c>
      <c r="O78" s="1752" t="str">
        <f>IF(AND(Q78&lt;0,R78&lt;0,Q78&lt;R78),Q78-R78,"")</f>
        <v/>
      </c>
      <c r="P78" s="1753">
        <f t="shared" si="19"/>
        <v>5.3776416036198462</v>
      </c>
      <c r="Q78" s="1754">
        <f t="shared" si="24"/>
        <v>8.4893696050785419</v>
      </c>
      <c r="R78" s="1755">
        <f t="shared" si="21"/>
        <v>3.1117280014586952</v>
      </c>
      <c r="S78" s="1753" t="str">
        <f>IF(AND(R78&gt;0,Q78&gt;0,R78&gt;Q78),R78-Q78,"")</f>
        <v/>
      </c>
      <c r="T78" s="1756" t="str">
        <f>IF(AND(R78&lt;0,Q78&lt;0,R78&lt;Q78),R78-Q78,"")</f>
        <v/>
      </c>
      <c r="U78" s="1614"/>
      <c r="V78" s="1614">
        <v>12000</v>
      </c>
      <c r="W78" s="1614">
        <v>12360</v>
      </c>
      <c r="X78" s="1614">
        <v>12360</v>
      </c>
      <c r="Y78" s="1614">
        <v>2555</v>
      </c>
      <c r="Z78" s="1614">
        <v>4.84</v>
      </c>
      <c r="AA78" s="1620">
        <v>506.45260680000001</v>
      </c>
      <c r="AB78" s="508">
        <v>900000</v>
      </c>
      <c r="AC78" s="1621">
        <v>1102610.8799999999</v>
      </c>
    </row>
    <row r="79" spans="1:30" ht="20" customHeight="1">
      <c r="A79" s="1614">
        <f>IFERROR(MATCH(C79,'دیده بان بازار'!$A$5:$A$3994,0 )+4,"Closed")</f>
        <v>2114</v>
      </c>
      <c r="B79" s="1652" t="s">
        <v>175</v>
      </c>
      <c r="C79" s="1652" t="s">
        <v>176</v>
      </c>
      <c r="D79" s="1618" t="str">
        <f>_xlfn.XLOOKUP(C79,MOPFRA!$R$7:$R$56,MOPFRA!$P$7:$P$56,"")</f>
        <v>R</v>
      </c>
      <c r="E79" s="1614"/>
      <c r="F79" s="119">
        <f>IFERROR(_xlfn.LET(_xlpm.lookup_result,_xlfn.XLOOKUP($C79,'دیده بان بازار'!$A$5:$A$3994,'دیده بان بازار'!F$5:F$3994),IF(ISERROR(_xlpm.lookup_result),V79,_xlpm.lookup_result)),V79)</f>
        <v>10920</v>
      </c>
      <c r="G79" s="119">
        <f>IFERROR(_xlfn.LET(_xlpm.lookup_result,_xlfn.XLOOKUP($C79,'دیده بان بازار'!$A$5:$A$3994,'دیده بان بازار'!H$5:H$3994),IF(ISERROR(_xlpm.lookup_result),W79,_xlpm.lookup_result)),W79)</f>
        <v>11240</v>
      </c>
      <c r="H79" s="119">
        <f>IFERROR(_xlfn.LET(_xlpm.lookup_result,_xlfn.XLOOKUP($C79,'دیده بان بازار'!$A$5:$A$3994,'دیده بان بازار'!K$5:K$3994),IF(ISERROR(_xlpm.lookup_result),X79,_xlpm.lookup_result)),X79)</f>
        <v>11240</v>
      </c>
      <c r="I79" s="119">
        <f>IFERROR(_xlfn.LET(_xlpm.lookup_result,_xlfn.XLOOKUP($C79,'دیده بان بازار'!$A$5:$A$3994,'دیده بان بازار'!P$5:P$3994),IF(ISERROR(_xlpm.lookup_result),Y79,_xlpm.lookup_result)),Y79)</f>
        <v>1816</v>
      </c>
      <c r="J79" s="119">
        <f>IFERROR(_xlfn.LET(_xlpm.lookup_result,_xlfn.XLOOKUP($C79,'دیده بان بازار'!$A$5:$A$3994,'دیده بان بازار'!Q$5:Q$3994),IF(ISERROR(_xlpm.lookup_result),Z79,_xlpm.lookup_result)),Z79)</f>
        <v>6.19</v>
      </c>
      <c r="K79" s="1664">
        <f>_xlfn.XLOOKUP(C79,MOPFRA!$R$7:$R$56,MOPFRA!$T$7:$T$56,"")/1000</f>
        <v>705.0112408</v>
      </c>
      <c r="L79" s="1742">
        <f>_xlfn.XLOOKUP(C79,'MOPFRA Portfolio'!$P$8:$P$78,'MOPFRA Portfolio'!$AT$8:$AT$78,"")</f>
        <v>1000000</v>
      </c>
      <c r="M79" s="1665">
        <f>_xlfn.XLOOKUP(C79,'MOPFRA Portfolio'!$P$8:$P$78,'MOPFRA Portfolio'!$AU$8:$AU$78,"")</f>
        <v>1114108.8</v>
      </c>
      <c r="O79" s="1752" t="str">
        <f>IF(AND(Q79&lt;0,R79&lt;0,Q79&lt;R79),Q79-R79,"")</f>
        <v/>
      </c>
      <c r="P79" s="1753">
        <f t="shared" si="19"/>
        <v>8.2488910099782604</v>
      </c>
      <c r="Q79" s="1754">
        <f t="shared" si="24"/>
        <v>11.239140140509134</v>
      </c>
      <c r="R79" s="1755">
        <f t="shared" si="21"/>
        <v>2.990249130530874</v>
      </c>
      <c r="S79" s="1753" t="str">
        <f>IF(AND(R79&gt;0,Q79&gt;0,R79&gt;Q79),R79-Q79,"")</f>
        <v/>
      </c>
      <c r="T79" s="1756" t="str">
        <f>IF(AND(R79&lt;0,Q79&lt;0,R79&lt;Q79),R79-Q79,"")</f>
        <v/>
      </c>
      <c r="U79" s="1614"/>
      <c r="V79" s="1614">
        <v>10610</v>
      </c>
      <c r="W79" s="1614">
        <v>10920</v>
      </c>
      <c r="X79" s="1614">
        <v>10920</v>
      </c>
      <c r="Y79" s="1614">
        <v>1816</v>
      </c>
      <c r="Z79" s="1614">
        <v>6.01</v>
      </c>
      <c r="AA79" s="1620">
        <v>684.93974639999999</v>
      </c>
      <c r="AB79" s="508">
        <v>1000000</v>
      </c>
      <c r="AC79" s="1621">
        <v>1082390.3999999999</v>
      </c>
    </row>
    <row r="80" spans="1:30" ht="20" customHeight="1">
      <c r="A80" s="1614">
        <f>IFERROR(MATCH(C80,'دیده بان بازار'!$A$5:$A$3994,0 )+4,"Closed")</f>
        <v>664</v>
      </c>
      <c r="B80" s="1652" t="s">
        <v>177</v>
      </c>
      <c r="C80" s="1652" t="s">
        <v>178</v>
      </c>
      <c r="D80" s="1618" t="str">
        <f>_xlfn.XLOOKUP(C80,MOPFRA!$R$7:$R$56,MOPFRA!$P$7:$P$56,"")</f>
        <v>L</v>
      </c>
      <c r="E80" s="1614"/>
      <c r="F80" s="119">
        <f>IFERROR(_xlfn.LET(_xlpm.lookup_result,_xlfn.XLOOKUP($C80,'دیده بان بازار'!$A$5:$A$3994,'دیده بان بازار'!F$5:F$3994),IF(ISERROR(_xlpm.lookup_result),V80,_xlpm.lookup_result)),V80)</f>
        <v>84220</v>
      </c>
      <c r="G80" s="119">
        <f>IFERROR(_xlfn.LET(_xlpm.lookup_result,_xlfn.XLOOKUP($C80,'دیده بان بازار'!$A$5:$A$3994,'دیده بان بازار'!H$5:H$3994),IF(ISERROR(_xlpm.lookup_result),W80,_xlpm.lookup_result)),W80)</f>
        <v>86740</v>
      </c>
      <c r="H80" s="119">
        <f>IFERROR(_xlfn.LET(_xlpm.lookup_result,_xlfn.XLOOKUP($C80,'دیده بان بازار'!$A$5:$A$3994,'دیده بان بازار'!K$5:K$3994),IF(ISERROR(_xlpm.lookup_result),X80,_xlpm.lookup_result)),X80)</f>
        <v>86740</v>
      </c>
      <c r="I80" s="119">
        <f>IFERROR(_xlfn.LET(_xlpm.lookup_result,_xlfn.XLOOKUP($C80,'دیده بان بازار'!$A$5:$A$3994,'دیده بان بازار'!P$5:P$3994),IF(ISERROR(_xlpm.lookup_result),Y80,_xlpm.lookup_result)),Y80)</f>
        <v>13150</v>
      </c>
      <c r="J80" s="119">
        <f>IFERROR(_xlfn.LET(_xlpm.lookup_result,_xlfn.XLOOKUP($C80,'دیده بان بازار'!$A$5:$A$3994,'دیده بان بازار'!Q$5:Q$3994),IF(ISERROR(_xlpm.lookup_result),Z80,_xlpm.lookup_result)),Z80)</f>
        <v>6.6</v>
      </c>
      <c r="K80" s="1664">
        <f>_xlfn.XLOOKUP(C80,MOPFRA!$R$7:$R$56,MOPFRA!$T$7:$T$56,"")/1000</f>
        <v>52.043999999999997</v>
      </c>
      <c r="L80" s="1742">
        <f>_xlfn.XLOOKUP(C80,'MOPFRA Portfolio'!$P$8:$P$78,'MOPFRA Portfolio'!$AT$8:$AT$78,"")</f>
        <v>40000</v>
      </c>
      <c r="M80" s="1665">
        <f>_xlfn.XLOOKUP(C80,'MOPFRA Portfolio'!$P$8:$P$78,'MOPFRA Portfolio'!$AU$8:$AU$78,"")</f>
        <v>343906.75199999998</v>
      </c>
      <c r="O80" s="1752"/>
      <c r="P80" s="1753" t="str">
        <f t="shared" si="19"/>
        <v/>
      </c>
      <c r="Q80" s="1754">
        <f t="shared" si="24"/>
        <v>0.84665244917936011</v>
      </c>
      <c r="R80" s="1755">
        <f t="shared" si="21"/>
        <v>0.94192847611722408</v>
      </c>
      <c r="S80" s="1753"/>
      <c r="T80" s="1756"/>
      <c r="U80" s="1614"/>
      <c r="V80" s="1614">
        <v>81770</v>
      </c>
      <c r="W80" s="1614">
        <v>84220</v>
      </c>
      <c r="X80" s="1614">
        <v>84220</v>
      </c>
      <c r="Y80" s="1614">
        <v>13150</v>
      </c>
      <c r="Z80" s="1614">
        <v>6.4</v>
      </c>
      <c r="AA80" s="1620">
        <v>50.531999999999996</v>
      </c>
      <c r="AB80" s="508">
        <v>40000</v>
      </c>
      <c r="AC80" s="1621">
        <v>333915.45600000001</v>
      </c>
    </row>
    <row r="81" spans="1:29" ht="20" customHeight="1">
      <c r="A81" s="1614" t="str">
        <f>IFERROR(MATCH(C81,'دیده بان بازار'!$A$5:$A$3994,0 )+4,"Closed")</f>
        <v>Closed</v>
      </c>
      <c r="B81" s="1652" t="s">
        <v>179</v>
      </c>
      <c r="C81" s="1652" t="s">
        <v>180</v>
      </c>
      <c r="D81" s="1618" t="str">
        <f>_xlfn.XLOOKUP(C81,MOPFRA!$R$7:$R$56,MOPFRA!$P$7:$P$56,"")</f>
        <v>L</v>
      </c>
      <c r="E81" s="1614"/>
      <c r="F81" s="119">
        <f>IFERROR(_xlfn.LET(_xlpm.lookup_result,_xlfn.XLOOKUP($C81,'دیده بان بازار'!$A$5:$A$3994,'دیده بان بازار'!F$5:F$3994),IF(ISERROR(_xlpm.lookup_result),V81,_xlpm.lookup_result)),V81)</f>
        <v>35790</v>
      </c>
      <c r="G81" s="119">
        <f>IFERROR(_xlfn.LET(_xlpm.lookup_result,_xlfn.XLOOKUP($C81,'دیده بان بازار'!$A$5:$A$3994,'دیده بان بازار'!H$5:H$3994),IF(ISERROR(_xlpm.lookup_result),W81,_xlpm.lookup_result)),W81)</f>
        <v>32300</v>
      </c>
      <c r="H81" s="119">
        <f>IFERROR(_xlfn.LET(_xlpm.lookup_result,_xlfn.XLOOKUP($C81,'دیده بان بازار'!$A$5:$A$3994,'دیده بان بازار'!K$5:K$3994),IF(ISERROR(_xlpm.lookup_result),X81,_xlpm.lookup_result)),X81)</f>
        <v>32300</v>
      </c>
      <c r="I81" s="119">
        <f>IFERROR(_xlfn.LET(_xlpm.lookup_result,_xlfn.XLOOKUP($C81,'دیده بان بازار'!$A$5:$A$3994,'دیده بان بازار'!P$5:P$3994),IF(ISERROR(_xlpm.lookup_result),Y81,_xlpm.lookup_result)),Y81)</f>
        <v>4271</v>
      </c>
      <c r="J81" s="119">
        <f>IFERROR(_xlfn.LET(_xlpm.lookup_result,_xlfn.XLOOKUP($C81,'دیده بان بازار'!$A$5:$A$3994,'دیده بان بازار'!Q$5:Q$3994),IF(ISERROR(_xlpm.lookup_result),Z81,_xlpm.lookup_result)),Z81)</f>
        <v>8.27</v>
      </c>
      <c r="K81" s="1664">
        <f>_xlfn.XLOOKUP(C81,MOPFRA!$R$7:$R$56,MOPFRA!$T$7:$T$56,"")/1000</f>
        <v>58.14</v>
      </c>
      <c r="L81" s="1742">
        <f>_xlfn.XLOOKUP(C81,'MOPFRA Portfolio'!$P$8:$P$78,'MOPFRA Portfolio'!$AT$8:$AT$78,"")</f>
        <v>70000</v>
      </c>
      <c r="M81" s="1665">
        <f>_xlfn.XLOOKUP(C81,'MOPFRA Portfolio'!$P$8:$P$78,'MOPFRA Portfolio'!$AU$8:$AU$78,"")</f>
        <v>224110.32</v>
      </c>
      <c r="O81" s="1752"/>
      <c r="P81" s="1753"/>
      <c r="Q81" s="1754">
        <f t="shared" si="24"/>
        <v>0</v>
      </c>
      <c r="R81" s="1755">
        <f t="shared" si="21"/>
        <v>0</v>
      </c>
      <c r="S81" s="1753"/>
      <c r="T81" s="1756"/>
      <c r="U81" s="1614"/>
      <c r="V81" s="1614">
        <v>35790</v>
      </c>
      <c r="W81" s="1614">
        <v>32300</v>
      </c>
      <c r="X81" s="1614">
        <v>32300</v>
      </c>
      <c r="Y81" s="1614">
        <v>4271</v>
      </c>
      <c r="Z81" s="1614">
        <v>8.27</v>
      </c>
      <c r="AA81" s="1620">
        <v>58.14</v>
      </c>
      <c r="AB81" s="508">
        <v>70000</v>
      </c>
      <c r="AC81" s="1621">
        <v>224110.32</v>
      </c>
    </row>
    <row r="82" spans="1:29" ht="20" customHeight="1">
      <c r="A82" s="1614">
        <f>IFERROR(MATCH(C82,'دیده بان بازار'!$A$5:$A$3994,0 )+4,"Closed")</f>
        <v>1772</v>
      </c>
      <c r="B82" s="1652" t="s">
        <v>181</v>
      </c>
      <c r="C82" s="1652" t="s">
        <v>182</v>
      </c>
      <c r="D82" s="1618" t="str">
        <f>_xlfn.XLOOKUP(C82,MOPFRA!$R$7:$R$56,MOPFRA!$P$7:$P$56,"")</f>
        <v>T</v>
      </c>
      <c r="E82" s="1614"/>
      <c r="F82" s="119">
        <f>IFERROR(_xlfn.LET(_xlpm.lookup_result,_xlfn.XLOOKUP($C82,'دیده بان بازار'!$A$5:$A$3994,'دیده بان بازار'!F$5:F$3994),IF(ISERROR(_xlpm.lookup_result),V82,_xlpm.lookup_result)),V82)</f>
        <v>2027</v>
      </c>
      <c r="G82" s="119">
        <f>IFERROR(_xlfn.LET(_xlpm.lookup_result,_xlfn.XLOOKUP($C82,'دیده بان بازار'!$A$5:$A$3994,'دیده بان بازار'!H$5:H$3994),IF(ISERROR(_xlpm.lookup_result),W82,_xlpm.lookup_result)),W82)</f>
        <v>2087</v>
      </c>
      <c r="H82" s="119">
        <f>IFERROR(_xlfn.LET(_xlpm.lookup_result,_xlfn.XLOOKUP($C82,'دیده بان بازار'!$A$5:$A$3994,'دیده بان بازار'!K$5:K$3994),IF(ISERROR(_xlpm.lookup_result),X82,_xlpm.lookup_result)),X82)</f>
        <v>2087</v>
      </c>
      <c r="I82" s="119">
        <f>IFERROR(_xlfn.LET(_xlpm.lookup_result,_xlfn.XLOOKUP($C82,'دیده بان بازار'!$A$5:$A$3994,'دیده بان بازار'!P$5:P$3994),IF(ISERROR(_xlpm.lookup_result),Y82,_xlpm.lookup_result)),Y82)</f>
        <v>392</v>
      </c>
      <c r="J82" s="119">
        <f>IFERROR(_xlfn.LET(_xlpm.lookup_result,_xlfn.XLOOKUP($C82,'دیده بان بازار'!$A$5:$A$3994,'دیده بان بازار'!Q$5:Q$3994),IF(ISERROR(_xlpm.lookup_result),Z82,_xlpm.lookup_result)),Z82)</f>
        <v>5.32</v>
      </c>
      <c r="K82" s="1664">
        <f>_xlfn.XLOOKUP(C82,MOPFRA!$R$7:$R$56,MOPFRA!$T$7:$T$56,"")/1000</f>
        <v>3.9235600000000002</v>
      </c>
      <c r="L82" s="1742">
        <f>_xlfn.XLOOKUP(C82,'MOPFRA Portfolio'!$P$8:$P$78,'MOPFRA Portfolio'!$AT$8:$AT$78,"")</f>
        <v>0</v>
      </c>
      <c r="M82" s="1665">
        <f>_xlfn.XLOOKUP(C82,'MOPFRA Portfolio'!$P$8:$P$78,'MOPFRA Portfolio'!$AU$8:$AU$78,"")</f>
        <v>0</v>
      </c>
      <c r="O82" s="1752" t="str">
        <f t="shared" ref="O82:O90" si="25">IF(AND(Q82&lt;0,R82&lt;0,Q82&lt;R82),Q82-R82,"")</f>
        <v/>
      </c>
      <c r="P82" s="1753">
        <f t="shared" si="19"/>
        <v>6.3162960494333203E-2</v>
      </c>
      <c r="Q82" s="1754">
        <f t="shared" si="24"/>
        <v>6.3162960494333203E-2</v>
      </c>
      <c r="R82" s="1755">
        <f t="shared" si="21"/>
        <v>0</v>
      </c>
      <c r="S82" s="1753" t="str">
        <f t="shared" ref="S82:S90" si="26">IF(AND(R82&gt;0,Q82&gt;0,R82&gt;Q82),R82-Q82,"")</f>
        <v/>
      </c>
      <c r="T82" s="1756" t="str">
        <f t="shared" ref="T82:T90" si="27">IF(AND(R82&lt;0,Q82&lt;0,R82&lt;Q82),R82-Q82,"")</f>
        <v/>
      </c>
      <c r="U82" s="1614"/>
      <c r="V82" s="1614">
        <v>1968</v>
      </c>
      <c r="W82" s="1614">
        <v>2027</v>
      </c>
      <c r="X82" s="1614">
        <v>2027</v>
      </c>
      <c r="Y82" s="1614">
        <v>392</v>
      </c>
      <c r="Z82" s="1614">
        <v>5.17</v>
      </c>
      <c r="AA82" s="1620">
        <v>3.8107600000000001</v>
      </c>
      <c r="AB82" s="508">
        <v>0</v>
      </c>
      <c r="AC82" s="1621">
        <v>0</v>
      </c>
    </row>
    <row r="83" spans="1:29" ht="20" customHeight="1">
      <c r="A83" s="1614">
        <f>IFERROR(MATCH(C83,'دیده بان بازار'!$A$5:$A$3994,0 )+4,"Closed")</f>
        <v>2519</v>
      </c>
      <c r="B83" s="1652" t="s">
        <v>183</v>
      </c>
      <c r="C83" s="1652" t="s">
        <v>184</v>
      </c>
      <c r="D83" s="1618" t="str">
        <f>_xlfn.XLOOKUP(C83,MOPFRA!$R$7:$R$56,MOPFRA!$P$7:$P$56,"")</f>
        <v>T</v>
      </c>
      <c r="E83" s="1614"/>
      <c r="F83" s="119">
        <f>IFERROR(_xlfn.LET(_xlpm.lookup_result,_xlfn.XLOOKUP($C83,'دیده بان بازار'!$A$5:$A$3994,'دیده بان بازار'!F$5:F$3994),IF(ISERROR(_xlpm.lookup_result),V83,_xlpm.lookup_result)),V83)</f>
        <v>6310</v>
      </c>
      <c r="G83" s="119">
        <f>IFERROR(_xlfn.LET(_xlpm.lookup_result,_xlfn.XLOOKUP($C83,'دیده بان بازار'!$A$5:$A$3994,'دیده بان بازار'!H$5:H$3994),IF(ISERROR(_xlpm.lookup_result),W83,_xlpm.lookup_result)),W83)</f>
        <v>6490</v>
      </c>
      <c r="H83" s="119">
        <f>IFERROR(_xlfn.LET(_xlpm.lookup_result,_xlfn.XLOOKUP($C83,'دیده بان بازار'!$A$5:$A$3994,'دیده بان بازار'!K$5:K$3994),IF(ISERROR(_xlpm.lookup_result),X83,_xlpm.lookup_result)),X83)</f>
        <v>6460</v>
      </c>
      <c r="I83" s="119">
        <f>IFERROR(_xlfn.LET(_xlpm.lookup_result,_xlfn.XLOOKUP($C83,'دیده بان بازار'!$A$5:$A$3994,'دیده بان بازار'!P$5:P$3994),IF(ISERROR(_xlpm.lookup_result),Y83,_xlpm.lookup_result)),Y83)</f>
        <v>1338</v>
      </c>
      <c r="J83" s="119">
        <f>IFERROR(_xlfn.LET(_xlpm.lookup_result,_xlfn.XLOOKUP($C83,'دیده بان بازار'!$A$5:$A$3994,'دیده بان بازار'!Q$5:Q$3994),IF(ISERROR(_xlpm.lookup_result),Z83,_xlpm.lookup_result)),Z83)</f>
        <v>4.83</v>
      </c>
      <c r="K83" s="1664">
        <f>_xlfn.XLOOKUP(C83,MOPFRA!$R$7:$R$56,MOPFRA!$T$7:$T$56,"")/1000</f>
        <v>8.8710512000000019</v>
      </c>
      <c r="L83" s="1742">
        <f>_xlfn.XLOOKUP(C83,'MOPFRA Portfolio'!$P$8:$P$78,'MOPFRA Portfolio'!$AT$8:$AT$78,"")</f>
        <v>0</v>
      </c>
      <c r="M83" s="1665">
        <f>_xlfn.XLOOKUP(C83,'MOPFRA Portfolio'!$P$8:$P$78,'MOPFRA Portfolio'!$AU$8:$AU$78,"")</f>
        <v>0</v>
      </c>
      <c r="O83" s="1752" t="str">
        <f t="shared" si="25"/>
        <v/>
      </c>
      <c r="P83" s="1753">
        <f t="shared" si="19"/>
        <v>0.12246267722055941</v>
      </c>
      <c r="Q83" s="1754">
        <f t="shared" si="24"/>
        <v>0.12246267722055941</v>
      </c>
      <c r="R83" s="1755">
        <f t="shared" si="21"/>
        <v>0</v>
      </c>
      <c r="S83" s="1753" t="str">
        <f t="shared" si="26"/>
        <v/>
      </c>
      <c r="T83" s="1756" t="str">
        <f t="shared" si="27"/>
        <v/>
      </c>
      <c r="U83" s="1614"/>
      <c r="V83" s="1614">
        <v>6150</v>
      </c>
      <c r="W83" s="1614">
        <v>6330</v>
      </c>
      <c r="X83" s="1614">
        <v>6310</v>
      </c>
      <c r="Y83" s="1614">
        <v>1338</v>
      </c>
      <c r="Z83" s="1614">
        <v>4.72</v>
      </c>
      <c r="AA83" s="1620">
        <v>8.6523504000000013</v>
      </c>
      <c r="AB83" s="508">
        <v>0</v>
      </c>
      <c r="AC83" s="1621">
        <v>0</v>
      </c>
    </row>
    <row r="84" spans="1:29" ht="20" customHeight="1">
      <c r="A84" s="1614">
        <f>IFERROR(MATCH(C84,'دیده بان بازار'!$A$5:$A$3994,0 )+4,"Closed")</f>
        <v>1889</v>
      </c>
      <c r="B84" s="1652" t="s">
        <v>185</v>
      </c>
      <c r="C84" s="1652" t="s">
        <v>186</v>
      </c>
      <c r="D84" s="1618" t="str">
        <f>_xlfn.XLOOKUP(C84,MOPFRA!$R$7:$R$56,MOPFRA!$P$7:$P$56,"")</f>
        <v>T</v>
      </c>
      <c r="E84" s="1614"/>
      <c r="F84" s="119">
        <f>IFERROR(_xlfn.LET(_xlpm.lookup_result,_xlfn.XLOOKUP($C84,'دیده بان بازار'!$A$5:$A$3994,'دیده بان بازار'!F$5:F$3994),IF(ISERROR(_xlpm.lookup_result),V84,_xlpm.lookup_result)),V84)</f>
        <v>7970</v>
      </c>
      <c r="G84" s="119">
        <f>IFERROR(_xlfn.LET(_xlpm.lookup_result,_xlfn.XLOOKUP($C84,'دیده بان بازار'!$A$5:$A$3994,'دیده بان بازار'!H$5:H$3994),IF(ISERROR(_xlpm.lookup_result),W84,_xlpm.lookup_result)),W84)</f>
        <v>8200</v>
      </c>
      <c r="H84" s="119">
        <f>IFERROR(_xlfn.LET(_xlpm.lookup_result,_xlfn.XLOOKUP($C84,'دیده بان بازار'!$A$5:$A$3994,'دیده بان بازار'!K$5:K$3994),IF(ISERROR(_xlpm.lookup_result),X84,_xlpm.lookup_result)),X84)</f>
        <v>8200</v>
      </c>
      <c r="I84" s="119">
        <f>IFERROR(_xlfn.LET(_xlpm.lookup_result,_xlfn.XLOOKUP($C84,'دیده بان بازار'!$A$5:$A$3994,'دیده بان بازار'!P$5:P$3994),IF(ISERROR(_xlpm.lookup_result),Y84,_xlpm.lookup_result)),Y84)</f>
        <v>2053</v>
      </c>
      <c r="J84" s="119">
        <f>IFERROR(_xlfn.LET(_xlpm.lookup_result,_xlfn.XLOOKUP($C84,'دیده بان بازار'!$A$5:$A$3994,'دیده بان بازار'!Q$5:Q$3994),IF(ISERROR(_xlpm.lookup_result),Z84,_xlpm.lookup_result)),Z84)</f>
        <v>3.99</v>
      </c>
      <c r="K84" s="1664">
        <f>_xlfn.XLOOKUP(C84,MOPFRA!$R$7:$R$56,MOPFRA!$T$7:$T$56,"")/1000</f>
        <v>3.5259999999999998</v>
      </c>
      <c r="L84" s="1742">
        <f>_xlfn.XLOOKUP(C84,'MOPFRA Portfolio'!$P$8:$P$78,'MOPFRA Portfolio'!$AT$8:$AT$78,"")</f>
        <v>45263</v>
      </c>
      <c r="M84" s="1665">
        <f>_xlfn.XLOOKUP(C84,'MOPFRA Portfolio'!$P$8:$P$78,'MOPFRA Portfolio'!$AU$8:$AU$78,"")</f>
        <v>36789.042192000001</v>
      </c>
      <c r="O84" s="1752" t="str">
        <f t="shared" si="25"/>
        <v/>
      </c>
      <c r="P84" s="1753" t="str">
        <f t="shared" si="19"/>
        <v/>
      </c>
      <c r="Q84" s="1754">
        <f t="shared" si="24"/>
        <v>5.5379581497247803E-2</v>
      </c>
      <c r="R84" s="1755">
        <f t="shared" si="21"/>
        <v>9.7281120846563804E-2</v>
      </c>
      <c r="S84" s="1753">
        <f t="shared" si="26"/>
        <v>4.1901539349316001E-2</v>
      </c>
      <c r="T84" s="1756" t="str">
        <f t="shared" si="27"/>
        <v/>
      </c>
      <c r="U84" s="1614"/>
      <c r="V84" s="1614">
        <v>7740</v>
      </c>
      <c r="W84" s="1614">
        <v>7970</v>
      </c>
      <c r="X84" s="1614">
        <v>7970</v>
      </c>
      <c r="Y84" s="1614">
        <v>2053</v>
      </c>
      <c r="Z84" s="1614">
        <v>3.88</v>
      </c>
      <c r="AA84" s="1620">
        <v>3.4270999999999998</v>
      </c>
      <c r="AB84" s="508">
        <v>45263</v>
      </c>
      <c r="AC84" s="1621">
        <v>35757.154423199994</v>
      </c>
    </row>
    <row r="85" spans="1:29" ht="20" customHeight="1">
      <c r="A85" s="1614">
        <f>IFERROR(MATCH(C85,'دیده بان بازار'!$A$5:$A$3994,0 )+4,"Closed")</f>
        <v>2601</v>
      </c>
      <c r="B85" s="1652" t="s">
        <v>187</v>
      </c>
      <c r="C85" s="1652" t="s">
        <v>188</v>
      </c>
      <c r="D85" s="1618" t="str">
        <f>_xlfn.XLOOKUP(C85,MOPFRA!$R$7:$R$56,MOPFRA!$P$7:$P$56,"")</f>
        <v>T</v>
      </c>
      <c r="E85" s="1614"/>
      <c r="F85" s="119">
        <f>IFERROR(_xlfn.LET(_xlpm.lookup_result,_xlfn.XLOOKUP($C85,'دیده بان بازار'!$A$5:$A$3994,'دیده بان بازار'!F$5:F$3994),IF(ISERROR(_xlpm.lookup_result),V85,_xlpm.lookup_result)),V85)</f>
        <v>6330</v>
      </c>
      <c r="G85" s="119">
        <f>IFERROR(_xlfn.LET(_xlpm.lookup_result,_xlfn.XLOOKUP($C85,'دیده بان بازار'!$A$5:$A$3994,'دیده بان بازار'!H$5:H$3994),IF(ISERROR(_xlpm.lookup_result),W85,_xlpm.lookup_result)),W85)</f>
        <v>6510</v>
      </c>
      <c r="H85" s="119">
        <f>IFERROR(_xlfn.LET(_xlpm.lookup_result,_xlfn.XLOOKUP($C85,'دیده بان بازار'!$A$5:$A$3994,'دیده بان بازار'!K$5:K$3994),IF(ISERROR(_xlpm.lookup_result),X85,_xlpm.lookup_result)),X85)</f>
        <v>6470</v>
      </c>
      <c r="I85" s="119">
        <f>IFERROR(_xlfn.LET(_xlpm.lookup_result,_xlfn.XLOOKUP($C85,'دیده بان بازار'!$A$5:$A$3994,'دیده بان بازار'!P$5:P$3994),IF(ISERROR(_xlpm.lookup_result),Y85,_xlpm.lookup_result)),Y85)</f>
        <v>953</v>
      </c>
      <c r="J85" s="119">
        <f>IFERROR(_xlfn.LET(_xlpm.lookup_result,_xlfn.XLOOKUP($C85,'دیده بان بازار'!$A$5:$A$3994,'دیده بان بازار'!Q$5:Q$3994),IF(ISERROR(_xlpm.lookup_result),Z85,_xlpm.lookup_result)),Z85)</f>
        <v>6.79</v>
      </c>
      <c r="K85" s="1664">
        <f>_xlfn.XLOOKUP(C85,MOPFRA!$R$7:$R$56,MOPFRA!$T$7:$T$56,"")/1000</f>
        <v>11.973343999999999</v>
      </c>
      <c r="L85" s="1742">
        <f>_xlfn.XLOOKUP(C85,'MOPFRA Portfolio'!$P$8:$P$78,'MOPFRA Portfolio'!$AT$8:$AT$78,"")</f>
        <v>0</v>
      </c>
      <c r="M85" s="1665">
        <f>_xlfn.XLOOKUP(C85,'MOPFRA Portfolio'!$P$8:$P$78,'MOPFRA Portfolio'!$AU$8:$AU$78,"")</f>
        <v>0</v>
      </c>
      <c r="O85" s="1752" t="str">
        <f t="shared" si="25"/>
        <v/>
      </c>
      <c r="P85" s="1753" t="str">
        <f t="shared" si="19"/>
        <v/>
      </c>
      <c r="Q85" s="1754">
        <f t="shared" si="24"/>
        <v>0</v>
      </c>
      <c r="R85" s="1755">
        <f t="shared" si="21"/>
        <v>0</v>
      </c>
      <c r="S85" s="1753" t="str">
        <f t="shared" si="26"/>
        <v/>
      </c>
      <c r="T85" s="1756" t="str">
        <f t="shared" si="27"/>
        <v/>
      </c>
      <c r="U85" s="1614"/>
      <c r="V85" s="1614">
        <v>6160</v>
      </c>
      <c r="W85" s="1614">
        <v>6340</v>
      </c>
      <c r="X85" s="1614">
        <v>6330</v>
      </c>
      <c r="Y85" s="1614">
        <v>953</v>
      </c>
      <c r="Z85" s="1614">
        <v>6.64</v>
      </c>
      <c r="AA85" s="1620">
        <v>11.973343999999999</v>
      </c>
      <c r="AB85" s="508">
        <v>0</v>
      </c>
      <c r="AC85" s="1621">
        <v>0</v>
      </c>
    </row>
    <row r="86" spans="1:29" ht="20" customHeight="1">
      <c r="A86" s="1614">
        <f>IFERROR(MATCH(C86,'دیده بان بازار'!$A$5:$A$3994,0 )+4,"Closed")</f>
        <v>503</v>
      </c>
      <c r="B86" s="1652" t="s">
        <v>189</v>
      </c>
      <c r="C86" s="1652" t="s">
        <v>190</v>
      </c>
      <c r="D86" s="1618" t="s">
        <v>191</v>
      </c>
      <c r="E86" s="1614"/>
      <c r="F86" s="119">
        <f>IFERROR(_xlfn.LET(_xlpm.lookup_result,_xlfn.XLOOKUP($C86,'دیده بان بازار'!$A$5:$A$3994,'دیده بان بازار'!F$5:F$3994),IF(ISERROR(_xlpm.lookup_result),V86,_xlpm.lookup_result)),V86)</f>
        <v>176256</v>
      </c>
      <c r="G86" s="119">
        <f>IFERROR(_xlfn.LET(_xlpm.lookup_result,_xlfn.XLOOKUP($C86,'دیده بان بازار'!$A$5:$A$3994,'دیده بان بازار'!H$5:H$3994),IF(ISERROR(_xlpm.lookup_result),W86,_xlpm.lookup_result)),W86)</f>
        <v>175200</v>
      </c>
      <c r="H86" s="119">
        <f>IFERROR(_xlfn.LET(_xlpm.lookup_result,_xlfn.XLOOKUP($C86,'دیده بان بازار'!$A$5:$A$3994,'دیده بان بازار'!K$5:K$3994),IF(ISERROR(_xlpm.lookup_result),X86,_xlpm.lookup_result)),X86)</f>
        <v>175399</v>
      </c>
      <c r="I86" s="119" t="str">
        <f>IFERROR(_xlfn.LET(_xlpm.lookup_result,_xlfn.XLOOKUP($C86,'دیده بان بازار'!$A$5:$A$3994,'دیده بان بازار'!P$5:P$3994),IF(ISERROR(_xlpm.lookup_result),Y86,_xlpm.lookup_result)),Y86)</f>
        <v/>
      </c>
      <c r="J86" s="119" t="str">
        <f>IFERROR(_xlfn.LET(_xlpm.lookup_result,_xlfn.XLOOKUP($C86,'دیده بان بازار'!$A$5:$A$3994,'دیده بان بازار'!Q$5:Q$3994),IF(ISERROR(_xlpm.lookup_result),Z86,_xlpm.lookup_result)),Z86)</f>
        <v/>
      </c>
      <c r="K86" s="1667">
        <f>_xlfn.XLOOKUP(C86,'MOPFRA Portfolio'!P61:P75,'MOPFRA Portfolio'!Z61:Z75,"")/1000</f>
        <v>175.2</v>
      </c>
      <c r="L86" s="1742">
        <f>_xlfn.XLOOKUP(C86,'MOPFRA Portfolio'!$P$8:$P$78,'MOPFRA Portfolio'!$AT$8:$AT$78,"")</f>
        <v>300000</v>
      </c>
      <c r="M86" s="1665">
        <f>_xlfn.XLOOKUP(C86,'MOPFRA Portfolio'!$P$8:$P$78,'MOPFRA Portfolio'!$AU$8:$AU$78,"")</f>
        <v>5209747.2</v>
      </c>
      <c r="O86" s="1752"/>
      <c r="P86" s="1753"/>
      <c r="Q86" s="1754"/>
      <c r="R86" s="1755"/>
      <c r="S86" s="1753"/>
      <c r="T86" s="1756"/>
      <c r="U86" s="1614"/>
      <c r="V86" s="1614">
        <v>175626</v>
      </c>
      <c r="W86" s="1614">
        <v>176281</v>
      </c>
      <c r="X86" s="1614">
        <v>176256</v>
      </c>
      <c r="Y86" s="1614" t="s">
        <v>192</v>
      </c>
      <c r="Z86" s="1614" t="s">
        <v>192</v>
      </c>
      <c r="AA86" s="1620">
        <v>176.28100000000001</v>
      </c>
      <c r="AB86" s="508">
        <v>270000</v>
      </c>
      <c r="AC86" s="1621">
        <v>4717702.6343999999</v>
      </c>
    </row>
    <row r="87" spans="1:29" ht="20" customHeight="1">
      <c r="A87" s="1614">
        <f>IFERROR(MATCH(C87,'دیده بان بازار'!$A$5:$A$3994,0 )+4,"Closed")</f>
        <v>1887</v>
      </c>
      <c r="B87" s="1652" t="s">
        <v>193</v>
      </c>
      <c r="C87" s="1652" t="s">
        <v>194</v>
      </c>
      <c r="D87" s="1618" t="s">
        <v>191</v>
      </c>
      <c r="E87" s="1614"/>
      <c r="F87" s="119">
        <f>IFERROR(_xlfn.LET(_xlpm.lookup_result,_xlfn.XLOOKUP($C87,'دیده بان بازار'!$A$5:$A$3994,'دیده بان بازار'!F$5:F$3994),IF(ISERROR(_xlpm.lookup_result),V87,_xlpm.lookup_result)),V87)</f>
        <v>508624</v>
      </c>
      <c r="G87" s="119">
        <f>IFERROR(_xlfn.LET(_xlpm.lookup_result,_xlfn.XLOOKUP($C87,'دیده بان بازار'!$A$5:$A$3994,'دیده بان بازار'!H$5:H$3994),IF(ISERROR(_xlpm.lookup_result),W87,_xlpm.lookup_result)),W87)</f>
        <v>504830</v>
      </c>
      <c r="H87" s="119">
        <f>IFERROR(_xlfn.LET(_xlpm.lookup_result,_xlfn.XLOOKUP($C87,'دیده بان بازار'!$A$5:$A$3994,'دیده بان بازار'!K$5:K$3994),IF(ISERROR(_xlpm.lookup_result),X87,_xlpm.lookup_result)),X87)</f>
        <v>505491</v>
      </c>
      <c r="I87" s="119" t="str">
        <f>IFERROR(_xlfn.LET(_xlpm.lookup_result,_xlfn.XLOOKUP($C87,'دیده بان بازار'!$A$5:$A$3994,'دیده بان بازار'!P$5:P$3994),IF(ISERROR(_xlpm.lookup_result),Y87,_xlpm.lookup_result)),Y87)</f>
        <v/>
      </c>
      <c r="J87" s="119" t="str">
        <f>IFERROR(_xlfn.LET(_xlpm.lookup_result,_xlfn.XLOOKUP($C87,'دیده بان بازار'!$A$5:$A$3994,'دیده بان بازار'!Q$5:Q$3994),IF(ISERROR(_xlpm.lookup_result),Z87,_xlpm.lookup_result)),Z87)</f>
        <v/>
      </c>
      <c r="K87" s="1667">
        <f>_xlfn.XLOOKUP(C87,'MOPFRA Portfolio'!P62:P76,'MOPFRA Portfolio'!Z62:Z76,"")/1000</f>
        <v>504.83</v>
      </c>
      <c r="L87" s="1742">
        <f>_xlfn.XLOOKUP(C87,'MOPFRA Portfolio'!$P$8:$P$78,'MOPFRA Portfolio'!$AT$8:$AT$78,"")</f>
        <v>20000</v>
      </c>
      <c r="M87" s="1665">
        <f>_xlfn.XLOOKUP(C87,'MOPFRA Portfolio'!$P$8:$P$78,'MOPFRA Portfolio'!$AU$8:$AU$78,"")</f>
        <v>1000774.992</v>
      </c>
      <c r="O87" s="1752"/>
      <c r="P87" s="1753"/>
      <c r="Q87" s="1754"/>
      <c r="R87" s="1755"/>
      <c r="S87" s="1753"/>
      <c r="T87" s="1756"/>
      <c r="U87" s="1614"/>
      <c r="V87" s="1614">
        <v>506257</v>
      </c>
      <c r="W87" s="1614">
        <v>508199</v>
      </c>
      <c r="X87" s="1614">
        <v>508624</v>
      </c>
      <c r="Y87" s="1614" t="s">
        <v>192</v>
      </c>
      <c r="Z87" s="1614" t="s">
        <v>192</v>
      </c>
      <c r="AA87" s="1620">
        <v>508.19900000000001</v>
      </c>
      <c r="AB87" s="508">
        <v>20000</v>
      </c>
      <c r="AC87" s="1621">
        <v>1007453.6976</v>
      </c>
    </row>
    <row r="88" spans="1:29" ht="20" customHeight="1">
      <c r="A88" s="1614">
        <f>IFERROR(MATCH(C88,'دیده بان بازار'!$A$5:$A$3994,0 )+4,"Closed")</f>
        <v>1774</v>
      </c>
      <c r="B88" s="1652" t="s">
        <v>195</v>
      </c>
      <c r="C88" s="1652" t="s">
        <v>196</v>
      </c>
      <c r="D88" s="1618" t="s">
        <v>197</v>
      </c>
      <c r="E88" s="1614"/>
      <c r="F88" s="119">
        <f>IFERROR(_xlfn.LET(_xlpm.lookup_result,_xlfn.XLOOKUP($C88,'دیده بان بازار'!$A$5:$A$3994,'دیده بان بازار'!F$5:F$3994),IF(ISERROR(_xlpm.lookup_result),V88,_xlpm.lookup_result)),V88)</f>
        <v>1199</v>
      </c>
      <c r="G88" s="119">
        <f>IFERROR(_xlfn.LET(_xlpm.lookup_result,_xlfn.XLOOKUP($C88,'دیده بان بازار'!$A$5:$A$3994,'دیده بان بازار'!H$5:H$3994),IF(ISERROR(_xlpm.lookup_result),W88,_xlpm.lookup_result)),W88)</f>
        <v>1234</v>
      </c>
      <c r="H88" s="119">
        <f>IFERROR(_xlfn.LET(_xlpm.lookup_result,_xlfn.XLOOKUP($C88,'دیده بان بازار'!$A$5:$A$3994,'دیده بان بازار'!K$5:K$3994),IF(ISERROR(_xlpm.lookup_result),X88,_xlpm.lookup_result)),X88)</f>
        <v>1234</v>
      </c>
      <c r="I88" s="119">
        <f>IFERROR(_xlfn.LET(_xlpm.lookup_result,_xlfn.XLOOKUP($C88,'دیده بان بازار'!$A$5:$A$3994,'دیده بان بازار'!P$5:P$3994),IF(ISERROR(_xlpm.lookup_result),Y88,_xlpm.lookup_result)),Y88)</f>
        <v>454</v>
      </c>
      <c r="J88" s="119">
        <f>IFERROR(_xlfn.LET(_xlpm.lookup_result,_xlfn.XLOOKUP($C88,'دیده بان بازار'!$A$5:$A$3994,'دیده بان بازار'!Q$5:Q$3994),IF(ISERROR(_xlpm.lookup_result),Z88,_xlpm.lookup_result)),Z88)</f>
        <v>2.72</v>
      </c>
      <c r="K88" s="1667">
        <f>_xlfn.XLOOKUP(C88,'MOPFRA Portfolio'!P64:P76,'MOPFRA Portfolio'!Z64:Z76,"")/1000</f>
        <v>417.33879999999999</v>
      </c>
      <c r="L88" s="1742">
        <f>_xlfn.XLOOKUP(C88,'MOPFRA Portfolio'!$P$8:$P$78,'MOPFRA Portfolio'!$AT$8:$AT$78,"")</f>
        <v>2000000</v>
      </c>
      <c r="M88" s="1665">
        <f>_xlfn.XLOOKUP(C88,'MOPFRA Portfolio'!$P$8:$P$78,'MOPFRA Portfolio'!$AU$8:$AU$78,"")</f>
        <v>244628.16</v>
      </c>
      <c r="O88" s="1752" t="str">
        <f t="shared" si="25"/>
        <v/>
      </c>
      <c r="P88" s="1753">
        <f t="shared" si="19"/>
        <v>5.9740741673366315</v>
      </c>
      <c r="Q88" s="1754">
        <f t="shared" si="24"/>
        <v>6.6281911646402598</v>
      </c>
      <c r="R88" s="1755">
        <f t="shared" ref="R88:R100" si="28">IFERROR((($AB88*$G88*0.9912*0.0001)-AC88)*100/ABS($AC$108),"")</f>
        <v>0.65411699730362793</v>
      </c>
      <c r="S88" s="1753" t="str">
        <f t="shared" si="26"/>
        <v/>
      </c>
      <c r="T88" s="1756" t="str">
        <f t="shared" si="27"/>
        <v/>
      </c>
      <c r="U88" s="1614"/>
      <c r="V88" s="1614">
        <v>1165</v>
      </c>
      <c r="W88" s="1614">
        <v>1199</v>
      </c>
      <c r="X88" s="1614">
        <v>1199</v>
      </c>
      <c r="Y88" s="1614">
        <v>454</v>
      </c>
      <c r="Z88" s="1614">
        <v>2.64</v>
      </c>
      <c r="AA88" s="1623">
        <v>405.5018</v>
      </c>
      <c r="AB88" s="508">
        <v>2000000</v>
      </c>
      <c r="AC88" s="1621">
        <v>237689.75999999998</v>
      </c>
    </row>
    <row r="89" spans="1:29" ht="20" customHeight="1">
      <c r="A89" s="1614">
        <f>IFERROR(MATCH(C89,'دیده بان بازار'!$A$5:$A$3994,0 )+4,"Closed")</f>
        <v>2649</v>
      </c>
      <c r="B89" s="1652" t="s">
        <v>198</v>
      </c>
      <c r="C89" s="1652" t="s">
        <v>199</v>
      </c>
      <c r="D89" s="1619" t="s">
        <v>197</v>
      </c>
      <c r="E89" s="1614"/>
      <c r="F89" s="119">
        <f>IFERROR(_xlfn.LET(_xlpm.lookup_result,_xlfn.XLOOKUP($C89,'دیده بان بازار'!$A$5:$A$3994,'دیده بان بازار'!F$5:F$3994),IF(ISERROR(_xlpm.lookup_result),V89,_xlpm.lookup_result)),V89)</f>
        <v>642</v>
      </c>
      <c r="G89" s="119">
        <f>IFERROR(_xlfn.LET(_xlpm.lookup_result,_xlfn.XLOOKUP($C89,'دیده بان بازار'!$A$5:$A$3994,'دیده بان بازار'!H$5:H$3994),IF(ISERROR(_xlpm.lookup_result),W89,_xlpm.lookup_result)),W89)</f>
        <v>661</v>
      </c>
      <c r="H89" s="119">
        <f>IFERROR(_xlfn.LET(_xlpm.lookup_result,_xlfn.XLOOKUP($C89,'دیده بان بازار'!$A$5:$A$3994,'دیده بان بازار'!K$5:K$3994),IF(ISERROR(_xlpm.lookup_result),X89,_xlpm.lookup_result)),X89)</f>
        <v>661</v>
      </c>
      <c r="I89" s="119">
        <f>IFERROR(_xlfn.LET(_xlpm.lookup_result,_xlfn.XLOOKUP($C89,'دیده بان بازار'!$A$5:$A$3994,'دیده بان بازار'!P$5:P$3994),IF(ISERROR(_xlpm.lookup_result),Y89,_xlpm.lookup_result)),Y89)</f>
        <v>105</v>
      </c>
      <c r="J89" s="119">
        <f>IFERROR(_xlfn.LET(_xlpm.lookup_result,_xlfn.XLOOKUP($C89,'دیده بان بازار'!$A$5:$A$3994,'دیده بان بازار'!Q$5:Q$3994),IF(ISERROR(_xlpm.lookup_result),Z89,_xlpm.lookup_result)),Z89)</f>
        <v>6.3</v>
      </c>
      <c r="K89" s="1667">
        <f>_xlfn.XLOOKUP(C89,'MOPFRA Portfolio'!P65:P78,'MOPFRA Portfolio'!Z65:Z78,"")/1000</f>
        <v>105.13866</v>
      </c>
      <c r="L89" s="1742">
        <f>_xlfn.XLOOKUP(C89,'MOPFRA Portfolio'!$P$8:$P$78,'MOPFRA Portfolio'!$AT$8:$AT$78,"")</f>
        <v>859705</v>
      </c>
      <c r="M89" s="1665">
        <f>_xlfn.XLOOKUP(C89,'MOPFRA Portfolio'!$P$8:$P$78,'MOPFRA Portfolio'!$AU$8:$AU$78,"")</f>
        <v>56326.427295599999</v>
      </c>
      <c r="O89" s="1752" t="str">
        <f t="shared" si="25"/>
        <v/>
      </c>
      <c r="P89" s="1753">
        <f t="shared" si="19"/>
        <v>1.5396261613116426</v>
      </c>
      <c r="Q89" s="1754">
        <f t="shared" si="24"/>
        <v>1.6922633814569474</v>
      </c>
      <c r="R89" s="1755">
        <f t="shared" si="28"/>
        <v>0.15263722014530481</v>
      </c>
      <c r="S89" s="1753" t="str">
        <f t="shared" si="26"/>
        <v/>
      </c>
      <c r="T89" s="1756" t="str">
        <f t="shared" si="27"/>
        <v/>
      </c>
      <c r="U89" s="1614"/>
      <c r="V89" s="1614">
        <v>624</v>
      </c>
      <c r="W89" s="1614">
        <v>642</v>
      </c>
      <c r="X89" s="1614">
        <v>642</v>
      </c>
      <c r="Y89" s="1614">
        <v>105</v>
      </c>
      <c r="Z89" s="1614">
        <v>6.11</v>
      </c>
      <c r="AA89" s="1623">
        <v>102.11652000000001</v>
      </c>
      <c r="AB89" s="508">
        <v>859705</v>
      </c>
      <c r="AC89" s="1621">
        <v>54707.362063200002</v>
      </c>
    </row>
    <row r="90" spans="1:29" ht="20" customHeight="1">
      <c r="A90" s="1614">
        <f>IFERROR(MATCH(C90,'دیده بان بازار'!$A$5:$A$3994,0 )+4,"Closed")</f>
        <v>2170</v>
      </c>
      <c r="B90" s="1652" t="s">
        <v>200</v>
      </c>
      <c r="C90" s="1652" t="s">
        <v>201</v>
      </c>
      <c r="D90" s="1619" t="s">
        <v>197</v>
      </c>
      <c r="E90" s="1614"/>
      <c r="F90" s="119">
        <f>IFERROR(_xlfn.LET(_xlpm.lookup_result,_xlfn.XLOOKUP($C90,'دیده بان بازار'!$A$5:$A$3994,'دیده بان بازار'!F$5:F$3994),IF(ISERROR(_xlpm.lookup_result),V90,_xlpm.lookup_result)),V90)</f>
        <v>7420</v>
      </c>
      <c r="G90" s="119">
        <f>IFERROR(_xlfn.LET(_xlpm.lookup_result,_xlfn.XLOOKUP($C90,'دیده بان بازار'!$A$5:$A$3994,'دیده بان بازار'!H$5:H$3994),IF(ISERROR(_xlpm.lookup_result),W90,_xlpm.lookup_result)),W90)</f>
        <v>7640</v>
      </c>
      <c r="H90" s="119">
        <f>IFERROR(_xlfn.LET(_xlpm.lookup_result,_xlfn.XLOOKUP($C90,'دیده بان بازار'!$A$5:$A$3994,'دیده بان بازار'!K$5:K$3994),IF(ISERROR(_xlpm.lookup_result),X90,_xlpm.lookup_result)),X90)</f>
        <v>7640</v>
      </c>
      <c r="I90" s="119">
        <f>IFERROR(_xlfn.LET(_xlpm.lookup_result,_xlfn.XLOOKUP($C90,'دیده بان بازار'!$A$5:$A$3994,'دیده بان بازار'!P$5:P$3994),IF(ISERROR(_xlpm.lookup_result),Y90,_xlpm.lookup_result)),Y90)</f>
        <v>1396</v>
      </c>
      <c r="J90" s="119">
        <f>IFERROR(_xlfn.LET(_xlpm.lookup_result,_xlfn.XLOOKUP($C90,'دیده بان بازار'!$A$5:$A$3994,'دیده بان بازار'!Q$5:Q$3994),IF(ISERROR(_xlpm.lookup_result),Z90,_xlpm.lookup_result)),Z90)</f>
        <v>5.47</v>
      </c>
      <c r="K90" s="1667">
        <f>_xlfn.XLOOKUP(C90,'MOPFRA Portfolio'!P66:P79,'MOPFRA Portfolio'!Z66:Z79,"")/1000</f>
        <v>120.712</v>
      </c>
      <c r="L90" s="1742">
        <f>_xlfn.XLOOKUP(C90,'MOPFRA Portfolio'!$P$8:$P$78,'MOPFRA Portfolio'!$AT$8:$AT$78,"")</f>
        <v>70000</v>
      </c>
      <c r="M90" s="1665">
        <f>_xlfn.XLOOKUP(C90,'MOPFRA Portfolio'!$P$8:$P$78,'MOPFRA Portfolio'!$AU$8:$AU$78,"")</f>
        <v>53009.375999999997</v>
      </c>
      <c r="O90" s="1752" t="str">
        <f t="shared" si="25"/>
        <v/>
      </c>
      <c r="P90" s="1753">
        <f t="shared" si="19"/>
        <v>1.8024989651880789</v>
      </c>
      <c r="Q90" s="1754">
        <f t="shared" si="24"/>
        <v>1.9464047045948769</v>
      </c>
      <c r="R90" s="1755">
        <f t="shared" si="28"/>
        <v>0.14390573940679804</v>
      </c>
      <c r="S90" s="1753" t="str">
        <f t="shared" si="26"/>
        <v/>
      </c>
      <c r="T90" s="1756" t="str">
        <f t="shared" si="27"/>
        <v/>
      </c>
      <c r="U90" s="1614"/>
      <c r="V90" s="1614">
        <v>7210</v>
      </c>
      <c r="W90" s="1614">
        <v>7420</v>
      </c>
      <c r="X90" s="1614">
        <v>7420</v>
      </c>
      <c r="Y90" s="1614">
        <v>1396</v>
      </c>
      <c r="Z90" s="1614">
        <v>5.32</v>
      </c>
      <c r="AA90" s="1623">
        <v>117.236</v>
      </c>
      <c r="AB90" s="508">
        <v>70000</v>
      </c>
      <c r="AC90" s="1621">
        <v>51482.928</v>
      </c>
    </row>
    <row r="91" spans="1:29" ht="20" customHeight="1">
      <c r="A91" s="1614">
        <f>IFERROR(MATCH(C91,'دیده بان بازار'!$A$5:$A$3994,0 )+4,"Closed")</f>
        <v>1443</v>
      </c>
      <c r="B91" s="1652" t="s">
        <v>202</v>
      </c>
      <c r="C91" s="1652" t="s">
        <v>203</v>
      </c>
      <c r="D91" s="1619" t="s">
        <v>197</v>
      </c>
      <c r="E91" s="1614"/>
      <c r="F91" s="119">
        <f>IFERROR(_xlfn.LET(_xlpm.lookup_result,_xlfn.XLOOKUP($C91,'دیده بان بازار'!$A$5:$A$3994,'دیده بان بازار'!F$5:F$3994),IF(ISERROR(_xlpm.lookup_result),V91,_xlpm.lookup_result)),V91)</f>
        <v>2718</v>
      </c>
      <c r="G91" s="119">
        <f>IFERROR(_xlfn.LET(_xlpm.lookup_result,_xlfn.XLOOKUP($C91,'دیده بان بازار'!$A$5:$A$3994,'دیده بان بازار'!H$5:H$3994),IF(ISERROR(_xlpm.lookup_result),W91,_xlpm.lookup_result)),W91)</f>
        <v>2799</v>
      </c>
      <c r="H91" s="119">
        <f>IFERROR(_xlfn.LET(_xlpm.lookup_result,_xlfn.XLOOKUP($C91,'دیده بان بازار'!$A$5:$A$3994,'دیده بان بازار'!K$5:K$3994),IF(ISERROR(_xlpm.lookup_result),X91,_xlpm.lookup_result)),X91)</f>
        <v>2799</v>
      </c>
      <c r="I91" s="119">
        <f>IFERROR(_xlfn.LET(_xlpm.lookup_result,_xlfn.XLOOKUP($C91,'دیده بان بازار'!$A$5:$A$3994,'دیده بان بازار'!P$5:P$3994),IF(ISERROR(_xlpm.lookup_result),Y91,_xlpm.lookup_result)),Y91)</f>
        <v>584</v>
      </c>
      <c r="J91" s="119">
        <f>IFERROR(_xlfn.LET(_xlpm.lookup_result,_xlfn.XLOOKUP($C91,'دیده بان بازار'!$A$5:$A$3994,'دیده بان بازار'!Q$5:Q$3994),IF(ISERROR(_xlpm.lookup_result),Z91,_xlpm.lookup_result)),Z91)</f>
        <v>4.79</v>
      </c>
      <c r="K91" s="1667">
        <f>_xlfn.XLOOKUP(C91,'MOPFRA Portfolio'!P67:P80,'MOPFRA Portfolio'!Z67:Z80,"")/1000</f>
        <v>21.868586999999998</v>
      </c>
      <c r="L91" s="1742">
        <f>_xlfn.XLOOKUP(C91,'MOPFRA Portfolio'!$P$8:$P$78,'MOPFRA Portfolio'!$AT$8:$AT$78,"")</f>
        <v>120000</v>
      </c>
      <c r="M91" s="1665">
        <f>_xlfn.XLOOKUP(C91,'MOPFRA Portfolio'!$P$8:$P$78,'MOPFRA Portfolio'!$AU$8:$AU$78,"")</f>
        <v>33292.425600000002</v>
      </c>
      <c r="O91" s="1752" t="str">
        <f t="shared" ref="O91" si="29">IF(AND(Q91&lt;0,R91&lt;0,Q91&lt;R91),Q91-R91,"")</f>
        <v/>
      </c>
      <c r="P91" s="1753">
        <f t="shared" ref="P91" si="30">IF(AND(Q91&gt;=0,R91&gt;=0,Q91&gt;R91),Q91-R91,"")</f>
        <v>0.26354058902289124</v>
      </c>
      <c r="Q91" s="1754">
        <f t="shared" ref="Q91" si="31">IFERROR(((K91-AA91)*100)/ABS($K$106),"")</f>
        <v>0.35436940636276654</v>
      </c>
      <c r="R91" s="1755">
        <f t="shared" ref="R91" si="32">IFERROR((($AB91*$G91*0.9912*0.0001)-AC91)*100/ABS($AC$108),"")</f>
        <v>9.0828817339875301E-2</v>
      </c>
      <c r="S91" s="1753" t="str">
        <f t="shared" ref="S91" si="33">IF(AND(R91&gt;0,Q91&gt;0,R91&gt;Q91),R91-Q91,"")</f>
        <v/>
      </c>
      <c r="T91" s="1756" t="str">
        <f t="shared" ref="T91" si="34">IF(AND(R91&lt;0,Q91&lt;0,R91&lt;Q91),R91-Q91,"")</f>
        <v/>
      </c>
      <c r="U91" s="1614"/>
      <c r="V91" s="1614">
        <v>2639</v>
      </c>
      <c r="W91" s="1614">
        <v>2718</v>
      </c>
      <c r="X91" s="1614">
        <v>2718</v>
      </c>
      <c r="Y91" s="1614">
        <v>584</v>
      </c>
      <c r="Z91" s="1614">
        <v>4.6500000000000004</v>
      </c>
      <c r="AA91" s="1623">
        <v>21.235734000000001</v>
      </c>
      <c r="AB91" s="508">
        <v>120000</v>
      </c>
      <c r="AC91" s="1621">
        <v>32328.979199999998</v>
      </c>
    </row>
    <row r="92" spans="1:29" ht="23" customHeight="1">
      <c r="A92" s="1614">
        <f>IFERROR(MATCH(C92,'دیده بان بازار'!$A$5:$A$3994,0 )+4,"Closed")</f>
        <v>1921</v>
      </c>
      <c r="B92" s="1652" t="s">
        <v>204</v>
      </c>
      <c r="C92" s="1652" t="s">
        <v>205</v>
      </c>
      <c r="D92" s="1619" t="s">
        <v>206</v>
      </c>
      <c r="E92" s="1614"/>
      <c r="F92" s="119">
        <f>IFERROR(_xlfn.LET(_xlpm.lookup_result,_xlfn.XLOOKUP($C92,'دیده بان بازار'!$A$5:$A$3994,'دیده بان بازار'!F$5:F$3994),IF(ISERROR(_xlpm.lookup_result),V92,_xlpm.lookup_result)),V92)</f>
        <v>16497</v>
      </c>
      <c r="G92" s="119">
        <f>IFERROR(_xlfn.LET(_xlpm.lookup_result,_xlfn.XLOOKUP($C92,'دیده بان بازار'!$A$5:$A$3994,'دیده بان بازار'!H$5:H$3994),IF(ISERROR(_xlpm.lookup_result),W92,_xlpm.lookup_result)),W92)</f>
        <v>16991</v>
      </c>
      <c r="H92" s="119">
        <f>IFERROR(_xlfn.LET(_xlpm.lookup_result,_xlfn.XLOOKUP($C92,'دیده بان بازار'!$A$5:$A$3994,'دیده بان بازار'!K$5:K$3994),IF(ISERROR(_xlpm.lookup_result),X92,_xlpm.lookup_result)),X92)</f>
        <v>16991</v>
      </c>
      <c r="I92" s="119" t="str">
        <f>IFERROR(_xlfn.LET(_xlpm.lookup_result,_xlfn.XLOOKUP($C92,'دیده بان بازار'!$A$5:$A$3994,'دیده بان بازار'!P$5:P$3994),IF(ISERROR(_xlpm.lookup_result),Y92,_xlpm.lookup_result)),Y92)</f>
        <v/>
      </c>
      <c r="J92" s="119" t="str">
        <f>IFERROR(_xlfn.LET(_xlpm.lookup_result,_xlfn.XLOOKUP($C92,'دیده بان بازار'!$A$5:$A$3994,'دیده بان بازار'!Q$5:Q$3994),IF(ISERROR(_xlpm.lookup_result),Z92,_xlpm.lookup_result)),Z92)</f>
        <v/>
      </c>
      <c r="K92" s="1667">
        <f>_xlfn.XLOOKUP(C92,'MOPFRA Portfolio'!P63:P80,'MOPFRA Portfolio'!Z63:Z80,"")/1000</f>
        <v>16.991</v>
      </c>
      <c r="L92" s="1742">
        <f>_xlfn.XLOOKUP(C92,'MOPFRA Portfolio'!$P$8:$P$78,'MOPFRA Portfolio'!$AT$8:$AT$78,"")</f>
        <v>270000</v>
      </c>
      <c r="M92" s="1665">
        <f>_xlfn.XLOOKUP(C92,'MOPFRA Portfolio'!$P$8:$P$78,'MOPFRA Portfolio'!$AU$8:$AU$78,"")</f>
        <v>454719.93839999998</v>
      </c>
      <c r="O92" s="1752"/>
      <c r="P92" s="1753"/>
      <c r="Q92" s="1754"/>
      <c r="R92" s="1755"/>
      <c r="S92" s="1753"/>
      <c r="T92" s="1756"/>
      <c r="U92" s="1614"/>
      <c r="V92" s="1614">
        <v>16081</v>
      </c>
      <c r="W92" s="1614">
        <v>16550</v>
      </c>
      <c r="X92" s="1614">
        <v>16497</v>
      </c>
      <c r="Y92" s="1614" t="s">
        <v>192</v>
      </c>
      <c r="Z92" s="1614" t="s">
        <v>192</v>
      </c>
      <c r="AA92" s="1623">
        <v>16.55</v>
      </c>
      <c r="AB92" s="508">
        <v>270000</v>
      </c>
      <c r="AC92" s="1621">
        <v>442917.72</v>
      </c>
    </row>
    <row r="93" spans="1:29" ht="23" customHeight="1">
      <c r="A93" s="1614">
        <f>IFERROR(MATCH(C93,'دیده بان بازار'!$A$5:$A$3994,0 )+4,"Closed")</f>
        <v>2909</v>
      </c>
      <c r="B93" s="1652" t="s">
        <v>207</v>
      </c>
      <c r="C93" s="1652" t="s">
        <v>208</v>
      </c>
      <c r="D93" s="1619" t="s">
        <v>209</v>
      </c>
      <c r="E93" s="1614"/>
      <c r="F93" s="119">
        <f>IFERROR(_xlfn.LET(_xlpm.lookup_result,_xlfn.XLOOKUP($C93,'دیده بان بازار'!$A$5:$A$3994,'دیده بان بازار'!F$5:F$3994),IF(ISERROR(_xlpm.lookup_result),V93,_xlpm.lookup_result)),V93)</f>
        <v>16363</v>
      </c>
      <c r="G93" s="119">
        <f>IFERROR(_xlfn.LET(_xlpm.lookup_result,_xlfn.XLOOKUP($C93,'دیده بان بازار'!$A$5:$A$3994,'دیده بان بازار'!H$5:H$3994),IF(ISERROR(_xlpm.lookup_result),W93,_xlpm.lookup_result)),W93)</f>
        <v>16845</v>
      </c>
      <c r="H93" s="119">
        <f>IFERROR(_xlfn.LET(_xlpm.lookup_result,_xlfn.XLOOKUP($C93,'دیده بان بازار'!$A$5:$A$3994,'دیده بان بازار'!K$5:K$3994),IF(ISERROR(_xlpm.lookup_result),X93,_xlpm.lookup_result)),X93)</f>
        <v>16838</v>
      </c>
      <c r="I93" s="119" t="str">
        <f>IFERROR(_xlfn.LET(_xlpm.lookup_result,_xlfn.XLOOKUP($C93,'دیده بان بازار'!$A$5:$A$3994,'دیده بان بازار'!P$5:P$3994),IF(ISERROR(_xlpm.lookup_result),Y93,_xlpm.lookup_result)),Y93)</f>
        <v/>
      </c>
      <c r="J93" s="119" t="str">
        <f>IFERROR(_xlfn.LET(_xlpm.lookup_result,_xlfn.XLOOKUP($C93,'دیده بان بازار'!$A$5:$A$3994,'دیده بان بازار'!Q$5:Q$3994),IF(ISERROR(_xlpm.lookup_result),Z93,_xlpm.lookup_result)),Z93)</f>
        <v/>
      </c>
      <c r="K93" s="1667">
        <f>_xlfn.XLOOKUP(C93,'MOPFRA Portfolio'!P64:P81,'MOPFRA Portfolio'!Z64:Z81,"")/1000</f>
        <v>16.844999999999999</v>
      </c>
      <c r="L93" s="1742">
        <f>_xlfn.XLOOKUP(C93,'MOPFRA Portfolio'!$P$8:$P$78,'MOPFRA Portfolio'!$AT$8:$AT$78,"")</f>
        <v>50000</v>
      </c>
      <c r="M93" s="1665">
        <f>_xlfn.XLOOKUP(C93,'MOPFRA Portfolio'!$P$8:$P$78,'MOPFRA Portfolio'!$AU$8:$AU$78,"")</f>
        <v>83483.819999999992</v>
      </c>
      <c r="O93" s="1752"/>
      <c r="P93" s="1753"/>
      <c r="Q93" s="1754"/>
      <c r="R93" s="1755"/>
      <c r="S93" s="1753"/>
      <c r="T93" s="1756"/>
      <c r="U93" s="1614"/>
      <c r="V93" s="1614">
        <v>15898</v>
      </c>
      <c r="W93" s="1614">
        <v>16374</v>
      </c>
      <c r="X93" s="1614">
        <v>16363</v>
      </c>
      <c r="Y93" s="1614" t="s">
        <v>192</v>
      </c>
      <c r="Z93" s="1614" t="s">
        <v>192</v>
      </c>
      <c r="AA93" s="1623">
        <v>16.373999999999999</v>
      </c>
      <c r="AB93" s="508">
        <v>50000</v>
      </c>
      <c r="AC93" s="1621">
        <v>81149.543999999994</v>
      </c>
    </row>
    <row r="94" spans="1:29" ht="23" customHeight="1">
      <c r="A94" s="1614">
        <f>IFERROR(MATCH(C94,'دیده بان بازار'!$A$5:$A$3994,0 )+4,"Closed")</f>
        <v>713</v>
      </c>
      <c r="B94" s="1652" t="s">
        <v>210</v>
      </c>
      <c r="C94" s="1652" t="s">
        <v>211</v>
      </c>
      <c r="D94" s="1619" t="s">
        <v>209</v>
      </c>
      <c r="E94" s="1614"/>
      <c r="F94" s="119">
        <f>IFERROR(_xlfn.LET(_xlpm.lookup_result,_xlfn.XLOOKUP($C94,'دیده بان بازار'!$A$5:$A$3994,'دیده بان بازار'!F$5:F$3994),IF(ISERROR(_xlpm.lookup_result),V94,_xlpm.lookup_result)),V94)</f>
        <v>6920</v>
      </c>
      <c r="G94" s="119">
        <f>IFERROR(_xlfn.LET(_xlpm.lookup_result,_xlfn.XLOOKUP($C94,'دیده بان بازار'!$A$5:$A$3994,'دیده بان بازار'!H$5:H$3994),IF(ISERROR(_xlpm.lookup_result),W94,_xlpm.lookup_result)),W94)</f>
        <v>7120</v>
      </c>
      <c r="H94" s="119">
        <f>IFERROR(_xlfn.LET(_xlpm.lookup_result,_xlfn.XLOOKUP($C94,'دیده بان بازار'!$A$5:$A$3994,'دیده بان بازار'!K$5:K$3994),IF(ISERROR(_xlpm.lookup_result),X94,_xlpm.lookup_result)),X94)</f>
        <v>7120</v>
      </c>
      <c r="I94" s="119">
        <f>IFERROR(_xlfn.LET(_xlpm.lookup_result,_xlfn.XLOOKUP($C94,'دیده بان بازار'!$A$5:$A$3994,'دیده بان بازار'!P$5:P$3994),IF(ISERROR(_xlpm.lookup_result),Y94,_xlpm.lookup_result)),Y94)</f>
        <v>797</v>
      </c>
      <c r="J94" s="119">
        <f>IFERROR(_xlfn.LET(_xlpm.lookup_result,_xlfn.XLOOKUP($C94,'دیده بان بازار'!$A$5:$A$3994,'دیده بان بازار'!Q$5:Q$3994),IF(ISERROR(_xlpm.lookup_result),Z94,_xlpm.lookup_result)),Z94)</f>
        <v>8.93</v>
      </c>
      <c r="K94" s="1667">
        <f>_xlfn.XLOOKUP(C94,'MOPFRA Portfolio'!P65:P82,'MOPFRA Portfolio'!Z65:Z82,"")/1000</f>
        <v>3.4781200000000001</v>
      </c>
      <c r="L94" s="1742">
        <f>_xlfn.XLOOKUP(C94,'MOPFRA Portfolio'!$P$8:$P$78,'MOPFRA Portfolio'!$AT$8:$AT$78,"")</f>
        <v>30000</v>
      </c>
      <c r="M94" s="1665">
        <f>_xlfn.XLOOKUP(C94,'MOPFRA Portfolio'!$P$8:$P$78,'MOPFRA Portfolio'!$AU$8:$AU$78,"")</f>
        <v>21172.031999999999</v>
      </c>
      <c r="O94" s="1752" t="str">
        <f t="shared" ref="O94:O97" si="35">IF(AND(Q94&lt;0,R94&lt;0,Q94&lt;R94),Q94-R94,"")</f>
        <v/>
      </c>
      <c r="P94" s="1753" t="str">
        <f t="shared" ref="P94:P97" si="36">IF(AND(Q94&gt;=0,R94&gt;=0,Q94&gt;R94),Q94-R94,"")</f>
        <v/>
      </c>
      <c r="Q94" s="1754">
        <f t="shared" ref="Q94:Q97" si="37">IFERROR(((K94-AA94)*100)/ABS($K$106),"")</f>
        <v>5.1972253353559886E-2</v>
      </c>
      <c r="R94" s="1755">
        <f t="shared" ref="R94:R97" si="38">IFERROR((($AB94*$G94*0.9912*0.0001)-AC94)*100/ABS($AC$108),"")</f>
        <v>5.3263812637580996E-2</v>
      </c>
      <c r="S94" s="1753">
        <f t="shared" ref="S94:S97" si="39">IF(AND(R94&gt;0,Q94&gt;0,R94&gt;Q94),R94-Q94,"")</f>
        <v>1.2915592840211099E-3</v>
      </c>
      <c r="T94" s="1756" t="str">
        <f t="shared" ref="T94:T97" si="40">IF(AND(R94&lt;0,Q94&lt;0,R94&lt;Q94),R94-Q94,"")</f>
        <v/>
      </c>
      <c r="U94" s="1614"/>
      <c r="V94" s="1614">
        <v>6730</v>
      </c>
      <c r="W94" s="1614">
        <v>6930</v>
      </c>
      <c r="X94" s="1614">
        <v>6920</v>
      </c>
      <c r="Y94" s="1614">
        <v>797</v>
      </c>
      <c r="Z94" s="1614">
        <v>8.68</v>
      </c>
      <c r="AA94" s="1623">
        <v>3.3853049999999998</v>
      </c>
      <c r="AB94" s="508">
        <v>30000</v>
      </c>
      <c r="AC94" s="1621">
        <v>20607.047999999999</v>
      </c>
    </row>
    <row r="95" spans="1:29" ht="23" customHeight="1">
      <c r="A95" s="1614">
        <f>IFERROR(MATCH(C95,'دیده بان بازار'!$A$5:$A$3994,0 )+4,"Closed")</f>
        <v>1310</v>
      </c>
      <c r="B95" s="1652" t="s">
        <v>212</v>
      </c>
      <c r="C95" s="1652" t="s">
        <v>213</v>
      </c>
      <c r="D95" s="1619" t="s">
        <v>209</v>
      </c>
      <c r="E95" s="1614"/>
      <c r="F95" s="119">
        <f>IFERROR(_xlfn.LET(_xlpm.lookup_result,_xlfn.XLOOKUP($C95,'دیده بان بازار'!$A$5:$A$3994,'دیده بان بازار'!F$5:F$3994),IF(ISERROR(_xlpm.lookup_result),V95,_xlpm.lookup_result)),V95)</f>
        <v>18350</v>
      </c>
      <c r="G95" s="119">
        <f>IFERROR(_xlfn.LET(_xlpm.lookup_result,_xlfn.XLOOKUP($C95,'دیده بان بازار'!$A$5:$A$3994,'دیده بان بازار'!H$5:H$3994),IF(ISERROR(_xlpm.lookup_result),W95,_xlpm.lookup_result)),W95)</f>
        <v>18900</v>
      </c>
      <c r="H95" s="119">
        <f>IFERROR(_xlfn.LET(_xlpm.lookup_result,_xlfn.XLOOKUP($C95,'دیده بان بازار'!$A$5:$A$3994,'دیده بان بازار'!K$5:K$3994),IF(ISERROR(_xlpm.lookup_result),X95,_xlpm.lookup_result)),X95)</f>
        <v>18840</v>
      </c>
      <c r="I95" s="119">
        <f>IFERROR(_xlfn.LET(_xlpm.lookup_result,_xlfn.XLOOKUP($C95,'دیده بان بازار'!$A$5:$A$3994,'دیده بان بازار'!P$5:P$3994),IF(ISERROR(_xlpm.lookup_result),Y95,_xlpm.lookup_result)),Y95)</f>
        <v>2921</v>
      </c>
      <c r="J95" s="119">
        <f>IFERROR(_xlfn.LET(_xlpm.lookup_result,_xlfn.XLOOKUP($C95,'دیده بان بازار'!$A$5:$A$3994,'دیده بان بازار'!Q$5:Q$3994),IF(ISERROR(_xlpm.lookup_result),Z95,_xlpm.lookup_result)),Z95)</f>
        <v>6.45</v>
      </c>
      <c r="K95" s="1667">
        <f>_xlfn.XLOOKUP(C95,'MOPFRA Portfolio'!P66:P83,'MOPFRA Portfolio'!Z66:Z83,"")/1000</f>
        <v>2.7197100000000001</v>
      </c>
      <c r="L95" s="1742">
        <f>_xlfn.XLOOKUP(C95,'MOPFRA Portfolio'!$P$8:$P$78,'MOPFRA Portfolio'!$AT$8:$AT$78,"")</f>
        <v>10000</v>
      </c>
      <c r="M95" s="1665">
        <f>_xlfn.XLOOKUP(C95,'MOPFRA Portfolio'!$P$8:$P$78,'MOPFRA Portfolio'!$AU$8:$AU$78,"")</f>
        <v>18733.68</v>
      </c>
      <c r="O95" s="1752" t="str">
        <f t="shared" si="35"/>
        <v/>
      </c>
      <c r="P95" s="1753" t="str">
        <f t="shared" si="36"/>
        <v/>
      </c>
      <c r="Q95" s="1754">
        <f t="shared" si="37"/>
        <v>4.5123439791448096E-2</v>
      </c>
      <c r="R95" s="1755">
        <f t="shared" si="38"/>
        <v>5.2329359784290076E-2</v>
      </c>
      <c r="S95" s="1753">
        <f t="shared" si="39"/>
        <v>7.2059199928419804E-3</v>
      </c>
      <c r="T95" s="1756" t="str">
        <f t="shared" si="40"/>
        <v/>
      </c>
      <c r="U95" s="1614"/>
      <c r="V95" s="1614">
        <v>17860</v>
      </c>
      <c r="W95" s="1614">
        <v>18340</v>
      </c>
      <c r="X95" s="1614">
        <v>18350</v>
      </c>
      <c r="Y95" s="1614">
        <v>2921</v>
      </c>
      <c r="Z95" s="1614">
        <v>6.28</v>
      </c>
      <c r="AA95" s="1623">
        <v>2.6391260000000001</v>
      </c>
      <c r="AB95" s="508">
        <v>10000</v>
      </c>
      <c r="AC95" s="1621">
        <v>18178.608</v>
      </c>
    </row>
    <row r="96" spans="1:29" ht="23" customHeight="1">
      <c r="A96" s="1614">
        <f>IFERROR(MATCH(C96,'دیده بان بازار'!$A$5:$A$3994,0 )+4,"Closed")</f>
        <v>2892</v>
      </c>
      <c r="B96" s="1652" t="s">
        <v>214</v>
      </c>
      <c r="C96" s="1652" t="s">
        <v>215</v>
      </c>
      <c r="D96" s="1619" t="s">
        <v>209</v>
      </c>
      <c r="E96" s="1614"/>
      <c r="F96" s="119">
        <f>IFERROR(_xlfn.LET(_xlpm.lookup_result,_xlfn.XLOOKUP($C96,'دیده بان بازار'!$A$5:$A$3994,'دیده بان بازار'!F$5:F$3994),IF(ISERROR(_xlpm.lookup_result),V96,_xlpm.lookup_result)),V96)</f>
        <v>75140</v>
      </c>
      <c r="G96" s="119">
        <f>IFERROR(_xlfn.LET(_xlpm.lookup_result,_xlfn.XLOOKUP($C96,'دیده بان بازار'!$A$5:$A$3994,'دیده بان بازار'!H$5:H$3994),IF(ISERROR(_xlpm.lookup_result),W96,_xlpm.lookup_result)),W96)</f>
        <v>77390</v>
      </c>
      <c r="H96" s="119">
        <f>IFERROR(_xlfn.LET(_xlpm.lookup_result,_xlfn.XLOOKUP($C96,'دیده بان بازار'!$A$5:$A$3994,'دیده بان بازار'!K$5:K$3994),IF(ISERROR(_xlpm.lookup_result),X96,_xlpm.lookup_result)),X96)</f>
        <v>77390</v>
      </c>
      <c r="I96" s="119">
        <f>IFERROR(_xlfn.LET(_xlpm.lookup_result,_xlfn.XLOOKUP($C96,'دیده بان بازار'!$A$5:$A$3994,'دیده بان بازار'!P$5:P$3994),IF(ISERROR(_xlpm.lookup_result),Y96,_xlpm.lookup_result)),Y96)</f>
        <v>12169</v>
      </c>
      <c r="J96" s="119">
        <f>IFERROR(_xlfn.LET(_xlpm.lookup_result,_xlfn.XLOOKUP($C96,'دیده بان بازار'!$A$5:$A$3994,'دیده بان بازار'!Q$5:Q$3994),IF(ISERROR(_xlpm.lookup_result),Z96,_xlpm.lookup_result)),Z96)</f>
        <v>6.36</v>
      </c>
      <c r="K96" s="1667">
        <f>_xlfn.XLOOKUP(C96,'MOPFRA Portfolio'!P67:P84,'MOPFRA Portfolio'!Z67:Z84,"")/1000</f>
        <v>2.3216999999999999</v>
      </c>
      <c r="L96" s="1742">
        <f>_xlfn.XLOOKUP(C96,'MOPFRA Portfolio'!$P$8:$P$78,'MOPFRA Portfolio'!$AT$8:$AT$78,"")</f>
        <v>5000</v>
      </c>
      <c r="M96" s="1665">
        <f>_xlfn.XLOOKUP(C96,'MOPFRA Portfolio'!$P$8:$P$78,'MOPFRA Portfolio'!$AU$8:$AU$78,"")</f>
        <v>38354.483999999997</v>
      </c>
      <c r="O96" s="1752" t="str">
        <f t="shared" si="35"/>
        <v/>
      </c>
      <c r="P96" s="1753" t="str">
        <f t="shared" si="36"/>
        <v/>
      </c>
      <c r="Q96" s="1754">
        <f t="shared" si="37"/>
        <v>3.7461011144245215E-2</v>
      </c>
      <c r="R96" s="1755">
        <f t="shared" si="38"/>
        <v>0.10419149314193486</v>
      </c>
      <c r="S96" s="1753">
        <f t="shared" si="39"/>
        <v>6.6730481997689647E-2</v>
      </c>
      <c r="T96" s="1756" t="str">
        <f t="shared" si="40"/>
        <v/>
      </c>
      <c r="U96" s="1614"/>
      <c r="V96" s="1614">
        <v>72980</v>
      </c>
      <c r="W96" s="1614">
        <v>75160</v>
      </c>
      <c r="X96" s="1614">
        <v>75140</v>
      </c>
      <c r="Y96" s="1614">
        <v>12169</v>
      </c>
      <c r="Z96" s="1614">
        <v>6.17</v>
      </c>
      <c r="AA96" s="1623">
        <v>2.2548000000000004</v>
      </c>
      <c r="AB96" s="508">
        <v>5000</v>
      </c>
      <c r="AC96" s="1621">
        <v>37249.296000000002</v>
      </c>
    </row>
    <row r="97" spans="1:31" ht="23" customHeight="1">
      <c r="A97" s="1614">
        <f>IFERROR(MATCH(C97,'دیده بان بازار'!$A$5:$A$3994,0 )+4,"Closed")</f>
        <v>2288</v>
      </c>
      <c r="B97" s="1652" t="s">
        <v>216</v>
      </c>
      <c r="C97" s="1652" t="s">
        <v>217</v>
      </c>
      <c r="D97" s="1619" t="s">
        <v>209</v>
      </c>
      <c r="E97" s="1614"/>
      <c r="F97" s="119">
        <f>IFERROR(_xlfn.LET(_xlpm.lookup_result,_xlfn.XLOOKUP($C97,'دیده بان بازار'!$A$5:$A$3994,'دیده بان بازار'!F$5:F$3994),IF(ISERROR(_xlpm.lookup_result),V97,_xlpm.lookup_result)),V97)</f>
        <v>14810</v>
      </c>
      <c r="G97" s="119">
        <f>IFERROR(_xlfn.LET(_xlpm.lookup_result,_xlfn.XLOOKUP($C97,'دیده بان بازار'!$A$5:$A$3994,'دیده بان بازار'!H$5:H$3994),IF(ISERROR(_xlpm.lookup_result),W97,_xlpm.lookup_result)),W97)</f>
        <v>14950</v>
      </c>
      <c r="H97" s="119">
        <f>IFERROR(_xlfn.LET(_xlpm.lookup_result,_xlfn.XLOOKUP($C97,'دیده بان بازار'!$A$5:$A$3994,'دیده بان بازار'!K$5:K$3994),IF(ISERROR(_xlpm.lookup_result),X97,_xlpm.lookup_result)),X97)</f>
        <v>15000</v>
      </c>
      <c r="I97" s="119">
        <f>IFERROR(_xlfn.LET(_xlpm.lookup_result,_xlfn.XLOOKUP($C97,'دیده بان بازار'!$A$5:$A$3994,'دیده بان بازار'!P$5:P$3994),IF(ISERROR(_xlpm.lookup_result),Y97,_xlpm.lookup_result)),Y97)</f>
        <v>2531</v>
      </c>
      <c r="J97" s="119">
        <f>IFERROR(_xlfn.LET(_xlpm.lookup_result,_xlfn.XLOOKUP($C97,'دیده بان بازار'!$A$5:$A$3994,'دیده بان بازار'!Q$5:Q$3994),IF(ISERROR(_xlpm.lookup_result),Z97,_xlpm.lookup_result)),Z97)</f>
        <v>5.93</v>
      </c>
      <c r="K97" s="1667">
        <f>_xlfn.XLOOKUP(C97,'MOPFRA Portfolio'!P69:P85,'MOPFRA Portfolio'!Z69:Z85,"")/1000</f>
        <v>11.76266</v>
      </c>
      <c r="L97" s="1742">
        <f>_xlfn.XLOOKUP(C97,'MOPFRA Portfolio'!$P$8:$P$78,'MOPFRA Portfolio'!$AT$8:$AT$78,"")</f>
        <v>10000</v>
      </c>
      <c r="M97" s="1665">
        <f>_xlfn.XLOOKUP(C97,'MOPFRA Portfolio'!$P$8:$P$78,'MOPFRA Portfolio'!$AU$8:$AU$78,"")</f>
        <v>14818.439999999999</v>
      </c>
      <c r="O97" s="1752" t="str">
        <f t="shared" si="35"/>
        <v/>
      </c>
      <c r="P97" s="1753">
        <f t="shared" si="36"/>
        <v>4.8597858851550199E-2</v>
      </c>
      <c r="Q97" s="1754">
        <f t="shared" si="37"/>
        <v>6.168019879762289E-2</v>
      </c>
      <c r="R97" s="1755">
        <f t="shared" si="38"/>
        <v>1.3082339946072689E-2</v>
      </c>
      <c r="S97" s="1753" t="str">
        <f t="shared" si="39"/>
        <v/>
      </c>
      <c r="T97" s="1756" t="str">
        <f t="shared" si="40"/>
        <v/>
      </c>
      <c r="U97" s="1614"/>
      <c r="V97" s="1614">
        <v>14380</v>
      </c>
      <c r="W97" s="1614">
        <v>14810</v>
      </c>
      <c r="X97" s="1614">
        <v>14810</v>
      </c>
      <c r="Y97" s="1614">
        <v>2531</v>
      </c>
      <c r="Z97" s="1614">
        <v>5.85</v>
      </c>
      <c r="AA97" s="1623">
        <v>11.652507999999999</v>
      </c>
      <c r="AB97" s="508">
        <v>10000</v>
      </c>
      <c r="AC97" s="1621">
        <v>14679.671999999999</v>
      </c>
    </row>
    <row r="98" spans="1:31" ht="20" customHeight="1">
      <c r="A98" s="1614">
        <f>IFERROR(MATCH(C98,'دیده بان بازار'!$A$5:$A$3994,0 )+4,"Closed")</f>
        <v>722</v>
      </c>
      <c r="B98" s="1652" t="s">
        <v>218</v>
      </c>
      <c r="C98" s="1652" t="s">
        <v>219</v>
      </c>
      <c r="D98" s="1619" t="s">
        <v>29</v>
      </c>
      <c r="E98" s="1614"/>
      <c r="F98" s="119">
        <f>IFERROR(_xlfn.LET(_xlpm.lookup_result,_xlfn.XLOOKUP($C98,'دیده بان بازار'!$A$5:$A$3994,'دیده بان بازار'!F$5:F$3994),IF(ISERROR(_xlpm.lookup_result),V98,_xlpm.lookup_result)),V98)</f>
        <v>5790</v>
      </c>
      <c r="G98" s="119">
        <f>IFERROR(_xlfn.LET(_xlpm.lookup_result,_xlfn.XLOOKUP($C98,'دیده بان بازار'!$A$5:$A$3994,'دیده بان بازار'!H$5:H$3994),IF(ISERROR(_xlpm.lookup_result),W98,_xlpm.lookup_result)),W98)</f>
        <v>5960</v>
      </c>
      <c r="H98" s="119">
        <f>IFERROR(_xlfn.LET(_xlpm.lookup_result,_xlfn.XLOOKUP($C98,'دیده بان بازار'!$A$5:$A$3994,'دیده بان بازار'!K$5:K$3994),IF(ISERROR(_xlpm.lookup_result),X98,_xlpm.lookup_result)),X98)</f>
        <v>5960</v>
      </c>
      <c r="I98" s="119">
        <f>IFERROR(_xlfn.LET(_xlpm.lookup_result,_xlfn.XLOOKUP($C98,'دیده بان بازار'!$A$5:$A$3994,'دیده بان بازار'!P$5:P$3994),IF(ISERROR(_xlpm.lookup_result),Y98,_xlpm.lookup_result)),Y98)</f>
        <v>-54</v>
      </c>
      <c r="J98" s="119">
        <f>IFERROR(_xlfn.LET(_xlpm.lookup_result,_xlfn.XLOOKUP($C98,'دیده بان بازار'!$A$5:$A$3994,'دیده بان بازار'!Q$5:Q$3994),IF(ISERROR(_xlpm.lookup_result),Z98,_xlpm.lookup_result)),Z98)</f>
        <v>-110.37</v>
      </c>
      <c r="K98" s="1667">
        <f>_xlfn.XLOOKUP(C98,'MOPFRA Portfolio'!P74:P84,'MOPFRA Portfolio'!Z74:Z84,"")/1000</f>
        <v>1.7075400000000001</v>
      </c>
      <c r="L98" s="1742">
        <f>_xlfn.XLOOKUP(C98,'MOPFRA Portfolio'!$P$8:$P$78,'MOPFRA Portfolio'!$AT$8:$AT$78,"")</f>
        <v>0</v>
      </c>
      <c r="M98" s="1665">
        <f>_xlfn.XLOOKUP(C98,'MOPFRA Portfolio'!$P$8:$P$78,'MOPFRA Portfolio'!$AU$8:$AU$78,"")</f>
        <v>0</v>
      </c>
      <c r="O98" s="1752" t="str">
        <f t="shared" ref="O98" si="41">IF(AND(Q98&lt;0,R98&lt;0,Q98&lt;R98),Q98-R98,"")</f>
        <v/>
      </c>
      <c r="P98" s="1753">
        <f t="shared" si="19"/>
        <v>2.7272624032593066E-2</v>
      </c>
      <c r="Q98" s="1754">
        <f t="shared" si="24"/>
        <v>2.7272624032593066E-2</v>
      </c>
      <c r="R98" s="1755">
        <f t="shared" si="28"/>
        <v>0</v>
      </c>
      <c r="S98" s="1753" t="str">
        <f t="shared" ref="S98" si="42">IF(AND(R98&gt;0,Q98&gt;0,R98&gt;Q98),R98-Q98,"")</f>
        <v/>
      </c>
      <c r="T98" s="1756" t="str">
        <f t="shared" ref="T98" si="43">IF(AND(R98&lt;0,Q98&lt;0,R98&lt;Q98),R98-Q98,"")</f>
        <v/>
      </c>
      <c r="U98" s="1614"/>
      <c r="V98" s="1614">
        <v>5630</v>
      </c>
      <c r="W98" s="1614">
        <v>5790</v>
      </c>
      <c r="X98" s="1614">
        <v>5790</v>
      </c>
      <c r="Y98" s="1614">
        <v>-54</v>
      </c>
      <c r="Z98" s="1614">
        <v>-107.22</v>
      </c>
      <c r="AA98" s="1623">
        <v>1.6588350000000001</v>
      </c>
      <c r="AB98" s="508">
        <v>0</v>
      </c>
      <c r="AC98" s="1621">
        <v>0</v>
      </c>
    </row>
    <row r="99" spans="1:31" ht="20" customHeight="1">
      <c r="A99" s="1614">
        <f>IFERROR(MATCH(C99,'دیده بان بازار'!$A$5:$A$3994,0 )+4,"Closed")</f>
        <v>2900</v>
      </c>
      <c r="B99" s="1652" t="s">
        <v>220</v>
      </c>
      <c r="C99" s="1652" t="s">
        <v>221</v>
      </c>
      <c r="D99" s="1618" t="s">
        <v>168</v>
      </c>
      <c r="E99" s="1614"/>
      <c r="F99" s="119">
        <f>IFERROR(_xlfn.LET(_xlpm.lookup_result,_xlfn.XLOOKUP($C99,'دیده بان بازار'!$A$5:$A$3994,'دیده بان بازار'!F$5:F$3994),IF(ISERROR(_xlpm.lookup_result),V99,_xlpm.lookup_result)),V99)</f>
        <v>9230</v>
      </c>
      <c r="G99" s="119">
        <f>IFERROR(_xlfn.LET(_xlpm.lookup_result,_xlfn.XLOOKUP($C99,'دیده بان بازار'!$A$5:$A$3994,'دیده بان بازار'!H$5:H$3994),IF(ISERROR(_xlpm.lookup_result),W99,_xlpm.lookup_result)),W99)</f>
        <v>9500</v>
      </c>
      <c r="H99" s="119">
        <f>IFERROR(_xlfn.LET(_xlpm.lookup_result,_xlfn.XLOOKUP($C99,'دیده بان بازار'!$A$5:$A$3994,'دیده بان بازار'!K$5:K$3994),IF(ISERROR(_xlpm.lookup_result),X99,_xlpm.lookup_result)),X99)</f>
        <v>9500</v>
      </c>
      <c r="I99" s="119">
        <f>IFERROR(_xlfn.LET(_xlpm.lookup_result,_xlfn.XLOOKUP($C99,'دیده بان بازار'!$A$5:$A$3994,'دیده بان بازار'!P$5:P$3994),IF(ISERROR(_xlpm.lookup_result),Y99,_xlpm.lookup_result)),Y99)</f>
        <v>1442</v>
      </c>
      <c r="J99" s="119">
        <f>IFERROR(_xlfn.LET(_xlpm.lookup_result,_xlfn.XLOOKUP($C99,'دیده بان بازار'!$A$5:$A$3994,'دیده بان بازار'!Q$5:Q$3994),IF(ISERROR(_xlpm.lookup_result),Z99,_xlpm.lookup_result)),Z99)</f>
        <v>6.59</v>
      </c>
      <c r="K99" s="1667">
        <f>_xlfn.XLOOKUP(C99,'MOPFRA Portfolio'!P75:P85,'MOPFRA Portfolio'!Z75:Z85,"")/1000</f>
        <v>9.5</v>
      </c>
      <c r="L99" s="1742">
        <f>_xlfn.XLOOKUP(C99,'MOPFRA Portfolio'!$P$8:$P$78,'MOPFRA Portfolio'!$AT$8:$AT$78,"")</f>
        <v>0</v>
      </c>
      <c r="M99" s="1665">
        <f>_xlfn.XLOOKUP(C99,'MOPFRA Portfolio'!$P$8:$P$78,'MOPFRA Portfolio'!$AU$8:$AU$78,"")</f>
        <v>0</v>
      </c>
      <c r="O99" s="1752" t="str">
        <f t="shared" ref="O99" si="44">IF(AND(Q99&lt;0,R99&lt;0,Q99&lt;R99),Q99-R99,"")</f>
        <v/>
      </c>
      <c r="P99" s="1753">
        <f t="shared" ref="P99" si="45">IF(AND(Q99&gt;=0,R99&gt;=0,Q99&gt;R99),Q99-R99,"")</f>
        <v>0.15118793735345687</v>
      </c>
      <c r="Q99" s="1754">
        <f t="shared" si="24"/>
        <v>0.15118793735345687</v>
      </c>
      <c r="R99" s="1755">
        <f t="shared" si="28"/>
        <v>0</v>
      </c>
      <c r="S99" s="1753" t="str">
        <f t="shared" ref="S99" si="46">IF(AND(R99&gt;0,Q99&gt;0,R99&gt;Q99),R99-Q99,"")</f>
        <v/>
      </c>
      <c r="T99" s="1756" t="str">
        <f t="shared" ref="T99" si="47">IF(AND(R99&lt;0,Q99&lt;0,R99&lt;Q99),R99-Q99,"")</f>
        <v/>
      </c>
      <c r="U99" s="1614"/>
      <c r="V99" s="1614">
        <v>8970</v>
      </c>
      <c r="W99" s="1614">
        <v>9230</v>
      </c>
      <c r="X99" s="1614">
        <v>9230</v>
      </c>
      <c r="Y99" s="1614">
        <v>1442</v>
      </c>
      <c r="Z99" s="1614">
        <v>6.4</v>
      </c>
      <c r="AA99" s="1620">
        <v>9.23</v>
      </c>
      <c r="AB99" s="508">
        <v>0</v>
      </c>
      <c r="AC99" s="1621">
        <v>0</v>
      </c>
    </row>
    <row r="100" spans="1:31" ht="20" customHeight="1">
      <c r="A100" s="1614">
        <f>IFERROR(MATCH(C100,'دیده بان بازار'!$A$5:$A$3994,0 )+4,"Closed")</f>
        <v>1388</v>
      </c>
      <c r="B100" s="1652" t="s">
        <v>222</v>
      </c>
      <c r="C100" s="1652" t="s">
        <v>223</v>
      </c>
      <c r="D100" s="1619" t="s">
        <v>224</v>
      </c>
      <c r="E100" s="1614"/>
      <c r="F100" s="119">
        <f>IFERROR(_xlfn.LET(_xlpm.lookup_result,_xlfn.XLOOKUP($C100,'دیده بان بازار'!$A$5:$A$3994,'دیده بان بازار'!F$5:F$3994),IF(ISERROR(_xlpm.lookup_result),V100,_xlpm.lookup_result)),V100)</f>
        <v>566</v>
      </c>
      <c r="G100" s="119">
        <f>IFERROR(_xlfn.LET(_xlpm.lookup_result,_xlfn.XLOOKUP($C100,'دیده بان بازار'!$A$5:$A$3994,'دیده بان بازار'!H$5:H$3994),IF(ISERROR(_xlpm.lookup_result),W100,_xlpm.lookup_result)),W100)</f>
        <v>582</v>
      </c>
      <c r="H100" s="119">
        <f>IFERROR(_xlfn.LET(_xlpm.lookup_result,_xlfn.XLOOKUP($C100,'دیده بان بازار'!$A$5:$A$3994,'دیده بان بازار'!K$5:K$3994),IF(ISERROR(_xlpm.lookup_result),X100,_xlpm.lookup_result)),X100)</f>
        <v>582</v>
      </c>
      <c r="I100" s="119">
        <f>IFERROR(_xlfn.LET(_xlpm.lookup_result,_xlfn.XLOOKUP($C100,'دیده بان بازار'!$A$5:$A$3994,'دیده بان بازار'!P$5:P$3994),IF(ISERROR(_xlpm.lookup_result),Y100,_xlpm.lookup_result)),Y100)</f>
        <v>-49</v>
      </c>
      <c r="J100" s="119">
        <f>IFERROR(_xlfn.LET(_xlpm.lookup_result,_xlfn.XLOOKUP($C100,'دیده بان بازار'!$A$5:$A$3994,'دیده بان بازار'!Q$5:Q$3994),IF(ISERROR(_xlpm.lookup_result),Z100,_xlpm.lookup_result)),Z100)</f>
        <v>-11.88</v>
      </c>
      <c r="K100" s="1667">
        <f>_xlfn.XLOOKUP(C100,'MOPFRA Portfolio'!P76:P85,'MOPFRA Portfolio'!Z76:Z85,"")/1000</f>
        <v>149.21001720000004</v>
      </c>
      <c r="L100" s="1742">
        <f>_xlfn.XLOOKUP(C100,'MOPFRA Portfolio'!$P$8:$P$78,'MOPFRA Portfolio'!$AT$8:$AT$78,"")</f>
        <v>1500000</v>
      </c>
      <c r="M100" s="1665">
        <f>_xlfn.XLOOKUP(C100,'MOPFRA Portfolio'!$P$8:$P$78,'MOPFRA Portfolio'!$AU$8:$AU$78,"")</f>
        <v>86531.76</v>
      </c>
      <c r="O100" s="1752" t="str">
        <f>IF(AND(Q100&lt;0,R100&lt;0,Q100&lt;R100),Q100-R100,"")</f>
        <v/>
      </c>
      <c r="P100" s="1753">
        <f t="shared" si="19"/>
        <v>2.0726644686216238</v>
      </c>
      <c r="Q100" s="1754">
        <f t="shared" si="24"/>
        <v>2.2969331534114388</v>
      </c>
      <c r="R100" s="1755">
        <f t="shared" si="28"/>
        <v>0.22426868478981499</v>
      </c>
      <c r="S100" s="1753" t="str">
        <f>IF(AND(R100&gt;0,Q100&gt;0,R100&gt;Q100),R100-Q100,"")</f>
        <v/>
      </c>
      <c r="T100" s="1756" t="str">
        <f>IF(AND(R100&lt;0,Q100&lt;0,R100&lt;Q100),R100-Q100,"")</f>
        <v/>
      </c>
      <c r="U100" s="1614"/>
      <c r="V100" s="1614">
        <v>550</v>
      </c>
      <c r="W100" s="1614">
        <v>566</v>
      </c>
      <c r="X100" s="1614">
        <v>566</v>
      </c>
      <c r="Y100" s="1614">
        <v>-49</v>
      </c>
      <c r="Z100" s="1614">
        <v>-11.55</v>
      </c>
      <c r="AA100" s="1623">
        <v>145.1080236</v>
      </c>
      <c r="AB100" s="508">
        <v>1500000</v>
      </c>
      <c r="AC100" s="1621">
        <v>84152.88</v>
      </c>
    </row>
    <row r="101" spans="1:31" ht="20" customHeight="1">
      <c r="A101" s="1614">
        <f>IFERROR(MATCH(C101,'دیده بان بازار'!$A$5:$A$3994,0 )+4,"Closed")</f>
        <v>2703</v>
      </c>
      <c r="B101" s="1652" t="s">
        <v>6205</v>
      </c>
      <c r="C101" s="1652" t="s">
        <v>6204</v>
      </c>
      <c r="D101" s="1619"/>
      <c r="E101" s="1614"/>
      <c r="F101" s="119">
        <f>IFERROR(_xlfn.LET(_xlpm.lookup_result,_xlfn.XLOOKUP($C101,'دیده بان بازار'!$A$5:$A$3994,'دیده بان بازار'!F$5:F$3994),IF(ISERROR(_xlpm.lookup_result),V101,_xlpm.lookup_result)),V101)</f>
        <v>29088</v>
      </c>
      <c r="G101" s="119">
        <f>IFERROR(_xlfn.LET(_xlpm.lookup_result,_xlfn.XLOOKUP($C101,'دیده بان بازار'!$A$5:$A$3994,'دیده بان بازار'!H$5:H$3994),IF(ISERROR(_xlpm.lookup_result),W101,_xlpm.lookup_result)),W101)</f>
        <v>29128</v>
      </c>
      <c r="H101" s="119">
        <f>IFERROR(_xlfn.LET(_xlpm.lookup_result,_xlfn.XLOOKUP($C101,'دیده بان بازار'!$A$5:$A$3994,'دیده بان بازار'!K$5:K$3994),IF(ISERROR(_xlpm.lookup_result),X101,_xlpm.lookup_result)),X101)</f>
        <v>29116</v>
      </c>
      <c r="I101" s="119" t="str">
        <f>IFERROR(_xlfn.LET(_xlpm.lookup_result,_xlfn.XLOOKUP($C101,'دیده بان بازار'!$A$5:$A$3994,'دیده بان بازار'!P$5:P$3994),IF(ISERROR(_xlpm.lookup_result),Y101,_xlpm.lookup_result)),Y101)</f>
        <v/>
      </c>
      <c r="J101" s="119" t="str">
        <f>IFERROR(_xlfn.LET(_xlpm.lookup_result,_xlfn.XLOOKUP($C101,'دیده بان بازار'!$A$5:$A$3994,'دیده بان بازار'!Q$5:Q$3994),IF(ISERROR(_xlpm.lookup_result),Z101,_xlpm.lookup_result)),Z101)</f>
        <v/>
      </c>
      <c r="K101" s="1667">
        <f>_xlfn.XLOOKUP(C101,'MOPFRA Portfolio'!P77:P86,'MOPFRA Portfolio'!Z77:Z86,"")/1000</f>
        <v>0</v>
      </c>
      <c r="L101" s="1742">
        <f>_xlfn.XLOOKUP(C101,'MOPFRA Portfolio'!$P$8:$P$78,'MOPFRA Portfolio'!$AT$8:$AT$78,"")</f>
        <v>0</v>
      </c>
      <c r="M101" s="1665">
        <f>_xlfn.XLOOKUP(C101,'MOPFRA Portfolio'!$P$8:$P$78,'MOPFRA Portfolio'!$AU$8:$AU$78,"")</f>
        <v>0</v>
      </c>
      <c r="O101" s="1752"/>
      <c r="P101" s="1753"/>
      <c r="Q101" s="1754"/>
      <c r="R101" s="1755"/>
      <c r="S101" s="1753"/>
      <c r="T101" s="1756"/>
      <c r="U101" s="1614"/>
      <c r="V101" s="1614">
        <v>29020</v>
      </c>
      <c r="W101" s="1614">
        <v>29114</v>
      </c>
      <c r="X101" s="1614">
        <v>29088</v>
      </c>
      <c r="Y101" s="1614" t="s">
        <v>192</v>
      </c>
      <c r="Z101" s="1614" t="s">
        <v>192</v>
      </c>
      <c r="AA101" s="1623">
        <v>0</v>
      </c>
      <c r="AB101" s="508">
        <v>0</v>
      </c>
      <c r="AC101" s="1621">
        <v>0</v>
      </c>
    </row>
    <row r="102" spans="1:31" ht="25" customHeight="1" thickBot="1">
      <c r="A102" s="1636"/>
      <c r="B102" s="1636"/>
      <c r="C102" s="1636"/>
      <c r="D102" s="1636"/>
      <c r="E102" s="1636"/>
      <c r="F102" s="1636"/>
      <c r="G102" s="1636"/>
      <c r="H102" s="1636"/>
      <c r="I102" s="1636"/>
      <c r="J102" s="1636"/>
      <c r="K102" s="1781"/>
      <c r="L102" s="1781"/>
      <c r="M102" s="1782">
        <f>'Cement Portfolio'!AQ48</f>
        <v>361976</v>
      </c>
      <c r="N102" s="1636"/>
      <c r="O102" s="1757">
        <f>COUNTIF(O1:O100, "&lt;0")</f>
        <v>0</v>
      </c>
      <c r="P102" s="1758">
        <f>COUNTIF(P1:P100, "&gt;0")</f>
        <v>46</v>
      </c>
      <c r="Q102" s="1759">
        <f>SUM(Q6:Q100)/100</f>
        <v>1.0198112193465223</v>
      </c>
      <c r="R102" s="1759">
        <f>SUM(R6:R100)/100</f>
        <v>1.0202430521608332</v>
      </c>
      <c r="S102" s="1758">
        <f>COUNTIF(S1:S100, "&gt;0")</f>
        <v>32</v>
      </c>
      <c r="T102" s="1760">
        <f>COUNTIF(T1:T100, "&lt;0")</f>
        <v>0</v>
      </c>
      <c r="U102" s="1781"/>
      <c r="V102" s="1781"/>
      <c r="W102" s="1781"/>
      <c r="X102" s="1781"/>
      <c r="Y102" s="1781"/>
      <c r="Z102" s="1781"/>
      <c r="AA102" s="1781"/>
      <c r="AB102" s="1783"/>
      <c r="AC102" s="1784">
        <v>361976</v>
      </c>
      <c r="AD102" s="1785" t="s">
        <v>225</v>
      </c>
    </row>
    <row r="103" spans="1:31" ht="31" customHeight="1">
      <c r="A103" s="1614"/>
      <c r="B103" s="1614"/>
      <c r="C103" s="1614"/>
      <c r="D103" s="1614"/>
      <c r="E103" s="1614"/>
      <c r="F103" s="1614"/>
      <c r="G103" s="1614"/>
      <c r="H103" s="1614"/>
      <c r="I103" s="1614"/>
      <c r="J103" s="1614"/>
      <c r="K103" s="1616" t="s">
        <v>7</v>
      </c>
      <c r="L103" s="1616"/>
      <c r="M103" s="1616" t="s">
        <v>8</v>
      </c>
      <c r="O103" s="1750">
        <f>SUM(O7:O100)</f>
        <v>0</v>
      </c>
      <c r="P103" s="1750">
        <f>SUM(P7:P100)</f>
        <v>82.72764601104285</v>
      </c>
      <c r="Q103" s="1750"/>
      <c r="R103" s="1750"/>
      <c r="S103" s="1750">
        <f>SUM(S7:S100)</f>
        <v>79.377647119049968</v>
      </c>
      <c r="T103" s="1751">
        <f>SUM(T7:T100)</f>
        <v>0</v>
      </c>
      <c r="U103" s="1614"/>
      <c r="V103" s="1614"/>
      <c r="W103" s="1614"/>
      <c r="X103" s="1614"/>
      <c r="Y103" s="1614"/>
      <c r="Z103" s="1614"/>
      <c r="AA103" s="1616" t="s">
        <v>7</v>
      </c>
      <c r="AB103" s="1744"/>
      <c r="AC103" s="1616" t="s">
        <v>8</v>
      </c>
    </row>
    <row r="104" spans="1:31" ht="24" customHeight="1">
      <c r="A104" s="1614"/>
      <c r="B104" s="1614"/>
      <c r="C104" s="119"/>
      <c r="D104" s="119"/>
      <c r="E104" s="119"/>
      <c r="F104" s="119"/>
      <c r="G104" s="119"/>
      <c r="H104" s="119"/>
      <c r="I104" s="119"/>
      <c r="J104" s="1668">
        <f>AVERAGEIF(J6:J100, "&gt;0")</f>
        <v>6.5853409090909087</v>
      </c>
      <c r="K104" s="1669">
        <f>SUM(K6:K100)</f>
        <v>7688.2232032620022</v>
      </c>
      <c r="L104" s="1746">
        <f>'Cement Portfolio'!AP3</f>
        <v>35349022</v>
      </c>
      <c r="M104" s="1665">
        <f>SUM(M6:M100)</f>
        <v>46012941.729454547</v>
      </c>
      <c r="N104" s="119"/>
      <c r="O104" s="1788">
        <f>O103+P103</f>
        <v>82.72764601104285</v>
      </c>
      <c r="P104" s="1788"/>
      <c r="Q104" s="1678"/>
      <c r="R104" s="1678"/>
      <c r="S104" s="1788">
        <f>S103+T103</f>
        <v>79.377647119049968</v>
      </c>
      <c r="T104" s="1788"/>
      <c r="U104" s="119"/>
      <c r="V104" s="119"/>
      <c r="W104" s="119"/>
      <c r="X104" s="119"/>
      <c r="Y104" s="119"/>
      <c r="Z104" s="1668">
        <f>AVERAGEIF(Z6:Z100, "&gt;0")</f>
        <v>6.418636363636363</v>
      </c>
      <c r="AA104" s="1669">
        <f>SUM(AA6:AA100)</f>
        <v>7509.6375272309997</v>
      </c>
      <c r="AB104" s="1746">
        <v>43650067</v>
      </c>
      <c r="AC104" s="1665">
        <f>SUM(AC6:AC100)</f>
        <v>44916552.66349607</v>
      </c>
    </row>
    <row r="105" spans="1:31" ht="29" customHeight="1">
      <c r="A105" s="1614"/>
      <c r="B105" s="1614"/>
      <c r="C105" s="119"/>
      <c r="D105" s="119"/>
      <c r="E105" s="119"/>
      <c r="F105" s="119"/>
      <c r="G105" s="119"/>
      <c r="H105" s="119"/>
      <c r="I105" s="119"/>
      <c r="J105" s="1668"/>
      <c r="K105" s="1669"/>
      <c r="L105" s="1748" t="s">
        <v>226</v>
      </c>
      <c r="M105" s="1665">
        <v>0</v>
      </c>
      <c r="N105" s="119"/>
      <c r="O105" s="1747"/>
      <c r="P105" s="1747"/>
      <c r="Q105" s="1678"/>
      <c r="R105" s="1678"/>
      <c r="S105" s="1747"/>
      <c r="T105" s="1747"/>
      <c r="U105" s="119"/>
      <c r="V105" s="119"/>
      <c r="W105" s="119"/>
      <c r="X105" s="119"/>
      <c r="Y105" s="119"/>
      <c r="Z105" s="1668"/>
      <c r="AA105" s="1669"/>
      <c r="AB105" s="1746"/>
      <c r="AC105" s="1665"/>
    </row>
    <row r="106" spans="1:31" ht="43" customHeight="1">
      <c r="A106" s="1614"/>
      <c r="B106" s="1614"/>
      <c r="C106" s="119"/>
      <c r="D106" s="119"/>
      <c r="E106" s="119"/>
      <c r="F106" s="119"/>
      <c r="G106" s="119"/>
      <c r="H106" s="119"/>
      <c r="I106" s="119"/>
      <c r="J106" s="1670"/>
      <c r="K106" s="1671">
        <f>(K104-AA104)</f>
        <v>178.58567603100255</v>
      </c>
      <c r="L106" s="1671"/>
      <c r="M106" s="1671">
        <f>(M104+M102)-M105-(AC104+AC102)</f>
        <v>1096389.0659584776</v>
      </c>
      <c r="N106" s="119"/>
      <c r="O106" s="1789" t="s">
        <v>227</v>
      </c>
      <c r="P106" s="1789"/>
      <c r="Q106" s="119"/>
      <c r="R106" s="119"/>
      <c r="S106" s="119"/>
      <c r="T106" s="119"/>
      <c r="U106" s="119"/>
      <c r="V106" s="119"/>
      <c r="W106" s="1672"/>
      <c r="X106" s="119"/>
      <c r="Y106" s="119"/>
      <c r="Z106" s="119"/>
      <c r="AA106" s="119"/>
      <c r="AB106" s="119"/>
      <c r="AC106" s="1665">
        <f>(SUMPRODUCT(AB6:AB100,G6:G100)*0.9912)/10000</f>
        <v>45977280.33585456</v>
      </c>
      <c r="AD106" s="1144"/>
    </row>
    <row r="107" spans="1:31" ht="23" customHeight="1">
      <c r="A107" s="1614"/>
      <c r="B107" s="1614"/>
      <c r="C107" s="119"/>
      <c r="D107" s="119"/>
      <c r="E107" s="119"/>
      <c r="F107" s="119"/>
      <c r="G107" s="119"/>
      <c r="H107" s="119"/>
      <c r="I107" s="119"/>
      <c r="J107" s="1668"/>
      <c r="K107" s="1673">
        <f>(K104-AA104)/AA104</f>
        <v>2.3780864972966515E-2</v>
      </c>
      <c r="L107" s="1673"/>
      <c r="M107" s="1673">
        <f>(M104-AC104)/AC104</f>
        <v>2.4409466019628862E-2</v>
      </c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668"/>
      <c r="AA107" s="1673"/>
      <c r="AB107" s="1673"/>
      <c r="AC107" s="1665"/>
      <c r="AD107" s="1144"/>
      <c r="AE107" s="1144"/>
    </row>
    <row r="108" spans="1:31" ht="43" customHeight="1">
      <c r="A108" s="1614"/>
      <c r="B108" s="1614"/>
      <c r="C108" s="1674">
        <f>COUNTA(C6:C100)</f>
        <v>94</v>
      </c>
      <c r="D108" s="119"/>
      <c r="E108" s="119"/>
      <c r="F108" s="119" t="s">
        <v>228</v>
      </c>
      <c r="G108" s="119"/>
      <c r="H108" s="119"/>
      <c r="I108" s="119"/>
      <c r="J108" s="119"/>
      <c r="K108" s="1674" t="s">
        <v>229</v>
      </c>
      <c r="L108" s="1674"/>
      <c r="M108" s="1674">
        <f>COUNTIF(M6:M100, "&lt;&gt;0")</f>
        <v>57</v>
      </c>
      <c r="N108" s="119"/>
      <c r="O108" s="1790" t="s">
        <v>230</v>
      </c>
      <c r="P108" s="1790"/>
      <c r="Q108" s="1749" t="str">
        <f>Cement!U2</f>
        <v>1405/05/14</v>
      </c>
      <c r="R108" s="1749"/>
      <c r="S108" s="1749" t="str">
        <f>Cement!W2</f>
        <v xml:space="preserve"> 13:37:15</v>
      </c>
      <c r="T108" s="1749"/>
      <c r="U108" s="119"/>
      <c r="V108" s="119"/>
      <c r="W108" s="119"/>
      <c r="X108" s="119"/>
      <c r="Y108" s="119"/>
      <c r="Z108" s="119"/>
      <c r="AA108" s="1674" t="s">
        <v>229</v>
      </c>
      <c r="AB108" s="1674"/>
      <c r="AC108" s="1745">
        <f>AC106-AC104</f>
        <v>1060727.6723584905</v>
      </c>
    </row>
    <row r="109" spans="1:31" ht="21">
      <c r="A109" s="1614"/>
      <c r="B109" s="1614"/>
      <c r="C109" s="119"/>
      <c r="D109" s="119"/>
      <c r="E109" s="119"/>
      <c r="F109" s="119"/>
      <c r="G109" s="119"/>
      <c r="H109" s="119"/>
      <c r="I109" s="119"/>
      <c r="J109" s="119"/>
      <c r="K109" s="1675">
        <f>(K104/Cement!$Q$38)*10^3</f>
        <v>40.678429646888901</v>
      </c>
      <c r="L109" s="1675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676">
        <f>(AA104/Cement!$Q$38)*10^3</f>
        <v>39.733531890111109</v>
      </c>
      <c r="AB109" s="1676"/>
      <c r="AC109" s="119"/>
    </row>
    <row r="110" spans="1:31" ht="21">
      <c r="A110" s="1614"/>
      <c r="B110" s="1614"/>
      <c r="C110" s="119"/>
      <c r="D110" s="119"/>
      <c r="E110" s="119"/>
      <c r="F110" s="119"/>
      <c r="G110" s="119"/>
      <c r="H110" s="119"/>
      <c r="I110" s="119"/>
      <c r="J110" s="119"/>
      <c r="K110" s="1677">
        <f>K109-AA109</f>
        <v>0.94489775677779164</v>
      </c>
      <c r="L110" s="1677"/>
      <c r="M110" s="1745">
        <f>AC108</f>
        <v>1060727.6723584905</v>
      </c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</row>
    <row r="114" spans="13:13" ht="21">
      <c r="M114" s="1853">
        <f>M104</f>
        <v>46012941.729454547</v>
      </c>
    </row>
    <row r="115" spans="13:13" ht="25" thickBot="1">
      <c r="M115" s="1782">
        <f>M102</f>
        <v>361976</v>
      </c>
    </row>
    <row r="116" spans="13:13" ht="21">
      <c r="M116" s="1854">
        <f>'Cement Portfolio'!AV48</f>
        <v>-1270761.400000006</v>
      </c>
    </row>
  </sheetData>
  <conditionalFormatting sqref="A6:A102">
    <cfRule type="containsText" dxfId="178" priority="7" operator="containsText" text="Closed">
      <formula>NOT(ISERROR(SEARCH("Closed",A6)))</formula>
    </cfRule>
  </conditionalFormatting>
  <conditionalFormatting sqref="A6:AD93 A94:N95 A95:A97 A98:AD110 O94:AD97">
    <cfRule type="expression" dxfId="177" priority="26" stopIfTrue="1">
      <formula>ROW()=EVEN(ROW())</formula>
    </cfRule>
  </conditionalFormatting>
  <conditionalFormatting sqref="B96:N97">
    <cfRule type="expression" dxfId="176" priority="2" stopIfTrue="1">
      <formula>ROW()=EVEN(ROW())</formula>
    </cfRule>
  </conditionalFormatting>
  <conditionalFormatting sqref="M114:M116">
    <cfRule type="expression" dxfId="175" priority="13" stopIfTrue="1">
      <formula>ROW()=EVEN(ROW())</formula>
    </cfRule>
  </conditionalFormatting>
  <pageMargins left="0.7" right="0.7" top="0.75" bottom="0.75" header="0.3" footer="0.3"/>
  <pageSetup paperSize="9" scale="3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CD49-AECD-E040-91E0-588B762B76F7}">
  <sheetPr codeName="Sheet1">
    <tabColor rgb="FF7030A0"/>
    <pageSetUpPr fitToPage="1"/>
  </sheetPr>
  <dimension ref="A1:EZ58"/>
  <sheetViews>
    <sheetView zoomScale="70" zoomScaleNormal="70" workbookViewId="0">
      <pane xSplit="23" ySplit="6" topLeftCell="X17" activePane="bottomRight" state="frozen"/>
      <selection pane="topRight" activeCell="U1" sqref="U1"/>
      <selection pane="bottomLeft" activeCell="A7" sqref="A7"/>
      <selection pane="bottomRight" activeCell="R34" sqref="R34"/>
    </sheetView>
  </sheetViews>
  <sheetFormatPr baseColWidth="10" defaultColWidth="11" defaultRowHeight="21"/>
  <cols>
    <col min="1" max="1" width="10.83203125" customWidth="1"/>
    <col min="2" max="2" width="9.1640625" customWidth="1"/>
    <col min="3" max="3" width="10.1640625" customWidth="1"/>
    <col min="4" max="4" width="11.6640625" bestFit="1" customWidth="1"/>
    <col min="5" max="5" width="9.6640625" customWidth="1"/>
    <col min="6" max="6" width="10" style="11" customWidth="1"/>
    <col min="7" max="7" width="8.6640625" style="3" customWidth="1"/>
    <col min="8" max="10" width="9" style="3" customWidth="1"/>
    <col min="11" max="11" width="10.83203125" style="3" customWidth="1"/>
    <col min="12" max="12" width="8.1640625" customWidth="1"/>
    <col min="13" max="13" width="8.5" customWidth="1"/>
    <col min="14" max="14" width="8.1640625" customWidth="1"/>
    <col min="15" max="15" width="9.5" customWidth="1"/>
    <col min="16" max="16" width="22.83203125" customWidth="1"/>
    <col min="17" max="17" width="14.1640625" customWidth="1"/>
    <col min="18" max="18" width="7.5" customWidth="1"/>
    <col min="19" max="19" width="12.6640625" style="11" customWidth="1"/>
    <col min="20" max="20" width="12.5" style="11" customWidth="1"/>
    <col min="21" max="21" width="13.33203125" style="11" customWidth="1"/>
    <col min="22" max="22" width="13.1640625" customWidth="1"/>
    <col min="23" max="23" width="10.6640625" style="63" customWidth="1"/>
    <col min="24" max="24" width="11" style="63" customWidth="1"/>
    <col min="25" max="25" width="8.33203125" style="63" customWidth="1"/>
    <col min="26" max="27" width="11.1640625" style="63" customWidth="1"/>
    <col min="28" max="29" width="13.6640625" style="63" customWidth="1"/>
    <col min="30" max="30" width="11.83203125" style="63" customWidth="1"/>
    <col min="31" max="33" width="13" style="63" customWidth="1"/>
    <col min="34" max="34" width="12.5" style="11" bestFit="1" customWidth="1"/>
    <col min="35" max="35" width="13.5" style="11" customWidth="1"/>
    <col min="36" max="36" width="12.33203125" style="188" bestFit="1" customWidth="1"/>
    <col min="37" max="37" width="13.1640625" style="11" customWidth="1"/>
    <col min="38" max="38" width="15.6640625" style="11" customWidth="1"/>
    <col min="39" max="39" width="19.5" style="11" customWidth="1"/>
    <col min="40" max="40" width="12.33203125" style="5" bestFit="1" customWidth="1"/>
    <col min="41" max="41" width="12.6640625" customWidth="1"/>
    <col min="42" max="43" width="10.33203125" customWidth="1"/>
    <col min="44" max="44" width="12.5" style="11" customWidth="1"/>
    <col min="45" max="45" width="10.6640625" style="3" customWidth="1"/>
    <col min="46" max="46" width="10.83203125" style="11" customWidth="1"/>
    <col min="47" max="47" width="11.6640625" style="11" customWidth="1"/>
    <col min="48" max="48" width="10.33203125" style="12" customWidth="1"/>
    <col min="49" max="49" width="10.6640625" style="12" customWidth="1"/>
    <col min="50" max="50" width="11.83203125" style="11" customWidth="1"/>
    <col min="51" max="51" width="11" style="11" customWidth="1"/>
    <col min="52" max="53" width="10.1640625" customWidth="1"/>
    <col min="54" max="54" width="11.6640625" style="11" customWidth="1"/>
    <col min="55" max="55" width="12.1640625" style="11" customWidth="1"/>
    <col min="56" max="56" width="11.83203125" style="11" customWidth="1"/>
    <col min="57" max="57" width="12" style="11" customWidth="1"/>
    <col min="58" max="58" width="11" style="11" customWidth="1"/>
    <col min="59" max="61" width="11.6640625" style="12" customWidth="1"/>
    <col min="62" max="62" width="12.1640625" style="11" customWidth="1"/>
    <col min="63" max="64" width="11.6640625" style="12" customWidth="1"/>
    <col min="65" max="65" width="1.33203125" style="12" customWidth="1"/>
    <col min="66" max="66" width="11.83203125" style="11" customWidth="1"/>
    <col min="67" max="67" width="8.6640625" style="441" customWidth="1"/>
    <col min="68" max="68" width="11.6640625" style="11" customWidth="1"/>
    <col min="69" max="69" width="11.83203125" style="11" customWidth="1"/>
    <col min="70" max="70" width="11.6640625" style="11" customWidth="1"/>
    <col min="71" max="71" width="12" style="11" bestFit="1" customWidth="1"/>
    <col min="72" max="72" width="13.6640625" style="11" customWidth="1"/>
    <col min="73" max="73" width="1.1640625" style="11" customWidth="1"/>
    <col min="74" max="74" width="14.5" style="11" customWidth="1"/>
    <col min="75" max="75" width="11.33203125" style="11" customWidth="1"/>
    <col min="76" max="76" width="12" style="12" customWidth="1"/>
    <col min="77" max="77" width="12.33203125" style="12" customWidth="1"/>
    <col min="78" max="79" width="13.1640625" style="11" customWidth="1"/>
    <col min="80" max="80" width="13.5" style="11" customWidth="1"/>
    <col min="81" max="81" width="12.33203125" style="11" customWidth="1"/>
    <col min="82" max="84" width="11.33203125" style="11" customWidth="1"/>
    <col min="85" max="86" width="12" style="12" customWidth="1"/>
    <col min="87" max="87" width="0.83203125" style="11" customWidth="1"/>
    <col min="88" max="88" width="13" style="11" customWidth="1"/>
    <col min="89" max="89" width="10.6640625" style="11" customWidth="1"/>
    <col min="90" max="91" width="10.5" style="11" customWidth="1"/>
    <col min="92" max="92" width="11.5" style="11" customWidth="1"/>
    <col min="93" max="94" width="10.6640625" style="11" customWidth="1"/>
    <col min="95" max="95" width="13.83203125" style="11" customWidth="1"/>
    <col min="96" max="96" width="11.1640625" style="11" customWidth="1"/>
    <col min="97" max="97" width="9.5" style="11" customWidth="1"/>
    <col min="98" max="98" width="10.33203125" style="56" bestFit="1" customWidth="1"/>
    <col min="99" max="99" width="11.1640625" style="11" customWidth="1"/>
    <col min="100" max="101" width="9.6640625" style="11" customWidth="1"/>
    <col min="102" max="102" width="10.33203125" style="11" customWidth="1"/>
    <col min="103" max="103" width="10.6640625" style="11" customWidth="1"/>
    <col min="104" max="104" width="10.5" style="11" customWidth="1"/>
    <col min="105" max="105" width="11" style="11" customWidth="1"/>
    <col min="106" max="107" width="10.6640625" style="11" customWidth="1"/>
    <col min="108" max="108" width="10.33203125" style="11" customWidth="1"/>
    <col min="109" max="110" width="9.83203125" style="11" customWidth="1"/>
    <col min="111" max="116" width="10.33203125" style="11" customWidth="1"/>
    <col min="117" max="120" width="11.6640625" style="11" customWidth="1"/>
    <col min="121" max="122" width="10.33203125" style="11" customWidth="1"/>
    <col min="123" max="123" width="9.6640625" style="11" customWidth="1"/>
    <col min="124" max="124" width="12.6640625" style="11" customWidth="1"/>
    <col min="125" max="125" width="14.33203125" style="11" customWidth="1"/>
    <col min="126" max="126" width="13" style="11" customWidth="1"/>
    <col min="127" max="127" width="11.1640625" style="11" customWidth="1"/>
    <col min="128" max="128" width="12.83203125" style="12" customWidth="1"/>
    <col min="129" max="129" width="12.1640625" style="12" customWidth="1"/>
    <col min="130" max="133" width="12" style="12" customWidth="1"/>
    <col min="134" max="136" width="13" style="188" customWidth="1"/>
    <col min="137" max="137" width="10" style="188" customWidth="1"/>
    <col min="138" max="138" width="13.33203125" style="188" customWidth="1"/>
    <col min="139" max="141" width="12.5" style="188" customWidth="1"/>
    <col min="142" max="142" width="12.5" style="188" hidden="1" customWidth="1"/>
    <col min="143" max="143" width="12" style="290" bestFit="1" customWidth="1"/>
    <col min="144" max="147" width="11.6640625" style="290" customWidth="1"/>
    <col min="148" max="148" width="12.33203125" style="290" bestFit="1" customWidth="1"/>
    <col min="149" max="149" width="11.6640625" style="290" customWidth="1"/>
    <col min="150" max="150" width="12.33203125" style="290" bestFit="1" customWidth="1"/>
    <col min="151" max="152" width="11.6640625" style="290" customWidth="1"/>
    <col min="153" max="154" width="12.33203125" style="290" bestFit="1" customWidth="1"/>
    <col min="155" max="155" width="11.5" style="290" customWidth="1"/>
  </cols>
  <sheetData>
    <row r="1" spans="1:156" ht="16" customHeight="1">
      <c r="A1" s="1527"/>
      <c r="B1" s="497"/>
      <c r="C1" s="497"/>
      <c r="D1" s="497"/>
      <c r="E1" s="497"/>
      <c r="F1" s="497"/>
      <c r="G1" s="1159"/>
      <c r="H1" s="1159"/>
      <c r="I1" s="1159"/>
      <c r="J1" s="1159"/>
      <c r="K1" s="1159"/>
      <c r="L1" s="497"/>
      <c r="M1" s="497"/>
      <c r="N1" s="497"/>
      <c r="O1" s="782"/>
      <c r="P1" s="782"/>
      <c r="Q1" s="497">
        <v>1</v>
      </c>
      <c r="R1" s="497">
        <v>2</v>
      </c>
      <c r="S1" s="497">
        <v>3</v>
      </c>
      <c r="T1" s="497">
        <v>4</v>
      </c>
      <c r="U1" s="497">
        <v>5</v>
      </c>
      <c r="V1" s="497">
        <v>6</v>
      </c>
      <c r="W1" s="497">
        <v>7</v>
      </c>
      <c r="X1" s="497"/>
      <c r="Y1" s="497">
        <v>8</v>
      </c>
      <c r="Z1" s="497">
        <v>9</v>
      </c>
      <c r="AA1" s="497">
        <v>10</v>
      </c>
      <c r="AB1" s="497">
        <v>11</v>
      </c>
      <c r="AC1" s="497">
        <v>12</v>
      </c>
      <c r="AD1" s="497">
        <v>13</v>
      </c>
      <c r="AE1" s="497">
        <v>14</v>
      </c>
      <c r="AF1" s="497">
        <v>15</v>
      </c>
      <c r="AG1" s="497">
        <v>16</v>
      </c>
      <c r="AH1" s="497">
        <v>17</v>
      </c>
      <c r="AI1" s="497">
        <v>18</v>
      </c>
      <c r="AJ1" s="497">
        <v>19</v>
      </c>
      <c r="AK1" s="497">
        <v>20</v>
      </c>
      <c r="AL1" s="497">
        <v>21</v>
      </c>
      <c r="AM1" s="497">
        <v>22</v>
      </c>
      <c r="AN1" s="497">
        <v>23</v>
      </c>
      <c r="AO1" s="497">
        <v>24</v>
      </c>
      <c r="AP1" s="497">
        <v>25</v>
      </c>
      <c r="AQ1" s="497">
        <v>26</v>
      </c>
      <c r="AR1" s="497">
        <v>27</v>
      </c>
      <c r="AS1" s="497">
        <v>28</v>
      </c>
      <c r="AT1" s="497">
        <v>29</v>
      </c>
      <c r="AU1" s="497">
        <v>30</v>
      </c>
      <c r="AV1" s="497">
        <v>31</v>
      </c>
      <c r="AW1" s="497">
        <v>32</v>
      </c>
      <c r="AX1" s="497">
        <v>33</v>
      </c>
      <c r="AY1" s="497">
        <v>34</v>
      </c>
      <c r="AZ1" s="497">
        <v>35</v>
      </c>
      <c r="BA1" s="497">
        <v>36</v>
      </c>
      <c r="BB1" s="497">
        <v>37</v>
      </c>
      <c r="BC1" s="497">
        <v>38</v>
      </c>
      <c r="BD1" s="497">
        <v>39</v>
      </c>
      <c r="BE1" s="497">
        <v>40</v>
      </c>
      <c r="BF1" s="497">
        <v>41</v>
      </c>
      <c r="BG1" s="497">
        <v>42</v>
      </c>
      <c r="BH1" s="497"/>
      <c r="BI1" s="497">
        <v>43</v>
      </c>
      <c r="BJ1" s="497">
        <v>44</v>
      </c>
      <c r="BK1" s="497">
        <v>45</v>
      </c>
      <c r="BL1" s="497">
        <v>46</v>
      </c>
      <c r="BM1" s="497">
        <v>47</v>
      </c>
      <c r="BN1" s="497">
        <v>48</v>
      </c>
      <c r="BO1" s="497">
        <v>49</v>
      </c>
      <c r="BP1" s="497">
        <v>50</v>
      </c>
      <c r="BQ1" s="497">
        <v>51</v>
      </c>
      <c r="BR1" s="497">
        <v>52</v>
      </c>
      <c r="BS1" s="497">
        <v>53</v>
      </c>
      <c r="BT1" s="497">
        <v>54</v>
      </c>
      <c r="BU1" s="497">
        <v>55</v>
      </c>
      <c r="BV1" s="497">
        <v>56</v>
      </c>
      <c r="BW1" s="497">
        <v>57</v>
      </c>
      <c r="BX1" s="497">
        <v>58</v>
      </c>
      <c r="BY1" s="497">
        <v>59</v>
      </c>
      <c r="BZ1" s="497">
        <v>60</v>
      </c>
      <c r="CA1" s="497"/>
      <c r="CB1" s="497">
        <v>61</v>
      </c>
      <c r="CC1" s="497">
        <v>62</v>
      </c>
      <c r="CD1" s="497">
        <v>63</v>
      </c>
      <c r="CE1" s="497">
        <v>64</v>
      </c>
      <c r="CF1" s="497">
        <v>65</v>
      </c>
      <c r="CG1" s="497">
        <v>66</v>
      </c>
      <c r="CH1" s="497">
        <v>67</v>
      </c>
      <c r="CI1" s="497">
        <v>68</v>
      </c>
      <c r="CJ1" s="497">
        <v>69</v>
      </c>
      <c r="CK1" s="497">
        <v>70</v>
      </c>
      <c r="CL1" s="497">
        <v>71</v>
      </c>
      <c r="CM1" s="497">
        <v>72</v>
      </c>
      <c r="CN1" s="497">
        <v>73</v>
      </c>
      <c r="CO1" s="497">
        <v>74</v>
      </c>
      <c r="CP1" s="497">
        <v>75</v>
      </c>
      <c r="CQ1" s="497">
        <v>76</v>
      </c>
      <c r="CR1" s="497">
        <v>77</v>
      </c>
      <c r="CS1" s="497">
        <v>78</v>
      </c>
      <c r="CT1" s="497">
        <v>79</v>
      </c>
      <c r="CU1" s="497">
        <v>80</v>
      </c>
      <c r="CV1" s="497">
        <v>81</v>
      </c>
      <c r="CW1" s="497">
        <v>82</v>
      </c>
      <c r="CX1" s="497">
        <v>83</v>
      </c>
      <c r="CY1" s="497">
        <v>84</v>
      </c>
      <c r="CZ1" s="497">
        <v>85</v>
      </c>
      <c r="DA1" s="497">
        <v>86</v>
      </c>
      <c r="DB1" s="497">
        <v>87</v>
      </c>
      <c r="DC1" s="497">
        <v>88</v>
      </c>
      <c r="DD1" s="497">
        <v>89</v>
      </c>
      <c r="DE1" s="497">
        <v>90</v>
      </c>
      <c r="DF1" s="497">
        <v>91</v>
      </c>
      <c r="DG1" s="497">
        <v>92</v>
      </c>
      <c r="DH1" s="497">
        <v>93</v>
      </c>
      <c r="DI1" s="497">
        <v>94</v>
      </c>
      <c r="DJ1" s="497">
        <v>95</v>
      </c>
      <c r="DK1" s="497">
        <v>96</v>
      </c>
      <c r="DL1" s="497">
        <v>97</v>
      </c>
      <c r="DM1" s="497">
        <v>98</v>
      </c>
      <c r="DN1" s="497">
        <v>99</v>
      </c>
      <c r="DO1" s="497">
        <v>100</v>
      </c>
      <c r="DP1" s="497">
        <v>101</v>
      </c>
      <c r="DQ1" s="497">
        <v>102</v>
      </c>
      <c r="DR1" s="497">
        <v>103</v>
      </c>
      <c r="DS1" s="497">
        <v>104</v>
      </c>
      <c r="DT1" s="497">
        <v>105</v>
      </c>
      <c r="DU1" s="497">
        <v>106</v>
      </c>
      <c r="DV1" s="497">
        <v>107</v>
      </c>
      <c r="DW1" s="497">
        <v>108</v>
      </c>
      <c r="DX1" s="497">
        <v>109</v>
      </c>
      <c r="DY1" s="497">
        <v>110</v>
      </c>
      <c r="DZ1" s="497">
        <v>111</v>
      </c>
      <c r="EA1" s="497">
        <v>112</v>
      </c>
      <c r="EB1" s="497">
        <v>113</v>
      </c>
      <c r="EC1" s="497">
        <v>114</v>
      </c>
      <c r="ED1" s="497">
        <v>115</v>
      </c>
      <c r="EE1" s="497">
        <v>116</v>
      </c>
      <c r="EF1" s="497">
        <v>117</v>
      </c>
      <c r="EG1" s="497">
        <v>118</v>
      </c>
      <c r="EH1" s="497">
        <v>119</v>
      </c>
      <c r="EI1" s="497">
        <v>120</v>
      </c>
      <c r="EJ1" s="497">
        <v>121</v>
      </c>
      <c r="EK1" s="497">
        <v>122</v>
      </c>
      <c r="EL1" s="497">
        <v>123</v>
      </c>
      <c r="EM1" s="497">
        <v>124</v>
      </c>
      <c r="EN1" s="497">
        <v>125</v>
      </c>
      <c r="EO1" s="497">
        <v>126</v>
      </c>
      <c r="EP1" s="497">
        <v>127</v>
      </c>
      <c r="EQ1" s="497">
        <v>128</v>
      </c>
      <c r="ER1" s="497">
        <v>129</v>
      </c>
      <c r="ES1" s="497">
        <v>130</v>
      </c>
      <c r="ET1" s="497">
        <v>131</v>
      </c>
      <c r="EU1" s="497">
        <v>132</v>
      </c>
      <c r="EV1" s="497">
        <v>133</v>
      </c>
      <c r="EW1" s="497">
        <v>134</v>
      </c>
      <c r="EX1" s="497">
        <v>135</v>
      </c>
      <c r="EY1" s="497">
        <v>136</v>
      </c>
      <c r="EZ1" s="497">
        <v>137</v>
      </c>
    </row>
    <row r="2" spans="1:156" ht="24">
      <c r="A2" s="1526">
        <f>Q38</f>
        <v>189000</v>
      </c>
      <c r="B2" s="471"/>
      <c r="C2" s="473">
        <f ca="1">SUMPRODUCT(C7:C35,S7:S35)/S2</f>
        <v>0.16696478794548919</v>
      </c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848"/>
      <c r="Q2" s="471"/>
      <c r="R2" s="474"/>
      <c r="S2" s="474">
        <f>SUM(S7:S35)</f>
        <v>329404.23839199997</v>
      </c>
      <c r="T2" s="1813">
        <f>(S2/AK2)*1000000</f>
        <v>6607.2457806037501</v>
      </c>
      <c r="U2" s="1812" t="str">
        <f>MID('دیده بان بازار'!A3,18,10)</f>
        <v>1405/05/14</v>
      </c>
      <c r="V2" s="1014">
        <f>(S2/AM2)*10000</f>
        <v>23365.111939825016</v>
      </c>
      <c r="W2" s="1313" t="str">
        <f>MID('دیده بان بازار'!A3,50,9)</f>
        <v xml:space="preserve"> 13:37:15</v>
      </c>
      <c r="X2" s="1709"/>
      <c r="Y2" s="475"/>
      <c r="Z2" s="476">
        <f>IFERROR((S2-EX2)/EX2,"")</f>
        <v>0.24133914574053547</v>
      </c>
      <c r="AA2" s="655">
        <v>0.9</v>
      </c>
      <c r="AB2" s="658"/>
      <c r="AC2" s="668"/>
      <c r="AD2" s="668"/>
      <c r="AE2" s="668"/>
      <c r="AF2" s="668"/>
      <c r="AG2" s="666">
        <f>(S2-EN2)/EN2</f>
        <v>4.9663731557362336</v>
      </c>
      <c r="AH2" s="474"/>
      <c r="AI2" s="474"/>
      <c r="AJ2" s="495"/>
      <c r="AK2" s="474">
        <f>SUM(AK7:AK35)</f>
        <v>49855000</v>
      </c>
      <c r="AL2" s="474">
        <f>SUM(AL7:AL35)</f>
        <v>51895000</v>
      </c>
      <c r="AM2" s="986">
        <f>SUM(AM7:AM35)/1000000</f>
        <v>140981.23699999999</v>
      </c>
      <c r="AN2" s="477">
        <v>45063</v>
      </c>
      <c r="AO2" s="478">
        <f t="shared" ref="AO2:AR2" si="0">SUM(AO7:AO35)</f>
        <v>101748</v>
      </c>
      <c r="AP2" s="478">
        <f t="shared" si="0"/>
        <v>89772</v>
      </c>
      <c r="AQ2" s="478">
        <f t="shared" si="0"/>
        <v>44685</v>
      </c>
      <c r="AR2" s="478">
        <f t="shared" si="0"/>
        <v>129053.14037514341</v>
      </c>
      <c r="AS2" s="479"/>
      <c r="AT2" s="1189">
        <f>AVERAGE(AT7:AT35)</f>
        <v>2.426322667676569</v>
      </c>
      <c r="AU2" s="474"/>
      <c r="AV2" s="1082">
        <f>SUM(AV7:AV35)</f>
        <v>43276</v>
      </c>
      <c r="AW2" s="1082">
        <f>SUM(AW7:AW35)</f>
        <v>21203</v>
      </c>
      <c r="AX2" s="1084">
        <f>AW2/AV2</f>
        <v>0.48994823920879932</v>
      </c>
      <c r="AY2" s="1084">
        <f>AQ2/AP2</f>
        <v>0.49776099451944927</v>
      </c>
      <c r="AZ2" s="1368"/>
      <c r="BA2" s="1085">
        <f>SUM(BA7:BA35)/COUNT(BA7:BA35)</f>
        <v>0.39641379310344826</v>
      </c>
      <c r="BB2" s="474"/>
      <c r="BC2" s="1232">
        <f>AVERAGE(BC7:BC35)</f>
        <v>0.41020689655172421</v>
      </c>
      <c r="BD2" s="1233"/>
      <c r="BE2" s="1233"/>
      <c r="BF2" s="1233"/>
      <c r="BG2" s="2122">
        <f>(SUM(BG7:BG35)-MAX(BG7:BG35)-MIN(BG7:BG35))/(COUNT(BG7:BG35)-2)*100</f>
        <v>8.3370370370370388</v>
      </c>
      <c r="BH2" s="1315"/>
      <c r="BI2" s="1315">
        <f>AVERAGE(BI7:BI35)</f>
        <v>7.4862068965517253E-2</v>
      </c>
      <c r="BJ2" s="491"/>
      <c r="BK2" s="474"/>
      <c r="BL2" s="474"/>
      <c r="BM2" s="480"/>
      <c r="BN2" s="481"/>
      <c r="BO2" s="837"/>
      <c r="BP2" s="481"/>
      <c r="BQ2" s="481"/>
      <c r="BR2" s="481"/>
      <c r="BS2" s="1238"/>
      <c r="BT2" s="1238">
        <f>SUMPRODUCT(BT7:BT35,AM7:AM35)/AM2</f>
        <v>4491590607.9047947</v>
      </c>
      <c r="BU2" s="482"/>
      <c r="BV2" s="483">
        <f>V2/BT2</f>
        <v>5.201968295753519E-6</v>
      </c>
      <c r="BW2" s="484">
        <f>IFERROR(($Q$45-BV2)*$R$45,"")</f>
        <v>24.999973990158519</v>
      </c>
      <c r="BX2" s="474">
        <f>SUM(BX7:BX35)</f>
        <v>62095.020377440953</v>
      </c>
      <c r="BY2" s="474">
        <f>SUM(BY7:BY35)</f>
        <v>52089.004458190226</v>
      </c>
      <c r="BZ2" s="484"/>
      <c r="CA2" s="484"/>
      <c r="CB2" s="1248">
        <f>SUMPRODUCT(CB7:CB35,CJ7:CJ35)/1000</f>
        <v>52441.138394399997</v>
      </c>
      <c r="CC2" s="1249">
        <f>S2/CB2</f>
        <v>6.2814089944923062</v>
      </c>
      <c r="CD2" s="474"/>
      <c r="CE2" s="7">
        <v>1</v>
      </c>
      <c r="CF2" s="474"/>
      <c r="CG2" s="1189">
        <f>AVERAGE(CG7:CG35)</f>
        <v>0.45491102137922984</v>
      </c>
      <c r="CH2" s="474"/>
      <c r="CI2" s="481"/>
      <c r="CJ2" s="487">
        <f>SUM(CJ7:CJ35)</f>
        <v>14098.1237</v>
      </c>
      <c r="CK2" s="487">
        <f>SUM(CK7:CK35)</f>
        <v>11035</v>
      </c>
      <c r="CL2" s="487">
        <f>SUM(CL7:CL35)</f>
        <v>8298</v>
      </c>
      <c r="CM2" s="487"/>
      <c r="CN2" s="487">
        <f>SUM(CN7:CN35)</f>
        <v>21158</v>
      </c>
      <c r="CO2" s="487">
        <f>SUM(CO7:CO35)</f>
        <v>3167</v>
      </c>
      <c r="CP2" s="487">
        <f>SUM(CP7:CP35)</f>
        <v>21630.25</v>
      </c>
      <c r="CQ2" s="487"/>
      <c r="CR2" s="487">
        <f>SUM(CR7:CR35)</f>
        <v>33617</v>
      </c>
      <c r="CS2" s="487">
        <f>SUM(CS7:CS35)</f>
        <v>-3257</v>
      </c>
      <c r="CT2" s="488"/>
      <c r="CU2" s="489">
        <f>SUM(CU7:CU35)</f>
        <v>48506</v>
      </c>
      <c r="CV2" s="492">
        <f>SUM(CV7:CV35)</f>
        <v>74342</v>
      </c>
      <c r="CW2" s="492">
        <f>SUM(CW7:CW35)</f>
        <v>10362</v>
      </c>
      <c r="CX2" s="492">
        <f>SUM(CX7:CX35)</f>
        <v>4038</v>
      </c>
      <c r="CY2" s="491">
        <f>SUM(CY7:CY35)</f>
        <v>78380</v>
      </c>
      <c r="CZ2" s="1189">
        <f>AVERAGE(CZ7:CZ35)</f>
        <v>1.362624831758136</v>
      </c>
      <c r="DA2" s="491"/>
      <c r="DB2" s="489">
        <f>SUM(DB7:DB35)</f>
        <v>126886</v>
      </c>
      <c r="DC2" s="1190">
        <f>CY2/DB2</f>
        <v>0.61771984300868499</v>
      </c>
      <c r="DD2" s="492">
        <f>SUM(DD7:DD35)</f>
        <v>37102</v>
      </c>
      <c r="DE2" s="492">
        <f>SUM(DE7:DE35)</f>
        <v>30510</v>
      </c>
      <c r="DF2" s="492">
        <f>SUM(DF7:DF35)</f>
        <v>4085</v>
      </c>
      <c r="DG2" s="492">
        <f>SUM(DG7:DG35)</f>
        <v>89784</v>
      </c>
      <c r="DH2" s="491">
        <f>SUM(DH7:DH35)</f>
        <v>15442</v>
      </c>
      <c r="DI2" s="490">
        <f>AR2/DH2</f>
        <v>8.3572814645216553</v>
      </c>
      <c r="DJ2" s="492">
        <f>SUM(DJ7:DJ35)</f>
        <v>36171</v>
      </c>
      <c r="DK2" s="492">
        <f>SUM(DK7:DK35)</f>
        <v>12278</v>
      </c>
      <c r="DL2" s="492">
        <f>SUM(DL7:DL35)</f>
        <v>13628</v>
      </c>
      <c r="DM2" s="1189">
        <f>AVERAGE(DM7:DM35)</f>
        <v>0.6001298119587205</v>
      </c>
      <c r="DN2" s="474"/>
      <c r="DO2" s="491"/>
      <c r="DP2" s="474"/>
      <c r="DQ2" s="492">
        <f>SUM(DQ7:DQ35)</f>
        <v>20516</v>
      </c>
      <c r="DR2" s="491">
        <f>SUM(DR7:DR35)</f>
        <v>7191</v>
      </c>
      <c r="DS2" s="485" t="s">
        <v>231</v>
      </c>
      <c r="DT2" s="493">
        <f>IFERROR(((S2/AK2)/$Q$38*1000000000),"")</f>
        <v>34.958972384146826</v>
      </c>
      <c r="DU2" s="491">
        <f>SUM(DU7:DU35)</f>
        <v>460451.01374999993</v>
      </c>
      <c r="DV2" s="1189">
        <f>DU2/S2</f>
        <v>1.3978296575590832</v>
      </c>
      <c r="DW2" s="7">
        <f>(DV2-$Q$53)*$R$53</f>
        <v>7.9565931511816634</v>
      </c>
      <c r="DX2" s="1189">
        <f>(AR2/AK2)*1000000</f>
        <v>2588.5696595154632</v>
      </c>
      <c r="DY2" s="474"/>
      <c r="DZ2" s="1191">
        <f>AVERAGE(DZ7:DZ35)</f>
        <v>0.49057106864570721</v>
      </c>
      <c r="EA2" s="474"/>
      <c r="EB2" s="486">
        <f>AVERAGE(EB7:EB35)</f>
        <v>0.18093351928825749</v>
      </c>
      <c r="EC2" s="474"/>
      <c r="ED2" s="495"/>
      <c r="EE2" s="495"/>
      <c r="EF2" s="495"/>
      <c r="EG2" s="495"/>
      <c r="EH2" s="495"/>
      <c r="EI2" s="495"/>
      <c r="EJ2" s="495"/>
      <c r="EK2" s="495"/>
      <c r="EL2" s="495"/>
      <c r="EM2" s="496"/>
      <c r="EN2" s="66">
        <f>SUM(EN7:EN35)</f>
        <v>55210.130140000001</v>
      </c>
      <c r="EO2" s="66"/>
      <c r="EP2" s="66">
        <f>SUM(EP7:EP35)</f>
        <v>100706</v>
      </c>
      <c r="EQ2" s="66"/>
      <c r="ER2" s="66">
        <f>SUM(ER7:ER35)</f>
        <v>112451</v>
      </c>
      <c r="ES2" s="66"/>
      <c r="ET2" s="66">
        <f>SUM(ET7:ET35)</f>
        <v>207835</v>
      </c>
      <c r="EU2" s="66"/>
      <c r="EV2" s="66"/>
      <c r="EW2" s="496"/>
      <c r="EX2" s="66">
        <f>SUM(EX7:EX35)</f>
        <v>265362</v>
      </c>
      <c r="EY2" s="567">
        <f>(EX2-EN2)/EN2</f>
        <v>3.8064005523461715</v>
      </c>
      <c r="EZ2" s="567"/>
    </row>
    <row r="3" spans="1:156" s="30" customFormat="1" ht="28" customHeight="1">
      <c r="A3" s="34" t="s">
        <v>232</v>
      </c>
      <c r="B3" s="34" t="s">
        <v>232</v>
      </c>
      <c r="C3" s="34" t="s">
        <v>233</v>
      </c>
      <c r="D3" s="34"/>
      <c r="E3" s="34" t="s">
        <v>234</v>
      </c>
      <c r="F3" s="41" t="s">
        <v>234</v>
      </c>
      <c r="G3" s="41" t="s">
        <v>234</v>
      </c>
      <c r="H3" s="41"/>
      <c r="I3" s="41"/>
      <c r="J3" s="41"/>
      <c r="K3" s="41"/>
      <c r="L3" s="34" t="s">
        <v>235</v>
      </c>
      <c r="M3" s="34"/>
      <c r="N3" s="34"/>
      <c r="O3" s="147" t="s">
        <v>236</v>
      </c>
      <c r="P3" s="34"/>
      <c r="Q3" s="61"/>
      <c r="R3" s="35" t="s">
        <v>237</v>
      </c>
      <c r="S3" s="34" t="s">
        <v>238</v>
      </c>
      <c r="T3" s="34" t="s">
        <v>239</v>
      </c>
      <c r="U3" s="34" t="s">
        <v>233</v>
      </c>
      <c r="V3" s="34" t="s">
        <v>239</v>
      </c>
      <c r="W3" s="37" t="s">
        <v>233</v>
      </c>
      <c r="X3" s="37"/>
      <c r="Y3" s="37"/>
      <c r="Z3" s="37" t="s">
        <v>233</v>
      </c>
      <c r="AA3" s="654" t="s">
        <v>233</v>
      </c>
      <c r="AB3" s="654" t="s">
        <v>233</v>
      </c>
      <c r="AC3" s="654"/>
      <c r="AD3" s="654"/>
      <c r="AE3" s="654"/>
      <c r="AF3" s="654"/>
      <c r="AG3" s="654" t="s">
        <v>234</v>
      </c>
      <c r="AH3" s="36"/>
      <c r="AI3" s="36"/>
      <c r="AJ3" s="40" t="s">
        <v>240</v>
      </c>
      <c r="AK3" s="34" t="s">
        <v>241</v>
      </c>
      <c r="AL3" s="34"/>
      <c r="AM3" s="38" t="s">
        <v>242</v>
      </c>
      <c r="AN3" s="39" t="s">
        <v>234</v>
      </c>
      <c r="AO3" s="34" t="s">
        <v>241</v>
      </c>
      <c r="AP3" s="34" t="s">
        <v>243</v>
      </c>
      <c r="AQ3" s="34"/>
      <c r="AR3" s="34" t="s">
        <v>243</v>
      </c>
      <c r="AS3" s="34" t="s">
        <v>237</v>
      </c>
      <c r="AT3" s="40"/>
      <c r="AU3" s="106" t="s">
        <v>244</v>
      </c>
      <c r="AV3" s="34" t="s">
        <v>243</v>
      </c>
      <c r="AW3" s="34" t="s">
        <v>243</v>
      </c>
      <c r="AX3" s="41" t="s">
        <v>234</v>
      </c>
      <c r="AY3" s="34" t="s">
        <v>234</v>
      </c>
      <c r="AZ3" s="34"/>
      <c r="BA3" s="34" t="s">
        <v>234</v>
      </c>
      <c r="BB3" s="106" t="s">
        <v>245</v>
      </c>
      <c r="BC3" s="41" t="s">
        <v>234</v>
      </c>
      <c r="BD3" s="41" t="s">
        <v>234</v>
      </c>
      <c r="BE3" s="41"/>
      <c r="BF3" s="41" t="s">
        <v>234</v>
      </c>
      <c r="BG3" s="41" t="s">
        <v>234</v>
      </c>
      <c r="BH3" s="41" t="s">
        <v>243</v>
      </c>
      <c r="BI3" s="41"/>
      <c r="BJ3" s="105" t="s">
        <v>246</v>
      </c>
      <c r="BK3" s="104"/>
      <c r="BL3" s="104" t="s">
        <v>247</v>
      </c>
      <c r="BM3" s="41"/>
      <c r="BN3" s="34" t="s">
        <v>237</v>
      </c>
      <c r="BO3" s="838"/>
      <c r="BP3" s="41" t="s">
        <v>239</v>
      </c>
      <c r="BQ3" s="41" t="s">
        <v>239</v>
      </c>
      <c r="BR3" s="41" t="s">
        <v>239</v>
      </c>
      <c r="BS3" s="41"/>
      <c r="BT3" s="41" t="s">
        <v>239</v>
      </c>
      <c r="BU3" s="41"/>
      <c r="BV3" s="41" t="s">
        <v>248</v>
      </c>
      <c r="BW3" s="104" t="s">
        <v>249</v>
      </c>
      <c r="BX3" s="41" t="s">
        <v>243</v>
      </c>
      <c r="BY3" s="41" t="s">
        <v>250</v>
      </c>
      <c r="BZ3" s="40"/>
      <c r="CA3" s="40"/>
      <c r="CB3" s="42" t="s">
        <v>238</v>
      </c>
      <c r="CC3" s="42" t="s">
        <v>248</v>
      </c>
      <c r="CD3" s="104" t="s">
        <v>251</v>
      </c>
      <c r="CE3" s="41" t="s">
        <v>248</v>
      </c>
      <c r="CF3" s="104" t="s">
        <v>252</v>
      </c>
      <c r="CG3" s="42" t="s">
        <v>248</v>
      </c>
      <c r="CH3" s="104" t="s">
        <v>253</v>
      </c>
      <c r="CI3" s="40"/>
      <c r="CJ3" s="34" t="s">
        <v>243</v>
      </c>
      <c r="CK3" s="34"/>
      <c r="CL3" s="34"/>
      <c r="CM3" s="34"/>
      <c r="CN3" s="34" t="s">
        <v>243</v>
      </c>
      <c r="CO3" s="34" t="s">
        <v>243</v>
      </c>
      <c r="CP3" s="34" t="s">
        <v>243</v>
      </c>
      <c r="CQ3" s="34"/>
      <c r="CR3" s="34" t="s">
        <v>243</v>
      </c>
      <c r="CS3" s="34" t="s">
        <v>243</v>
      </c>
      <c r="CT3" s="54" t="s">
        <v>248</v>
      </c>
      <c r="CU3" s="34" t="s">
        <v>243</v>
      </c>
      <c r="CV3" s="34" t="s">
        <v>243</v>
      </c>
      <c r="CW3" s="34" t="s">
        <v>243</v>
      </c>
      <c r="CX3" s="34" t="s">
        <v>243</v>
      </c>
      <c r="CY3" s="34" t="s">
        <v>243</v>
      </c>
      <c r="CZ3" s="34" t="s">
        <v>248</v>
      </c>
      <c r="DA3" s="105" t="s">
        <v>254</v>
      </c>
      <c r="DB3" s="34" t="s">
        <v>243</v>
      </c>
      <c r="DC3" s="34" t="s">
        <v>234</v>
      </c>
      <c r="DD3" s="34" t="s">
        <v>243</v>
      </c>
      <c r="DE3" s="34" t="s">
        <v>243</v>
      </c>
      <c r="DF3" s="34" t="s">
        <v>243</v>
      </c>
      <c r="DG3" s="34" t="s">
        <v>243</v>
      </c>
      <c r="DH3" s="34" t="s">
        <v>243</v>
      </c>
      <c r="DI3" s="34"/>
      <c r="DJ3" s="34" t="s">
        <v>243</v>
      </c>
      <c r="DK3" s="34" t="s">
        <v>243</v>
      </c>
      <c r="DL3" s="34" t="s">
        <v>243</v>
      </c>
      <c r="DM3" s="34" t="s">
        <v>248</v>
      </c>
      <c r="DN3" s="105" t="s">
        <v>255</v>
      </c>
      <c r="DO3" s="34" t="s">
        <v>248</v>
      </c>
      <c r="DP3" s="105" t="s">
        <v>256</v>
      </c>
      <c r="DQ3" s="34" t="s">
        <v>243</v>
      </c>
      <c r="DR3" s="34" t="s">
        <v>243</v>
      </c>
      <c r="DS3" s="34" t="s">
        <v>257</v>
      </c>
      <c r="DT3" s="34" t="s">
        <v>258</v>
      </c>
      <c r="DU3" s="34" t="s">
        <v>243</v>
      </c>
      <c r="DV3" s="34" t="s">
        <v>248</v>
      </c>
      <c r="DW3" s="105" t="s">
        <v>259</v>
      </c>
      <c r="DX3" s="41" t="s">
        <v>260</v>
      </c>
      <c r="DY3" s="104" t="s">
        <v>261</v>
      </c>
      <c r="DZ3" s="42" t="s">
        <v>248</v>
      </c>
      <c r="EA3" s="104" t="s">
        <v>262</v>
      </c>
      <c r="EB3" s="42" t="s">
        <v>248</v>
      </c>
      <c r="EC3" s="104" t="s">
        <v>263</v>
      </c>
      <c r="ED3" s="41" t="s">
        <v>239</v>
      </c>
      <c r="EE3" s="41" t="s">
        <v>239</v>
      </c>
      <c r="EF3" s="41"/>
      <c r="EG3" s="40">
        <f>Q40</f>
        <v>0.25</v>
      </c>
      <c r="EH3" s="40" t="s">
        <v>264</v>
      </c>
      <c r="EI3" s="40" t="s">
        <v>239</v>
      </c>
      <c r="EJ3" s="40"/>
      <c r="EK3" s="40"/>
      <c r="EL3" s="40"/>
      <c r="EM3" s="291"/>
      <c r="EN3" s="291"/>
      <c r="EO3" s="291"/>
      <c r="EP3" s="291"/>
      <c r="EQ3" s="291"/>
      <c r="ER3" s="291"/>
      <c r="ES3" s="291"/>
      <c r="ET3" s="291"/>
      <c r="EU3" s="291"/>
      <c r="EV3" s="291"/>
      <c r="EW3" s="291" t="s">
        <v>265</v>
      </c>
      <c r="EX3" s="291" t="s">
        <v>238</v>
      </c>
      <c r="EY3" s="291" t="s">
        <v>234</v>
      </c>
      <c r="EZ3" s="291"/>
    </row>
    <row r="4" spans="1:156" s="360" customFormat="1" ht="101" customHeight="1" thickBot="1">
      <c r="A4" s="465" t="s">
        <v>266</v>
      </c>
      <c r="B4" s="1590" t="s">
        <v>267</v>
      </c>
      <c r="C4" s="1591" t="s">
        <v>268</v>
      </c>
      <c r="D4" s="465" t="s">
        <v>269</v>
      </c>
      <c r="E4" s="516" t="s">
        <v>270</v>
      </c>
      <c r="F4" s="516" t="s">
        <v>271</v>
      </c>
      <c r="G4" s="671" t="s">
        <v>272</v>
      </c>
      <c r="H4" s="2302" t="s">
        <v>8281</v>
      </c>
      <c r="I4" s="1229" t="s">
        <v>8280</v>
      </c>
      <c r="J4" s="1229" t="s">
        <v>8279</v>
      </c>
      <c r="K4" s="465" t="s">
        <v>274</v>
      </c>
      <c r="L4" s="465" t="s">
        <v>275</v>
      </c>
      <c r="M4" s="1577" t="s">
        <v>276</v>
      </c>
      <c r="N4" s="1577" t="s">
        <v>277</v>
      </c>
      <c r="O4" s="1598" t="s">
        <v>278</v>
      </c>
      <c r="P4" s="1360" t="s">
        <v>279</v>
      </c>
      <c r="Q4" s="2116" t="s">
        <v>11</v>
      </c>
      <c r="R4" s="1360" t="s">
        <v>280</v>
      </c>
      <c r="S4" s="1360" t="s">
        <v>281</v>
      </c>
      <c r="T4" s="1360" t="s">
        <v>282</v>
      </c>
      <c r="U4" s="1360" t="s">
        <v>283</v>
      </c>
      <c r="V4" s="1360" t="s">
        <v>284</v>
      </c>
      <c r="W4" s="1360" t="s">
        <v>285</v>
      </c>
      <c r="X4" s="1360" t="s">
        <v>286</v>
      </c>
      <c r="Y4" s="516" t="s">
        <v>287</v>
      </c>
      <c r="Z4" s="2117" t="s">
        <v>288</v>
      </c>
      <c r="AA4" s="2118" t="s">
        <v>289</v>
      </c>
      <c r="AB4" s="2119" t="s">
        <v>290</v>
      </c>
      <c r="AC4" s="2117" t="s">
        <v>291</v>
      </c>
      <c r="AD4" s="2117" t="s">
        <v>292</v>
      </c>
      <c r="AE4" s="2117" t="s">
        <v>293</v>
      </c>
      <c r="AF4" s="2117" t="s">
        <v>294</v>
      </c>
      <c r="AG4" s="2117" t="s">
        <v>295</v>
      </c>
      <c r="AH4" s="352" t="s">
        <v>296</v>
      </c>
      <c r="AI4" s="353" t="s">
        <v>297</v>
      </c>
      <c r="AJ4" s="350" t="s">
        <v>298</v>
      </c>
      <c r="AK4" s="350" t="s">
        <v>299</v>
      </c>
      <c r="AL4" s="350" t="s">
        <v>300</v>
      </c>
      <c r="AM4" s="350" t="s">
        <v>301</v>
      </c>
      <c r="AN4" s="350" t="s">
        <v>302</v>
      </c>
      <c r="AO4" s="501" t="s">
        <v>303</v>
      </c>
      <c r="AP4" s="501" t="s">
        <v>304</v>
      </c>
      <c r="AQ4" s="501" t="s">
        <v>305</v>
      </c>
      <c r="AR4" s="400" t="s">
        <v>306</v>
      </c>
      <c r="AS4" s="350" t="s">
        <v>307</v>
      </c>
      <c r="AT4" s="350" t="s">
        <v>308</v>
      </c>
      <c r="AU4" s="354" t="s">
        <v>309</v>
      </c>
      <c r="AV4" s="350" t="s">
        <v>310</v>
      </c>
      <c r="AW4" s="350" t="s">
        <v>311</v>
      </c>
      <c r="AX4" s="501" t="s">
        <v>312</v>
      </c>
      <c r="AY4" s="501" t="s">
        <v>313</v>
      </c>
      <c r="AZ4" s="501" t="s">
        <v>314</v>
      </c>
      <c r="BA4" s="501" t="s">
        <v>315</v>
      </c>
      <c r="BB4" s="354" t="s">
        <v>316</v>
      </c>
      <c r="BC4" s="501" t="s">
        <v>317</v>
      </c>
      <c r="BD4" s="501" t="s">
        <v>318</v>
      </c>
      <c r="BE4" s="501" t="s">
        <v>319</v>
      </c>
      <c r="BF4" s="501" t="s">
        <v>320</v>
      </c>
      <c r="BG4" s="400" t="s">
        <v>321</v>
      </c>
      <c r="BH4" s="400" t="s">
        <v>322</v>
      </c>
      <c r="BI4" s="400" t="s">
        <v>323</v>
      </c>
      <c r="BJ4" s="1318" t="s">
        <v>324</v>
      </c>
      <c r="BK4" s="400" t="s">
        <v>325</v>
      </c>
      <c r="BL4" s="122" t="s">
        <v>326</v>
      </c>
      <c r="BM4" s="350"/>
      <c r="BN4" s="350" t="s">
        <v>327</v>
      </c>
      <c r="BO4" s="350" t="s">
        <v>328</v>
      </c>
      <c r="BP4" s="350" t="s">
        <v>329</v>
      </c>
      <c r="BQ4" s="350" t="s">
        <v>330</v>
      </c>
      <c r="BR4" s="350" t="s">
        <v>331</v>
      </c>
      <c r="BS4" s="501" t="s">
        <v>332</v>
      </c>
      <c r="BT4" s="97" t="s">
        <v>333</v>
      </c>
      <c r="BU4" s="355"/>
      <c r="BV4" s="350" t="s">
        <v>334</v>
      </c>
      <c r="BW4" s="354" t="s">
        <v>335</v>
      </c>
      <c r="BX4" s="350" t="s">
        <v>336</v>
      </c>
      <c r="BY4" s="350" t="s">
        <v>337</v>
      </c>
      <c r="BZ4" s="350" t="s">
        <v>338</v>
      </c>
      <c r="CA4" s="350" t="s">
        <v>339</v>
      </c>
      <c r="CB4" s="350" t="s">
        <v>340</v>
      </c>
      <c r="CC4" s="350" t="s">
        <v>341</v>
      </c>
      <c r="CD4" s="354" t="s">
        <v>342</v>
      </c>
      <c r="CE4" s="97" t="s">
        <v>343</v>
      </c>
      <c r="CF4" s="354" t="s">
        <v>344</v>
      </c>
      <c r="CG4" s="97" t="s">
        <v>345</v>
      </c>
      <c r="CH4" s="354" t="s">
        <v>346</v>
      </c>
      <c r="CI4" s="355"/>
      <c r="CJ4" s="350" t="s">
        <v>347</v>
      </c>
      <c r="CK4" s="350" t="s">
        <v>348</v>
      </c>
      <c r="CL4" s="350" t="s">
        <v>349</v>
      </c>
      <c r="CM4" s="350" t="s">
        <v>350</v>
      </c>
      <c r="CN4" s="350" t="s">
        <v>351</v>
      </c>
      <c r="CO4" s="97" t="s">
        <v>352</v>
      </c>
      <c r="CP4" s="350" t="s">
        <v>353</v>
      </c>
      <c r="CQ4" s="400" t="s">
        <v>354</v>
      </c>
      <c r="CR4" s="350" t="s">
        <v>355</v>
      </c>
      <c r="CS4" s="400" t="s">
        <v>356</v>
      </c>
      <c r="CT4" s="350" t="s">
        <v>357</v>
      </c>
      <c r="CU4" s="355" t="s">
        <v>358</v>
      </c>
      <c r="CV4" s="356" t="s">
        <v>359</v>
      </c>
      <c r="CW4" s="356" t="s">
        <v>360</v>
      </c>
      <c r="CX4" s="356" t="s">
        <v>361</v>
      </c>
      <c r="CY4" s="357" t="s">
        <v>362</v>
      </c>
      <c r="CZ4" s="97" t="s">
        <v>363</v>
      </c>
      <c r="DA4" s="354" t="s">
        <v>364</v>
      </c>
      <c r="DB4" s="357" t="s">
        <v>365</v>
      </c>
      <c r="DC4" s="357" t="s">
        <v>366</v>
      </c>
      <c r="DD4" s="350" t="s">
        <v>367</v>
      </c>
      <c r="DE4" s="350" t="s">
        <v>368</v>
      </c>
      <c r="DF4" s="348" t="s">
        <v>369</v>
      </c>
      <c r="DG4" s="350" t="s">
        <v>370</v>
      </c>
      <c r="DH4" s="350" t="s">
        <v>371</v>
      </c>
      <c r="DI4" s="350" t="s">
        <v>372</v>
      </c>
      <c r="DJ4" s="350" t="s">
        <v>373</v>
      </c>
      <c r="DK4" s="350" t="s">
        <v>374</v>
      </c>
      <c r="DL4" s="350" t="s">
        <v>375</v>
      </c>
      <c r="DM4" s="399" t="s">
        <v>376</v>
      </c>
      <c r="DN4" s="122" t="s">
        <v>377</v>
      </c>
      <c r="DO4" s="400" t="s">
        <v>378</v>
      </c>
      <c r="DP4" s="122" t="s">
        <v>379</v>
      </c>
      <c r="DQ4" s="350" t="s">
        <v>380</v>
      </c>
      <c r="DR4" s="350" t="s">
        <v>381</v>
      </c>
      <c r="DS4" s="350" t="s">
        <v>382</v>
      </c>
      <c r="DT4" s="350" t="s">
        <v>383</v>
      </c>
      <c r="DU4" s="350" t="s">
        <v>384</v>
      </c>
      <c r="DV4" s="400" t="s">
        <v>385</v>
      </c>
      <c r="DW4" s="354" t="s">
        <v>386</v>
      </c>
      <c r="DX4" s="350" t="s">
        <v>387</v>
      </c>
      <c r="DY4" s="354" t="s">
        <v>388</v>
      </c>
      <c r="DZ4" s="350" t="s">
        <v>389</v>
      </c>
      <c r="EA4" s="354" t="s">
        <v>390</v>
      </c>
      <c r="EB4" s="350" t="s">
        <v>391</v>
      </c>
      <c r="EC4" s="354" t="s">
        <v>392</v>
      </c>
      <c r="ED4" s="350" t="s">
        <v>393</v>
      </c>
      <c r="EE4" s="350" t="s">
        <v>394</v>
      </c>
      <c r="EF4" s="350" t="s">
        <v>395</v>
      </c>
      <c r="EG4" s="350" t="s">
        <v>396</v>
      </c>
      <c r="EH4" s="350" t="s">
        <v>397</v>
      </c>
      <c r="EI4" s="358" t="s">
        <v>398</v>
      </c>
      <c r="EJ4" s="804" t="s">
        <v>399</v>
      </c>
      <c r="EK4" s="350" t="s">
        <v>400</v>
      </c>
      <c r="EL4" s="350" t="s">
        <v>401</v>
      </c>
      <c r="EM4" s="359" t="s">
        <v>402</v>
      </c>
      <c r="EN4" s="348" t="s">
        <v>403</v>
      </c>
      <c r="EO4" s="359" t="s">
        <v>404</v>
      </c>
      <c r="EP4" s="348" t="s">
        <v>405</v>
      </c>
      <c r="EQ4" s="359" t="s">
        <v>406</v>
      </c>
      <c r="ER4" s="348" t="s">
        <v>407</v>
      </c>
      <c r="ES4" s="359" t="s">
        <v>408</v>
      </c>
      <c r="ET4" s="348" t="s">
        <v>409</v>
      </c>
      <c r="EU4" s="359" t="s">
        <v>410</v>
      </c>
      <c r="EV4" s="348" t="s">
        <v>410</v>
      </c>
      <c r="EW4" s="359" t="s">
        <v>411</v>
      </c>
      <c r="EX4" s="348" t="s">
        <v>412</v>
      </c>
      <c r="EY4" s="503" t="s">
        <v>413</v>
      </c>
      <c r="EZ4" s="503" t="s">
        <v>414</v>
      </c>
    </row>
    <row r="5" spans="1:156" ht="28" customHeight="1">
      <c r="A5" s="68"/>
      <c r="B5" s="68"/>
      <c r="C5" s="189"/>
      <c r="D5" s="844"/>
      <c r="E5" s="68"/>
      <c r="F5" s="70"/>
      <c r="G5" s="844"/>
      <c r="H5" s="844"/>
      <c r="I5" s="844"/>
      <c r="J5" s="844"/>
      <c r="K5" s="844"/>
      <c r="L5" s="68"/>
      <c r="M5" s="68"/>
      <c r="N5" s="68"/>
      <c r="O5" s="1820">
        <f>COUNTIF(O7:O60,"&gt;0")+COUNTIF(O7:O60,"&lt;0")</f>
        <v>0</v>
      </c>
      <c r="P5" s="69"/>
      <c r="Q5" s="68"/>
      <c r="R5" s="71"/>
      <c r="S5" s="70"/>
      <c r="T5" s="70"/>
      <c r="U5" s="70"/>
      <c r="V5" s="72"/>
      <c r="W5" s="150" t="s">
        <v>234</v>
      </c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80"/>
      <c r="AK5" s="70"/>
      <c r="AL5" s="70"/>
      <c r="AM5" s="74"/>
      <c r="AN5" s="75"/>
      <c r="AO5" s="68"/>
      <c r="AP5" s="68"/>
      <c r="AQ5" s="68"/>
      <c r="AR5" s="70"/>
      <c r="AS5" s="76">
        <f>R5</f>
        <v>0</v>
      </c>
      <c r="AT5" s="77"/>
      <c r="AU5" s="77"/>
      <c r="AV5" s="78"/>
      <c r="AW5" s="78"/>
      <c r="AX5" s="70"/>
      <c r="AY5" s="70"/>
      <c r="AZ5" s="68"/>
      <c r="BA5" s="68"/>
      <c r="BB5" s="77"/>
      <c r="BC5" s="70"/>
      <c r="BD5" s="70"/>
      <c r="BE5" s="70"/>
      <c r="BF5" s="70"/>
      <c r="BG5" s="78"/>
      <c r="BH5" s="78"/>
      <c r="BI5" s="78"/>
      <c r="BJ5" s="70"/>
      <c r="BK5" s="78"/>
      <c r="BL5" s="78"/>
      <c r="BM5" s="78"/>
      <c r="BN5" s="71">
        <f>R5</f>
        <v>0</v>
      </c>
      <c r="BO5" s="839"/>
      <c r="BP5" s="79"/>
      <c r="BQ5" s="80"/>
      <c r="BR5" s="80"/>
      <c r="BS5" s="78"/>
      <c r="BT5" s="78"/>
      <c r="BU5" s="78"/>
      <c r="BV5" s="78"/>
      <c r="BW5" s="78"/>
      <c r="BX5" s="80"/>
      <c r="BY5" s="80"/>
      <c r="BZ5" s="81"/>
      <c r="CA5" s="81"/>
      <c r="CB5" s="82"/>
      <c r="CC5" s="83">
        <v>6.56</v>
      </c>
      <c r="CD5" s="78"/>
      <c r="CE5" s="78"/>
      <c r="CF5" s="78"/>
      <c r="CG5" s="78"/>
      <c r="CH5" s="78"/>
      <c r="CI5" s="81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84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8"/>
      <c r="DY5" s="78"/>
      <c r="DZ5" s="78"/>
      <c r="EA5" s="78"/>
      <c r="EB5" s="78"/>
      <c r="EC5" s="78"/>
      <c r="ED5" s="80"/>
      <c r="EE5" s="80"/>
      <c r="EF5" s="80"/>
      <c r="EG5" s="80"/>
      <c r="EH5" s="80"/>
      <c r="EI5" s="303"/>
      <c r="EJ5" s="303"/>
      <c r="EK5" s="303"/>
      <c r="EL5" s="303"/>
      <c r="EM5" s="288"/>
      <c r="EN5" s="288"/>
      <c r="EO5" s="288"/>
      <c r="EP5" s="288"/>
      <c r="EQ5" s="288"/>
      <c r="ER5" s="288"/>
      <c r="ES5" s="288"/>
      <c r="ET5" s="288"/>
      <c r="EU5" s="288"/>
      <c r="EV5" s="288"/>
      <c r="EW5" s="288"/>
      <c r="EX5" s="288"/>
      <c r="EY5" s="288"/>
      <c r="EZ5" s="288"/>
    </row>
    <row r="6" spans="1:156" s="102" customFormat="1" ht="20" customHeight="1">
      <c r="A6" s="315"/>
      <c r="B6" s="315"/>
      <c r="C6" s="450"/>
      <c r="D6" s="315"/>
      <c r="E6" s="315"/>
      <c r="F6" s="317"/>
      <c r="G6" s="1314"/>
      <c r="H6" s="1314"/>
      <c r="I6" s="1314"/>
      <c r="J6" s="1314"/>
      <c r="K6" s="1314"/>
      <c r="L6" s="315"/>
      <c r="M6" s="315"/>
      <c r="N6" s="315"/>
      <c r="O6" s="451"/>
      <c r="P6" s="314"/>
      <c r="Q6" s="315"/>
      <c r="R6" s="316"/>
      <c r="S6" s="317"/>
      <c r="T6" s="317"/>
      <c r="U6" s="317"/>
      <c r="V6" s="319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7"/>
      <c r="AL6" s="317"/>
      <c r="AM6" s="320"/>
      <c r="AN6" s="452"/>
      <c r="AO6" s="315"/>
      <c r="AP6" s="702"/>
      <c r="AQ6" s="702"/>
      <c r="AR6" s="317"/>
      <c r="AS6" s="453"/>
      <c r="AT6" s="454"/>
      <c r="AU6" s="454"/>
      <c r="AV6" s="698"/>
      <c r="AW6" s="698"/>
      <c r="AX6" s="317"/>
      <c r="AY6" s="317"/>
      <c r="AZ6" s="315"/>
      <c r="BA6" s="315"/>
      <c r="BB6" s="454"/>
      <c r="BC6" s="317"/>
      <c r="BD6" s="317"/>
      <c r="BE6" s="317"/>
      <c r="BF6" s="317"/>
      <c r="BG6" s="455"/>
      <c r="BH6" s="455"/>
      <c r="BI6" s="455"/>
      <c r="BJ6" s="317"/>
      <c r="BK6" s="455"/>
      <c r="BL6" s="455"/>
      <c r="BM6" s="455"/>
      <c r="BN6" s="706"/>
      <c r="BO6" s="840"/>
      <c r="BP6" s="707"/>
      <c r="BQ6" s="701"/>
      <c r="BR6" s="701"/>
      <c r="BS6" s="455"/>
      <c r="BT6" s="455"/>
      <c r="BU6" s="455"/>
      <c r="BV6" s="455"/>
      <c r="BW6" s="455"/>
      <c r="BX6" s="457"/>
      <c r="BY6" s="457"/>
      <c r="BZ6" s="458"/>
      <c r="CA6" s="458"/>
      <c r="CB6" s="459"/>
      <c r="CC6" s="460"/>
      <c r="CD6" s="455"/>
      <c r="CE6" s="455"/>
      <c r="CF6" s="455"/>
      <c r="CG6" s="455"/>
      <c r="CH6" s="455"/>
      <c r="CI6" s="458"/>
      <c r="CJ6" s="696"/>
      <c r="CK6" s="696"/>
      <c r="CL6" s="317"/>
      <c r="CM6" s="696"/>
      <c r="CN6" s="696"/>
      <c r="CO6" s="696"/>
      <c r="CP6" s="317"/>
      <c r="CQ6" s="317"/>
      <c r="CR6" s="696"/>
      <c r="CS6" s="696"/>
      <c r="CT6" s="694"/>
      <c r="CU6" s="317"/>
      <c r="CV6" s="696"/>
      <c r="CW6" s="696"/>
      <c r="CX6" s="696"/>
      <c r="CY6" s="317"/>
      <c r="CZ6" s="317"/>
      <c r="DA6" s="317"/>
      <c r="DB6" s="317"/>
      <c r="DC6" s="317"/>
      <c r="DD6" s="696"/>
      <c r="DE6" s="696"/>
      <c r="DF6" s="696"/>
      <c r="DG6" s="696"/>
      <c r="DH6" s="317"/>
      <c r="DI6" s="317"/>
      <c r="DJ6" s="696"/>
      <c r="DK6" s="696"/>
      <c r="DL6" s="696"/>
      <c r="DM6" s="317"/>
      <c r="DN6" s="317"/>
      <c r="DO6" s="317"/>
      <c r="DP6" s="317"/>
      <c r="DQ6" s="696"/>
      <c r="DR6" s="317"/>
      <c r="DS6" s="317"/>
      <c r="DT6" s="317"/>
      <c r="DU6" s="317"/>
      <c r="DV6" s="317"/>
      <c r="DW6" s="317"/>
      <c r="DX6" s="455"/>
      <c r="DY6" s="455"/>
      <c r="DZ6" s="455"/>
      <c r="EA6" s="455"/>
      <c r="EB6" s="455"/>
      <c r="EC6" s="455"/>
      <c r="ED6" s="457"/>
      <c r="EE6" s="457"/>
      <c r="EF6" s="457"/>
      <c r="EG6" s="457"/>
      <c r="EH6" s="461"/>
      <c r="EI6" s="709"/>
      <c r="EJ6" s="1250"/>
      <c r="EK6" s="1250"/>
      <c r="EL6" s="1250"/>
      <c r="EM6" s="704"/>
      <c r="EN6" s="704"/>
      <c r="EO6" s="704"/>
      <c r="EP6" s="704"/>
      <c r="EQ6" s="704"/>
      <c r="ER6" s="704"/>
      <c r="ES6" s="704"/>
      <c r="ET6" s="704"/>
      <c r="EU6" s="704"/>
      <c r="EV6" s="704"/>
      <c r="EW6" s="704"/>
      <c r="EX6" s="705"/>
      <c r="EY6" s="705"/>
      <c r="EZ6" s="705"/>
    </row>
    <row r="7" spans="1:156" ht="36" customHeight="1">
      <c r="A7" s="100">
        <f>_xlfn.XLOOKUP(Q7,'Cement Ranking'!$F$7:$F$35,'Cement Ranking'!$AO$7:$AO$35, "")</f>
        <v>44.669651090194165</v>
      </c>
      <c r="B7" s="100">
        <f>_xlfn.XLOOKUP(Q7,'Cement Ranking'!$F$7:$F$35,'Cement Ranking'!$AN$7:$AN$35, "")</f>
        <v>40.755421271413276</v>
      </c>
      <c r="C7" s="1585">
        <f t="shared" ref="C7:C35" ca="1" si="1">((((CK7*10000000000)/AM7)+CB7*0.8)/V7)/((AH7+EH7)/365)</f>
        <v>0.16218428596692078</v>
      </c>
      <c r="D7" s="1650">
        <f t="shared" ref="D7:D35" si="2">(CC7-BV7)</f>
        <v>1.3975739604619584</v>
      </c>
      <c r="E7" s="1412">
        <f t="shared" ref="E7:E35" si="3">IF(OR(AX7=AY7, AX7=""), (AY7-BA7), (AX7-AY7))*100</f>
        <v>37</v>
      </c>
      <c r="F7" s="1413">
        <f t="shared" ref="F7:F35" si="4">IF(OR(BC7=BD7, BC7=""), (BD7-BF7), (BC7-BD7))*100</f>
        <v>37.799999999999997</v>
      </c>
      <c r="G7" s="2125" cm="1">
        <f t="array" ref="G7">IFERROR(_xlfn.XLOOKUP(Q7,'Sales Rec'!$E$4:$E$32,'Sales Rec'!$CU$4:$CU$32*100,""),"")</f>
        <v>-10.188626925387734</v>
      </c>
      <c r="H7" s="2314">
        <f>_xlfn.XLOOKUP(Q7,'Sales Rec'!$E$4:$E$32,'Sales Rec'!$DQ$4:$DQ$32,"")</f>
        <v>1.0290037831021437</v>
      </c>
      <c r="I7" s="2311">
        <f>_xlfn.XLOOKUP(Q7,'Sales History'!$C$4:$C$83,'Sales History'!$AS$4:$AS$83,"")</f>
        <v>0.58571428571428574</v>
      </c>
      <c r="J7" s="2314">
        <f>_xlfn.XLOOKUP(Q7,'Sales History'!$C$4:$C$83,'Sales History'!$AW$4:$AW$83,"")</f>
        <v>0.23486430062630481</v>
      </c>
      <c r="K7" s="1942">
        <f>_xlfn.XLOOKUP(Q7,'Sales Rec'!$E$4:$E$91,'Sales Rec'!$CV$4:$CV$91,"")</f>
        <v>3</v>
      </c>
      <c r="L7" s="1575">
        <f>_xlfn.XLOOKUP(Q7,'Cement Ranking'!$F$7:$F$35,'Cement Ranking'!$AQ$7:$AQ$35,"")</f>
        <v>1</v>
      </c>
      <c r="M7" s="1582" t="str">
        <f>_xlfn.XLOOKUP(Q7,'Sales Rec'!$E$4:$E$32,'Sales Rec'!$DS$4:$DS$32,"")</f>
        <v>BB</v>
      </c>
      <c r="N7" s="1587" t="str">
        <f>_xlfn.XLOOKUP(Q7,'Sales Rec'!$E$4:$E$32,'Sales Rec'!$DZ$4:$DZ$32,"")</f>
        <v>BB</v>
      </c>
      <c r="O7" s="1937" t="str">
        <f>_xlfn.XLOOKUP($Q7,'History Records'!$B$7:$B$88,'History Records'!$G$7:$G$88,"")</f>
        <v/>
      </c>
      <c r="P7" s="60" t="s">
        <v>46</v>
      </c>
      <c r="Q7" s="124" t="s">
        <v>47</v>
      </c>
      <c r="R7" s="1570">
        <v>12</v>
      </c>
      <c r="S7" s="66">
        <f t="shared" ref="S7:S35" si="5">(V7*AM7)/10000000000</f>
        <v>14568</v>
      </c>
      <c r="T7" s="2386">
        <f>_xlfn.XLOOKUP($Q7,'Price Record'!$C$6:$C$85,'Price Record'!H$6:H$85,"")</f>
        <v>242800</v>
      </c>
      <c r="U7" s="338">
        <f>_xlfn.XLOOKUP(Q7,'دیده بان بازار'!$A$3:$A$3542,'دیده بان بازار'!$M$3:$M$3542,"")</f>
        <v>2.97</v>
      </c>
      <c r="V7" s="2386">
        <f>_xlfn.XLOOKUP($Q7,'Price Record'!$C$6:$C$85,'Price Record'!G$6:G$85,"")</f>
        <v>242800</v>
      </c>
      <c r="W7" s="337">
        <f>_xlfn.XLOOKUP(Q7,'دیده بان بازار'!$A$3:$A$3542,'دیده بان بازار'!$J$3:$J$3542,"")</f>
        <v>2.97</v>
      </c>
      <c r="X7" s="1641">
        <f t="shared" ref="X7:X35" si="6">S7+CY7-DK7-DQ7</f>
        <v>16739</v>
      </c>
      <c r="Y7" s="661" t="str">
        <f t="shared" ref="Y7:Y35" si="7">IFERROR(IF(U7-W7&lt;-1.5,"B",IF(U7-W7&gt;1.5,"S","")),"")</f>
        <v/>
      </c>
      <c r="Z7" s="1031">
        <f t="shared" ref="Z7:Z35" si="8">IFERROR((S7-EX7)/EX7,"")</f>
        <v>0.19194894452626413</v>
      </c>
      <c r="AA7" s="511">
        <f t="shared" ref="AA7:AA35" ca="1" si="9">((365-AH7)/365)*$AA$2</f>
        <v>3.4520547945205482E-2</v>
      </c>
      <c r="AB7" s="823">
        <f t="shared" ref="AB7:AB35" ca="1" si="10">IFERROR(((AA7-Z7)*10000)/(365-AH7),"")</f>
        <v>-112.44885470075619</v>
      </c>
      <c r="AC7" s="1150">
        <f t="shared" ref="AC7:AC35" si="11">IFERROR(($S7-EV7)/EV7,"")</f>
        <v>0.19194894452626413</v>
      </c>
      <c r="AD7" s="1150">
        <f t="shared" ref="AD7:AD35" si="12">IFERROR((S7-ET7)/ET7,"")</f>
        <v>3.7842364532019706</v>
      </c>
      <c r="AE7" s="1150">
        <f t="shared" ref="AE7:AE35" si="13">(S7-ER7)/ER7</f>
        <v>11.231738035264483</v>
      </c>
      <c r="AF7" s="1150">
        <f t="shared" ref="AF7:AF35" si="14">(S7-EP7)/EP7</f>
        <v>12.255686988171064</v>
      </c>
      <c r="AG7" s="1150">
        <f t="shared" ref="AG7:AG35" si="15">(S7-EN7)/EN7</f>
        <v>19.06611570247934</v>
      </c>
      <c r="AH7" s="275">
        <f t="shared" ref="AH7:AH35" ca="1" si="16">IF((AI7-TODAY())&gt;0,AI7-TODAY(),(365-(TODAY()-AI7)))</f>
        <v>351</v>
      </c>
      <c r="AI7" s="1121">
        <v>46225</v>
      </c>
      <c r="AJ7" s="1554">
        <v>46346</v>
      </c>
      <c r="AK7" s="23">
        <v>1000000</v>
      </c>
      <c r="AL7" s="23">
        <v>1030000</v>
      </c>
      <c r="AM7" s="29">
        <f t="shared" ref="AM7:AM35" si="17">CJ7*10000000</f>
        <v>600000000</v>
      </c>
      <c r="AN7" s="1225" t="s">
        <v>415</v>
      </c>
      <c r="AO7" s="174">
        <f>_xlfn.XLOOKUP(Q7,'Cem Sales'!$K$5:$K$33,'Cem Sales'!$DU$5:$DU$33,"")</f>
        <v>3456</v>
      </c>
      <c r="AP7" s="1925">
        <v>2832</v>
      </c>
      <c r="AQ7" s="1925">
        <v>1997</v>
      </c>
      <c r="AR7" s="766">
        <f>_xlfn.XLOOKUP(Q7,'Sales Rec'!$E$4:$E$86,'Sales Rec'!$X$4:$X$86,"")</f>
        <v>4991.8193568726347</v>
      </c>
      <c r="AS7" s="984">
        <f>_xlfn.XLOOKUP(Q7,'Sales Rec'!$E$4:$E$86,'Sales Rec'!$K$4:$K$86,"")</f>
        <v>4</v>
      </c>
      <c r="AT7" s="6">
        <f t="shared" ref="AT7:AT35" si="18">(S7-(CO7*CC7))/AR7</f>
        <v>2.8921238866794106</v>
      </c>
      <c r="AU7" s="99">
        <f t="shared" ref="AU7:AU35" si="19">MIN(MAX(IF(($Q$42-AT7)*$R$42&lt;-20,-20,IF(($Q$42-AT7)*$R$42&gt;20,20,($Q$42-AT7)*$R$42)), -10), 10)</f>
        <v>-4.6580121900284155</v>
      </c>
      <c r="AV7" s="16">
        <v>1221</v>
      </c>
      <c r="AW7" s="16">
        <v>887</v>
      </c>
      <c r="AX7" s="1421">
        <f t="shared" ref="AX7:AX35" si="20">ROUND(AW7/AV7,3)</f>
        <v>0.72599999999999998</v>
      </c>
      <c r="AY7" s="1419">
        <v>0.35599999999999998</v>
      </c>
      <c r="AZ7" s="1689">
        <v>0.70499999999999996</v>
      </c>
      <c r="BA7" s="1690">
        <v>0.23799999999999999</v>
      </c>
      <c r="BB7" s="100">
        <f t="shared" ref="BB7:BB35" si="21">IF(BC7=0,0,MIN(MAX(IF(BC7=BD7,BC7-BF7,BC7-BD7)*$R$43, -10), 10))</f>
        <v>10</v>
      </c>
      <c r="BC7" s="1420">
        <f t="shared" ref="BC7:BC35" si="22">IF(CN7=0,BE7,ROUND((CN7-CM7)/AV7,3))</f>
        <v>0.72499999999999998</v>
      </c>
      <c r="BD7" s="1419">
        <v>0.34699999999999998</v>
      </c>
      <c r="BE7" s="1687">
        <v>0.69899999999999995</v>
      </c>
      <c r="BF7" s="1688">
        <v>0.214</v>
      </c>
      <c r="BG7" s="306">
        <f t="shared" ref="BG7:BG35" si="23">AX7-BC7</f>
        <v>1.0000000000000009E-3</v>
      </c>
      <c r="BH7" s="1861">
        <f t="shared" ref="BH7:BH35" si="24">BG7*AV7*(4/BO7)</f>
        <v>4.8840000000000039</v>
      </c>
      <c r="BI7" s="306">
        <f t="shared" ref="BI7:BI35" si="25">AY7-BD7</f>
        <v>9.000000000000008E-3</v>
      </c>
      <c r="BJ7" s="99">
        <v>0</v>
      </c>
      <c r="BK7" s="306">
        <f>_xlfn.XLOOKUP(Q7,'Sales Rec'!$E$4:$E$91,'Sales Rec'!$Y$4:$Y$91,"")</f>
        <v>0.7626480779917495</v>
      </c>
      <c r="BL7" s="99">
        <f t="shared" ref="BL7:BL35" si="26">IF(BK7=0,0,MIN(MAX((BK7-Z7)*$R$44,-5),5))</f>
        <v>5</v>
      </c>
      <c r="BM7" s="15"/>
      <c r="BN7" s="1803">
        <v>3</v>
      </c>
      <c r="BO7" s="842">
        <f t="shared" ref="BO7:BO35" si="27">IF((BN7-R7+12)/3&gt;4,(BN7-R7+12)/3-4, (BN7-R7+12)/3)</f>
        <v>1</v>
      </c>
      <c r="BP7" s="16">
        <v>14803</v>
      </c>
      <c r="BQ7" s="16"/>
      <c r="BR7" s="16"/>
      <c r="BS7" s="1251">
        <f>(_xlfn.XLOOKUP(Q7,'Sales Rec'!$E$4:$E$32,'Sales Rec'!$X$4:$X$32)*BC7+CL7)*1000/CJ7</f>
        <v>60334.483895544334</v>
      </c>
      <c r="BT7" s="1246">
        <f t="shared" ref="BT7:BT35" si="28">IF((CN7/CJ7)*1000*(12/(12-(R7-BN7)))=0,CB7,IF(R7-BN7&gt;=0,((CP7/CJ7)*1000*(12/(12-(R7-BN7)))),((CP7/CJ7)*1000*(12/(BN7-R7)))))</f>
        <v>59200</v>
      </c>
      <c r="BU7" s="406"/>
      <c r="BV7" s="407">
        <f t="shared" ref="BV7:BV35" si="29">IF(CN7=0,V7/BT7,(V7*2)/(BS7+BT7))</f>
        <v>4.0624260395380416</v>
      </c>
      <c r="BW7" s="99">
        <f t="shared" ref="BW7:BW35" si="30">MIN(MAX(IF(BV7&lt;0,-20, IF(BV7&gt;50, -20,($Q$45-BV7)*$R$45)), -20), 20)</f>
        <v>4.687869802309792</v>
      </c>
      <c r="BX7" s="18">
        <f t="shared" ref="BX7:BX35" si="31">IFERROR(S7/BV7,"")</f>
        <v>3586.0345168663303</v>
      </c>
      <c r="BY7" s="18">
        <f t="shared" ref="BY7:BY35" si="32">S7/CC7</f>
        <v>2668.131868131868</v>
      </c>
      <c r="BZ7" s="18">
        <f t="shared" ref="BZ7:BZ35" si="33">AR7*AX7</f>
        <v>3624.0608530895329</v>
      </c>
      <c r="CA7" s="1710">
        <f t="shared" ref="CA7:CA35" si="34">X7/BZ7</f>
        <v>4.6188518014894546</v>
      </c>
      <c r="CB7" s="266">
        <f>_xlfn.XLOOKUP($Q7,'Price Record'!$C$6:$C$85,'Price Record'!I$6:I$85,"")</f>
        <v>44486</v>
      </c>
      <c r="CC7" s="267">
        <f>_xlfn.XLOOKUP($Q7,'Price Record'!$C$6:$C$85,'Price Record'!J$6:J$85,"")</f>
        <v>5.46</v>
      </c>
      <c r="CD7" s="99">
        <f t="shared" ref="CD7:CD35" si="35">MIN(MAX(IF(CC7&lt;0,-20, IF(CC7&gt;50, -20,($Q$46-CC7)*$R$46)), -20), 20)</f>
        <v>-1.38</v>
      </c>
      <c r="CE7" s="17">
        <f t="shared" ref="CE7:CE35" si="36">CY7/BX7</f>
        <v>0.67874416393709447</v>
      </c>
      <c r="CF7" s="99">
        <f t="shared" ref="CF7:CF35" si="37">MIN(MAX(($Q$47-CE7)*$R$47, -10), 10)</f>
        <v>5.2850233442516217</v>
      </c>
      <c r="CG7" s="103">
        <f t="shared" ref="CG7:CG35" si="38">BX7/(CU7+DG7)</f>
        <v>0.6816260248748014</v>
      </c>
      <c r="CH7" s="99">
        <f t="shared" ref="CH7:CH35" si="39">MIN(MAX((CG7-$Q$48)*$R$48, -10), 10)</f>
        <v>4.2243903731220209</v>
      </c>
      <c r="CI7" s="20"/>
      <c r="CJ7" s="691">
        <v>60</v>
      </c>
      <c r="CK7" s="419">
        <v>920</v>
      </c>
      <c r="CL7" s="468">
        <v>1</v>
      </c>
      <c r="CM7" s="843">
        <v>3</v>
      </c>
      <c r="CN7" s="21">
        <v>888</v>
      </c>
      <c r="CO7" s="21">
        <v>24</v>
      </c>
      <c r="CP7" s="469">
        <f t="shared" ref="CP7:CP35" si="40">IF(AND(CM7&gt;0, CL7&gt;(CM7/(BO7/4))), CN7+CL7*BO7/4-CM7, CN7)</f>
        <v>888</v>
      </c>
      <c r="CQ7" s="1239">
        <f>(AR7*BC7)*(_xlfn.XLOOKUP($Q7,'Sales Rec'!$E$4:$E$32,'Sales Rec'!$L$4:$L$32,"")/12)+CO7</f>
        <v>1230.3563445775533</v>
      </c>
      <c r="CR7" s="21">
        <v>1808</v>
      </c>
      <c r="CS7" s="16">
        <v>0</v>
      </c>
      <c r="CT7" s="2240" t="str">
        <f t="shared" ref="CT7:CT35" si="41">_xlfn.TEXTJOIN(", ",TRUE,
    IF(CU7/(CJ7*1.1+CR7+CS7)&lt;=0.975,"Check EQ",""),
    IF(CR7&lt;&gt;(CN7+CK7),"Check RE","")
)</f>
        <v/>
      </c>
      <c r="CU7" s="693">
        <f t="shared" ref="CU7:CU35" si="42">DB7-CY7</f>
        <v>1873</v>
      </c>
      <c r="CV7" s="49">
        <v>2360</v>
      </c>
      <c r="CW7" s="21">
        <v>55</v>
      </c>
      <c r="CX7" s="49">
        <v>74</v>
      </c>
      <c r="CY7" s="53">
        <f t="shared" ref="CY7:CY35" si="43">CV7+CX7</f>
        <v>2434</v>
      </c>
      <c r="CZ7" s="6">
        <f t="shared" ref="CZ7:CZ35" si="44">DG7/CV7</f>
        <v>1.435593220338983</v>
      </c>
      <c r="DA7" s="99">
        <f t="shared" ref="DA7:DA35" si="45">MIN(MAX((CZ7-$Q$50)*$R$50, -6), 6)</f>
        <v>1.884745762711864</v>
      </c>
      <c r="DB7" s="53">
        <f t="shared" ref="DB7:DB35" si="46">DD7+DG7</f>
        <v>4307</v>
      </c>
      <c r="DC7" s="645">
        <f t="shared" ref="DC7:DC35" si="47">(CY7/DB7)</f>
        <v>0.56512653819363823</v>
      </c>
      <c r="DD7" s="13">
        <v>919</v>
      </c>
      <c r="DE7" s="24">
        <v>907</v>
      </c>
      <c r="DF7" s="24">
        <v>6</v>
      </c>
      <c r="DG7" s="51">
        <v>3388</v>
      </c>
      <c r="DH7" s="8">
        <f t="shared" ref="DH7:DH35" si="48">DG7-CV7</f>
        <v>1028</v>
      </c>
      <c r="DI7" s="644">
        <f t="shared" ref="DI7:DI35" si="49">AR7/DH7</f>
        <v>4.8558554055181276</v>
      </c>
      <c r="DJ7" s="22">
        <v>1430</v>
      </c>
      <c r="DK7" s="22">
        <v>263</v>
      </c>
      <c r="DL7" s="22">
        <v>1266</v>
      </c>
      <c r="DM7" s="138">
        <f t="shared" ref="DM7:DM35" si="50">CY7/DB7</f>
        <v>0.56512653819363823</v>
      </c>
      <c r="DN7" s="99">
        <f t="shared" ref="DN7:DN35" si="51">MIN(MAX(($Q$51-DM7)*$R$51, -6), 6)</f>
        <v>0.35003273765082277</v>
      </c>
      <c r="DO7" s="138">
        <f t="shared" ref="DO7:DO35" si="52">(DQ7-CW7)/BZ7</f>
        <v>-1.5176345604989547E-2</v>
      </c>
      <c r="DP7" s="99">
        <f t="shared" ref="DP7:DP35" si="53">MIN(MAX(ROUNDDOWN(DO7*5,0),-10),5)</f>
        <v>0</v>
      </c>
      <c r="DQ7" s="22">
        <v>0</v>
      </c>
      <c r="DR7" s="8">
        <f t="shared" ref="DR7:DR35" si="54">DG7-DJ7-DK7-DQ7-DL7</f>
        <v>429</v>
      </c>
      <c r="DS7" s="23" t="s">
        <v>231</v>
      </c>
      <c r="DT7" s="7">
        <f t="shared" ref="DT7:DT35" si="55">IFERROR(((S7/AK7)/$Q$38*1000000000),"")</f>
        <v>77.079365079365076</v>
      </c>
      <c r="DU7" s="8">
        <f t="shared" ref="DU7:DU35" si="56">IF(DS7="G",(500000*$Q$57+(AK7-500000)*$R$57*$Q$57)*$Q$38/1000000000, (150000*$Q$58+(AK7-150000)*$R$58*$Q$58)*$Q$38/1000000000)</f>
        <v>10135.125</v>
      </c>
      <c r="DV7" s="32">
        <f t="shared" ref="DV7:DV35" si="57">DU7/S7</f>
        <v>0.6957114909390445</v>
      </c>
      <c r="DW7" s="99">
        <f t="shared" ref="DW7:DW35" si="58">MIN(MAX((DV7-$Q$53)*$R$53, -10), 10)</f>
        <v>-6.0857701812191101</v>
      </c>
      <c r="DX7" s="14">
        <f t="shared" ref="DX7:DX35" si="59">IFERROR((AR7/AK7)*1000000,"")</f>
        <v>4991.8193568726347</v>
      </c>
      <c r="DY7" s="99">
        <f t="shared" ref="DY7:DY35" si="60">MIN(MAX(((DX7-$Q$54)/$Q$54)*$R$54, -10), 10)</f>
        <v>10</v>
      </c>
      <c r="DZ7" s="103">
        <f t="shared" ref="DZ7:DZ35" si="61">(S7/AR7)/BV7</f>
        <v>0.71838226916788395</v>
      </c>
      <c r="EA7" s="99">
        <f t="shared" ref="EA7:EA35" si="62">MIN(MAX((DZ7-$Q$55)*$R$55,-10), 10)</f>
        <v>6.8343360156653024</v>
      </c>
      <c r="EB7" s="103">
        <f>_xlfn.XLOOKUP(Q7,'Cem Sales'!$K$5:$K$33,'Cem Sales'!$DN$5:$DN$33, 0)</f>
        <v>0.85270354257302672</v>
      </c>
      <c r="EC7" s="99">
        <f t="shared" ref="EC7:EC35" si="63">MIN(MAX(EB7*$R$56, 0), 10)</f>
        <v>8.5270354257302667</v>
      </c>
      <c r="ED7" s="8">
        <f t="shared" ref="ED7:ED35" si="64">($CB7/$Q$40)*(IF(($R7+2-$Q$39)&lt;0,(88-$R7-2+$Q$39),(100-($R7+2-$Q$39))))/100</f>
        <v>161929.04</v>
      </c>
      <c r="EE7" s="8">
        <f t="shared" ref="EE7:EE35" si="65">($BT7/$Q$40)*(IF(($R7+2-$Q$39)&lt;0,(88-$R7-2+$Q$39),(100-($R7+3-$Q$39))))/100</f>
        <v>213120</v>
      </c>
      <c r="EF7" s="235">
        <f t="shared" ref="EF7:EF35" si="66">((CR7-CN7)*10000000000)/AM7</f>
        <v>15333.333333333334</v>
      </c>
      <c r="EG7" s="8">
        <f t="shared" ref="EG7:EG35" si="67">(ED7+EE7+EF7)/2</f>
        <v>195191.18666666668</v>
      </c>
      <c r="EH7" s="411">
        <f t="shared" ref="EH7:EH35" si="68">IFERROR((AJ7-AI7),230)</f>
        <v>121</v>
      </c>
      <c r="EI7" s="1605">
        <v>22000</v>
      </c>
      <c r="EJ7" s="821">
        <f t="shared" ref="EJ7:EJ35" si="69">EI7/(EI7+EW7)</f>
        <v>9.7474523704031896E-2</v>
      </c>
      <c r="EK7" s="502"/>
      <c r="EL7" s="502"/>
      <c r="EM7" s="510">
        <v>12100</v>
      </c>
      <c r="EN7" s="435">
        <v>726</v>
      </c>
      <c r="EO7" s="510">
        <v>18320</v>
      </c>
      <c r="EP7" s="435">
        <v>1099</v>
      </c>
      <c r="EQ7" s="510">
        <v>19850</v>
      </c>
      <c r="ER7" s="435">
        <v>1191</v>
      </c>
      <c r="ES7" s="510">
        <v>50750</v>
      </c>
      <c r="ET7" s="435">
        <v>3045</v>
      </c>
      <c r="EU7" s="510">
        <v>203700</v>
      </c>
      <c r="EV7" s="435">
        <v>12222</v>
      </c>
      <c r="EW7" s="1610">
        <v>203700</v>
      </c>
      <c r="EX7" s="834">
        <v>12222</v>
      </c>
      <c r="EY7" s="835">
        <f t="shared" ref="EY7:EY35" si="70">IFERROR((EX7-EN7)/EN7,"")</f>
        <v>15.834710743801653</v>
      </c>
      <c r="EZ7" s="1648">
        <f t="shared" ref="EZ7:EZ35" si="71">RANK(EY7,$EY$7:$EY$35)</f>
        <v>1</v>
      </c>
    </row>
    <row r="8" spans="1:156" ht="37" customHeight="1">
      <c r="A8" s="100">
        <f>_xlfn.XLOOKUP(Q8,'Cement Ranking'!$F$7:$F$35,'Cement Ranking'!$AO$7:$AO$35, "")</f>
        <v>36.791772247933693</v>
      </c>
      <c r="B8" s="100">
        <f>_xlfn.XLOOKUP(Q8,'Cement Ranking'!$F$7:$F$35,'Cement Ranking'!$AN$7:$AN$35, "")</f>
        <v>21.524546638177593</v>
      </c>
      <c r="C8" s="1585">
        <f t="shared" ca="1" si="1"/>
        <v>0.1581358254865404</v>
      </c>
      <c r="D8" s="1650">
        <f t="shared" si="2"/>
        <v>2.069338865715685</v>
      </c>
      <c r="E8" s="1412">
        <f t="shared" si="3"/>
        <v>6.0000000000000053</v>
      </c>
      <c r="F8" s="1413">
        <f t="shared" si="4"/>
        <v>5.100000000000005</v>
      </c>
      <c r="G8" s="2125" cm="1">
        <f t="array" ref="G8">IFERROR(_xlfn.XLOOKUP(Q8,'Sales Rec'!$E$4:$E$32,'Sales Rec'!$CU$4:$CU$32*100,""),"")</f>
        <v>5.4065093360995853</v>
      </c>
      <c r="H8" s="2314">
        <f>_xlfn.XLOOKUP(Q8,'Sales Rec'!$E$4:$E$32,'Sales Rec'!$DQ$4:$DQ$32,"")</f>
        <v>0.90468749999999998</v>
      </c>
      <c r="I8" s="2311">
        <f>_xlfn.XLOOKUP(Q8,'Sales History'!$C$4:$C$83,'Sales History'!$AS$4:$AS$83,"")</f>
        <v>0.19092122830440589</v>
      </c>
      <c r="J8" s="2314">
        <f>_xlfn.XLOOKUP(Q8,'Sales History'!$C$4:$C$83,'Sales History'!$AW$4:$AW$83,"")</f>
        <v>0.49928469241773965</v>
      </c>
      <c r="K8" s="1942">
        <f>_xlfn.XLOOKUP(Q8,'Sales Rec'!$E$4:$E$91,'Sales Rec'!$CV$4:$CV$91,"")</f>
        <v>6</v>
      </c>
      <c r="L8" s="1575">
        <f>_xlfn.XLOOKUP(Q8,'Cement Ranking'!$F$7:$F$35,'Cement Ranking'!$AQ$7:$AQ$35,"")</f>
        <v>5</v>
      </c>
      <c r="M8" s="1587" t="str">
        <f>_xlfn.XLOOKUP(Q8,'Sales Rec'!$E$4:$E$32,'Sales Rec'!$DS$4:$DS$32,"")</f>
        <v>B</v>
      </c>
      <c r="N8" s="1582" t="str">
        <f>_xlfn.XLOOKUP(Q8,'Sales Rec'!$E$4:$E$32,'Sales Rec'!$DZ$4:$DZ$32,"")</f>
        <v>BB</v>
      </c>
      <c r="O8" s="1937" t="str">
        <f>_xlfn.XLOOKUP($Q8,'History Records'!$B$7:$B$88,'History Records'!$G$7:$G$88,"")</f>
        <v/>
      </c>
      <c r="P8" s="60" t="s">
        <v>62</v>
      </c>
      <c r="Q8" s="124" t="s">
        <v>63</v>
      </c>
      <c r="R8" s="1570">
        <v>12</v>
      </c>
      <c r="S8" s="66">
        <f t="shared" si="5"/>
        <v>8528</v>
      </c>
      <c r="T8" s="2386">
        <f>_xlfn.XLOOKUP($Q8,'Price Record'!$C$6:$C$85,'Price Record'!H$6:H$85,"")</f>
        <v>53300</v>
      </c>
      <c r="U8" s="338">
        <f>_xlfn.XLOOKUP(Q8,'دیده بان بازار'!$A$3:$A$3542,'دیده بان بازار'!$M$3:$M$3542,"")</f>
        <v>3</v>
      </c>
      <c r="V8" s="2386">
        <f>_xlfn.XLOOKUP($Q8,'Price Record'!$C$6:$C$85,'Price Record'!G$6:G$85,"")</f>
        <v>53300</v>
      </c>
      <c r="W8" s="337">
        <f>_xlfn.XLOOKUP(Q8,'دیده بان بازار'!$A$3:$A$3542,'دیده بان بازار'!$J$3:$J$3542,"")</f>
        <v>3</v>
      </c>
      <c r="X8" s="1641">
        <f t="shared" si="6"/>
        <v>9424</v>
      </c>
      <c r="Y8" s="661" t="str">
        <f t="shared" si="7"/>
        <v/>
      </c>
      <c r="Z8" s="1031">
        <f t="shared" si="8"/>
        <v>0.43039248574303923</v>
      </c>
      <c r="AA8" s="511">
        <f t="shared" ca="1" si="9"/>
        <v>0.14301369863013699</v>
      </c>
      <c r="AB8" s="823">
        <f t="shared" ca="1" si="10"/>
        <v>-49.548066743603833</v>
      </c>
      <c r="AC8" s="1150">
        <f t="shared" si="11"/>
        <v>0.43039248574303923</v>
      </c>
      <c r="AD8" s="1150">
        <f t="shared" si="12"/>
        <v>0.62965793999617814</v>
      </c>
      <c r="AE8" s="1150">
        <f t="shared" si="13"/>
        <v>1.3545002760905578</v>
      </c>
      <c r="AF8" s="1150">
        <f t="shared" si="14"/>
        <v>0.7740794674433118</v>
      </c>
      <c r="AG8" s="1150">
        <f t="shared" si="15"/>
        <v>4.010575793184489</v>
      </c>
      <c r="AH8" s="275">
        <f t="shared" ca="1" si="16"/>
        <v>307</v>
      </c>
      <c r="AI8" s="1121">
        <v>46181</v>
      </c>
      <c r="AJ8" s="1856">
        <v>46193</v>
      </c>
      <c r="AK8" s="27">
        <v>1080000</v>
      </c>
      <c r="AL8" s="23">
        <v>1120000</v>
      </c>
      <c r="AM8" s="29">
        <f t="shared" si="17"/>
        <v>1600000000</v>
      </c>
      <c r="AN8" s="1225">
        <v>0.1565</v>
      </c>
      <c r="AO8" s="174">
        <f>_xlfn.XLOOKUP(Q8,'Cem Sales'!$K$5:$K$33,'Cem Sales'!$DU$5:$DU$33,"")</f>
        <v>2703</v>
      </c>
      <c r="AP8" s="1925">
        <v>2268</v>
      </c>
      <c r="AQ8" s="1925">
        <v>1166</v>
      </c>
      <c r="AR8" s="766">
        <f>_xlfn.XLOOKUP(Q8,'Sales Rec'!$E$4:$E$86,'Sales Rec'!$X$4:$X$86,"")</f>
        <v>3785.9156250000001</v>
      </c>
      <c r="AS8" s="984">
        <f>_xlfn.XLOOKUP(Q8,'Sales Rec'!$E$4:$E$86,'Sales Rec'!$K$4:$K$86,"")</f>
        <v>4</v>
      </c>
      <c r="AT8" s="6">
        <f t="shared" si="18"/>
        <v>2.2525594452464852</v>
      </c>
      <c r="AU8" s="99">
        <f t="shared" si="19"/>
        <v>1.737632224300838</v>
      </c>
      <c r="AV8" s="16">
        <v>892</v>
      </c>
      <c r="AW8" s="16">
        <v>494</v>
      </c>
      <c r="AX8" s="1421">
        <f t="shared" si="20"/>
        <v>0.55400000000000005</v>
      </c>
      <c r="AY8" s="1419">
        <v>0.49399999999999999</v>
      </c>
      <c r="AZ8" s="1689">
        <v>0.51400000000000001</v>
      </c>
      <c r="BA8" s="1690">
        <v>0.43099999999999999</v>
      </c>
      <c r="BB8" s="100">
        <f t="shared" si="21"/>
        <v>5.100000000000005</v>
      </c>
      <c r="BC8" s="1420">
        <f t="shared" si="22"/>
        <v>0.46</v>
      </c>
      <c r="BD8" s="1419">
        <v>0.40899999999999997</v>
      </c>
      <c r="BE8" s="1687">
        <v>0.43</v>
      </c>
      <c r="BF8" s="1688">
        <v>0.374</v>
      </c>
      <c r="BG8" s="306">
        <f t="shared" si="23"/>
        <v>9.4000000000000028E-2</v>
      </c>
      <c r="BH8" s="1861">
        <f t="shared" si="24"/>
        <v>335.39200000000011</v>
      </c>
      <c r="BI8" s="306">
        <f t="shared" si="25"/>
        <v>8.500000000000002E-2</v>
      </c>
      <c r="BJ8" s="99">
        <v>0</v>
      </c>
      <c r="BK8" s="306">
        <f>_xlfn.XLOOKUP(Q8,'Sales Rec'!$E$4:$E$91,'Sales Rec'!$Y$4:$Y$91,"")</f>
        <v>0.66927496693121702</v>
      </c>
      <c r="BL8" s="99">
        <f t="shared" si="26"/>
        <v>5</v>
      </c>
      <c r="BM8" s="15"/>
      <c r="BN8" s="1803">
        <v>3</v>
      </c>
      <c r="BO8" s="842">
        <f t="shared" si="27"/>
        <v>1</v>
      </c>
      <c r="BP8" s="16">
        <v>3220</v>
      </c>
      <c r="BQ8" s="16"/>
      <c r="BR8" s="16"/>
      <c r="BS8" s="1251">
        <f>(_xlfn.XLOOKUP(Q8,'Sales Rec'!$E$4:$E$32,'Sales Rec'!$X$4:$X$32)*BC8+CL8)*1000/CJ8</f>
        <v>12322.007421875001</v>
      </c>
      <c r="BT8" s="1246">
        <f t="shared" si="28"/>
        <v>12875</v>
      </c>
      <c r="BU8" s="406"/>
      <c r="BV8" s="407">
        <f t="shared" si="29"/>
        <v>4.2306611342843148</v>
      </c>
      <c r="BW8" s="99">
        <f t="shared" si="30"/>
        <v>3.8466943285784261</v>
      </c>
      <c r="BX8" s="18">
        <f t="shared" si="31"/>
        <v>2015.7605937500002</v>
      </c>
      <c r="BY8" s="18">
        <f t="shared" si="32"/>
        <v>1353.6507936507937</v>
      </c>
      <c r="BZ8" s="18">
        <f t="shared" si="33"/>
        <v>2097.3972562500003</v>
      </c>
      <c r="CA8" s="1710">
        <f t="shared" si="34"/>
        <v>4.4931879127416492</v>
      </c>
      <c r="CB8" s="266">
        <f>_xlfn.XLOOKUP($Q8,'Price Record'!$C$6:$C$85,'Price Record'!I$6:I$85,"")</f>
        <v>8458</v>
      </c>
      <c r="CC8" s="267">
        <f>_xlfn.XLOOKUP($Q8,'Price Record'!$C$6:$C$85,'Price Record'!J$6:J$85,"")</f>
        <v>6.3</v>
      </c>
      <c r="CD8" s="99">
        <f t="shared" si="35"/>
        <v>-3.8999999999999995</v>
      </c>
      <c r="CE8" s="17">
        <f t="shared" si="36"/>
        <v>0.86022120155358839</v>
      </c>
      <c r="CF8" s="99">
        <f t="shared" si="37"/>
        <v>4.5591151937856464</v>
      </c>
      <c r="CG8" s="103">
        <f t="shared" si="38"/>
        <v>0.72275388804230911</v>
      </c>
      <c r="CH8" s="99">
        <f t="shared" si="39"/>
        <v>4.8413083206346368</v>
      </c>
      <c r="CI8" s="19"/>
      <c r="CJ8" s="708">
        <v>160</v>
      </c>
      <c r="CK8" s="419">
        <v>96</v>
      </c>
      <c r="CL8" s="468">
        <v>230</v>
      </c>
      <c r="CM8" s="843">
        <v>105</v>
      </c>
      <c r="CN8" s="21">
        <v>515</v>
      </c>
      <c r="CO8" s="21"/>
      <c r="CP8" s="469">
        <f t="shared" si="40"/>
        <v>515</v>
      </c>
      <c r="CQ8" s="1239">
        <f>(AR8*BC8)*(_xlfn.XLOOKUP($Q8,'Sales Rec'!$E$4:$E$32,'Sales Rec'!$L$4:$L$32,"")/12)+CO8</f>
        <v>580.50706250000007</v>
      </c>
      <c r="CR8" s="25">
        <v>611</v>
      </c>
      <c r="CS8" s="57">
        <v>-33</v>
      </c>
      <c r="CT8" s="2240" t="str">
        <f t="shared" si="41"/>
        <v/>
      </c>
      <c r="CU8" s="693">
        <f t="shared" si="42"/>
        <v>804</v>
      </c>
      <c r="CV8" s="50">
        <v>1669</v>
      </c>
      <c r="CW8" s="25">
        <v>432</v>
      </c>
      <c r="CX8" s="50">
        <v>65</v>
      </c>
      <c r="CY8" s="53">
        <f t="shared" si="43"/>
        <v>1734</v>
      </c>
      <c r="CZ8" s="6">
        <f t="shared" si="44"/>
        <v>1.1893349310964649</v>
      </c>
      <c r="DA8" s="99">
        <f t="shared" si="45"/>
        <v>-8.5320551228280195E-2</v>
      </c>
      <c r="DB8" s="53">
        <f t="shared" si="46"/>
        <v>2538</v>
      </c>
      <c r="DC8" s="645">
        <f t="shared" si="47"/>
        <v>0.68321513002364065</v>
      </c>
      <c r="DD8" s="13">
        <v>553</v>
      </c>
      <c r="DE8" s="28">
        <v>504</v>
      </c>
      <c r="DF8" s="28">
        <v>29</v>
      </c>
      <c r="DG8" s="52">
        <v>1985</v>
      </c>
      <c r="DH8" s="8">
        <f t="shared" si="48"/>
        <v>316</v>
      </c>
      <c r="DI8" s="644">
        <f t="shared" si="49"/>
        <v>11.980745648734178</v>
      </c>
      <c r="DJ8" s="26">
        <v>864</v>
      </c>
      <c r="DK8" s="26">
        <v>98</v>
      </c>
      <c r="DL8" s="26">
        <v>213</v>
      </c>
      <c r="DM8" s="138">
        <f t="shared" si="50"/>
        <v>0.68321513002364065</v>
      </c>
      <c r="DN8" s="99">
        <f t="shared" si="51"/>
        <v>-0.83085318064920144</v>
      </c>
      <c r="DO8" s="138">
        <f t="shared" si="52"/>
        <v>0.14684867117194692</v>
      </c>
      <c r="DP8" s="99">
        <f t="shared" si="53"/>
        <v>0</v>
      </c>
      <c r="DQ8" s="26">
        <v>740</v>
      </c>
      <c r="DR8" s="8">
        <f t="shared" si="54"/>
        <v>70</v>
      </c>
      <c r="DS8" s="27" t="s">
        <v>231</v>
      </c>
      <c r="DT8" s="7">
        <f t="shared" si="55"/>
        <v>41.779345483049191</v>
      </c>
      <c r="DU8" s="8">
        <f t="shared" si="56"/>
        <v>10773.945</v>
      </c>
      <c r="DV8" s="32">
        <f t="shared" si="57"/>
        <v>1.2633612804878049</v>
      </c>
      <c r="DW8" s="99">
        <f t="shared" si="58"/>
        <v>5.2672256097560988</v>
      </c>
      <c r="DX8" s="14">
        <f t="shared" si="59"/>
        <v>3505.4774305555557</v>
      </c>
      <c r="DY8" s="99">
        <f t="shared" si="60"/>
        <v>10</v>
      </c>
      <c r="DZ8" s="103">
        <f t="shared" si="61"/>
        <v>0.53243674540422448</v>
      </c>
      <c r="EA8" s="99">
        <f t="shared" si="62"/>
        <v>1.255970302755518</v>
      </c>
      <c r="EB8" s="103">
        <f>_xlfn.XLOOKUP(Q8,'Cem Sales'!$K$5:$K$33,'Cem Sales'!$DN$5:$DN$33, 0)</f>
        <v>0</v>
      </c>
      <c r="EC8" s="99">
        <f t="shared" si="63"/>
        <v>0</v>
      </c>
      <c r="ED8" s="8">
        <f t="shared" si="64"/>
        <v>30787.119999999999</v>
      </c>
      <c r="EE8" s="8">
        <f t="shared" si="65"/>
        <v>46350</v>
      </c>
      <c r="EF8" s="235">
        <f t="shared" si="66"/>
        <v>600</v>
      </c>
      <c r="EG8" s="8">
        <f t="shared" si="67"/>
        <v>38868.559999999998</v>
      </c>
      <c r="EH8" s="411">
        <f t="shared" si="68"/>
        <v>12</v>
      </c>
      <c r="EI8" s="1605">
        <v>7435</v>
      </c>
      <c r="EJ8" s="821">
        <f t="shared" si="69"/>
        <v>0.16633109619686801</v>
      </c>
      <c r="EK8" s="502"/>
      <c r="EL8" s="502"/>
      <c r="EM8" s="510">
        <v>34220</v>
      </c>
      <c r="EN8" s="435">
        <v>1702</v>
      </c>
      <c r="EO8" s="510">
        <v>96140</v>
      </c>
      <c r="EP8" s="435">
        <v>4807</v>
      </c>
      <c r="EQ8" s="510">
        <v>72970</v>
      </c>
      <c r="ER8" s="435">
        <v>3622</v>
      </c>
      <c r="ES8" s="510">
        <v>32705</v>
      </c>
      <c r="ET8" s="435">
        <v>5233</v>
      </c>
      <c r="EU8" s="510">
        <v>37265</v>
      </c>
      <c r="EV8" s="435">
        <v>5962</v>
      </c>
      <c r="EW8" s="1610">
        <v>37265</v>
      </c>
      <c r="EX8" s="834">
        <v>5962</v>
      </c>
      <c r="EY8" s="835">
        <f t="shared" si="70"/>
        <v>2.5029377203290246</v>
      </c>
      <c r="EZ8" s="1648">
        <f t="shared" si="71"/>
        <v>24</v>
      </c>
    </row>
    <row r="9" spans="1:156" ht="38" customHeight="1">
      <c r="A9" s="100">
        <f>_xlfn.XLOOKUP(Q9,'Cement Ranking'!$F$7:$F$35,'Cement Ranking'!$AO$7:$AO$35, "")</f>
        <v>35.869705787560406</v>
      </c>
      <c r="B9" s="100">
        <f>_xlfn.XLOOKUP(Q9,'Cement Ranking'!$F$7:$F$35,'Cement Ranking'!$AN$7:$AN$35, "")</f>
        <v>19.422334801178096</v>
      </c>
      <c r="C9" s="1585">
        <f t="shared" ca="1" si="1"/>
        <v>0.14990693485591444</v>
      </c>
      <c r="D9" s="1650">
        <f t="shared" si="2"/>
        <v>0.91259939392789491</v>
      </c>
      <c r="E9" s="1412">
        <f t="shared" si="3"/>
        <v>2.7999999999999972</v>
      </c>
      <c r="F9" s="1413">
        <f t="shared" si="4"/>
        <v>1.100000000000001</v>
      </c>
      <c r="G9" s="2125" cm="1">
        <f t="array" ref="G9">IFERROR(_xlfn.XLOOKUP(Q9,'Sales Rec'!$E$4:$E$32,'Sales Rec'!$CU$4:$CU$32*100,""),"")</f>
        <v>-8.5860708245784849</v>
      </c>
      <c r="H9" s="2314">
        <f>_xlfn.XLOOKUP(Q9,'Sales Rec'!$E$4:$E$32,'Sales Rec'!$DQ$4:$DQ$32,"")</f>
        <v>0.5748987854251012</v>
      </c>
      <c r="I9" s="2311">
        <f>_xlfn.XLOOKUP(Q9,'Sales History'!$C$4:$C$83,'Sales History'!$AS$4:$AS$83,"")</f>
        <v>0.28375733855185908</v>
      </c>
      <c r="J9" s="2314">
        <f>_xlfn.XLOOKUP(Q9,'Sales History'!$C$4:$C$83,'Sales History'!$AW$4:$AW$83,"")</f>
        <v>0.25992063492063494</v>
      </c>
      <c r="K9" s="1942">
        <f>_xlfn.XLOOKUP(Q9,'Sales Rec'!$E$4:$E$91,'Sales Rec'!$CV$4:$CV$91,"")</f>
        <v>17</v>
      </c>
      <c r="L9" s="1575">
        <f>_xlfn.XLOOKUP(Q9,'Cement Ranking'!$F$7:$F$35,'Cement Ranking'!$AQ$7:$AQ$35,"")</f>
        <v>4</v>
      </c>
      <c r="M9" s="1582" t="str">
        <f>_xlfn.XLOOKUP(Q9,'Sales Rec'!$E$4:$E$32,'Sales Rec'!$DS$4:$DS$32,"")</f>
        <v>N</v>
      </c>
      <c r="N9" s="1582" t="str">
        <f>_xlfn.XLOOKUP(Q9,'Sales Rec'!$E$4:$E$32,'Sales Rec'!$DZ$4:$DZ$32,"")</f>
        <v>B</v>
      </c>
      <c r="O9" s="1937" t="str">
        <f>_xlfn.XLOOKUP($Q9,'History Records'!$B$7:$B$88,'History Records'!$G$7:$G$88,"")</f>
        <v/>
      </c>
      <c r="P9" s="60" t="s">
        <v>34</v>
      </c>
      <c r="Q9" s="124" t="s">
        <v>35</v>
      </c>
      <c r="R9" s="1570">
        <v>12</v>
      </c>
      <c r="S9" s="66">
        <f t="shared" si="5"/>
        <v>4040.4</v>
      </c>
      <c r="T9" s="2386">
        <f>_xlfn.XLOOKUP($Q9,'Price Record'!$C$6:$C$85,'Price Record'!H$6:H$85,"")</f>
        <v>5460</v>
      </c>
      <c r="U9" s="338">
        <f>_xlfn.XLOOKUP(Q9,'دیده بان بازار'!$A$3:$A$3542,'دیده بان بازار'!$M$3:$M$3542,"")</f>
        <v>2.82</v>
      </c>
      <c r="V9" s="2386">
        <f>_xlfn.XLOOKUP($Q9,'Price Record'!$C$6:$C$85,'Price Record'!G$6:G$85,"")</f>
        <v>5460</v>
      </c>
      <c r="W9" s="337">
        <f>_xlfn.XLOOKUP(Q9,'دیده بان بازار'!$A$3:$A$3542,'دیده بان بازار'!$J$3:$J$3542,"")</f>
        <v>2.82</v>
      </c>
      <c r="X9" s="1641">
        <f t="shared" si="6"/>
        <v>4698.3999999999996</v>
      </c>
      <c r="Y9" s="661" t="str">
        <f t="shared" si="7"/>
        <v/>
      </c>
      <c r="Z9" s="1031">
        <f t="shared" si="8"/>
        <v>0.13271656854499583</v>
      </c>
      <c r="AA9" s="511">
        <f t="shared" ca="1" si="9"/>
        <v>0.12821917808219177</v>
      </c>
      <c r="AB9" s="823">
        <f t="shared" ca="1" si="10"/>
        <v>-0.86488278130847362</v>
      </c>
      <c r="AC9" s="1150">
        <f t="shared" si="11"/>
        <v>0.13271656854499583</v>
      </c>
      <c r="AD9" s="1150">
        <f t="shared" si="12"/>
        <v>0.20644968647357423</v>
      </c>
      <c r="AE9" s="1150">
        <f t="shared" si="13"/>
        <v>1.3753086419753087</v>
      </c>
      <c r="AF9" s="1150">
        <f t="shared" si="14"/>
        <v>1.5363465160075329</v>
      </c>
      <c r="AG9" s="1150">
        <f t="shared" si="15"/>
        <v>3.1739669421487604</v>
      </c>
      <c r="AH9" s="275">
        <f t="shared" ca="1" si="16"/>
        <v>313</v>
      </c>
      <c r="AI9" s="1121">
        <v>46187</v>
      </c>
      <c r="AJ9" s="1554">
        <v>46266</v>
      </c>
      <c r="AK9" s="27">
        <v>825000</v>
      </c>
      <c r="AL9" s="23">
        <v>850000</v>
      </c>
      <c r="AM9" s="29">
        <f t="shared" si="17"/>
        <v>7400000000</v>
      </c>
      <c r="AN9" s="1225">
        <v>0.2392</v>
      </c>
      <c r="AO9" s="174">
        <f>_xlfn.XLOOKUP(Q9,'Cem Sales'!$K$5:$K$33,'Cem Sales'!$DU$5:$DU$33,"")</f>
        <v>2012</v>
      </c>
      <c r="AP9" s="1925">
        <v>1870</v>
      </c>
      <c r="AQ9" s="1925">
        <v>583</v>
      </c>
      <c r="AR9" s="766">
        <f>_xlfn.XLOOKUP(Q9,'Sales Rec'!$E$4:$E$86,'Sales Rec'!$X$4:$X$86,"")</f>
        <v>2594.5303643724692</v>
      </c>
      <c r="AS9" s="984">
        <f>_xlfn.XLOOKUP(Q9,'Sales Rec'!$E$4:$E$86,'Sales Rec'!$K$4:$K$86,"")</f>
        <v>4</v>
      </c>
      <c r="AT9" s="6">
        <f t="shared" si="18"/>
        <v>1.5572760509886108</v>
      </c>
      <c r="AU9" s="99">
        <f t="shared" si="19"/>
        <v>8.6904661668795828</v>
      </c>
      <c r="AV9" s="16">
        <v>656</v>
      </c>
      <c r="AW9" s="16">
        <v>231</v>
      </c>
      <c r="AX9" s="1421">
        <f t="shared" si="20"/>
        <v>0.35199999999999998</v>
      </c>
      <c r="AY9" s="1419">
        <v>0.32400000000000001</v>
      </c>
      <c r="AZ9" s="1689">
        <v>0.312</v>
      </c>
      <c r="BA9" s="2223">
        <v>0.314</v>
      </c>
      <c r="BB9" s="100">
        <f t="shared" si="21"/>
        <v>1.100000000000001</v>
      </c>
      <c r="BC9" s="1420">
        <f t="shared" si="22"/>
        <v>0.27900000000000003</v>
      </c>
      <c r="BD9" s="1419">
        <v>0.26800000000000002</v>
      </c>
      <c r="BE9" s="1687">
        <v>0.27100000000000002</v>
      </c>
      <c r="BF9" s="1688">
        <v>0.26</v>
      </c>
      <c r="BG9" s="306">
        <f t="shared" si="23"/>
        <v>7.2999999999999954E-2</v>
      </c>
      <c r="BH9" s="1861">
        <f t="shared" si="24"/>
        <v>191.55199999999988</v>
      </c>
      <c r="BI9" s="306">
        <f t="shared" si="25"/>
        <v>5.5999999999999994E-2</v>
      </c>
      <c r="BJ9" s="99">
        <v>0</v>
      </c>
      <c r="BK9" s="306">
        <f>_xlfn.XLOOKUP(Q9,'Sales Rec'!$E$4:$E$91,'Sales Rec'!$Y$4:$Y$91,"")</f>
        <v>0.38744939271255036</v>
      </c>
      <c r="BL9" s="99">
        <f t="shared" si="26"/>
        <v>5</v>
      </c>
      <c r="BM9" s="15"/>
      <c r="BN9" s="1803">
        <v>3</v>
      </c>
      <c r="BO9" s="842">
        <f t="shared" si="27"/>
        <v>1</v>
      </c>
      <c r="BP9" s="16">
        <v>304</v>
      </c>
      <c r="BQ9" s="16"/>
      <c r="BR9" s="16"/>
      <c r="BS9" s="1251">
        <f>(_xlfn.XLOOKUP(Q9,'Sales Rec'!$E$4:$E$32,'Sales Rec'!$X$4:$X$32)*BC9+CL9)*1000/CJ9</f>
        <v>1153.8837454863769</v>
      </c>
      <c r="BT9" s="1246">
        <f t="shared" si="28"/>
        <v>1216.2162162162163</v>
      </c>
      <c r="BU9" s="406"/>
      <c r="BV9" s="407">
        <f t="shared" si="29"/>
        <v>4.6074006060721047</v>
      </c>
      <c r="BW9" s="99">
        <f t="shared" si="30"/>
        <v>1.9629969696394767</v>
      </c>
      <c r="BX9" s="18">
        <f t="shared" si="31"/>
        <v>876.93698582995955</v>
      </c>
      <c r="BY9" s="18">
        <f t="shared" si="32"/>
        <v>731.95652173913049</v>
      </c>
      <c r="BZ9" s="18">
        <f t="shared" si="33"/>
        <v>913.2746882591091</v>
      </c>
      <c r="CA9" s="1710">
        <f t="shared" si="34"/>
        <v>5.1445639087579709</v>
      </c>
      <c r="CB9" s="266">
        <f>_xlfn.XLOOKUP($Q9,'Price Record'!$C$6:$C$85,'Price Record'!I$6:I$85,"")</f>
        <v>989</v>
      </c>
      <c r="CC9" s="267">
        <f>_xlfn.XLOOKUP($Q9,'Price Record'!$C$6:$C$85,'Price Record'!J$6:J$85,"")</f>
        <v>5.52</v>
      </c>
      <c r="CD9" s="99">
        <f t="shared" si="35"/>
        <v>-1.5599999999999987</v>
      </c>
      <c r="CE9" s="17">
        <f t="shared" si="36"/>
        <v>1.2395417430948366</v>
      </c>
      <c r="CF9" s="99">
        <f t="shared" si="37"/>
        <v>3.0418330276206538</v>
      </c>
      <c r="CG9" s="103">
        <f t="shared" si="38"/>
        <v>0.39644529196652784</v>
      </c>
      <c r="CH9" s="99">
        <f t="shared" si="39"/>
        <v>-5.3320620502082805E-2</v>
      </c>
      <c r="CI9" s="19"/>
      <c r="CJ9" s="708">
        <v>740</v>
      </c>
      <c r="CK9" s="419">
        <v>65</v>
      </c>
      <c r="CL9" s="468">
        <v>130</v>
      </c>
      <c r="CM9" s="843">
        <v>42</v>
      </c>
      <c r="CN9" s="21">
        <v>225</v>
      </c>
      <c r="CO9" s="21"/>
      <c r="CP9" s="469">
        <f t="shared" si="40"/>
        <v>225</v>
      </c>
      <c r="CQ9" s="1239">
        <f>(AR9*BC9)*(_xlfn.XLOOKUP($Q9,'Sales Rec'!$E$4:$E$32,'Sales Rec'!$L$4:$L$32,"")/12)+CO9</f>
        <v>241.29132388663965</v>
      </c>
      <c r="CR9" s="25">
        <v>290</v>
      </c>
      <c r="CS9" s="57">
        <v>-22</v>
      </c>
      <c r="CT9" s="2240" t="str">
        <f t="shared" si="41"/>
        <v/>
      </c>
      <c r="CU9" s="693">
        <f t="shared" si="42"/>
        <v>1063</v>
      </c>
      <c r="CV9" s="50">
        <v>960</v>
      </c>
      <c r="CW9" s="25">
        <v>28</v>
      </c>
      <c r="CX9" s="50">
        <v>127</v>
      </c>
      <c r="CY9" s="53">
        <f t="shared" si="43"/>
        <v>1087</v>
      </c>
      <c r="CZ9" s="6">
        <f t="shared" si="44"/>
        <v>1.1968749999999999</v>
      </c>
      <c r="DA9" s="99">
        <f t="shared" si="45"/>
        <v>-2.5000000000000355E-2</v>
      </c>
      <c r="DB9" s="53">
        <f t="shared" si="46"/>
        <v>2150</v>
      </c>
      <c r="DC9" s="645">
        <f t="shared" si="47"/>
        <v>0.50558139534883717</v>
      </c>
      <c r="DD9" s="13">
        <v>1001</v>
      </c>
      <c r="DE9" s="28">
        <v>966</v>
      </c>
      <c r="DF9" s="28">
        <v>27</v>
      </c>
      <c r="DG9" s="52">
        <v>1149</v>
      </c>
      <c r="DH9" s="8">
        <f t="shared" si="48"/>
        <v>189</v>
      </c>
      <c r="DI9" s="644">
        <f t="shared" si="49"/>
        <v>13.72767388556862</v>
      </c>
      <c r="DJ9" s="26">
        <v>469</v>
      </c>
      <c r="DK9" s="26">
        <v>277</v>
      </c>
      <c r="DL9" s="26">
        <v>202</v>
      </c>
      <c r="DM9" s="138">
        <f t="shared" si="50"/>
        <v>0.50558139534883717</v>
      </c>
      <c r="DN9" s="99">
        <f t="shared" si="51"/>
        <v>0.94548416609883335</v>
      </c>
      <c r="DO9" s="138">
        <f t="shared" si="52"/>
        <v>0.13577514147071099</v>
      </c>
      <c r="DP9" s="99">
        <f t="shared" si="53"/>
        <v>0</v>
      </c>
      <c r="DQ9" s="26">
        <v>152</v>
      </c>
      <c r="DR9" s="8">
        <f t="shared" si="54"/>
        <v>49</v>
      </c>
      <c r="DS9" s="27" t="s">
        <v>231</v>
      </c>
      <c r="DT9" s="7">
        <f t="shared" si="55"/>
        <v>25.912457912457914</v>
      </c>
      <c r="DU9" s="8">
        <f t="shared" si="56"/>
        <v>8737.7062499999993</v>
      </c>
      <c r="DV9" s="32">
        <f t="shared" si="57"/>
        <v>2.1625844594594592</v>
      </c>
      <c r="DW9" s="99">
        <f t="shared" si="58"/>
        <v>10</v>
      </c>
      <c r="DX9" s="14">
        <f t="shared" si="59"/>
        <v>3144.8852901484474</v>
      </c>
      <c r="DY9" s="99">
        <f t="shared" si="60"/>
        <v>6.4473709863823085</v>
      </c>
      <c r="DZ9" s="103">
        <f t="shared" si="61"/>
        <v>0.33799449714363294</v>
      </c>
      <c r="EA9" s="99">
        <f t="shared" si="62"/>
        <v>-4.5772971450622277</v>
      </c>
      <c r="EB9" s="103">
        <f>_xlfn.XLOOKUP(Q9,'Cem Sales'!$K$5:$K$33,'Cem Sales'!$DN$5:$DN$33, 0)</f>
        <v>0.48971722365038561</v>
      </c>
      <c r="EC9" s="99">
        <f t="shared" si="63"/>
        <v>4.8971722365038559</v>
      </c>
      <c r="ED9" s="8">
        <f t="shared" si="64"/>
        <v>3599.96</v>
      </c>
      <c r="EE9" s="8">
        <f t="shared" si="65"/>
        <v>4378.3783783783783</v>
      </c>
      <c r="EF9" s="235">
        <f t="shared" si="66"/>
        <v>87.837837837837839</v>
      </c>
      <c r="EG9" s="8">
        <f t="shared" si="67"/>
        <v>4033.0881081081079</v>
      </c>
      <c r="EH9" s="411">
        <f t="shared" si="68"/>
        <v>79</v>
      </c>
      <c r="EI9" s="1605">
        <v>790</v>
      </c>
      <c r="EJ9" s="821">
        <f t="shared" si="69"/>
        <v>0.1408199643493761</v>
      </c>
      <c r="EK9" s="502">
        <v>37</v>
      </c>
      <c r="EL9" s="502"/>
      <c r="EM9" s="510">
        <v>48400</v>
      </c>
      <c r="EN9" s="435">
        <v>968</v>
      </c>
      <c r="EO9" s="510">
        <v>79640</v>
      </c>
      <c r="EP9" s="435">
        <v>1593</v>
      </c>
      <c r="EQ9" s="510">
        <v>85050</v>
      </c>
      <c r="ER9" s="435">
        <v>1701</v>
      </c>
      <c r="ES9" s="510">
        <v>4525</v>
      </c>
      <c r="ET9" s="435">
        <v>3349</v>
      </c>
      <c r="EU9" s="510">
        <v>4820</v>
      </c>
      <c r="EV9" s="435">
        <v>3567</v>
      </c>
      <c r="EW9" s="1610">
        <v>4820</v>
      </c>
      <c r="EX9" s="834">
        <v>3567</v>
      </c>
      <c r="EY9" s="835">
        <f t="shared" si="70"/>
        <v>2.6849173553719008</v>
      </c>
      <c r="EZ9" s="1648">
        <f t="shared" si="71"/>
        <v>23</v>
      </c>
    </row>
    <row r="10" spans="1:156" ht="35" customHeight="1">
      <c r="A10" s="100">
        <f>_xlfn.XLOOKUP(Q10,'Cement Ranking'!$F$7:$F$35,'Cement Ranking'!$AO$7:$AO$35, "")</f>
        <v>36.336966923937055</v>
      </c>
      <c r="B10" s="100">
        <f>_xlfn.XLOOKUP(Q10,'Cement Ranking'!$F$7:$F$35,'Cement Ranking'!$AN$7:$AN$35, "")</f>
        <v>27.713399507308058</v>
      </c>
      <c r="C10" s="1585">
        <f t="shared" ca="1" si="1"/>
        <v>0.16309594639304664</v>
      </c>
      <c r="D10" s="1650">
        <f t="shared" si="2"/>
        <v>2.1238767733406547</v>
      </c>
      <c r="E10" s="1412">
        <f t="shared" si="3"/>
        <v>6</v>
      </c>
      <c r="F10" s="1413">
        <f t="shared" si="4"/>
        <v>13.600000000000001</v>
      </c>
      <c r="G10" s="2125" cm="1">
        <f t="array" ref="G10">IFERROR(_xlfn.XLOOKUP(Q10,'Sales Rec'!$E$4:$E$32,'Sales Rec'!$CU$4:$CU$32*100,""),"")</f>
        <v>3.3151260504201696</v>
      </c>
      <c r="H10" s="2314">
        <f>_xlfn.XLOOKUP(Q10,'Sales Rec'!$E$4:$E$32,'Sales Rec'!$DQ$4:$DQ$32,"")</f>
        <v>0.71785714285714286</v>
      </c>
      <c r="I10" s="2311">
        <f>_xlfn.XLOOKUP(Q10,'Sales History'!$C$4:$C$83,'Sales History'!$AS$4:$AS$83,"")</f>
        <v>0.24521739130434783</v>
      </c>
      <c r="J10" s="2314">
        <f>_xlfn.XLOOKUP(Q10,'Sales History'!$C$4:$C$83,'Sales History'!$AW$4:$AW$83,"")</f>
        <v>0.55471698113207546</v>
      </c>
      <c r="K10" s="1942">
        <f>_xlfn.XLOOKUP(Q10,'Sales Rec'!$E$4:$E$91,'Sales Rec'!$CV$4:$CV$91,"")</f>
        <v>10</v>
      </c>
      <c r="L10" s="1575">
        <f>_xlfn.XLOOKUP(Q10,'Cement Ranking'!$F$7:$F$35,'Cement Ranking'!$AQ$7:$AQ$35,"")</f>
        <v>3</v>
      </c>
      <c r="M10" s="1588" t="str">
        <f>_xlfn.XLOOKUP(Q10,'Sales Rec'!$E$4:$E$32,'Sales Rec'!$DS$4:$DS$32,"")</f>
        <v>B</v>
      </c>
      <c r="N10" s="1587" t="str">
        <f>_xlfn.XLOOKUP(Q10,'Sales Rec'!$E$4:$E$32,'Sales Rec'!$DZ$4:$DZ$32,"")</f>
        <v>B</v>
      </c>
      <c r="O10" s="1937" t="str">
        <f>_xlfn.XLOOKUP($Q10,'History Records'!$B$7:$B$88,'History Records'!$G$7:$G$88,"")</f>
        <v>Closed</v>
      </c>
      <c r="P10" s="60" t="s">
        <v>60</v>
      </c>
      <c r="Q10" s="124" t="s">
        <v>61</v>
      </c>
      <c r="R10" s="1570">
        <v>12</v>
      </c>
      <c r="S10" s="66">
        <f t="shared" si="5"/>
        <v>7705</v>
      </c>
      <c r="T10" s="2386">
        <f>_xlfn.XLOOKUP($Q10,'Price Record'!$C$6:$C$85,'Price Record'!H$6:H$85,"")</f>
        <v>15410</v>
      </c>
      <c r="U10" s="338" t="str">
        <f>_xlfn.XLOOKUP(Q10,'دیده بان بازار'!$A$3:$A$3542,'دیده بان بازار'!$M$3:$M$3542,"")</f>
        <v/>
      </c>
      <c r="V10" s="2386">
        <f>_xlfn.XLOOKUP($Q10,'Price Record'!$C$6:$C$85,'Price Record'!G$6:G$85,"")</f>
        <v>15410</v>
      </c>
      <c r="W10" s="337" t="str">
        <f>_xlfn.XLOOKUP(Q10,'دیده بان بازار'!$A$3:$A$3542,'دیده بان بازار'!$J$3:$J$3542,"")</f>
        <v/>
      </c>
      <c r="X10" s="1641">
        <f t="shared" si="6"/>
        <v>8343</v>
      </c>
      <c r="Y10" s="661" t="str">
        <f t="shared" si="7"/>
        <v/>
      </c>
      <c r="Z10" s="1031">
        <f t="shared" si="8"/>
        <v>1.2980269989615784E-4</v>
      </c>
      <c r="AA10" s="511">
        <f t="shared" ca="1" si="9"/>
        <v>4.1917808219178086E-2</v>
      </c>
      <c r="AB10" s="823">
        <f t="shared" ca="1" si="10"/>
        <v>24.581179717224664</v>
      </c>
      <c r="AC10" s="1150">
        <f t="shared" si="11"/>
        <v>1.2980269989615784E-4</v>
      </c>
      <c r="AD10" s="1150">
        <f t="shared" si="12"/>
        <v>0.55971659919028338</v>
      </c>
      <c r="AE10" s="1150">
        <f t="shared" si="13"/>
        <v>1.0563117160394984</v>
      </c>
      <c r="AF10" s="1150">
        <f t="shared" si="14"/>
        <v>0.86833171677982546</v>
      </c>
      <c r="AG10" s="1150">
        <f t="shared" si="15"/>
        <v>2.7294288480154889</v>
      </c>
      <c r="AH10" s="275">
        <f t="shared" ca="1" si="16"/>
        <v>348</v>
      </c>
      <c r="AI10" s="1121">
        <v>46222</v>
      </c>
      <c r="AJ10" s="1554">
        <v>46331</v>
      </c>
      <c r="AK10" s="27">
        <v>1080000</v>
      </c>
      <c r="AL10" s="23">
        <v>1120000</v>
      </c>
      <c r="AM10" s="29">
        <f t="shared" si="17"/>
        <v>5000000000</v>
      </c>
      <c r="AN10" s="1225">
        <v>0.29680000000000001</v>
      </c>
      <c r="AO10" s="174">
        <f>_xlfn.XLOOKUP(Q10,'Cem Sales'!$K$5:$K$33,'Cem Sales'!$DU$5:$DU$33,"")</f>
        <v>2039</v>
      </c>
      <c r="AP10" s="1925">
        <v>1751</v>
      </c>
      <c r="AQ10" s="1925">
        <v>732</v>
      </c>
      <c r="AR10" s="766">
        <f>_xlfn.XLOOKUP(Q10,'Sales Rec'!$E$4:$E$86,'Sales Rec'!$X$4:$X$86,"")</f>
        <v>2763.7339285714288</v>
      </c>
      <c r="AS10" s="984">
        <f>_xlfn.XLOOKUP(Q10,'Sales Rec'!$E$4:$E$86,'Sales Rec'!$K$4:$K$86,"")</f>
        <v>4</v>
      </c>
      <c r="AT10" s="6">
        <f t="shared" si="18"/>
        <v>2.7619047988261221</v>
      </c>
      <c r="AU10" s="99">
        <f t="shared" si="19"/>
        <v>-3.3558213114955304</v>
      </c>
      <c r="AV10" s="16">
        <v>716</v>
      </c>
      <c r="AW10" s="16">
        <v>301</v>
      </c>
      <c r="AX10" s="1421">
        <f t="shared" si="20"/>
        <v>0.42</v>
      </c>
      <c r="AY10" s="1419">
        <v>0.36</v>
      </c>
      <c r="AZ10" s="1689">
        <v>0.41799999999999998</v>
      </c>
      <c r="BA10" s="1690">
        <v>0.39900000000000002</v>
      </c>
      <c r="BB10" s="100">
        <f t="shared" si="21"/>
        <v>10</v>
      </c>
      <c r="BC10" s="1420">
        <f t="shared" si="22"/>
        <v>0.43</v>
      </c>
      <c r="BD10" s="1419">
        <v>0.29399999999999998</v>
      </c>
      <c r="BE10" s="1687">
        <v>0.36199999999999999</v>
      </c>
      <c r="BF10" s="1688">
        <v>0.34200000000000003</v>
      </c>
      <c r="BG10" s="306">
        <f t="shared" si="23"/>
        <v>-1.0000000000000009E-2</v>
      </c>
      <c r="BH10" s="1861">
        <f t="shared" si="24"/>
        <v>-28.640000000000025</v>
      </c>
      <c r="BI10" s="306">
        <f t="shared" si="25"/>
        <v>6.6000000000000003E-2</v>
      </c>
      <c r="BJ10" s="99">
        <v>0</v>
      </c>
      <c r="BK10" s="306">
        <f>_xlfn.XLOOKUP(Q10,'Sales Rec'!$E$4:$E$91,'Sales Rec'!$Y$4:$Y$91,"")</f>
        <v>0.57837460226809179</v>
      </c>
      <c r="BL10" s="99">
        <f t="shared" si="26"/>
        <v>5</v>
      </c>
      <c r="BM10" s="15"/>
      <c r="BN10" s="1803">
        <v>3</v>
      </c>
      <c r="BO10" s="842">
        <f t="shared" si="27"/>
        <v>1</v>
      </c>
      <c r="BP10" s="16">
        <v>3370</v>
      </c>
      <c r="BQ10" s="16"/>
      <c r="BR10" s="16"/>
      <c r="BS10" s="1251">
        <f>(_xlfn.XLOOKUP(Q10,'Sales Rec'!$E$4:$E$32,'Sales Rec'!$X$4:$X$32)*BC10+CL10)*1000/CJ10</f>
        <v>3146.8111785714286</v>
      </c>
      <c r="BT10" s="1246">
        <f t="shared" si="28"/>
        <v>3848</v>
      </c>
      <c r="BU10" s="406"/>
      <c r="BV10" s="407">
        <f t="shared" si="29"/>
        <v>4.4061232266593455</v>
      </c>
      <c r="BW10" s="99">
        <f t="shared" si="30"/>
        <v>2.9693838667032724</v>
      </c>
      <c r="BX10" s="18">
        <f t="shared" si="31"/>
        <v>1748.702794642857</v>
      </c>
      <c r="BY10" s="18">
        <f t="shared" si="32"/>
        <v>1179.938744257274</v>
      </c>
      <c r="BZ10" s="18">
        <f t="shared" si="33"/>
        <v>1160.7682500000001</v>
      </c>
      <c r="CA10" s="1710">
        <f t="shared" si="34"/>
        <v>7.1874812220268769</v>
      </c>
      <c r="CB10" s="266">
        <f>_xlfn.XLOOKUP($Q10,'Price Record'!$C$6:$C$85,'Price Record'!I$6:I$85,"")</f>
        <v>2361</v>
      </c>
      <c r="CC10" s="267">
        <f>_xlfn.XLOOKUP($Q10,'Price Record'!$C$6:$C$85,'Price Record'!J$6:J$85,"")</f>
        <v>6.53</v>
      </c>
      <c r="CD10" s="99">
        <f t="shared" si="35"/>
        <v>-4.5900000000000007</v>
      </c>
      <c r="CE10" s="17">
        <f t="shared" si="36"/>
        <v>0.73368670990317197</v>
      </c>
      <c r="CF10" s="99">
        <f t="shared" si="37"/>
        <v>5.0652531603873125</v>
      </c>
      <c r="CG10" s="103">
        <f t="shared" si="38"/>
        <v>0.42239197938233264</v>
      </c>
      <c r="CH10" s="99">
        <f t="shared" si="39"/>
        <v>0.33587969073498924</v>
      </c>
      <c r="CI10" s="20"/>
      <c r="CJ10" s="708">
        <v>500</v>
      </c>
      <c r="CK10" s="419">
        <v>629</v>
      </c>
      <c r="CL10" s="468">
        <v>385</v>
      </c>
      <c r="CM10" s="843">
        <v>173</v>
      </c>
      <c r="CN10" s="21">
        <v>481</v>
      </c>
      <c r="CO10" s="21">
        <v>11</v>
      </c>
      <c r="CP10" s="469">
        <f t="shared" si="40"/>
        <v>481</v>
      </c>
      <c r="CQ10" s="1239">
        <f>(AR10*BC10)*(_xlfn.XLOOKUP($Q10,'Sales Rec'!$E$4:$E$32,'Sales Rec'!$L$4:$L$32,"")/12)+CO10</f>
        <v>407.13519642857142</v>
      </c>
      <c r="CR10" s="25">
        <v>1110</v>
      </c>
      <c r="CS10" s="57">
        <v>-19</v>
      </c>
      <c r="CT10" s="2240" t="str">
        <f t="shared" si="41"/>
        <v/>
      </c>
      <c r="CU10" s="693">
        <f t="shared" si="42"/>
        <v>1941</v>
      </c>
      <c r="CV10" s="50">
        <v>1160</v>
      </c>
      <c r="CW10" s="25">
        <v>0</v>
      </c>
      <c r="CX10" s="50">
        <v>123</v>
      </c>
      <c r="CY10" s="53">
        <f t="shared" si="43"/>
        <v>1283</v>
      </c>
      <c r="CZ10" s="6">
        <f t="shared" si="44"/>
        <v>1.8956896551724138</v>
      </c>
      <c r="DA10" s="99">
        <f t="shared" si="45"/>
        <v>5.565517241379311</v>
      </c>
      <c r="DB10" s="53">
        <f t="shared" si="46"/>
        <v>3224</v>
      </c>
      <c r="DC10" s="645">
        <f t="shared" si="47"/>
        <v>0.39795285359801491</v>
      </c>
      <c r="DD10" s="13">
        <v>1025</v>
      </c>
      <c r="DE10" s="28">
        <v>474</v>
      </c>
      <c r="DF10" s="28">
        <v>175</v>
      </c>
      <c r="DG10" s="52">
        <v>2199</v>
      </c>
      <c r="DH10" s="8">
        <f t="shared" si="48"/>
        <v>1039</v>
      </c>
      <c r="DI10" s="644">
        <f t="shared" si="49"/>
        <v>2.6599941564691325</v>
      </c>
      <c r="DJ10" s="26">
        <v>1044</v>
      </c>
      <c r="DK10" s="26">
        <v>275</v>
      </c>
      <c r="DL10" s="26">
        <v>245</v>
      </c>
      <c r="DM10" s="138">
        <f t="shared" si="50"/>
        <v>0.39795285359801491</v>
      </c>
      <c r="DN10" s="99">
        <f t="shared" si="51"/>
        <v>2.0217695836070559</v>
      </c>
      <c r="DO10" s="138">
        <f t="shared" si="52"/>
        <v>0.31875441114106967</v>
      </c>
      <c r="DP10" s="99">
        <f t="shared" si="53"/>
        <v>1</v>
      </c>
      <c r="DQ10" s="26">
        <v>370</v>
      </c>
      <c r="DR10" s="8">
        <f t="shared" si="54"/>
        <v>265</v>
      </c>
      <c r="DS10" s="27" t="s">
        <v>231</v>
      </c>
      <c r="DT10" s="7">
        <f t="shared" si="55"/>
        <v>37.747403488144229</v>
      </c>
      <c r="DU10" s="8">
        <f t="shared" si="56"/>
        <v>10773.945</v>
      </c>
      <c r="DV10" s="32">
        <f t="shared" si="57"/>
        <v>1.3983056456846203</v>
      </c>
      <c r="DW10" s="99">
        <f t="shared" si="58"/>
        <v>7.9661129136924069</v>
      </c>
      <c r="DX10" s="14">
        <f t="shared" si="59"/>
        <v>2559.0128968253971</v>
      </c>
      <c r="DY10" s="99">
        <f t="shared" si="60"/>
        <v>-0.34254549706340853</v>
      </c>
      <c r="DZ10" s="103">
        <f t="shared" si="61"/>
        <v>0.63273196329241421</v>
      </c>
      <c r="EA10" s="99">
        <f t="shared" si="62"/>
        <v>4.2648268394012101</v>
      </c>
      <c r="EB10" s="103">
        <f>_xlfn.XLOOKUP(Q10,'Cem Sales'!$K$5:$K$33,'Cem Sales'!$DN$5:$DN$33, 0)</f>
        <v>4.3659043659043661E-2</v>
      </c>
      <c r="EC10" s="99">
        <f t="shared" si="63"/>
        <v>0.43659043659043661</v>
      </c>
      <c r="ED10" s="8">
        <f t="shared" si="64"/>
        <v>8594.0400000000009</v>
      </c>
      <c r="EE10" s="8">
        <f t="shared" si="65"/>
        <v>13852.8</v>
      </c>
      <c r="EF10" s="235">
        <f t="shared" si="66"/>
        <v>1258</v>
      </c>
      <c r="EG10" s="8">
        <f t="shared" si="67"/>
        <v>11852.42</v>
      </c>
      <c r="EH10" s="411">
        <f t="shared" si="68"/>
        <v>109</v>
      </c>
      <c r="EI10" s="1605">
        <v>4860</v>
      </c>
      <c r="EJ10" s="821">
        <f t="shared" si="69"/>
        <v>7.3636363636363639E-2</v>
      </c>
      <c r="EK10" s="502"/>
      <c r="EL10" s="502"/>
      <c r="EM10" s="510">
        <v>16400</v>
      </c>
      <c r="EN10" s="435">
        <v>2066</v>
      </c>
      <c r="EO10" s="510">
        <v>32730</v>
      </c>
      <c r="EP10" s="435">
        <v>4124</v>
      </c>
      <c r="EQ10" s="510">
        <v>29740</v>
      </c>
      <c r="ER10" s="435">
        <v>3747</v>
      </c>
      <c r="ES10" s="510">
        <v>39210</v>
      </c>
      <c r="ET10" s="435">
        <v>4940</v>
      </c>
      <c r="EU10" s="510">
        <v>61140</v>
      </c>
      <c r="EV10" s="435">
        <v>7704</v>
      </c>
      <c r="EW10" s="1610">
        <v>61140</v>
      </c>
      <c r="EX10" s="834">
        <v>7704</v>
      </c>
      <c r="EY10" s="835">
        <f t="shared" si="70"/>
        <v>2.7289448209099709</v>
      </c>
      <c r="EZ10" s="1648">
        <f t="shared" si="71"/>
        <v>21</v>
      </c>
    </row>
    <row r="11" spans="1:156" ht="35" customHeight="1">
      <c r="A11" s="100">
        <f>_xlfn.XLOOKUP(Q11,'Cement Ranking'!$F$7:$F$35,'Cement Ranking'!$AO$7:$AO$35, "")</f>
        <v>26.677279402578577</v>
      </c>
      <c r="B11" s="100">
        <f>_xlfn.XLOOKUP(Q11,'Cement Ranking'!$F$7:$F$35,'Cement Ranking'!$AN$7:$AN$35, "")</f>
        <v>19.423634427290274</v>
      </c>
      <c r="C11" s="1585">
        <f t="shared" ca="1" si="1"/>
        <v>0.14937933554622385</v>
      </c>
      <c r="D11" s="1650">
        <f t="shared" si="2"/>
        <v>1.6808505941693221</v>
      </c>
      <c r="E11" s="1412">
        <f t="shared" si="3"/>
        <v>43.3</v>
      </c>
      <c r="F11" s="1413">
        <f t="shared" si="4"/>
        <v>39.5</v>
      </c>
      <c r="G11" s="2125" cm="1">
        <f t="array" ref="G11">IFERROR(_xlfn.XLOOKUP(Q11,'Sales Rec'!$E$4:$E$32,'Sales Rec'!$CU$4:$CU$32*100,""),"")</f>
        <v>13.436985372469245</v>
      </c>
      <c r="H11" s="2314">
        <f>_xlfn.XLOOKUP(Q11,'Sales Rec'!$E$4:$E$32,'Sales Rec'!$DQ$4:$DQ$32,"")</f>
        <v>1.1594594594594594</v>
      </c>
      <c r="I11" s="2311">
        <f>_xlfn.XLOOKUP(Q11,'Sales History'!$C$4:$C$83,'Sales History'!$AS$4:$AS$83,"")</f>
        <v>0.41604010025062654</v>
      </c>
      <c r="J11" s="2314">
        <f>_xlfn.XLOOKUP(Q11,'Sales History'!$C$4:$C$83,'Sales History'!$AW$4:$AW$83,"")</f>
        <v>0.63390663390663393</v>
      </c>
      <c r="K11" s="1942">
        <f>_xlfn.XLOOKUP(Q11,'Sales Rec'!$E$4:$E$91,'Sales Rec'!$CV$4:$CV$91,"")</f>
        <v>1</v>
      </c>
      <c r="L11" s="1575">
        <f>_xlfn.XLOOKUP(Q11,'Cement Ranking'!$F$7:$F$35,'Cement Ranking'!$AQ$7:$AQ$35,"")</f>
        <v>7</v>
      </c>
      <c r="M11" s="1582" t="str">
        <f>_xlfn.XLOOKUP(Q11,'Sales Rec'!$E$4:$E$32,'Sales Rec'!$DS$4:$DS$32,"")</f>
        <v>BB</v>
      </c>
      <c r="N11" s="1588" t="str">
        <f>_xlfn.XLOOKUP(Q11,'Sales Rec'!$E$4:$E$32,'Sales Rec'!$DZ$4:$DZ$32,"")</f>
        <v>BB</v>
      </c>
      <c r="O11" s="1937" t="str">
        <f>_xlfn.XLOOKUP($Q11,'History Records'!$B$7:$B$88,'History Records'!$G$7:$G$88,"")</f>
        <v/>
      </c>
      <c r="P11" s="60" t="s">
        <v>76</v>
      </c>
      <c r="Q11" s="124" t="s">
        <v>77</v>
      </c>
      <c r="R11" s="1570">
        <v>12</v>
      </c>
      <c r="S11" s="66">
        <f t="shared" si="5"/>
        <v>9712</v>
      </c>
      <c r="T11" s="2386">
        <f>_xlfn.XLOOKUP($Q11,'Price Record'!$C$6:$C$85,'Price Record'!H$6:H$85,"")</f>
        <v>24280</v>
      </c>
      <c r="U11" s="338">
        <f>_xlfn.XLOOKUP(Q11,'دیده بان بازار'!$A$3:$A$3542,'دیده بان بازار'!$M$3:$M$3542,"")</f>
        <v>2.97</v>
      </c>
      <c r="V11" s="2386">
        <f>_xlfn.XLOOKUP($Q11,'Price Record'!$C$6:$C$85,'Price Record'!G$6:G$85,"")</f>
        <v>24280</v>
      </c>
      <c r="W11" s="337">
        <f>_xlfn.XLOOKUP(Q11,'دیده بان بازار'!$A$3:$A$3542,'دیده بان بازار'!$J$3:$J$3542,"")</f>
        <v>2.97</v>
      </c>
      <c r="X11" s="1641">
        <f t="shared" si="6"/>
        <v>10392</v>
      </c>
      <c r="Y11" s="661" t="str">
        <f t="shared" si="7"/>
        <v/>
      </c>
      <c r="Z11" s="1031">
        <f t="shared" si="8"/>
        <v>0.48592411260709917</v>
      </c>
      <c r="AA11" s="511">
        <f t="shared" ca="1" si="9"/>
        <v>0.11342465753424659</v>
      </c>
      <c r="AB11" s="823">
        <f t="shared" ca="1" si="10"/>
        <v>-80.978142407141874</v>
      </c>
      <c r="AC11" s="1150">
        <f t="shared" si="11"/>
        <v>0.48592411260709917</v>
      </c>
      <c r="AD11" s="1150">
        <f t="shared" si="12"/>
        <v>2.5758468335787925</v>
      </c>
      <c r="AE11" s="1150">
        <f t="shared" si="13"/>
        <v>4.0478170478170474</v>
      </c>
      <c r="AF11" s="1150">
        <f t="shared" si="14"/>
        <v>3.9576314446145995</v>
      </c>
      <c r="AG11" s="1150">
        <f t="shared" si="15"/>
        <v>6.807073954983923</v>
      </c>
      <c r="AH11" s="275">
        <f t="shared" ca="1" si="16"/>
        <v>319</v>
      </c>
      <c r="AI11" s="1121">
        <v>46193</v>
      </c>
      <c r="AJ11" s="1856">
        <v>46211</v>
      </c>
      <c r="AK11" s="27">
        <v>780000</v>
      </c>
      <c r="AL11" s="23">
        <v>810000</v>
      </c>
      <c r="AM11" s="29">
        <f t="shared" si="17"/>
        <v>4000000000</v>
      </c>
      <c r="AN11" s="1225">
        <v>0.1222</v>
      </c>
      <c r="AO11" s="174">
        <f>_xlfn.XLOOKUP(Q11,'Cem Sales'!$K$5:$K$33,'Cem Sales'!$DU$5:$DU$33,"")</f>
        <v>1818</v>
      </c>
      <c r="AP11" s="1925">
        <v>1524</v>
      </c>
      <c r="AQ11" s="1925">
        <v>987</v>
      </c>
      <c r="AR11" s="766">
        <f>_xlfn.XLOOKUP(Q11,'Sales Rec'!$E$4:$E$86,'Sales Rec'!$X$4:$X$86,"")</f>
        <v>2733.008108108108</v>
      </c>
      <c r="AS11" s="984">
        <f>_xlfn.XLOOKUP(Q11,'Sales Rec'!$E$4:$E$86,'Sales Rec'!$K$4:$K$86,"")</f>
        <v>4</v>
      </c>
      <c r="AT11" s="6">
        <f t="shared" si="18"/>
        <v>3.5535935554625979</v>
      </c>
      <c r="AU11" s="99">
        <f t="shared" si="19"/>
        <v>-10</v>
      </c>
      <c r="AV11" s="16">
        <v>565</v>
      </c>
      <c r="AW11" s="16">
        <v>435</v>
      </c>
      <c r="AX11" s="1421">
        <f t="shared" si="20"/>
        <v>0.77</v>
      </c>
      <c r="AY11" s="1419">
        <v>0.33700000000000002</v>
      </c>
      <c r="AZ11" s="1689">
        <v>0.64800000000000002</v>
      </c>
      <c r="BA11" s="1690">
        <v>0.16500000000000001</v>
      </c>
      <c r="BB11" s="100">
        <f t="shared" si="21"/>
        <v>10</v>
      </c>
      <c r="BC11" s="1420">
        <f t="shared" si="22"/>
        <v>0.628</v>
      </c>
      <c r="BD11" s="1419">
        <v>0.23300000000000001</v>
      </c>
      <c r="BE11" s="1687">
        <v>0.54300000000000004</v>
      </c>
      <c r="BF11" s="1688">
        <v>9.1999999999999998E-2</v>
      </c>
      <c r="BG11" s="306">
        <f t="shared" si="23"/>
        <v>0.14200000000000002</v>
      </c>
      <c r="BH11" s="1861">
        <f t="shared" si="24"/>
        <v>320.92</v>
      </c>
      <c r="BI11" s="306">
        <f t="shared" si="25"/>
        <v>0.10400000000000001</v>
      </c>
      <c r="BJ11" s="99">
        <v>0</v>
      </c>
      <c r="BK11" s="306">
        <f>_xlfn.XLOOKUP(Q11,'Sales Rec'!$E$4:$E$91,'Sales Rec'!$Y$4:$Y$91,"")</f>
        <v>0.79331240689508398</v>
      </c>
      <c r="BL11" s="99">
        <f t="shared" si="26"/>
        <v>5</v>
      </c>
      <c r="BM11" s="15"/>
      <c r="BN11" s="1803">
        <v>3</v>
      </c>
      <c r="BO11" s="842">
        <f t="shared" si="27"/>
        <v>1</v>
      </c>
      <c r="BP11" s="16">
        <v>1312</v>
      </c>
      <c r="BQ11" s="16"/>
      <c r="BR11" s="16"/>
      <c r="BS11" s="1251">
        <f>(_xlfn.XLOOKUP(Q11,'Sales Rec'!$E$4:$E$32,'Sales Rec'!$X$4:$X$32)*BC11+CL11)*1000/CJ11</f>
        <v>5105.8227297297299</v>
      </c>
      <c r="BT11" s="1246">
        <f t="shared" si="28"/>
        <v>5250</v>
      </c>
      <c r="BU11" s="406"/>
      <c r="BV11" s="407">
        <f t="shared" si="29"/>
        <v>4.689149405830678</v>
      </c>
      <c r="BW11" s="99">
        <f t="shared" si="30"/>
        <v>1.5542529708466102</v>
      </c>
      <c r="BX11" s="18">
        <f t="shared" si="31"/>
        <v>2071.1645459459464</v>
      </c>
      <c r="BY11" s="18">
        <f t="shared" si="32"/>
        <v>1524.6467817896389</v>
      </c>
      <c r="BZ11" s="18">
        <f t="shared" si="33"/>
        <v>2104.4162432432431</v>
      </c>
      <c r="CA11" s="1710">
        <f t="shared" si="34"/>
        <v>4.9381865557092741</v>
      </c>
      <c r="CB11" s="266">
        <f>_xlfn.XLOOKUP($Q11,'Price Record'!$C$6:$C$85,'Price Record'!I$6:I$85,"")</f>
        <v>3814</v>
      </c>
      <c r="CC11" s="267">
        <f>_xlfn.XLOOKUP($Q11,'Price Record'!$C$6:$C$85,'Price Record'!J$6:J$85,"")</f>
        <v>6.37</v>
      </c>
      <c r="CD11" s="99">
        <f t="shared" si="35"/>
        <v>-4.1100000000000003</v>
      </c>
      <c r="CE11" s="17">
        <f t="shared" si="36"/>
        <v>1.025992842606074</v>
      </c>
      <c r="CF11" s="99">
        <f t="shared" si="37"/>
        <v>3.8960286295757038</v>
      </c>
      <c r="CG11" s="103">
        <f t="shared" si="38"/>
        <v>0.53838433739171987</v>
      </c>
      <c r="CH11" s="99">
        <f t="shared" si="39"/>
        <v>2.0757650608757978</v>
      </c>
      <c r="CI11" s="19"/>
      <c r="CJ11" s="708">
        <v>400</v>
      </c>
      <c r="CK11" s="419">
        <v>119</v>
      </c>
      <c r="CL11" s="468">
        <v>326</v>
      </c>
      <c r="CM11" s="843">
        <v>170</v>
      </c>
      <c r="CN11" s="21">
        <v>525</v>
      </c>
      <c r="CO11" s="21"/>
      <c r="CP11" s="469">
        <f t="shared" si="40"/>
        <v>525</v>
      </c>
      <c r="CQ11" s="1239">
        <f>(AR11*BC11)*(_xlfn.XLOOKUP($Q11,'Sales Rec'!$E$4:$E$32,'Sales Rec'!$L$4:$L$32,"")/12)+CO11</f>
        <v>572.1096972972972</v>
      </c>
      <c r="CR11" s="25">
        <v>644</v>
      </c>
      <c r="CS11" s="57">
        <v>-17</v>
      </c>
      <c r="CT11" s="2240" t="str">
        <f t="shared" si="41"/>
        <v/>
      </c>
      <c r="CU11" s="693">
        <f t="shared" si="42"/>
        <v>1124</v>
      </c>
      <c r="CV11" s="50">
        <v>2092</v>
      </c>
      <c r="CW11" s="25">
        <v>498</v>
      </c>
      <c r="CX11" s="50">
        <v>33</v>
      </c>
      <c r="CY11" s="53">
        <f t="shared" si="43"/>
        <v>2125</v>
      </c>
      <c r="CZ11" s="6">
        <f t="shared" si="44"/>
        <v>1.3016252390057361</v>
      </c>
      <c r="DA11" s="99">
        <f t="shared" si="45"/>
        <v>0.81300191204588934</v>
      </c>
      <c r="DB11" s="53">
        <f t="shared" si="46"/>
        <v>3249</v>
      </c>
      <c r="DC11" s="645">
        <f t="shared" si="47"/>
        <v>0.65404739919975374</v>
      </c>
      <c r="DD11" s="13">
        <v>526</v>
      </c>
      <c r="DE11" s="28">
        <v>290</v>
      </c>
      <c r="DF11" s="28">
        <v>44</v>
      </c>
      <c r="DG11" s="52">
        <v>2723</v>
      </c>
      <c r="DH11" s="8">
        <f t="shared" si="48"/>
        <v>631</v>
      </c>
      <c r="DI11" s="644">
        <f t="shared" si="49"/>
        <v>4.3312331348781425</v>
      </c>
      <c r="DJ11" s="26">
        <v>721</v>
      </c>
      <c r="DK11" s="26">
        <v>575</v>
      </c>
      <c r="DL11" s="26">
        <v>436</v>
      </c>
      <c r="DM11" s="138">
        <f t="shared" si="50"/>
        <v>0.65404739919975374</v>
      </c>
      <c r="DN11" s="99">
        <f t="shared" si="51"/>
        <v>-0.53917587241033238</v>
      </c>
      <c r="DO11" s="138">
        <f t="shared" si="52"/>
        <v>0.17677111227134815</v>
      </c>
      <c r="DP11" s="99">
        <f t="shared" si="53"/>
        <v>0</v>
      </c>
      <c r="DQ11" s="26">
        <v>870</v>
      </c>
      <c r="DR11" s="8">
        <f t="shared" si="54"/>
        <v>121</v>
      </c>
      <c r="DS11" s="27" t="s">
        <v>231</v>
      </c>
      <c r="DT11" s="7">
        <f t="shared" si="55"/>
        <v>65.879799213132543</v>
      </c>
      <c r="DU11" s="8">
        <f t="shared" si="56"/>
        <v>8378.3700000000008</v>
      </c>
      <c r="DV11" s="32">
        <f t="shared" si="57"/>
        <v>0.86268224876441524</v>
      </c>
      <c r="DW11" s="99">
        <f t="shared" si="58"/>
        <v>-2.7463550247116952</v>
      </c>
      <c r="DX11" s="14">
        <f t="shared" si="59"/>
        <v>3503.8565488565487</v>
      </c>
      <c r="DY11" s="99">
        <f t="shared" si="60"/>
        <v>10</v>
      </c>
      <c r="DZ11" s="103">
        <f t="shared" si="61"/>
        <v>0.75783329723806969</v>
      </c>
      <c r="EA11" s="99">
        <f t="shared" si="62"/>
        <v>8.0178668577708745</v>
      </c>
      <c r="EB11" s="103">
        <f>_xlfn.XLOOKUP(Q11,'Cem Sales'!$K$5:$K$33,'Cem Sales'!$DN$5:$DN$33, 0)</f>
        <v>0.2715894868585732</v>
      </c>
      <c r="EC11" s="99">
        <f t="shared" si="63"/>
        <v>2.7158948685857318</v>
      </c>
      <c r="ED11" s="8">
        <f t="shared" si="64"/>
        <v>13882.96</v>
      </c>
      <c r="EE11" s="8">
        <f t="shared" si="65"/>
        <v>18900</v>
      </c>
      <c r="EF11" s="235">
        <f t="shared" si="66"/>
        <v>297.5</v>
      </c>
      <c r="EG11" s="8">
        <f t="shared" si="67"/>
        <v>16540.23</v>
      </c>
      <c r="EH11" s="411">
        <f t="shared" si="68"/>
        <v>18</v>
      </c>
      <c r="EI11" s="1605">
        <v>2600</v>
      </c>
      <c r="EJ11" s="821">
        <f t="shared" si="69"/>
        <v>0.13727560718057022</v>
      </c>
      <c r="EK11" s="502">
        <v>15</v>
      </c>
      <c r="EL11" s="502"/>
      <c r="EM11" s="510">
        <v>49740</v>
      </c>
      <c r="EN11" s="435">
        <v>1244</v>
      </c>
      <c r="EO11" s="510">
        <v>78360</v>
      </c>
      <c r="EP11" s="435">
        <v>1959</v>
      </c>
      <c r="EQ11" s="510">
        <v>4810</v>
      </c>
      <c r="ER11" s="435">
        <v>1924</v>
      </c>
      <c r="ES11" s="510">
        <v>6791</v>
      </c>
      <c r="ET11" s="435">
        <v>2716</v>
      </c>
      <c r="EU11" s="510">
        <v>16340</v>
      </c>
      <c r="EV11" s="435">
        <v>6536</v>
      </c>
      <c r="EW11" s="1610">
        <v>16340</v>
      </c>
      <c r="EX11" s="834">
        <v>6536</v>
      </c>
      <c r="EY11" s="835">
        <f t="shared" si="70"/>
        <v>4.254019292604502</v>
      </c>
      <c r="EZ11" s="1648">
        <f t="shared" si="71"/>
        <v>10</v>
      </c>
    </row>
    <row r="12" spans="1:156" ht="35" customHeight="1">
      <c r="A12" s="100">
        <f>_xlfn.XLOOKUP(Q12,'Cement Ranking'!$F$7:$F$35,'Cement Ranking'!$AO$7:$AO$35, "")</f>
        <v>25.396087084183005</v>
      </c>
      <c r="B12" s="100">
        <f>_xlfn.XLOOKUP(Q12,'Cement Ranking'!$F$7:$F$35,'Cement Ranking'!$AN$7:$AN$35, "")</f>
        <v>14.733792852712241</v>
      </c>
      <c r="C12" s="1585">
        <f t="shared" ca="1" si="1"/>
        <v>0.10886833615146292</v>
      </c>
      <c r="D12" s="1650">
        <f t="shared" si="2"/>
        <v>2.3289770418750795</v>
      </c>
      <c r="E12" s="1412">
        <f t="shared" si="3"/>
        <v>5.8</v>
      </c>
      <c r="F12" s="1413">
        <f t="shared" si="4"/>
        <v>6.7</v>
      </c>
      <c r="G12" s="2125" cm="1">
        <f t="array" ref="G12">IFERROR(_xlfn.XLOOKUP(Q12,'Sales Rec'!$E$4:$E$32,'Sales Rec'!$CU$4:$CU$32*100,""),"")</f>
        <v>-16.892599183502554</v>
      </c>
      <c r="H12" s="2314">
        <f>_xlfn.XLOOKUP(Q12,'Sales Rec'!$E$4:$E$32,'Sales Rec'!$DQ$4:$DQ$32,"")</f>
        <v>0.99570815450643779</v>
      </c>
      <c r="I12" s="2311">
        <f>_xlfn.XLOOKUP(Q12,'Sales History'!$C$4:$C$83,'Sales History'!$AS$4:$AS$83,"")</f>
        <v>1.0540019286403086</v>
      </c>
      <c r="J12" s="2314">
        <f>_xlfn.XLOOKUP(Q12,'Sales History'!$C$4:$C$83,'Sales History'!$AW$4:$AW$83,"")</f>
        <v>0.68344774980930589</v>
      </c>
      <c r="K12" s="1942">
        <f>_xlfn.XLOOKUP(Q12,'Sales Rec'!$E$4:$E$91,'Sales Rec'!$CV$4:$CV$91,"")</f>
        <v>4</v>
      </c>
      <c r="L12" s="1575">
        <f>_xlfn.XLOOKUP(Q12,'Cement Ranking'!$F$7:$F$35,'Cement Ranking'!$AQ$7:$AQ$35,"")</f>
        <v>14</v>
      </c>
      <c r="M12" s="1582" t="str">
        <f>_xlfn.XLOOKUP(Q12,'Sales Rec'!$E$4:$E$32,'Sales Rec'!$DS$4:$DS$32,"")</f>
        <v>B</v>
      </c>
      <c r="N12" s="1582" t="str">
        <f>_xlfn.XLOOKUP(Q12,'Sales Rec'!$E$4:$E$32,'Sales Rec'!$DZ$4:$DZ$32,"")</f>
        <v>BB</v>
      </c>
      <c r="O12" s="1937" t="str">
        <f>_xlfn.XLOOKUP($Q12,'History Records'!$B$7:$B$88,'History Records'!$G$7:$G$88,"")</f>
        <v/>
      </c>
      <c r="P12" s="60" t="s">
        <v>38</v>
      </c>
      <c r="Q12" s="124" t="s">
        <v>39</v>
      </c>
      <c r="R12" s="1570">
        <v>12</v>
      </c>
      <c r="S12" s="66">
        <f t="shared" si="5"/>
        <v>15993.698294</v>
      </c>
      <c r="T12" s="2386">
        <f>_xlfn.XLOOKUP($Q12,'Price Record'!$C$6:$C$85,'Price Record'!H$6:H$85,"")</f>
        <v>16660</v>
      </c>
      <c r="U12" s="338">
        <f>_xlfn.XLOOKUP(Q12,'دیده بان بازار'!$A$3:$A$3542,'دیده بان بازار'!$M$3:$M$3542,"")</f>
        <v>2.97</v>
      </c>
      <c r="V12" s="2386">
        <f>_xlfn.XLOOKUP($Q12,'Price Record'!$C$6:$C$85,'Price Record'!G$6:G$85,"")</f>
        <v>16660</v>
      </c>
      <c r="W12" s="337">
        <f>_xlfn.XLOOKUP(Q12,'دیده بان بازار'!$A$3:$A$3542,'دیده بان بازار'!$J$3:$J$3542,"")</f>
        <v>2.97</v>
      </c>
      <c r="X12" s="1641">
        <f t="shared" si="6"/>
        <v>19031.698294000002</v>
      </c>
      <c r="Y12" s="661" t="str">
        <f t="shared" si="7"/>
        <v/>
      </c>
      <c r="Z12" s="1031">
        <f t="shared" si="8"/>
        <v>0.18489393198992443</v>
      </c>
      <c r="AA12" s="511">
        <f t="shared" ca="1" si="9"/>
        <v>3.4520547945205482E-2</v>
      </c>
      <c r="AB12" s="823">
        <f t="shared" ca="1" si="10"/>
        <v>-107.40956003194211</v>
      </c>
      <c r="AC12" s="1150">
        <f t="shared" si="11"/>
        <v>0.18489393198992443</v>
      </c>
      <c r="AD12" s="1150">
        <f t="shared" si="12"/>
        <v>1.5475785750238928</v>
      </c>
      <c r="AE12" s="1150">
        <f t="shared" si="13"/>
        <v>4.1016581480063792</v>
      </c>
      <c r="AF12" s="1150">
        <f t="shared" si="14"/>
        <v>3.8363163876625341</v>
      </c>
      <c r="AG12" s="1150">
        <f t="shared" si="15"/>
        <v>8.4475150889007029</v>
      </c>
      <c r="AH12" s="275">
        <f t="shared" ca="1" si="16"/>
        <v>351</v>
      </c>
      <c r="AI12" s="1121">
        <v>46225</v>
      </c>
      <c r="AJ12" s="1554">
        <v>46346</v>
      </c>
      <c r="AK12" s="27">
        <v>1800000</v>
      </c>
      <c r="AL12" s="23">
        <v>1870000</v>
      </c>
      <c r="AM12" s="29">
        <f t="shared" si="17"/>
        <v>9600059000</v>
      </c>
      <c r="AN12" s="1225">
        <v>0.47749999999999998</v>
      </c>
      <c r="AO12" s="174">
        <f>_xlfn.XLOOKUP(Q12,'Cem Sales'!$K$5:$K$33,'Cem Sales'!$DU$5:$DU$33,"")</f>
        <v>5293</v>
      </c>
      <c r="AP12" s="1925">
        <v>4210</v>
      </c>
      <c r="AQ12" s="1925">
        <v>1933</v>
      </c>
      <c r="AR12" s="766">
        <f>_xlfn.XLOOKUP(Q12,'Sales Rec'!$E$4:$E$86,'Sales Rec'!$X$4:$X$86,"")</f>
        <v>7693.9656652360518</v>
      </c>
      <c r="AS12" s="984">
        <f>_xlfn.XLOOKUP(Q12,'Sales Rec'!$E$4:$E$86,'Sales Rec'!$K$4:$K$86,"")</f>
        <v>4</v>
      </c>
      <c r="AT12" s="6">
        <f t="shared" si="18"/>
        <v>2.239456093734904</v>
      </c>
      <c r="AU12" s="99">
        <f t="shared" si="19"/>
        <v>1.8686657394166506</v>
      </c>
      <c r="AV12" s="16">
        <v>2130</v>
      </c>
      <c r="AW12" s="16">
        <v>1119</v>
      </c>
      <c r="AX12" s="1421">
        <f t="shared" si="20"/>
        <v>0.52500000000000002</v>
      </c>
      <c r="AY12" s="1419">
        <v>0.46700000000000003</v>
      </c>
      <c r="AZ12" s="1689">
        <v>0.45900000000000002</v>
      </c>
      <c r="BA12" s="1690">
        <v>0.35799999999999998</v>
      </c>
      <c r="BB12" s="100">
        <f t="shared" si="21"/>
        <v>6.7</v>
      </c>
      <c r="BC12" s="1420">
        <f t="shared" si="22"/>
        <v>0.38200000000000001</v>
      </c>
      <c r="BD12" s="1419">
        <v>0.315</v>
      </c>
      <c r="BE12" s="1687">
        <v>0.32800000000000001</v>
      </c>
      <c r="BF12" s="1688">
        <v>0.20300000000000001</v>
      </c>
      <c r="BG12" s="306">
        <f t="shared" si="23"/>
        <v>0.14300000000000002</v>
      </c>
      <c r="BH12" s="1861">
        <f t="shared" si="24"/>
        <v>1218.3600000000001</v>
      </c>
      <c r="BI12" s="306">
        <f t="shared" si="25"/>
        <v>0.15200000000000002</v>
      </c>
      <c r="BJ12" s="99">
        <v>0</v>
      </c>
      <c r="BK12" s="306">
        <f>_xlfn.XLOOKUP(Q12,'Sales Rec'!$E$4:$E$91,'Sales Rec'!$Y$4:$Y$91,"")</f>
        <v>0.82754528865464416</v>
      </c>
      <c r="BL12" s="99">
        <f t="shared" si="26"/>
        <v>5</v>
      </c>
      <c r="BM12" s="15"/>
      <c r="BN12" s="1803">
        <v>3</v>
      </c>
      <c r="BO12" s="842">
        <f t="shared" si="27"/>
        <v>1</v>
      </c>
      <c r="BP12" s="16">
        <v>967</v>
      </c>
      <c r="BQ12" s="16"/>
      <c r="BR12" s="16"/>
      <c r="BS12" s="1251">
        <f>(_xlfn.XLOOKUP(Q12,'Sales Rec'!$E$4:$E$32,'Sales Rec'!$X$4:$X$32)*BC12+CL12)*1000/CJ12</f>
        <v>3470.9108393189786</v>
      </c>
      <c r="BT12" s="1246">
        <f t="shared" si="28"/>
        <v>3866.6429029238257</v>
      </c>
      <c r="BU12" s="406"/>
      <c r="BV12" s="407">
        <f t="shared" si="29"/>
        <v>4.5410229581249206</v>
      </c>
      <c r="BW12" s="99">
        <f t="shared" si="30"/>
        <v>2.2948852093753969</v>
      </c>
      <c r="BX12" s="18">
        <f t="shared" si="31"/>
        <v>3522.0474420600854</v>
      </c>
      <c r="BY12" s="18">
        <f t="shared" si="32"/>
        <v>2328.049242212518</v>
      </c>
      <c r="BZ12" s="18">
        <f t="shared" si="33"/>
        <v>4039.3319742489275</v>
      </c>
      <c r="CA12" s="1710">
        <f t="shared" si="34"/>
        <v>4.7115954854239854</v>
      </c>
      <c r="CB12" s="266">
        <f>_xlfn.XLOOKUP($Q12,'Price Record'!$C$6:$C$85,'Price Record'!I$6:I$85,"")</f>
        <v>2424</v>
      </c>
      <c r="CC12" s="267">
        <f>_xlfn.XLOOKUP($Q12,'Price Record'!$C$6:$C$85,'Price Record'!J$6:J$85,"")</f>
        <v>6.87</v>
      </c>
      <c r="CD12" s="99">
        <f t="shared" si="35"/>
        <v>-5.61</v>
      </c>
      <c r="CE12" s="17">
        <f t="shared" si="36"/>
        <v>1.6927653866333949</v>
      </c>
      <c r="CF12" s="99">
        <f t="shared" si="37"/>
        <v>1.2289384534664203</v>
      </c>
      <c r="CG12" s="103">
        <f t="shared" si="38"/>
        <v>0.44969962232636435</v>
      </c>
      <c r="CH12" s="99">
        <f t="shared" si="39"/>
        <v>0.74549433489546479</v>
      </c>
      <c r="CI12" s="19"/>
      <c r="CJ12" s="708">
        <v>960.0059</v>
      </c>
      <c r="CK12" s="419">
        <v>390</v>
      </c>
      <c r="CL12" s="468">
        <v>393</v>
      </c>
      <c r="CM12" s="843">
        <v>115</v>
      </c>
      <c r="CN12" s="21">
        <v>928</v>
      </c>
      <c r="CO12" s="21">
        <v>-180</v>
      </c>
      <c r="CP12" s="469">
        <f t="shared" si="40"/>
        <v>928</v>
      </c>
      <c r="CQ12" s="1239">
        <f>(AR12*BC12)*(_xlfn.XLOOKUP($Q12,'Sales Rec'!$E$4:$E$32,'Sales Rec'!$L$4:$L$32,"")/12)+CO12</f>
        <v>799.6982947067238</v>
      </c>
      <c r="CR12" s="25">
        <v>1318</v>
      </c>
      <c r="CS12" s="57">
        <v>-50</v>
      </c>
      <c r="CT12" s="2240" t="str">
        <f t="shared" si="41"/>
        <v/>
      </c>
      <c r="CU12" s="53">
        <f t="shared" si="42"/>
        <v>2366</v>
      </c>
      <c r="CV12" s="50">
        <v>5826</v>
      </c>
      <c r="CW12" s="25">
        <v>2879</v>
      </c>
      <c r="CX12" s="50">
        <v>136</v>
      </c>
      <c r="CY12" s="53">
        <f t="shared" si="43"/>
        <v>5962</v>
      </c>
      <c r="CZ12" s="6">
        <f t="shared" si="44"/>
        <v>0.93820803295571575</v>
      </c>
      <c r="DA12" s="99">
        <f t="shared" si="45"/>
        <v>-2.0943357363542736</v>
      </c>
      <c r="DB12" s="53">
        <f t="shared" si="46"/>
        <v>8328</v>
      </c>
      <c r="DC12" s="645">
        <f t="shared" si="47"/>
        <v>0.71589817483189244</v>
      </c>
      <c r="DD12" s="13">
        <v>2862</v>
      </c>
      <c r="DE12" s="28">
        <v>2652</v>
      </c>
      <c r="DF12" s="28">
        <v>40</v>
      </c>
      <c r="DG12" s="52">
        <v>5466</v>
      </c>
      <c r="DH12" s="8">
        <f t="shared" si="48"/>
        <v>-360</v>
      </c>
      <c r="DI12" s="644">
        <f t="shared" si="49"/>
        <v>-21.372126847877922</v>
      </c>
      <c r="DJ12" s="26">
        <v>1323</v>
      </c>
      <c r="DK12" s="26">
        <v>274</v>
      </c>
      <c r="DL12" s="26">
        <v>824</v>
      </c>
      <c r="DM12" s="138">
        <f t="shared" si="50"/>
        <v>0.71589817483189244</v>
      </c>
      <c r="DN12" s="99">
        <f t="shared" si="51"/>
        <v>-1.1576836287317194</v>
      </c>
      <c r="DO12" s="138">
        <f t="shared" si="52"/>
        <v>-5.6692542593650079E-2</v>
      </c>
      <c r="DP12" s="99">
        <f t="shared" si="53"/>
        <v>0</v>
      </c>
      <c r="DQ12" s="26">
        <v>2650</v>
      </c>
      <c r="DR12" s="8">
        <f t="shared" si="54"/>
        <v>395</v>
      </c>
      <c r="DS12" s="27" t="s">
        <v>231</v>
      </c>
      <c r="DT12" s="7">
        <f t="shared" si="55"/>
        <v>47.012634609053499</v>
      </c>
      <c r="DU12" s="8">
        <f t="shared" si="56"/>
        <v>16523.325000000001</v>
      </c>
      <c r="DV12" s="32">
        <f t="shared" si="57"/>
        <v>1.0331147115735382</v>
      </c>
      <c r="DW12" s="99">
        <f t="shared" si="58"/>
        <v>0.66229423147076361</v>
      </c>
      <c r="DX12" s="14">
        <f t="shared" si="59"/>
        <v>4274.4253695755842</v>
      </c>
      <c r="DY12" s="99">
        <f t="shared" si="60"/>
        <v>10</v>
      </c>
      <c r="DZ12" s="103">
        <f t="shared" si="61"/>
        <v>0.45776750187148502</v>
      </c>
      <c r="EA12" s="99">
        <f t="shared" si="62"/>
        <v>-0.98410700322666578</v>
      </c>
      <c r="EB12" s="103">
        <f>_xlfn.XLOOKUP(Q12,'Cem Sales'!$K$5:$K$33,'Cem Sales'!$DN$5:$DN$33, 0)</f>
        <v>0.67419354838709677</v>
      </c>
      <c r="EC12" s="99">
        <f t="shared" si="63"/>
        <v>6.741935483870968</v>
      </c>
      <c r="ED12" s="8">
        <f t="shared" si="64"/>
        <v>8823.36</v>
      </c>
      <c r="EE12" s="8">
        <f t="shared" si="65"/>
        <v>13919.914450525772</v>
      </c>
      <c r="EF12" s="235">
        <f t="shared" si="66"/>
        <v>406.24750327055284</v>
      </c>
      <c r="EG12" s="8">
        <f t="shared" si="67"/>
        <v>11574.760976898162</v>
      </c>
      <c r="EH12" s="411">
        <f t="shared" si="68"/>
        <v>121</v>
      </c>
      <c r="EI12" s="1605">
        <v>1600</v>
      </c>
      <c r="EJ12" s="821">
        <f t="shared" si="69"/>
        <v>0.10217113665389528</v>
      </c>
      <c r="EK12" s="502">
        <v>11.85</v>
      </c>
      <c r="EL12" s="502"/>
      <c r="EM12" s="510">
        <v>20900</v>
      </c>
      <c r="EN12" s="435">
        <v>1692.9</v>
      </c>
      <c r="EO12" s="510">
        <v>40830</v>
      </c>
      <c r="EP12" s="435">
        <v>3307</v>
      </c>
      <c r="EQ12" s="510">
        <v>38700</v>
      </c>
      <c r="ER12" s="435">
        <v>3135</v>
      </c>
      <c r="ES12" s="510">
        <v>6540</v>
      </c>
      <c r="ET12" s="435">
        <v>6278</v>
      </c>
      <c r="EU12" s="510">
        <v>14060</v>
      </c>
      <c r="EV12" s="435">
        <v>13498</v>
      </c>
      <c r="EW12" s="1610">
        <v>14060</v>
      </c>
      <c r="EX12" s="834">
        <v>13498</v>
      </c>
      <c r="EY12" s="835">
        <f t="shared" si="70"/>
        <v>6.9733002540020079</v>
      </c>
      <c r="EZ12" s="1648">
        <f t="shared" si="71"/>
        <v>3</v>
      </c>
    </row>
    <row r="13" spans="1:156" ht="35" customHeight="1">
      <c r="A13" s="100">
        <f>_xlfn.XLOOKUP(Q13,'Cement Ranking'!$F$7:$F$35,'Cement Ranking'!$AO$7:$AO$35, "")</f>
        <v>24.771966889234456</v>
      </c>
      <c r="B13" s="100">
        <f>_xlfn.XLOOKUP(Q13,'Cement Ranking'!$F$7:$F$35,'Cement Ranking'!$AN$7:$AN$35, "")</f>
        <v>14.707068609003354</v>
      </c>
      <c r="C13" s="1585">
        <f t="shared" ca="1" si="1"/>
        <v>0.1752689848843185</v>
      </c>
      <c r="D13" s="1650">
        <f t="shared" si="2"/>
        <v>1.0442858719541785</v>
      </c>
      <c r="E13" s="1412">
        <f t="shared" si="3"/>
        <v>11.000000000000004</v>
      </c>
      <c r="F13" s="1413">
        <f t="shared" si="4"/>
        <v>11.299999999999999</v>
      </c>
      <c r="G13" s="2125" cm="1">
        <f t="array" ref="G13">IFERROR(_xlfn.XLOOKUP(Q13,'Sales Rec'!$E$4:$E$32,'Sales Rec'!$CU$4:$CU$32*100,""),"")</f>
        <v>-17.30998497904973</v>
      </c>
      <c r="H13" s="2314">
        <f>_xlfn.XLOOKUP(Q13,'Sales Rec'!$E$4:$E$32,'Sales Rec'!$DQ$4:$DQ$32,"")</f>
        <v>0.36382322713257964</v>
      </c>
      <c r="I13" s="2311">
        <f>_xlfn.XLOOKUP(Q13,'Sales History'!$C$4:$C$83,'Sales History'!$AS$4:$AS$83,"")</f>
        <v>0.19354838709677419</v>
      </c>
      <c r="J13" s="2314">
        <f>_xlfn.XLOOKUP(Q13,'Sales History'!$C$4:$C$83,'Sales History'!$AW$4:$AW$83,"")</f>
        <v>0.26627906976744187</v>
      </c>
      <c r="K13" s="1942">
        <f>_xlfn.XLOOKUP(Q13,'Sales Rec'!$E$4:$E$91,'Sales Rec'!$CV$4:$CV$91,"")</f>
        <v>24</v>
      </c>
      <c r="L13" s="1575">
        <f>_xlfn.XLOOKUP(Q13,'Cement Ranking'!$F$7:$F$35,'Cement Ranking'!$AQ$7:$AQ$35,"")</f>
        <v>11</v>
      </c>
      <c r="M13" s="1582" t="str">
        <f>_xlfn.XLOOKUP(Q13,'Sales Rec'!$E$4:$E$32,'Sales Rec'!$DS$4:$DS$32,"")</f>
        <v>N</v>
      </c>
      <c r="N13" s="1582" t="str">
        <f>_xlfn.XLOOKUP(Q13,'Sales Rec'!$E$4:$E$32,'Sales Rec'!$DZ$4:$DZ$32,"")</f>
        <v>B</v>
      </c>
      <c r="O13" s="1937" t="str">
        <f>_xlfn.XLOOKUP($Q13,'History Records'!$B$7:$B$88,'History Records'!$G$7:$G$88,"")</f>
        <v/>
      </c>
      <c r="P13" s="60" t="s">
        <v>80</v>
      </c>
      <c r="Q13" s="124" t="s">
        <v>81</v>
      </c>
      <c r="R13" s="1570">
        <v>12</v>
      </c>
      <c r="S13" s="66">
        <f t="shared" si="5"/>
        <v>9838</v>
      </c>
      <c r="T13" s="2386">
        <f>_xlfn.XLOOKUP($Q13,'Price Record'!$C$6:$C$85,'Price Record'!H$6:H$85,"")</f>
        <v>49180</v>
      </c>
      <c r="U13" s="338">
        <f>_xlfn.XLOOKUP(Q13,'دیده بان بازار'!$A$3:$A$3542,'دیده بان بازار'!$M$3:$M$3542,"")</f>
        <v>2.97</v>
      </c>
      <c r="V13" s="2386">
        <f>_xlfn.XLOOKUP($Q13,'Price Record'!$C$6:$C$85,'Price Record'!G$6:G$85,"")</f>
        <v>49190</v>
      </c>
      <c r="W13" s="337">
        <f>_xlfn.XLOOKUP(Q13,'دیده بان بازار'!$A$3:$A$3542,'دیده بان بازار'!$J$3:$J$3542,"")</f>
        <v>2.99</v>
      </c>
      <c r="X13" s="1641">
        <f t="shared" si="6"/>
        <v>11153</v>
      </c>
      <c r="Y13" s="661" t="str">
        <f t="shared" si="7"/>
        <v/>
      </c>
      <c r="Z13" s="1031">
        <f t="shared" si="8"/>
        <v>0.31594435527019799</v>
      </c>
      <c r="AA13" s="511">
        <f t="shared" ca="1" si="9"/>
        <v>0.13808219178082193</v>
      </c>
      <c r="AB13" s="823">
        <f t="shared" ca="1" si="10"/>
        <v>-31.761100623102866</v>
      </c>
      <c r="AC13" s="1150">
        <f t="shared" si="11"/>
        <v>0.31594435527019799</v>
      </c>
      <c r="AD13" s="1150">
        <f t="shared" si="12"/>
        <v>0.87390476190476185</v>
      </c>
      <c r="AE13" s="1150">
        <f t="shared" si="13"/>
        <v>3.20786997433704</v>
      </c>
      <c r="AF13" s="1150">
        <f t="shared" si="14"/>
        <v>4.1212909942738154</v>
      </c>
      <c r="AG13" s="1150">
        <f t="shared" si="15"/>
        <v>5.1487499999999997</v>
      </c>
      <c r="AH13" s="275">
        <f t="shared" ca="1" si="16"/>
        <v>309</v>
      </c>
      <c r="AI13" s="1121">
        <v>46183</v>
      </c>
      <c r="AJ13" s="1856">
        <v>46196</v>
      </c>
      <c r="AK13" s="27">
        <v>1600000</v>
      </c>
      <c r="AL13" s="23">
        <v>1800000</v>
      </c>
      <c r="AM13" s="29">
        <f t="shared" si="17"/>
        <v>2000000000</v>
      </c>
      <c r="AN13" s="1225">
        <v>0.15989999999999999</v>
      </c>
      <c r="AO13" s="174">
        <f>_xlfn.XLOOKUP(Q13,'Cem Sales'!$K$5:$K$33,'Cem Sales'!$DU$5:$DU$33,"")</f>
        <v>3161</v>
      </c>
      <c r="AP13" s="1925">
        <v>3291</v>
      </c>
      <c r="AQ13" s="1925">
        <v>1560</v>
      </c>
      <c r="AR13" s="766">
        <f>_xlfn.XLOOKUP(Q13,'Sales Rec'!$E$4:$E$86,'Sales Rec'!$X$4:$X$86,"")</f>
        <v>4150.6711202466595</v>
      </c>
      <c r="AS13" s="984">
        <f>_xlfn.XLOOKUP(Q13,'Sales Rec'!$E$4:$E$86,'Sales Rec'!$K$4:$K$86,"")</f>
        <v>4</v>
      </c>
      <c r="AT13" s="6">
        <f t="shared" si="18"/>
        <v>2.3702191079440094</v>
      </c>
      <c r="AU13" s="99">
        <f t="shared" si="19"/>
        <v>0.56103559732559649</v>
      </c>
      <c r="AV13" s="16">
        <v>999</v>
      </c>
      <c r="AW13" s="16">
        <v>560</v>
      </c>
      <c r="AX13" s="1421">
        <f t="shared" si="20"/>
        <v>0.56100000000000005</v>
      </c>
      <c r="AY13" s="1419">
        <v>0.45100000000000001</v>
      </c>
      <c r="AZ13" s="1689">
        <v>0.35899999999999999</v>
      </c>
      <c r="BA13" s="1690">
        <v>0.217</v>
      </c>
      <c r="BB13" s="100">
        <f t="shared" si="21"/>
        <v>10</v>
      </c>
      <c r="BC13" s="1420">
        <f t="shared" si="22"/>
        <v>0.48099999999999998</v>
      </c>
      <c r="BD13" s="1419">
        <v>0.36799999999999999</v>
      </c>
      <c r="BE13" s="1687">
        <v>0.39600000000000002</v>
      </c>
      <c r="BF13" s="1688">
        <v>0.20799999999999999</v>
      </c>
      <c r="BG13" s="306">
        <f t="shared" si="23"/>
        <v>8.0000000000000071E-2</v>
      </c>
      <c r="BH13" s="1861">
        <f t="shared" si="24"/>
        <v>319.68000000000029</v>
      </c>
      <c r="BI13" s="306">
        <f t="shared" si="25"/>
        <v>8.3000000000000018E-2</v>
      </c>
      <c r="BJ13" s="99">
        <v>0</v>
      </c>
      <c r="BK13" s="306">
        <f>_xlfn.XLOOKUP(Q13,'Sales Rec'!$E$4:$E$91,'Sales Rec'!$Y$4:$Y$91,"")</f>
        <v>0.26121881502481298</v>
      </c>
      <c r="BL13" s="99">
        <f t="shared" si="26"/>
        <v>-1.6417662073615502</v>
      </c>
      <c r="BM13" s="15"/>
      <c r="BN13" s="1803">
        <v>3</v>
      </c>
      <c r="BO13" s="842">
        <f t="shared" si="27"/>
        <v>1</v>
      </c>
      <c r="BP13" s="16">
        <v>2512</v>
      </c>
      <c r="BQ13" s="16"/>
      <c r="BR13" s="16"/>
      <c r="BS13" s="1251">
        <f>(_xlfn.XLOOKUP(Q13,'Sales Rec'!$E$4:$E$32,'Sales Rec'!$X$4:$X$32)*BC13+CL13)*1000/CJ13</f>
        <v>11002.364044193215</v>
      </c>
      <c r="BT13" s="1246">
        <f t="shared" si="28"/>
        <v>10640</v>
      </c>
      <c r="BU13" s="406"/>
      <c r="BV13" s="407">
        <f t="shared" si="29"/>
        <v>4.5457141280458213</v>
      </c>
      <c r="BW13" s="99">
        <f t="shared" si="30"/>
        <v>2.2714293597708934</v>
      </c>
      <c r="BX13" s="18">
        <f t="shared" si="31"/>
        <v>2164.2364044193214</v>
      </c>
      <c r="BY13" s="18">
        <f t="shared" si="32"/>
        <v>1759.928443649374</v>
      </c>
      <c r="BZ13" s="18">
        <f t="shared" si="33"/>
        <v>2328.5264984583764</v>
      </c>
      <c r="CA13" s="1710">
        <f t="shared" si="34"/>
        <v>4.789724320244563</v>
      </c>
      <c r="CB13" s="266">
        <f>_xlfn.XLOOKUP($Q13,'Price Record'!$C$6:$C$85,'Price Record'!I$6:I$85,"")</f>
        <v>8801</v>
      </c>
      <c r="CC13" s="267">
        <f>_xlfn.XLOOKUP($Q13,'Price Record'!$C$6:$C$85,'Price Record'!J$6:J$85,"")</f>
        <v>5.59</v>
      </c>
      <c r="CD13" s="99">
        <f t="shared" si="35"/>
        <v>-1.7699999999999996</v>
      </c>
      <c r="CE13" s="17">
        <f t="shared" si="36"/>
        <v>1.288214168427704</v>
      </c>
      <c r="CF13" s="99">
        <f t="shared" si="37"/>
        <v>2.8471433262891841</v>
      </c>
      <c r="CG13" s="103">
        <f t="shared" si="38"/>
        <v>0.57820903137037705</v>
      </c>
      <c r="CH13" s="99">
        <f t="shared" si="39"/>
        <v>2.6731354705556551</v>
      </c>
      <c r="CI13" s="19"/>
      <c r="CJ13" s="708">
        <v>200</v>
      </c>
      <c r="CK13" s="419">
        <v>113</v>
      </c>
      <c r="CL13" s="468">
        <v>204</v>
      </c>
      <c r="CM13" s="843">
        <v>21</v>
      </c>
      <c r="CN13" s="21">
        <v>502</v>
      </c>
      <c r="CO13" s="21"/>
      <c r="CP13" s="469">
        <f t="shared" si="40"/>
        <v>532</v>
      </c>
      <c r="CQ13" s="1239">
        <f>(AR13*BC13)*(_xlfn.XLOOKUP($Q13,'Sales Rec'!$E$4:$E$32,'Sales Rec'!$L$4:$L$32,"")/12)+CO13</f>
        <v>665.49093627954767</v>
      </c>
      <c r="CR13" s="25">
        <v>615</v>
      </c>
      <c r="CS13" s="57">
        <v>-24</v>
      </c>
      <c r="CT13" s="2240" t="str">
        <f t="shared" si="41"/>
        <v/>
      </c>
      <c r="CU13" s="693">
        <f t="shared" si="42"/>
        <v>828</v>
      </c>
      <c r="CV13" s="50">
        <v>2603</v>
      </c>
      <c r="CW13" s="25">
        <v>331</v>
      </c>
      <c r="CX13" s="50">
        <v>185</v>
      </c>
      <c r="CY13" s="53">
        <f t="shared" si="43"/>
        <v>2788</v>
      </c>
      <c r="CZ13" s="6">
        <f t="shared" si="44"/>
        <v>1.1198616980407223</v>
      </c>
      <c r="DA13" s="99">
        <f t="shared" si="45"/>
        <v>-0.641106415674221</v>
      </c>
      <c r="DB13" s="53">
        <f t="shared" si="46"/>
        <v>3616</v>
      </c>
      <c r="DC13" s="645">
        <f t="shared" si="47"/>
        <v>0.77101769911504425</v>
      </c>
      <c r="DD13" s="13">
        <v>701</v>
      </c>
      <c r="DE13" s="28">
        <v>689</v>
      </c>
      <c r="DF13" s="28">
        <v>0</v>
      </c>
      <c r="DG13" s="52">
        <v>2915</v>
      </c>
      <c r="DH13" s="8">
        <f t="shared" si="48"/>
        <v>312</v>
      </c>
      <c r="DI13" s="644">
        <f t="shared" si="49"/>
        <v>13.303433077713652</v>
      </c>
      <c r="DJ13" s="26">
        <v>1134</v>
      </c>
      <c r="DK13" s="26">
        <v>1122</v>
      </c>
      <c r="DL13" s="26">
        <v>18</v>
      </c>
      <c r="DM13" s="138">
        <f t="shared" si="50"/>
        <v>0.77101769911504425</v>
      </c>
      <c r="DN13" s="99">
        <f t="shared" si="51"/>
        <v>-1.7088788715632375</v>
      </c>
      <c r="DO13" s="138">
        <f t="shared" si="52"/>
        <v>8.5891227835462446E-3</v>
      </c>
      <c r="DP13" s="99">
        <f t="shared" si="53"/>
        <v>0</v>
      </c>
      <c r="DQ13" s="26">
        <v>351</v>
      </c>
      <c r="DR13" s="8">
        <f t="shared" si="54"/>
        <v>290</v>
      </c>
      <c r="DS13" s="27" t="s">
        <v>231</v>
      </c>
      <c r="DT13" s="7">
        <f t="shared" si="55"/>
        <v>32.533068783068785</v>
      </c>
      <c r="DU13" s="8">
        <f t="shared" si="56"/>
        <v>14926.275</v>
      </c>
      <c r="DV13" s="32">
        <f t="shared" si="57"/>
        <v>1.5172062411059157</v>
      </c>
      <c r="DW13" s="99">
        <f t="shared" si="58"/>
        <v>10</v>
      </c>
      <c r="DX13" s="14">
        <f t="shared" si="59"/>
        <v>2594.169450154162</v>
      </c>
      <c r="DY13" s="99">
        <f t="shared" si="60"/>
        <v>6.4898280231102196E-2</v>
      </c>
      <c r="DZ13" s="103">
        <f t="shared" si="61"/>
        <v>0.52141842649549852</v>
      </c>
      <c r="EA13" s="99">
        <f t="shared" si="62"/>
        <v>0.92542073549373938</v>
      </c>
      <c r="EB13" s="103">
        <f>_xlfn.XLOOKUP(Q13,'Cem Sales'!$K$5:$K$33,'Cem Sales'!$DN$5:$DN$33, 0)</f>
        <v>0.11906556141672947</v>
      </c>
      <c r="EC13" s="99">
        <f t="shared" si="63"/>
        <v>1.1906556141672948</v>
      </c>
      <c r="ED13" s="8">
        <f t="shared" si="64"/>
        <v>32035.64</v>
      </c>
      <c r="EE13" s="8">
        <f t="shared" si="65"/>
        <v>38304</v>
      </c>
      <c r="EF13" s="235">
        <f t="shared" si="66"/>
        <v>565</v>
      </c>
      <c r="EG13" s="8">
        <f t="shared" si="67"/>
        <v>35452.32</v>
      </c>
      <c r="EH13" s="411">
        <f t="shared" si="68"/>
        <v>13</v>
      </c>
      <c r="EI13" s="1605">
        <v>7200</v>
      </c>
      <c r="EJ13" s="821">
        <f t="shared" si="69"/>
        <v>0.16150740242261102</v>
      </c>
      <c r="EK13" s="502"/>
      <c r="EL13" s="502"/>
      <c r="EM13" s="510">
        <v>40815</v>
      </c>
      <c r="EN13" s="435">
        <v>1600</v>
      </c>
      <c r="EO13" s="510">
        <v>48995</v>
      </c>
      <c r="EP13" s="435">
        <v>1921</v>
      </c>
      <c r="EQ13" s="510">
        <v>11690</v>
      </c>
      <c r="ER13" s="435">
        <v>2338</v>
      </c>
      <c r="ES13" s="510">
        <v>26250</v>
      </c>
      <c r="ET13" s="435">
        <v>5250</v>
      </c>
      <c r="EU13" s="510">
        <v>37380</v>
      </c>
      <c r="EV13" s="435">
        <v>7476</v>
      </c>
      <c r="EW13" s="1610">
        <v>37380</v>
      </c>
      <c r="EX13" s="834">
        <v>7476</v>
      </c>
      <c r="EY13" s="835">
        <f t="shared" si="70"/>
        <v>3.6724999999999999</v>
      </c>
      <c r="EZ13" s="1648">
        <f t="shared" si="71"/>
        <v>13</v>
      </c>
    </row>
    <row r="14" spans="1:156" ht="35" customHeight="1">
      <c r="A14" s="100">
        <f>_xlfn.XLOOKUP(Q14,'Cement Ranking'!$F$7:$F$35,'Cement Ranking'!$AO$7:$AO$35, "")</f>
        <v>23.654691596536299</v>
      </c>
      <c r="B14" s="100">
        <f>_xlfn.XLOOKUP(Q14,'Cement Ranking'!$F$7:$F$35,'Cement Ranking'!$AN$7:$AN$35, "")</f>
        <v>6.3047862625936189</v>
      </c>
      <c r="C14" s="1585">
        <f t="shared" ca="1" si="1"/>
        <v>0.20131479519153345</v>
      </c>
      <c r="D14" s="1650">
        <f t="shared" si="2"/>
        <v>1.048300759421319</v>
      </c>
      <c r="E14" s="1412">
        <f t="shared" si="3"/>
        <v>-1.8000000000000016</v>
      </c>
      <c r="F14" s="1413">
        <f t="shared" si="4"/>
        <v>-0.80000000000000071</v>
      </c>
      <c r="G14" s="2125" cm="1">
        <f t="array" ref="G14">IFERROR(_xlfn.XLOOKUP(Q14,'Sales Rec'!$E$4:$E$32,'Sales Rec'!$CU$4:$CU$32*100,""),"")</f>
        <v>-23.751345719743021</v>
      </c>
      <c r="H14" s="2314">
        <f>_xlfn.XLOOKUP(Q14,'Sales Rec'!$E$4:$E$32,'Sales Rec'!$DQ$4:$DQ$32,"")</f>
        <v>1.0609480812641083</v>
      </c>
      <c r="I14" s="2311">
        <f>_xlfn.XLOOKUP(Q14,'Sales History'!$C$4:$C$83,'Sales History'!$AS$4:$AS$83,"")</f>
        <v>0.103397341211226</v>
      </c>
      <c r="J14" s="2314">
        <f>_xlfn.XLOOKUP(Q14,'Sales History'!$C$4:$C$83,'Sales History'!$AW$4:$AW$83,"")</f>
        <v>0.14104595879556259</v>
      </c>
      <c r="K14" s="1942">
        <f>_xlfn.XLOOKUP(Q14,'Sales Rec'!$E$4:$E$91,'Sales Rec'!$CV$4:$CV$91,"")</f>
        <v>2</v>
      </c>
      <c r="L14" s="1575">
        <f>_xlfn.XLOOKUP(Q14,'Cement Ranking'!$F$7:$F$35,'Cement Ranking'!$AQ$7:$AQ$35,"")</f>
        <v>16</v>
      </c>
      <c r="M14" s="1588" t="str">
        <f>_xlfn.XLOOKUP(Q14,'Sales Rec'!$E$4:$E$32,'Sales Rec'!$DS$4:$DS$32,"")</f>
        <v>B</v>
      </c>
      <c r="N14" s="1588" t="str">
        <f>_xlfn.XLOOKUP(Q14,'Sales Rec'!$E$4:$E$32,'Sales Rec'!$DZ$4:$DZ$32,"")</f>
        <v>B</v>
      </c>
      <c r="O14" s="1937" t="str">
        <f>_xlfn.XLOOKUP($Q14,'History Records'!$B$7:$B$88,'History Records'!$G$7:$G$88,"")</f>
        <v/>
      </c>
      <c r="P14" s="60" t="s">
        <v>32</v>
      </c>
      <c r="Q14" s="124" t="s">
        <v>33</v>
      </c>
      <c r="R14" s="1570">
        <v>12</v>
      </c>
      <c r="S14" s="66">
        <f t="shared" si="5"/>
        <v>6126.8</v>
      </c>
      <c r="T14" s="2386">
        <f>_xlfn.XLOOKUP($Q14,'Price Record'!$C$6:$C$85,'Price Record'!H$6:H$85,"")</f>
        <v>11520</v>
      </c>
      <c r="U14" s="338">
        <f>_xlfn.XLOOKUP(Q14,'دیده بان بازار'!$A$3:$A$3542,'دیده بان بازار'!$M$3:$M$3542,"")</f>
        <v>2.58</v>
      </c>
      <c r="V14" s="2386">
        <f>_xlfn.XLOOKUP($Q14,'Price Record'!$C$6:$C$85,'Price Record'!G$6:G$85,"")</f>
        <v>11560</v>
      </c>
      <c r="W14" s="337">
        <f>_xlfn.XLOOKUP(Q14,'دیده بان بازار'!$A$3:$A$3542,'دیده بان بازار'!$J$3:$J$3542,"")</f>
        <v>2.94</v>
      </c>
      <c r="X14" s="1641">
        <f t="shared" si="6"/>
        <v>7103.8</v>
      </c>
      <c r="Y14" s="661" t="str">
        <f t="shared" si="7"/>
        <v/>
      </c>
      <c r="Z14" s="1031">
        <f t="shared" si="8"/>
        <v>0.59427530575071563</v>
      </c>
      <c r="AA14" s="511">
        <f t="shared" ca="1" si="9"/>
        <v>0.1923287671232877</v>
      </c>
      <c r="AB14" s="823">
        <f t="shared" ca="1" si="10"/>
        <v>-51.531607516336912</v>
      </c>
      <c r="AC14" s="1150">
        <f t="shared" si="11"/>
        <v>0.59427530575071563</v>
      </c>
      <c r="AD14" s="1150">
        <f t="shared" si="12"/>
        <v>0.77588405797101456</v>
      </c>
      <c r="AE14" s="1150">
        <f t="shared" si="13"/>
        <v>3.4204906204906207</v>
      </c>
      <c r="AF14" s="1150">
        <f t="shared" si="14"/>
        <v>2.2833869239013933</v>
      </c>
      <c r="AG14" s="1150">
        <f t="shared" si="15"/>
        <v>6.8448143405889885</v>
      </c>
      <c r="AH14" s="275">
        <f t="shared" ca="1" si="16"/>
        <v>287</v>
      </c>
      <c r="AI14" s="1121">
        <v>46161</v>
      </c>
      <c r="AJ14" s="1554">
        <v>46264</v>
      </c>
      <c r="AK14" s="27">
        <v>780000</v>
      </c>
      <c r="AL14" s="23">
        <v>810000</v>
      </c>
      <c r="AM14" s="29">
        <f t="shared" si="17"/>
        <v>5300000000</v>
      </c>
      <c r="AN14" s="1225">
        <v>0.24199999999999999</v>
      </c>
      <c r="AO14" s="174">
        <f>_xlfn.XLOOKUP(Q14,'Cem Sales'!$K$5:$K$33,'Cem Sales'!$DU$5:$DU$33,"")</f>
        <v>2304</v>
      </c>
      <c r="AP14" s="1925">
        <v>1971</v>
      </c>
      <c r="AQ14" s="1925">
        <v>935</v>
      </c>
      <c r="AR14" s="766">
        <f>_xlfn.XLOOKUP(Q14,'Sales Rec'!$E$4:$E$86,'Sales Rec'!$X$4:$X$86,"")</f>
        <v>3326.0643340857787</v>
      </c>
      <c r="AS14" s="984">
        <f>_xlfn.XLOOKUP(Q14,'Sales Rec'!$E$4:$E$86,'Sales Rec'!$K$4:$K$86,"")</f>
        <v>4</v>
      </c>
      <c r="AT14" s="6">
        <f t="shared" si="18"/>
        <v>1.8420569732256993</v>
      </c>
      <c r="AU14" s="99">
        <f t="shared" si="19"/>
        <v>5.8426569445086969</v>
      </c>
      <c r="AV14" s="16">
        <v>747</v>
      </c>
      <c r="AW14" s="16">
        <v>329</v>
      </c>
      <c r="AX14" s="1421">
        <f t="shared" si="20"/>
        <v>0.44</v>
      </c>
      <c r="AY14" s="1419">
        <v>0.45800000000000002</v>
      </c>
      <c r="AZ14" s="1689">
        <v>0.47399999999999998</v>
      </c>
      <c r="BA14" s="1690">
        <v>0.36399999999999999</v>
      </c>
      <c r="BB14" s="100">
        <f t="shared" si="21"/>
        <v>-0.80000000000000071</v>
      </c>
      <c r="BC14" s="1420">
        <f t="shared" si="22"/>
        <v>0.36099999999999999</v>
      </c>
      <c r="BD14" s="1419">
        <v>0.36899999999999999</v>
      </c>
      <c r="BE14" s="1687">
        <v>0.38700000000000001</v>
      </c>
      <c r="BF14" s="1688">
        <v>0.29399999999999998</v>
      </c>
      <c r="BG14" s="306">
        <f t="shared" si="23"/>
        <v>7.9000000000000015E-2</v>
      </c>
      <c r="BH14" s="1861">
        <f t="shared" si="24"/>
        <v>236.05200000000005</v>
      </c>
      <c r="BI14" s="306">
        <f t="shared" si="25"/>
        <v>8.9000000000000024E-2</v>
      </c>
      <c r="BJ14" s="99">
        <v>0</v>
      </c>
      <c r="BK14" s="306">
        <f>_xlfn.XLOOKUP(Q14,'Sales Rec'!$E$4:$E$91,'Sales Rec'!$Y$4:$Y$91,"")</f>
        <v>0.68750093053565631</v>
      </c>
      <c r="BL14" s="99">
        <f t="shared" si="26"/>
        <v>2.7967687435482205</v>
      </c>
      <c r="BM14" s="15"/>
      <c r="BN14" s="1803">
        <v>3</v>
      </c>
      <c r="BO14" s="842">
        <f t="shared" si="27"/>
        <v>1</v>
      </c>
      <c r="BP14" s="16">
        <v>560</v>
      </c>
      <c r="BQ14" s="16"/>
      <c r="BR14" s="16"/>
      <c r="BS14" s="1251">
        <f>(_xlfn.XLOOKUP(Q14,'Sales Rec'!$E$4:$E$32,'Sales Rec'!$X$4:$X$32)*BC14+CL14)*1000/CJ14</f>
        <v>2456.0551407640869</v>
      </c>
      <c r="BT14" s="1246">
        <f t="shared" si="28"/>
        <v>2241.5094339622642</v>
      </c>
      <c r="BU14" s="406"/>
      <c r="BV14" s="407">
        <f t="shared" si="29"/>
        <v>4.9216992405786808</v>
      </c>
      <c r="BW14" s="99">
        <f t="shared" si="30"/>
        <v>0.391503797106596</v>
      </c>
      <c r="BX14" s="18">
        <f t="shared" si="31"/>
        <v>1244.8546123024832</v>
      </c>
      <c r="BY14" s="18">
        <f t="shared" si="32"/>
        <v>1026.2646566164156</v>
      </c>
      <c r="BZ14" s="18">
        <f t="shared" si="33"/>
        <v>1463.4683069977427</v>
      </c>
      <c r="CA14" s="1710">
        <f t="shared" si="34"/>
        <v>4.8540853027239192</v>
      </c>
      <c r="CB14" s="266">
        <f>_xlfn.XLOOKUP($Q14,'Price Record'!$C$6:$C$85,'Price Record'!I$6:I$85,"")</f>
        <v>1929</v>
      </c>
      <c r="CC14" s="267">
        <f>_xlfn.XLOOKUP($Q14,'Price Record'!$C$6:$C$85,'Price Record'!J$6:J$85,"")</f>
        <v>5.97</v>
      </c>
      <c r="CD14" s="99">
        <f t="shared" si="35"/>
        <v>-2.9099999999999993</v>
      </c>
      <c r="CE14" s="17">
        <f t="shared" si="36"/>
        <v>1.3535717210248543</v>
      </c>
      <c r="CF14" s="99">
        <f t="shared" si="37"/>
        <v>2.5857131159005826</v>
      </c>
      <c r="CG14" s="103">
        <f t="shared" si="38"/>
        <v>0.45632500450970792</v>
      </c>
      <c r="CH14" s="99">
        <f t="shared" si="39"/>
        <v>0.84487506764561848</v>
      </c>
      <c r="CI14" s="19"/>
      <c r="CJ14" s="708">
        <v>530</v>
      </c>
      <c r="CK14" s="419">
        <v>500</v>
      </c>
      <c r="CL14" s="468">
        <v>101</v>
      </c>
      <c r="CM14" s="843">
        <v>27</v>
      </c>
      <c r="CN14" s="21">
        <v>297</v>
      </c>
      <c r="CO14" s="21"/>
      <c r="CP14" s="469">
        <f t="shared" si="40"/>
        <v>297</v>
      </c>
      <c r="CQ14" s="1239">
        <f>(AR14*BC14)*(_xlfn.XLOOKUP($Q14,'Sales Rec'!$E$4:$E$32,'Sales Rec'!$L$4:$L$32,"")/12)+CO14</f>
        <v>400.23640820165531</v>
      </c>
      <c r="CR14" s="25">
        <v>381</v>
      </c>
      <c r="CS14" s="57">
        <v>-420</v>
      </c>
      <c r="CT14" s="2240" t="str">
        <f t="shared" si="41"/>
        <v>Check RE</v>
      </c>
      <c r="CU14" s="693">
        <f t="shared" si="42"/>
        <v>957</v>
      </c>
      <c r="CV14" s="50">
        <v>1623</v>
      </c>
      <c r="CW14" s="25">
        <v>95</v>
      </c>
      <c r="CX14" s="50">
        <v>62</v>
      </c>
      <c r="CY14" s="53">
        <f t="shared" si="43"/>
        <v>1685</v>
      </c>
      <c r="CZ14" s="6">
        <f t="shared" si="44"/>
        <v>1.0911891558841651</v>
      </c>
      <c r="DA14" s="99">
        <f t="shared" si="45"/>
        <v>-0.87048675292667888</v>
      </c>
      <c r="DB14" s="53">
        <f t="shared" si="46"/>
        <v>2642</v>
      </c>
      <c r="DC14" s="645">
        <f t="shared" si="47"/>
        <v>0.63777441332323992</v>
      </c>
      <c r="DD14" s="13">
        <v>871</v>
      </c>
      <c r="DE14" s="28">
        <v>860</v>
      </c>
      <c r="DF14" s="28">
        <v>1</v>
      </c>
      <c r="DG14" s="52">
        <v>1771</v>
      </c>
      <c r="DH14" s="8">
        <f t="shared" si="48"/>
        <v>148</v>
      </c>
      <c r="DI14" s="644">
        <f t="shared" si="49"/>
        <v>22.473407662741749</v>
      </c>
      <c r="DJ14" s="26">
        <v>771</v>
      </c>
      <c r="DK14" s="26">
        <v>388</v>
      </c>
      <c r="DL14" s="26">
        <v>27</v>
      </c>
      <c r="DM14" s="138">
        <f t="shared" si="50"/>
        <v>0.63777441332323992</v>
      </c>
      <c r="DN14" s="99">
        <f t="shared" si="51"/>
        <v>-0.37644601364519414</v>
      </c>
      <c r="DO14" s="138">
        <f t="shared" si="52"/>
        <v>0.1537443612028607</v>
      </c>
      <c r="DP14" s="99">
        <f t="shared" si="53"/>
        <v>0</v>
      </c>
      <c r="DQ14" s="26">
        <v>320</v>
      </c>
      <c r="DR14" s="8">
        <f t="shared" si="54"/>
        <v>265</v>
      </c>
      <c r="DS14" s="27" t="s">
        <v>231</v>
      </c>
      <c r="DT14" s="7">
        <f t="shared" si="55"/>
        <v>41.56016822683489</v>
      </c>
      <c r="DU14" s="8">
        <f t="shared" si="56"/>
        <v>8378.3700000000008</v>
      </c>
      <c r="DV14" s="32">
        <f t="shared" si="57"/>
        <v>1.3674952666971341</v>
      </c>
      <c r="DW14" s="99">
        <f t="shared" si="58"/>
        <v>7.3499053339426812</v>
      </c>
      <c r="DX14" s="14">
        <f t="shared" si="59"/>
        <v>4264.1850436997156</v>
      </c>
      <c r="DY14" s="99">
        <f t="shared" si="60"/>
        <v>10</v>
      </c>
      <c r="DZ14" s="103">
        <f t="shared" si="61"/>
        <v>0.37427255977736562</v>
      </c>
      <c r="EA14" s="99">
        <f t="shared" si="62"/>
        <v>-3.4889552660502474</v>
      </c>
      <c r="EB14" s="103">
        <f>_xlfn.XLOOKUP(Q14,'Cem Sales'!$K$5:$K$33,'Cem Sales'!$DN$5:$DN$33, 0)</f>
        <v>0.2289156626506024</v>
      </c>
      <c r="EC14" s="99">
        <f t="shared" si="63"/>
        <v>2.2891566265060241</v>
      </c>
      <c r="ED14" s="8">
        <f t="shared" si="64"/>
        <v>7021.56</v>
      </c>
      <c r="EE14" s="8">
        <f t="shared" si="65"/>
        <v>8069.433962264151</v>
      </c>
      <c r="EF14" s="235">
        <f t="shared" si="66"/>
        <v>158.49056603773585</v>
      </c>
      <c r="EG14" s="8">
        <f t="shared" si="67"/>
        <v>7624.7422641509429</v>
      </c>
      <c r="EH14" s="411">
        <f t="shared" si="68"/>
        <v>103</v>
      </c>
      <c r="EI14" s="1605">
        <v>1520</v>
      </c>
      <c r="EJ14" s="821">
        <f t="shared" si="69"/>
        <v>0.1733181299885975</v>
      </c>
      <c r="EK14" s="502">
        <v>25.5</v>
      </c>
      <c r="EL14" s="502"/>
      <c r="EM14" s="510">
        <v>62500</v>
      </c>
      <c r="EN14" s="435">
        <v>781</v>
      </c>
      <c r="EO14" s="510">
        <v>93310</v>
      </c>
      <c r="EP14" s="435">
        <v>1866</v>
      </c>
      <c r="EQ14" s="510">
        <v>2615</v>
      </c>
      <c r="ER14" s="435">
        <v>1386</v>
      </c>
      <c r="ES14" s="510">
        <v>6510</v>
      </c>
      <c r="ET14" s="435">
        <v>3450</v>
      </c>
      <c r="EU14" s="510">
        <v>7250</v>
      </c>
      <c r="EV14" s="435">
        <v>3843</v>
      </c>
      <c r="EW14" s="1610">
        <v>7250</v>
      </c>
      <c r="EX14" s="834">
        <v>3843</v>
      </c>
      <c r="EY14" s="835">
        <f t="shared" si="70"/>
        <v>3.9206145966709345</v>
      </c>
      <c r="EZ14" s="1648">
        <f t="shared" si="71"/>
        <v>11</v>
      </c>
    </row>
    <row r="15" spans="1:156" ht="35" customHeight="1">
      <c r="A15" s="100">
        <f>_xlfn.XLOOKUP(Q15,'Cement Ranking'!$F$7:$F$35,'Cement Ranking'!$AO$7:$AO$35, "")</f>
        <v>21.208110025072855</v>
      </c>
      <c r="B15" s="100">
        <f>_xlfn.XLOOKUP(Q15,'Cement Ranking'!$F$7:$F$35,'Cement Ranking'!$AN$7:$AN$35, "")</f>
        <v>15.86258882337177</v>
      </c>
      <c r="C15" s="1585">
        <f t="shared" ca="1" si="1"/>
        <v>0.15496096142287855</v>
      </c>
      <c r="D15" s="1650">
        <f t="shared" si="2"/>
        <v>1.2220808717509213</v>
      </c>
      <c r="E15" s="1412">
        <f t="shared" si="3"/>
        <v>6.399999999999995</v>
      </c>
      <c r="F15" s="1413">
        <f t="shared" si="4"/>
        <v>6.5999999999999943</v>
      </c>
      <c r="G15" s="2125" cm="1">
        <f t="array" ref="G15">IFERROR(_xlfn.XLOOKUP(Q15,'Sales Rec'!$E$4:$E$32,'Sales Rec'!$CU$4:$CU$32*100,""),"")</f>
        <v>10.809000417753067</v>
      </c>
      <c r="H15" s="2314">
        <f>_xlfn.XLOOKUP(Q15,'Sales Rec'!$E$4:$E$32,'Sales Rec'!$DQ$4:$DQ$32,"")</f>
        <v>0.65064319566689233</v>
      </c>
      <c r="I15" s="2311">
        <f>_xlfn.XLOOKUP(Q15,'Sales History'!$C$4:$C$83,'Sales History'!$AS$4:$AS$83,"")</f>
        <v>1.4033149171270718</v>
      </c>
      <c r="J15" s="2314">
        <f>_xlfn.XLOOKUP(Q15,'Sales History'!$C$4:$C$83,'Sales History'!$AW$4:$AW$83,"")</f>
        <v>0.94488188976377951</v>
      </c>
      <c r="K15" s="1942">
        <f>_xlfn.XLOOKUP(Q15,'Sales Rec'!$E$4:$E$91,'Sales Rec'!$CV$4:$CV$91,"")</f>
        <v>14</v>
      </c>
      <c r="L15" s="1575">
        <f>_xlfn.XLOOKUP(Q15,'Cement Ranking'!$F$7:$F$35,'Cement Ranking'!$AQ$7:$AQ$35,"")</f>
        <v>9</v>
      </c>
      <c r="M15" s="1587" t="str">
        <f>_xlfn.XLOOKUP(Q15,'Sales Rec'!$E$4:$E$32,'Sales Rec'!$DS$4:$DS$32,"")</f>
        <v>B</v>
      </c>
      <c r="N15" s="1587" t="str">
        <f>_xlfn.XLOOKUP(Q15,'Sales Rec'!$E$4:$E$32,'Sales Rec'!$DZ$4:$DZ$32,"")</f>
        <v>BB</v>
      </c>
      <c r="O15" s="1937" t="str">
        <f>_xlfn.XLOOKUP($Q15,'History Records'!$B$7:$B$88,'History Records'!$G$7:$G$88,"")</f>
        <v/>
      </c>
      <c r="P15" s="60" t="s">
        <v>42</v>
      </c>
      <c r="Q15" s="124" t="s">
        <v>43</v>
      </c>
      <c r="R15" s="1570">
        <v>12</v>
      </c>
      <c r="S15" s="66">
        <f t="shared" si="5"/>
        <v>20530</v>
      </c>
      <c r="T15" s="2386">
        <f>_xlfn.XLOOKUP($Q15,'Price Record'!$C$6:$C$85,'Price Record'!H$6:H$85,"")</f>
        <v>205300</v>
      </c>
      <c r="U15" s="338">
        <f>_xlfn.XLOOKUP(Q15,'دیده بان بازار'!$A$3:$A$3542,'دیده بان بازار'!$M$3:$M$3542,"")</f>
        <v>2.96</v>
      </c>
      <c r="V15" s="2386">
        <f>_xlfn.XLOOKUP($Q15,'Price Record'!$C$6:$C$85,'Price Record'!G$6:G$85,"")</f>
        <v>205300</v>
      </c>
      <c r="W15" s="337">
        <f>_xlfn.XLOOKUP(Q15,'دیده بان بازار'!$A$3:$A$3542,'دیده بان بازار'!$J$3:$J$3542,"")</f>
        <v>2.96</v>
      </c>
      <c r="X15" s="1641">
        <f t="shared" si="6"/>
        <v>21971</v>
      </c>
      <c r="Y15" s="661" t="str">
        <f t="shared" si="7"/>
        <v/>
      </c>
      <c r="Z15" s="1031">
        <f t="shared" si="8"/>
        <v>0.36976247664798506</v>
      </c>
      <c r="AA15" s="511">
        <f t="shared" ca="1" si="9"/>
        <v>0.13808219178082193</v>
      </c>
      <c r="AB15" s="823">
        <f t="shared" ca="1" si="10"/>
        <v>-41.371479440564841</v>
      </c>
      <c r="AC15" s="1150">
        <f t="shared" si="11"/>
        <v>0.36976247664798506</v>
      </c>
      <c r="AD15" s="1150">
        <f t="shared" si="12"/>
        <v>0.66396498622142974</v>
      </c>
      <c r="AE15" s="1150">
        <f t="shared" si="13"/>
        <v>3.2770833333333331</v>
      </c>
      <c r="AF15" s="1150">
        <f t="shared" si="14"/>
        <v>3.5907871198568873</v>
      </c>
      <c r="AG15" s="1150">
        <f t="shared" si="15"/>
        <v>6.3505191550304332</v>
      </c>
      <c r="AH15" s="275">
        <f t="shared" ca="1" si="16"/>
        <v>309</v>
      </c>
      <c r="AI15" s="1121">
        <v>46183</v>
      </c>
      <c r="AJ15" s="1856">
        <v>46216</v>
      </c>
      <c r="AK15" s="27">
        <v>2050000</v>
      </c>
      <c r="AL15" s="23">
        <v>2100000</v>
      </c>
      <c r="AM15" s="29">
        <f t="shared" si="17"/>
        <v>1000000000</v>
      </c>
      <c r="AN15" s="1225">
        <v>0.27760000000000001</v>
      </c>
      <c r="AO15" s="174">
        <f>_xlfn.XLOOKUP(Q15,'Cem Sales'!$K$5:$K$33,'Cem Sales'!$DU$5:$DU$33,"")</f>
        <v>4622</v>
      </c>
      <c r="AP15" s="1925">
        <v>4048</v>
      </c>
      <c r="AQ15" s="1925">
        <v>2968</v>
      </c>
      <c r="AR15" s="766">
        <f>_xlfn.XLOOKUP(Q15,'Sales Rec'!$E$4:$E$86,'Sales Rec'!$X$4:$X$86,"")</f>
        <v>6421.6518280297896</v>
      </c>
      <c r="AS15" s="984">
        <f>_xlfn.XLOOKUP(Q15,'Sales Rec'!$E$4:$E$86,'Sales Rec'!$K$4:$K$86,"")</f>
        <v>4</v>
      </c>
      <c r="AT15" s="6">
        <f t="shared" si="18"/>
        <v>3.196996746287124</v>
      </c>
      <c r="AU15" s="99">
        <f t="shared" si="19"/>
        <v>-7.7067407861055504</v>
      </c>
      <c r="AV15" s="16">
        <v>1740</v>
      </c>
      <c r="AW15" s="16">
        <v>1206</v>
      </c>
      <c r="AX15" s="1421">
        <f t="shared" si="20"/>
        <v>0.69299999999999995</v>
      </c>
      <c r="AY15" s="1419">
        <v>0.629</v>
      </c>
      <c r="AZ15" s="1689">
        <v>0.73299999999999998</v>
      </c>
      <c r="BA15" s="1690">
        <v>0.58499999999999996</v>
      </c>
      <c r="BB15" s="100">
        <f t="shared" si="21"/>
        <v>6.5999999999999943</v>
      </c>
      <c r="BC15" s="1420">
        <f t="shared" si="22"/>
        <v>0.58299999999999996</v>
      </c>
      <c r="BD15" s="1419">
        <v>0.51700000000000002</v>
      </c>
      <c r="BE15" s="1687">
        <v>0.64200000000000002</v>
      </c>
      <c r="BF15" s="1688">
        <v>0.53100000000000003</v>
      </c>
      <c r="BG15" s="306">
        <f t="shared" si="23"/>
        <v>0.10999999999999999</v>
      </c>
      <c r="BH15" s="1861">
        <f t="shared" si="24"/>
        <v>765.59999999999991</v>
      </c>
      <c r="BI15" s="306">
        <f t="shared" si="25"/>
        <v>0.11199999999999999</v>
      </c>
      <c r="BJ15" s="99">
        <v>0</v>
      </c>
      <c r="BK15" s="306">
        <f>_xlfn.XLOOKUP(Q15,'Sales Rec'!$E$4:$E$91,'Sales Rec'!$Y$4:$Y$91,"")</f>
        <v>0.58637643973067921</v>
      </c>
      <c r="BL15" s="99">
        <f t="shared" si="26"/>
        <v>5</v>
      </c>
      <c r="BM15" s="15"/>
      <c r="BN15" s="1803">
        <v>3</v>
      </c>
      <c r="BO15" s="842">
        <f t="shared" si="27"/>
        <v>1</v>
      </c>
      <c r="BP15" s="16">
        <v>11308</v>
      </c>
      <c r="BQ15" s="16"/>
      <c r="BR15" s="16"/>
      <c r="BS15" s="1251">
        <f>(_xlfn.XLOOKUP(Q15,'Sales Rec'!$E$4:$E$32,'Sales Rec'!$X$4:$X$32)*BC15+CL15)*1000/CJ15</f>
        <v>41058.230157413673</v>
      </c>
      <c r="BT15" s="1246">
        <f t="shared" si="28"/>
        <v>45240</v>
      </c>
      <c r="BU15" s="406"/>
      <c r="BV15" s="407">
        <f t="shared" si="29"/>
        <v>4.7579191282490791</v>
      </c>
      <c r="BW15" s="99">
        <f t="shared" si="30"/>
        <v>1.2104043587546043</v>
      </c>
      <c r="BX15" s="18">
        <f t="shared" si="31"/>
        <v>4314.9115078706827</v>
      </c>
      <c r="BY15" s="18">
        <f t="shared" si="32"/>
        <v>3433.1103678929762</v>
      </c>
      <c r="BZ15" s="18">
        <f t="shared" si="33"/>
        <v>4450.2047168246436</v>
      </c>
      <c r="CA15" s="1710">
        <f t="shared" si="34"/>
        <v>4.9370762466129818</v>
      </c>
      <c r="CB15" s="266">
        <f>_xlfn.XLOOKUP($Q15,'Price Record'!$C$6:$C$85,'Price Record'!I$6:I$85,"")</f>
        <v>34336</v>
      </c>
      <c r="CC15" s="267">
        <f>_xlfn.XLOOKUP($Q15,'Price Record'!$C$6:$C$85,'Price Record'!J$6:J$85,"")</f>
        <v>5.98</v>
      </c>
      <c r="CD15" s="99">
        <f t="shared" si="35"/>
        <v>-2.9400000000000013</v>
      </c>
      <c r="CE15" s="17">
        <f t="shared" si="36"/>
        <v>1.062362459030384</v>
      </c>
      <c r="CF15" s="99">
        <f t="shared" si="37"/>
        <v>3.7505501638784642</v>
      </c>
      <c r="CG15" s="103">
        <f t="shared" si="38"/>
        <v>0.65248926476193603</v>
      </c>
      <c r="CH15" s="99">
        <f t="shared" si="39"/>
        <v>3.78733897142904</v>
      </c>
      <c r="CI15" s="19"/>
      <c r="CJ15" s="708">
        <v>100</v>
      </c>
      <c r="CK15" s="419">
        <v>234</v>
      </c>
      <c r="CL15" s="468">
        <v>362</v>
      </c>
      <c r="CM15" s="843">
        <v>116</v>
      </c>
      <c r="CN15" s="21">
        <v>1131</v>
      </c>
      <c r="CO15" s="21"/>
      <c r="CP15" s="469">
        <f t="shared" si="40"/>
        <v>1131</v>
      </c>
      <c r="CQ15" s="1239">
        <f>(AR15*BC15)*(_xlfn.XLOOKUP($Q15,'Sales Rec'!$E$4:$E$32,'Sales Rec'!$L$4:$L$32,"")/12)+CO15</f>
        <v>1247.9410052471223</v>
      </c>
      <c r="CR15" s="25">
        <v>1365</v>
      </c>
      <c r="CS15" s="57">
        <v>-17</v>
      </c>
      <c r="CT15" s="2240" t="str">
        <f t="shared" si="41"/>
        <v/>
      </c>
      <c r="CU15" s="693">
        <f t="shared" si="42"/>
        <v>1487</v>
      </c>
      <c r="CV15" s="50">
        <v>4395</v>
      </c>
      <c r="CW15" s="25">
        <v>274</v>
      </c>
      <c r="CX15" s="50">
        <v>189</v>
      </c>
      <c r="CY15" s="53">
        <f t="shared" si="43"/>
        <v>4584</v>
      </c>
      <c r="CZ15" s="6">
        <f t="shared" si="44"/>
        <v>1.1663253697383391</v>
      </c>
      <c r="DA15" s="99">
        <f t="shared" si="45"/>
        <v>-0.26939704209328674</v>
      </c>
      <c r="DB15" s="53">
        <f t="shared" si="46"/>
        <v>6071</v>
      </c>
      <c r="DC15" s="645">
        <f t="shared" si="47"/>
        <v>0.75506506341624113</v>
      </c>
      <c r="DD15" s="13">
        <v>945</v>
      </c>
      <c r="DE15" s="28">
        <v>806</v>
      </c>
      <c r="DF15" s="28">
        <v>85</v>
      </c>
      <c r="DG15" s="52">
        <v>5126</v>
      </c>
      <c r="DH15" s="8">
        <f t="shared" si="48"/>
        <v>731</v>
      </c>
      <c r="DI15" s="644">
        <f t="shared" si="49"/>
        <v>8.7847494227493694</v>
      </c>
      <c r="DJ15" s="26">
        <v>1664</v>
      </c>
      <c r="DK15" s="26">
        <v>1317</v>
      </c>
      <c r="DL15" s="26">
        <v>88</v>
      </c>
      <c r="DM15" s="138">
        <f t="shared" si="50"/>
        <v>0.75506506341624113</v>
      </c>
      <c r="DN15" s="99">
        <f t="shared" si="51"/>
        <v>-1.5493525145752063</v>
      </c>
      <c r="DO15" s="138">
        <f t="shared" si="52"/>
        <v>0.34874800121721122</v>
      </c>
      <c r="DP15" s="99">
        <f t="shared" si="53"/>
        <v>1</v>
      </c>
      <c r="DQ15" s="26">
        <v>1826</v>
      </c>
      <c r="DR15" s="8">
        <f t="shared" si="54"/>
        <v>231</v>
      </c>
      <c r="DS15" s="27" t="s">
        <v>231</v>
      </c>
      <c r="DT15" s="7">
        <f t="shared" si="55"/>
        <v>52.987482255774935</v>
      </c>
      <c r="DU15" s="8">
        <f t="shared" si="56"/>
        <v>18519.637500000001</v>
      </c>
      <c r="DV15" s="32">
        <f t="shared" si="57"/>
        <v>0.90207683877252809</v>
      </c>
      <c r="DW15" s="99">
        <f t="shared" si="58"/>
        <v>-1.9584632245494382</v>
      </c>
      <c r="DX15" s="14">
        <f t="shared" si="59"/>
        <v>3132.5130868438</v>
      </c>
      <c r="DY15" s="99">
        <f t="shared" si="60"/>
        <v>6.3039844262505254</v>
      </c>
      <c r="DZ15" s="103">
        <f t="shared" si="61"/>
        <v>0.67193171218604197</v>
      </c>
      <c r="EA15" s="99">
        <f t="shared" si="62"/>
        <v>5.4408193062100434</v>
      </c>
      <c r="EB15" s="103">
        <f>_xlfn.XLOOKUP(Q15,'Cem Sales'!$K$5:$K$33,'Cem Sales'!$DN$5:$DN$33, 0)</f>
        <v>0.25389663658736672</v>
      </c>
      <c r="EC15" s="99">
        <f t="shared" si="63"/>
        <v>2.5389663658736672</v>
      </c>
      <c r="ED15" s="8">
        <f t="shared" si="64"/>
        <v>124983.03999999999</v>
      </c>
      <c r="EE15" s="8">
        <f t="shared" si="65"/>
        <v>162864</v>
      </c>
      <c r="EF15" s="235">
        <f t="shared" si="66"/>
        <v>2340</v>
      </c>
      <c r="EG15" s="8">
        <f t="shared" si="67"/>
        <v>145093.51999999999</v>
      </c>
      <c r="EH15" s="411">
        <f t="shared" si="68"/>
        <v>33</v>
      </c>
      <c r="EI15" s="1605">
        <v>28874</v>
      </c>
      <c r="EJ15" s="821">
        <f t="shared" si="69"/>
        <v>0.16153286713286713</v>
      </c>
      <c r="EK15" s="502">
        <v>0.42899999999999999</v>
      </c>
      <c r="EL15" s="502"/>
      <c r="EM15" s="510">
        <v>27930</v>
      </c>
      <c r="EN15" s="435">
        <v>2793</v>
      </c>
      <c r="EO15" s="510">
        <v>44720</v>
      </c>
      <c r="EP15" s="435">
        <v>4472</v>
      </c>
      <c r="EQ15" s="510">
        <v>48000</v>
      </c>
      <c r="ER15" s="435">
        <v>4800</v>
      </c>
      <c r="ES15" s="510">
        <v>123380</v>
      </c>
      <c r="ET15" s="435">
        <v>12338</v>
      </c>
      <c r="EU15" s="510">
        <v>149876</v>
      </c>
      <c r="EV15" s="435">
        <v>14988</v>
      </c>
      <c r="EW15" s="1610">
        <v>149876</v>
      </c>
      <c r="EX15" s="834">
        <v>14988</v>
      </c>
      <c r="EY15" s="835">
        <f t="shared" si="70"/>
        <v>4.3662728249194416</v>
      </c>
      <c r="EZ15" s="1648">
        <f t="shared" si="71"/>
        <v>9</v>
      </c>
    </row>
    <row r="16" spans="1:156" ht="35" customHeight="1">
      <c r="A16" s="100">
        <f>_xlfn.XLOOKUP(Q16,'Cement Ranking'!$F$7:$F$35,'Cement Ranking'!$AO$7:$AO$35, "")</f>
        <v>21.545827737635289</v>
      </c>
      <c r="B16" s="100">
        <f>_xlfn.XLOOKUP(Q16,'Cement Ranking'!$F$7:$F$35,'Cement Ranking'!$AN$7:$AN$35, "")</f>
        <v>21.447230036077684</v>
      </c>
      <c r="C16" s="1585">
        <f t="shared" ca="1" si="1"/>
        <v>0.24974773242630391</v>
      </c>
      <c r="D16" s="1650">
        <f t="shared" si="2"/>
        <v>0.37352305254327156</v>
      </c>
      <c r="E16" s="1412">
        <f t="shared" si="3"/>
        <v>43.8</v>
      </c>
      <c r="F16" s="1413">
        <f t="shared" si="4"/>
        <v>45.4</v>
      </c>
      <c r="G16" s="2125" cm="1">
        <f t="array" ref="G16">IFERROR(_xlfn.XLOOKUP(Q16,'Sales Rec'!$E$4:$E$32,'Sales Rec'!$CU$4:$CU$32*100,""),"")</f>
        <v>-15.986882557901206</v>
      </c>
      <c r="H16" s="2314">
        <f>_xlfn.XLOOKUP(Q16,'Sales Rec'!$E$4:$E$32,'Sales Rec'!$DQ$4:$DQ$32,"")</f>
        <v>0.75609756097560976</v>
      </c>
      <c r="I16" s="2311">
        <f>_xlfn.XLOOKUP(Q16,'Sales History'!$C$4:$C$83,'Sales History'!$AS$4:$AS$83,"")</f>
        <v>0.47826086956521741</v>
      </c>
      <c r="J16" s="2314">
        <f>_xlfn.XLOOKUP(Q16,'Sales History'!$C$4:$C$83,'Sales History'!$AW$4:$AW$83,"")</f>
        <v>0.28343313373253493</v>
      </c>
      <c r="K16" s="1942">
        <f>_xlfn.XLOOKUP(Q16,'Sales Rec'!$E$4:$E$91,'Sales Rec'!$CV$4:$CV$91,"")</f>
        <v>9</v>
      </c>
      <c r="L16" s="1575">
        <f>_xlfn.XLOOKUP(Q16,'Cement Ranking'!$F$7:$F$35,'Cement Ranking'!$AQ$7:$AQ$35,"")</f>
        <v>2</v>
      </c>
      <c r="M16" s="1582" t="str">
        <f>_xlfn.XLOOKUP(Q16,'Sales Rec'!$E$4:$E$32,'Sales Rec'!$DS$4:$DS$32,"")</f>
        <v>B</v>
      </c>
      <c r="N16" s="1587" t="str">
        <f>_xlfn.XLOOKUP(Q16,'Sales Rec'!$E$4:$E$32,'Sales Rec'!$DZ$4:$DZ$32,"")</f>
        <v>B</v>
      </c>
      <c r="O16" s="1937" t="str">
        <f>_xlfn.XLOOKUP($Q16,'History Records'!$B$7:$B$88,'History Records'!$G$7:$G$88,"")</f>
        <v/>
      </c>
      <c r="P16" s="60" t="s">
        <v>78</v>
      </c>
      <c r="Q16" s="124" t="s">
        <v>79</v>
      </c>
      <c r="R16" s="1570">
        <v>9</v>
      </c>
      <c r="S16" s="66">
        <f t="shared" si="5"/>
        <v>8820</v>
      </c>
      <c r="T16" s="2386">
        <f>_xlfn.XLOOKUP($Q16,'Price Record'!$C$6:$C$85,'Price Record'!H$6:H$85,"")</f>
        <v>8820</v>
      </c>
      <c r="U16" s="338">
        <f>_xlfn.XLOOKUP(Q16,'دیده بان بازار'!$A$3:$A$3542,'دیده بان بازار'!$M$3:$M$3542,"")</f>
        <v>2.68</v>
      </c>
      <c r="V16" s="2386">
        <f>_xlfn.XLOOKUP($Q16,'Price Record'!$C$6:$C$85,'Price Record'!G$6:G$85,"")</f>
        <v>8820</v>
      </c>
      <c r="W16" s="337">
        <f>_xlfn.XLOOKUP(Q16,'دیده بان بازار'!$A$3:$A$3542,'دیده بان بازار'!$J$3:$J$3542,"")</f>
        <v>2.68</v>
      </c>
      <c r="X16" s="1641">
        <f t="shared" si="6"/>
        <v>9144</v>
      </c>
      <c r="Y16" s="661" t="str">
        <f t="shared" si="7"/>
        <v/>
      </c>
      <c r="Z16" s="1031">
        <f t="shared" si="8"/>
        <v>1.2061030515257629</v>
      </c>
      <c r="AA16" s="511">
        <f t="shared" ca="1" si="9"/>
        <v>0.40684931506849314</v>
      </c>
      <c r="AB16" s="823">
        <f t="shared" ca="1" si="10"/>
        <v>-48.439620391349692</v>
      </c>
      <c r="AC16" s="1150">
        <f t="shared" si="11"/>
        <v>1.2061030515257629</v>
      </c>
      <c r="AD16" s="1150">
        <f t="shared" si="12"/>
        <v>3.4613050075872533</v>
      </c>
      <c r="AE16" s="1150">
        <f t="shared" si="13"/>
        <v>2.770842240273621</v>
      </c>
      <c r="AF16" s="1150">
        <f t="shared" si="14"/>
        <v>4.9393939393939394</v>
      </c>
      <c r="AG16" s="1150">
        <f t="shared" si="15"/>
        <v>7.2276119402985071</v>
      </c>
      <c r="AH16" s="275">
        <f t="shared" ca="1" si="16"/>
        <v>200</v>
      </c>
      <c r="AI16" s="1121">
        <v>46074</v>
      </c>
      <c r="AJ16" s="1856">
        <v>46154</v>
      </c>
      <c r="AK16" s="27">
        <v>1500000</v>
      </c>
      <c r="AL16" s="23">
        <v>1800000</v>
      </c>
      <c r="AM16" s="29">
        <f t="shared" si="17"/>
        <v>10000000000</v>
      </c>
      <c r="AN16" s="1225">
        <v>0.1</v>
      </c>
      <c r="AO16" s="174">
        <f>_xlfn.XLOOKUP(Q16,'Cem Sales'!$K$5:$K$33,'Cem Sales'!$DU$5:$DU$33,"")</f>
        <v>2082</v>
      </c>
      <c r="AP16" s="1925">
        <v>1690</v>
      </c>
      <c r="AQ16" s="1925">
        <v>1072</v>
      </c>
      <c r="AR16" s="766">
        <f>_xlfn.XLOOKUP(Q16,'Sales Rec'!$E$4:$E$86,'Sales Rec'!$X$4:$X$86,"")</f>
        <v>2601.3310104529619</v>
      </c>
      <c r="AS16" s="984">
        <f>_xlfn.XLOOKUP(Q16,'Sales Rec'!$E$4:$E$86,'Sales Rec'!$K$4:$K$86,"")</f>
        <v>4</v>
      </c>
      <c r="AT16" s="6">
        <f t="shared" si="18"/>
        <v>3.3886460295051308</v>
      </c>
      <c r="AU16" s="99">
        <f t="shared" si="19"/>
        <v>-9.6232336182856173</v>
      </c>
      <c r="AV16" s="16">
        <v>1140</v>
      </c>
      <c r="AW16" s="16">
        <v>877</v>
      </c>
      <c r="AX16" s="2202">
        <f t="shared" si="20"/>
        <v>0.76900000000000002</v>
      </c>
      <c r="AY16" s="2203">
        <v>0.33100000000000002</v>
      </c>
      <c r="AZ16" s="2204">
        <v>0.63400000000000001</v>
      </c>
      <c r="BA16" s="2205">
        <v>0.25600000000000001</v>
      </c>
      <c r="BB16" s="2206">
        <f t="shared" si="21"/>
        <v>10</v>
      </c>
      <c r="BC16" s="2207">
        <f t="shared" si="22"/>
        <v>0.76100000000000001</v>
      </c>
      <c r="BD16" s="2203">
        <v>0.307</v>
      </c>
      <c r="BE16" s="2208">
        <v>0.60799999999999998</v>
      </c>
      <c r="BF16" s="2209">
        <v>0.23599999999999999</v>
      </c>
      <c r="BG16" s="306">
        <f t="shared" si="23"/>
        <v>8.0000000000000071E-3</v>
      </c>
      <c r="BH16" s="1861">
        <f t="shared" si="24"/>
        <v>18.240000000000016</v>
      </c>
      <c r="BI16" s="306">
        <f t="shared" si="25"/>
        <v>2.4000000000000021E-2</v>
      </c>
      <c r="BJ16" s="99">
        <v>0</v>
      </c>
      <c r="BK16" s="306">
        <f>_xlfn.XLOOKUP(Q16,'Sales Rec'!$E$4:$E$91,'Sales Rec'!$Y$4:$Y$91,"")</f>
        <v>0.53924911861122005</v>
      </c>
      <c r="BL16" s="99">
        <f t="shared" si="26"/>
        <v>-5</v>
      </c>
      <c r="BM16" s="15"/>
      <c r="BN16" s="1803">
        <v>3</v>
      </c>
      <c r="BO16" s="842">
        <f t="shared" si="27"/>
        <v>2</v>
      </c>
      <c r="BP16" s="16">
        <v>280</v>
      </c>
      <c r="BQ16" s="16">
        <v>898</v>
      </c>
      <c r="BR16" s="16"/>
      <c r="BS16" s="1251">
        <f>(_xlfn.XLOOKUP(Q16,'Sales Rec'!$E$4:$E$32,'Sales Rec'!$X$4:$X$32)*BC16+CL16)*1000/CJ16</f>
        <v>2008.612898954704</v>
      </c>
      <c r="BT16" s="1246">
        <f t="shared" si="28"/>
        <v>1796</v>
      </c>
      <c r="BU16" s="406"/>
      <c r="BV16" s="407">
        <f t="shared" si="29"/>
        <v>4.6364769474567282</v>
      </c>
      <c r="BW16" s="99">
        <f t="shared" si="30"/>
        <v>1.8176152627163589</v>
      </c>
      <c r="BX16" s="18">
        <f t="shared" si="31"/>
        <v>1902.3064494773521</v>
      </c>
      <c r="BY16" s="18">
        <f t="shared" si="32"/>
        <v>1760.4790419161677</v>
      </c>
      <c r="BZ16" s="18">
        <f t="shared" si="33"/>
        <v>2000.4235470383278</v>
      </c>
      <c r="CA16" s="1710">
        <f t="shared" si="34"/>
        <v>4.5710319764721321</v>
      </c>
      <c r="CB16" s="266">
        <f>_xlfn.XLOOKUP($Q16,'Price Record'!$C$6:$C$85,'Price Record'!I$6:I$85,"")</f>
        <v>1761</v>
      </c>
      <c r="CC16" s="267">
        <f>_xlfn.XLOOKUP($Q16,'Price Record'!$C$6:$C$85,'Price Record'!J$6:J$85,"")</f>
        <v>5.01</v>
      </c>
      <c r="CD16" s="99">
        <f t="shared" si="35"/>
        <v>-2.9999999999999361E-2</v>
      </c>
      <c r="CE16" s="17">
        <f t="shared" si="36"/>
        <v>0.65236597412628117</v>
      </c>
      <c r="CF16" s="99">
        <f t="shared" si="37"/>
        <v>5.3905361034948758</v>
      </c>
      <c r="CG16" s="103">
        <f t="shared" si="38"/>
        <v>0.4340192675056701</v>
      </c>
      <c r="CH16" s="99">
        <f t="shared" si="39"/>
        <v>0.51028901258505122</v>
      </c>
      <c r="CI16" s="19"/>
      <c r="CJ16" s="708">
        <v>1000</v>
      </c>
      <c r="CK16" s="419">
        <v>281</v>
      </c>
      <c r="CL16" s="468">
        <v>29</v>
      </c>
      <c r="CM16" s="843">
        <v>30</v>
      </c>
      <c r="CN16" s="21">
        <v>898</v>
      </c>
      <c r="CO16" s="21">
        <v>1</v>
      </c>
      <c r="CP16" s="469">
        <f t="shared" si="40"/>
        <v>898</v>
      </c>
      <c r="CQ16" s="1239">
        <f>(AR16*BC16)*(_xlfn.XLOOKUP($Q16,'Sales Rec'!$E$4:$E$32,'Sales Rec'!$L$4:$L$32,"")/12)+CO16</f>
        <v>1155.7741910569107</v>
      </c>
      <c r="CR16" s="25">
        <v>1179</v>
      </c>
      <c r="CS16" s="57">
        <v>0</v>
      </c>
      <c r="CT16" s="2240" t="str">
        <f t="shared" si="41"/>
        <v/>
      </c>
      <c r="CU16" s="693">
        <f t="shared" si="42"/>
        <v>2250</v>
      </c>
      <c r="CV16" s="50">
        <v>1188</v>
      </c>
      <c r="CW16" s="25">
        <v>0</v>
      </c>
      <c r="CX16" s="50">
        <v>53</v>
      </c>
      <c r="CY16" s="53">
        <f t="shared" si="43"/>
        <v>1241</v>
      </c>
      <c r="CZ16" s="6">
        <f t="shared" si="44"/>
        <v>1.7954545454545454</v>
      </c>
      <c r="DA16" s="99">
        <f t="shared" si="45"/>
        <v>4.7636363636363637</v>
      </c>
      <c r="DB16" s="53">
        <f t="shared" si="46"/>
        <v>3491</v>
      </c>
      <c r="DC16" s="645">
        <f t="shared" si="47"/>
        <v>0.35548553423087942</v>
      </c>
      <c r="DD16" s="13">
        <v>1358</v>
      </c>
      <c r="DE16" s="28">
        <v>1311</v>
      </c>
      <c r="DF16" s="28">
        <v>1</v>
      </c>
      <c r="DG16" s="52">
        <v>2133</v>
      </c>
      <c r="DH16" s="8">
        <f t="shared" si="48"/>
        <v>945</v>
      </c>
      <c r="DI16" s="644">
        <f t="shared" si="49"/>
        <v>2.7527312279925522</v>
      </c>
      <c r="DJ16" s="26">
        <v>940</v>
      </c>
      <c r="DK16" s="26">
        <v>908</v>
      </c>
      <c r="DL16" s="26">
        <v>36</v>
      </c>
      <c r="DM16" s="138">
        <f t="shared" si="50"/>
        <v>0.35548553423087942</v>
      </c>
      <c r="DN16" s="99">
        <f t="shared" si="51"/>
        <v>2.4464427772784108</v>
      </c>
      <c r="DO16" s="138">
        <f t="shared" si="52"/>
        <v>4.4990472209371375E-3</v>
      </c>
      <c r="DP16" s="99">
        <f t="shared" si="53"/>
        <v>0</v>
      </c>
      <c r="DQ16" s="26">
        <v>9</v>
      </c>
      <c r="DR16" s="8">
        <f t="shared" si="54"/>
        <v>240</v>
      </c>
      <c r="DS16" s="27" t="s">
        <v>231</v>
      </c>
      <c r="DT16" s="7">
        <f t="shared" si="55"/>
        <v>31.111111111111107</v>
      </c>
      <c r="DU16" s="8">
        <f t="shared" si="56"/>
        <v>14127.75</v>
      </c>
      <c r="DV16" s="32">
        <f t="shared" si="57"/>
        <v>1.6017857142857144</v>
      </c>
      <c r="DW16" s="99">
        <f t="shared" si="58"/>
        <v>10</v>
      </c>
      <c r="DX16" s="14">
        <f t="shared" si="59"/>
        <v>1734.220673635308</v>
      </c>
      <c r="DY16" s="99">
        <f t="shared" si="60"/>
        <v>-9.9014022984423953</v>
      </c>
      <c r="DZ16" s="103">
        <f t="shared" si="61"/>
        <v>0.73128196366909459</v>
      </c>
      <c r="EA16" s="99">
        <f t="shared" si="62"/>
        <v>7.2213268507016215</v>
      </c>
      <c r="EB16" s="103">
        <f>_xlfn.XLOOKUP(Q16,'Cem Sales'!$K$5:$K$33,'Cem Sales'!$DN$5:$DN$33, 0)</f>
        <v>0.39506172839506171</v>
      </c>
      <c r="EC16" s="99">
        <f t="shared" si="63"/>
        <v>3.9506172839506171</v>
      </c>
      <c r="ED16" s="8">
        <f t="shared" si="64"/>
        <v>6621.36</v>
      </c>
      <c r="EE16" s="8">
        <f t="shared" si="65"/>
        <v>6681.12</v>
      </c>
      <c r="EF16" s="235">
        <f t="shared" si="66"/>
        <v>281</v>
      </c>
      <c r="EG16" s="8">
        <f t="shared" si="67"/>
        <v>6791.74</v>
      </c>
      <c r="EH16" s="411">
        <f t="shared" si="68"/>
        <v>80</v>
      </c>
      <c r="EI16" s="1605">
        <v>750</v>
      </c>
      <c r="EJ16" s="821">
        <f t="shared" si="69"/>
        <v>0.15796124684077506</v>
      </c>
      <c r="EK16" s="502"/>
      <c r="EL16" s="502"/>
      <c r="EM16" s="510">
        <v>2030</v>
      </c>
      <c r="EN16" s="435">
        <v>1072</v>
      </c>
      <c r="EO16" s="510">
        <v>2226</v>
      </c>
      <c r="EP16" s="435">
        <v>1485</v>
      </c>
      <c r="EQ16" s="510">
        <v>3508</v>
      </c>
      <c r="ER16" s="435">
        <v>2339</v>
      </c>
      <c r="ES16" s="510">
        <v>2965</v>
      </c>
      <c r="ET16" s="435">
        <v>1977</v>
      </c>
      <c r="EU16" s="510">
        <v>3998</v>
      </c>
      <c r="EV16" s="435">
        <v>3998</v>
      </c>
      <c r="EW16" s="1610">
        <v>3998</v>
      </c>
      <c r="EX16" s="834">
        <v>3998</v>
      </c>
      <c r="EY16" s="835">
        <f t="shared" si="70"/>
        <v>2.7294776119402986</v>
      </c>
      <c r="EZ16" s="1648">
        <f t="shared" si="71"/>
        <v>20</v>
      </c>
    </row>
    <row r="17" spans="1:156" ht="35" customHeight="1">
      <c r="A17" s="100">
        <f>_xlfn.XLOOKUP(Q17,'Cement Ranking'!$F$7:$F$35,'Cement Ranking'!$AO$7:$AO$35, "")</f>
        <v>21.12491215339011</v>
      </c>
      <c r="B17" s="100">
        <f>_xlfn.XLOOKUP(Q17,'Cement Ranking'!$F$7:$F$35,'Cement Ranking'!$AN$7:$AN$35, "")</f>
        <v>21.12491215339011</v>
      </c>
      <c r="C17" s="1585">
        <f t="shared" ca="1" si="1"/>
        <v>0.24880034803489742</v>
      </c>
      <c r="D17" s="1650">
        <f t="shared" si="2"/>
        <v>0.34741797534997865</v>
      </c>
      <c r="E17" s="1412">
        <f t="shared" si="3"/>
        <v>18.700000000000006</v>
      </c>
      <c r="F17" s="1413">
        <f t="shared" si="4"/>
        <v>19.700000000000006</v>
      </c>
      <c r="G17" s="2125" cm="1">
        <f t="array" ref="G17">IFERROR(_xlfn.XLOOKUP(Q17,'Sales Rec'!$E$4:$E$32,'Sales Rec'!$CU$4:$CU$32*100,""),"")</f>
        <v>-8.1807458742181396</v>
      </c>
      <c r="H17" s="2314">
        <f>_xlfn.XLOOKUP(Q17,'Sales Rec'!$E$4:$E$32,'Sales Rec'!$DQ$4:$DQ$32,"")</f>
        <v>-0.12585212375458835</v>
      </c>
      <c r="I17" s="2311">
        <f>_xlfn.XLOOKUP(Q17,'Sales History'!$C$4:$C$83,'Sales History'!$AS$4:$AS$83,"")</f>
        <v>-0.5544090056285178</v>
      </c>
      <c r="J17" s="2314">
        <f>_xlfn.XLOOKUP(Q17,'Sales History'!$C$4:$C$83,'Sales History'!$AW$4:$AW$83,"")</f>
        <v>-0.34624697336561744</v>
      </c>
      <c r="K17" s="1942">
        <f>_xlfn.XLOOKUP(Q17,'Sales Rec'!$E$4:$E$91,'Sales Rec'!$CV$4:$CV$91,"")</f>
        <v>29</v>
      </c>
      <c r="L17" s="1575">
        <f>_xlfn.XLOOKUP(Q17,'Cement Ranking'!$F$7:$F$35,'Cement Ranking'!$AQ$7:$AQ$35,"")</f>
        <v>5</v>
      </c>
      <c r="M17" s="1587" t="str">
        <f>_xlfn.XLOOKUP(Q17,'Sales Rec'!$E$4:$E$32,'Sales Rec'!$DS$4:$DS$32,"")</f>
        <v>SS</v>
      </c>
      <c r="N17" s="1587" t="str">
        <f>_xlfn.XLOOKUP(Q17,'Sales Rec'!$E$4:$E$32,'Sales Rec'!$DZ$4:$DZ$32,"")</f>
        <v>N</v>
      </c>
      <c r="O17" s="1937" t="str">
        <f>_xlfn.XLOOKUP($Q17,'History Records'!$B$7:$B$88,'History Records'!$G$7:$G$88,"")</f>
        <v/>
      </c>
      <c r="P17" s="60" t="s">
        <v>27</v>
      </c>
      <c r="Q17" s="124" t="s">
        <v>28</v>
      </c>
      <c r="R17" s="1570">
        <v>9</v>
      </c>
      <c r="S17" s="66">
        <f t="shared" si="5"/>
        <v>7663.46</v>
      </c>
      <c r="T17" s="2386">
        <f>_xlfn.XLOOKUP($Q17,'Price Record'!$C$6:$C$85,'Price Record'!H$6:H$85,"")</f>
        <v>57170</v>
      </c>
      <c r="U17" s="338">
        <f>_xlfn.XLOOKUP(Q17,'دیده بان بازار'!$A$3:$A$3542,'دیده بان بازار'!$M$3:$M$3542,"")</f>
        <v>2.95</v>
      </c>
      <c r="V17" s="2386">
        <f>_xlfn.XLOOKUP($Q17,'Price Record'!$C$6:$C$85,'Price Record'!G$6:G$85,"")</f>
        <v>57190</v>
      </c>
      <c r="W17" s="337">
        <f>_xlfn.XLOOKUP(Q17,'دیده بان بازار'!$A$3:$A$3542,'دیده بان بازار'!$J$3:$J$3542,"")</f>
        <v>2.99</v>
      </c>
      <c r="X17" s="1641">
        <f t="shared" si="6"/>
        <v>9264.4599999999991</v>
      </c>
      <c r="Y17" s="661" t="str">
        <f t="shared" si="7"/>
        <v/>
      </c>
      <c r="Z17" s="1031">
        <f t="shared" si="8"/>
        <v>4.3073363277528247E-2</v>
      </c>
      <c r="AA17" s="511">
        <f t="shared" ca="1" si="9"/>
        <v>0.16027397260273973</v>
      </c>
      <c r="AB17" s="823">
        <f t="shared" ca="1" si="10"/>
        <v>18.030862973109461</v>
      </c>
      <c r="AC17" s="1150">
        <f t="shared" si="11"/>
        <v>4.3073363277528247E-2</v>
      </c>
      <c r="AD17" s="1150">
        <f t="shared" si="12"/>
        <v>0.39057521320994376</v>
      </c>
      <c r="AE17" s="1150">
        <f t="shared" si="13"/>
        <v>0.51721639279350629</v>
      </c>
      <c r="AF17" s="1150">
        <f t="shared" si="14"/>
        <v>0.87508196721311471</v>
      </c>
      <c r="AG17" s="1150">
        <f t="shared" si="15"/>
        <v>2.856799194765979</v>
      </c>
      <c r="AH17" s="275">
        <f t="shared" ca="1" si="16"/>
        <v>300</v>
      </c>
      <c r="AI17" s="1121">
        <v>46174</v>
      </c>
      <c r="AJ17" s="1554">
        <v>46270</v>
      </c>
      <c r="AK17" s="27">
        <v>1800000</v>
      </c>
      <c r="AL17" s="23">
        <v>625000</v>
      </c>
      <c r="AM17" s="29">
        <f t="shared" si="17"/>
        <v>1340000000</v>
      </c>
      <c r="AN17" s="1225">
        <v>0.14910000000000001</v>
      </c>
      <c r="AO17" s="174">
        <f>_xlfn.XLOOKUP(Q17,'Cem Sales'!$K$5:$K$33,'Cem Sales'!$DU$5:$DU$33,"")</f>
        <v>2897</v>
      </c>
      <c r="AP17" s="1925">
        <v>3079</v>
      </c>
      <c r="AQ17" s="1925">
        <v>1277</v>
      </c>
      <c r="AR17" s="766">
        <f>_xlfn.XLOOKUP(Q17,'Sales Rec'!$E$4:$E$86,'Sales Rec'!$X$4:$X$86,"")</f>
        <v>2769.9292269083826</v>
      </c>
      <c r="AS17" s="984">
        <f>_xlfn.XLOOKUP(Q17,'Sales Rec'!$E$4:$E$86,'Sales Rec'!$K$4:$K$86,"")</f>
        <v>4</v>
      </c>
      <c r="AT17" s="6">
        <f t="shared" si="18"/>
        <v>2.7649262391256451</v>
      </c>
      <c r="AU17" s="99">
        <f t="shared" si="19"/>
        <v>-3.3860357144907605</v>
      </c>
      <c r="AV17" s="16">
        <v>1541</v>
      </c>
      <c r="AW17" s="16">
        <v>862</v>
      </c>
      <c r="AX17" s="1421">
        <f t="shared" si="20"/>
        <v>0.55900000000000005</v>
      </c>
      <c r="AY17" s="1419">
        <v>0.372</v>
      </c>
      <c r="AZ17" s="1689">
        <v>0.41499999999999998</v>
      </c>
      <c r="BA17" s="2223">
        <v>0.432</v>
      </c>
      <c r="BB17" s="100">
        <f t="shared" si="21"/>
        <v>10</v>
      </c>
      <c r="BC17" s="1420">
        <f t="shared" si="22"/>
        <v>0.55400000000000005</v>
      </c>
      <c r="BD17" s="1419">
        <v>0.35699999999999998</v>
      </c>
      <c r="BE17" s="1687">
        <v>0.39900000000000002</v>
      </c>
      <c r="BF17" s="1688">
        <v>0.41399999999999998</v>
      </c>
      <c r="BG17" s="306">
        <f t="shared" si="23"/>
        <v>5.0000000000000044E-3</v>
      </c>
      <c r="BH17" s="1861">
        <f t="shared" si="24"/>
        <v>15.410000000000014</v>
      </c>
      <c r="BI17" s="306">
        <f t="shared" si="25"/>
        <v>1.5000000000000013E-2</v>
      </c>
      <c r="BJ17" s="99">
        <v>0</v>
      </c>
      <c r="BK17" s="306">
        <f>_xlfn.XLOOKUP(Q17,'Sales Rec'!$E$4:$E$91,'Sales Rec'!$Y$4:$Y$91,"")</f>
        <v>-0.10038024458967762</v>
      </c>
      <c r="BL17" s="99">
        <f t="shared" si="26"/>
        <v>-4.303608236016176</v>
      </c>
      <c r="BM17" s="15"/>
      <c r="BN17" s="1803">
        <v>3</v>
      </c>
      <c r="BO17" s="842">
        <f t="shared" si="27"/>
        <v>2</v>
      </c>
      <c r="BP17" s="16">
        <v>4482</v>
      </c>
      <c r="BQ17" s="16">
        <v>6527</v>
      </c>
      <c r="BR17" s="16"/>
      <c r="BS17" s="1251">
        <f>(_xlfn.XLOOKUP(Q17,'Sales Rec'!$E$4:$E$32,'Sales Rec'!$X$4:$X$32)*BC17+CL17)*1000/CJ17</f>
        <v>12168.214863486897</v>
      </c>
      <c r="BT17" s="1246">
        <f t="shared" si="28"/>
        <v>13462.686567164179</v>
      </c>
      <c r="BU17" s="406"/>
      <c r="BV17" s="407">
        <f t="shared" si="29"/>
        <v>4.462582024650021</v>
      </c>
      <c r="BW17" s="99">
        <f t="shared" si="30"/>
        <v>2.6870898767498952</v>
      </c>
      <c r="BX17" s="18">
        <f t="shared" si="31"/>
        <v>1717.2703958536222</v>
      </c>
      <c r="BY17" s="18">
        <f t="shared" si="32"/>
        <v>1593.2349272349275</v>
      </c>
      <c r="BZ17" s="18">
        <f t="shared" si="33"/>
        <v>1548.390437841786</v>
      </c>
      <c r="CA17" s="1710">
        <f t="shared" si="34"/>
        <v>5.9832841727653694</v>
      </c>
      <c r="CB17" s="266">
        <f>_xlfn.XLOOKUP($Q17,'Price Record'!$C$6:$C$85,'Price Record'!I$6:I$85,"")</f>
        <v>11890</v>
      </c>
      <c r="CC17" s="267">
        <f>_xlfn.XLOOKUP($Q17,'Price Record'!$C$6:$C$85,'Price Record'!J$6:J$85,"")</f>
        <v>4.8099999999999996</v>
      </c>
      <c r="CD17" s="99">
        <f t="shared" si="35"/>
        <v>0.57000000000000117</v>
      </c>
      <c r="CE17" s="17">
        <f t="shared" si="36"/>
        <v>1.1203826751136745</v>
      </c>
      <c r="CF17" s="99">
        <f t="shared" si="37"/>
        <v>3.518469299545302</v>
      </c>
      <c r="CG17" s="103">
        <f t="shared" si="38"/>
        <v>0.4078058408581387</v>
      </c>
      <c r="CH17" s="99">
        <f t="shared" si="39"/>
        <v>0.11708761287208019</v>
      </c>
      <c r="CI17" s="19"/>
      <c r="CJ17" s="708">
        <v>134</v>
      </c>
      <c r="CK17" s="419">
        <v>794</v>
      </c>
      <c r="CL17" s="468">
        <v>96</v>
      </c>
      <c r="CM17" s="843">
        <v>25</v>
      </c>
      <c r="CN17" s="21">
        <v>879</v>
      </c>
      <c r="CO17" s="21">
        <v>1</v>
      </c>
      <c r="CP17" s="469">
        <f t="shared" si="40"/>
        <v>902</v>
      </c>
      <c r="CQ17" s="1239">
        <f>(AR17*BC17)*(_xlfn.XLOOKUP($Q17,'Sales Rec'!$E$4:$E$32,'Sales Rec'!$L$4:$L$32,"")/12)+CO17</f>
        <v>896.14879516255917</v>
      </c>
      <c r="CR17" s="25">
        <v>1673</v>
      </c>
      <c r="CS17" s="57">
        <v>0</v>
      </c>
      <c r="CT17" s="2240" t="str">
        <f t="shared" si="41"/>
        <v/>
      </c>
      <c r="CU17" s="693">
        <f t="shared" si="42"/>
        <v>1820</v>
      </c>
      <c r="CV17" s="50">
        <v>1757</v>
      </c>
      <c r="CW17" s="25">
        <v>161</v>
      </c>
      <c r="CX17" s="50">
        <v>167</v>
      </c>
      <c r="CY17" s="53">
        <f t="shared" si="43"/>
        <v>1924</v>
      </c>
      <c r="CZ17" s="6">
        <f t="shared" si="44"/>
        <v>1.36084234490609</v>
      </c>
      <c r="DA17" s="99">
        <f t="shared" si="45"/>
        <v>1.2867387592487205</v>
      </c>
      <c r="DB17" s="53">
        <f t="shared" si="46"/>
        <v>3744</v>
      </c>
      <c r="DC17" s="645">
        <f t="shared" si="47"/>
        <v>0.51388888888888884</v>
      </c>
      <c r="DD17" s="13">
        <v>1353</v>
      </c>
      <c r="DE17" s="28">
        <v>1297</v>
      </c>
      <c r="DF17" s="28">
        <v>39</v>
      </c>
      <c r="DG17" s="52">
        <v>2391</v>
      </c>
      <c r="DH17" s="8">
        <f t="shared" si="48"/>
        <v>634</v>
      </c>
      <c r="DI17" s="644">
        <f t="shared" si="49"/>
        <v>4.3689735440195312</v>
      </c>
      <c r="DJ17" s="26">
        <v>1421</v>
      </c>
      <c r="DK17" s="26">
        <v>120</v>
      </c>
      <c r="DL17" s="26">
        <v>499</v>
      </c>
      <c r="DM17" s="138">
        <f t="shared" si="50"/>
        <v>0.51388888888888884</v>
      </c>
      <c r="DN17" s="99">
        <f t="shared" si="51"/>
        <v>0.86240923069831665</v>
      </c>
      <c r="DO17" s="138">
        <f t="shared" si="52"/>
        <v>2.7124941470538545E-2</v>
      </c>
      <c r="DP17" s="99">
        <f t="shared" si="53"/>
        <v>0</v>
      </c>
      <c r="DQ17" s="26">
        <v>203</v>
      </c>
      <c r="DR17" s="8">
        <f t="shared" si="54"/>
        <v>148</v>
      </c>
      <c r="DS17" s="27" t="s">
        <v>231</v>
      </c>
      <c r="DT17" s="7">
        <f t="shared" si="55"/>
        <v>22.526337448559673</v>
      </c>
      <c r="DU17" s="8">
        <f t="shared" si="56"/>
        <v>16523.325000000001</v>
      </c>
      <c r="DV17" s="32">
        <f t="shared" si="57"/>
        <v>2.156118124189335</v>
      </c>
      <c r="DW17" s="99">
        <f t="shared" si="58"/>
        <v>10</v>
      </c>
      <c r="DX17" s="14">
        <f t="shared" si="59"/>
        <v>1538.8495705046571</v>
      </c>
      <c r="DY17" s="99">
        <f t="shared" si="60"/>
        <v>-10</v>
      </c>
      <c r="DZ17" s="103">
        <f t="shared" si="61"/>
        <v>0.61996905161736904</v>
      </c>
      <c r="EA17" s="99">
        <f t="shared" si="62"/>
        <v>3.8819394891498549</v>
      </c>
      <c r="EB17" s="103">
        <f>_xlfn.XLOOKUP(Q17,'Cem Sales'!$K$5:$K$33,'Cem Sales'!$DN$5:$DN$33, 0)</f>
        <v>0.58908218356328734</v>
      </c>
      <c r="EC17" s="99">
        <f t="shared" si="63"/>
        <v>5.8908218356328739</v>
      </c>
      <c r="ED17" s="8">
        <f t="shared" si="64"/>
        <v>44706.400000000001</v>
      </c>
      <c r="EE17" s="8">
        <f t="shared" si="65"/>
        <v>50081.194029850747</v>
      </c>
      <c r="EF17" s="235">
        <f t="shared" si="66"/>
        <v>5925.373134328358</v>
      </c>
      <c r="EG17" s="8">
        <f t="shared" si="67"/>
        <v>50356.483582089553</v>
      </c>
      <c r="EH17" s="411">
        <f t="shared" si="68"/>
        <v>96</v>
      </c>
      <c r="EI17" s="1605">
        <v>8120</v>
      </c>
      <c r="EJ17" s="821">
        <f t="shared" si="69"/>
        <v>0.12899126290706911</v>
      </c>
      <c r="EK17" s="502"/>
      <c r="EL17" s="502"/>
      <c r="EM17" s="510">
        <v>14830</v>
      </c>
      <c r="EN17" s="435">
        <v>1987</v>
      </c>
      <c r="EO17" s="510">
        <v>30500</v>
      </c>
      <c r="EP17" s="435">
        <v>4087</v>
      </c>
      <c r="EQ17" s="510">
        <v>37691</v>
      </c>
      <c r="ER17" s="435">
        <v>5051</v>
      </c>
      <c r="ES17" s="510">
        <v>41128</v>
      </c>
      <c r="ET17" s="435">
        <v>5511</v>
      </c>
      <c r="EU17" s="510">
        <v>54830</v>
      </c>
      <c r="EV17" s="435">
        <v>7347</v>
      </c>
      <c r="EW17" s="1610">
        <v>54830</v>
      </c>
      <c r="EX17" s="834">
        <v>7347</v>
      </c>
      <c r="EY17" s="835">
        <f t="shared" si="70"/>
        <v>2.6975339708102668</v>
      </c>
      <c r="EZ17" s="1648">
        <f t="shared" si="71"/>
        <v>22</v>
      </c>
    </row>
    <row r="18" spans="1:156" ht="35" customHeight="1">
      <c r="A18" s="100">
        <f>_xlfn.XLOOKUP(Q18,'Cement Ranking'!$F$7:$F$35,'Cement Ranking'!$AO$7:$AO$35, "")</f>
        <v>16.477230296443544</v>
      </c>
      <c r="B18" s="100">
        <f>_xlfn.XLOOKUP(Q18,'Cement Ranking'!$F$7:$F$35,'Cement Ranking'!$AN$7:$AN$35, "")</f>
        <v>10.354331926451188</v>
      </c>
      <c r="C18" s="1585">
        <f t="shared" ca="1" si="1"/>
        <v>0.19890082225128208</v>
      </c>
      <c r="D18" s="1650">
        <f t="shared" si="2"/>
        <v>-1.513668354090318</v>
      </c>
      <c r="E18" s="1412">
        <f t="shared" si="3"/>
        <v>-7.7999999999999954</v>
      </c>
      <c r="F18" s="1413">
        <f t="shared" si="4"/>
        <v>-6.5</v>
      </c>
      <c r="G18" s="2125" cm="1">
        <f t="array" ref="G18">IFERROR(_xlfn.XLOOKUP(Q18,'Sales Rec'!$E$4:$E$32,'Sales Rec'!$CU$4:$CU$32*100,""),"")</f>
        <v>3.737296483410474</v>
      </c>
      <c r="H18" s="2314">
        <f>_xlfn.XLOOKUP(Q18,'Sales Rec'!$E$4:$E$32,'Sales Rec'!$DQ$4:$DQ$32,"")</f>
        <v>0.20092112838226828</v>
      </c>
      <c r="I18" s="2311">
        <f>_xlfn.XLOOKUP(Q18,'Sales History'!$C$4:$C$83,'Sales History'!$AS$4:$AS$83,"")</f>
        <v>0.57452574525745259</v>
      </c>
      <c r="J18" s="2314">
        <f>_xlfn.XLOOKUP(Q18,'Sales History'!$C$4:$C$83,'Sales History'!$AW$4:$AW$83,"")</f>
        <v>0.76657824933687002</v>
      </c>
      <c r="K18" s="1942">
        <f>_xlfn.XLOOKUP(Q18,'Sales Rec'!$E$4:$E$91,'Sales Rec'!$CV$4:$CV$91,"")</f>
        <v>27</v>
      </c>
      <c r="L18" s="2201">
        <f>_xlfn.XLOOKUP(Q18,'Cement Ranking'!$F$7:$F$35,'Cement Ranking'!$AQ$7:$AQ$35,"")</f>
        <v>8</v>
      </c>
      <c r="M18" s="1587" t="str">
        <f>_xlfn.XLOOKUP(Q18,'Sales Rec'!$E$4:$E$32,'Sales Rec'!$DS$4:$DS$32,"")</f>
        <v>S</v>
      </c>
      <c r="N18" s="1587" t="str">
        <f>_xlfn.XLOOKUP(Q18,'Sales Rec'!$E$4:$E$32,'Sales Rec'!$DZ$4:$DZ$32,"")</f>
        <v>N</v>
      </c>
      <c r="O18" s="1937" t="str">
        <f>_xlfn.XLOOKUP($Q18,'History Records'!$B$7:$B$88,'History Records'!$G$7:$G$88,"")</f>
        <v/>
      </c>
      <c r="P18" s="60" t="s">
        <v>70</v>
      </c>
      <c r="Q18" s="124" t="s">
        <v>71</v>
      </c>
      <c r="R18" s="1570">
        <v>10</v>
      </c>
      <c r="S18" s="66">
        <f t="shared" si="5"/>
        <v>9889.6667300000008</v>
      </c>
      <c r="T18" s="2386">
        <f>_xlfn.XLOOKUP($Q18,'Price Record'!$C$6:$C$85,'Price Record'!H$6:H$85,"")</f>
        <v>135700</v>
      </c>
      <c r="U18" s="338">
        <f>_xlfn.XLOOKUP(Q18,'دیده بان بازار'!$A$3:$A$3542,'دیده بان بازار'!$M$3:$M$3542,"")</f>
        <v>2.96</v>
      </c>
      <c r="V18" s="2386">
        <f>_xlfn.XLOOKUP($Q18,'Price Record'!$C$6:$C$85,'Price Record'!G$6:G$85,"")</f>
        <v>135700</v>
      </c>
      <c r="W18" s="337">
        <f>_xlfn.XLOOKUP(Q18,'دیده بان بازار'!$A$3:$A$3542,'دیده بان بازار'!$J$3:$J$3542,"")</f>
        <v>2.96</v>
      </c>
      <c r="X18" s="1641">
        <f t="shared" si="6"/>
        <v>9231.6667300000008</v>
      </c>
      <c r="Y18" s="661" t="str">
        <f t="shared" si="7"/>
        <v/>
      </c>
      <c r="Z18" s="1031">
        <f t="shared" si="8"/>
        <v>-0.18145450008276767</v>
      </c>
      <c r="AA18" s="511">
        <f t="shared" ca="1" si="9"/>
        <v>0.11095890410958904</v>
      </c>
      <c r="AB18" s="823">
        <f t="shared" ca="1" si="10"/>
        <v>64.980756487190376</v>
      </c>
      <c r="AC18" s="1150">
        <f t="shared" si="11"/>
        <v>-0.18145450008276767</v>
      </c>
      <c r="AD18" s="1150">
        <f t="shared" si="12"/>
        <v>3.1893440108514276E-2</v>
      </c>
      <c r="AE18" s="1150">
        <f t="shared" si="13"/>
        <v>1.3302702002827522</v>
      </c>
      <c r="AF18" s="1150">
        <f t="shared" si="14"/>
        <v>1.7433194812760058</v>
      </c>
      <c r="AG18" s="1150">
        <f t="shared" si="15"/>
        <v>4.159695817490495</v>
      </c>
      <c r="AH18" s="275">
        <f t="shared" ca="1" si="16"/>
        <v>320</v>
      </c>
      <c r="AI18" s="1121">
        <v>46194</v>
      </c>
      <c r="AJ18" s="1554">
        <v>46279</v>
      </c>
      <c r="AK18" s="27">
        <v>2000000</v>
      </c>
      <c r="AL18" s="23">
        <v>2050000</v>
      </c>
      <c r="AM18" s="29">
        <f t="shared" si="17"/>
        <v>728789000</v>
      </c>
      <c r="AN18" s="1225">
        <v>0.3029</v>
      </c>
      <c r="AO18" s="174">
        <f>_xlfn.XLOOKUP(Q18,'Cem Sales'!$K$5:$K$33,'Cem Sales'!$DU$5:$DU$33,"")</f>
        <v>3479</v>
      </c>
      <c r="AP18" s="1925">
        <v>3363</v>
      </c>
      <c r="AQ18" s="1925">
        <v>1641</v>
      </c>
      <c r="AR18" s="766">
        <f>_xlfn.XLOOKUP(Q18,'Sales Rec'!$E$4:$E$86,'Sales Rec'!$X$4:$X$86,"")</f>
        <v>3990.348877374784</v>
      </c>
      <c r="AS18" s="984">
        <f>_xlfn.XLOOKUP(Q18,'Sales Rec'!$E$4:$E$86,'Sales Rec'!$K$4:$K$86,"")</f>
        <v>4</v>
      </c>
      <c r="AT18" s="6">
        <f t="shared" si="18"/>
        <v>1.4601446913667349</v>
      </c>
      <c r="AU18" s="99">
        <f t="shared" si="19"/>
        <v>9.6617797630983411</v>
      </c>
      <c r="AV18" s="16">
        <v>754</v>
      </c>
      <c r="AW18" s="16">
        <v>301</v>
      </c>
      <c r="AX18" s="2202">
        <f t="shared" si="20"/>
        <v>0.39900000000000002</v>
      </c>
      <c r="AY18" s="2203">
        <v>0.47699999999999998</v>
      </c>
      <c r="AZ18" s="2204">
        <v>0.48799999999999999</v>
      </c>
      <c r="BA18" s="2205">
        <v>0.46300000000000002</v>
      </c>
      <c r="BB18" s="2206">
        <f t="shared" si="21"/>
        <v>-6.5</v>
      </c>
      <c r="BC18" s="2207">
        <f t="shared" si="22"/>
        <v>0.32400000000000001</v>
      </c>
      <c r="BD18" s="2203">
        <v>0.38900000000000001</v>
      </c>
      <c r="BE18" s="2208">
        <v>0.433</v>
      </c>
      <c r="BF18" s="2209">
        <v>0.40600000000000003</v>
      </c>
      <c r="BG18" s="306">
        <f t="shared" si="23"/>
        <v>7.5000000000000011E-2</v>
      </c>
      <c r="BH18" s="1861">
        <f t="shared" si="24"/>
        <v>226.20000000000005</v>
      </c>
      <c r="BI18" s="306">
        <f t="shared" si="25"/>
        <v>8.7999999999999967E-2</v>
      </c>
      <c r="BJ18" s="99">
        <v>0</v>
      </c>
      <c r="BK18" s="306">
        <f>_xlfn.XLOOKUP(Q18,'Sales Rec'!$E$4:$E$91,'Sales Rec'!$Y$4:$Y$91,"")</f>
        <v>0.18654441789318585</v>
      </c>
      <c r="BL18" s="99">
        <f t="shared" si="26"/>
        <v>5</v>
      </c>
      <c r="BM18" s="15"/>
      <c r="BN18" s="1890">
        <v>1</v>
      </c>
      <c r="BO18" s="842">
        <f t="shared" si="27"/>
        <v>1</v>
      </c>
      <c r="BP18" s="16">
        <v>4483</v>
      </c>
      <c r="BQ18" s="16"/>
      <c r="BR18" s="16"/>
      <c r="BS18" s="1251">
        <f>(_xlfn.XLOOKUP(Q18,'Sales Rec'!$E$4:$E$32,'Sales Rec'!$X$4:$X$32)*BC18+CL18)*1000/CJ18</f>
        <v>22816.933793861186</v>
      </c>
      <c r="BT18" s="1246">
        <f t="shared" si="28"/>
        <v>18468.994455185246</v>
      </c>
      <c r="BU18" s="406"/>
      <c r="BV18" s="407">
        <f t="shared" si="29"/>
        <v>6.5736683540903176</v>
      </c>
      <c r="BW18" s="99">
        <f t="shared" si="30"/>
        <v>-7.8683417704515879</v>
      </c>
      <c r="BX18" s="18">
        <f t="shared" si="31"/>
        <v>1504.436518134715</v>
      </c>
      <c r="BY18" s="18">
        <f t="shared" si="32"/>
        <v>1954.4795909090913</v>
      </c>
      <c r="BZ18" s="18">
        <f t="shared" si="33"/>
        <v>1592.1492020725389</v>
      </c>
      <c r="CA18" s="1710">
        <f t="shared" si="34"/>
        <v>5.7982422237708118</v>
      </c>
      <c r="CB18" s="266">
        <f>_xlfn.XLOOKUP($Q18,'Price Record'!$C$6:$C$85,'Price Record'!I$6:I$85,"")</f>
        <v>26819</v>
      </c>
      <c r="CC18" s="267">
        <f>_xlfn.XLOOKUP($Q18,'Price Record'!$C$6:$C$85,'Price Record'!J$6:J$85,"")</f>
        <v>5.0599999999999996</v>
      </c>
      <c r="CD18" s="99">
        <f t="shared" si="35"/>
        <v>-0.17999999999999883</v>
      </c>
      <c r="CE18" s="17">
        <f t="shared" si="36"/>
        <v>0.55037217590716359</v>
      </c>
      <c r="CF18" s="99">
        <f t="shared" si="37"/>
        <v>5.7985112963713457</v>
      </c>
      <c r="CG18" s="103">
        <f t="shared" si="38"/>
        <v>0.28476935796606379</v>
      </c>
      <c r="CH18" s="99">
        <f t="shared" si="39"/>
        <v>-1.7284596305090436</v>
      </c>
      <c r="CI18" s="19"/>
      <c r="CJ18" s="708">
        <v>72.878900000000002</v>
      </c>
      <c r="CK18" s="419">
        <v>619</v>
      </c>
      <c r="CL18" s="468">
        <v>370</v>
      </c>
      <c r="CM18" s="843">
        <v>83</v>
      </c>
      <c r="CN18" s="21">
        <v>327</v>
      </c>
      <c r="CO18" s="21">
        <v>803</v>
      </c>
      <c r="CP18" s="469">
        <f t="shared" si="40"/>
        <v>336.5</v>
      </c>
      <c r="CQ18" s="1239">
        <f>(AR18*BC18)*(_xlfn.XLOOKUP($Q18,'Sales Rec'!$E$4:$E$32,'Sales Rec'!$L$4:$L$32,"")/12)+CO18</f>
        <v>1449.436518134715</v>
      </c>
      <c r="CR18" s="25">
        <v>2472</v>
      </c>
      <c r="CS18" s="57">
        <v>-80</v>
      </c>
      <c r="CT18" s="2240" t="str">
        <f t="shared" si="41"/>
        <v>Check RE</v>
      </c>
      <c r="CU18" s="53">
        <f t="shared" si="42"/>
        <v>2588</v>
      </c>
      <c r="CV18" s="50">
        <v>635</v>
      </c>
      <c r="CW18" s="25">
        <v>106</v>
      </c>
      <c r="CX18" s="50">
        <v>193</v>
      </c>
      <c r="CY18" s="53">
        <f t="shared" si="43"/>
        <v>828</v>
      </c>
      <c r="CZ18" s="6">
        <f t="shared" si="44"/>
        <v>4.2440944881889759</v>
      </c>
      <c r="DA18" s="99">
        <f t="shared" si="45"/>
        <v>6</v>
      </c>
      <c r="DB18" s="53">
        <f t="shared" si="46"/>
        <v>3416</v>
      </c>
      <c r="DC18" s="645">
        <f t="shared" si="47"/>
        <v>0.2423887587822014</v>
      </c>
      <c r="DD18" s="13">
        <v>721</v>
      </c>
      <c r="DE18" s="28">
        <v>505</v>
      </c>
      <c r="DF18" s="28">
        <v>160</v>
      </c>
      <c r="DG18" s="52">
        <v>2695</v>
      </c>
      <c r="DH18" s="8">
        <f t="shared" si="48"/>
        <v>2060</v>
      </c>
      <c r="DI18" s="644">
        <f t="shared" si="49"/>
        <v>1.9370625618324195</v>
      </c>
      <c r="DJ18" s="26">
        <v>701</v>
      </c>
      <c r="DK18" s="26">
        <v>164</v>
      </c>
      <c r="DL18" s="26">
        <v>232</v>
      </c>
      <c r="DM18" s="138">
        <f t="shared" si="50"/>
        <v>0.2423887587822014</v>
      </c>
      <c r="DN18" s="99">
        <f t="shared" si="51"/>
        <v>3.577410531765191</v>
      </c>
      <c r="DO18" s="138">
        <f t="shared" si="52"/>
        <v>0.76374751714041844</v>
      </c>
      <c r="DP18" s="99">
        <f t="shared" si="53"/>
        <v>3</v>
      </c>
      <c r="DQ18" s="26">
        <v>1322</v>
      </c>
      <c r="DR18" s="8">
        <f t="shared" si="54"/>
        <v>276</v>
      </c>
      <c r="DS18" s="27" t="s">
        <v>231</v>
      </c>
      <c r="DT18" s="7">
        <f t="shared" si="55"/>
        <v>26.1631394973545</v>
      </c>
      <c r="DU18" s="8">
        <f t="shared" si="56"/>
        <v>18120.375</v>
      </c>
      <c r="DV18" s="32">
        <f t="shared" si="57"/>
        <v>1.8322533503613825</v>
      </c>
      <c r="DW18" s="99">
        <f t="shared" si="58"/>
        <v>10</v>
      </c>
      <c r="DX18" s="14">
        <f t="shared" si="59"/>
        <v>1995.1744386873922</v>
      </c>
      <c r="DY18" s="99">
        <f t="shared" si="60"/>
        <v>-6.8771016300076457</v>
      </c>
      <c r="DZ18" s="103">
        <f t="shared" si="61"/>
        <v>0.37701879318493853</v>
      </c>
      <c r="EA18" s="99">
        <f t="shared" si="62"/>
        <v>-3.4065682638230603</v>
      </c>
      <c r="EB18" s="103">
        <f>_xlfn.XLOOKUP(Q18,'Cem Sales'!$K$5:$K$33,'Cem Sales'!$DN$5:$DN$33, 0)</f>
        <v>0</v>
      </c>
      <c r="EC18" s="99">
        <f t="shared" si="63"/>
        <v>0</v>
      </c>
      <c r="ED18" s="8">
        <f t="shared" si="64"/>
        <v>99766.68</v>
      </c>
      <c r="EE18" s="8">
        <f t="shared" si="65"/>
        <v>67965.899595081704</v>
      </c>
      <c r="EF18" s="235">
        <f t="shared" si="66"/>
        <v>29432.387151836814</v>
      </c>
      <c r="EG18" s="8">
        <f t="shared" si="67"/>
        <v>98582.483373459254</v>
      </c>
      <c r="EH18" s="411">
        <f t="shared" si="68"/>
        <v>85</v>
      </c>
      <c r="EI18" s="1605">
        <v>22700</v>
      </c>
      <c r="EJ18" s="821">
        <f t="shared" si="69"/>
        <v>0.12043718166383702</v>
      </c>
      <c r="EK18" s="502"/>
      <c r="EL18" s="502"/>
      <c r="EM18" s="510">
        <v>26300</v>
      </c>
      <c r="EN18" s="435">
        <v>1916.71507</v>
      </c>
      <c r="EO18" s="510">
        <v>49470</v>
      </c>
      <c r="EP18" s="435">
        <v>3605</v>
      </c>
      <c r="EQ18" s="510">
        <v>58230</v>
      </c>
      <c r="ER18" s="435">
        <v>4244</v>
      </c>
      <c r="ES18" s="510">
        <v>131500</v>
      </c>
      <c r="ET18" s="435">
        <v>9584</v>
      </c>
      <c r="EU18" s="510">
        <v>165780</v>
      </c>
      <c r="EV18" s="435">
        <v>12082</v>
      </c>
      <c r="EW18" s="1610">
        <v>165780</v>
      </c>
      <c r="EX18" s="834">
        <v>12082</v>
      </c>
      <c r="EY18" s="835">
        <f t="shared" si="70"/>
        <v>5.3034929860493039</v>
      </c>
      <c r="EZ18" s="1648">
        <f t="shared" si="71"/>
        <v>7</v>
      </c>
    </row>
    <row r="19" spans="1:156" ht="35" customHeight="1">
      <c r="A19" s="100">
        <f>_xlfn.XLOOKUP(Q19,'Cement Ranking'!$F$7:$F$35,'Cement Ranking'!$AO$7:$AO$35, "")</f>
        <v>15.202117459117378</v>
      </c>
      <c r="B19" s="100">
        <f>_xlfn.XLOOKUP(Q19,'Cement Ranking'!$F$7:$F$35,'Cement Ranking'!$AN$7:$AN$35, "")</f>
        <v>6.7690925595276914</v>
      </c>
      <c r="C19" s="1585">
        <f t="shared" ca="1" si="1"/>
        <v>0.1396433530988635</v>
      </c>
      <c r="D19" s="1650">
        <f t="shared" si="2"/>
        <v>0.81415005617275593</v>
      </c>
      <c r="E19" s="1412">
        <f t="shared" si="3"/>
        <v>2.7999999999999914</v>
      </c>
      <c r="F19" s="1413">
        <f t="shared" si="4"/>
        <v>0.50000000000000044</v>
      </c>
      <c r="G19" s="2125" cm="1">
        <f t="array" ref="G19">IFERROR(_xlfn.XLOOKUP(Q19,'Sales Rec'!$E$4:$E$32,'Sales Rec'!$CU$4:$CU$32*100,""),"")</f>
        <v>2.5032616937221808</v>
      </c>
      <c r="H19" s="2314">
        <f>_xlfn.XLOOKUP(Q19,'Sales Rec'!$E$4:$E$32,'Sales Rec'!$DQ$4:$DQ$32,"")</f>
        <v>0.32444696539988654</v>
      </c>
      <c r="I19" s="2311">
        <f>_xlfn.XLOOKUP(Q19,'Sales History'!$C$4:$C$83,'Sales History'!$AS$4:$AS$83,"")</f>
        <v>0.7857142857142857</v>
      </c>
      <c r="J19" s="2314">
        <f>_xlfn.XLOOKUP(Q19,'Sales History'!$C$4:$C$83,'Sales History'!$AW$4:$AW$83,"")</f>
        <v>0.50529747351263243</v>
      </c>
      <c r="K19" s="1942">
        <f>_xlfn.XLOOKUP(Q19,'Sales Rec'!$E$4:$E$91,'Sales Rec'!$CV$4:$CV$91,"")</f>
        <v>25</v>
      </c>
      <c r="L19" s="1575">
        <f>_xlfn.XLOOKUP(Q19,'Cement Ranking'!$F$7:$F$35,'Cement Ranking'!$AQ$7:$AQ$35,"")</f>
        <v>15</v>
      </c>
      <c r="M19" s="1582" t="str">
        <f>_xlfn.XLOOKUP(Q19,'Sales Rec'!$E$4:$E$32,'Sales Rec'!$DS$4:$DS$32,"")</f>
        <v>N</v>
      </c>
      <c r="N19" s="1582" t="str">
        <f>_xlfn.XLOOKUP(Q19,'Sales Rec'!$E$4:$E$32,'Sales Rec'!$DZ$4:$DZ$32,"")</f>
        <v>N</v>
      </c>
      <c r="O19" s="1937" t="str">
        <f>_xlfn.XLOOKUP($Q19,'History Records'!$B$7:$B$88,'History Records'!$G$7:$G$88,"")</f>
        <v/>
      </c>
      <c r="P19" s="60" t="s">
        <v>56</v>
      </c>
      <c r="Q19" s="124" t="s">
        <v>57</v>
      </c>
      <c r="R19" s="1570">
        <v>12</v>
      </c>
      <c r="S19" s="66">
        <f t="shared" si="5"/>
        <v>18403</v>
      </c>
      <c r="T19" s="2386">
        <f>_xlfn.XLOOKUP($Q19,'Price Record'!$C$6:$C$85,'Price Record'!H$6:H$85,"")</f>
        <v>167300</v>
      </c>
      <c r="U19" s="338">
        <f>_xlfn.XLOOKUP(Q19,'دیده بان بازار'!$A$3:$A$3542,'دیده بان بازار'!$M$3:$M$3542,"")</f>
        <v>2.95</v>
      </c>
      <c r="V19" s="2386">
        <f>_xlfn.XLOOKUP($Q19,'Price Record'!$C$6:$C$85,'Price Record'!G$6:G$85,"")</f>
        <v>167300</v>
      </c>
      <c r="W19" s="337">
        <f>_xlfn.XLOOKUP(Q19,'دیده بان بازار'!$A$3:$A$3542,'دیده بان بازار'!$J$3:$J$3542,"")</f>
        <v>2.95</v>
      </c>
      <c r="X19" s="1641">
        <f t="shared" si="6"/>
        <v>20903</v>
      </c>
      <c r="Y19" s="661" t="str">
        <f t="shared" si="7"/>
        <v/>
      </c>
      <c r="Z19" s="1031">
        <f t="shared" si="8"/>
        <v>5.9287399988487886E-2</v>
      </c>
      <c r="AA19" s="511">
        <f t="shared" ca="1" si="9"/>
        <v>0.14054794520547945</v>
      </c>
      <c r="AB19" s="823">
        <f t="shared" ca="1" si="10"/>
        <v>14.256236002980975</v>
      </c>
      <c r="AC19" s="1150">
        <f t="shared" si="11"/>
        <v>5.9287399988487886E-2</v>
      </c>
      <c r="AD19" s="1150">
        <f t="shared" si="12"/>
        <v>0.53627180899908178</v>
      </c>
      <c r="AE19" s="1150">
        <f t="shared" si="13"/>
        <v>3.9684125269978403</v>
      </c>
      <c r="AF19" s="1150">
        <f t="shared" si="14"/>
        <v>4.6021308980213087</v>
      </c>
      <c r="AG19" s="1150">
        <f t="shared" si="15"/>
        <v>8.6013227464215642</v>
      </c>
      <c r="AH19" s="275">
        <f t="shared" ca="1" si="16"/>
        <v>308</v>
      </c>
      <c r="AI19" s="1121">
        <v>46182</v>
      </c>
      <c r="AJ19" s="1554">
        <v>46295</v>
      </c>
      <c r="AK19" s="27">
        <v>2100000</v>
      </c>
      <c r="AL19" s="23">
        <v>2180000</v>
      </c>
      <c r="AM19" s="29">
        <f t="shared" si="17"/>
        <v>1100000000</v>
      </c>
      <c r="AN19" s="1225">
        <v>0.3251</v>
      </c>
      <c r="AO19" s="174">
        <f>_xlfn.XLOOKUP(Q19,'Cem Sales'!$K$5:$K$33,'Cem Sales'!$DU$5:$DU$33,"")</f>
        <v>5168</v>
      </c>
      <c r="AP19" s="1925">
        <v>5049</v>
      </c>
      <c r="AQ19" s="1925">
        <v>3011</v>
      </c>
      <c r="AR19" s="766">
        <f>_xlfn.XLOOKUP(Q19,'Sales Rec'!$E$4:$E$86,'Sales Rec'!$X$4:$X$86,"")</f>
        <v>6500.0663641520132</v>
      </c>
      <c r="AS19" s="984">
        <f>_xlfn.XLOOKUP(Q19,'Sales Rec'!$E$4:$E$86,'Sales Rec'!$K$4:$K$86,"")</f>
        <v>4</v>
      </c>
      <c r="AT19" s="6">
        <f t="shared" si="18"/>
        <v>2.8087297847737847</v>
      </c>
      <c r="AU19" s="99">
        <f t="shared" si="19"/>
        <v>-3.8240711709721564</v>
      </c>
      <c r="AV19" s="16">
        <v>1775</v>
      </c>
      <c r="AW19" s="16">
        <v>1023</v>
      </c>
      <c r="AX19" s="1421">
        <f t="shared" si="20"/>
        <v>0.57599999999999996</v>
      </c>
      <c r="AY19" s="1419">
        <v>0.54800000000000004</v>
      </c>
      <c r="AZ19" s="1689">
        <v>0.59599999999999997</v>
      </c>
      <c r="BA19" s="1690">
        <v>0.439</v>
      </c>
      <c r="BB19" s="100">
        <f t="shared" si="21"/>
        <v>0.50000000000000044</v>
      </c>
      <c r="BC19" s="1420">
        <f t="shared" si="22"/>
        <v>0.44500000000000001</v>
      </c>
      <c r="BD19" s="1419">
        <v>0.44</v>
      </c>
      <c r="BE19" s="1687">
        <v>0.46200000000000002</v>
      </c>
      <c r="BF19" s="1688">
        <v>0.38300000000000001</v>
      </c>
      <c r="BG19" s="306">
        <f t="shared" si="23"/>
        <v>0.13099999999999995</v>
      </c>
      <c r="BH19" s="1861">
        <f t="shared" si="24"/>
        <v>930.09999999999968</v>
      </c>
      <c r="BI19" s="306">
        <f t="shared" si="25"/>
        <v>0.10800000000000004</v>
      </c>
      <c r="BJ19" s="99">
        <v>0</v>
      </c>
      <c r="BK19" s="306">
        <f>_xlfn.XLOOKUP(Q19,'Sales Rec'!$E$4:$E$91,'Sales Rec'!$Y$4:$Y$91,"")</f>
        <v>0.28739678434383309</v>
      </c>
      <c r="BL19" s="99">
        <f t="shared" si="26"/>
        <v>5</v>
      </c>
      <c r="BM19" s="15"/>
      <c r="BN19" s="1803">
        <v>3</v>
      </c>
      <c r="BO19" s="842">
        <f t="shared" si="27"/>
        <v>1</v>
      </c>
      <c r="BP19" s="16">
        <v>9890</v>
      </c>
      <c r="BQ19" s="16"/>
      <c r="BR19" s="16"/>
      <c r="BS19" s="1251">
        <f>(_xlfn.XLOOKUP(Q19,'Sales Rec'!$E$4:$E$32,'Sales Rec'!$X$4:$X$32)*BC19+CL19)*1000/CJ19</f>
        <v>33241.177564069505</v>
      </c>
      <c r="BT19" s="1246">
        <f t="shared" si="28"/>
        <v>39563.63636363636</v>
      </c>
      <c r="BU19" s="406"/>
      <c r="BV19" s="407">
        <f t="shared" si="29"/>
        <v>4.5958499438272442</v>
      </c>
      <c r="BW19" s="99">
        <f t="shared" si="30"/>
        <v>2.0207502808637789</v>
      </c>
      <c r="BX19" s="18">
        <f t="shared" si="31"/>
        <v>4004.2647660238231</v>
      </c>
      <c r="BY19" s="18">
        <f t="shared" si="32"/>
        <v>3401.6635859519406</v>
      </c>
      <c r="BZ19" s="18">
        <f t="shared" si="33"/>
        <v>3744.0382257515594</v>
      </c>
      <c r="CA19" s="1710">
        <f t="shared" si="34"/>
        <v>5.5830092375202813</v>
      </c>
      <c r="CB19" s="266">
        <f>_xlfn.XLOOKUP($Q19,'Price Record'!$C$6:$C$85,'Price Record'!I$6:I$85,"")</f>
        <v>30922</v>
      </c>
      <c r="CC19" s="267">
        <f>_xlfn.XLOOKUP($Q19,'Price Record'!$C$6:$C$85,'Price Record'!J$6:J$85,"")</f>
        <v>5.41</v>
      </c>
      <c r="CD19" s="99">
        <f t="shared" si="35"/>
        <v>-1.2300000000000004</v>
      </c>
      <c r="CE19" s="17">
        <f t="shared" si="36"/>
        <v>1.6170259406771399</v>
      </c>
      <c r="CF19" s="99">
        <f t="shared" si="37"/>
        <v>1.5318962372914404</v>
      </c>
      <c r="CG19" s="103">
        <f t="shared" si="38"/>
        <v>0.4848952247546407</v>
      </c>
      <c r="CH19" s="99">
        <f t="shared" si="39"/>
        <v>1.2734283713196102</v>
      </c>
      <c r="CI19" s="19"/>
      <c r="CJ19" s="708">
        <v>110</v>
      </c>
      <c r="CK19" s="419">
        <v>243</v>
      </c>
      <c r="CL19" s="468">
        <v>764</v>
      </c>
      <c r="CM19" s="843">
        <v>299</v>
      </c>
      <c r="CN19" s="21">
        <v>1088</v>
      </c>
      <c r="CO19" s="21">
        <v>27</v>
      </c>
      <c r="CP19" s="469">
        <f t="shared" si="40"/>
        <v>1088</v>
      </c>
      <c r="CQ19" s="1239">
        <f>(AR19*BC19)*(_xlfn.XLOOKUP($Q19,'Sales Rec'!$E$4:$E$32,'Sales Rec'!$L$4:$L$32,"")/12)+CO19</f>
        <v>991.1765106825485</v>
      </c>
      <c r="CR19" s="25">
        <v>1331</v>
      </c>
      <c r="CS19" s="57">
        <v>-7</v>
      </c>
      <c r="CT19" s="2240" t="str">
        <f t="shared" si="41"/>
        <v/>
      </c>
      <c r="CU19" s="53">
        <f t="shared" si="42"/>
        <v>1513</v>
      </c>
      <c r="CV19" s="50">
        <v>6144</v>
      </c>
      <c r="CW19" s="25">
        <v>1235</v>
      </c>
      <c r="CX19" s="50">
        <v>331</v>
      </c>
      <c r="CY19" s="53">
        <f t="shared" si="43"/>
        <v>6475</v>
      </c>
      <c r="CZ19" s="6">
        <f t="shared" si="44"/>
        <v>1.0978190104166667</v>
      </c>
      <c r="DA19" s="99">
        <f t="shared" si="45"/>
        <v>-0.81744791666666572</v>
      </c>
      <c r="DB19" s="53">
        <f t="shared" si="46"/>
        <v>7988</v>
      </c>
      <c r="DC19" s="645">
        <f t="shared" si="47"/>
        <v>0.81059088632949428</v>
      </c>
      <c r="DD19" s="13">
        <v>1243</v>
      </c>
      <c r="DE19" s="28">
        <v>1154</v>
      </c>
      <c r="DF19" s="28">
        <v>82</v>
      </c>
      <c r="DG19" s="52">
        <v>6745</v>
      </c>
      <c r="DH19" s="8">
        <f t="shared" si="48"/>
        <v>601</v>
      </c>
      <c r="DI19" s="644">
        <f t="shared" si="49"/>
        <v>10.815418243181387</v>
      </c>
      <c r="DJ19" s="26">
        <v>1433</v>
      </c>
      <c r="DK19" s="26">
        <v>528</v>
      </c>
      <c r="DL19" s="26">
        <v>1027</v>
      </c>
      <c r="DM19" s="138">
        <f t="shared" si="50"/>
        <v>0.81059088632949428</v>
      </c>
      <c r="DN19" s="99">
        <f t="shared" si="51"/>
        <v>-2.1046107437077377</v>
      </c>
      <c r="DO19" s="138">
        <f t="shared" si="52"/>
        <v>0.59080593376045842</v>
      </c>
      <c r="DP19" s="99">
        <f t="shared" si="53"/>
        <v>2</v>
      </c>
      <c r="DQ19" s="26">
        <v>3447</v>
      </c>
      <c r="DR19" s="8">
        <f t="shared" si="54"/>
        <v>310</v>
      </c>
      <c r="DS19" s="27" t="s">
        <v>231</v>
      </c>
      <c r="DT19" s="7">
        <f t="shared" si="55"/>
        <v>46.366843033509696</v>
      </c>
      <c r="DU19" s="8">
        <f t="shared" si="56"/>
        <v>18918.900000000001</v>
      </c>
      <c r="DV19" s="32">
        <f t="shared" si="57"/>
        <v>1.0280334728033473</v>
      </c>
      <c r="DW19" s="99">
        <f t="shared" si="58"/>
        <v>0.56066945606694674</v>
      </c>
      <c r="DX19" s="14">
        <f t="shared" si="59"/>
        <v>3095.2696972152444</v>
      </c>
      <c r="DY19" s="99">
        <f t="shared" si="60"/>
        <v>5.8723554435227401</v>
      </c>
      <c r="DZ19" s="103">
        <f t="shared" si="61"/>
        <v>0.61603444360313264</v>
      </c>
      <c r="EA19" s="99">
        <f t="shared" si="62"/>
        <v>3.763901248722763</v>
      </c>
      <c r="EB19" s="103">
        <f>_xlfn.XLOOKUP(Q19,'Cem Sales'!$K$5:$K$33,'Cem Sales'!$DN$5:$DN$33, 0)</f>
        <v>6.5524625267665948E-2</v>
      </c>
      <c r="EC19" s="99">
        <f t="shared" si="63"/>
        <v>0.65524625267665948</v>
      </c>
      <c r="ED19" s="8">
        <f t="shared" si="64"/>
        <v>112556.08</v>
      </c>
      <c r="EE19" s="8">
        <f t="shared" si="65"/>
        <v>142429.09090909091</v>
      </c>
      <c r="EF19" s="235">
        <f t="shared" si="66"/>
        <v>2209.090909090909</v>
      </c>
      <c r="EG19" s="8">
        <f t="shared" si="67"/>
        <v>128597.13090909091</v>
      </c>
      <c r="EH19" s="411">
        <f t="shared" si="68"/>
        <v>113</v>
      </c>
      <c r="EI19" s="1605">
        <v>27400</v>
      </c>
      <c r="EJ19" s="821">
        <f t="shared" si="69"/>
        <v>0.14783640876227475</v>
      </c>
      <c r="EK19" s="502"/>
      <c r="EL19" s="502"/>
      <c r="EM19" s="510">
        <v>18190</v>
      </c>
      <c r="EN19" s="435">
        <v>1916.71507</v>
      </c>
      <c r="EO19" s="510">
        <v>29860</v>
      </c>
      <c r="EP19" s="435">
        <v>3285</v>
      </c>
      <c r="EQ19" s="510">
        <v>33670</v>
      </c>
      <c r="ER19" s="435">
        <v>3704</v>
      </c>
      <c r="ES19" s="510">
        <v>108900</v>
      </c>
      <c r="ET19" s="435">
        <v>11979</v>
      </c>
      <c r="EU19" s="510">
        <v>157940</v>
      </c>
      <c r="EV19" s="435">
        <v>17373</v>
      </c>
      <c r="EW19" s="1610">
        <v>157940</v>
      </c>
      <c r="EX19" s="834">
        <v>17373</v>
      </c>
      <c r="EY19" s="835">
        <f t="shared" si="70"/>
        <v>8.0639450129642896</v>
      </c>
      <c r="EZ19" s="1648">
        <f t="shared" si="71"/>
        <v>2</v>
      </c>
    </row>
    <row r="20" spans="1:156" ht="35" customHeight="1">
      <c r="A20" s="100">
        <f>_xlfn.XLOOKUP(Q20,'Cement Ranking'!$F$7:$F$35,'Cement Ranking'!$AO$7:$AO$35, "")</f>
        <v>14.841666562736975</v>
      </c>
      <c r="B20" s="100">
        <f>_xlfn.XLOOKUP(Q20,'Cement Ranking'!$F$7:$F$35,'Cement Ranking'!$AN$7:$AN$35, "")</f>
        <v>4.871586775502931</v>
      </c>
      <c r="C20" s="1585">
        <f t="shared" ca="1" si="1"/>
        <v>0.15492385470576961</v>
      </c>
      <c r="D20" s="1650">
        <f t="shared" si="2"/>
        <v>1.2981300700156284</v>
      </c>
      <c r="E20" s="1412">
        <f t="shared" si="3"/>
        <v>4.4000000000000039</v>
      </c>
      <c r="F20" s="1413">
        <f t="shared" si="4"/>
        <v>3.099999999999997</v>
      </c>
      <c r="G20" s="2125" cm="1">
        <f t="array" ref="G20">IFERROR(_xlfn.XLOOKUP(Q20,'Sales Rec'!$E$4:$E$32,'Sales Rec'!$CU$4:$CU$32*100,""),"")</f>
        <v>12.278512193119306</v>
      </c>
      <c r="H20" s="2314">
        <f>_xlfn.XLOOKUP(Q20,'Sales Rec'!$E$4:$E$32,'Sales Rec'!$DQ$4:$DQ$32,"")</f>
        <v>0.94383775351014043</v>
      </c>
      <c r="I20" s="2311">
        <f>_xlfn.XLOOKUP(Q20,'Sales History'!$C$4:$C$83,'Sales History'!$AS$4:$AS$83,"")</f>
        <v>1.8890200708382526E-2</v>
      </c>
      <c r="J20" s="2314">
        <f>_xlfn.XLOOKUP(Q20,'Sales History'!$C$4:$C$83,'Sales History'!$AW$4:$AW$83,"")</f>
        <v>0.22475961538461539</v>
      </c>
      <c r="K20" s="1942">
        <f>_xlfn.XLOOKUP(Q20,'Sales Rec'!$E$4:$E$91,'Sales Rec'!$CV$4:$CV$91,"")</f>
        <v>5</v>
      </c>
      <c r="L20" s="1575">
        <f>_xlfn.XLOOKUP(Q20,'Cement Ranking'!$F$7:$F$35,'Cement Ranking'!$AQ$7:$AQ$35,"")</f>
        <v>12</v>
      </c>
      <c r="M20" s="1582" t="str">
        <f>_xlfn.XLOOKUP(Q20,'Sales Rec'!$E$4:$E$32,'Sales Rec'!$DS$4:$DS$32,"")</f>
        <v>B</v>
      </c>
      <c r="N20" s="1582" t="str">
        <f>_xlfn.XLOOKUP(Q20,'Sales Rec'!$E$4:$E$32,'Sales Rec'!$DZ$4:$DZ$32,"")</f>
        <v>B</v>
      </c>
      <c r="O20" s="1937" t="str">
        <f>_xlfn.XLOOKUP($Q20,'History Records'!$B$7:$B$88,'History Records'!$G$7:$G$88,"")</f>
        <v/>
      </c>
      <c r="P20" s="60" t="s">
        <v>54</v>
      </c>
      <c r="Q20" s="124" t="s">
        <v>55</v>
      </c>
      <c r="R20" s="1570">
        <v>12</v>
      </c>
      <c r="S20" s="66">
        <f t="shared" si="5"/>
        <v>11280</v>
      </c>
      <c r="T20" s="2386">
        <f>_xlfn.XLOOKUP($Q20,'Price Record'!$C$6:$C$85,'Price Record'!H$6:H$85,"")</f>
        <v>56370</v>
      </c>
      <c r="U20" s="338">
        <f>_xlfn.XLOOKUP(Q20,'دیده بان بازار'!$A$3:$A$3542,'دیده بان بازار'!$M$3:$M$3542,"")</f>
        <v>2.94</v>
      </c>
      <c r="V20" s="2386">
        <f>_xlfn.XLOOKUP($Q20,'Price Record'!$C$6:$C$85,'Price Record'!G$6:G$85,"")</f>
        <v>56400</v>
      </c>
      <c r="W20" s="337">
        <f>_xlfn.XLOOKUP(Q20,'دیده بان بازار'!$A$3:$A$3542,'دیده بان بازار'!$J$3:$J$3542,"")</f>
        <v>2.99</v>
      </c>
      <c r="X20" s="1641">
        <f t="shared" si="6"/>
        <v>12109</v>
      </c>
      <c r="Y20" s="661" t="str">
        <f t="shared" si="7"/>
        <v/>
      </c>
      <c r="Z20" s="1031">
        <f t="shared" si="8"/>
        <v>6.475363413252784E-2</v>
      </c>
      <c r="AA20" s="511">
        <f t="shared" ca="1" si="9"/>
        <v>5.4246575342465755E-2</v>
      </c>
      <c r="AB20" s="823">
        <f t="shared" ca="1" si="10"/>
        <v>-4.7759358136645842</v>
      </c>
      <c r="AC20" s="1150">
        <f t="shared" si="11"/>
        <v>6.475363413252784E-2</v>
      </c>
      <c r="AD20" s="1150">
        <f t="shared" si="12"/>
        <v>0.89261744966442957</v>
      </c>
      <c r="AE20" s="1150">
        <f t="shared" si="13"/>
        <v>1.9072164948453609</v>
      </c>
      <c r="AF20" s="1150">
        <f t="shared" si="14"/>
        <v>1.4025559105431309</v>
      </c>
      <c r="AG20" s="1150">
        <f t="shared" si="15"/>
        <v>5.0320855614973263</v>
      </c>
      <c r="AH20" s="275">
        <f t="shared" ca="1" si="16"/>
        <v>343</v>
      </c>
      <c r="AI20" s="1121">
        <v>46217</v>
      </c>
      <c r="AJ20" s="1554">
        <v>46244</v>
      </c>
      <c r="AK20" s="27">
        <v>1000000</v>
      </c>
      <c r="AL20" s="23">
        <v>1040000</v>
      </c>
      <c r="AM20" s="29">
        <f t="shared" si="17"/>
        <v>2000000000</v>
      </c>
      <c r="AN20" s="1225" t="s">
        <v>415</v>
      </c>
      <c r="AO20" s="174">
        <f>_xlfn.XLOOKUP(Q20,'Cem Sales'!$K$5:$K$33,'Cem Sales'!$DU$5:$DU$33,"")</f>
        <v>2893</v>
      </c>
      <c r="AP20" s="1925">
        <v>2496</v>
      </c>
      <c r="AQ20" s="1925">
        <v>1208</v>
      </c>
      <c r="AR20" s="766">
        <f>_xlfn.XLOOKUP(Q20,'Sales Rec'!$E$4:$E$86,'Sales Rec'!$X$4:$X$86,"")</f>
        <v>4135.6595163806551</v>
      </c>
      <c r="AS20" s="984">
        <f>_xlfn.XLOOKUP(Q20,'Sales Rec'!$E$4:$E$86,'Sales Rec'!$K$4:$K$86,"")</f>
        <v>4</v>
      </c>
      <c r="AT20" s="6">
        <f t="shared" si="18"/>
        <v>2.7274972601883225</v>
      </c>
      <c r="AU20" s="99">
        <f t="shared" si="19"/>
        <v>-3.0117459251175349</v>
      </c>
      <c r="AV20" s="16">
        <v>865</v>
      </c>
      <c r="AW20" s="16">
        <v>448</v>
      </c>
      <c r="AX20" s="1421">
        <f t="shared" si="20"/>
        <v>0.51800000000000002</v>
      </c>
      <c r="AY20" s="1419">
        <v>0.47399999999999998</v>
      </c>
      <c r="AZ20" s="1689">
        <v>0.48399999999999999</v>
      </c>
      <c r="BA20" s="1690">
        <v>0.48</v>
      </c>
      <c r="BB20" s="100">
        <f t="shared" si="21"/>
        <v>3.099999999999997</v>
      </c>
      <c r="BC20" s="1420">
        <f t="shared" si="22"/>
        <v>0.40799999999999997</v>
      </c>
      <c r="BD20" s="1419">
        <v>0.377</v>
      </c>
      <c r="BE20" s="1687">
        <v>0.372</v>
      </c>
      <c r="BF20" s="1688">
        <v>0.38200000000000001</v>
      </c>
      <c r="BG20" s="306">
        <f t="shared" si="23"/>
        <v>0.11000000000000004</v>
      </c>
      <c r="BH20" s="1861">
        <f t="shared" si="24"/>
        <v>380.60000000000014</v>
      </c>
      <c r="BI20" s="306">
        <f t="shared" si="25"/>
        <v>9.6999999999999975E-2</v>
      </c>
      <c r="BJ20" s="99">
        <v>0</v>
      </c>
      <c r="BK20" s="306">
        <f>_xlfn.XLOOKUP(Q20,'Sales Rec'!$E$4:$E$91,'Sales Rec'!$Y$4:$Y$91,"")</f>
        <v>0.65691487034481377</v>
      </c>
      <c r="BL20" s="99">
        <f t="shared" si="26"/>
        <v>5</v>
      </c>
      <c r="BM20" s="15"/>
      <c r="BN20" s="1803">
        <v>3</v>
      </c>
      <c r="BO20" s="842">
        <f t="shared" si="27"/>
        <v>1</v>
      </c>
      <c r="BP20" s="16">
        <v>2007</v>
      </c>
      <c r="BQ20" s="16"/>
      <c r="BR20" s="16"/>
      <c r="BS20" s="1251">
        <f>(_xlfn.XLOOKUP(Q20,'Sales Rec'!$E$4:$E$32,'Sales Rec'!$X$4:$X$32)*BC20+CL20)*1000/CJ20</f>
        <v>11226.745413416536</v>
      </c>
      <c r="BT20" s="1246">
        <f t="shared" si="28"/>
        <v>9850</v>
      </c>
      <c r="BU20" s="406"/>
      <c r="BV20" s="407">
        <f t="shared" si="29"/>
        <v>5.3518699299843719</v>
      </c>
      <c r="BW20" s="99">
        <f t="shared" si="30"/>
        <v>-1.7593496499218597</v>
      </c>
      <c r="BX20" s="18">
        <f t="shared" si="31"/>
        <v>2107.6745413416538</v>
      </c>
      <c r="BY20" s="18">
        <f t="shared" si="32"/>
        <v>1696.2406015037593</v>
      </c>
      <c r="BZ20" s="18">
        <f t="shared" si="33"/>
        <v>2142.2716294851793</v>
      </c>
      <c r="CA20" s="1710">
        <f t="shared" si="34"/>
        <v>5.6524111290732906</v>
      </c>
      <c r="CB20" s="266">
        <f>_xlfn.XLOOKUP($Q20,'Price Record'!$C$6:$C$85,'Price Record'!I$6:I$85,"")</f>
        <v>8478</v>
      </c>
      <c r="CC20" s="267">
        <f>_xlfn.XLOOKUP($Q20,'Price Record'!$C$6:$C$85,'Price Record'!J$6:J$85,"")</f>
        <v>6.65</v>
      </c>
      <c r="CD20" s="99">
        <f t="shared" si="35"/>
        <v>-4.9500000000000011</v>
      </c>
      <c r="CE20" s="17">
        <f t="shared" si="36"/>
        <v>1.1742799713396561</v>
      </c>
      <c r="CF20" s="99">
        <f t="shared" si="37"/>
        <v>3.3028801146413755</v>
      </c>
      <c r="CG20" s="103">
        <f t="shared" si="38"/>
        <v>0.57871349295487473</v>
      </c>
      <c r="CH20" s="99">
        <f t="shared" si="39"/>
        <v>2.6807023943231205</v>
      </c>
      <c r="CI20" s="19"/>
      <c r="CJ20" s="708">
        <v>200</v>
      </c>
      <c r="CK20" s="419">
        <v>415</v>
      </c>
      <c r="CL20" s="468">
        <v>558</v>
      </c>
      <c r="CM20" s="843">
        <v>48</v>
      </c>
      <c r="CN20" s="21">
        <v>401</v>
      </c>
      <c r="CO20" s="21"/>
      <c r="CP20" s="469">
        <f t="shared" si="40"/>
        <v>492.5</v>
      </c>
      <c r="CQ20" s="1239">
        <f>(AR20*BC20)*(_xlfn.XLOOKUP($Q20,'Sales Rec'!$E$4:$E$32,'Sales Rec'!$L$4:$L$32,"")/12)+CO20</f>
        <v>562.44969422776899</v>
      </c>
      <c r="CR20" s="25">
        <v>816</v>
      </c>
      <c r="CS20" s="57">
        <v>-132</v>
      </c>
      <c r="CT20" s="2240" t="str">
        <f t="shared" si="41"/>
        <v/>
      </c>
      <c r="CU20" s="693">
        <f t="shared" si="42"/>
        <v>933</v>
      </c>
      <c r="CV20" s="50">
        <v>2335</v>
      </c>
      <c r="CW20" s="25">
        <v>41</v>
      </c>
      <c r="CX20" s="50">
        <v>140</v>
      </c>
      <c r="CY20" s="53">
        <f t="shared" si="43"/>
        <v>2475</v>
      </c>
      <c r="CZ20" s="6">
        <f t="shared" si="44"/>
        <v>1.1601713062098502</v>
      </c>
      <c r="DA20" s="99">
        <f t="shared" si="45"/>
        <v>-0.318629550321198</v>
      </c>
      <c r="DB20" s="53">
        <f t="shared" si="46"/>
        <v>3408</v>
      </c>
      <c r="DC20" s="645">
        <f t="shared" si="47"/>
        <v>0.72623239436619713</v>
      </c>
      <c r="DD20" s="13">
        <v>699</v>
      </c>
      <c r="DE20" s="28">
        <v>461</v>
      </c>
      <c r="DF20" s="28">
        <v>223</v>
      </c>
      <c r="DG20" s="52">
        <v>2709</v>
      </c>
      <c r="DH20" s="8">
        <f t="shared" si="48"/>
        <v>374</v>
      </c>
      <c r="DI20" s="644">
        <f t="shared" si="49"/>
        <v>11.057913145402821</v>
      </c>
      <c r="DJ20" s="26">
        <v>880</v>
      </c>
      <c r="DK20" s="26">
        <v>543</v>
      </c>
      <c r="DL20" s="26">
        <v>59</v>
      </c>
      <c r="DM20" s="138">
        <f t="shared" si="50"/>
        <v>0.72623239436619713</v>
      </c>
      <c r="DN20" s="99">
        <f t="shared" si="51"/>
        <v>-1.2610258240747663</v>
      </c>
      <c r="DO20" s="138">
        <f t="shared" si="52"/>
        <v>0.49573545454420964</v>
      </c>
      <c r="DP20" s="99">
        <f t="shared" si="53"/>
        <v>2</v>
      </c>
      <c r="DQ20" s="26">
        <v>1103</v>
      </c>
      <c r="DR20" s="8">
        <f t="shared" si="54"/>
        <v>124</v>
      </c>
      <c r="DS20" s="27" t="s">
        <v>231</v>
      </c>
      <c r="DT20" s="7">
        <f t="shared" si="55"/>
        <v>59.682539682539677</v>
      </c>
      <c r="DU20" s="8">
        <f t="shared" si="56"/>
        <v>10135.125</v>
      </c>
      <c r="DV20" s="32">
        <f t="shared" si="57"/>
        <v>0.89850398936170217</v>
      </c>
      <c r="DW20" s="99">
        <f t="shared" si="58"/>
        <v>-2.0299202127659566</v>
      </c>
      <c r="DX20" s="14">
        <f t="shared" si="59"/>
        <v>4135.6595163806551</v>
      </c>
      <c r="DY20" s="99">
        <f t="shared" si="60"/>
        <v>10</v>
      </c>
      <c r="DZ20" s="103">
        <f t="shared" si="61"/>
        <v>0.50963444475869146</v>
      </c>
      <c r="EA20" s="99">
        <f t="shared" si="62"/>
        <v>0.57190128338952761</v>
      </c>
      <c r="EB20" s="103">
        <f>_xlfn.XLOOKUP(Q20,'Cem Sales'!$K$5:$K$33,'Cem Sales'!$DN$5:$DN$33, 0)</f>
        <v>0.15168539325842698</v>
      </c>
      <c r="EC20" s="99">
        <f t="shared" si="63"/>
        <v>1.5168539325842698</v>
      </c>
      <c r="ED20" s="8">
        <f t="shared" si="64"/>
        <v>30859.919999999998</v>
      </c>
      <c r="EE20" s="8">
        <f t="shared" si="65"/>
        <v>35460</v>
      </c>
      <c r="EF20" s="235">
        <f t="shared" si="66"/>
        <v>2075</v>
      </c>
      <c r="EG20" s="8">
        <f t="shared" si="67"/>
        <v>34197.46</v>
      </c>
      <c r="EH20" s="411">
        <f t="shared" si="68"/>
        <v>27</v>
      </c>
      <c r="EI20" s="1605">
        <v>6300</v>
      </c>
      <c r="EJ20" s="821">
        <f t="shared" si="69"/>
        <v>0.10629323435127383</v>
      </c>
      <c r="EK20" s="502">
        <v>1</v>
      </c>
      <c r="EL20" s="502"/>
      <c r="EM20" s="510">
        <v>18700</v>
      </c>
      <c r="EN20" s="435">
        <v>1870</v>
      </c>
      <c r="EO20" s="510">
        <v>46950</v>
      </c>
      <c r="EP20" s="435">
        <v>4695</v>
      </c>
      <c r="EQ20" s="510">
        <v>38800</v>
      </c>
      <c r="ER20" s="435">
        <v>3880</v>
      </c>
      <c r="ES20" s="510">
        <v>59600</v>
      </c>
      <c r="ET20" s="435">
        <v>5960</v>
      </c>
      <c r="EU20" s="510">
        <v>52970</v>
      </c>
      <c r="EV20" s="435">
        <v>10594</v>
      </c>
      <c r="EW20" s="1610">
        <v>52970</v>
      </c>
      <c r="EX20" s="834">
        <v>10594</v>
      </c>
      <c r="EY20" s="835">
        <f t="shared" si="70"/>
        <v>4.6652406417112298</v>
      </c>
      <c r="EZ20" s="1648">
        <f t="shared" si="71"/>
        <v>8</v>
      </c>
    </row>
    <row r="21" spans="1:156" ht="35" customHeight="1">
      <c r="A21" s="100">
        <f>_xlfn.XLOOKUP(Q21,'Cement Ranking'!$F$7:$F$35,'Cement Ranking'!$AO$7:$AO$35, "")</f>
        <v>14.380222800984832</v>
      </c>
      <c r="B21" s="100">
        <f>_xlfn.XLOOKUP(Q21,'Cement Ranking'!$F$7:$F$35,'Cement Ranking'!$AN$7:$AN$35, "")</f>
        <v>11.940187906386852</v>
      </c>
      <c r="C21" s="1585">
        <f t="shared" ca="1" si="1"/>
        <v>0.16716051729428974</v>
      </c>
      <c r="D21" s="1650">
        <f t="shared" si="2"/>
        <v>0.37509689028339377</v>
      </c>
      <c r="E21" s="1412">
        <f t="shared" si="3"/>
        <v>15.900000000000002</v>
      </c>
      <c r="F21" s="1413">
        <f t="shared" si="4"/>
        <v>13.899999999999999</v>
      </c>
      <c r="G21" s="2125" cm="1">
        <f t="array" ref="G21">IFERROR(_xlfn.XLOOKUP(Q21,'Sales Rec'!$E$4:$E$32,'Sales Rec'!$CU$4:$CU$32*100,""),"")</f>
        <v>-2.1002736523821341</v>
      </c>
      <c r="H21" s="2314">
        <f>_xlfn.XLOOKUP(Q21,'Sales Rec'!$E$4:$E$32,'Sales Rec'!$DQ$4:$DQ$32,"")</f>
        <v>0.67888138862102221</v>
      </c>
      <c r="I21" s="2311">
        <f>_xlfn.XLOOKUP(Q21,'Sales History'!$C$4:$C$83,'Sales History'!$AS$4:$AS$83,"")</f>
        <v>0.37378640776699029</v>
      </c>
      <c r="J21" s="2314">
        <f>_xlfn.XLOOKUP(Q21,'Sales History'!$C$4:$C$83,'Sales History'!$AW$4:$AW$83,"")</f>
        <v>0.51404958677685952</v>
      </c>
      <c r="K21" s="1942">
        <f>_xlfn.XLOOKUP(Q21,'Sales Rec'!$E$4:$E$91,'Sales Rec'!$CV$4:$CV$91,"")</f>
        <v>13</v>
      </c>
      <c r="L21" s="1575">
        <f>_xlfn.XLOOKUP(Q21,'Cement Ranking'!$F$7:$F$35,'Cement Ranking'!$AQ$7:$AQ$35,"")</f>
        <v>10</v>
      </c>
      <c r="M21" s="1588" t="str">
        <f>_xlfn.XLOOKUP(Q21,'Sales Rec'!$E$4:$E$32,'Sales Rec'!$DS$4:$DS$32,"")</f>
        <v>N</v>
      </c>
      <c r="N21" s="1587" t="str">
        <f>_xlfn.XLOOKUP(Q21,'Sales Rec'!$E$4:$E$32,'Sales Rec'!$DZ$4:$DZ$32,"")</f>
        <v>N</v>
      </c>
      <c r="O21" s="1937" t="str">
        <f>_xlfn.XLOOKUP($Q21,'History Records'!$B$7:$B$88,'History Records'!$G$7:$G$88,"")</f>
        <v/>
      </c>
      <c r="P21" s="60" t="s">
        <v>66</v>
      </c>
      <c r="Q21" s="124" t="s">
        <v>67</v>
      </c>
      <c r="R21" s="1570">
        <v>9</v>
      </c>
      <c r="S21" s="66">
        <f t="shared" si="5"/>
        <v>10186.5</v>
      </c>
      <c r="T21" s="2386">
        <f>_xlfn.XLOOKUP($Q21,'Price Record'!$C$6:$C$85,'Price Record'!H$6:H$85,"")</f>
        <v>67910</v>
      </c>
      <c r="U21" s="338">
        <f>_xlfn.XLOOKUP(Q21,'دیده بان بازار'!$A$3:$A$3542,'دیده بان بازار'!$M$3:$M$3542,"")</f>
        <v>2.99</v>
      </c>
      <c r="V21" s="2386">
        <f>_xlfn.XLOOKUP($Q21,'Price Record'!$C$6:$C$85,'Price Record'!G$6:G$85,"")</f>
        <v>67910</v>
      </c>
      <c r="W21" s="337">
        <f>_xlfn.XLOOKUP(Q21,'دیده بان بازار'!$A$3:$A$3542,'دیده بان بازار'!$J$3:$J$3542,"")</f>
        <v>2.99</v>
      </c>
      <c r="X21" s="1641">
        <f t="shared" si="6"/>
        <v>11344.5</v>
      </c>
      <c r="Y21" s="661" t="str">
        <f t="shared" si="7"/>
        <v/>
      </c>
      <c r="Z21" s="1031">
        <f t="shared" si="8"/>
        <v>0.34813393329804126</v>
      </c>
      <c r="AA21" s="511">
        <f t="shared" ca="1" si="9"/>
        <v>0.23178082191780822</v>
      </c>
      <c r="AB21" s="823">
        <f t="shared" ca="1" si="10"/>
        <v>-12.377990572365219</v>
      </c>
      <c r="AC21" s="1150">
        <f t="shared" si="11"/>
        <v>0.34813393329804126</v>
      </c>
      <c r="AD21" s="1150">
        <f t="shared" si="12"/>
        <v>0.66147447398466808</v>
      </c>
      <c r="AE21" s="1150">
        <f t="shared" si="13"/>
        <v>1.1155763239875389</v>
      </c>
      <c r="AF21" s="1150">
        <f t="shared" si="14"/>
        <v>2.1733644859813084</v>
      </c>
      <c r="AG21" s="1150">
        <f t="shared" si="15"/>
        <v>9.666492146596859</v>
      </c>
      <c r="AH21" s="275">
        <f t="shared" ca="1" si="16"/>
        <v>271</v>
      </c>
      <c r="AI21" s="1121">
        <v>46145</v>
      </c>
      <c r="AJ21" s="1554">
        <v>46235</v>
      </c>
      <c r="AK21" s="27">
        <v>1100000</v>
      </c>
      <c r="AL21" s="23">
        <v>1140000</v>
      </c>
      <c r="AM21" s="29">
        <f t="shared" si="17"/>
        <v>1500000000</v>
      </c>
      <c r="AN21" s="1225">
        <v>0.20880000000000001</v>
      </c>
      <c r="AO21" s="174">
        <f>_xlfn.XLOOKUP(Q21,'Cem Sales'!$K$5:$K$33,'Cem Sales'!$DU$5:$DU$33,"")</f>
        <v>2410</v>
      </c>
      <c r="AP21" s="1925">
        <v>1852</v>
      </c>
      <c r="AQ21" s="1925">
        <v>509</v>
      </c>
      <c r="AR21" s="766">
        <f>_xlfn.XLOOKUP(Q21,'Sales Rec'!$E$4:$E$86,'Sales Rec'!$X$4:$X$86,"")</f>
        <v>2939.7870230059234</v>
      </c>
      <c r="AS21" s="984">
        <f>_xlfn.XLOOKUP(Q21,'Sales Rec'!$E$4:$E$86,'Sales Rec'!$K$4:$K$86,"")</f>
        <v>4</v>
      </c>
      <c r="AT21" s="6">
        <f t="shared" si="18"/>
        <v>3.3764180610099932</v>
      </c>
      <c r="AU21" s="99">
        <f t="shared" si="19"/>
        <v>-9.500953933334241</v>
      </c>
      <c r="AV21" s="16">
        <v>1467</v>
      </c>
      <c r="AW21" s="16">
        <v>583</v>
      </c>
      <c r="AX21" s="1421">
        <f t="shared" si="20"/>
        <v>0.39700000000000002</v>
      </c>
      <c r="AY21" s="1419">
        <v>0.23799999999999999</v>
      </c>
      <c r="AZ21" s="1689">
        <v>0.27500000000000002</v>
      </c>
      <c r="BA21" s="1690">
        <v>0.31900000000000001</v>
      </c>
      <c r="BB21" s="100">
        <f t="shared" si="21"/>
        <v>10</v>
      </c>
      <c r="BC21" s="1420">
        <f t="shared" si="22"/>
        <v>0.309</v>
      </c>
      <c r="BD21" s="1419">
        <v>0.17</v>
      </c>
      <c r="BE21" s="1687">
        <v>0.20200000000000001</v>
      </c>
      <c r="BF21" s="1688">
        <v>0.21199999999999999</v>
      </c>
      <c r="BG21" s="306">
        <f t="shared" si="23"/>
        <v>8.8000000000000023E-2</v>
      </c>
      <c r="BH21" s="1861">
        <f t="shared" si="24"/>
        <v>258.19200000000006</v>
      </c>
      <c r="BI21" s="306">
        <f t="shared" si="25"/>
        <v>6.7999999999999977E-2</v>
      </c>
      <c r="BJ21" s="99">
        <v>0</v>
      </c>
      <c r="BK21" s="306">
        <f>_xlfn.XLOOKUP(Q21,'Sales Rec'!$E$4:$E$91,'Sales Rec'!$Y$4:$Y$91,"")</f>
        <v>0.58735800378289604</v>
      </c>
      <c r="BL21" s="99">
        <f t="shared" si="26"/>
        <v>5</v>
      </c>
      <c r="BM21" s="15"/>
      <c r="BN21" s="1803">
        <v>3</v>
      </c>
      <c r="BO21" s="842">
        <f t="shared" si="27"/>
        <v>2</v>
      </c>
      <c r="BP21" s="16">
        <v>1798</v>
      </c>
      <c r="BQ21" s="16">
        <v>6856</v>
      </c>
      <c r="BR21" s="16"/>
      <c r="BS21" s="1251">
        <f>(_xlfn.XLOOKUP(Q21,'Sales Rec'!$E$4:$E$32,'Sales Rec'!$X$4:$X$32)*BC21+CL21)*1000/CJ21</f>
        <v>11375.961267392202</v>
      </c>
      <c r="BT21" s="1246">
        <f t="shared" si="28"/>
        <v>13706.666666666668</v>
      </c>
      <c r="BU21" s="406"/>
      <c r="BV21" s="407">
        <f t="shared" si="29"/>
        <v>5.4149031097166063</v>
      </c>
      <c r="BW21" s="99">
        <f t="shared" si="30"/>
        <v>-2.0745155485830313</v>
      </c>
      <c r="BX21" s="18">
        <f t="shared" si="31"/>
        <v>1881.1970950544153</v>
      </c>
      <c r="BY21" s="18">
        <f t="shared" si="32"/>
        <v>1759.3264248704663</v>
      </c>
      <c r="BZ21" s="18">
        <f t="shared" si="33"/>
        <v>1167.0954481333517</v>
      </c>
      <c r="CA21" s="1710">
        <f t="shared" si="34"/>
        <v>9.7202846760685713</v>
      </c>
      <c r="CB21" s="266">
        <f>_xlfn.XLOOKUP($Q21,'Price Record'!$C$6:$C$85,'Price Record'!I$6:I$85,"")</f>
        <v>11726</v>
      </c>
      <c r="CC21" s="267">
        <f>_xlfn.XLOOKUP($Q21,'Price Record'!$C$6:$C$85,'Price Record'!J$6:J$85,"")</f>
        <v>5.79</v>
      </c>
      <c r="CD21" s="99">
        <f t="shared" si="35"/>
        <v>-2.37</v>
      </c>
      <c r="CE21" s="17">
        <f t="shared" si="36"/>
        <v>1.0551791756528213</v>
      </c>
      <c r="CF21" s="99">
        <f t="shared" si="37"/>
        <v>3.7792832973887149</v>
      </c>
      <c r="CG21" s="103">
        <f t="shared" si="38"/>
        <v>0.45037038426009462</v>
      </c>
      <c r="CH21" s="99">
        <f t="shared" si="39"/>
        <v>0.75555576390141899</v>
      </c>
      <c r="CI21" s="19"/>
      <c r="CJ21" s="708">
        <v>150</v>
      </c>
      <c r="CK21" s="419">
        <v>277</v>
      </c>
      <c r="CL21" s="468">
        <v>798</v>
      </c>
      <c r="CM21" s="843">
        <v>575</v>
      </c>
      <c r="CN21" s="21">
        <v>1028</v>
      </c>
      <c r="CO21" s="21">
        <v>45</v>
      </c>
      <c r="CP21" s="469">
        <f t="shared" si="40"/>
        <v>1028</v>
      </c>
      <c r="CQ21" s="1239">
        <f>(AR21*BC21)*(_xlfn.XLOOKUP($Q21,'Sales Rec'!$E$4:$E$32,'Sales Rec'!$L$4:$L$32,"")/12)+CO21</f>
        <v>574.89661089681772</v>
      </c>
      <c r="CR21" s="25">
        <v>1305</v>
      </c>
      <c r="CS21" s="57">
        <v>0</v>
      </c>
      <c r="CT21" s="2240" t="str">
        <f t="shared" si="41"/>
        <v/>
      </c>
      <c r="CU21" s="693">
        <f t="shared" si="42"/>
        <v>1470</v>
      </c>
      <c r="CV21" s="50">
        <v>1936</v>
      </c>
      <c r="CW21" s="25">
        <v>0</v>
      </c>
      <c r="CX21" s="50">
        <v>49</v>
      </c>
      <c r="CY21" s="53">
        <f t="shared" si="43"/>
        <v>1985</v>
      </c>
      <c r="CZ21" s="6">
        <f t="shared" si="44"/>
        <v>1.3982438016528926</v>
      </c>
      <c r="DA21" s="99">
        <f t="shared" si="45"/>
        <v>1.5859504132231415</v>
      </c>
      <c r="DB21" s="53">
        <f t="shared" si="46"/>
        <v>3455</v>
      </c>
      <c r="DC21" s="645">
        <f t="shared" si="47"/>
        <v>0.57452966714905929</v>
      </c>
      <c r="DD21" s="13">
        <v>748</v>
      </c>
      <c r="DE21" s="28">
        <v>267</v>
      </c>
      <c r="DF21" s="28">
        <v>477</v>
      </c>
      <c r="DG21" s="52">
        <v>2707</v>
      </c>
      <c r="DH21" s="8">
        <f t="shared" si="48"/>
        <v>771</v>
      </c>
      <c r="DI21" s="644">
        <f t="shared" si="49"/>
        <v>3.8129533372320665</v>
      </c>
      <c r="DJ21" s="26">
        <v>1076</v>
      </c>
      <c r="DK21" s="26">
        <v>827</v>
      </c>
      <c r="DL21" s="26">
        <v>616</v>
      </c>
      <c r="DM21" s="138">
        <f t="shared" si="50"/>
        <v>0.57452966714905929</v>
      </c>
      <c r="DN21" s="99">
        <f t="shared" si="51"/>
        <v>0.25600144809661218</v>
      </c>
      <c r="DO21" s="138">
        <f t="shared" si="52"/>
        <v>0</v>
      </c>
      <c r="DP21" s="99">
        <f t="shared" si="53"/>
        <v>0</v>
      </c>
      <c r="DQ21" s="26">
        <v>0</v>
      </c>
      <c r="DR21" s="8">
        <f t="shared" si="54"/>
        <v>188</v>
      </c>
      <c r="DS21" s="27" t="s">
        <v>231</v>
      </c>
      <c r="DT21" s="7">
        <f t="shared" si="55"/>
        <v>48.997113997113992</v>
      </c>
      <c r="DU21" s="8">
        <f t="shared" si="56"/>
        <v>10933.65</v>
      </c>
      <c r="DV21" s="32">
        <f t="shared" si="57"/>
        <v>1.0733470770136946</v>
      </c>
      <c r="DW21" s="99">
        <f t="shared" si="58"/>
        <v>1.4669415402738917</v>
      </c>
      <c r="DX21" s="14">
        <f t="shared" si="59"/>
        <v>2672.5336572781121</v>
      </c>
      <c r="DY21" s="99">
        <f t="shared" si="60"/>
        <v>0.97309335432408883</v>
      </c>
      <c r="DZ21" s="103">
        <f t="shared" si="61"/>
        <v>0.63990931327089706</v>
      </c>
      <c r="EA21" s="99">
        <f t="shared" si="62"/>
        <v>4.480147338755696</v>
      </c>
      <c r="EB21" s="103">
        <f>_xlfn.XLOOKUP(Q21,'Cem Sales'!$K$5:$K$33,'Cem Sales'!$DN$5:$DN$33, 0)</f>
        <v>2.8719126938541069E-3</v>
      </c>
      <c r="EC21" s="99">
        <f t="shared" si="63"/>
        <v>2.8719126938541069E-2</v>
      </c>
      <c r="ED21" s="8">
        <f t="shared" si="64"/>
        <v>44089.760000000002</v>
      </c>
      <c r="EE21" s="8">
        <f t="shared" si="65"/>
        <v>50988.800000000003</v>
      </c>
      <c r="EF21" s="235">
        <f t="shared" si="66"/>
        <v>1846.6666666666667</v>
      </c>
      <c r="EG21" s="8">
        <f t="shared" si="67"/>
        <v>48462.613333333335</v>
      </c>
      <c r="EH21" s="411">
        <f t="shared" si="68"/>
        <v>90</v>
      </c>
      <c r="EI21" s="1605">
        <v>6647</v>
      </c>
      <c r="EJ21" s="821">
        <f t="shared" si="69"/>
        <v>0.11657926583299717</v>
      </c>
      <c r="EK21" s="502">
        <v>0.51</v>
      </c>
      <c r="EL21" s="502"/>
      <c r="EM21" s="510">
        <v>9600</v>
      </c>
      <c r="EN21" s="435">
        <v>955</v>
      </c>
      <c r="EO21" s="510">
        <v>20740</v>
      </c>
      <c r="EP21" s="435">
        <v>3210</v>
      </c>
      <c r="EQ21" s="510">
        <v>32098</v>
      </c>
      <c r="ER21" s="435">
        <v>4815</v>
      </c>
      <c r="ES21" s="510">
        <v>40874</v>
      </c>
      <c r="ET21" s="435">
        <v>6131</v>
      </c>
      <c r="EU21" s="510">
        <v>50370</v>
      </c>
      <c r="EV21" s="435">
        <v>7556</v>
      </c>
      <c r="EW21" s="1610">
        <v>50370</v>
      </c>
      <c r="EX21" s="834">
        <v>7556</v>
      </c>
      <c r="EY21" s="835">
        <f t="shared" si="70"/>
        <v>6.9120418848167535</v>
      </c>
      <c r="EZ21" s="1648">
        <f t="shared" si="71"/>
        <v>4</v>
      </c>
    </row>
    <row r="22" spans="1:156" ht="35" customHeight="1">
      <c r="A22" s="100">
        <f>_xlfn.XLOOKUP(Q22,'Cement Ranking'!$F$7:$F$35,'Cement Ranking'!$AO$7:$AO$35, "")</f>
        <v>9.2730653097207458</v>
      </c>
      <c r="B22" s="100">
        <f>_xlfn.XLOOKUP(Q22,'Cement Ranking'!$F$7:$F$35,'Cement Ranking'!$AN$7:$AN$35, "")</f>
        <v>-5.2094126947273356</v>
      </c>
      <c r="C22" s="1585">
        <f t="shared" ca="1" si="1"/>
        <v>0.11050072754218415</v>
      </c>
      <c r="D22" s="1650">
        <f t="shared" si="2"/>
        <v>1.6754968860582222</v>
      </c>
      <c r="E22" s="1412">
        <f t="shared" si="3"/>
        <v>-2.0000000000000018</v>
      </c>
      <c r="F22" s="1413">
        <f t="shared" si="4"/>
        <v>-4.299999999999998</v>
      </c>
      <c r="G22" s="2125" cm="1">
        <f t="array" ref="G22">IFERROR(_xlfn.XLOOKUP(Q22,'Sales Rec'!$E$4:$E$32,'Sales Rec'!$CU$4:$CU$32*100,""),"")</f>
        <v>-15.65314791497916</v>
      </c>
      <c r="H22" s="2314">
        <f>_xlfn.XLOOKUP(Q22,'Sales Rec'!$E$4:$E$32,'Sales Rec'!$DQ$4:$DQ$32,"")</f>
        <v>0.61215805471124618</v>
      </c>
      <c r="I22" s="2311">
        <f>_xlfn.XLOOKUP(Q22,'Sales History'!$C$4:$C$83,'Sales History'!$AS$4:$AS$83,"")</f>
        <v>0.36524100475220639</v>
      </c>
      <c r="J22" s="2314">
        <f>_xlfn.XLOOKUP(Q22,'Sales History'!$C$4:$C$83,'Sales History'!$AW$4:$AW$83,"")</f>
        <v>0.55516514406184114</v>
      </c>
      <c r="K22" s="1942">
        <f>_xlfn.XLOOKUP(Q22,'Sales Rec'!$E$4:$E$91,'Sales Rec'!$CV$4:$CV$91,"")</f>
        <v>15</v>
      </c>
      <c r="L22" s="1575">
        <f>_xlfn.XLOOKUP(Q22,'Cement Ranking'!$F$7:$F$35,'Cement Ranking'!$AQ$7:$AQ$35,"")</f>
        <v>24</v>
      </c>
      <c r="M22" s="1588" t="str">
        <f>_xlfn.XLOOKUP(Q22,'Sales Rec'!$E$4:$E$32,'Sales Rec'!$DS$4:$DS$32,"")</f>
        <v>N</v>
      </c>
      <c r="N22" s="1587" t="str">
        <f>_xlfn.XLOOKUP(Q22,'Sales Rec'!$E$4:$E$32,'Sales Rec'!$DZ$4:$DZ$32,"")</f>
        <v>B</v>
      </c>
      <c r="O22" s="1937" t="str">
        <f>_xlfn.XLOOKUP($Q22,'History Records'!$B$7:$B$88,'History Records'!$G$7:$G$88,"")</f>
        <v/>
      </c>
      <c r="P22" s="60" t="s">
        <v>52</v>
      </c>
      <c r="Q22" s="124" t="s">
        <v>53</v>
      </c>
      <c r="R22" s="1570">
        <v>12</v>
      </c>
      <c r="S22" s="66">
        <f t="shared" si="5"/>
        <v>17782.426080000001</v>
      </c>
      <c r="T22" s="2386">
        <f>_xlfn.XLOOKUP($Q22,'Price Record'!$C$6:$C$85,'Price Record'!H$6:H$85,"")</f>
        <v>10350</v>
      </c>
      <c r="U22" s="338">
        <f>_xlfn.XLOOKUP(Q22,'دیده بان بازار'!$A$3:$A$3542,'دیده بان بازار'!$M$3:$M$3542,"")</f>
        <v>2.99</v>
      </c>
      <c r="V22" s="2386">
        <f>_xlfn.XLOOKUP($Q22,'Price Record'!$C$6:$C$85,'Price Record'!G$6:G$85,"")</f>
        <v>10350</v>
      </c>
      <c r="W22" s="337">
        <f>_xlfn.XLOOKUP(Q22,'دیده بان بازار'!$A$3:$A$3542,'دیده بان بازار'!$J$3:$J$3542,"")</f>
        <v>2.99</v>
      </c>
      <c r="X22" s="1641">
        <f t="shared" si="6"/>
        <v>22039.426080000001</v>
      </c>
      <c r="Y22" s="661" t="str">
        <f t="shared" si="7"/>
        <v/>
      </c>
      <c r="Z22" s="1031">
        <f t="shared" si="8"/>
        <v>5.3960768136557674E-2</v>
      </c>
      <c r="AA22" s="511">
        <f t="shared" ca="1" si="9"/>
        <v>0.13068493150684932</v>
      </c>
      <c r="AB22" s="823">
        <f t="shared" ca="1" si="10"/>
        <v>14.476257239677668</v>
      </c>
      <c r="AC22" s="1150">
        <f t="shared" si="11"/>
        <v>5.3960768136557674E-2</v>
      </c>
      <c r="AD22" s="1150">
        <f t="shared" si="12"/>
        <v>-2.1168818186822199E-2</v>
      </c>
      <c r="AE22" s="1150">
        <f t="shared" si="13"/>
        <v>0.99399260820811852</v>
      </c>
      <c r="AF22" s="1150">
        <f t="shared" si="14"/>
        <v>1.135514120331452</v>
      </c>
      <c r="AG22" s="1150">
        <f t="shared" si="15"/>
        <v>3.920427802988379</v>
      </c>
      <c r="AH22" s="275">
        <f t="shared" ca="1" si="16"/>
        <v>312</v>
      </c>
      <c r="AI22" s="1121">
        <v>46186</v>
      </c>
      <c r="AJ22" s="1554">
        <v>46285</v>
      </c>
      <c r="AK22" s="27">
        <v>2480000</v>
      </c>
      <c r="AL22" s="23">
        <v>2580000</v>
      </c>
      <c r="AM22" s="29">
        <f t="shared" si="17"/>
        <v>17181088000</v>
      </c>
      <c r="AN22" s="1225">
        <v>0.1212</v>
      </c>
      <c r="AO22" s="174">
        <f>_xlfn.XLOOKUP(Q22,'Cem Sales'!$K$5:$K$33,'Cem Sales'!$DU$5:$DU$33,"")</f>
        <v>6390</v>
      </c>
      <c r="AP22" s="1925">
        <v>5941</v>
      </c>
      <c r="AQ22" s="1925">
        <v>2826</v>
      </c>
      <c r="AR22" s="766">
        <f>_xlfn.XLOOKUP(Q22,'Sales Rec'!$E$4:$E$86,'Sales Rec'!$X$4:$X$86,"")</f>
        <v>8514.9155015197575</v>
      </c>
      <c r="AS22" s="984">
        <f>_xlfn.XLOOKUP(Q22,'Sales Rec'!$E$4:$E$86,'Sales Rec'!$K$4:$K$86,"")</f>
        <v>4</v>
      </c>
      <c r="AT22" s="6">
        <f t="shared" si="18"/>
        <v>2.0883855015150958</v>
      </c>
      <c r="AU22" s="99">
        <f t="shared" si="19"/>
        <v>3.3793716616147318</v>
      </c>
      <c r="AV22" s="16">
        <v>2011</v>
      </c>
      <c r="AW22" s="16">
        <v>1000</v>
      </c>
      <c r="AX22" s="1421">
        <f t="shared" si="20"/>
        <v>0.497</v>
      </c>
      <c r="AY22" s="1419">
        <v>0.51700000000000002</v>
      </c>
      <c r="AZ22" s="1689">
        <v>0.47599999999999998</v>
      </c>
      <c r="BA22" s="1690">
        <v>0.54800000000000004</v>
      </c>
      <c r="BB22" s="100">
        <f t="shared" si="21"/>
        <v>-4.299999999999998</v>
      </c>
      <c r="BC22" s="1420">
        <f t="shared" si="22"/>
        <v>0.38800000000000001</v>
      </c>
      <c r="BD22" s="1419">
        <v>0.43099999999999999</v>
      </c>
      <c r="BE22" s="1687">
        <v>0.35699999999999998</v>
      </c>
      <c r="BF22" s="1688">
        <v>0.46400000000000002</v>
      </c>
      <c r="BG22" s="306">
        <f t="shared" si="23"/>
        <v>0.10899999999999999</v>
      </c>
      <c r="BH22" s="1861">
        <f t="shared" si="24"/>
        <v>876.79599999999994</v>
      </c>
      <c r="BI22" s="306">
        <f t="shared" si="25"/>
        <v>8.6000000000000021E-2</v>
      </c>
      <c r="BJ22" s="99">
        <v>0</v>
      </c>
      <c r="BK22" s="306">
        <f>_xlfn.XLOOKUP(Q22,'Sales Rec'!$E$4:$E$91,'Sales Rec'!$Y$4:$Y$91,"")</f>
        <v>0.43324617093414536</v>
      </c>
      <c r="BL22" s="99">
        <f t="shared" si="26"/>
        <v>5</v>
      </c>
      <c r="BM22" s="15"/>
      <c r="BN22" s="1803">
        <v>3</v>
      </c>
      <c r="BO22" s="842">
        <f t="shared" si="27"/>
        <v>1</v>
      </c>
      <c r="BP22" s="16">
        <v>480</v>
      </c>
      <c r="BQ22" s="16"/>
      <c r="BR22" s="16"/>
      <c r="BS22" s="1251">
        <f>(_xlfn.XLOOKUP(Q22,'Sales Rec'!$E$4:$E$32,'Sales Rec'!$X$4:$X$32)*BC22+CL22)*1000/CJ22</f>
        <v>2003.8237477100786</v>
      </c>
      <c r="BT22" s="1246">
        <f t="shared" si="28"/>
        <v>1920.7165460068652</v>
      </c>
      <c r="BU22" s="406"/>
      <c r="BV22" s="407">
        <f t="shared" si="29"/>
        <v>5.274503113941778</v>
      </c>
      <c r="BW22" s="99">
        <f t="shared" si="30"/>
        <v>-1.3725155697088898</v>
      </c>
      <c r="BX22" s="18">
        <f t="shared" si="31"/>
        <v>3371.3936072948331</v>
      </c>
      <c r="BY22" s="18">
        <f t="shared" si="32"/>
        <v>2558.6224575539568</v>
      </c>
      <c r="BZ22" s="18">
        <f t="shared" si="33"/>
        <v>4231.9130042553197</v>
      </c>
      <c r="CA22" s="1710">
        <f t="shared" si="34"/>
        <v>5.2079109513448589</v>
      </c>
      <c r="CB22" s="266">
        <f>_xlfn.XLOOKUP($Q22,'Price Record'!$C$6:$C$85,'Price Record'!I$6:I$85,"")</f>
        <v>1489</v>
      </c>
      <c r="CC22" s="267">
        <f>_xlfn.XLOOKUP($Q22,'Price Record'!$C$6:$C$85,'Price Record'!J$6:J$85,"")</f>
        <v>6.95</v>
      </c>
      <c r="CD22" s="99">
        <f t="shared" si="35"/>
        <v>-5.8500000000000005</v>
      </c>
      <c r="CE22" s="17">
        <f t="shared" si="36"/>
        <v>1.4679389523939388</v>
      </c>
      <c r="CF22" s="99">
        <f t="shared" si="37"/>
        <v>2.1282441904242448</v>
      </c>
      <c r="CG22" s="103">
        <f t="shared" si="38"/>
        <v>0.50804605293773852</v>
      </c>
      <c r="CH22" s="99">
        <f t="shared" si="39"/>
        <v>1.6206907940660775</v>
      </c>
      <c r="CI22" s="19"/>
      <c r="CJ22" s="708">
        <v>1718.1088</v>
      </c>
      <c r="CK22" s="419">
        <v>166</v>
      </c>
      <c r="CL22" s="468">
        <v>139</v>
      </c>
      <c r="CM22" s="843">
        <v>44</v>
      </c>
      <c r="CN22" s="21">
        <v>825</v>
      </c>
      <c r="CO22" s="21"/>
      <c r="CP22" s="469">
        <f t="shared" si="40"/>
        <v>825</v>
      </c>
      <c r="CQ22" s="1239">
        <f>(AR22*BC22)*(_xlfn.XLOOKUP($Q22,'Sales Rec'!$E$4:$E$32,'Sales Rec'!$L$4:$L$32,"")/12)+CO22</f>
        <v>1101.2624048632219</v>
      </c>
      <c r="CR22" s="25">
        <v>991</v>
      </c>
      <c r="CS22" s="57">
        <v>-33</v>
      </c>
      <c r="CT22" s="2240" t="str">
        <f t="shared" si="41"/>
        <v/>
      </c>
      <c r="CU22" s="693">
        <f t="shared" si="42"/>
        <v>2853</v>
      </c>
      <c r="CV22" s="50">
        <v>4701</v>
      </c>
      <c r="CW22" s="25">
        <v>260</v>
      </c>
      <c r="CX22" s="50">
        <v>248</v>
      </c>
      <c r="CY22" s="53">
        <f t="shared" si="43"/>
        <v>4949</v>
      </c>
      <c r="CZ22" s="6">
        <f t="shared" si="44"/>
        <v>0.80472239948947033</v>
      </c>
      <c r="DA22" s="99">
        <f t="shared" si="45"/>
        <v>-3.162220804084237</v>
      </c>
      <c r="DB22" s="53">
        <f t="shared" si="46"/>
        <v>7802</v>
      </c>
      <c r="DC22" s="645">
        <f t="shared" si="47"/>
        <v>0.63432453217123819</v>
      </c>
      <c r="DD22" s="13">
        <v>4019</v>
      </c>
      <c r="DE22" s="28">
        <v>3816</v>
      </c>
      <c r="DF22" s="28">
        <v>176</v>
      </c>
      <c r="DG22" s="52">
        <v>3783</v>
      </c>
      <c r="DH22" s="8">
        <f t="shared" si="48"/>
        <v>-918</v>
      </c>
      <c r="DI22" s="644">
        <f t="shared" si="49"/>
        <v>-9.2755070822655306</v>
      </c>
      <c r="DJ22" s="26">
        <v>2394</v>
      </c>
      <c r="DK22" s="26">
        <v>517</v>
      </c>
      <c r="DL22" s="26">
        <v>165</v>
      </c>
      <c r="DM22" s="138">
        <f t="shared" si="50"/>
        <v>0.63432453217123819</v>
      </c>
      <c r="DN22" s="99">
        <f t="shared" si="51"/>
        <v>-0.34194720212517682</v>
      </c>
      <c r="DO22" s="138">
        <f t="shared" si="52"/>
        <v>-2.0085479052742782E-2</v>
      </c>
      <c r="DP22" s="99">
        <f t="shared" si="53"/>
        <v>0</v>
      </c>
      <c r="DQ22" s="26">
        <v>175</v>
      </c>
      <c r="DR22" s="8">
        <f t="shared" si="54"/>
        <v>532</v>
      </c>
      <c r="DS22" s="27" t="s">
        <v>231</v>
      </c>
      <c r="DT22" s="7">
        <f t="shared" si="55"/>
        <v>37.938270353302613</v>
      </c>
      <c r="DU22" s="8">
        <f t="shared" si="56"/>
        <v>21953.294999999998</v>
      </c>
      <c r="DV22" s="32">
        <f t="shared" si="57"/>
        <v>1.2345500496521675</v>
      </c>
      <c r="DW22" s="99">
        <f t="shared" si="58"/>
        <v>4.6910009930433505</v>
      </c>
      <c r="DX22" s="14">
        <f t="shared" si="59"/>
        <v>3433.4336699676442</v>
      </c>
      <c r="DY22" s="99">
        <f t="shared" si="60"/>
        <v>9.7914770114047318</v>
      </c>
      <c r="DZ22" s="103">
        <f t="shared" si="61"/>
        <v>0.39593976084590632</v>
      </c>
      <c r="EA22" s="99">
        <f t="shared" si="62"/>
        <v>-2.8389392339940267</v>
      </c>
      <c r="EB22" s="103">
        <f>_xlfn.XLOOKUP(Q22,'Cem Sales'!$K$5:$K$33,'Cem Sales'!$DN$5:$DN$33, 0)</f>
        <v>5.2790346907993967E-2</v>
      </c>
      <c r="EC22" s="99">
        <f t="shared" si="63"/>
        <v>0.52790346907993968</v>
      </c>
      <c r="ED22" s="8">
        <f t="shared" si="64"/>
        <v>5419.96</v>
      </c>
      <c r="EE22" s="8">
        <f t="shared" si="65"/>
        <v>6914.5795656247146</v>
      </c>
      <c r="EF22" s="235">
        <f t="shared" si="66"/>
        <v>96.617862617315041</v>
      </c>
      <c r="EG22" s="8">
        <f t="shared" si="67"/>
        <v>6215.5787141210149</v>
      </c>
      <c r="EH22" s="411">
        <f t="shared" si="68"/>
        <v>99</v>
      </c>
      <c r="EI22" s="1605">
        <v>1300</v>
      </c>
      <c r="EJ22" s="821">
        <f t="shared" si="69"/>
        <v>0.11690647482014388</v>
      </c>
      <c r="EK22" s="502">
        <v>25.43</v>
      </c>
      <c r="EL22" s="502"/>
      <c r="EM22" s="510">
        <v>55600</v>
      </c>
      <c r="EN22" s="435">
        <v>3614</v>
      </c>
      <c r="EO22" s="510">
        <v>128100</v>
      </c>
      <c r="EP22" s="435">
        <v>8327</v>
      </c>
      <c r="EQ22" s="510">
        <v>137200</v>
      </c>
      <c r="ER22" s="435">
        <v>8918</v>
      </c>
      <c r="ES22" s="510">
        <v>1076</v>
      </c>
      <c r="ET22" s="435">
        <v>18167</v>
      </c>
      <c r="EU22" s="510">
        <v>9820</v>
      </c>
      <c r="EV22" s="435">
        <v>16872</v>
      </c>
      <c r="EW22" s="1610">
        <v>9820</v>
      </c>
      <c r="EX22" s="834">
        <v>16872</v>
      </c>
      <c r="EY22" s="835">
        <f t="shared" si="70"/>
        <v>3.6685113447703377</v>
      </c>
      <c r="EZ22" s="1648">
        <f t="shared" si="71"/>
        <v>14</v>
      </c>
    </row>
    <row r="23" spans="1:156" ht="35" customHeight="1">
      <c r="A23" s="100">
        <f>_xlfn.XLOOKUP(Q23,'Cement Ranking'!$F$7:$F$35,'Cement Ranking'!$AO$7:$AO$35, "")</f>
        <v>8.9839762773261249</v>
      </c>
      <c r="B23" s="100">
        <f>_xlfn.XLOOKUP(Q23,'Cement Ranking'!$F$7:$F$35,'Cement Ranking'!$AN$7:$AN$35, "")</f>
        <v>0.59572866302527594</v>
      </c>
      <c r="C23" s="1585">
        <f t="shared" ca="1" si="1"/>
        <v>0.18845039821463286</v>
      </c>
      <c r="D23" s="1650">
        <f t="shared" si="2"/>
        <v>0.98954066987665801</v>
      </c>
      <c r="E23" s="1412">
        <f t="shared" si="3"/>
        <v>4.4000000000000039</v>
      </c>
      <c r="F23" s="1413">
        <f t="shared" si="4"/>
        <v>1.8000000000000016</v>
      </c>
      <c r="G23" s="2125" cm="1">
        <f t="array" ref="G23">IFERROR(_xlfn.XLOOKUP(Q23,'Sales Rec'!$E$4:$E$32,'Sales Rec'!$CU$4:$CU$32*100,""),"")</f>
        <v>0.79190865643614661</v>
      </c>
      <c r="H23" s="2314">
        <f>_xlfn.XLOOKUP(Q23,'Sales Rec'!$E$4:$E$32,'Sales Rec'!$DQ$4:$DQ$32,"")</f>
        <v>0.82807498856881578</v>
      </c>
      <c r="I23" s="2311">
        <f>_xlfn.XLOOKUP(Q23,'Sales History'!$C$4:$C$83,'Sales History'!$AS$4:$AS$83,"")</f>
        <v>0.54595015576323991</v>
      </c>
      <c r="J23" s="2314">
        <f>_xlfn.XLOOKUP(Q23,'Sales History'!$C$4:$C$83,'Sales History'!$AW$4:$AW$83,"")</f>
        <v>0.67243975903614461</v>
      </c>
      <c r="K23" s="1942">
        <f>_xlfn.XLOOKUP(Q23,'Sales Rec'!$E$4:$E$91,'Sales Rec'!$CV$4:$CV$91,"")</f>
        <v>7</v>
      </c>
      <c r="L23" s="1575">
        <f>_xlfn.XLOOKUP(Q23,'Cement Ranking'!$F$7:$F$35,'Cement Ranking'!$AQ$7:$AQ$35,"")</f>
        <v>13</v>
      </c>
      <c r="M23" s="1587" t="str">
        <f>_xlfn.XLOOKUP(Q23,'Sales Rec'!$E$4:$E$32,'Sales Rec'!$DS$4:$DS$32,"")</f>
        <v>B</v>
      </c>
      <c r="N23" s="1587" t="str">
        <f>_xlfn.XLOOKUP(Q23,'Sales Rec'!$E$4:$E$32,'Sales Rec'!$DZ$4:$DZ$32,"")</f>
        <v>B</v>
      </c>
      <c r="O23" s="1937" t="str">
        <f>_xlfn.XLOOKUP($Q23,'History Records'!$B$7:$B$88,'History Records'!$G$7:$G$88,"")</f>
        <v/>
      </c>
      <c r="P23" s="60" t="s">
        <v>64</v>
      </c>
      <c r="Q23" s="124" t="s">
        <v>65</v>
      </c>
      <c r="R23" s="1570">
        <v>9</v>
      </c>
      <c r="S23" s="66">
        <f t="shared" si="5"/>
        <v>18635.562000000002</v>
      </c>
      <c r="T23" s="2386">
        <f>_xlfn.XLOOKUP($Q23,'Price Record'!$C$6:$C$85,'Price Record'!H$6:H$85,"")</f>
        <v>75570</v>
      </c>
      <c r="U23" s="338">
        <f>_xlfn.XLOOKUP(Q23,'دیده بان بازار'!$A$3:$A$3542,'دیده بان بازار'!$M$3:$M$3542,"")</f>
        <v>3</v>
      </c>
      <c r="V23" s="2386">
        <f>_xlfn.XLOOKUP($Q23,'Price Record'!$C$6:$C$85,'Price Record'!G$6:G$85,"")</f>
        <v>75570</v>
      </c>
      <c r="W23" s="337">
        <f>_xlfn.XLOOKUP(Q23,'دیده بان بازار'!$A$3:$A$3542,'دیده بان بازار'!$J$3:$J$3542,"")</f>
        <v>3</v>
      </c>
      <c r="X23" s="1641">
        <f t="shared" si="6"/>
        <v>20334.562000000002</v>
      </c>
      <c r="Y23" s="661" t="str">
        <f t="shared" si="7"/>
        <v/>
      </c>
      <c r="Z23" s="1031">
        <f t="shared" si="8"/>
        <v>0.97829745222929954</v>
      </c>
      <c r="AA23" s="511">
        <f t="shared" ca="1" si="9"/>
        <v>0.43643835616438359</v>
      </c>
      <c r="AB23" s="823">
        <f t="shared" ca="1" si="10"/>
        <v>-30.613508252255134</v>
      </c>
      <c r="AC23" s="1150">
        <f t="shared" si="11"/>
        <v>0.97829745222929954</v>
      </c>
      <c r="AD23" s="1150">
        <f t="shared" si="12"/>
        <v>0.80227872340425543</v>
      </c>
      <c r="AE23" s="1150">
        <f t="shared" si="13"/>
        <v>2.3445014357501797</v>
      </c>
      <c r="AF23" s="1150">
        <f t="shared" si="14"/>
        <v>3.6219151785714292</v>
      </c>
      <c r="AG23" s="1150">
        <f t="shared" si="15"/>
        <v>5.6722384532760479</v>
      </c>
      <c r="AH23" s="275">
        <f t="shared" ca="1" si="16"/>
        <v>188</v>
      </c>
      <c r="AI23" s="1121">
        <v>46062</v>
      </c>
      <c r="AJ23" s="1856">
        <v>46147</v>
      </c>
      <c r="AK23" s="27">
        <v>2200000</v>
      </c>
      <c r="AL23" s="23">
        <v>2280000</v>
      </c>
      <c r="AM23" s="29">
        <f t="shared" si="17"/>
        <v>2466000000</v>
      </c>
      <c r="AN23" s="1225">
        <v>0.2445</v>
      </c>
      <c r="AO23" s="174">
        <f>_xlfn.XLOOKUP(Q23,'Cem Sales'!$K$5:$K$33,'Cem Sales'!$DU$5:$DU$33,"")</f>
        <v>5652</v>
      </c>
      <c r="AP23" s="1925">
        <v>4210</v>
      </c>
      <c r="AQ23" s="1925">
        <v>2151</v>
      </c>
      <c r="AR23" s="766">
        <f>_xlfn.XLOOKUP(Q23,'Sales Rec'!$E$4:$E$86,'Sales Rec'!$X$4:$X$86,"")</f>
        <v>7066.7764223659287</v>
      </c>
      <c r="AS23" s="984">
        <f>_xlfn.XLOOKUP(Q23,'Sales Rec'!$E$4:$E$86,'Sales Rec'!$K$4:$K$86,"")</f>
        <v>4</v>
      </c>
      <c r="AT23" s="6">
        <f t="shared" si="18"/>
        <v>2.6361612263605521</v>
      </c>
      <c r="AU23" s="99">
        <f t="shared" si="19"/>
        <v>-2.0983855868398305</v>
      </c>
      <c r="AV23" s="16">
        <v>3269</v>
      </c>
      <c r="AW23" s="16">
        <v>1792</v>
      </c>
      <c r="AX23" s="1421">
        <f t="shared" si="20"/>
        <v>0.54800000000000004</v>
      </c>
      <c r="AY23" s="1419">
        <v>0.504</v>
      </c>
      <c r="AZ23" s="1689">
        <v>0.51100000000000001</v>
      </c>
      <c r="BA23" s="1690">
        <v>0.50900000000000001</v>
      </c>
      <c r="BB23" s="100">
        <f t="shared" si="21"/>
        <v>1.8000000000000016</v>
      </c>
      <c r="BC23" s="1420">
        <f t="shared" si="22"/>
        <v>0.46</v>
      </c>
      <c r="BD23" s="1419">
        <v>0.442</v>
      </c>
      <c r="BE23" s="1687">
        <v>0.45100000000000001</v>
      </c>
      <c r="BF23" s="1688">
        <v>0.434</v>
      </c>
      <c r="BG23" s="306">
        <f t="shared" si="23"/>
        <v>8.8000000000000023E-2</v>
      </c>
      <c r="BH23" s="1861">
        <f t="shared" si="24"/>
        <v>575.34400000000016</v>
      </c>
      <c r="BI23" s="306">
        <f t="shared" si="25"/>
        <v>6.2E-2</v>
      </c>
      <c r="BJ23" s="99">
        <v>0</v>
      </c>
      <c r="BK23" s="306">
        <f>_xlfn.XLOOKUP(Q23,'Sales Rec'!$E$4:$E$91,'Sales Rec'!$Y$4:$Y$91,"")</f>
        <v>0.6785692214645912</v>
      </c>
      <c r="BL23" s="99">
        <f t="shared" si="26"/>
        <v>-5</v>
      </c>
      <c r="BM23" s="15"/>
      <c r="BN23" s="1803">
        <v>3</v>
      </c>
      <c r="BO23" s="842">
        <f t="shared" si="27"/>
        <v>2</v>
      </c>
      <c r="BP23" s="16">
        <v>2087</v>
      </c>
      <c r="BQ23" s="16">
        <v>6896</v>
      </c>
      <c r="BR23" s="16"/>
      <c r="BS23" s="1251">
        <f>(_xlfn.XLOOKUP(Q23,'Sales Rec'!$E$4:$E$32,'Sales Rec'!$X$4:$X$32)*BC23+CL23)*1000/CJ23</f>
        <v>14147.271509685026</v>
      </c>
      <c r="BT23" s="1246">
        <f t="shared" si="28"/>
        <v>13787.510137875101</v>
      </c>
      <c r="BU23" s="406"/>
      <c r="BV23" s="407">
        <f t="shared" si="29"/>
        <v>5.4104593301233423</v>
      </c>
      <c r="BW23" s="99">
        <f t="shared" si="30"/>
        <v>-2.0522966506167117</v>
      </c>
      <c r="BX23" s="18">
        <f t="shared" si="31"/>
        <v>3444.358577144164</v>
      </c>
      <c r="BY23" s="18">
        <f t="shared" si="32"/>
        <v>2911.8065624999999</v>
      </c>
      <c r="BZ23" s="18">
        <f t="shared" si="33"/>
        <v>3872.5934794565292</v>
      </c>
      <c r="CA23" s="1710">
        <f t="shared" si="34"/>
        <v>5.2508899030769705</v>
      </c>
      <c r="CB23" s="266">
        <f>_xlfn.XLOOKUP($Q23,'Price Record'!$C$6:$C$85,'Price Record'!I$6:I$85,"")</f>
        <v>11804</v>
      </c>
      <c r="CC23" s="267">
        <f>_xlfn.XLOOKUP($Q23,'Price Record'!$C$6:$C$85,'Price Record'!J$6:J$85,"")</f>
        <v>6.4</v>
      </c>
      <c r="CD23" s="99">
        <f t="shared" si="35"/>
        <v>-4.2000000000000011</v>
      </c>
      <c r="CE23" s="17">
        <f t="shared" si="36"/>
        <v>0.64279021780470469</v>
      </c>
      <c r="CF23" s="99">
        <f t="shared" si="37"/>
        <v>5.4288391287811812</v>
      </c>
      <c r="CG23" s="103">
        <f t="shared" si="38"/>
        <v>0.72881053261620055</v>
      </c>
      <c r="CH23" s="99">
        <f t="shared" si="39"/>
        <v>4.9321579892430076</v>
      </c>
      <c r="CI23" s="19"/>
      <c r="CJ23" s="708">
        <v>246.6</v>
      </c>
      <c r="CK23" s="419">
        <v>298</v>
      </c>
      <c r="CL23" s="468">
        <v>238</v>
      </c>
      <c r="CM23" s="843">
        <v>196</v>
      </c>
      <c r="CN23" s="21">
        <v>1700</v>
      </c>
      <c r="CO23" s="21">
        <v>1</v>
      </c>
      <c r="CP23" s="469">
        <f t="shared" si="40"/>
        <v>1700</v>
      </c>
      <c r="CQ23" s="1239">
        <f>(AR23*BC23)*(_xlfn.XLOOKUP($Q23,'Sales Rec'!$E$4:$E$32,'Sales Rec'!$L$4:$L$32,"")/12)+CO23</f>
        <v>1897.2516733348577</v>
      </c>
      <c r="CR23" s="25">
        <v>1998</v>
      </c>
      <c r="CS23" s="57">
        <v>0</v>
      </c>
      <c r="CT23" s="2240" t="str">
        <f t="shared" si="41"/>
        <v/>
      </c>
      <c r="CU23" s="693">
        <f t="shared" si="42"/>
        <v>2269</v>
      </c>
      <c r="CV23" s="50">
        <v>2136</v>
      </c>
      <c r="CW23" s="25">
        <v>272</v>
      </c>
      <c r="CX23" s="50">
        <v>78</v>
      </c>
      <c r="CY23" s="53">
        <f t="shared" si="43"/>
        <v>2214</v>
      </c>
      <c r="CZ23" s="6">
        <f t="shared" si="44"/>
        <v>1.1502808988764044</v>
      </c>
      <c r="DA23" s="99">
        <f t="shared" si="45"/>
        <v>-0.39775280898876453</v>
      </c>
      <c r="DB23" s="53">
        <f t="shared" si="46"/>
        <v>4483</v>
      </c>
      <c r="DC23" s="645">
        <f t="shared" si="47"/>
        <v>0.4938657149230426</v>
      </c>
      <c r="DD23" s="13">
        <v>2026</v>
      </c>
      <c r="DE23" s="28">
        <v>608</v>
      </c>
      <c r="DF23" s="1429">
        <v>1375</v>
      </c>
      <c r="DG23" s="52">
        <v>2457</v>
      </c>
      <c r="DH23" s="8">
        <f t="shared" si="48"/>
        <v>321</v>
      </c>
      <c r="DI23" s="644">
        <f t="shared" si="49"/>
        <v>22.014879820454606</v>
      </c>
      <c r="DJ23" s="26">
        <v>1448</v>
      </c>
      <c r="DK23" s="26">
        <v>493</v>
      </c>
      <c r="DL23" s="26">
        <v>105</v>
      </c>
      <c r="DM23" s="138">
        <f t="shared" si="50"/>
        <v>0.4938657149230426</v>
      </c>
      <c r="DN23" s="99">
        <f t="shared" si="51"/>
        <v>1.062640970356779</v>
      </c>
      <c r="DO23" s="138">
        <f t="shared" si="52"/>
        <v>-6.4556220870124595E-2</v>
      </c>
      <c r="DP23" s="99">
        <f t="shared" si="53"/>
        <v>0</v>
      </c>
      <c r="DQ23" s="26">
        <v>22</v>
      </c>
      <c r="DR23" s="1361">
        <f t="shared" si="54"/>
        <v>389</v>
      </c>
      <c r="DS23" s="27" t="s">
        <v>231</v>
      </c>
      <c r="DT23" s="7">
        <f t="shared" si="55"/>
        <v>44.818571428571431</v>
      </c>
      <c r="DU23" s="8">
        <f t="shared" si="56"/>
        <v>19717.424999999999</v>
      </c>
      <c r="DV23" s="32">
        <f t="shared" si="57"/>
        <v>1.0580536825237681</v>
      </c>
      <c r="DW23" s="99">
        <f t="shared" si="58"/>
        <v>1.1610736504753616</v>
      </c>
      <c r="DX23" s="14">
        <f t="shared" si="59"/>
        <v>3212.171101075422</v>
      </c>
      <c r="DY23" s="99">
        <f t="shared" si="60"/>
        <v>7.2271739638254884</v>
      </c>
      <c r="DZ23" s="103">
        <f t="shared" si="61"/>
        <v>0.48740166255196266</v>
      </c>
      <c r="EA23" s="99">
        <f t="shared" si="62"/>
        <v>-9.5082182812336602E-2</v>
      </c>
      <c r="EB23" s="103">
        <f>_xlfn.XLOOKUP(Q23,'Cem Sales'!$K$5:$K$33,'Cem Sales'!$DN$5:$DN$33, 0)</f>
        <v>0.12156078039019509</v>
      </c>
      <c r="EC23" s="99">
        <f t="shared" si="63"/>
        <v>1.2156078039019509</v>
      </c>
      <c r="ED23" s="8">
        <f t="shared" si="64"/>
        <v>44383.040000000001</v>
      </c>
      <c r="EE23" s="8">
        <f t="shared" si="65"/>
        <v>51289.537712895377</v>
      </c>
      <c r="EF23" s="235">
        <f t="shared" si="66"/>
        <v>1208.4347120843472</v>
      </c>
      <c r="EG23" s="8">
        <f t="shared" si="67"/>
        <v>48440.506212489861</v>
      </c>
      <c r="EH23" s="411">
        <f t="shared" si="68"/>
        <v>85</v>
      </c>
      <c r="EI23" s="1605">
        <v>8300</v>
      </c>
      <c r="EJ23" s="821">
        <f t="shared" si="69"/>
        <v>0.17849462365591398</v>
      </c>
      <c r="EK23" s="502">
        <v>0.5</v>
      </c>
      <c r="EL23" s="502"/>
      <c r="EM23" s="510">
        <v>8900</v>
      </c>
      <c r="EN23" s="435">
        <v>2793</v>
      </c>
      <c r="EO23" s="510">
        <v>16350</v>
      </c>
      <c r="EP23" s="435">
        <v>4032</v>
      </c>
      <c r="EQ23" s="510">
        <v>22595</v>
      </c>
      <c r="ER23" s="435">
        <v>5572</v>
      </c>
      <c r="ES23" s="510">
        <v>41930</v>
      </c>
      <c r="ET23" s="435">
        <v>10340</v>
      </c>
      <c r="EU23" s="510">
        <v>38200</v>
      </c>
      <c r="EV23" s="435">
        <v>9420</v>
      </c>
      <c r="EW23" s="1610">
        <v>38200</v>
      </c>
      <c r="EX23" s="834">
        <v>9420</v>
      </c>
      <c r="EY23" s="835">
        <f t="shared" si="70"/>
        <v>2.372717508055854</v>
      </c>
      <c r="EZ23" s="1648">
        <f t="shared" si="71"/>
        <v>25</v>
      </c>
    </row>
    <row r="24" spans="1:156" ht="35" customHeight="1">
      <c r="A24" s="100">
        <f>_xlfn.XLOOKUP(Q24,'Cement Ranking'!$F$7:$F$35,'Cement Ranking'!$AO$7:$AO$35, "")</f>
        <v>4.272015472959688</v>
      </c>
      <c r="B24" s="100">
        <f>_xlfn.XLOOKUP(Q24,'Cement Ranking'!$F$7:$F$35,'Cement Ranking'!$AN$7:$AN$35, "")</f>
        <v>-4.4516515234771852</v>
      </c>
      <c r="C24" s="1585">
        <f t="shared" ca="1" si="1"/>
        <v>0.17284578726227787</v>
      </c>
      <c r="D24" s="1650">
        <f t="shared" si="2"/>
        <v>0.39333218675961756</v>
      </c>
      <c r="E24" s="1412">
        <f t="shared" si="3"/>
        <v>-4.0999999999999925</v>
      </c>
      <c r="F24" s="1413">
        <f t="shared" si="4"/>
        <v>-22.1</v>
      </c>
      <c r="G24" s="2125" cm="1">
        <f t="array" ref="G24">IFERROR(_xlfn.XLOOKUP(Q24,'Sales Rec'!$E$4:$E$32,'Sales Rec'!$CU$4:$CU$32*100,""),"")</f>
        <v>9.2886182945861044</v>
      </c>
      <c r="H24" s="2314">
        <f>_xlfn.XLOOKUP(Q24,'Sales Rec'!$E$4:$E$32,'Sales Rec'!$DQ$4:$DQ$32,"")</f>
        <v>0.44089456869009586</v>
      </c>
      <c r="I24" s="2311">
        <f>_xlfn.XLOOKUP(Q24,'Sales History'!$C$4:$C$83,'Sales History'!$AS$4:$AS$83,"")</f>
        <v>0.31492842535787319</v>
      </c>
      <c r="J24" s="2314">
        <f>_xlfn.XLOOKUP(Q24,'Sales History'!$C$4:$C$83,'Sales History'!$AW$4:$AW$83,"")</f>
        <v>0.69736842105263153</v>
      </c>
      <c r="K24" s="1942">
        <f>_xlfn.XLOOKUP(Q24,'Sales Rec'!$E$4:$E$91,'Sales Rec'!$CV$4:$CV$91,"")</f>
        <v>21</v>
      </c>
      <c r="L24" s="1575">
        <f>_xlfn.XLOOKUP(Q24,'Cement Ranking'!$F$7:$F$35,'Cement Ranking'!$AQ$7:$AQ$35,"")</f>
        <v>19</v>
      </c>
      <c r="M24" s="1588" t="str">
        <f>_xlfn.XLOOKUP(Q24,'Sales Rec'!$E$4:$E$32,'Sales Rec'!$DS$4:$DS$32,"")</f>
        <v>N</v>
      </c>
      <c r="N24" s="2200" t="str">
        <f>_xlfn.XLOOKUP(Q24,'Sales Rec'!$E$4:$E$32,'Sales Rec'!$DZ$4:$DZ$32,"")</f>
        <v>N</v>
      </c>
      <c r="O24" s="1937" t="str">
        <f>_xlfn.XLOOKUP($Q24,'History Records'!$B$7:$B$88,'History Records'!$G$7:$G$88,"")</f>
        <v/>
      </c>
      <c r="P24" s="60" t="s">
        <v>48</v>
      </c>
      <c r="Q24" s="124" t="s">
        <v>49</v>
      </c>
      <c r="R24" s="1570">
        <v>12</v>
      </c>
      <c r="S24" s="66">
        <f t="shared" si="5"/>
        <v>6010.96</v>
      </c>
      <c r="T24" s="2386">
        <f>_xlfn.XLOOKUP($Q24,'Price Record'!$C$6:$C$85,'Price Record'!H$6:H$85,"")</f>
        <v>26480</v>
      </c>
      <c r="U24" s="338">
        <f>_xlfn.XLOOKUP(Q24,'دیده بان بازار'!$A$3:$A$3542,'دیده بان بازار'!$M$3:$M$3542,"")</f>
        <v>2.99</v>
      </c>
      <c r="V24" s="2386">
        <f>_xlfn.XLOOKUP($Q24,'Price Record'!$C$6:$C$85,'Price Record'!G$6:G$85,"")</f>
        <v>26480</v>
      </c>
      <c r="W24" s="337">
        <f>_xlfn.XLOOKUP(Q24,'دیده بان بازار'!$A$3:$A$3542,'دیده بان بازار'!$J$3:$J$3542,"")</f>
        <v>2.99</v>
      </c>
      <c r="X24" s="1641">
        <f t="shared" si="6"/>
        <v>7101.96</v>
      </c>
      <c r="Y24" s="661" t="str">
        <f t="shared" si="7"/>
        <v/>
      </c>
      <c r="Z24" s="1031">
        <f t="shared" si="8"/>
        <v>7.2045657214196548E-2</v>
      </c>
      <c r="AA24" s="511">
        <f t="shared" ca="1" si="9"/>
        <v>5.917808219178082E-2</v>
      </c>
      <c r="AB24" s="823">
        <f t="shared" ca="1" si="10"/>
        <v>-5.3614895926732196</v>
      </c>
      <c r="AC24" s="1150">
        <f t="shared" si="11"/>
        <v>7.2045657214196548E-2</v>
      </c>
      <c r="AD24" s="1150">
        <f t="shared" si="12"/>
        <v>0.11915099609011358</v>
      </c>
      <c r="AE24" s="1150">
        <f t="shared" si="13"/>
        <v>0.81107562518830978</v>
      </c>
      <c r="AF24" s="1150">
        <f t="shared" si="14"/>
        <v>0.9278255291853752</v>
      </c>
      <c r="AG24" s="1150">
        <f t="shared" si="15"/>
        <v>2.0041281423359485</v>
      </c>
      <c r="AH24" s="275">
        <f t="shared" ca="1" si="16"/>
        <v>341</v>
      </c>
      <c r="AI24" s="1121">
        <v>46215</v>
      </c>
      <c r="AJ24" s="1554">
        <v>46262</v>
      </c>
      <c r="AK24" s="27">
        <v>1080000</v>
      </c>
      <c r="AL24" s="23">
        <v>1120000</v>
      </c>
      <c r="AM24" s="29">
        <f t="shared" si="17"/>
        <v>2270000000</v>
      </c>
      <c r="AN24" s="1225">
        <v>0.82</v>
      </c>
      <c r="AO24" s="174">
        <f>_xlfn.XLOOKUP(Q24,'Cem Sales'!$K$5:$K$33,'Cem Sales'!$DU$5:$DU$33,"")</f>
        <v>2030</v>
      </c>
      <c r="AP24" s="1925">
        <v>1894</v>
      </c>
      <c r="AQ24" s="1925">
        <v>1089</v>
      </c>
      <c r="AR24" s="766">
        <f>_xlfn.XLOOKUP(Q24,'Sales Rec'!$E$4:$E$86,'Sales Rec'!$X$4:$X$86,"")</f>
        <v>2583.5271565495204</v>
      </c>
      <c r="AS24" s="984">
        <f>_xlfn.XLOOKUP(Q24,'Sales Rec'!$E$4:$E$86,'Sales Rec'!$K$4:$K$86,"")</f>
        <v>4</v>
      </c>
      <c r="AT24" s="6">
        <f t="shared" si="18"/>
        <v>2.3125052062465068</v>
      </c>
      <c r="AU24" s="99">
        <f t="shared" si="19"/>
        <v>1.1381746143006222</v>
      </c>
      <c r="AV24" s="16">
        <v>892</v>
      </c>
      <c r="AW24" s="16">
        <v>494</v>
      </c>
      <c r="AX24" s="1421">
        <f t="shared" si="20"/>
        <v>0.55400000000000005</v>
      </c>
      <c r="AY24" s="1419">
        <v>0.59499999999999997</v>
      </c>
      <c r="AZ24" s="1689">
        <v>0.57499999999999996</v>
      </c>
      <c r="BA24" s="1690">
        <v>0.53300000000000003</v>
      </c>
      <c r="BB24" s="100">
        <f t="shared" si="21"/>
        <v>-10</v>
      </c>
      <c r="BC24" s="1420">
        <f t="shared" si="22"/>
        <v>0.32</v>
      </c>
      <c r="BD24" s="1419">
        <v>0.54100000000000004</v>
      </c>
      <c r="BE24" s="1687">
        <v>0.44900000000000001</v>
      </c>
      <c r="BF24" s="1688">
        <v>0.47099999999999997</v>
      </c>
      <c r="BG24" s="306">
        <f t="shared" si="23"/>
        <v>0.23400000000000004</v>
      </c>
      <c r="BH24" s="1861">
        <f t="shared" si="24"/>
        <v>834.91200000000015</v>
      </c>
      <c r="BI24" s="306">
        <f t="shared" si="25"/>
        <v>5.3999999999999937E-2</v>
      </c>
      <c r="BJ24" s="99">
        <v>0</v>
      </c>
      <c r="BK24" s="306">
        <f>_xlfn.XLOOKUP(Q24,'Sales Rec'!$E$4:$E$91,'Sales Rec'!$Y$4:$Y$91,"")</f>
        <v>0.36405868878010583</v>
      </c>
      <c r="BL24" s="99">
        <f t="shared" si="26"/>
        <v>5</v>
      </c>
      <c r="BM24" s="15"/>
      <c r="BN24" s="1803">
        <v>3</v>
      </c>
      <c r="BO24" s="842">
        <f t="shared" si="27"/>
        <v>1</v>
      </c>
      <c r="BP24" s="16">
        <v>1390</v>
      </c>
      <c r="BQ24" s="16"/>
      <c r="BR24" s="16"/>
      <c r="BS24" s="1251">
        <f>(_xlfn.XLOOKUP(Q24,'Sales Rec'!$E$4:$E$32,'Sales Rec'!$X$4:$X$32)*BC24+CL24)*1000/CJ24</f>
        <v>4796.1616303781784</v>
      </c>
      <c r="BT24" s="1246">
        <f t="shared" si="28"/>
        <v>6176.2114537444932</v>
      </c>
      <c r="BU24" s="406"/>
      <c r="BV24" s="407">
        <f t="shared" si="29"/>
        <v>4.8266678132403822</v>
      </c>
      <c r="BW24" s="99">
        <f t="shared" si="30"/>
        <v>0.86666093379808906</v>
      </c>
      <c r="BX24" s="18">
        <f t="shared" si="31"/>
        <v>1245.3643450479231</v>
      </c>
      <c r="BY24" s="18">
        <f t="shared" si="32"/>
        <v>1151.5249042145595</v>
      </c>
      <c r="BZ24" s="18">
        <f t="shared" si="33"/>
        <v>1431.2740447284345</v>
      </c>
      <c r="CA24" s="1710">
        <f t="shared" si="34"/>
        <v>4.96198476186823</v>
      </c>
      <c r="CB24" s="266">
        <f>_xlfn.XLOOKUP($Q24,'Price Record'!$C$6:$C$85,'Price Record'!I$6:I$85,"")</f>
        <v>5074</v>
      </c>
      <c r="CC24" s="267">
        <f>_xlfn.XLOOKUP($Q24,'Price Record'!$C$6:$C$85,'Price Record'!J$6:J$85,"")</f>
        <v>5.22</v>
      </c>
      <c r="CD24" s="99">
        <f t="shared" si="35"/>
        <v>-0.65999999999999925</v>
      </c>
      <c r="CE24" s="17">
        <f t="shared" si="36"/>
        <v>1.7111458252950036</v>
      </c>
      <c r="CF24" s="99">
        <f t="shared" si="37"/>
        <v>1.1554166988199857</v>
      </c>
      <c r="CG24" s="103">
        <f t="shared" si="38"/>
        <v>0.42988068520811978</v>
      </c>
      <c r="CH24" s="99">
        <f t="shared" si="39"/>
        <v>0.44821027812179642</v>
      </c>
      <c r="CI24" s="19"/>
      <c r="CJ24" s="708">
        <v>227</v>
      </c>
      <c r="CK24" s="419">
        <v>183</v>
      </c>
      <c r="CL24" s="468">
        <v>262</v>
      </c>
      <c r="CM24" s="843">
        <v>30</v>
      </c>
      <c r="CN24" s="21">
        <v>315</v>
      </c>
      <c r="CO24" s="21">
        <v>7</v>
      </c>
      <c r="CP24" s="469">
        <f t="shared" si="40"/>
        <v>350.5</v>
      </c>
      <c r="CQ24" s="1239">
        <f>(AR24*BC24)*(_xlfn.XLOOKUP($Q24,'Sales Rec'!$E$4:$E$32,'Sales Rec'!$L$4:$L$32,"")/12)+CO24</f>
        <v>282.57623003194885</v>
      </c>
      <c r="CR24" s="25">
        <v>498</v>
      </c>
      <c r="CS24" s="57">
        <v>-118</v>
      </c>
      <c r="CT24" s="2240" t="str">
        <f t="shared" si="41"/>
        <v/>
      </c>
      <c r="CU24" s="693">
        <f t="shared" si="42"/>
        <v>653</v>
      </c>
      <c r="CV24" s="50">
        <v>2085</v>
      </c>
      <c r="CW24" s="25">
        <v>216</v>
      </c>
      <c r="CX24" s="50">
        <v>46</v>
      </c>
      <c r="CY24" s="53">
        <f t="shared" si="43"/>
        <v>2131</v>
      </c>
      <c r="CZ24" s="6">
        <f t="shared" si="44"/>
        <v>1.0762589928057553</v>
      </c>
      <c r="DA24" s="99">
        <f t="shared" si="45"/>
        <v>-0.98992805755395707</v>
      </c>
      <c r="DB24" s="53">
        <f t="shared" si="46"/>
        <v>2784</v>
      </c>
      <c r="DC24" s="645">
        <f t="shared" si="47"/>
        <v>0.76544540229885061</v>
      </c>
      <c r="DD24" s="13">
        <v>540</v>
      </c>
      <c r="DE24" s="28">
        <v>486</v>
      </c>
      <c r="DF24" s="28">
        <v>8</v>
      </c>
      <c r="DG24" s="52">
        <v>2244</v>
      </c>
      <c r="DH24" s="8">
        <f t="shared" si="48"/>
        <v>159</v>
      </c>
      <c r="DI24" s="644">
        <f t="shared" si="49"/>
        <v>16.248598468864909</v>
      </c>
      <c r="DJ24" s="26">
        <v>886</v>
      </c>
      <c r="DK24" s="26">
        <v>323</v>
      </c>
      <c r="DL24" s="26">
        <v>270</v>
      </c>
      <c r="DM24" s="138">
        <f t="shared" si="50"/>
        <v>0.76544540229885061</v>
      </c>
      <c r="DN24" s="99">
        <f t="shared" si="51"/>
        <v>-1.653155903401301</v>
      </c>
      <c r="DO24" s="138">
        <f t="shared" si="52"/>
        <v>0.35003778755385601</v>
      </c>
      <c r="DP24" s="99">
        <f t="shared" si="53"/>
        <v>1</v>
      </c>
      <c r="DQ24" s="26">
        <v>717</v>
      </c>
      <c r="DR24" s="8">
        <f t="shared" si="54"/>
        <v>48</v>
      </c>
      <c r="DS24" s="27" t="s">
        <v>231</v>
      </c>
      <c r="DT24" s="7">
        <f t="shared" si="55"/>
        <v>29.44816774446404</v>
      </c>
      <c r="DU24" s="8">
        <f t="shared" si="56"/>
        <v>10773.945</v>
      </c>
      <c r="DV24" s="32">
        <f t="shared" si="57"/>
        <v>1.7923834129656493</v>
      </c>
      <c r="DW24" s="99">
        <f t="shared" si="58"/>
        <v>10</v>
      </c>
      <c r="DX24" s="14">
        <f t="shared" si="59"/>
        <v>2392.1547745828893</v>
      </c>
      <c r="DY24" s="99">
        <f t="shared" si="60"/>
        <v>-2.2763330035631268</v>
      </c>
      <c r="DZ24" s="103">
        <f t="shared" si="61"/>
        <v>0.48204035397529688</v>
      </c>
      <c r="EA24" s="99">
        <f t="shared" si="62"/>
        <v>-0.25592144011230999</v>
      </c>
      <c r="EB24" s="103">
        <f>_xlfn.XLOOKUP(Q24,'Cem Sales'!$K$5:$K$33,'Cem Sales'!$DN$5:$DN$33, 0)</f>
        <v>4.9889135254988913E-2</v>
      </c>
      <c r="EC24" s="99">
        <f t="shared" si="63"/>
        <v>0.49889135254988914</v>
      </c>
      <c r="ED24" s="8">
        <f t="shared" si="64"/>
        <v>18469.36</v>
      </c>
      <c r="EE24" s="8">
        <f t="shared" si="65"/>
        <v>22234.361233480176</v>
      </c>
      <c r="EF24" s="235">
        <f t="shared" si="66"/>
        <v>806.16740088105723</v>
      </c>
      <c r="EG24" s="8">
        <f t="shared" si="67"/>
        <v>20754.944317180616</v>
      </c>
      <c r="EH24" s="411">
        <f t="shared" si="68"/>
        <v>47</v>
      </c>
      <c r="EI24" s="1605">
        <v>4600</v>
      </c>
      <c r="EJ24" s="821">
        <f t="shared" si="69"/>
        <v>0.15699658703071673</v>
      </c>
      <c r="EK24" s="502">
        <v>1</v>
      </c>
      <c r="EL24" s="502"/>
      <c r="EM24" s="510">
        <v>17600</v>
      </c>
      <c r="EN24" s="435">
        <v>2000.9</v>
      </c>
      <c r="EO24" s="510">
        <v>27470</v>
      </c>
      <c r="EP24" s="435">
        <v>3118</v>
      </c>
      <c r="EQ24" s="510">
        <v>14620</v>
      </c>
      <c r="ER24" s="435">
        <v>3319</v>
      </c>
      <c r="ES24" s="510">
        <v>23660</v>
      </c>
      <c r="ET24" s="435">
        <v>5371</v>
      </c>
      <c r="EU24" s="510">
        <v>24700</v>
      </c>
      <c r="EV24" s="435">
        <v>5607</v>
      </c>
      <c r="EW24" s="1610">
        <v>24700</v>
      </c>
      <c r="EX24" s="834">
        <v>5607</v>
      </c>
      <c r="EY24" s="835">
        <f t="shared" si="70"/>
        <v>1.8022389924533959</v>
      </c>
      <c r="EZ24" s="1648">
        <f t="shared" si="71"/>
        <v>28</v>
      </c>
    </row>
    <row r="25" spans="1:156" ht="35" customHeight="1">
      <c r="A25" s="100">
        <f>_xlfn.XLOOKUP(Q25,'Cement Ranking'!$F$7:$F$35,'Cement Ranking'!$AO$7:$AO$35, "")</f>
        <v>0.28480263281042628</v>
      </c>
      <c r="B25" s="100">
        <f>_xlfn.XLOOKUP(Q25,'Cement Ranking'!$F$7:$F$35,'Cement Ranking'!$AN$7:$AN$35, "")</f>
        <v>-12.499714244642416</v>
      </c>
      <c r="C25" s="1585">
        <f t="shared" ca="1" si="1"/>
        <v>0.15116247642380759</v>
      </c>
      <c r="D25" s="1650">
        <f t="shared" si="2"/>
        <v>1.8823795718449121</v>
      </c>
      <c r="E25" s="1412">
        <f t="shared" si="3"/>
        <v>-7.2000000000000011</v>
      </c>
      <c r="F25" s="1413">
        <f t="shared" si="4"/>
        <v>-8.3000000000000025</v>
      </c>
      <c r="G25" s="2125" cm="1">
        <f t="array" ref="G25">IFERROR(_xlfn.XLOOKUP(Q25,'Sales Rec'!$E$4:$E$32,'Sales Rec'!$CU$4:$CU$32*100,""),"")</f>
        <v>1.0737124910129792</v>
      </c>
      <c r="H25" s="2314">
        <f>_xlfn.XLOOKUP(Q25,'Sales Rec'!$E$4:$E$32,'Sales Rec'!$DQ$4:$DQ$32,"")</f>
        <v>0.51436031331592691</v>
      </c>
      <c r="I25" s="2311">
        <f>_xlfn.XLOOKUP(Q25,'Sales History'!$C$4:$C$83,'Sales History'!$AS$4:$AS$83,"")</f>
        <v>0.51459854014598538</v>
      </c>
      <c r="J25" s="2314">
        <f>_xlfn.XLOOKUP(Q25,'Sales History'!$C$4:$C$83,'Sales History'!$AW$4:$AW$83,"")</f>
        <v>0.80783582089552242</v>
      </c>
      <c r="K25" s="1942">
        <f>_xlfn.XLOOKUP(Q25,'Sales Rec'!$E$4:$E$91,'Sales Rec'!$CV$4:$CV$91,"")</f>
        <v>19</v>
      </c>
      <c r="L25" s="1575">
        <f>_xlfn.XLOOKUP(Q25,'Cement Ranking'!$F$7:$F$35,'Cement Ranking'!$AQ$7:$AQ$35,"")</f>
        <v>25</v>
      </c>
      <c r="M25" s="1582" t="str">
        <f>_xlfn.XLOOKUP(Q25,'Sales Rec'!$E$4:$E$32,'Sales Rec'!$DS$4:$DS$32,"")</f>
        <v>N</v>
      </c>
      <c r="N25" s="1582" t="str">
        <f>_xlfn.XLOOKUP(Q25,'Sales Rec'!$E$4:$E$32,'Sales Rec'!$DZ$4:$DZ$32,"")</f>
        <v>B</v>
      </c>
      <c r="O25" s="1937" t="str">
        <f>_xlfn.XLOOKUP($Q25,'History Records'!$B$7:$B$88,'History Records'!$G$7:$G$88,"")</f>
        <v/>
      </c>
      <c r="P25" s="60" t="s">
        <v>44</v>
      </c>
      <c r="Q25" s="124" t="s">
        <v>45</v>
      </c>
      <c r="R25" s="1570">
        <v>12</v>
      </c>
      <c r="S25" s="66">
        <f t="shared" si="5"/>
        <v>5142.8999999999996</v>
      </c>
      <c r="T25" s="2386">
        <f>_xlfn.XLOOKUP($Q25,'Price Record'!$C$6:$C$85,'Price Record'!H$6:H$85,"")</f>
        <v>5530</v>
      </c>
      <c r="U25" s="338">
        <f>_xlfn.XLOOKUP(Q25,'دیده بان بازار'!$A$3:$A$3542,'دیده بان بازار'!$M$3:$M$3542,"")</f>
        <v>2.98</v>
      </c>
      <c r="V25" s="2386">
        <f>_xlfn.XLOOKUP($Q25,'Price Record'!$C$6:$C$85,'Price Record'!G$6:G$85,"")</f>
        <v>5530</v>
      </c>
      <c r="W25" s="337">
        <f>_xlfn.XLOOKUP(Q25,'دیده بان بازار'!$A$3:$A$3542,'دیده بان بازار'!$J$3:$J$3542,"")</f>
        <v>2.98</v>
      </c>
      <c r="X25" s="1641">
        <f t="shared" si="6"/>
        <v>6077.9</v>
      </c>
      <c r="Y25" s="661" t="str">
        <f t="shared" si="7"/>
        <v/>
      </c>
      <c r="Z25" s="1031">
        <f t="shared" si="8"/>
        <v>0.63422306959008568</v>
      </c>
      <c r="AA25" s="511">
        <f t="shared" ca="1" si="9"/>
        <v>0.19726027397260273</v>
      </c>
      <c r="AB25" s="823">
        <f t="shared" ca="1" si="10"/>
        <v>-54.620349452185373</v>
      </c>
      <c r="AC25" s="1150">
        <f t="shared" si="11"/>
        <v>0.63422306959008568</v>
      </c>
      <c r="AD25" s="1150">
        <f t="shared" si="12"/>
        <v>0.47276632302405486</v>
      </c>
      <c r="AE25" s="1150">
        <f t="shared" si="13"/>
        <v>2.4081510934393635</v>
      </c>
      <c r="AF25" s="1150">
        <f t="shared" si="14"/>
        <v>1.5817771084337346</v>
      </c>
      <c r="AG25" s="1150">
        <f t="shared" si="15"/>
        <v>3.9498556304138592</v>
      </c>
      <c r="AH25" s="275">
        <f t="shared" ca="1" si="16"/>
        <v>285</v>
      </c>
      <c r="AI25" s="1121">
        <v>46159</v>
      </c>
      <c r="AJ25" s="1856">
        <v>46194</v>
      </c>
      <c r="AK25" s="27">
        <v>1200000</v>
      </c>
      <c r="AL25" s="23">
        <v>1250000</v>
      </c>
      <c r="AM25" s="29">
        <f t="shared" si="17"/>
        <v>9300000000</v>
      </c>
      <c r="AN25" s="1225">
        <v>0.28920000000000001</v>
      </c>
      <c r="AO25" s="174">
        <f>_xlfn.XLOOKUP(Q25,'Cem Sales'!$K$5:$K$33,'Cem Sales'!$DU$5:$DU$33,"")</f>
        <v>2502</v>
      </c>
      <c r="AP25" s="1925">
        <v>2306</v>
      </c>
      <c r="AQ25" s="1925">
        <v>765</v>
      </c>
      <c r="AR25" s="766">
        <f>_xlfn.XLOOKUP(Q25,'Sales Rec'!$E$4:$E$86,'Sales Rec'!$X$4:$X$86,"")</f>
        <v>3291.0574412532637</v>
      </c>
      <c r="AS25" s="984">
        <f>_xlfn.XLOOKUP(Q25,'Sales Rec'!$E$4:$E$86,'Sales Rec'!$K$4:$K$86,"")</f>
        <v>4</v>
      </c>
      <c r="AT25" s="6">
        <f t="shared" si="18"/>
        <v>1.5626892243003629</v>
      </c>
      <c r="AU25" s="99">
        <f t="shared" si="19"/>
        <v>8.6363344337620607</v>
      </c>
      <c r="AV25" s="16">
        <v>830</v>
      </c>
      <c r="AW25" s="16">
        <v>289</v>
      </c>
      <c r="AX25" s="1421">
        <f t="shared" si="20"/>
        <v>0.34799999999999998</v>
      </c>
      <c r="AY25" s="1419">
        <v>0.42</v>
      </c>
      <c r="AZ25" s="1689">
        <v>0.33200000000000002</v>
      </c>
      <c r="BA25" s="1690">
        <v>0.32800000000000001</v>
      </c>
      <c r="BB25" s="100">
        <f t="shared" si="21"/>
        <v>-8.3000000000000025</v>
      </c>
      <c r="BC25" s="1420">
        <f t="shared" si="22"/>
        <v>0.28799999999999998</v>
      </c>
      <c r="BD25" s="1419">
        <v>0.371</v>
      </c>
      <c r="BE25" s="1687">
        <v>0.27700000000000002</v>
      </c>
      <c r="BF25" s="1688">
        <v>0.28699999999999998</v>
      </c>
      <c r="BG25" s="306">
        <f t="shared" si="23"/>
        <v>0.06</v>
      </c>
      <c r="BH25" s="1861">
        <f t="shared" si="24"/>
        <v>199.2</v>
      </c>
      <c r="BI25" s="306">
        <f t="shared" si="25"/>
        <v>4.8999999999999988E-2</v>
      </c>
      <c r="BJ25" s="99">
        <v>0</v>
      </c>
      <c r="BK25" s="306">
        <f>_xlfn.XLOOKUP(Q25,'Sales Rec'!$E$4:$E$91,'Sales Rec'!$Y$4:$Y$91,"")</f>
        <v>0.4271714836310771</v>
      </c>
      <c r="BL25" s="99">
        <f t="shared" si="26"/>
        <v>-5</v>
      </c>
      <c r="BM25" s="15"/>
      <c r="BN25" s="1803">
        <v>3</v>
      </c>
      <c r="BO25" s="842">
        <f t="shared" si="27"/>
        <v>1</v>
      </c>
      <c r="BP25" s="16">
        <v>296</v>
      </c>
      <c r="BQ25" s="16"/>
      <c r="BR25" s="16"/>
      <c r="BS25" s="1251">
        <f>(_xlfn.XLOOKUP(Q25,'Sales Rec'!$E$4:$E$32,'Sales Rec'!$X$4:$X$32)*BC25+CL25)*1000/CJ25</f>
        <v>1094.4349925601505</v>
      </c>
      <c r="BT25" s="1246">
        <f t="shared" si="28"/>
        <v>1187.0967741935483</v>
      </c>
      <c r="BU25" s="406"/>
      <c r="BV25" s="407">
        <f t="shared" si="29"/>
        <v>4.8476204281550883</v>
      </c>
      <c r="BW25" s="99">
        <f t="shared" si="30"/>
        <v>0.76189785922455844</v>
      </c>
      <c r="BX25" s="18">
        <f t="shared" si="31"/>
        <v>1060.9122715404699</v>
      </c>
      <c r="BY25" s="18">
        <f t="shared" si="32"/>
        <v>764.17533432392258</v>
      </c>
      <c r="BZ25" s="18">
        <f t="shared" si="33"/>
        <v>1145.2879895561357</v>
      </c>
      <c r="CA25" s="1710">
        <f t="shared" si="34"/>
        <v>5.3068748257418923</v>
      </c>
      <c r="CB25" s="266">
        <f>_xlfn.XLOOKUP($Q25,'Price Record'!$C$6:$C$85,'Price Record'!I$6:I$85,"")</f>
        <v>822</v>
      </c>
      <c r="CC25" s="267">
        <f>_xlfn.XLOOKUP($Q25,'Price Record'!$C$6:$C$85,'Price Record'!J$6:J$85,"")</f>
        <v>6.73</v>
      </c>
      <c r="CD25" s="99">
        <f t="shared" si="35"/>
        <v>-5.1900000000000013</v>
      </c>
      <c r="CE25" s="17">
        <f t="shared" si="36"/>
        <v>1.3714611839556774</v>
      </c>
      <c r="CF25" s="99">
        <f t="shared" si="37"/>
        <v>2.5141552641772904</v>
      </c>
      <c r="CG25" s="103">
        <f t="shared" si="38"/>
        <v>0.39734542005261042</v>
      </c>
      <c r="CH25" s="99">
        <f t="shared" si="39"/>
        <v>-3.9818699210844022E-2</v>
      </c>
      <c r="CI25" s="19"/>
      <c r="CJ25" s="708">
        <v>930</v>
      </c>
      <c r="CK25" s="419">
        <v>70</v>
      </c>
      <c r="CL25" s="468">
        <v>70</v>
      </c>
      <c r="CM25" s="843">
        <v>37</v>
      </c>
      <c r="CN25" s="21">
        <v>276</v>
      </c>
      <c r="CO25" s="21"/>
      <c r="CP25" s="469">
        <f t="shared" si="40"/>
        <v>276</v>
      </c>
      <c r="CQ25" s="1239">
        <f>(AR25*BC25)*(_xlfn.XLOOKUP($Q25,'Sales Rec'!$E$4:$E$32,'Sales Rec'!$L$4:$L$32,"")/12)+CO25</f>
        <v>315.94151436031325</v>
      </c>
      <c r="CR25" s="25">
        <v>346</v>
      </c>
      <c r="CS25" s="57">
        <v>-47</v>
      </c>
      <c r="CT25" s="2240" t="str">
        <f t="shared" si="41"/>
        <v/>
      </c>
      <c r="CU25" s="693">
        <f t="shared" si="42"/>
        <v>1320</v>
      </c>
      <c r="CV25" s="50">
        <v>1349</v>
      </c>
      <c r="CW25" s="25">
        <v>194</v>
      </c>
      <c r="CX25" s="50">
        <v>106</v>
      </c>
      <c r="CY25" s="53">
        <f t="shared" si="43"/>
        <v>1455</v>
      </c>
      <c r="CZ25" s="6">
        <f t="shared" si="44"/>
        <v>1.0007412898443291</v>
      </c>
      <c r="DA25" s="99">
        <f t="shared" si="45"/>
        <v>-1.594069681245367</v>
      </c>
      <c r="DB25" s="53">
        <f t="shared" si="46"/>
        <v>2775</v>
      </c>
      <c r="DC25" s="645">
        <f t="shared" si="47"/>
        <v>0.5243243243243243</v>
      </c>
      <c r="DD25" s="13">
        <v>1425</v>
      </c>
      <c r="DE25" s="28">
        <v>1418</v>
      </c>
      <c r="DF25" s="28">
        <v>1</v>
      </c>
      <c r="DG25" s="52">
        <v>1350</v>
      </c>
      <c r="DH25" s="8">
        <f t="shared" si="48"/>
        <v>1</v>
      </c>
      <c r="DI25" s="644">
        <f t="shared" si="49"/>
        <v>3291.0574412532637</v>
      </c>
      <c r="DJ25" s="26">
        <v>769</v>
      </c>
      <c r="DK25" s="26">
        <v>94</v>
      </c>
      <c r="DL25" s="26">
        <v>15</v>
      </c>
      <c r="DM25" s="138">
        <f t="shared" si="50"/>
        <v>0.5243243243243243</v>
      </c>
      <c r="DN25" s="99">
        <f t="shared" si="51"/>
        <v>0.75805487634396207</v>
      </c>
      <c r="DO25" s="138">
        <f t="shared" si="52"/>
        <v>0.20256913729612516</v>
      </c>
      <c r="DP25" s="99">
        <f t="shared" si="53"/>
        <v>1</v>
      </c>
      <c r="DQ25" s="26">
        <v>426</v>
      </c>
      <c r="DR25" s="8">
        <f t="shared" si="54"/>
        <v>46</v>
      </c>
      <c r="DS25" s="27" t="s">
        <v>231</v>
      </c>
      <c r="DT25" s="7">
        <f t="shared" si="55"/>
        <v>22.675925925925924</v>
      </c>
      <c r="DU25" s="8">
        <f t="shared" si="56"/>
        <v>11732.174999999999</v>
      </c>
      <c r="DV25" s="32">
        <f t="shared" si="57"/>
        <v>2.2812372396896694</v>
      </c>
      <c r="DW25" s="99">
        <f t="shared" si="58"/>
        <v>10</v>
      </c>
      <c r="DX25" s="14">
        <f t="shared" si="59"/>
        <v>2742.5478677110532</v>
      </c>
      <c r="DY25" s="99">
        <f t="shared" si="60"/>
        <v>1.7845168774528419</v>
      </c>
      <c r="DZ25" s="103">
        <f t="shared" si="61"/>
        <v>0.32236212538923814</v>
      </c>
      <c r="EA25" s="99">
        <f t="shared" si="62"/>
        <v>-5.0462682976940716</v>
      </c>
      <c r="EB25" s="103">
        <f>_xlfn.XLOOKUP(Q25,'Cem Sales'!$K$5:$K$33,'Cem Sales'!$DN$5:$DN$33, 0)</f>
        <v>0</v>
      </c>
      <c r="EC25" s="99">
        <f t="shared" si="63"/>
        <v>0</v>
      </c>
      <c r="ED25" s="8">
        <f t="shared" si="64"/>
        <v>2992.08</v>
      </c>
      <c r="EE25" s="8">
        <f t="shared" si="65"/>
        <v>4273.5483870967737</v>
      </c>
      <c r="EF25" s="235">
        <f t="shared" si="66"/>
        <v>75.268817204301072</v>
      </c>
      <c r="EG25" s="8">
        <f t="shared" si="67"/>
        <v>3670.4486021505372</v>
      </c>
      <c r="EH25" s="411">
        <f t="shared" si="68"/>
        <v>35</v>
      </c>
      <c r="EI25" s="1605">
        <v>695</v>
      </c>
      <c r="EJ25" s="821">
        <f t="shared" si="69"/>
        <v>0.1703848982593773</v>
      </c>
      <c r="EK25" s="502">
        <v>17.600000000000001</v>
      </c>
      <c r="EL25" s="502"/>
      <c r="EM25" s="510">
        <v>20780</v>
      </c>
      <c r="EN25" s="435">
        <v>1039</v>
      </c>
      <c r="EO25" s="510">
        <v>39840</v>
      </c>
      <c r="EP25" s="435">
        <v>1992</v>
      </c>
      <c r="EQ25" s="510">
        <v>30170</v>
      </c>
      <c r="ER25" s="435">
        <v>1509</v>
      </c>
      <c r="ES25" s="510">
        <v>3755</v>
      </c>
      <c r="ET25" s="435">
        <v>3492</v>
      </c>
      <c r="EU25" s="510">
        <v>3384</v>
      </c>
      <c r="EV25" s="435">
        <v>3147</v>
      </c>
      <c r="EW25" s="1610">
        <v>3384</v>
      </c>
      <c r="EX25" s="834">
        <v>3147</v>
      </c>
      <c r="EY25" s="835">
        <f t="shared" si="70"/>
        <v>2.0288739172281041</v>
      </c>
      <c r="EZ25" s="1648">
        <f t="shared" si="71"/>
        <v>27</v>
      </c>
    </row>
    <row r="26" spans="1:156" ht="35" customHeight="1">
      <c r="A26" s="100">
        <f>_xlfn.XLOOKUP(Q26,'Cement Ranking'!$F$7:$F$35,'Cement Ranking'!$AO$7:$AO$35, "")</f>
        <v>-0.73633515948652661</v>
      </c>
      <c r="B26" s="100">
        <f>_xlfn.XLOOKUP(Q26,'Cement Ranking'!$F$7:$F$35,'Cement Ranking'!$AN$7:$AN$35, "")</f>
        <v>-3.3019070188340858</v>
      </c>
      <c r="C26" s="1585">
        <f t="shared" ca="1" si="1"/>
        <v>0.12808423535624214</v>
      </c>
      <c r="D26" s="1650">
        <f t="shared" si="2"/>
        <v>2.4925158637289426</v>
      </c>
      <c r="E26" s="1412">
        <f t="shared" si="3"/>
        <v>-11.500000000000005</v>
      </c>
      <c r="F26" s="1413">
        <f t="shared" si="4"/>
        <v>-11.7</v>
      </c>
      <c r="G26" s="2125" cm="1">
        <f t="array" ref="G26">IFERROR(_xlfn.XLOOKUP(Q26,'Sales Rec'!$E$4:$E$32,'Sales Rec'!$CU$4:$CU$32*100,""),"")</f>
        <v>2.3004113582810821</v>
      </c>
      <c r="H26" s="2314">
        <f>_xlfn.XLOOKUP(Q26,'Sales Rec'!$E$4:$E$32,'Sales Rec'!$DQ$4:$DQ$32,"")</f>
        <v>0.21282798833819241</v>
      </c>
      <c r="I26" s="2311">
        <f>_xlfn.XLOOKUP(Q26,'Sales History'!$C$4:$C$83,'Sales History'!$AS$4:$AS$83,"")</f>
        <v>0.36936936936936937</v>
      </c>
      <c r="J26" s="2314">
        <f>_xlfn.XLOOKUP(Q26,'Sales History'!$C$4:$C$83,'Sales History'!$AW$4:$AW$83,"")</f>
        <v>0.52759381898454749</v>
      </c>
      <c r="K26" s="1942">
        <f>_xlfn.XLOOKUP(Q26,'Sales Rec'!$E$4:$E$91,'Sales Rec'!$CV$4:$CV$91,"")</f>
        <v>26</v>
      </c>
      <c r="L26" s="1575">
        <f>_xlfn.XLOOKUP(Q26,'Cement Ranking'!$F$7:$F$35,'Cement Ranking'!$AQ$7:$AQ$35,"")</f>
        <v>22</v>
      </c>
      <c r="M26" s="1582" t="str">
        <f>_xlfn.XLOOKUP(Q26,'Sales Rec'!$E$4:$E$32,'Sales Rec'!$DS$4:$DS$32,"")</f>
        <v>S</v>
      </c>
      <c r="N26" s="1582" t="str">
        <f>_xlfn.XLOOKUP(Q26,'Sales Rec'!$E$4:$E$32,'Sales Rec'!$DZ$4:$DZ$32,"")</f>
        <v>B</v>
      </c>
      <c r="O26" s="1937" t="str">
        <f>_xlfn.XLOOKUP($Q26,'History Records'!$B$7:$B$88,'History Records'!$G$7:$G$88,"")</f>
        <v/>
      </c>
      <c r="P26" s="60" t="s">
        <v>72</v>
      </c>
      <c r="Q26" s="124" t="s">
        <v>73</v>
      </c>
      <c r="R26" s="1570">
        <v>12</v>
      </c>
      <c r="S26" s="66">
        <f t="shared" si="5"/>
        <v>4452.2</v>
      </c>
      <c r="T26" s="2386">
        <f>_xlfn.XLOOKUP($Q26,'Price Record'!$C$6:$C$85,'Price Record'!H$6:H$85,"")</f>
        <v>7880</v>
      </c>
      <c r="U26" s="338">
        <f>_xlfn.XLOOKUP(Q26,'دیده بان بازار'!$A$3:$A$3542,'دیده بان بازار'!$M$3:$M$3542,"")</f>
        <v>2.87</v>
      </c>
      <c r="V26" s="2386">
        <f>_xlfn.XLOOKUP($Q26,'Price Record'!$C$6:$C$85,'Price Record'!G$6:G$85,"")</f>
        <v>7880</v>
      </c>
      <c r="W26" s="337">
        <f>_xlfn.XLOOKUP(Q26,'دیده بان بازار'!$A$3:$A$3542,'دیده بان بازار'!$J$3:$J$3542,"")</f>
        <v>2.87</v>
      </c>
      <c r="X26" s="1641">
        <f t="shared" si="6"/>
        <v>5659.2</v>
      </c>
      <c r="Y26" s="661" t="str">
        <f t="shared" si="7"/>
        <v/>
      </c>
      <c r="Z26" s="1031">
        <f t="shared" si="8"/>
        <v>0.25910633484162893</v>
      </c>
      <c r="AA26" s="511">
        <f t="shared" ca="1" si="9"/>
        <v>0.1652054794520548</v>
      </c>
      <c r="AB26" s="823">
        <f t="shared" ca="1" si="10"/>
        <v>-14.01505304322002</v>
      </c>
      <c r="AC26" s="1150">
        <f t="shared" si="11"/>
        <v>0.25910633484162893</v>
      </c>
      <c r="AD26" s="1150">
        <f t="shared" si="12"/>
        <v>-2.3640350877193024E-2</v>
      </c>
      <c r="AE26" s="1150">
        <f t="shared" si="13"/>
        <v>1.3975228863758751</v>
      </c>
      <c r="AF26" s="1150">
        <f t="shared" si="14"/>
        <v>1.4236254763200871</v>
      </c>
      <c r="AG26" s="1150">
        <f t="shared" si="15"/>
        <v>3.8711159737417939</v>
      </c>
      <c r="AH26" s="275">
        <f t="shared" ca="1" si="16"/>
        <v>298</v>
      </c>
      <c r="AI26" s="1121">
        <v>46172</v>
      </c>
      <c r="AJ26" s="1554">
        <v>46266</v>
      </c>
      <c r="AK26" s="27">
        <v>1200000</v>
      </c>
      <c r="AL26" s="23">
        <v>1250000</v>
      </c>
      <c r="AM26" s="29">
        <f t="shared" si="17"/>
        <v>5650000000</v>
      </c>
      <c r="AN26" s="1225">
        <v>0.25700000000000001</v>
      </c>
      <c r="AO26" s="174">
        <f>_xlfn.XLOOKUP(Q26,'Cem Sales'!$K$5:$K$33,'Cem Sales'!$DU$5:$DU$33,"")</f>
        <v>1962</v>
      </c>
      <c r="AP26" s="1925">
        <v>1957</v>
      </c>
      <c r="AQ26" s="1925">
        <v>694</v>
      </c>
      <c r="AR26" s="766">
        <f>_xlfn.XLOOKUP(Q26,'Sales Rec'!$E$4:$E$86,'Sales Rec'!$X$4:$X$86,"")</f>
        <v>2336.5021865889212</v>
      </c>
      <c r="AS26" s="984">
        <f>_xlfn.XLOOKUP(Q26,'Sales Rec'!$E$4:$E$86,'Sales Rec'!$K$4:$K$86,"")</f>
        <v>4</v>
      </c>
      <c r="AT26" s="6">
        <f t="shared" si="18"/>
        <v>1.9054978957669213</v>
      </c>
      <c r="AU26" s="99">
        <f t="shared" si="19"/>
        <v>5.2082477190964767</v>
      </c>
      <c r="AV26" s="16">
        <v>608</v>
      </c>
      <c r="AW26" s="16">
        <v>248</v>
      </c>
      <c r="AX26" s="1421">
        <f t="shared" si="20"/>
        <v>0.40799999999999997</v>
      </c>
      <c r="AY26" s="1419">
        <v>0.52300000000000002</v>
      </c>
      <c r="AZ26" s="1689">
        <v>0.35499999999999998</v>
      </c>
      <c r="BA26" s="1690">
        <v>0.35699999999999998</v>
      </c>
      <c r="BB26" s="100">
        <f t="shared" si="21"/>
        <v>-10</v>
      </c>
      <c r="BC26" s="1420">
        <f t="shared" si="22"/>
        <v>0.31900000000000001</v>
      </c>
      <c r="BD26" s="1419">
        <v>0.436</v>
      </c>
      <c r="BE26" s="1687">
        <v>0.27</v>
      </c>
      <c r="BF26" s="1688">
        <v>0.28199999999999997</v>
      </c>
      <c r="BG26" s="306">
        <f t="shared" si="23"/>
        <v>8.8999999999999968E-2</v>
      </c>
      <c r="BH26" s="1861">
        <f t="shared" si="24"/>
        <v>216.44799999999992</v>
      </c>
      <c r="BI26" s="306">
        <f t="shared" si="25"/>
        <v>8.7000000000000022E-2</v>
      </c>
      <c r="BJ26" s="99">
        <v>0</v>
      </c>
      <c r="BK26" s="306">
        <f>_xlfn.XLOOKUP(Q26,'Sales Rec'!$E$4:$E$91,'Sales Rec'!$Y$4:$Y$91,"")</f>
        <v>0.19392038149663832</v>
      </c>
      <c r="BL26" s="99">
        <f t="shared" si="26"/>
        <v>-1.9555786003497184</v>
      </c>
      <c r="BM26" s="15"/>
      <c r="BN26" s="1803">
        <v>3</v>
      </c>
      <c r="BO26" s="842">
        <f t="shared" si="27"/>
        <v>1</v>
      </c>
      <c r="BP26" s="16">
        <v>626</v>
      </c>
      <c r="BQ26" s="16"/>
      <c r="BR26" s="16"/>
      <c r="BS26" s="1251">
        <f>(_xlfn.XLOOKUP(Q26,'Sales Rec'!$E$4:$E$32,'Sales Rec'!$X$4:$X$32)*BC26+CL26)*1000/CJ26</f>
        <v>1466.0959248174618</v>
      </c>
      <c r="BT26" s="1246">
        <f t="shared" si="28"/>
        <v>2506.1946902654868</v>
      </c>
      <c r="BU26" s="406"/>
      <c r="BV26" s="407">
        <f t="shared" si="29"/>
        <v>3.9674841362710573</v>
      </c>
      <c r="BW26" s="99">
        <f t="shared" si="30"/>
        <v>5.1625793186447133</v>
      </c>
      <c r="BX26" s="18">
        <f t="shared" si="31"/>
        <v>1122.1720987609331</v>
      </c>
      <c r="BY26" s="18">
        <f t="shared" si="32"/>
        <v>689.19504643962841</v>
      </c>
      <c r="BZ26" s="18">
        <f t="shared" si="33"/>
        <v>953.29289212827973</v>
      </c>
      <c r="CA26" s="1710">
        <f t="shared" si="34"/>
        <v>5.9364756065321318</v>
      </c>
      <c r="CB26" s="266">
        <f>_xlfn.XLOOKUP($Q26,'Price Record'!$C$6:$C$85,'Price Record'!I$6:I$85,"")</f>
        <v>1220</v>
      </c>
      <c r="CC26" s="267">
        <f>_xlfn.XLOOKUP($Q26,'Price Record'!$C$6:$C$85,'Price Record'!J$6:J$85,"")</f>
        <v>6.46</v>
      </c>
      <c r="CD26" s="99">
        <f t="shared" si="35"/>
        <v>-4.38</v>
      </c>
      <c r="CE26" s="17">
        <f t="shared" si="36"/>
        <v>1.2948103072642392</v>
      </c>
      <c r="CF26" s="99">
        <f t="shared" si="37"/>
        <v>2.8207587709430433</v>
      </c>
      <c r="CG26" s="103">
        <f t="shared" si="38"/>
        <v>0.43800628366937278</v>
      </c>
      <c r="CH26" s="99">
        <f t="shared" si="39"/>
        <v>0.5700942550405913</v>
      </c>
      <c r="CI26" s="19"/>
      <c r="CJ26" s="708">
        <v>565</v>
      </c>
      <c r="CK26" s="419">
        <v>61</v>
      </c>
      <c r="CL26" s="468">
        <v>83</v>
      </c>
      <c r="CM26" s="843">
        <v>160</v>
      </c>
      <c r="CN26" s="21">
        <v>354</v>
      </c>
      <c r="CO26" s="21">
        <v>0</v>
      </c>
      <c r="CP26" s="469">
        <f t="shared" si="40"/>
        <v>354</v>
      </c>
      <c r="CQ26" s="1239">
        <f>(AR26*BC26)*(_xlfn.XLOOKUP($Q26,'Sales Rec'!$E$4:$E$32,'Sales Rec'!$L$4:$L$32,"")/12)+CO26</f>
        <v>248.44806584062195</v>
      </c>
      <c r="CR26" s="25">
        <v>415</v>
      </c>
      <c r="CS26" s="57">
        <v>-24</v>
      </c>
      <c r="CT26" s="2240" t="str">
        <f t="shared" si="41"/>
        <v/>
      </c>
      <c r="CU26" s="53">
        <f t="shared" si="42"/>
        <v>1032</v>
      </c>
      <c r="CV26" s="50">
        <v>1356</v>
      </c>
      <c r="CW26" s="25">
        <v>90</v>
      </c>
      <c r="CX26" s="50">
        <v>97</v>
      </c>
      <c r="CY26" s="53">
        <f t="shared" si="43"/>
        <v>1453</v>
      </c>
      <c r="CZ26" s="6">
        <f t="shared" si="44"/>
        <v>1.1283185840707965</v>
      </c>
      <c r="DA26" s="99">
        <f t="shared" si="45"/>
        <v>-0.57345132743362726</v>
      </c>
      <c r="DB26" s="53">
        <f t="shared" si="46"/>
        <v>2485</v>
      </c>
      <c r="DC26" s="645">
        <f t="shared" si="47"/>
        <v>0.58470824949698186</v>
      </c>
      <c r="DD26" s="13">
        <v>955</v>
      </c>
      <c r="DE26" s="28">
        <v>945</v>
      </c>
      <c r="DF26" s="28">
        <v>6</v>
      </c>
      <c r="DG26" s="52">
        <v>1530</v>
      </c>
      <c r="DH26" s="8">
        <f t="shared" si="48"/>
        <v>174</v>
      </c>
      <c r="DI26" s="644">
        <f t="shared" si="49"/>
        <v>13.428173486143224</v>
      </c>
      <c r="DJ26" s="26">
        <v>844</v>
      </c>
      <c r="DK26" s="26">
        <v>232</v>
      </c>
      <c r="DL26" s="26">
        <v>222</v>
      </c>
      <c r="DM26" s="138">
        <f t="shared" si="50"/>
        <v>0.58470824949698186</v>
      </c>
      <c r="DN26" s="99">
        <f t="shared" si="51"/>
        <v>0.15421562461738647</v>
      </c>
      <c r="DO26" s="138">
        <f t="shared" si="52"/>
        <v>-7.9723661665331153E-2</v>
      </c>
      <c r="DP26" s="99">
        <f t="shared" si="53"/>
        <v>0</v>
      </c>
      <c r="DQ26" s="26">
        <v>14</v>
      </c>
      <c r="DR26" s="8">
        <f t="shared" si="54"/>
        <v>218</v>
      </c>
      <c r="DS26" s="27" t="s">
        <v>231</v>
      </c>
      <c r="DT26" s="7">
        <f t="shared" si="55"/>
        <v>19.630511463844798</v>
      </c>
      <c r="DU26" s="8">
        <f t="shared" si="56"/>
        <v>11732.174999999999</v>
      </c>
      <c r="DV26" s="32">
        <f t="shared" si="57"/>
        <v>2.6351410538610125</v>
      </c>
      <c r="DW26" s="99">
        <f t="shared" si="58"/>
        <v>10</v>
      </c>
      <c r="DX26" s="14">
        <f t="shared" si="59"/>
        <v>1947.0851554907676</v>
      </c>
      <c r="DY26" s="99">
        <f t="shared" si="60"/>
        <v>-7.4344281406524404</v>
      </c>
      <c r="DZ26" s="103">
        <f t="shared" si="61"/>
        <v>0.48027864266594217</v>
      </c>
      <c r="EA26" s="99">
        <f t="shared" si="62"/>
        <v>-0.30877277939295122</v>
      </c>
      <c r="EB26" s="103">
        <f>_xlfn.XLOOKUP(Q26,'Cem Sales'!$K$5:$K$33,'Cem Sales'!$DN$5:$DN$33, 0)</f>
        <v>0</v>
      </c>
      <c r="EC26" s="99">
        <f t="shared" si="63"/>
        <v>0</v>
      </c>
      <c r="ED26" s="8">
        <f t="shared" si="64"/>
        <v>4440.8</v>
      </c>
      <c r="EE26" s="8">
        <f t="shared" si="65"/>
        <v>9022.3008849557518</v>
      </c>
      <c r="EF26" s="235">
        <f t="shared" si="66"/>
        <v>107.96460176991151</v>
      </c>
      <c r="EG26" s="8">
        <f t="shared" si="67"/>
        <v>6785.5327433628318</v>
      </c>
      <c r="EH26" s="411">
        <f t="shared" si="68"/>
        <v>94</v>
      </c>
      <c r="EI26" s="1605">
        <v>991</v>
      </c>
      <c r="EJ26" s="821">
        <f t="shared" si="69"/>
        <v>0.1366896551724138</v>
      </c>
      <c r="EK26" s="502">
        <v>10.3</v>
      </c>
      <c r="EL26" s="502"/>
      <c r="EM26" s="510">
        <v>18280</v>
      </c>
      <c r="EN26" s="435">
        <v>914</v>
      </c>
      <c r="EO26" s="510">
        <v>36730</v>
      </c>
      <c r="EP26" s="435">
        <v>1837</v>
      </c>
      <c r="EQ26" s="510">
        <v>37020</v>
      </c>
      <c r="ER26" s="435">
        <v>1857</v>
      </c>
      <c r="ES26" s="510">
        <v>8070</v>
      </c>
      <c r="ET26" s="435">
        <v>4560</v>
      </c>
      <c r="EU26" s="510">
        <v>6259</v>
      </c>
      <c r="EV26" s="435">
        <v>3536</v>
      </c>
      <c r="EW26" s="1610">
        <v>6259</v>
      </c>
      <c r="EX26" s="834">
        <v>3536</v>
      </c>
      <c r="EY26" s="835">
        <f t="shared" si="70"/>
        <v>2.8687089715536107</v>
      </c>
      <c r="EZ26" s="1648">
        <f t="shared" si="71"/>
        <v>18</v>
      </c>
    </row>
    <row r="27" spans="1:156" ht="35" customHeight="1">
      <c r="A27" s="100">
        <f>_xlfn.XLOOKUP(Q27,'Cement Ranking'!$F$7:$F$35,'Cement Ranking'!$AO$7:$AO$35, "")</f>
        <v>-0.3801749626398081</v>
      </c>
      <c r="B27" s="100">
        <f>_xlfn.XLOOKUP(Q27,'Cement Ranking'!$F$7:$F$35,'Cement Ranking'!$AN$7:$AN$35, "")</f>
        <v>-4.1661002865120871</v>
      </c>
      <c r="C27" s="1585">
        <f t="shared" ca="1" si="1"/>
        <v>0.11111841695010755</v>
      </c>
      <c r="D27" s="1650">
        <f t="shared" si="2"/>
        <v>1.8721796046337422</v>
      </c>
      <c r="E27" s="1412">
        <f t="shared" si="3"/>
        <v>-8.5999999999999961</v>
      </c>
      <c r="F27" s="1413">
        <f t="shared" si="4"/>
        <v>-8.7999999999999972</v>
      </c>
      <c r="G27" s="2125" cm="1">
        <f t="array" ref="G27">IFERROR(_xlfn.XLOOKUP(Q27,'Sales Rec'!$E$4:$E$32,'Sales Rec'!$CU$4:$CU$32*100,""),"")</f>
        <v>2.6319444779955625</v>
      </c>
      <c r="H27" s="2314">
        <f>_xlfn.XLOOKUP(Q27,'Sales Rec'!$E$4:$E$32,'Sales Rec'!$DQ$4:$DQ$32,"")</f>
        <v>0.45579847908745247</v>
      </c>
      <c r="I27" s="2311">
        <f>_xlfn.XLOOKUP(Q27,'Sales History'!$C$4:$C$83,'Sales History'!$AS$4:$AS$83,"")</f>
        <v>0.55494125777470626</v>
      </c>
      <c r="J27" s="2314">
        <f>_xlfn.XLOOKUP(Q27,'Sales History'!$C$4:$C$83,'Sales History'!$AW$4:$AW$83,"")</f>
        <v>0.91163793103448276</v>
      </c>
      <c r="K27" s="1942">
        <f>_xlfn.XLOOKUP(Q27,'Sales Rec'!$E$4:$E$91,'Sales Rec'!$CV$4:$CV$91,"")</f>
        <v>20</v>
      </c>
      <c r="L27" s="1575">
        <f>_xlfn.XLOOKUP(Q27,'Cement Ranking'!$F$7:$F$35,'Cement Ranking'!$AQ$7:$AQ$35,"")</f>
        <v>16</v>
      </c>
      <c r="M27" s="1588" t="str">
        <f>_xlfn.XLOOKUP(Q27,'Sales Rec'!$E$4:$E$32,'Sales Rec'!$DS$4:$DS$32,"")</f>
        <v>N</v>
      </c>
      <c r="N27" s="1587" t="str">
        <f>_xlfn.XLOOKUP(Q27,'Sales Rec'!$E$4:$E$32,'Sales Rec'!$DZ$4:$DZ$32,"")</f>
        <v>N</v>
      </c>
      <c r="O27" s="1937" t="str">
        <f>_xlfn.XLOOKUP($Q27,'History Records'!$B$7:$B$88,'History Records'!$G$7:$G$88,"")</f>
        <v/>
      </c>
      <c r="P27" s="60" t="s">
        <v>68</v>
      </c>
      <c r="Q27" s="124" t="s">
        <v>69</v>
      </c>
      <c r="R27" s="1570">
        <v>12</v>
      </c>
      <c r="S27" s="66">
        <f t="shared" si="5"/>
        <v>20383.665288</v>
      </c>
      <c r="T27" s="2386">
        <f>_xlfn.XLOOKUP($Q27,'Price Record'!$C$6:$C$85,'Price Record'!H$6:H$85,"")</f>
        <v>68880</v>
      </c>
      <c r="U27" s="338">
        <f>_xlfn.XLOOKUP(Q27,'دیده بان بازار'!$A$3:$A$3542,'دیده بان بازار'!$M$3:$M$3542,"")</f>
        <v>2.99</v>
      </c>
      <c r="V27" s="2386">
        <f>_xlfn.XLOOKUP($Q27,'Price Record'!$C$6:$C$85,'Price Record'!G$6:G$85,"")</f>
        <v>68880</v>
      </c>
      <c r="W27" s="337">
        <f>_xlfn.XLOOKUP(Q27,'دیده بان بازار'!$A$3:$A$3542,'دیده بان بازار'!$J$3:$J$3542,"")</f>
        <v>2.99</v>
      </c>
      <c r="X27" s="1641">
        <f t="shared" si="6"/>
        <v>22824.665288</v>
      </c>
      <c r="Y27" s="661" t="str">
        <f t="shared" si="7"/>
        <v/>
      </c>
      <c r="Z27" s="1031">
        <f t="shared" si="8"/>
        <v>0.22167607359904107</v>
      </c>
      <c r="AA27" s="511">
        <f t="shared" ca="1" si="9"/>
        <v>0.12575342465753425</v>
      </c>
      <c r="AB27" s="823">
        <f t="shared" ca="1" si="10"/>
        <v>-18.808362537550355</v>
      </c>
      <c r="AC27" s="1150">
        <f t="shared" si="11"/>
        <v>0.22167607359904107</v>
      </c>
      <c r="AD27" s="1150">
        <f t="shared" si="12"/>
        <v>5.2386044091073371E-2</v>
      </c>
      <c r="AE27" s="1150">
        <f t="shared" si="13"/>
        <v>2.3165742414578587</v>
      </c>
      <c r="AF27" s="1150">
        <f t="shared" si="14"/>
        <v>2.5486882465181058</v>
      </c>
      <c r="AG27" s="1150">
        <f t="shared" si="15"/>
        <v>3.5857514708661418</v>
      </c>
      <c r="AH27" s="275">
        <f t="shared" ca="1" si="16"/>
        <v>314</v>
      </c>
      <c r="AI27" s="1121">
        <v>46188</v>
      </c>
      <c r="AJ27" s="1554">
        <v>46307</v>
      </c>
      <c r="AK27" s="27">
        <v>4500000</v>
      </c>
      <c r="AL27" s="23">
        <v>4950000</v>
      </c>
      <c r="AM27" s="29">
        <f t="shared" si="17"/>
        <v>2959301000</v>
      </c>
      <c r="AN27" s="1225">
        <v>0.15529999999999999</v>
      </c>
      <c r="AO27" s="174">
        <f>_xlfn.XLOOKUP(Q27,'Cem Sales'!$K$5:$K$33,'Cem Sales'!$DU$5:$DU$33,"")</f>
        <v>6521</v>
      </c>
      <c r="AP27" s="1928">
        <v>6056</v>
      </c>
      <c r="AQ27" s="1928">
        <v>2843</v>
      </c>
      <c r="AR27" s="766">
        <f>_xlfn.XLOOKUP(Q27,'Sales Rec'!$E$4:$E$86,'Sales Rec'!$X$4:$X$86,"")</f>
        <v>8459.1577946768066</v>
      </c>
      <c r="AS27" s="984">
        <f>_xlfn.XLOOKUP(Q27,'Sales Rec'!$E$4:$E$86,'Sales Rec'!$K$4:$K$86,"")</f>
        <v>4</v>
      </c>
      <c r="AT27" s="6">
        <f t="shared" si="18"/>
        <v>2.4056668266438805</v>
      </c>
      <c r="AU27" s="99">
        <f t="shared" si="19"/>
        <v>0.20655841032688471</v>
      </c>
      <c r="AV27" s="16">
        <v>2250</v>
      </c>
      <c r="AW27" s="16">
        <v>1114</v>
      </c>
      <c r="AX27" s="1421">
        <f t="shared" si="20"/>
        <v>0.495</v>
      </c>
      <c r="AY27" s="1419">
        <v>0.58099999999999996</v>
      </c>
      <c r="AZ27" s="1689">
        <v>0.46899999999999997</v>
      </c>
      <c r="BA27" s="1690">
        <v>0.49099999999999999</v>
      </c>
      <c r="BB27" s="100">
        <f t="shared" si="21"/>
        <v>-8.7999999999999972</v>
      </c>
      <c r="BC27" s="1420">
        <f t="shared" si="22"/>
        <v>0.38700000000000001</v>
      </c>
      <c r="BD27" s="1419">
        <v>0.47499999999999998</v>
      </c>
      <c r="BE27" s="1687">
        <v>0.34899999999999998</v>
      </c>
      <c r="BF27" s="1688">
        <v>0.41499999999999998</v>
      </c>
      <c r="BG27" s="306">
        <f t="shared" si="23"/>
        <v>0.10799999999999998</v>
      </c>
      <c r="BH27" s="1861">
        <f t="shared" si="24"/>
        <v>971.99999999999989</v>
      </c>
      <c r="BI27" s="306">
        <f t="shared" si="25"/>
        <v>0.10599999999999998</v>
      </c>
      <c r="BJ27" s="99">
        <v>0</v>
      </c>
      <c r="BK27" s="306">
        <f>_xlfn.XLOOKUP(Q27,'Sales Rec'!$E$4:$E$91,'Sales Rec'!$Y$4:$Y$91,"")</f>
        <v>0.39682262131387164</v>
      </c>
      <c r="BL27" s="99">
        <f t="shared" si="26"/>
        <v>5</v>
      </c>
      <c r="BM27" s="15"/>
      <c r="BN27" s="1803">
        <v>3</v>
      </c>
      <c r="BO27" s="842">
        <f t="shared" si="27"/>
        <v>1</v>
      </c>
      <c r="BP27" s="16">
        <v>3477</v>
      </c>
      <c r="BQ27" s="16"/>
      <c r="BR27" s="16"/>
      <c r="BS27" s="1251">
        <f>(_xlfn.XLOOKUP(Q27,'Sales Rec'!$E$4:$E$32,'Sales Rec'!$X$4:$X$32)*BC27+CL27)*1000/CJ27</f>
        <v>13772.489065964985</v>
      </c>
      <c r="BT27" s="1246">
        <f t="shared" si="28"/>
        <v>14469.633200542967</v>
      </c>
      <c r="BU27" s="406"/>
      <c r="BV27" s="407">
        <f t="shared" si="29"/>
        <v>4.8778203953662578</v>
      </c>
      <c r="BW27" s="99">
        <f t="shared" si="30"/>
        <v>0.61089802316871111</v>
      </c>
      <c r="BX27" s="18">
        <f t="shared" si="31"/>
        <v>4178.8470332699626</v>
      </c>
      <c r="BY27" s="18">
        <f t="shared" si="32"/>
        <v>3019.8022648888891</v>
      </c>
      <c r="BZ27" s="18">
        <f t="shared" si="33"/>
        <v>4187.283108365019</v>
      </c>
      <c r="CA27" s="1710">
        <f t="shared" si="34"/>
        <v>5.4509486694135179</v>
      </c>
      <c r="CB27" s="266">
        <f>_xlfn.XLOOKUP($Q27,'Price Record'!$C$6:$C$85,'Price Record'!I$6:I$85,"")</f>
        <v>10205</v>
      </c>
      <c r="CC27" s="267">
        <f>_xlfn.XLOOKUP($Q27,'Price Record'!$C$6:$C$85,'Price Record'!J$6:J$85,"")</f>
        <v>6.75</v>
      </c>
      <c r="CD27" s="99">
        <f t="shared" si="35"/>
        <v>-5.25</v>
      </c>
      <c r="CE27" s="17">
        <f t="shared" si="36"/>
        <v>1.2178000198341405</v>
      </c>
      <c r="CF27" s="99">
        <f t="shared" si="37"/>
        <v>3.1287999206634378</v>
      </c>
      <c r="CG27" s="103">
        <f t="shared" si="38"/>
        <v>0.5686279811225966</v>
      </c>
      <c r="CH27" s="99">
        <f t="shared" si="39"/>
        <v>2.529419716838949</v>
      </c>
      <c r="CI27" s="19"/>
      <c r="CJ27" s="708">
        <v>295.93009999999998</v>
      </c>
      <c r="CK27" s="419">
        <v>271</v>
      </c>
      <c r="CL27" s="468">
        <v>802</v>
      </c>
      <c r="CM27" s="843">
        <v>159</v>
      </c>
      <c r="CN27" s="21">
        <v>1029</v>
      </c>
      <c r="CO27" s="21">
        <v>5</v>
      </c>
      <c r="CP27" s="469">
        <f t="shared" si="40"/>
        <v>1070.5</v>
      </c>
      <c r="CQ27" s="1239">
        <f>(AR27*BC27)*(_xlfn.XLOOKUP($Q27,'Sales Rec'!$E$4:$E$32,'Sales Rec'!$L$4:$L$32,"")/12)+CO27</f>
        <v>1096.231355513308</v>
      </c>
      <c r="CR27" s="25">
        <v>1300</v>
      </c>
      <c r="CS27" s="57">
        <v>0</v>
      </c>
      <c r="CT27" s="2240" t="str">
        <f t="shared" si="41"/>
        <v/>
      </c>
      <c r="CU27" s="693">
        <f t="shared" si="42"/>
        <v>1625</v>
      </c>
      <c r="CV27" s="50">
        <v>4946</v>
      </c>
      <c r="CW27" s="25">
        <v>412</v>
      </c>
      <c r="CX27" s="50">
        <v>143</v>
      </c>
      <c r="CY27" s="53">
        <f t="shared" si="43"/>
        <v>5089</v>
      </c>
      <c r="CZ27" s="6">
        <f t="shared" si="44"/>
        <v>1.1572988273352203</v>
      </c>
      <c r="DA27" s="99">
        <f t="shared" si="45"/>
        <v>-0.34160938131823748</v>
      </c>
      <c r="DB27" s="53">
        <f t="shared" si="46"/>
        <v>6714</v>
      </c>
      <c r="DC27" s="645">
        <f t="shared" si="47"/>
        <v>0.75796842418826338</v>
      </c>
      <c r="DD27" s="13">
        <v>990</v>
      </c>
      <c r="DE27" s="28">
        <v>975</v>
      </c>
      <c r="DF27" s="28">
        <v>7</v>
      </c>
      <c r="DG27" s="52">
        <v>5724</v>
      </c>
      <c r="DH27" s="8">
        <f t="shared" si="48"/>
        <v>778</v>
      </c>
      <c r="DI27" s="644">
        <f t="shared" si="49"/>
        <v>10.872953463594866</v>
      </c>
      <c r="DJ27" s="26">
        <v>2361</v>
      </c>
      <c r="DK27" s="26">
        <v>348</v>
      </c>
      <c r="DL27" s="26">
        <v>321</v>
      </c>
      <c r="DM27" s="138">
        <f t="shared" si="50"/>
        <v>0.75796842418826338</v>
      </c>
      <c r="DN27" s="99">
        <f t="shared" si="51"/>
        <v>-1.5783861222954287</v>
      </c>
      <c r="DO27" s="138">
        <f t="shared" si="52"/>
        <v>0.45088902544666842</v>
      </c>
      <c r="DP27" s="99">
        <f t="shared" si="53"/>
        <v>2</v>
      </c>
      <c r="DQ27" s="26">
        <v>2300</v>
      </c>
      <c r="DR27" s="8">
        <f t="shared" si="54"/>
        <v>394</v>
      </c>
      <c r="DS27" s="27" t="s">
        <v>231</v>
      </c>
      <c r="DT27" s="7">
        <f t="shared" si="55"/>
        <v>23.966684641975309</v>
      </c>
      <c r="DU27" s="8">
        <f t="shared" si="56"/>
        <v>38083.5</v>
      </c>
      <c r="DV27" s="32">
        <f t="shared" si="57"/>
        <v>1.8683342500928923</v>
      </c>
      <c r="DW27" s="99">
        <f t="shared" si="58"/>
        <v>10</v>
      </c>
      <c r="DX27" s="14">
        <f t="shared" si="59"/>
        <v>1879.8128432615124</v>
      </c>
      <c r="DY27" s="99">
        <f t="shared" si="60"/>
        <v>-8.214074676127721</v>
      </c>
      <c r="DZ27" s="103">
        <f t="shared" si="61"/>
        <v>0.49400272872314005</v>
      </c>
      <c r="EA27" s="99">
        <f t="shared" si="62"/>
        <v>0.10294980232298523</v>
      </c>
      <c r="EB27" s="103">
        <f>_xlfn.XLOOKUP(Q27,'Cem Sales'!$K$5:$K$33,'Cem Sales'!$DN$5:$DN$33, 0)</f>
        <v>2.2526934378060724E-2</v>
      </c>
      <c r="EC27" s="99">
        <f t="shared" si="63"/>
        <v>0.22526934378060723</v>
      </c>
      <c r="ED27" s="8">
        <f t="shared" si="64"/>
        <v>37146.199999999997</v>
      </c>
      <c r="EE27" s="8">
        <f t="shared" si="65"/>
        <v>52090.679521954684</v>
      </c>
      <c r="EF27" s="235">
        <f t="shared" si="66"/>
        <v>915.75679527023442</v>
      </c>
      <c r="EG27" s="8">
        <f t="shared" si="67"/>
        <v>45076.318158612463</v>
      </c>
      <c r="EH27" s="411">
        <f t="shared" si="68"/>
        <v>119</v>
      </c>
      <c r="EI27" s="1605">
        <v>9700</v>
      </c>
      <c r="EJ27" s="821">
        <f t="shared" si="69"/>
        <v>0.14679176755447942</v>
      </c>
      <c r="EK27" s="502">
        <v>0.24</v>
      </c>
      <c r="EL27" s="502"/>
      <c r="EM27" s="510">
        <v>15020</v>
      </c>
      <c r="EN27" s="435">
        <v>4445</v>
      </c>
      <c r="EO27" s="510">
        <v>19410</v>
      </c>
      <c r="EP27" s="435">
        <v>5744</v>
      </c>
      <c r="EQ27" s="510">
        <v>20770</v>
      </c>
      <c r="ER27" s="435">
        <v>6146</v>
      </c>
      <c r="ES27" s="510">
        <v>65450</v>
      </c>
      <c r="ET27" s="435">
        <v>19369</v>
      </c>
      <c r="EU27" s="510">
        <v>56380</v>
      </c>
      <c r="EV27" s="435">
        <v>16685</v>
      </c>
      <c r="EW27" s="1610">
        <v>56380</v>
      </c>
      <c r="EX27" s="834">
        <v>16685</v>
      </c>
      <c r="EY27" s="835">
        <f t="shared" si="70"/>
        <v>2.7536557930258718</v>
      </c>
      <c r="EZ27" s="1648">
        <f t="shared" si="71"/>
        <v>19</v>
      </c>
    </row>
    <row r="28" spans="1:156" ht="35" customHeight="1">
      <c r="A28" s="100">
        <f>_xlfn.XLOOKUP(Q28,'Cement Ranking'!$F$7:$F$35,'Cement Ranking'!$AO$7:$AO$35, "")</f>
        <v>-2.4994308049222735</v>
      </c>
      <c r="B28" s="100">
        <f>_xlfn.XLOOKUP(Q28,'Cement Ranking'!$F$7:$F$35,'Cement Ranking'!$AN$7:$AN$35, "")</f>
        <v>-10.842248271211252</v>
      </c>
      <c r="C28" s="1585">
        <f t="shared" ca="1" si="1"/>
        <v>9.9043628430049477E-2</v>
      </c>
      <c r="D28" s="1650">
        <f t="shared" si="2"/>
        <v>11.760964923877896</v>
      </c>
      <c r="E28" s="1412">
        <f t="shared" si="3"/>
        <v>3.2000000000000028</v>
      </c>
      <c r="F28" s="1413">
        <f t="shared" si="4"/>
        <v>2.300000000000002</v>
      </c>
      <c r="G28" s="2125" cm="1">
        <f t="array" ref="G28">IFERROR(_xlfn.XLOOKUP(Q28,'Sales Rec'!$E$4:$E$32,'Sales Rec'!$CU$4:$CU$32*100,""),"")</f>
        <v>2.7759676661651964</v>
      </c>
      <c r="H28" s="2314">
        <f>_xlfn.XLOOKUP(Q28,'Sales Rec'!$E$4:$E$32,'Sales Rec'!$DQ$4:$DQ$32,"")</f>
        <v>0.43468154346815435</v>
      </c>
      <c r="I28" s="2311">
        <f>_xlfn.XLOOKUP(Q28,'Sales History'!$C$4:$C$83,'Sales History'!$AS$4:$AS$83,"")</f>
        <v>-0.27459807073954984</v>
      </c>
      <c r="J28" s="2314">
        <f>_xlfn.XLOOKUP(Q28,'Sales History'!$C$4:$C$83,'Sales History'!$AW$4:$AW$83,"")</f>
        <v>1.2224938875305624E-2</v>
      </c>
      <c r="K28" s="1942">
        <f>_xlfn.XLOOKUP(Q28,'Sales Rec'!$E$4:$E$91,'Sales Rec'!$CV$4:$CV$91,"")</f>
        <v>22</v>
      </c>
      <c r="L28" s="1575">
        <f>_xlfn.XLOOKUP(Q28,'Cement Ranking'!$F$7:$F$35,'Cement Ranking'!$AQ$7:$AQ$35,"")</f>
        <v>19</v>
      </c>
      <c r="M28" s="1582" t="str">
        <f>_xlfn.XLOOKUP(Q28,'Sales Rec'!$E$4:$E$32,'Sales Rec'!$DS$4:$DS$32,"")</f>
        <v>N</v>
      </c>
      <c r="N28" s="1582" t="str">
        <f>_xlfn.XLOOKUP(Q28,'Sales Rec'!$E$4:$E$32,'Sales Rec'!$DZ$4:$DZ$32,"")</f>
        <v>N</v>
      </c>
      <c r="O28" s="1937" t="str">
        <f>_xlfn.XLOOKUP($Q28,'History Records'!$B$7:$B$88,'History Records'!$G$7:$G$88,"")</f>
        <v/>
      </c>
      <c r="P28" s="60" t="s">
        <v>58</v>
      </c>
      <c r="Q28" s="223" t="s">
        <v>59</v>
      </c>
      <c r="R28" s="2387">
        <v>9</v>
      </c>
      <c r="S28" s="66">
        <f t="shared" si="5"/>
        <v>14227.2</v>
      </c>
      <c r="T28" s="2386">
        <f>_xlfn.XLOOKUP($Q28,'Price Record'!$C$6:$C$85,'Price Record'!H$6:H$85,"")</f>
        <v>19500</v>
      </c>
      <c r="U28" s="338">
        <f>_xlfn.XLOOKUP(Q28,'دیده بان بازار'!$A$3:$A$3542,'دیده بان بازار'!$M$3:$M$3542,"")</f>
        <v>2.96</v>
      </c>
      <c r="V28" s="2386">
        <f>_xlfn.XLOOKUP($Q28,'Price Record'!$C$6:$C$85,'Price Record'!G$6:G$85,"")</f>
        <v>19500</v>
      </c>
      <c r="W28" s="337">
        <f>_xlfn.XLOOKUP(Q28,'دیده بان بازار'!$A$3:$A$3542,'دیده بان بازار'!$J$3:$J$3542,"")</f>
        <v>2.96</v>
      </c>
      <c r="X28" s="1641">
        <f t="shared" si="6"/>
        <v>15623.2</v>
      </c>
      <c r="Y28" s="661" t="str">
        <f t="shared" si="7"/>
        <v/>
      </c>
      <c r="Z28" s="1031">
        <f t="shared" si="8"/>
        <v>0.14302241503976867</v>
      </c>
      <c r="AA28" s="511">
        <f t="shared" ca="1" si="9"/>
        <v>0.42410958904109591</v>
      </c>
      <c r="AB28" s="823">
        <f t="shared" ca="1" si="10"/>
        <v>16.342277558216701</v>
      </c>
      <c r="AC28" s="1150">
        <f t="shared" si="11"/>
        <v>0.14302241503976867</v>
      </c>
      <c r="AD28" s="1150">
        <f t="shared" si="12"/>
        <v>0.34982922201138528</v>
      </c>
      <c r="AE28" s="1150">
        <f t="shared" si="13"/>
        <v>2.0868301149924062</v>
      </c>
      <c r="AF28" s="1150">
        <f t="shared" si="14"/>
        <v>4.6840591290451465</v>
      </c>
      <c r="AG28" s="1150">
        <f t="shared" si="15"/>
        <v>7.7283435582822086</v>
      </c>
      <c r="AH28" s="275">
        <f t="shared" ca="1" si="16"/>
        <v>193</v>
      </c>
      <c r="AI28" s="1121">
        <v>46067</v>
      </c>
      <c r="AJ28" s="1856">
        <v>46124</v>
      </c>
      <c r="AK28" s="27">
        <v>1800000</v>
      </c>
      <c r="AL28" s="23">
        <v>1870000</v>
      </c>
      <c r="AM28" s="29">
        <f t="shared" si="17"/>
        <v>7296000000</v>
      </c>
      <c r="AN28" s="1225">
        <v>0.14879999999999999</v>
      </c>
      <c r="AO28" s="174">
        <f>_xlfn.XLOOKUP(Q28,'Cem Sales'!$K$5:$K$33,'Cem Sales'!$DU$5:$DU$33,"")</f>
        <v>4634</v>
      </c>
      <c r="AP28" s="1925">
        <v>3939</v>
      </c>
      <c r="AQ28" s="1925">
        <v>2021</v>
      </c>
      <c r="AR28" s="766">
        <f>_xlfn.XLOOKUP(Q28,'Sales Rec'!$E$4:$E$86,'Sales Rec'!$X$4:$X$86,"")</f>
        <v>4987.9182027649767</v>
      </c>
      <c r="AS28" s="984">
        <f>_xlfn.XLOOKUP(Q28,'Sales Rec'!$E$4:$E$86,'Sales Rec'!$K$4:$K$86,"")</f>
        <v>4</v>
      </c>
      <c r="AT28" s="6">
        <f t="shared" si="18"/>
        <v>2.852332260002453</v>
      </c>
      <c r="AU28" s="99">
        <f t="shared" si="19"/>
        <v>-4.2600959232588398</v>
      </c>
      <c r="AV28" s="16">
        <v>2683</v>
      </c>
      <c r="AW28" s="16">
        <v>1456</v>
      </c>
      <c r="AX28" s="1421">
        <f t="shared" si="20"/>
        <v>0.54300000000000004</v>
      </c>
      <c r="AY28" s="1419">
        <v>0.51100000000000001</v>
      </c>
      <c r="AZ28" s="1689">
        <v>0.52700000000000002</v>
      </c>
      <c r="BA28" s="1690">
        <v>0.49099999999999999</v>
      </c>
      <c r="BB28" s="100">
        <f t="shared" si="21"/>
        <v>2.300000000000002</v>
      </c>
      <c r="BC28" s="1420">
        <f t="shared" si="22"/>
        <v>0.436</v>
      </c>
      <c r="BD28" s="1419">
        <v>0.41299999999999998</v>
      </c>
      <c r="BE28" s="1687">
        <v>0.44500000000000001</v>
      </c>
      <c r="BF28" s="1688">
        <v>0.436</v>
      </c>
      <c r="BG28" s="306">
        <f t="shared" si="23"/>
        <v>0.10700000000000004</v>
      </c>
      <c r="BH28" s="1861">
        <f t="shared" si="24"/>
        <v>574.16200000000026</v>
      </c>
      <c r="BI28" s="306">
        <f t="shared" si="25"/>
        <v>9.8000000000000032E-2</v>
      </c>
      <c r="BJ28" s="99">
        <v>0</v>
      </c>
      <c r="BK28" s="306">
        <f>_xlfn.XLOOKUP(Q28,'Sales Rec'!$E$4:$E$91,'Sales Rec'!$Y$4:$Y$91,"")</f>
        <v>0.26629048051916138</v>
      </c>
      <c r="BL28" s="99">
        <f t="shared" si="26"/>
        <v>3.698041964381781</v>
      </c>
      <c r="BM28" s="15"/>
      <c r="BN28" s="1803">
        <v>3</v>
      </c>
      <c r="BO28" s="842">
        <f t="shared" si="27"/>
        <v>2</v>
      </c>
      <c r="BP28" s="16">
        <v>4948</v>
      </c>
      <c r="BQ28" s="16">
        <v>7810</v>
      </c>
      <c r="BR28" s="16"/>
      <c r="BS28" s="1251">
        <f>(_xlfn.XLOOKUP(Q28,'Sales Rec'!$E$4:$E$32,'Sales Rec'!$X$4:$X$32)*BC28+CL28)*1000/CJ28</f>
        <v>3453.58050494179</v>
      </c>
      <c r="BT28" s="1246">
        <f t="shared" si="28"/>
        <v>3906.25</v>
      </c>
      <c r="BU28" s="406"/>
      <c r="BV28" s="407">
        <f t="shared" si="29"/>
        <v>5.2990350761221032</v>
      </c>
      <c r="BW28" s="99">
        <f t="shared" si="30"/>
        <v>-1.4951753806105161</v>
      </c>
      <c r="BX28" s="18">
        <f t="shared" si="31"/>
        <v>2684.8661682027655</v>
      </c>
      <c r="BY28" s="18">
        <f t="shared" si="32"/>
        <v>833.9507620164128</v>
      </c>
      <c r="BZ28" s="18">
        <f t="shared" si="33"/>
        <v>2708.4395841013825</v>
      </c>
      <c r="CA28" s="1710">
        <f t="shared" si="34"/>
        <v>5.7683398558005985</v>
      </c>
      <c r="CB28" s="266">
        <f>_xlfn.XLOOKUP($Q28,'Price Record'!$C$6:$C$85,'Price Record'!I$6:I$85,"")</f>
        <v>1143</v>
      </c>
      <c r="CC28" s="267">
        <f>_xlfn.XLOOKUP($Q28,'Price Record'!$C$6:$C$85,'Price Record'!J$6:J$85,"")</f>
        <v>17.059999999999999</v>
      </c>
      <c r="CD28" s="99">
        <f t="shared" si="35"/>
        <v>-20</v>
      </c>
      <c r="CE28" s="17">
        <f t="shared" si="36"/>
        <v>1.2514590260747207</v>
      </c>
      <c r="CF28" s="99">
        <f t="shared" si="37"/>
        <v>2.9941638957011172</v>
      </c>
      <c r="CG28" s="103">
        <f t="shared" si="38"/>
        <v>0.3743538996378647</v>
      </c>
      <c r="CH28" s="99">
        <f t="shared" si="39"/>
        <v>-0.3846915054320299</v>
      </c>
      <c r="CI28" s="19"/>
      <c r="CJ28" s="708">
        <v>729.6</v>
      </c>
      <c r="CK28" s="419">
        <v>298</v>
      </c>
      <c r="CL28" s="468">
        <v>345</v>
      </c>
      <c r="CM28" s="843">
        <v>256</v>
      </c>
      <c r="CN28" s="21">
        <v>1425</v>
      </c>
      <c r="CO28" s="21">
        <v>0</v>
      </c>
      <c r="CP28" s="469">
        <f t="shared" si="40"/>
        <v>1425</v>
      </c>
      <c r="CQ28" s="1239">
        <f>(AR28*BC28)*(_xlfn.XLOOKUP($Q28,'Sales Rec'!$E$4:$E$32,'Sales Rec'!$L$4:$L$32,"")/12)+CO28</f>
        <v>1268.593862903226</v>
      </c>
      <c r="CR28" s="25">
        <v>2037</v>
      </c>
      <c r="CS28" s="57">
        <v>-600</v>
      </c>
      <c r="CT28" s="2240" t="str">
        <f t="shared" si="41"/>
        <v>Check RE</v>
      </c>
      <c r="CU28" s="53">
        <f t="shared" si="42"/>
        <v>2217</v>
      </c>
      <c r="CV28" s="50">
        <v>3135</v>
      </c>
      <c r="CW28" s="25">
        <v>0</v>
      </c>
      <c r="CX28" s="50">
        <v>225</v>
      </c>
      <c r="CY28" s="53">
        <f t="shared" si="43"/>
        <v>3360</v>
      </c>
      <c r="CZ28" s="6">
        <f t="shared" si="44"/>
        <v>1.5805422647527911</v>
      </c>
      <c r="DA28" s="99">
        <f t="shared" si="45"/>
        <v>3.0443381180223295</v>
      </c>
      <c r="DB28" s="53">
        <f t="shared" si="46"/>
        <v>5577</v>
      </c>
      <c r="DC28" s="645">
        <f t="shared" si="47"/>
        <v>0.6024744486282948</v>
      </c>
      <c r="DD28" s="13">
        <v>622</v>
      </c>
      <c r="DE28" s="28">
        <v>588</v>
      </c>
      <c r="DF28" s="28">
        <v>3</v>
      </c>
      <c r="DG28" s="52">
        <v>4955</v>
      </c>
      <c r="DH28" s="8">
        <f t="shared" si="48"/>
        <v>1820</v>
      </c>
      <c r="DI28" s="644">
        <f t="shared" si="49"/>
        <v>2.7406143971236134</v>
      </c>
      <c r="DJ28" s="26">
        <v>1261</v>
      </c>
      <c r="DK28" s="26">
        <v>307</v>
      </c>
      <c r="DL28" s="26">
        <v>1388</v>
      </c>
      <c r="DM28" s="138">
        <f t="shared" si="50"/>
        <v>0.6024744486282948</v>
      </c>
      <c r="DN28" s="99">
        <f t="shared" si="51"/>
        <v>-2.344636669574296E-2</v>
      </c>
      <c r="DO28" s="138">
        <f t="shared" si="52"/>
        <v>0.61179138339530892</v>
      </c>
      <c r="DP28" s="99">
        <f t="shared" si="53"/>
        <v>3</v>
      </c>
      <c r="DQ28" s="26">
        <v>1657</v>
      </c>
      <c r="DR28" s="8">
        <f t="shared" si="54"/>
        <v>342</v>
      </c>
      <c r="DS28" s="27" t="s">
        <v>231</v>
      </c>
      <c r="DT28" s="7">
        <f t="shared" si="55"/>
        <v>41.820105820105823</v>
      </c>
      <c r="DU28" s="8">
        <f t="shared" si="56"/>
        <v>16523.325000000001</v>
      </c>
      <c r="DV28" s="32">
        <f t="shared" si="57"/>
        <v>1.161389802631579</v>
      </c>
      <c r="DW28" s="99">
        <f t="shared" si="58"/>
        <v>3.2277960526315796</v>
      </c>
      <c r="DX28" s="14">
        <f t="shared" si="59"/>
        <v>2771.0656682027648</v>
      </c>
      <c r="DY28" s="99">
        <f t="shared" si="60"/>
        <v>2.115021413657399</v>
      </c>
      <c r="DZ28" s="103">
        <f t="shared" si="61"/>
        <v>0.53827389685629778</v>
      </c>
      <c r="EA28" s="99">
        <f t="shared" si="62"/>
        <v>1.4310848463177173</v>
      </c>
      <c r="EB28" s="103">
        <f>_xlfn.XLOOKUP(Q28,'Cem Sales'!$K$5:$K$33,'Cem Sales'!$DN$5:$DN$33, 0)</f>
        <v>0.18535320803629293</v>
      </c>
      <c r="EC28" s="99">
        <f t="shared" si="63"/>
        <v>1.8535320803629294</v>
      </c>
      <c r="ED28" s="8">
        <f t="shared" si="64"/>
        <v>4297.68</v>
      </c>
      <c r="EE28" s="8">
        <f t="shared" si="65"/>
        <v>14531.25</v>
      </c>
      <c r="EF28" s="235">
        <f t="shared" si="66"/>
        <v>838.81578947368416</v>
      </c>
      <c r="EG28" s="8">
        <f t="shared" si="67"/>
        <v>9833.8728947368418</v>
      </c>
      <c r="EH28" s="411">
        <f t="shared" si="68"/>
        <v>57</v>
      </c>
      <c r="EI28" s="1605">
        <v>10000</v>
      </c>
      <c r="EJ28" s="821">
        <f t="shared" si="69"/>
        <v>0.36954915003695493</v>
      </c>
      <c r="EK28" s="502">
        <v>0.68264999999999998</v>
      </c>
      <c r="EL28" s="502"/>
      <c r="EM28" s="510">
        <v>15100</v>
      </c>
      <c r="EN28" s="435">
        <v>1630</v>
      </c>
      <c r="EO28" s="510">
        <v>13725</v>
      </c>
      <c r="EP28" s="435">
        <v>2503</v>
      </c>
      <c r="EQ28" s="510">
        <v>25270</v>
      </c>
      <c r="ER28" s="435">
        <v>4609</v>
      </c>
      <c r="ES28" s="510">
        <v>57787</v>
      </c>
      <c r="ET28" s="435">
        <v>10540</v>
      </c>
      <c r="EU28" s="510">
        <v>17060</v>
      </c>
      <c r="EV28" s="435">
        <v>12447</v>
      </c>
      <c r="EW28" s="1610">
        <v>17060</v>
      </c>
      <c r="EX28" s="834">
        <v>12447</v>
      </c>
      <c r="EY28" s="835">
        <f t="shared" si="70"/>
        <v>6.6361963190184046</v>
      </c>
      <c r="EZ28" s="1648">
        <f t="shared" si="71"/>
        <v>5</v>
      </c>
    </row>
    <row r="29" spans="1:156" ht="35" customHeight="1">
      <c r="A29" s="100">
        <f>_xlfn.XLOOKUP(Q29,'Cement Ranking'!$F$7:$F$35,'Cement Ranking'!$AO$7:$AO$35, "")</f>
        <v>-5.0680802798950131</v>
      </c>
      <c r="B29" s="100">
        <f>_xlfn.XLOOKUP(Q29,'Cement Ranking'!$F$7:$F$35,'Cement Ranking'!$AN$7:$AN$35, "")</f>
        <v>-5.0680802798950131</v>
      </c>
      <c r="C29" s="1585">
        <f t="shared" ca="1" si="1"/>
        <v>0.24087352936293477</v>
      </c>
      <c r="D29" s="1650">
        <f t="shared" si="2"/>
        <v>-0.65627738272852021</v>
      </c>
      <c r="E29" s="1412">
        <f t="shared" si="3"/>
        <v>3.400000000000003</v>
      </c>
      <c r="F29" s="1413">
        <f t="shared" si="4"/>
        <v>0.20000000000000018</v>
      </c>
      <c r="G29" s="2125" cm="1">
        <f t="array" ref="G29">IFERROR(_xlfn.XLOOKUP(Q29,'Sales Rec'!$E$4:$E$32,'Sales Rec'!$CU$4:$CU$32*100,""),"")</f>
        <v>-1.5993285438179017</v>
      </c>
      <c r="H29" s="2314">
        <f>_xlfn.XLOOKUP(Q29,'Sales Rec'!$E$4:$E$32,'Sales Rec'!$DQ$4:$DQ$32,"")</f>
        <v>0.77852726250702642</v>
      </c>
      <c r="I29" s="2311">
        <f>_xlfn.XLOOKUP(Q29,'Sales History'!$C$4:$C$83,'Sales History'!$AS$4:$AS$83,"")</f>
        <v>0.4175257731958763</v>
      </c>
      <c r="J29" s="2314">
        <f>_xlfn.XLOOKUP(Q29,'Sales History'!$C$4:$C$83,'Sales History'!$AW$4:$AW$83,"")</f>
        <v>0.53136531365313655</v>
      </c>
      <c r="K29" s="1942">
        <f>_xlfn.XLOOKUP(Q29,'Sales Rec'!$E$4:$E$91,'Sales Rec'!$CV$4:$CV$91,"")</f>
        <v>8</v>
      </c>
      <c r="L29" s="1575">
        <f>_xlfn.XLOOKUP(Q29,'Cement Ranking'!$F$7:$F$35,'Cement Ranking'!$AQ$7:$AQ$35,"")</f>
        <v>22</v>
      </c>
      <c r="M29" s="1582" t="str">
        <f>_xlfn.XLOOKUP(Q29,'Sales Rec'!$E$4:$E$32,'Sales Rec'!$DS$4:$DS$32,"")</f>
        <v>N</v>
      </c>
      <c r="N29" s="1587" t="str">
        <f>_xlfn.XLOOKUP(Q29,'Sales Rec'!$E$4:$E$32,'Sales Rec'!$DZ$4:$DZ$32,"")</f>
        <v>S</v>
      </c>
      <c r="O29" s="1937" t="str">
        <f>_xlfn.XLOOKUP($Q29,'History Records'!$B$7:$B$88,'History Records'!$G$7:$G$88,"")</f>
        <v/>
      </c>
      <c r="P29" s="60" t="s">
        <v>30</v>
      </c>
      <c r="Q29" s="124" t="s">
        <v>31</v>
      </c>
      <c r="R29" s="1570">
        <v>6</v>
      </c>
      <c r="S29" s="66">
        <f t="shared" si="5"/>
        <v>12226.4</v>
      </c>
      <c r="T29" s="2386">
        <f>_xlfn.XLOOKUP($Q29,'Price Record'!$C$6:$C$85,'Price Record'!H$6:H$85,"")</f>
        <v>19720</v>
      </c>
      <c r="U29" s="338">
        <f>_xlfn.XLOOKUP(Q29,'دیده بان بازار'!$A$3:$A$3542,'دیده بان بازار'!$M$3:$M$3542,"")</f>
        <v>2.98</v>
      </c>
      <c r="V29" s="2386">
        <f>_xlfn.XLOOKUP($Q29,'Price Record'!$C$6:$C$85,'Price Record'!G$6:G$85,"")</f>
        <v>19720</v>
      </c>
      <c r="W29" s="337">
        <f>_xlfn.XLOOKUP(Q29,'دیده بان بازار'!$A$3:$A$3542,'دیده بان بازار'!$J$3:$J$3542,"")</f>
        <v>2.98</v>
      </c>
      <c r="X29" s="1641">
        <f t="shared" si="6"/>
        <v>13209.4</v>
      </c>
      <c r="Y29" s="661" t="str">
        <f t="shared" si="7"/>
        <v/>
      </c>
      <c r="Z29" s="1031">
        <f t="shared" si="8"/>
        <v>0.67599725839616176</v>
      </c>
      <c r="AA29" s="511">
        <f t="shared" ca="1" si="9"/>
        <v>0.59671232876712332</v>
      </c>
      <c r="AB29" s="823">
        <f t="shared" ca="1" si="10"/>
        <v>-3.2762367615305137</v>
      </c>
      <c r="AC29" s="1150">
        <f t="shared" si="11"/>
        <v>0.67599725839616176</v>
      </c>
      <c r="AD29" s="1150">
        <f t="shared" si="12"/>
        <v>2.0796977329974808</v>
      </c>
      <c r="AE29" s="1150">
        <f t="shared" si="13"/>
        <v>2.217473684210526</v>
      </c>
      <c r="AF29" s="1150">
        <f t="shared" si="14"/>
        <v>5.9153846153846148</v>
      </c>
      <c r="AG29" s="1150">
        <f t="shared" si="15"/>
        <v>5.8803601575689362</v>
      </c>
      <c r="AH29" s="275">
        <f t="shared" ca="1" si="16"/>
        <v>123</v>
      </c>
      <c r="AI29" s="1121">
        <v>45997</v>
      </c>
      <c r="AJ29" s="1856">
        <v>46075</v>
      </c>
      <c r="AK29" s="27">
        <v>2250000</v>
      </c>
      <c r="AL29" s="23">
        <v>2300000</v>
      </c>
      <c r="AM29" s="29">
        <f t="shared" si="17"/>
        <v>6200000000</v>
      </c>
      <c r="AN29" s="1225">
        <v>0.40770000000000001</v>
      </c>
      <c r="AO29" s="174">
        <f>_xlfn.XLOOKUP(Q29,'Cem Sales'!$K$5:$K$33,'Cem Sales'!$DU$5:$DU$33,"")</f>
        <v>3402</v>
      </c>
      <c r="AP29" s="1925">
        <v>2170</v>
      </c>
      <c r="AQ29" s="1925">
        <v>569</v>
      </c>
      <c r="AR29" s="766">
        <f>_xlfn.XLOOKUP(Q29,'Sales Rec'!$E$4:$E$86,'Sales Rec'!$X$4:$X$86,"")</f>
        <v>3767.6520798201236</v>
      </c>
      <c r="AS29" s="984">
        <f>_xlfn.XLOOKUP(Q29,'Sales Rec'!$E$4:$E$86,'Sales Rec'!$K$4:$K$86,"")</f>
        <v>4</v>
      </c>
      <c r="AT29" s="6">
        <f t="shared" si="18"/>
        <v>2.1477434297453306</v>
      </c>
      <c r="AU29" s="99">
        <f t="shared" si="19"/>
        <v>2.785792379312384</v>
      </c>
      <c r="AV29" s="16">
        <v>2751</v>
      </c>
      <c r="AW29" s="16">
        <v>930</v>
      </c>
      <c r="AX29" s="1421">
        <f t="shared" si="20"/>
        <v>0.33800000000000002</v>
      </c>
      <c r="AY29" s="1419">
        <v>0.30399999999999999</v>
      </c>
      <c r="AZ29" s="1689">
        <v>0.26200000000000001</v>
      </c>
      <c r="BA29" s="1690">
        <v>9.5000000000000001E-2</v>
      </c>
      <c r="BB29" s="100">
        <f t="shared" si="21"/>
        <v>0.20000000000000018</v>
      </c>
      <c r="BC29" s="1420">
        <f t="shared" si="22"/>
        <v>0.251</v>
      </c>
      <c r="BD29" s="1419">
        <v>0.249</v>
      </c>
      <c r="BE29" s="1687">
        <v>0.21099999999999999</v>
      </c>
      <c r="BF29" s="1688">
        <v>5.5E-2</v>
      </c>
      <c r="BG29" s="306">
        <f t="shared" si="23"/>
        <v>8.7000000000000022E-2</v>
      </c>
      <c r="BH29" s="1861">
        <f t="shared" si="24"/>
        <v>319.11600000000004</v>
      </c>
      <c r="BI29" s="306">
        <f t="shared" si="25"/>
        <v>5.4999999999999993E-2</v>
      </c>
      <c r="BJ29" s="99">
        <v>0</v>
      </c>
      <c r="BK29" s="306">
        <f>_xlfn.XLOOKUP(Q29,'Sales Rec'!$E$4:$E$91,'Sales Rec'!$Y$4:$Y$91,"")</f>
        <v>0.73624519807378963</v>
      </c>
      <c r="BL29" s="99">
        <f t="shared" si="26"/>
        <v>1.8074381903288361</v>
      </c>
      <c r="BM29" s="15"/>
      <c r="BN29" s="1803">
        <v>3</v>
      </c>
      <c r="BO29" s="842">
        <f t="shared" si="27"/>
        <v>3</v>
      </c>
      <c r="BP29" s="16">
        <v>801</v>
      </c>
      <c r="BQ29" s="16">
        <v>1261</v>
      </c>
      <c r="BR29" s="16">
        <v>1753</v>
      </c>
      <c r="BS29" s="1251">
        <f>(_xlfn.XLOOKUP(Q29,'Sales Rec'!$E$4:$E$32,'Sales Rec'!$X$4:$X$32)*BC29+CL29)*1000/CJ29</f>
        <v>2794.6462452175015</v>
      </c>
      <c r="BT29" s="1246">
        <f t="shared" si="28"/>
        <v>2755.3763440860212</v>
      </c>
      <c r="BU29" s="406"/>
      <c r="BV29" s="407">
        <f t="shared" si="29"/>
        <v>7.1062773827285204</v>
      </c>
      <c r="BW29" s="99">
        <f t="shared" si="30"/>
        <v>-10.531386913642603</v>
      </c>
      <c r="BX29" s="18">
        <f t="shared" si="31"/>
        <v>1720.507002684092</v>
      </c>
      <c r="BY29" s="18">
        <f t="shared" si="32"/>
        <v>1895.5658914728681</v>
      </c>
      <c r="BZ29" s="18">
        <f t="shared" si="33"/>
        <v>1273.4664029792018</v>
      </c>
      <c r="CA29" s="1710">
        <f t="shared" si="34"/>
        <v>10.372790337536479</v>
      </c>
      <c r="CB29" s="266">
        <f>_xlfn.XLOOKUP($Q29,'Price Record'!$C$6:$C$85,'Price Record'!I$6:I$85,"")</f>
        <v>3056</v>
      </c>
      <c r="CC29" s="267">
        <f>_xlfn.XLOOKUP($Q29,'Price Record'!$C$6:$C$85,'Price Record'!J$6:J$85,"")</f>
        <v>6.45</v>
      </c>
      <c r="CD29" s="99">
        <f t="shared" si="35"/>
        <v>-4.3500000000000005</v>
      </c>
      <c r="CE29" s="17">
        <f t="shared" si="36"/>
        <v>1.3937752047849727</v>
      </c>
      <c r="CF29" s="99">
        <f t="shared" si="37"/>
        <v>2.424899180860109</v>
      </c>
      <c r="CG29" s="103">
        <f t="shared" si="38"/>
        <v>0.31580525012556754</v>
      </c>
      <c r="CH29" s="99">
        <f t="shared" si="39"/>
        <v>-1.2629212481164873</v>
      </c>
      <c r="CI29" s="19"/>
      <c r="CJ29" s="708">
        <v>620</v>
      </c>
      <c r="CK29" s="419">
        <v>106</v>
      </c>
      <c r="CL29" s="468">
        <v>787</v>
      </c>
      <c r="CM29" s="843">
        <v>396</v>
      </c>
      <c r="CN29" s="21">
        <v>1087</v>
      </c>
      <c r="CO29" s="21">
        <v>641</v>
      </c>
      <c r="CP29" s="469">
        <f t="shared" si="40"/>
        <v>1281.25</v>
      </c>
      <c r="CQ29" s="1239">
        <f>(AR29*BC29)*(_xlfn.XLOOKUP($Q29,'Sales Rec'!$E$4:$E$32,'Sales Rec'!$L$4:$L$32,"")/12)+CO29</f>
        <v>1429.0672266957092</v>
      </c>
      <c r="CR29" s="25">
        <v>1193</v>
      </c>
      <c r="CS29" s="57">
        <v>-73</v>
      </c>
      <c r="CT29" s="2240" t="str">
        <f t="shared" si="41"/>
        <v/>
      </c>
      <c r="CU29" s="693">
        <f t="shared" si="42"/>
        <v>1826</v>
      </c>
      <c r="CV29" s="50">
        <v>2238</v>
      </c>
      <c r="CW29" s="25">
        <v>583</v>
      </c>
      <c r="CX29" s="50">
        <v>160</v>
      </c>
      <c r="CY29" s="53">
        <f t="shared" si="43"/>
        <v>2398</v>
      </c>
      <c r="CZ29" s="6">
        <f t="shared" si="44"/>
        <v>1.6184092940125112</v>
      </c>
      <c r="DA29" s="99">
        <f t="shared" si="45"/>
        <v>3.3472743521000901</v>
      </c>
      <c r="DB29" s="53">
        <f t="shared" si="46"/>
        <v>4224</v>
      </c>
      <c r="DC29" s="645">
        <f t="shared" si="47"/>
        <v>0.56770833333333337</v>
      </c>
      <c r="DD29" s="13">
        <v>602</v>
      </c>
      <c r="DE29" s="28">
        <v>300</v>
      </c>
      <c r="DF29" s="28">
        <v>210</v>
      </c>
      <c r="DG29" s="52">
        <v>3622</v>
      </c>
      <c r="DH29" s="8">
        <f t="shared" si="48"/>
        <v>1384</v>
      </c>
      <c r="DI29" s="644">
        <f t="shared" si="49"/>
        <v>2.7222919651879507</v>
      </c>
      <c r="DJ29" s="26">
        <v>1296</v>
      </c>
      <c r="DK29" s="26">
        <v>669</v>
      </c>
      <c r="DL29" s="26">
        <v>228</v>
      </c>
      <c r="DM29" s="138">
        <f t="shared" si="50"/>
        <v>0.56770833333333337</v>
      </c>
      <c r="DN29" s="99">
        <f t="shared" si="51"/>
        <v>0.32421478625387135</v>
      </c>
      <c r="DO29" s="138">
        <f t="shared" si="52"/>
        <v>0.12799709487323013</v>
      </c>
      <c r="DP29" s="99">
        <f t="shared" si="53"/>
        <v>0</v>
      </c>
      <c r="DQ29" s="26">
        <v>746</v>
      </c>
      <c r="DR29" s="8">
        <f t="shared" si="54"/>
        <v>683</v>
      </c>
      <c r="DS29" s="27" t="s">
        <v>231</v>
      </c>
      <c r="DT29" s="7">
        <f t="shared" si="55"/>
        <v>28.751087595532038</v>
      </c>
      <c r="DU29" s="8">
        <f t="shared" si="56"/>
        <v>20116.6875</v>
      </c>
      <c r="DV29" s="32">
        <f t="shared" si="57"/>
        <v>1.6453483854609698</v>
      </c>
      <c r="DW29" s="99">
        <f t="shared" si="58"/>
        <v>10</v>
      </c>
      <c r="DX29" s="14">
        <f t="shared" si="59"/>
        <v>1674.5120354756104</v>
      </c>
      <c r="DY29" s="99">
        <f t="shared" si="60"/>
        <v>-10</v>
      </c>
      <c r="DZ29" s="103">
        <f t="shared" si="61"/>
        <v>0.45665230393731915</v>
      </c>
      <c r="EA29" s="99">
        <f t="shared" si="62"/>
        <v>-1.0175629412516418</v>
      </c>
      <c r="EB29" s="103">
        <f>_xlfn.XLOOKUP(Q29,'Cem Sales'!$K$5:$K$33,'Cem Sales'!$DN$5:$DN$33, 0)</f>
        <v>0.12041719342604298</v>
      </c>
      <c r="EC29" s="99">
        <f t="shared" si="63"/>
        <v>1.2041719342604298</v>
      </c>
      <c r="ED29" s="8">
        <f t="shared" si="64"/>
        <v>11857.28</v>
      </c>
      <c r="EE29" s="8">
        <f t="shared" si="65"/>
        <v>10580.645161290322</v>
      </c>
      <c r="EF29" s="235">
        <f t="shared" si="66"/>
        <v>170.96774193548387</v>
      </c>
      <c r="EG29" s="8">
        <f t="shared" si="67"/>
        <v>11304.446451612905</v>
      </c>
      <c r="EH29" s="411">
        <f t="shared" si="68"/>
        <v>78</v>
      </c>
      <c r="EI29" s="1605">
        <v>2360</v>
      </c>
      <c r="EJ29" s="821">
        <f t="shared" si="69"/>
        <v>0.13923303834808259</v>
      </c>
      <c r="EK29" s="502"/>
      <c r="EL29" s="502"/>
      <c r="EM29" s="510">
        <v>6700</v>
      </c>
      <c r="EN29" s="435">
        <v>1777</v>
      </c>
      <c r="EO29" s="510">
        <v>6660</v>
      </c>
      <c r="EP29" s="435">
        <v>1768</v>
      </c>
      <c r="EQ29" s="510">
        <v>14320</v>
      </c>
      <c r="ER29" s="435">
        <v>3800</v>
      </c>
      <c r="ES29" s="510">
        <v>7940</v>
      </c>
      <c r="ET29" s="435">
        <v>3970</v>
      </c>
      <c r="EU29" s="510">
        <v>14590</v>
      </c>
      <c r="EV29" s="435">
        <v>7295</v>
      </c>
      <c r="EW29" s="1610">
        <v>14590</v>
      </c>
      <c r="EX29" s="834">
        <v>7295</v>
      </c>
      <c r="EY29" s="835">
        <f t="shared" si="70"/>
        <v>3.1052335396736073</v>
      </c>
      <c r="EZ29" s="1648">
        <f t="shared" si="71"/>
        <v>16</v>
      </c>
    </row>
    <row r="30" spans="1:156" ht="31" customHeight="1">
      <c r="A30" s="100">
        <f>_xlfn.XLOOKUP(Q30,'Cement Ranking'!$F$7:$F$35,'Cement Ranking'!$AO$7:$AO$35, "")</f>
        <v>-5.1465409578434347</v>
      </c>
      <c r="B30" s="100">
        <f>_xlfn.XLOOKUP(Q30,'Cement Ranking'!$F$7:$F$35,'Cement Ranking'!$AN$7:$AN$35, "")</f>
        <v>-9.5816828073800444</v>
      </c>
      <c r="C30" s="1585">
        <f t="shared" ca="1" si="1"/>
        <v>0.20114092077063772</v>
      </c>
      <c r="D30" s="1650">
        <f t="shared" si="2"/>
        <v>-1.2697453871869344</v>
      </c>
      <c r="E30" s="1412">
        <f t="shared" si="3"/>
        <v>-2.7000000000000024</v>
      </c>
      <c r="F30" s="1413">
        <f t="shared" si="4"/>
        <v>-3.1000000000000028</v>
      </c>
      <c r="G30" s="2125" cm="1">
        <f t="array" ref="G30">IFERROR(_xlfn.XLOOKUP(Q30,'Sales Rec'!$E$4:$E$32,'Sales Rec'!$CU$4:$CU$32*100,""),"")</f>
        <v>0.10535616151373661</v>
      </c>
      <c r="H30" s="2314">
        <f>_xlfn.XLOOKUP(Q30,'Sales Rec'!$E$4:$E$32,'Sales Rec'!$DQ$4:$DQ$32,"")</f>
        <v>0.58550396375990943</v>
      </c>
      <c r="I30" s="2311">
        <f>_xlfn.XLOOKUP(Q30,'Sales History'!$C$4:$C$83,'Sales History'!$AS$4:$AS$83,"")</f>
        <v>0.3499005964214712</v>
      </c>
      <c r="J30" s="2314">
        <f>_xlfn.XLOOKUP(Q30,'Sales History'!$C$4:$C$83,'Sales History'!$AW$4:$AW$83,"")</f>
        <v>0.729490022172949</v>
      </c>
      <c r="K30" s="1942">
        <f>_xlfn.XLOOKUP(Q30,'Sales Rec'!$E$4:$E$91,'Sales Rec'!$CV$4:$CV$91,"")</f>
        <v>16</v>
      </c>
      <c r="L30" s="1575">
        <f>_xlfn.XLOOKUP(Q30,'Cement Ranking'!$F$7:$F$35,'Cement Ranking'!$AQ$7:$AQ$35,"")</f>
        <v>21</v>
      </c>
      <c r="M30" s="1587" t="str">
        <f>_xlfn.XLOOKUP(Q30,'Sales Rec'!$E$4:$E$32,'Sales Rec'!$DS$4:$DS$32,"")</f>
        <v>N</v>
      </c>
      <c r="N30" s="1587" t="str">
        <f>_xlfn.XLOOKUP(Q30,'Sales Rec'!$E$4:$E$32,'Sales Rec'!$DZ$4:$DZ$32,"")</f>
        <v>N</v>
      </c>
      <c r="O30" s="1937" t="str">
        <f>_xlfn.XLOOKUP($Q30,'History Records'!$B$7:$B$88,'History Records'!$G$7:$G$88,"")</f>
        <v/>
      </c>
      <c r="P30" s="60" t="s">
        <v>50</v>
      </c>
      <c r="Q30" s="124" t="s">
        <v>51</v>
      </c>
      <c r="R30" s="1570">
        <v>9</v>
      </c>
      <c r="S30" s="66">
        <f t="shared" si="5"/>
        <v>7305</v>
      </c>
      <c r="T30" s="2386">
        <f>_xlfn.XLOOKUP($Q30,'Price Record'!$C$6:$C$85,'Price Record'!H$6:H$85,"")</f>
        <v>14610</v>
      </c>
      <c r="U30" s="338">
        <f>_xlfn.XLOOKUP(Q30,'دیده بان بازار'!$A$3:$A$3542,'دیده بان بازار'!$M$3:$M$3542,"")</f>
        <v>2.96</v>
      </c>
      <c r="V30" s="2386">
        <f>_xlfn.XLOOKUP($Q30,'Price Record'!$C$6:$C$85,'Price Record'!G$6:G$85,"")</f>
        <v>14610</v>
      </c>
      <c r="W30" s="337">
        <f>_xlfn.XLOOKUP(Q30,'دیده بان بازار'!$A$3:$A$3542,'دیده بان بازار'!$J$3:$J$3542,"")</f>
        <v>2.96</v>
      </c>
      <c r="X30" s="1641">
        <f t="shared" si="6"/>
        <v>8137</v>
      </c>
      <c r="Y30" s="661" t="str">
        <f t="shared" si="7"/>
        <v/>
      </c>
      <c r="Z30" s="1031">
        <f t="shared" si="8"/>
        <v>0.3505268996117582</v>
      </c>
      <c r="AA30" s="511">
        <f t="shared" ca="1" si="9"/>
        <v>0.36986301369863012</v>
      </c>
      <c r="AB30" s="823">
        <f t="shared" ca="1" si="10"/>
        <v>1.2890742724581274</v>
      </c>
      <c r="AC30" s="1150">
        <f t="shared" si="11"/>
        <v>0.3505268996117582</v>
      </c>
      <c r="AD30" s="1150">
        <f t="shared" si="12"/>
        <v>0.87307692307692308</v>
      </c>
      <c r="AE30" s="1150">
        <f t="shared" si="13"/>
        <v>1.1229293809938972</v>
      </c>
      <c r="AF30" s="1150">
        <f t="shared" si="14"/>
        <v>2.8186095138525875</v>
      </c>
      <c r="AG30" s="1150">
        <f t="shared" si="15"/>
        <v>5.4135206321334506</v>
      </c>
      <c r="AH30" s="275">
        <f t="shared" ca="1" si="16"/>
        <v>215</v>
      </c>
      <c r="AI30" s="1121">
        <v>46089</v>
      </c>
      <c r="AJ30" s="1856">
        <v>46179</v>
      </c>
      <c r="AK30" s="27">
        <v>1200000</v>
      </c>
      <c r="AL30" s="23">
        <v>1250000</v>
      </c>
      <c r="AM30" s="29">
        <f t="shared" si="17"/>
        <v>5000000000</v>
      </c>
      <c r="AN30" s="1225">
        <v>0.2301</v>
      </c>
      <c r="AO30" s="174">
        <f>_xlfn.XLOOKUP(Q30,'Cem Sales'!$K$5:$K$33,'Cem Sales'!$DU$5:$DU$33,"")</f>
        <v>1961</v>
      </c>
      <c r="AP30" s="1925">
        <v>1727</v>
      </c>
      <c r="AQ30" s="1925">
        <v>1062</v>
      </c>
      <c r="AR30" s="766">
        <f>_xlfn.XLOOKUP(Q30,'Sales Rec'!$E$4:$E$86,'Sales Rec'!$X$4:$X$86,"")</f>
        <v>2530.0826727066815</v>
      </c>
      <c r="AS30" s="984">
        <f>_xlfn.XLOOKUP(Q30,'Sales Rec'!$E$4:$E$86,'Sales Rec'!$K$4:$K$86,"")</f>
        <v>4</v>
      </c>
      <c r="AT30" s="6">
        <f t="shared" si="18"/>
        <v>2.1690200321118969</v>
      </c>
      <c r="AU30" s="99">
        <f t="shared" si="19"/>
        <v>2.5730263556467214</v>
      </c>
      <c r="AV30" s="16">
        <v>1182</v>
      </c>
      <c r="AW30" s="16">
        <v>502</v>
      </c>
      <c r="AX30" s="1421">
        <f t="shared" si="20"/>
        <v>0.42499999999999999</v>
      </c>
      <c r="AY30" s="1419">
        <v>0.45200000000000001</v>
      </c>
      <c r="AZ30" s="1689">
        <v>0.61499999999999999</v>
      </c>
      <c r="BA30" s="1690">
        <v>0.57499999999999996</v>
      </c>
      <c r="BB30" s="100">
        <f t="shared" si="21"/>
        <v>-3.1000000000000028</v>
      </c>
      <c r="BC30" s="1420">
        <f t="shared" si="22"/>
        <v>0.36299999999999999</v>
      </c>
      <c r="BD30" s="1419">
        <v>0.39400000000000002</v>
      </c>
      <c r="BE30" s="1687">
        <v>0.55600000000000005</v>
      </c>
      <c r="BF30" s="1688">
        <v>0.51700000000000002</v>
      </c>
      <c r="BG30" s="306">
        <f t="shared" si="23"/>
        <v>6.2E-2</v>
      </c>
      <c r="BH30" s="1861">
        <f t="shared" si="24"/>
        <v>146.56800000000001</v>
      </c>
      <c r="BI30" s="306">
        <f t="shared" si="25"/>
        <v>5.7999999999999996E-2</v>
      </c>
      <c r="BJ30" s="99">
        <v>0</v>
      </c>
      <c r="BK30" s="306">
        <f>_xlfn.XLOOKUP(Q30,'Sales Rec'!$E$4:$E$91,'Sales Rec'!$Y$4:$Y$91,"")</f>
        <v>0.46501602357074784</v>
      </c>
      <c r="BL30" s="99">
        <f t="shared" si="26"/>
        <v>3.4346737187696892</v>
      </c>
      <c r="BM30" s="15"/>
      <c r="BN30" s="1803">
        <v>3</v>
      </c>
      <c r="BO30" s="842">
        <f t="shared" si="27"/>
        <v>2</v>
      </c>
      <c r="BP30" s="16">
        <v>276</v>
      </c>
      <c r="BQ30" s="16">
        <v>2899</v>
      </c>
      <c r="BR30" s="16"/>
      <c r="BS30" s="1251">
        <f>(_xlfn.XLOOKUP(Q30,'Sales Rec'!$E$4:$E$32,'Sales Rec'!$X$4:$X$32)*BC30+CL30)*1000/CJ30</f>
        <v>1960.8400203850506</v>
      </c>
      <c r="BT30" s="1246">
        <f t="shared" si="28"/>
        <v>1972</v>
      </c>
      <c r="BU30" s="406"/>
      <c r="BV30" s="407">
        <f t="shared" si="29"/>
        <v>7.4297453871869346</v>
      </c>
      <c r="BW30" s="99">
        <f t="shared" si="30"/>
        <v>-12.148726935934672</v>
      </c>
      <c r="BX30" s="18">
        <f t="shared" si="31"/>
        <v>983.21000509626265</v>
      </c>
      <c r="BY30" s="18">
        <f t="shared" si="32"/>
        <v>1185.8766233766235</v>
      </c>
      <c r="BZ30" s="18">
        <f t="shared" si="33"/>
        <v>1075.2851359003396</v>
      </c>
      <c r="CA30" s="1710">
        <f t="shared" si="34"/>
        <v>7.5672951557977823</v>
      </c>
      <c r="CB30" s="266">
        <f>_xlfn.XLOOKUP($Q30,'Price Record'!$C$6:$C$85,'Price Record'!I$6:I$85,"")</f>
        <v>2372</v>
      </c>
      <c r="CC30" s="267">
        <f>_xlfn.XLOOKUP($Q30,'Price Record'!$C$6:$C$85,'Price Record'!J$6:J$85,"")</f>
        <v>6.16</v>
      </c>
      <c r="CD30" s="99">
        <f t="shared" si="35"/>
        <v>-3.4800000000000004</v>
      </c>
      <c r="CE30" s="17">
        <f t="shared" si="36"/>
        <v>1.2601580471902276</v>
      </c>
      <c r="CF30" s="99">
        <f t="shared" si="37"/>
        <v>2.9593678112390895</v>
      </c>
      <c r="CG30" s="103">
        <f t="shared" si="38"/>
        <v>0.31472791456346438</v>
      </c>
      <c r="CH30" s="99">
        <f t="shared" si="39"/>
        <v>-1.2790812815480346</v>
      </c>
      <c r="CI30" s="19"/>
      <c r="CJ30" s="708">
        <v>500</v>
      </c>
      <c r="CK30" s="419">
        <v>279</v>
      </c>
      <c r="CL30" s="468">
        <v>62</v>
      </c>
      <c r="CM30" s="843">
        <v>64</v>
      </c>
      <c r="CN30" s="21">
        <v>493</v>
      </c>
      <c r="CO30" s="21">
        <v>295</v>
      </c>
      <c r="CP30" s="469">
        <f t="shared" si="40"/>
        <v>493</v>
      </c>
      <c r="CQ30" s="1239">
        <f>(AR30*BC30)*(_xlfn.XLOOKUP($Q30,'Sales Rec'!$E$4:$E$32,'Sales Rec'!$L$4:$L$32,"")/12)+CO30</f>
        <v>830.74500594563983</v>
      </c>
      <c r="CR30" s="25">
        <v>772</v>
      </c>
      <c r="CS30" s="57">
        <v>-370</v>
      </c>
      <c r="CT30" s="2240" t="str">
        <f t="shared" si="41"/>
        <v/>
      </c>
      <c r="CU30" s="693">
        <f t="shared" si="42"/>
        <v>1229</v>
      </c>
      <c r="CV30" s="50">
        <v>1154</v>
      </c>
      <c r="CW30" s="25">
        <v>0</v>
      </c>
      <c r="CX30" s="50">
        <v>85</v>
      </c>
      <c r="CY30" s="53">
        <f t="shared" si="43"/>
        <v>1239</v>
      </c>
      <c r="CZ30" s="6">
        <f t="shared" si="44"/>
        <v>1.6421143847487001</v>
      </c>
      <c r="DA30" s="99">
        <f t="shared" si="45"/>
        <v>3.536915077989601</v>
      </c>
      <c r="DB30" s="53">
        <f t="shared" si="46"/>
        <v>2468</v>
      </c>
      <c r="DC30" s="645">
        <f t="shared" si="47"/>
        <v>0.50202593192868716</v>
      </c>
      <c r="DD30" s="13">
        <v>573</v>
      </c>
      <c r="DE30" s="28">
        <v>449</v>
      </c>
      <c r="DF30" s="28">
        <v>88</v>
      </c>
      <c r="DG30" s="52">
        <v>1895</v>
      </c>
      <c r="DH30" s="8">
        <f t="shared" si="48"/>
        <v>741</v>
      </c>
      <c r="DI30" s="644">
        <f t="shared" si="49"/>
        <v>3.4144165623571952</v>
      </c>
      <c r="DJ30" s="26">
        <v>876</v>
      </c>
      <c r="DK30" s="26">
        <v>305</v>
      </c>
      <c r="DL30" s="26">
        <v>567</v>
      </c>
      <c r="DM30" s="138">
        <f t="shared" si="50"/>
        <v>0.50202593192868716</v>
      </c>
      <c r="DN30" s="99">
        <f t="shared" si="51"/>
        <v>0.98103880030033341</v>
      </c>
      <c r="DO30" s="138">
        <f t="shared" si="52"/>
        <v>9.4858560389747298E-2</v>
      </c>
      <c r="DP30" s="99">
        <f t="shared" si="53"/>
        <v>0</v>
      </c>
      <c r="DQ30" s="26">
        <v>102</v>
      </c>
      <c r="DR30" s="8">
        <f t="shared" si="54"/>
        <v>45</v>
      </c>
      <c r="DS30" s="27" t="s">
        <v>231</v>
      </c>
      <c r="DT30" s="7">
        <f t="shared" si="55"/>
        <v>32.208994708994709</v>
      </c>
      <c r="DU30" s="8">
        <f t="shared" si="56"/>
        <v>11732.174999999999</v>
      </c>
      <c r="DV30" s="32">
        <f t="shared" si="57"/>
        <v>1.606047227926078</v>
      </c>
      <c r="DW30" s="99">
        <f t="shared" si="58"/>
        <v>10</v>
      </c>
      <c r="DX30" s="14">
        <f t="shared" si="59"/>
        <v>2108.4022272555676</v>
      </c>
      <c r="DY30" s="99">
        <f t="shared" si="60"/>
        <v>-5.5648581504633903</v>
      </c>
      <c r="DZ30" s="103">
        <f t="shared" si="61"/>
        <v>0.38860785685094823</v>
      </c>
      <c r="EA30" s="99">
        <f t="shared" si="62"/>
        <v>-3.0588963538427691</v>
      </c>
      <c r="EB30" s="103">
        <f>_xlfn.XLOOKUP(Q30,'Cem Sales'!$K$5:$K$33,'Cem Sales'!$DN$5:$DN$33, 0)</f>
        <v>0</v>
      </c>
      <c r="EC30" s="99">
        <f t="shared" si="63"/>
        <v>0</v>
      </c>
      <c r="ED30" s="8">
        <f t="shared" si="64"/>
        <v>8918.7199999999993</v>
      </c>
      <c r="EE30" s="8">
        <f t="shared" si="65"/>
        <v>7335.84</v>
      </c>
      <c r="EF30" s="235">
        <f t="shared" si="66"/>
        <v>558</v>
      </c>
      <c r="EG30" s="8">
        <f t="shared" si="67"/>
        <v>8406.2799999999988</v>
      </c>
      <c r="EH30" s="411">
        <f t="shared" si="68"/>
        <v>90</v>
      </c>
      <c r="EI30" s="1605">
        <v>4745</v>
      </c>
      <c r="EJ30" s="821">
        <f t="shared" si="69"/>
        <v>0.30490939467934713</v>
      </c>
      <c r="EK30" s="502">
        <v>0.31769999999999998</v>
      </c>
      <c r="EL30" s="502"/>
      <c r="EM30" s="510">
        <v>6700</v>
      </c>
      <c r="EN30" s="435">
        <v>1139</v>
      </c>
      <c r="EO30" s="510">
        <v>11250</v>
      </c>
      <c r="EP30" s="435">
        <v>1913</v>
      </c>
      <c r="EQ30" s="510">
        <v>20240</v>
      </c>
      <c r="ER30" s="435">
        <v>3441</v>
      </c>
      <c r="ES30" s="510">
        <v>22942</v>
      </c>
      <c r="ET30" s="435">
        <v>3900</v>
      </c>
      <c r="EU30" s="510">
        <v>10817</v>
      </c>
      <c r="EV30" s="435">
        <v>5409</v>
      </c>
      <c r="EW30" s="1607">
        <v>10817</v>
      </c>
      <c r="EX30" s="1608">
        <v>5409</v>
      </c>
      <c r="EY30" s="1609">
        <f t="shared" si="70"/>
        <v>3.7489025460930643</v>
      </c>
      <c r="EZ30" s="1648">
        <f t="shared" si="71"/>
        <v>12</v>
      </c>
    </row>
    <row r="31" spans="1:156" ht="34" customHeight="1">
      <c r="A31" s="100">
        <f>_xlfn.XLOOKUP(Q31,'Cement Ranking'!$F$7:$F$35,'Cement Ranking'!$AO$7:$AO$35, "")</f>
        <v>-6.5171615294243201</v>
      </c>
      <c r="B31" s="100">
        <f>_xlfn.XLOOKUP(Q31,'Cement Ranking'!$F$7:$F$35,'Cement Ranking'!$AN$7:$AN$35, "")</f>
        <v>-9.7738461601467677</v>
      </c>
      <c r="C31" s="1585">
        <f t="shared" ca="1" si="1"/>
        <v>0.20099478082661085</v>
      </c>
      <c r="D31" s="1650">
        <f t="shared" si="2"/>
        <v>0.50512373363874108</v>
      </c>
      <c r="E31" s="1412">
        <f t="shared" si="3"/>
        <v>3.8999999999999977</v>
      </c>
      <c r="F31" s="1413">
        <f t="shared" si="4"/>
        <v>2.6000000000000023</v>
      </c>
      <c r="G31" s="2125" cm="1">
        <f t="array" ref="G31">IFERROR(_xlfn.XLOOKUP(Q31,'Sales Rec'!$E$4:$E$32,'Sales Rec'!$CU$4:$CU$32*100,""),"")</f>
        <v>7.3345855962541062</v>
      </c>
      <c r="H31" s="2314">
        <f>_xlfn.XLOOKUP(Q31,'Sales Rec'!$E$4:$E$32,'Sales Rec'!$DQ$4:$DQ$32,"")</f>
        <v>0.69680264608599785</v>
      </c>
      <c r="I31" s="2311">
        <f>_xlfn.XLOOKUP(Q31,'Sales History'!$C$4:$C$83,'Sales History'!$AS$4:$AS$83,"")</f>
        <v>1.1122448979591837</v>
      </c>
      <c r="J31" s="2314">
        <f>_xlfn.XLOOKUP(Q31,'Sales History'!$C$4:$C$83,'Sales History'!$AW$4:$AW$83,"")</f>
        <v>0.65609756097560978</v>
      </c>
      <c r="K31" s="1942">
        <f>_xlfn.XLOOKUP(Q31,'Sales Rec'!$E$4:$E$91,'Sales Rec'!$CV$4:$CV$91,"")</f>
        <v>11</v>
      </c>
      <c r="L31" s="1575">
        <f>_xlfn.XLOOKUP(Q31,'Cement Ranking'!$F$7:$F$35,'Cement Ranking'!$AQ$7:$AQ$35,"")</f>
        <v>26</v>
      </c>
      <c r="M31" s="1582" t="str">
        <f>_xlfn.XLOOKUP(Q31,'Sales Rec'!$E$4:$E$32,'Sales Rec'!$DS$4:$DS$32,"")</f>
        <v>B</v>
      </c>
      <c r="N31" s="1587" t="str">
        <f>_xlfn.XLOOKUP(Q31,'Sales Rec'!$E$4:$E$32,'Sales Rec'!$DZ$4:$DZ$32,"")</f>
        <v>B</v>
      </c>
      <c r="O31" s="1937" t="str">
        <f>_xlfn.XLOOKUP($Q31,'History Records'!$B$7:$B$88,'History Records'!$G$7:$G$88,"")</f>
        <v/>
      </c>
      <c r="P31" s="60" t="s">
        <v>82</v>
      </c>
      <c r="Q31" s="124" t="s">
        <v>83</v>
      </c>
      <c r="R31" s="1570">
        <v>6</v>
      </c>
      <c r="S31" s="66">
        <f t="shared" si="5"/>
        <v>4016.5</v>
      </c>
      <c r="T31" s="2386">
        <f>_xlfn.XLOOKUP($Q31,'Price Record'!$C$6:$C$85,'Price Record'!H$6:H$85,"")</f>
        <v>13830</v>
      </c>
      <c r="U31" s="338">
        <f>_xlfn.XLOOKUP(Q31,'دیده بان بازار'!$A$3:$A$3542,'دیده بان بازار'!$M$3:$M$3542,"")</f>
        <v>2.83</v>
      </c>
      <c r="V31" s="2386">
        <f>_xlfn.XLOOKUP($Q31,'Price Record'!$C$6:$C$85,'Price Record'!G$6:G$85,"")</f>
        <v>13850</v>
      </c>
      <c r="W31" s="337">
        <f>_xlfn.XLOOKUP(Q31,'دیده بان بازار'!$A$3:$A$3542,'دیده بان بازار'!$J$3:$J$3542,"")</f>
        <v>2.97</v>
      </c>
      <c r="X31" s="1641">
        <f t="shared" si="6"/>
        <v>4721.5</v>
      </c>
      <c r="Y31" s="661" t="str">
        <f t="shared" si="7"/>
        <v/>
      </c>
      <c r="Z31" s="1031">
        <f t="shared" si="8"/>
        <v>0.69329679595278249</v>
      </c>
      <c r="AA31" s="511">
        <f t="shared" ca="1" si="9"/>
        <v>0.59424657534246572</v>
      </c>
      <c r="AB31" s="823">
        <f t="shared" ca="1" si="10"/>
        <v>-4.1099676601791186</v>
      </c>
      <c r="AC31" s="1150">
        <f t="shared" si="11"/>
        <v>0.69329679595278249</v>
      </c>
      <c r="AD31" s="1150">
        <f t="shared" si="12"/>
        <v>1.2846985210466439</v>
      </c>
      <c r="AE31" s="1150">
        <f t="shared" si="13"/>
        <v>1.1206441393875397</v>
      </c>
      <c r="AF31" s="1150">
        <f t="shared" si="14"/>
        <v>2.2132000000000001</v>
      </c>
      <c r="AG31" s="1150">
        <f t="shared" si="15"/>
        <v>2.5512820512820511</v>
      </c>
      <c r="AH31" s="275">
        <f t="shared" ca="1" si="16"/>
        <v>124</v>
      </c>
      <c r="AI31" s="1121">
        <v>45998</v>
      </c>
      <c r="AJ31" s="1856">
        <v>46116</v>
      </c>
      <c r="AK31" s="27">
        <v>1000000</v>
      </c>
      <c r="AL31" s="23">
        <v>1800000</v>
      </c>
      <c r="AM31" s="29">
        <f t="shared" si="17"/>
        <v>2900000000</v>
      </c>
      <c r="AN31" s="1225">
        <v>0.14000000000000001</v>
      </c>
      <c r="AO31" s="174">
        <f>_xlfn.XLOOKUP(Q31,'Cem Sales'!$K$5:$K$33,'Cem Sales'!$DU$5:$DU$33,"")</f>
        <v>1689</v>
      </c>
      <c r="AP31" s="1925">
        <v>1201</v>
      </c>
      <c r="AQ31" s="1925">
        <v>431</v>
      </c>
      <c r="AR31" s="766">
        <f>_xlfn.XLOOKUP(Q31,'Sales Rec'!$E$4:$E$86,'Sales Rec'!$X$4:$X$86,"")</f>
        <v>2006.7182738669237</v>
      </c>
      <c r="AS31" s="984">
        <f>_xlfn.XLOOKUP(Q31,'Sales Rec'!$E$4:$E$86,'Sales Rec'!$K$4:$K$86,"")</f>
        <v>4</v>
      </c>
      <c r="AT31" s="6">
        <f t="shared" si="18"/>
        <v>1.813234098371149</v>
      </c>
      <c r="AU31" s="99">
        <f t="shared" si="19"/>
        <v>6.1308856930541999</v>
      </c>
      <c r="AV31" s="16">
        <v>1315</v>
      </c>
      <c r="AW31" s="16">
        <v>542</v>
      </c>
      <c r="AX31" s="1421">
        <f t="shared" si="20"/>
        <v>0.41199999999999998</v>
      </c>
      <c r="AY31" s="1419">
        <v>0.373</v>
      </c>
      <c r="AZ31" s="1689">
        <v>0.35899999999999999</v>
      </c>
      <c r="BA31" s="1690">
        <v>0.217</v>
      </c>
      <c r="BB31" s="100">
        <f t="shared" si="21"/>
        <v>2.6000000000000023</v>
      </c>
      <c r="BC31" s="1420">
        <f t="shared" si="22"/>
        <v>0.31</v>
      </c>
      <c r="BD31" s="1419">
        <v>0.28399999999999997</v>
      </c>
      <c r="BE31" s="1687">
        <v>0.27</v>
      </c>
      <c r="BF31" s="1688">
        <v>0.189</v>
      </c>
      <c r="BG31" s="306">
        <f t="shared" si="23"/>
        <v>0.10199999999999998</v>
      </c>
      <c r="BH31" s="1861">
        <f t="shared" si="24"/>
        <v>178.83999999999995</v>
      </c>
      <c r="BI31" s="306">
        <f t="shared" si="25"/>
        <v>8.9000000000000024E-2</v>
      </c>
      <c r="BJ31" s="99">
        <v>1</v>
      </c>
      <c r="BK31" s="306">
        <f>_xlfn.XLOOKUP(Q31,'Sales Rec'!$E$4:$E$91,'Sales Rec'!$Y$4:$Y$91,"")</f>
        <v>0.6708728341939415</v>
      </c>
      <c r="BL31" s="99">
        <f t="shared" si="26"/>
        <v>-0.67271885276522947</v>
      </c>
      <c r="BM31" s="15"/>
      <c r="BN31" s="1803">
        <v>3</v>
      </c>
      <c r="BO31" s="842">
        <f t="shared" si="27"/>
        <v>3</v>
      </c>
      <c r="BP31" s="16">
        <v>568</v>
      </c>
      <c r="BQ31" s="16">
        <v>901</v>
      </c>
      <c r="BR31" s="16">
        <v>1512</v>
      </c>
      <c r="BS31" s="1251">
        <f>(_xlfn.XLOOKUP(Q31,'Sales Rec'!$E$4:$E$32,'Sales Rec'!$X$4:$X$32)*BC31+CL31)*1000/CJ31</f>
        <v>2310.6298789611942</v>
      </c>
      <c r="BT31" s="1246">
        <f t="shared" si="28"/>
        <v>2041.3793103448274</v>
      </c>
      <c r="BU31" s="406"/>
      <c r="BV31" s="407">
        <f t="shared" si="29"/>
        <v>6.364876266361259</v>
      </c>
      <c r="BW31" s="99">
        <f t="shared" si="30"/>
        <v>-6.8243813318062951</v>
      </c>
      <c r="BX31" s="18">
        <f t="shared" si="31"/>
        <v>631.04133244937316</v>
      </c>
      <c r="BY31" s="18">
        <f t="shared" si="32"/>
        <v>584.64337700145563</v>
      </c>
      <c r="BZ31" s="18">
        <f t="shared" si="33"/>
        <v>826.7679288331725</v>
      </c>
      <c r="CA31" s="1710">
        <f t="shared" si="34"/>
        <v>5.7107923945036303</v>
      </c>
      <c r="CB31" s="266">
        <f>_xlfn.XLOOKUP($Q31,'Price Record'!$C$6:$C$85,'Price Record'!I$6:I$85,"")</f>
        <v>2014</v>
      </c>
      <c r="CC31" s="267">
        <f>_xlfn.XLOOKUP($Q31,'Price Record'!$C$6:$C$85,'Price Record'!J$6:J$85,"")</f>
        <v>6.87</v>
      </c>
      <c r="CD31" s="99">
        <f t="shared" si="35"/>
        <v>-5.61</v>
      </c>
      <c r="CE31" s="17">
        <f t="shared" si="36"/>
        <v>2.0379013764572584</v>
      </c>
      <c r="CF31" s="99">
        <f t="shared" si="37"/>
        <v>-0.15160550582903376</v>
      </c>
      <c r="CG31" s="103">
        <f t="shared" si="38"/>
        <v>0.26469854549050886</v>
      </c>
      <c r="CH31" s="99">
        <f t="shared" si="39"/>
        <v>-2.0295218176423675</v>
      </c>
      <c r="CI31" s="19"/>
      <c r="CJ31" s="708">
        <v>290</v>
      </c>
      <c r="CK31" s="419">
        <v>68</v>
      </c>
      <c r="CL31" s="468">
        <v>48</v>
      </c>
      <c r="CM31" s="843">
        <v>31</v>
      </c>
      <c r="CN31" s="21">
        <v>439</v>
      </c>
      <c r="CO31" s="21">
        <v>55</v>
      </c>
      <c r="CP31" s="469">
        <f t="shared" si="40"/>
        <v>444</v>
      </c>
      <c r="CQ31" s="1239">
        <f>(AR31*BC31)*(_xlfn.XLOOKUP($Q31,'Sales Rec'!$E$4:$E$32,'Sales Rec'!$L$4:$L$32,"")/12)+CO31</f>
        <v>573.4022207489553</v>
      </c>
      <c r="CR31" s="25">
        <v>507</v>
      </c>
      <c r="CS31" s="57">
        <v>-12</v>
      </c>
      <c r="CT31" s="2240" t="str">
        <f t="shared" si="41"/>
        <v/>
      </c>
      <c r="CU31" s="693">
        <f t="shared" si="42"/>
        <v>816</v>
      </c>
      <c r="CV31" s="50">
        <v>1203</v>
      </c>
      <c r="CW31" s="25">
        <v>115</v>
      </c>
      <c r="CX31" s="50">
        <v>83</v>
      </c>
      <c r="CY31" s="53">
        <f t="shared" si="43"/>
        <v>1286</v>
      </c>
      <c r="CZ31" s="6">
        <f t="shared" si="44"/>
        <v>1.3034081463009144</v>
      </c>
      <c r="DA31" s="99">
        <f t="shared" si="45"/>
        <v>0.82726517040731551</v>
      </c>
      <c r="DB31" s="53">
        <f t="shared" si="46"/>
        <v>2102</v>
      </c>
      <c r="DC31" s="645">
        <f t="shared" si="47"/>
        <v>0.61179828734538533</v>
      </c>
      <c r="DD31" s="13">
        <v>534</v>
      </c>
      <c r="DE31" s="28">
        <v>372</v>
      </c>
      <c r="DF31" s="28">
        <v>153</v>
      </c>
      <c r="DG31" s="52">
        <v>1568</v>
      </c>
      <c r="DH31" s="8">
        <f t="shared" si="48"/>
        <v>365</v>
      </c>
      <c r="DI31" s="644">
        <f t="shared" si="49"/>
        <v>5.4978582845669139</v>
      </c>
      <c r="DJ31" s="26">
        <v>700</v>
      </c>
      <c r="DK31" s="26">
        <v>316</v>
      </c>
      <c r="DL31" s="26">
        <v>80</v>
      </c>
      <c r="DM31" s="138">
        <f t="shared" si="50"/>
        <v>0.61179828734538533</v>
      </c>
      <c r="DN31" s="99">
        <f t="shared" si="51"/>
        <v>-0.11668475386664823</v>
      </c>
      <c r="DO31" s="138">
        <f t="shared" si="52"/>
        <v>0.1814293887907539</v>
      </c>
      <c r="DP31" s="99">
        <f t="shared" si="53"/>
        <v>0</v>
      </c>
      <c r="DQ31" s="26">
        <v>265</v>
      </c>
      <c r="DR31" s="8">
        <f t="shared" si="54"/>
        <v>207</v>
      </c>
      <c r="DS31" s="27" t="s">
        <v>231</v>
      </c>
      <c r="DT31" s="7">
        <f t="shared" si="55"/>
        <v>21.251322751322753</v>
      </c>
      <c r="DU31" s="8">
        <f t="shared" si="56"/>
        <v>10135.125</v>
      </c>
      <c r="DV31" s="32">
        <f t="shared" si="57"/>
        <v>2.5233723391012077</v>
      </c>
      <c r="DW31" s="99">
        <f t="shared" si="58"/>
        <v>10</v>
      </c>
      <c r="DX31" s="14">
        <f t="shared" si="59"/>
        <v>2006.7182738669237</v>
      </c>
      <c r="DY31" s="99">
        <f t="shared" si="60"/>
        <v>-6.7433153692775525</v>
      </c>
      <c r="DZ31" s="103">
        <f t="shared" si="61"/>
        <v>0.31446433745448654</v>
      </c>
      <c r="EA31" s="99">
        <f t="shared" si="62"/>
        <v>-5.2832019357366198</v>
      </c>
      <c r="EB31" s="103">
        <f>_xlfn.XLOOKUP(Q31,'Cem Sales'!$K$5:$K$33,'Cem Sales'!$DN$5:$DN$33, 0)</f>
        <v>3.5611717403790925E-2</v>
      </c>
      <c r="EC31" s="99">
        <f t="shared" si="63"/>
        <v>0.35611717403790927</v>
      </c>
      <c r="ED31" s="8">
        <f t="shared" si="64"/>
        <v>7814.32</v>
      </c>
      <c r="EE31" s="8">
        <f t="shared" si="65"/>
        <v>7838.8965517241368</v>
      </c>
      <c r="EF31" s="235">
        <f t="shared" si="66"/>
        <v>234.48275862068965</v>
      </c>
      <c r="EG31" s="8">
        <f t="shared" si="67"/>
        <v>7943.8496551724138</v>
      </c>
      <c r="EH31" s="411">
        <f t="shared" si="68"/>
        <v>118</v>
      </c>
      <c r="EI31" s="1605">
        <v>1150</v>
      </c>
      <c r="EJ31" s="821">
        <f t="shared" si="69"/>
        <v>0.1232583065380493</v>
      </c>
      <c r="EK31" s="502">
        <v>0.318</v>
      </c>
      <c r="EL31" s="502"/>
      <c r="EM31" s="510">
        <v>5140</v>
      </c>
      <c r="EN31" s="435">
        <v>1131</v>
      </c>
      <c r="EO31" s="510">
        <v>5680</v>
      </c>
      <c r="EP31" s="435">
        <v>1250</v>
      </c>
      <c r="EQ31" s="510">
        <v>8610</v>
      </c>
      <c r="ER31" s="435">
        <v>1894</v>
      </c>
      <c r="ES31" s="510">
        <v>7990</v>
      </c>
      <c r="ET31" s="435">
        <v>1758</v>
      </c>
      <c r="EU31" s="510">
        <v>8180</v>
      </c>
      <c r="EV31" s="435">
        <v>2372</v>
      </c>
      <c r="EW31" s="1610">
        <v>8180</v>
      </c>
      <c r="EX31" s="834">
        <v>2372</v>
      </c>
      <c r="EY31" s="835">
        <f t="shared" si="70"/>
        <v>1.0972590627763041</v>
      </c>
      <c r="EZ31" s="1648">
        <f t="shared" si="71"/>
        <v>29</v>
      </c>
    </row>
    <row r="32" spans="1:156" ht="35" customHeight="1">
      <c r="A32" s="100">
        <f>_xlfn.XLOOKUP(Q32,'Cement Ranking'!$F$7:$F$35,'Cement Ranking'!$AO$7:$AO$35, "")</f>
        <v>-12.195856599294064</v>
      </c>
      <c r="B32" s="100">
        <f>_xlfn.XLOOKUP(Q32,'Cement Ranking'!$F$7:$F$35,'Cement Ranking'!$AN$7:$AN$35, "")</f>
        <v>-19.686703879628794</v>
      </c>
      <c r="C32" s="1585">
        <f t="shared" ca="1" si="1"/>
        <v>0.24931768169843485</v>
      </c>
      <c r="D32" s="1650">
        <f t="shared" si="2"/>
        <v>-6.4558680653686196E-2</v>
      </c>
      <c r="E32" s="1412">
        <f t="shared" si="3"/>
        <v>-4.6000000000000041</v>
      </c>
      <c r="F32" s="1413">
        <f t="shared" si="4"/>
        <v>-5.8999999999999995</v>
      </c>
      <c r="G32" s="2125" cm="1">
        <f t="array" ref="G32">IFERROR(_xlfn.XLOOKUP(Q32,'Sales Rec'!$E$4:$E$32,'Sales Rec'!$CU$4:$CU$32*100,""),"")</f>
        <v>-3.3562913698295005</v>
      </c>
      <c r="H32" s="2314">
        <f>_xlfn.XLOOKUP(Q32,'Sales Rec'!$E$4:$E$32,'Sales Rec'!$DQ$4:$DQ$32,"")</f>
        <v>0.68300395256917001</v>
      </c>
      <c r="I32" s="2311">
        <f>_xlfn.XLOOKUP(Q32,'Sales History'!$C$4:$C$83,'Sales History'!$AS$4:$AS$83,"")</f>
        <v>1.3204633204633205</v>
      </c>
      <c r="J32" s="2314">
        <f>_xlfn.XLOOKUP(Q32,'Sales History'!$C$4:$C$83,'Sales History'!$AW$4:$AW$83,"")</f>
        <v>0.97774480712166167</v>
      </c>
      <c r="K32" s="1942">
        <f>_xlfn.XLOOKUP(Q32,'Sales Rec'!$E$4:$E$91,'Sales Rec'!$CV$4:$CV$91,"")</f>
        <v>12</v>
      </c>
      <c r="L32" s="1575">
        <f>_xlfn.XLOOKUP(Q32,'Cement Ranking'!$F$7:$F$35,'Cement Ranking'!$AQ$7:$AQ$35,"")</f>
        <v>18</v>
      </c>
      <c r="M32" s="1582" t="str">
        <f>_xlfn.XLOOKUP(Q32,'Sales Rec'!$E$4:$E$32,'Sales Rec'!$DS$4:$DS$32,"")</f>
        <v>N</v>
      </c>
      <c r="N32" s="1587" t="str">
        <f>_xlfn.XLOOKUP(Q32,'Sales Rec'!$E$4:$E$32,'Sales Rec'!$DZ$4:$DZ$32,"")</f>
        <v>S</v>
      </c>
      <c r="O32" s="1937" t="str">
        <f>_xlfn.XLOOKUP($Q32,'History Records'!$B$7:$B$88,'History Records'!$G$7:$G$88,"")</f>
        <v/>
      </c>
      <c r="P32" s="60" t="s">
        <v>84</v>
      </c>
      <c r="Q32" s="124" t="s">
        <v>85</v>
      </c>
      <c r="R32" s="1570">
        <v>9</v>
      </c>
      <c r="S32" s="66">
        <f t="shared" si="5"/>
        <v>12045.6</v>
      </c>
      <c r="T32" s="2386">
        <f>_xlfn.XLOOKUP($Q32,'Price Record'!$C$6:$C$85,'Price Record'!H$6:H$85,"")</f>
        <v>83270</v>
      </c>
      <c r="U32" s="338">
        <f>_xlfn.XLOOKUP(Q32,'دیده بان بازار'!$A$3:$A$3542,'دیده بان بازار'!$M$3:$M$3542,"")</f>
        <v>2.52</v>
      </c>
      <c r="V32" s="2386">
        <f>_xlfn.XLOOKUP($Q32,'Price Record'!$C$6:$C$85,'Price Record'!G$6:G$85,"")</f>
        <v>83650</v>
      </c>
      <c r="W32" s="337">
        <f>_xlfn.XLOOKUP(Q32,'دیده بان بازار'!$A$3:$A$3542,'دیده بان بازار'!$J$3:$J$3542,"")</f>
        <v>2.99</v>
      </c>
      <c r="X32" s="1641">
        <f t="shared" si="6"/>
        <v>13149.6</v>
      </c>
      <c r="Y32" s="661" t="str">
        <f t="shared" si="7"/>
        <v/>
      </c>
      <c r="Z32" s="1031">
        <f t="shared" si="8"/>
        <v>0.30973143416331417</v>
      </c>
      <c r="AA32" s="511">
        <f t="shared" ca="1" si="9"/>
        <v>0.42164383561643837</v>
      </c>
      <c r="AB32" s="823">
        <f t="shared" ca="1" si="10"/>
        <v>6.5445848802996611</v>
      </c>
      <c r="AC32" s="1150">
        <f t="shared" si="11"/>
        <v>0.30973143416331417</v>
      </c>
      <c r="AD32" s="1150">
        <f t="shared" si="12"/>
        <v>0.4502287503009873</v>
      </c>
      <c r="AE32" s="1150">
        <f t="shared" si="13"/>
        <v>2.8094876660341557</v>
      </c>
      <c r="AF32" s="1150">
        <f t="shared" si="14"/>
        <v>5.782432432432433</v>
      </c>
      <c r="AG32" s="1150">
        <f t="shared" si="15"/>
        <v>8.5751987281399042</v>
      </c>
      <c r="AH32" s="275">
        <f t="shared" ca="1" si="16"/>
        <v>194</v>
      </c>
      <c r="AI32" s="1121">
        <v>46068</v>
      </c>
      <c r="AJ32" s="1856">
        <v>46084</v>
      </c>
      <c r="AK32" s="27">
        <v>1050000</v>
      </c>
      <c r="AL32" s="23">
        <v>1100000</v>
      </c>
      <c r="AM32" s="29">
        <f t="shared" si="17"/>
        <v>1440000000</v>
      </c>
      <c r="AN32" s="1225">
        <v>9.8500000000000004E-2</v>
      </c>
      <c r="AO32" s="174">
        <f>_xlfn.XLOOKUP(Q32,'Cem Sales'!$K$5:$K$33,'Cem Sales'!$DU$5:$DU$33,"")</f>
        <v>3288</v>
      </c>
      <c r="AP32" s="1925">
        <v>2711</v>
      </c>
      <c r="AQ32" s="1925">
        <v>1543</v>
      </c>
      <c r="AR32" s="766">
        <f>_xlfn.XLOOKUP(Q32,'Sales Rec'!$E$4:$E$86,'Sales Rec'!$X$4:$X$86,"")</f>
        <v>4087.4904291360813</v>
      </c>
      <c r="AS32" s="984">
        <f>_xlfn.XLOOKUP(Q32,'Sales Rec'!$E$4:$E$86,'Sales Rec'!$K$4:$K$86,"")</f>
        <v>4</v>
      </c>
      <c r="AT32" s="6">
        <f t="shared" si="18"/>
        <v>2.946942680070304</v>
      </c>
      <c r="AU32" s="99">
        <f t="shared" si="19"/>
        <v>-5.2062001239373501</v>
      </c>
      <c r="AV32" s="16">
        <v>1720</v>
      </c>
      <c r="AW32" s="16">
        <v>873</v>
      </c>
      <c r="AX32" s="1421">
        <f t="shared" si="20"/>
        <v>0.50800000000000001</v>
      </c>
      <c r="AY32" s="1419">
        <v>0.55400000000000005</v>
      </c>
      <c r="AZ32" s="1689">
        <v>0.56899999999999995</v>
      </c>
      <c r="BA32" s="1690">
        <v>0.55800000000000005</v>
      </c>
      <c r="BB32" s="100">
        <f t="shared" si="21"/>
        <v>-5.8999999999999995</v>
      </c>
      <c r="BC32" s="1420">
        <f t="shared" si="22"/>
        <v>0.39100000000000001</v>
      </c>
      <c r="BD32" s="1419">
        <v>0.45</v>
      </c>
      <c r="BE32" s="1687">
        <v>0.46200000000000002</v>
      </c>
      <c r="BF32" s="1688">
        <v>0.47399999999999998</v>
      </c>
      <c r="BG32" s="306">
        <f t="shared" si="23"/>
        <v>0.11699999999999999</v>
      </c>
      <c r="BH32" s="1861">
        <f t="shared" si="24"/>
        <v>402.47999999999996</v>
      </c>
      <c r="BI32" s="306">
        <f t="shared" si="25"/>
        <v>0.10400000000000004</v>
      </c>
      <c r="BJ32" s="99">
        <v>0</v>
      </c>
      <c r="BK32" s="306">
        <f>_xlfn.XLOOKUP(Q32,'Sales Rec'!$E$4:$E$91,'Sales Rec'!$Y$4:$Y$91,"")</f>
        <v>0.5077426887259614</v>
      </c>
      <c r="BL32" s="99">
        <f t="shared" si="26"/>
        <v>5</v>
      </c>
      <c r="BM32" s="15"/>
      <c r="BN32" s="1803">
        <v>3</v>
      </c>
      <c r="BO32" s="842">
        <f t="shared" si="27"/>
        <v>2</v>
      </c>
      <c r="BP32" s="16">
        <v>1351</v>
      </c>
      <c r="BQ32" s="16">
        <v>5154</v>
      </c>
      <c r="BR32" s="16"/>
      <c r="BS32" s="1251">
        <f>(_xlfn.XLOOKUP(Q32,'Sales Rec'!$E$4:$E$32,'Sales Rec'!$X$4:$X$32)*BC32+CL32)*1000/CJ32</f>
        <v>11987.560818001442</v>
      </c>
      <c r="BT32" s="1246">
        <f t="shared" si="28"/>
        <v>10305.555555555555</v>
      </c>
      <c r="BU32" s="406"/>
      <c r="BV32" s="407">
        <f t="shared" si="29"/>
        <v>7.5045586806536866</v>
      </c>
      <c r="BW32" s="99">
        <f t="shared" si="30"/>
        <v>-12.522793403268434</v>
      </c>
      <c r="BX32" s="18">
        <f t="shared" si="31"/>
        <v>1605.104378896104</v>
      </c>
      <c r="BY32" s="18">
        <f t="shared" si="32"/>
        <v>1619.0322580645161</v>
      </c>
      <c r="BZ32" s="18">
        <f t="shared" si="33"/>
        <v>2076.4451380011292</v>
      </c>
      <c r="CA32" s="1710">
        <f t="shared" si="34"/>
        <v>6.3327461724600838</v>
      </c>
      <c r="CB32" s="266">
        <f>_xlfn.XLOOKUP($Q32,'Price Record'!$C$6:$C$85,'Price Record'!I$6:I$85,"")</f>
        <v>11188</v>
      </c>
      <c r="CC32" s="267">
        <f>_xlfn.XLOOKUP($Q32,'Price Record'!$C$6:$C$85,'Price Record'!J$6:J$85,"")</f>
        <v>7.44</v>
      </c>
      <c r="CD32" s="99">
        <f t="shared" si="35"/>
        <v>-7.3200000000000012</v>
      </c>
      <c r="CE32" s="17">
        <f t="shared" si="36"/>
        <v>0.98872074667906951</v>
      </c>
      <c r="CF32" s="99">
        <f t="shared" si="37"/>
        <v>4.045117013283722</v>
      </c>
      <c r="CG32" s="103">
        <f t="shared" si="38"/>
        <v>0.49418238266505665</v>
      </c>
      <c r="CH32" s="99">
        <f t="shared" si="39"/>
        <v>1.4127357399758496</v>
      </c>
      <c r="CI32" s="19"/>
      <c r="CJ32" s="708">
        <v>144</v>
      </c>
      <c r="CK32" s="419">
        <v>439</v>
      </c>
      <c r="CL32" s="468">
        <v>128</v>
      </c>
      <c r="CM32" s="843">
        <v>70</v>
      </c>
      <c r="CN32" s="21">
        <v>742</v>
      </c>
      <c r="CO32" s="21">
        <v>0</v>
      </c>
      <c r="CP32" s="469">
        <f t="shared" si="40"/>
        <v>742</v>
      </c>
      <c r="CQ32" s="1239">
        <f>(AR32*BC32)*(_xlfn.XLOOKUP($Q32,'Sales Rec'!$E$4:$E$32,'Sales Rec'!$L$4:$L$32,"")/12)+CO32</f>
        <v>932.28844204545453</v>
      </c>
      <c r="CR32" s="25">
        <v>1181</v>
      </c>
      <c r="CS32" s="57">
        <v>0</v>
      </c>
      <c r="CT32" s="2240" t="str">
        <f t="shared" si="41"/>
        <v/>
      </c>
      <c r="CU32" s="693">
        <f t="shared" si="42"/>
        <v>1339</v>
      </c>
      <c r="CV32" s="50">
        <v>1473</v>
      </c>
      <c r="CW32" s="25">
        <v>285</v>
      </c>
      <c r="CX32" s="50">
        <v>114</v>
      </c>
      <c r="CY32" s="53">
        <f t="shared" si="43"/>
        <v>1587</v>
      </c>
      <c r="CZ32" s="6">
        <f t="shared" si="44"/>
        <v>1.2959945689069925</v>
      </c>
      <c r="DA32" s="99">
        <f t="shared" si="45"/>
        <v>0.76795655125594031</v>
      </c>
      <c r="DB32" s="53">
        <f t="shared" si="46"/>
        <v>2926</v>
      </c>
      <c r="DC32" s="645">
        <f t="shared" si="47"/>
        <v>0.54237867395762129</v>
      </c>
      <c r="DD32" s="13">
        <v>1017</v>
      </c>
      <c r="DE32" s="28">
        <v>972</v>
      </c>
      <c r="DF32" s="28">
        <v>20</v>
      </c>
      <c r="DG32" s="52">
        <v>1909</v>
      </c>
      <c r="DH32" s="8">
        <f t="shared" si="48"/>
        <v>436</v>
      </c>
      <c r="DI32" s="644">
        <f t="shared" si="49"/>
        <v>9.3749780484772511</v>
      </c>
      <c r="DJ32" s="26">
        <v>1204</v>
      </c>
      <c r="DK32" s="26">
        <v>214</v>
      </c>
      <c r="DL32" s="26">
        <v>102</v>
      </c>
      <c r="DM32" s="138">
        <f t="shared" si="50"/>
        <v>0.54237867395762129</v>
      </c>
      <c r="DN32" s="99">
        <f t="shared" si="51"/>
        <v>0.57751138001099211</v>
      </c>
      <c r="DO32" s="138">
        <f t="shared" si="52"/>
        <v>-7.7054768783355642E-3</v>
      </c>
      <c r="DP32" s="99">
        <f t="shared" si="53"/>
        <v>0</v>
      </c>
      <c r="DQ32" s="26">
        <v>269</v>
      </c>
      <c r="DR32" s="8">
        <f t="shared" si="54"/>
        <v>120</v>
      </c>
      <c r="DS32" s="27" t="s">
        <v>231</v>
      </c>
      <c r="DT32" s="7">
        <f t="shared" si="55"/>
        <v>60.698412698412696</v>
      </c>
      <c r="DU32" s="8">
        <f t="shared" si="56"/>
        <v>10534.387500000001</v>
      </c>
      <c r="DV32" s="32">
        <f t="shared" si="57"/>
        <v>0.87454236401673646</v>
      </c>
      <c r="DW32" s="99">
        <f t="shared" si="58"/>
        <v>-2.5091527196652708</v>
      </c>
      <c r="DX32" s="14">
        <f t="shared" si="59"/>
        <v>3892.8480277486487</v>
      </c>
      <c r="DY32" s="99">
        <f t="shared" si="60"/>
        <v>10</v>
      </c>
      <c r="DZ32" s="103">
        <f t="shared" si="61"/>
        <v>0.39268700605504625</v>
      </c>
      <c r="EA32" s="99">
        <f t="shared" si="62"/>
        <v>-2.9365218777198288</v>
      </c>
      <c r="EB32" s="103">
        <f>_xlfn.XLOOKUP(Q32,'Cem Sales'!$K$5:$K$33,'Cem Sales'!$DN$5:$DN$33, 0)</f>
        <v>0.23954908407703146</v>
      </c>
      <c r="EC32" s="99">
        <f t="shared" si="63"/>
        <v>2.3954908407703144</v>
      </c>
      <c r="ED32" s="8">
        <f t="shared" si="64"/>
        <v>42066.879999999997</v>
      </c>
      <c r="EE32" s="8">
        <f t="shared" si="65"/>
        <v>38336.666666666664</v>
      </c>
      <c r="EF32" s="235">
        <f t="shared" si="66"/>
        <v>3048.6111111111113</v>
      </c>
      <c r="EG32" s="8">
        <f t="shared" si="67"/>
        <v>41726.078888888886</v>
      </c>
      <c r="EH32" s="411">
        <f t="shared" si="68"/>
        <v>16</v>
      </c>
      <c r="EI32" s="1605">
        <v>8150</v>
      </c>
      <c r="EJ32" s="821">
        <f t="shared" si="69"/>
        <v>0.11316301027492363</v>
      </c>
      <c r="EK32" s="502">
        <v>2</v>
      </c>
      <c r="EL32" s="502"/>
      <c r="EM32" s="510">
        <v>19480</v>
      </c>
      <c r="EN32" s="435">
        <v>1258</v>
      </c>
      <c r="EO32" s="510">
        <v>37000</v>
      </c>
      <c r="EP32" s="435">
        <v>1776</v>
      </c>
      <c r="EQ32" s="510">
        <v>21960</v>
      </c>
      <c r="ER32" s="435">
        <v>3162</v>
      </c>
      <c r="ES32" s="510">
        <v>57680</v>
      </c>
      <c r="ET32" s="435">
        <v>8306</v>
      </c>
      <c r="EU32" s="510">
        <v>63870</v>
      </c>
      <c r="EV32" s="435">
        <v>9197</v>
      </c>
      <c r="EW32" s="1610">
        <v>63870</v>
      </c>
      <c r="EX32" s="834">
        <v>9197</v>
      </c>
      <c r="EY32" s="835">
        <f t="shared" si="70"/>
        <v>6.3108108108108105</v>
      </c>
      <c r="EZ32" s="1648">
        <f t="shared" si="71"/>
        <v>6</v>
      </c>
    </row>
    <row r="33" spans="1:156" ht="35" customHeight="1">
      <c r="A33" s="100">
        <f>_xlfn.XLOOKUP(Q33,'Cement Ranking'!$F$7:$F$35,'Cement Ranking'!$AO$7:$AO$35, "")</f>
        <v>-20.805999036870038</v>
      </c>
      <c r="B33" s="100">
        <f>_xlfn.XLOOKUP(Q33,'Cement Ranking'!$F$7:$F$35,'Cement Ranking'!$AN$7:$AN$35, "")</f>
        <v>-18.805999036870038</v>
      </c>
      <c r="C33" s="1585">
        <f t="shared" ca="1" si="1"/>
        <v>0.18242281866376361</v>
      </c>
      <c r="D33" s="1650">
        <f t="shared" si="2"/>
        <v>1.6766711742795284</v>
      </c>
      <c r="E33" s="1412">
        <f t="shared" si="3"/>
        <v>-1.2000000000000011</v>
      </c>
      <c r="F33" s="1413">
        <f t="shared" si="4"/>
        <v>-0.40000000000000036</v>
      </c>
      <c r="G33" s="2125" cm="1">
        <f t="array" ref="G33">IFERROR(_xlfn.XLOOKUP(Q33,'Sales Rec'!$E$4:$E$32,'Sales Rec'!$CU$4:$CU$32*100,""),"")</f>
        <v>8.4408783151909574</v>
      </c>
      <c r="H33" s="2314">
        <f>_xlfn.XLOOKUP(Q33,'Sales Rec'!$E$4:$E$32,'Sales Rec'!$DQ$4:$DQ$32,"")</f>
        <v>0.38095238095238093</v>
      </c>
      <c r="I33" s="2311">
        <f>_xlfn.XLOOKUP(Q33,'Sales History'!$C$4:$C$83,'Sales History'!$AS$4:$AS$83,"")</f>
        <v>0.32922201138519924</v>
      </c>
      <c r="J33" s="2314">
        <f>_xlfn.XLOOKUP(Q33,'Sales History'!$C$4:$C$83,'Sales History'!$AW$4:$AW$83,"")</f>
        <v>0.55431754874651806</v>
      </c>
      <c r="K33" s="1942">
        <f>_xlfn.XLOOKUP(Q33,'Sales Rec'!$E$4:$E$91,'Sales Rec'!$CV$4:$CV$91,"")</f>
        <v>23</v>
      </c>
      <c r="L33" s="1575">
        <f>_xlfn.XLOOKUP(Q33,'Cement Ranking'!$F$7:$F$35,'Cement Ranking'!$AQ$7:$AQ$35,"")</f>
        <v>27</v>
      </c>
      <c r="M33" s="1587" t="str">
        <f>_xlfn.XLOOKUP(Q33,'Sales Rec'!$E$4:$E$32,'Sales Rec'!$DS$4:$DS$32,"")</f>
        <v>N</v>
      </c>
      <c r="N33" s="1587" t="str">
        <f>_xlfn.XLOOKUP(Q33,'Sales Rec'!$E$4:$E$32,'Sales Rec'!$DZ$4:$DZ$32,"")</f>
        <v>N</v>
      </c>
      <c r="O33" s="1937" t="str">
        <f>_xlfn.XLOOKUP($Q33,'History Records'!$B$7:$B$88,'History Records'!$G$7:$G$88,"")</f>
        <v/>
      </c>
      <c r="P33" s="60" t="s">
        <v>36</v>
      </c>
      <c r="Q33" s="124" t="s">
        <v>37</v>
      </c>
      <c r="R33" s="1570">
        <v>6</v>
      </c>
      <c r="S33" s="66">
        <f t="shared" si="5"/>
        <v>13027.5</v>
      </c>
      <c r="T33" s="2386">
        <f>_xlfn.XLOOKUP($Q33,'Price Record'!$C$6:$C$85,'Price Record'!H$6:H$85,"")</f>
        <v>19290</v>
      </c>
      <c r="U33" s="338">
        <f>_xlfn.XLOOKUP(Q33,'دیده بان بازار'!$A$3:$A$3542,'دیده بان بازار'!$M$3:$M$3542,"")</f>
        <v>2.93</v>
      </c>
      <c r="V33" s="2386">
        <f>_xlfn.XLOOKUP($Q33,'Price Record'!$C$6:$C$85,'Price Record'!G$6:G$85,"")</f>
        <v>19300</v>
      </c>
      <c r="W33" s="337">
        <f>_xlfn.XLOOKUP(Q33,'دیده بان بازار'!$A$3:$A$3542,'دیده بان بازار'!$J$3:$J$3542,"")</f>
        <v>2.99</v>
      </c>
      <c r="X33" s="1641">
        <f t="shared" si="6"/>
        <v>15247.5</v>
      </c>
      <c r="Y33" s="661" t="str">
        <f t="shared" si="7"/>
        <v/>
      </c>
      <c r="Z33" s="1031">
        <f t="shared" si="8"/>
        <v>0.79863316305398313</v>
      </c>
      <c r="AA33" s="511">
        <f t="shared" ca="1" si="9"/>
        <v>0.59671232876712332</v>
      </c>
      <c r="AB33" s="823">
        <f t="shared" ca="1" si="10"/>
        <v>-8.343836127556191</v>
      </c>
      <c r="AC33" s="1150">
        <f t="shared" si="11"/>
        <v>0.79863316305398313</v>
      </c>
      <c r="AD33" s="1150">
        <f t="shared" si="12"/>
        <v>2.1166267942583734</v>
      </c>
      <c r="AE33" s="1150">
        <f t="shared" si="13"/>
        <v>1.5076997112608277</v>
      </c>
      <c r="AF33" s="1150">
        <f t="shared" si="14"/>
        <v>5.4620535714285712</v>
      </c>
      <c r="AG33" s="1150">
        <f t="shared" si="15"/>
        <v>6.6953748006379588</v>
      </c>
      <c r="AH33" s="275">
        <f t="shared" ca="1" si="16"/>
        <v>123</v>
      </c>
      <c r="AI33" s="1611">
        <v>45997</v>
      </c>
      <c r="AJ33" s="1856">
        <v>46085</v>
      </c>
      <c r="AK33" s="27">
        <v>3000000</v>
      </c>
      <c r="AL33" s="23">
        <v>3100000</v>
      </c>
      <c r="AM33" s="29">
        <f t="shared" si="17"/>
        <v>6750000000</v>
      </c>
      <c r="AN33" s="1225">
        <v>0.28249999999999997</v>
      </c>
      <c r="AO33" s="174">
        <f>_xlfn.XLOOKUP(Q33,'Cem Sales'!$K$5:$K$33,'Cem Sales'!$DU$5:$DU$33,"")</f>
        <v>4361</v>
      </c>
      <c r="AP33" s="1925">
        <v>3658</v>
      </c>
      <c r="AQ33" s="1925">
        <v>1109</v>
      </c>
      <c r="AR33" s="766">
        <f>_xlfn.XLOOKUP(Q33,'Sales Rec'!$E$4:$E$86,'Sales Rec'!$X$4:$X$86,"")</f>
        <v>4874.0619047619048</v>
      </c>
      <c r="AS33" s="984">
        <f>_xlfn.XLOOKUP(Q33,'Sales Rec'!$E$4:$E$86,'Sales Rec'!$K$4:$K$86,"")</f>
        <v>4</v>
      </c>
      <c r="AT33" s="6">
        <f t="shared" si="18"/>
        <v>2.6549252456883035</v>
      </c>
      <c r="AU33" s="99">
        <f t="shared" si="19"/>
        <v>-2.2860257801173445</v>
      </c>
      <c r="AV33" s="16">
        <v>3301</v>
      </c>
      <c r="AW33" s="16">
        <v>1366</v>
      </c>
      <c r="AX33" s="1421">
        <f t="shared" si="20"/>
        <v>0.41399999999999998</v>
      </c>
      <c r="AY33" s="1419">
        <v>0.42599999999999999</v>
      </c>
      <c r="AZ33" s="1689">
        <v>0.30299999999999999</v>
      </c>
      <c r="BA33" s="1690">
        <v>0.27100000000000002</v>
      </c>
      <c r="BB33" s="100">
        <f t="shared" si="21"/>
        <v>-0.40000000000000036</v>
      </c>
      <c r="BC33" s="1420">
        <f t="shared" si="22"/>
        <v>0.35799999999999998</v>
      </c>
      <c r="BD33" s="1419">
        <v>0.36199999999999999</v>
      </c>
      <c r="BE33" s="1687">
        <v>0.255</v>
      </c>
      <c r="BF33" s="1688">
        <v>0.21199999999999999</v>
      </c>
      <c r="BG33" s="306">
        <f t="shared" si="23"/>
        <v>5.5999999999999994E-2</v>
      </c>
      <c r="BH33" s="1861">
        <f t="shared" si="24"/>
        <v>246.47466666666665</v>
      </c>
      <c r="BI33" s="306">
        <f t="shared" si="25"/>
        <v>6.4000000000000001E-2</v>
      </c>
      <c r="BJ33" s="99">
        <v>0</v>
      </c>
      <c r="BK33" s="306">
        <f>_xlfn.XLOOKUP(Q33,'Sales Rec'!$E$4:$E$91,'Sales Rec'!$Y$4:$Y$91,"")</f>
        <v>0.33243901168996848</v>
      </c>
      <c r="BL33" s="99">
        <f t="shared" si="26"/>
        <v>-5</v>
      </c>
      <c r="BM33" s="15"/>
      <c r="BN33" s="1803">
        <v>3</v>
      </c>
      <c r="BO33" s="842">
        <f t="shared" si="27"/>
        <v>3</v>
      </c>
      <c r="BP33" s="16">
        <v>1029</v>
      </c>
      <c r="BQ33" s="16">
        <v>1749</v>
      </c>
      <c r="BR33" s="16">
        <v>2345</v>
      </c>
      <c r="BS33" s="1251">
        <f>(_xlfn.XLOOKUP(Q33,'Sales Rec'!$E$4:$E$32,'Sales Rec'!$X$4:$X$32)*BC33+CL33)*1000/CJ33</f>
        <v>3045.7987583774247</v>
      </c>
      <c r="BT33" s="1246">
        <f t="shared" si="28"/>
        <v>3126.9135802469136</v>
      </c>
      <c r="BU33" s="406"/>
      <c r="BV33" s="407">
        <f t="shared" si="29"/>
        <v>6.2533288257204713</v>
      </c>
      <c r="BW33" s="99">
        <f t="shared" si="30"/>
        <v>-6.2666441286023566</v>
      </c>
      <c r="BX33" s="18">
        <f t="shared" si="31"/>
        <v>2083.2904142857142</v>
      </c>
      <c r="BY33" s="18">
        <f t="shared" si="32"/>
        <v>1642.8121059268601</v>
      </c>
      <c r="BZ33" s="18">
        <f t="shared" si="33"/>
        <v>2017.8616285714286</v>
      </c>
      <c r="CA33" s="1710">
        <f t="shared" si="34"/>
        <v>7.5562663881936576</v>
      </c>
      <c r="CB33" s="266">
        <f>_xlfn.XLOOKUP($Q33,'Price Record'!$C$6:$C$85,'Price Record'!I$6:I$85,"")</f>
        <v>2433</v>
      </c>
      <c r="CC33" s="267">
        <f>_xlfn.XLOOKUP($Q33,'Price Record'!$C$6:$C$85,'Price Record'!J$6:J$85,"")</f>
        <v>7.93</v>
      </c>
      <c r="CD33" s="99">
        <f t="shared" si="35"/>
        <v>-8.7899999999999991</v>
      </c>
      <c r="CE33" s="17">
        <f t="shared" si="36"/>
        <v>1.3296273918438462</v>
      </c>
      <c r="CF33" s="99">
        <f t="shared" si="37"/>
        <v>2.6814904326246154</v>
      </c>
      <c r="CG33" s="103">
        <f t="shared" si="38"/>
        <v>0.35900231161222024</v>
      </c>
      <c r="CH33" s="99">
        <f t="shared" si="39"/>
        <v>-0.61496532581669672</v>
      </c>
      <c r="CI33" s="19"/>
      <c r="CJ33" s="708">
        <v>675</v>
      </c>
      <c r="CK33" s="419">
        <v>60</v>
      </c>
      <c r="CL33" s="468">
        <v>311</v>
      </c>
      <c r="CM33" s="843">
        <v>400</v>
      </c>
      <c r="CN33" s="21">
        <v>1583</v>
      </c>
      <c r="CO33" s="21">
        <v>11</v>
      </c>
      <c r="CP33" s="469">
        <f t="shared" si="40"/>
        <v>1583</v>
      </c>
      <c r="CQ33" s="1239">
        <f>(AR33*BC33)*(_xlfn.XLOOKUP($Q33,'Sales Rec'!$E$4:$E$32,'Sales Rec'!$L$4:$L$32,"")/12)+CO33</f>
        <v>1465.095134920635</v>
      </c>
      <c r="CR33" s="25">
        <v>1643</v>
      </c>
      <c r="CS33" s="57">
        <v>-36</v>
      </c>
      <c r="CT33" s="2240" t="str">
        <f t="shared" si="41"/>
        <v/>
      </c>
      <c r="CU33" s="693">
        <f t="shared" si="42"/>
        <v>2365</v>
      </c>
      <c r="CV33" s="50">
        <v>2609</v>
      </c>
      <c r="CW33" s="25">
        <v>989</v>
      </c>
      <c r="CX33" s="50">
        <v>161</v>
      </c>
      <c r="CY33" s="53">
        <f t="shared" si="43"/>
        <v>2770</v>
      </c>
      <c r="CZ33" s="6">
        <f t="shared" si="44"/>
        <v>1.3177462629359908</v>
      </c>
      <c r="DA33" s="99">
        <f t="shared" si="45"/>
        <v>0.94197010348792709</v>
      </c>
      <c r="DB33" s="53">
        <f t="shared" si="46"/>
        <v>5135</v>
      </c>
      <c r="DC33" s="645">
        <f t="shared" si="47"/>
        <v>0.53943524829600775</v>
      </c>
      <c r="DD33" s="13">
        <v>1697</v>
      </c>
      <c r="DE33" s="28">
        <v>448</v>
      </c>
      <c r="DF33" s="28">
        <v>227</v>
      </c>
      <c r="DG33" s="52">
        <v>3438</v>
      </c>
      <c r="DH33" s="8">
        <f t="shared" si="48"/>
        <v>829</v>
      </c>
      <c r="DI33" s="644">
        <f t="shared" si="49"/>
        <v>5.8794474122580276</v>
      </c>
      <c r="DJ33" s="26">
        <v>2162</v>
      </c>
      <c r="DK33" s="26">
        <v>548</v>
      </c>
      <c r="DL33" s="26">
        <v>542</v>
      </c>
      <c r="DM33" s="138">
        <f t="shared" si="50"/>
        <v>0.53943524829600775</v>
      </c>
      <c r="DN33" s="99">
        <f t="shared" si="51"/>
        <v>0.60694563662712753</v>
      </c>
      <c r="DO33" s="138">
        <f t="shared" si="52"/>
        <v>-0.48913165601883191</v>
      </c>
      <c r="DP33" s="99">
        <f t="shared" si="53"/>
        <v>-2</v>
      </c>
      <c r="DQ33" s="26">
        <v>2</v>
      </c>
      <c r="DR33" s="8">
        <f t="shared" si="54"/>
        <v>184</v>
      </c>
      <c r="DS33" s="27" t="s">
        <v>231</v>
      </c>
      <c r="DT33" s="7">
        <f t="shared" si="55"/>
        <v>22.976190476190474</v>
      </c>
      <c r="DU33" s="8">
        <f t="shared" si="56"/>
        <v>26105.625</v>
      </c>
      <c r="DV33" s="32">
        <f t="shared" si="57"/>
        <v>2.0038860103626943</v>
      </c>
      <c r="DW33" s="99">
        <f t="shared" si="58"/>
        <v>10</v>
      </c>
      <c r="DX33" s="14">
        <f t="shared" si="59"/>
        <v>1624.6873015873016</v>
      </c>
      <c r="DY33" s="99">
        <f t="shared" si="60"/>
        <v>-10</v>
      </c>
      <c r="DZ33" s="103">
        <f t="shared" si="61"/>
        <v>0.42742387253029401</v>
      </c>
      <c r="EA33" s="99">
        <f t="shared" si="62"/>
        <v>-1.8944158834623959</v>
      </c>
      <c r="EB33" s="103">
        <f>_xlfn.XLOOKUP(Q33,'Cem Sales'!$K$5:$K$33,'Cem Sales'!$DN$5:$DN$33, 0)</f>
        <v>0.22156459083890889</v>
      </c>
      <c r="EC33" s="99">
        <f t="shared" si="63"/>
        <v>2.2156459083890887</v>
      </c>
      <c r="ED33" s="8">
        <f t="shared" si="64"/>
        <v>9440.0400000000009</v>
      </c>
      <c r="EE33" s="8">
        <f t="shared" si="65"/>
        <v>12007.348148148149</v>
      </c>
      <c r="EF33" s="235">
        <f t="shared" si="66"/>
        <v>88.888888888888886</v>
      </c>
      <c r="EG33" s="8">
        <f t="shared" si="67"/>
        <v>10768.138518518521</v>
      </c>
      <c r="EH33" s="411">
        <f t="shared" si="68"/>
        <v>88</v>
      </c>
      <c r="EI33" s="1605">
        <v>1740</v>
      </c>
      <c r="EJ33" s="821">
        <f t="shared" si="69"/>
        <v>0.13953488372093023</v>
      </c>
      <c r="EK33" s="502">
        <v>0.35</v>
      </c>
      <c r="EL33" s="502"/>
      <c r="EM33" s="510">
        <v>7330</v>
      </c>
      <c r="EN33" s="435">
        <v>1692.9</v>
      </c>
      <c r="EO33" s="510">
        <v>8230</v>
      </c>
      <c r="EP33" s="435">
        <v>2016</v>
      </c>
      <c r="EQ33" s="510">
        <v>21205</v>
      </c>
      <c r="ER33" s="435">
        <v>5195</v>
      </c>
      <c r="ES33" s="510">
        <v>8360</v>
      </c>
      <c r="ET33" s="435">
        <v>4180</v>
      </c>
      <c r="EU33" s="510">
        <v>10730</v>
      </c>
      <c r="EV33" s="435">
        <v>7243</v>
      </c>
      <c r="EW33" s="1610">
        <v>10730</v>
      </c>
      <c r="EX33" s="834">
        <v>7243</v>
      </c>
      <c r="EY33" s="835">
        <f t="shared" si="70"/>
        <v>3.2784570854746296</v>
      </c>
      <c r="EZ33" s="1648">
        <f t="shared" si="71"/>
        <v>15</v>
      </c>
    </row>
    <row r="34" spans="1:156" ht="35" customHeight="1">
      <c r="A34" s="100">
        <f>_xlfn.XLOOKUP(Q34,'Cement Ranking'!$F$7:$F$35,'Cement Ranking'!$AO$7:$AO$35, "")</f>
        <v>-24.973469046703357</v>
      </c>
      <c r="B34" s="100">
        <f>_xlfn.XLOOKUP(Q34,'Cement Ranking'!$F$7:$F$35,'Cement Ranking'!$AN$7:$AN$35, "")</f>
        <v>-30.430961966552335</v>
      </c>
      <c r="C34" s="1585">
        <f t="shared" ca="1" si="1"/>
        <v>0.16549206377313119</v>
      </c>
      <c r="D34" s="1650">
        <f t="shared" si="2"/>
        <v>-3.2819244544254023</v>
      </c>
      <c r="E34" s="1412">
        <f t="shared" si="3"/>
        <v>-1.3000000000000012</v>
      </c>
      <c r="F34" s="1413">
        <f t="shared" si="4"/>
        <v>-1.4000000000000012</v>
      </c>
      <c r="G34" s="2125" cm="1">
        <f t="array" ref="G34">IFERROR(_xlfn.XLOOKUP(Q34,'Sales Rec'!$E$4:$E$32,'Sales Rec'!$CU$4:$CU$32*100,""),"")</f>
        <v>8.9785175493265363</v>
      </c>
      <c r="H34" s="2314">
        <f>_xlfn.XLOOKUP(Q34,'Sales Rec'!$E$4:$E$32,'Sales Rec'!$DQ$4:$DQ$32,"")</f>
        <v>0.54968492486669895</v>
      </c>
      <c r="I34" s="2311">
        <f>_xlfn.XLOOKUP(Q34,'Sales History'!$C$4:$C$83,'Sales History'!$AS$4:$AS$83,"")</f>
        <v>0.42594859241126071</v>
      </c>
      <c r="J34" s="2314">
        <f>_xlfn.XLOOKUP(Q34,'Sales History'!$C$4:$C$83,'Sales History'!$AW$4:$AW$83,"")</f>
        <v>0.87827841291190312</v>
      </c>
      <c r="K34" s="1942">
        <f>_xlfn.XLOOKUP(Q34,'Sales Rec'!$E$4:$E$91,'Sales Rec'!$CV$4:$CV$91,"")</f>
        <v>18</v>
      </c>
      <c r="L34" s="1575">
        <f>_xlfn.XLOOKUP(Q34,'Cement Ranking'!$F$7:$F$35,'Cement Ranking'!$AQ$7:$AQ$35,"")</f>
        <v>29</v>
      </c>
      <c r="M34" s="1588" t="str">
        <f>_xlfn.XLOOKUP(Q34,'Sales Rec'!$E$4:$E$32,'Sales Rec'!$DS$4:$DS$32,"")</f>
        <v>N</v>
      </c>
      <c r="N34" s="1587" t="str">
        <f>_xlfn.XLOOKUP(Q34,'Sales Rec'!$E$4:$E$32,'Sales Rec'!$DZ$4:$DZ$32,"")</f>
        <v>S</v>
      </c>
      <c r="O34" s="1937" t="str">
        <f>_xlfn.XLOOKUP($Q34,'History Records'!$B$7:$B$88,'History Records'!$G$7:$G$88,"")</f>
        <v>Closed</v>
      </c>
      <c r="P34" s="60" t="s">
        <v>74</v>
      </c>
      <c r="Q34" s="124" t="s">
        <v>75</v>
      </c>
      <c r="R34" s="1570">
        <v>12</v>
      </c>
      <c r="S34" s="66">
        <f t="shared" si="5"/>
        <v>20536</v>
      </c>
      <c r="T34" s="2386">
        <f>_xlfn.XLOOKUP($Q34,'Price Record'!$C$6:$C$85,'Price Record'!H$6:H$85,"")</f>
        <v>12080</v>
      </c>
      <c r="U34" s="338" t="str">
        <f>_xlfn.XLOOKUP(Q34,'دیده بان بازار'!$A$3:$A$3542,'دیده بان بازار'!$M$3:$M$3542,"")</f>
        <v/>
      </c>
      <c r="V34" s="2386">
        <f>_xlfn.XLOOKUP($Q34,'Price Record'!$C$6:$C$85,'Price Record'!G$6:G$85,"")</f>
        <v>12080</v>
      </c>
      <c r="W34" s="337" t="str">
        <f>_xlfn.XLOOKUP(Q34,'دیده بان بازار'!$A$3:$A$3542,'دیده بان بازار'!$J$3:$J$3542,"")</f>
        <v/>
      </c>
      <c r="X34" s="1641">
        <f t="shared" si="6"/>
        <v>26333</v>
      </c>
      <c r="Y34" s="661" t="str">
        <f t="shared" si="7"/>
        <v/>
      </c>
      <c r="Z34" s="1031">
        <f t="shared" si="8"/>
        <v>0</v>
      </c>
      <c r="AA34" s="511">
        <f t="shared" ca="1" si="9"/>
        <v>7.3972602739726025E-3</v>
      </c>
      <c r="AB34" s="823">
        <f t="shared" ca="1" si="10"/>
        <v>24.657534246575342</v>
      </c>
      <c r="AC34" s="1150">
        <f t="shared" si="11"/>
        <v>0</v>
      </c>
      <c r="AD34" s="1150">
        <f t="shared" si="12"/>
        <v>0.26757607555089191</v>
      </c>
      <c r="AE34" s="1150">
        <f t="shared" si="13"/>
        <v>1.1045296167247387</v>
      </c>
      <c r="AF34" s="1150">
        <f t="shared" si="14"/>
        <v>0.80536263736263736</v>
      </c>
      <c r="AG34" s="1150">
        <f t="shared" si="15"/>
        <v>3.0393391030684502</v>
      </c>
      <c r="AH34" s="275">
        <f t="shared" ca="1" si="16"/>
        <v>362</v>
      </c>
      <c r="AI34" s="1121">
        <v>46236</v>
      </c>
      <c r="AJ34" s="1554">
        <v>46336</v>
      </c>
      <c r="AK34" s="27">
        <v>4000000</v>
      </c>
      <c r="AL34" s="23">
        <v>4200000</v>
      </c>
      <c r="AM34" s="29">
        <f t="shared" si="17"/>
        <v>17000000000</v>
      </c>
      <c r="AN34" s="1225">
        <v>0.41739999999999999</v>
      </c>
      <c r="AO34" s="174">
        <f>_xlfn.XLOOKUP(Q34,'Cem Sales'!$K$5:$K$33,'Cem Sales'!$DU$5:$DU$33,"")</f>
        <v>7012</v>
      </c>
      <c r="AP34" s="1925">
        <v>6294</v>
      </c>
      <c r="AQ34" s="1925">
        <v>3672</v>
      </c>
      <c r="AR34" s="766">
        <f>_xlfn.XLOOKUP(Q34,'Sales Rec'!$E$4:$E$86,'Sales Rec'!$X$4:$X$86,"")</f>
        <v>9131.6084585555</v>
      </c>
      <c r="AS34" s="984">
        <f>_xlfn.XLOOKUP(Q34,'Sales Rec'!$E$4:$E$86,'Sales Rec'!$K$4:$K$86,"")</f>
        <v>4</v>
      </c>
      <c r="AT34" s="6">
        <f t="shared" si="18"/>
        <v>1.1974275999268682</v>
      </c>
      <c r="AU34" s="99">
        <f t="shared" si="19"/>
        <v>10</v>
      </c>
      <c r="AV34" s="16">
        <v>2330</v>
      </c>
      <c r="AW34" s="16">
        <v>606</v>
      </c>
      <c r="AX34" s="1421">
        <f t="shared" si="20"/>
        <v>0.26</v>
      </c>
      <c r="AY34" s="1419">
        <v>0.27300000000000002</v>
      </c>
      <c r="AZ34" s="1689">
        <v>0.58299999999999996</v>
      </c>
      <c r="BA34" s="1690">
        <v>0.58499999999999996</v>
      </c>
      <c r="BB34" s="100">
        <f t="shared" si="21"/>
        <v>-1.4000000000000012</v>
      </c>
      <c r="BC34" s="1420">
        <f t="shared" si="22"/>
        <v>0.20799999999999999</v>
      </c>
      <c r="BD34" s="1419">
        <v>0.222</v>
      </c>
      <c r="BE34" s="1687">
        <v>0.49199999999999999</v>
      </c>
      <c r="BF34" s="1688">
        <v>0.53600000000000003</v>
      </c>
      <c r="BG34" s="306">
        <f t="shared" si="23"/>
        <v>5.2000000000000018E-2</v>
      </c>
      <c r="BH34" s="1861">
        <f t="shared" si="24"/>
        <v>484.64000000000016</v>
      </c>
      <c r="BI34" s="306">
        <f t="shared" si="25"/>
        <v>5.1000000000000018E-2</v>
      </c>
      <c r="BJ34" s="99">
        <v>0</v>
      </c>
      <c r="BK34" s="306">
        <f>_xlfn.XLOOKUP(Q34,'Sales Rec'!$E$4:$E$91,'Sales Rec'!$Y$4:$Y$91,"")</f>
        <v>0.45084341572219572</v>
      </c>
      <c r="BL34" s="99">
        <f t="shared" si="26"/>
        <v>5</v>
      </c>
      <c r="BM34" s="15"/>
      <c r="BN34" s="1803">
        <v>3</v>
      </c>
      <c r="BO34" s="842">
        <f t="shared" si="27"/>
        <v>1</v>
      </c>
      <c r="BP34" s="16">
        <v>290</v>
      </c>
      <c r="BQ34" s="16"/>
      <c r="BR34" s="16"/>
      <c r="BS34" s="1251">
        <f>(_xlfn.XLOOKUP(Q34,'Sales Rec'!$E$4:$E$32,'Sales Rec'!$X$4:$X$32)*BC34+CL34)*1000/CJ34</f>
        <v>1146.1026819879669</v>
      </c>
      <c r="BT34" s="1246">
        <f t="shared" si="28"/>
        <v>1167.6470588235295</v>
      </c>
      <c r="BU34" s="406"/>
      <c r="BV34" s="407">
        <f t="shared" si="29"/>
        <v>10.441924454425402</v>
      </c>
      <c r="BW34" s="99">
        <f t="shared" si="30"/>
        <v>-20</v>
      </c>
      <c r="BX34" s="18">
        <f t="shared" si="31"/>
        <v>1966.6872796897719</v>
      </c>
      <c r="BY34" s="18">
        <f t="shared" si="32"/>
        <v>2868.1564245810055</v>
      </c>
      <c r="BZ34" s="18">
        <f t="shared" si="33"/>
        <v>2374.21819922443</v>
      </c>
      <c r="CA34" s="1710">
        <f t="shared" si="34"/>
        <v>11.091229950390417</v>
      </c>
      <c r="CB34" s="266">
        <f>_xlfn.XLOOKUP($Q34,'Price Record'!$C$6:$C$85,'Price Record'!I$6:I$85,"")</f>
        <v>1902</v>
      </c>
      <c r="CC34" s="267">
        <f>_xlfn.XLOOKUP($Q34,'Price Record'!$C$6:$C$85,'Price Record'!J$6:J$85,"")</f>
        <v>7.16</v>
      </c>
      <c r="CD34" s="99">
        <f t="shared" si="35"/>
        <v>-6.48</v>
      </c>
      <c r="CE34" s="17">
        <f t="shared" si="36"/>
        <v>3.0640356818449295</v>
      </c>
      <c r="CF34" s="99">
        <f t="shared" si="37"/>
        <v>-4.2561427273797179</v>
      </c>
      <c r="CG34" s="103">
        <f t="shared" si="38"/>
        <v>0.19416401221144949</v>
      </c>
      <c r="CH34" s="99">
        <f t="shared" si="39"/>
        <v>-3.087539816828258</v>
      </c>
      <c r="CI34" s="19"/>
      <c r="CJ34" s="708">
        <v>1700</v>
      </c>
      <c r="CK34" s="419">
        <v>1715</v>
      </c>
      <c r="CL34" s="468">
        <v>49</v>
      </c>
      <c r="CM34" s="843">
        <v>9</v>
      </c>
      <c r="CN34" s="21">
        <v>493</v>
      </c>
      <c r="CO34" s="21">
        <v>1341</v>
      </c>
      <c r="CP34" s="469">
        <f t="shared" si="40"/>
        <v>496.25</v>
      </c>
      <c r="CQ34" s="1239">
        <f>(AR34*BC34)*(_xlfn.XLOOKUP($Q34,'Sales Rec'!$E$4:$E$32,'Sales Rec'!$L$4:$L$32,"")/12)+CO34</f>
        <v>1974.1248531265146</v>
      </c>
      <c r="CR34" s="25">
        <v>2208</v>
      </c>
      <c r="CS34" s="57">
        <v>-23</v>
      </c>
      <c r="CT34" s="2240" t="str">
        <f t="shared" si="41"/>
        <v/>
      </c>
      <c r="CU34" s="53">
        <f t="shared" si="42"/>
        <v>5164</v>
      </c>
      <c r="CV34" s="50">
        <v>5648</v>
      </c>
      <c r="CW34" s="25">
        <v>682</v>
      </c>
      <c r="CX34" s="50">
        <v>378</v>
      </c>
      <c r="CY34" s="53">
        <f t="shared" si="43"/>
        <v>6026</v>
      </c>
      <c r="CZ34" s="6">
        <f t="shared" si="44"/>
        <v>0.87907223796033995</v>
      </c>
      <c r="DA34" s="99">
        <f t="shared" si="45"/>
        <v>-2.56742209631728</v>
      </c>
      <c r="DB34" s="53">
        <f t="shared" si="46"/>
        <v>11190</v>
      </c>
      <c r="DC34" s="645">
        <f t="shared" si="47"/>
        <v>0.53851653261840926</v>
      </c>
      <c r="DD34" s="13">
        <v>6225</v>
      </c>
      <c r="DE34" s="28">
        <v>5754</v>
      </c>
      <c r="DF34" s="28">
        <v>334</v>
      </c>
      <c r="DG34" s="52">
        <v>4965</v>
      </c>
      <c r="DH34" s="8">
        <f t="shared" si="48"/>
        <v>-683</v>
      </c>
      <c r="DI34" s="644">
        <f t="shared" si="49"/>
        <v>-13.369851330242314</v>
      </c>
      <c r="DJ34" s="26">
        <v>2324</v>
      </c>
      <c r="DK34" s="26">
        <v>105</v>
      </c>
      <c r="DL34" s="26">
        <v>1995</v>
      </c>
      <c r="DM34" s="138">
        <f t="shared" si="50"/>
        <v>0.53851653261840926</v>
      </c>
      <c r="DN34" s="99">
        <f t="shared" si="51"/>
        <v>0.61613279340311244</v>
      </c>
      <c r="DO34" s="138">
        <f t="shared" si="52"/>
        <v>-0.23502473369224366</v>
      </c>
      <c r="DP34" s="99">
        <f t="shared" si="53"/>
        <v>-1</v>
      </c>
      <c r="DQ34" s="26">
        <v>124</v>
      </c>
      <c r="DR34" s="8">
        <f t="shared" si="54"/>
        <v>417</v>
      </c>
      <c r="DS34" s="27" t="s">
        <v>231</v>
      </c>
      <c r="DT34" s="7">
        <f t="shared" si="55"/>
        <v>27.164021164021161</v>
      </c>
      <c r="DU34" s="8">
        <f t="shared" si="56"/>
        <v>34090.875</v>
      </c>
      <c r="DV34" s="32">
        <f t="shared" si="57"/>
        <v>1.6600542948967667</v>
      </c>
      <c r="DW34" s="99">
        <f t="shared" si="58"/>
        <v>10</v>
      </c>
      <c r="DX34" s="14">
        <f t="shared" si="59"/>
        <v>2282.902114638875</v>
      </c>
      <c r="DY34" s="99">
        <f t="shared" si="60"/>
        <v>-3.542507080151021</v>
      </c>
      <c r="DZ34" s="103">
        <f t="shared" si="61"/>
        <v>0.21537139799803415</v>
      </c>
      <c r="EA34" s="99">
        <f t="shared" si="62"/>
        <v>-8.2559901194301908</v>
      </c>
      <c r="EB34" s="103">
        <f>_xlfn.XLOOKUP(Q34,'Cem Sales'!$K$5:$K$33,'Cem Sales'!$DN$5:$DN$33, 0)</f>
        <v>0</v>
      </c>
      <c r="EC34" s="99">
        <f t="shared" si="63"/>
        <v>0</v>
      </c>
      <c r="ED34" s="8">
        <f t="shared" si="64"/>
        <v>6923.28</v>
      </c>
      <c r="EE34" s="8">
        <f t="shared" si="65"/>
        <v>4203.5294117647063</v>
      </c>
      <c r="EF34" s="235">
        <f t="shared" si="66"/>
        <v>1008.8235294117648</v>
      </c>
      <c r="EG34" s="8">
        <f t="shared" si="67"/>
        <v>6067.8164705882346</v>
      </c>
      <c r="EH34" s="411">
        <f t="shared" si="68"/>
        <v>100</v>
      </c>
      <c r="EI34" s="1605">
        <v>1530</v>
      </c>
      <c r="EJ34" s="821">
        <f t="shared" si="69"/>
        <v>0.112417340191036</v>
      </c>
      <c r="EK34" s="502"/>
      <c r="EL34" s="502"/>
      <c r="EM34" s="510">
        <v>29050</v>
      </c>
      <c r="EN34" s="435">
        <v>5084</v>
      </c>
      <c r="EO34" s="510">
        <v>65000</v>
      </c>
      <c r="EP34" s="435">
        <v>11375</v>
      </c>
      <c r="EQ34" s="510">
        <v>5740</v>
      </c>
      <c r="ER34" s="435">
        <v>9758</v>
      </c>
      <c r="ES34" s="510">
        <v>9530</v>
      </c>
      <c r="ET34" s="435">
        <v>16201</v>
      </c>
      <c r="EU34" s="510">
        <v>12080</v>
      </c>
      <c r="EV34" s="435">
        <v>20536</v>
      </c>
      <c r="EW34" s="1610">
        <v>12080</v>
      </c>
      <c r="EX34" s="834">
        <v>20536</v>
      </c>
      <c r="EY34" s="835">
        <f t="shared" si="70"/>
        <v>3.0393391030684502</v>
      </c>
      <c r="EZ34" s="1648">
        <f t="shared" si="71"/>
        <v>17</v>
      </c>
    </row>
    <row r="35" spans="1:156" ht="33" customHeight="1">
      <c r="A35" s="100">
        <f>_xlfn.XLOOKUP(Q35,'Cement Ranking'!$F$7:$F$35,'Cement Ranking'!$AO$7:$AO$35, "")</f>
        <v>-29.487824380399573</v>
      </c>
      <c r="B35" s="100">
        <f>_xlfn.XLOOKUP(Q35,'Cement Ranking'!$F$7:$F$35,'Cement Ranking'!$AN$7:$AN$35, "")</f>
        <v>-29.487824380399573</v>
      </c>
      <c r="C35" s="1585">
        <f t="shared" ca="1" si="1"/>
        <v>0.23819896272824512</v>
      </c>
      <c r="D35" s="1650">
        <f t="shared" si="2"/>
        <v>-3.0234762822811794</v>
      </c>
      <c r="E35" s="1412">
        <f t="shared" si="3"/>
        <v>-0.50000000000000044</v>
      </c>
      <c r="F35" s="1413">
        <f t="shared" si="4"/>
        <v>-2.8000000000000025</v>
      </c>
      <c r="G35" s="2125" cm="1">
        <f t="array" ref="G35">IFERROR(_xlfn.XLOOKUP(Q35,'Sales Rec'!$E$4:$E$32,'Sales Rec'!$CU$4:$CU$32*100,""),"")</f>
        <v>-4.5828998996258781</v>
      </c>
      <c r="H35" s="2314">
        <f>_xlfn.XLOOKUP(Q35,'Sales Rec'!$E$4:$E$32,'Sales Rec'!$DQ$4:$DQ$32,"")</f>
        <v>-9.6085409252669035E-2</v>
      </c>
      <c r="I35" s="2311">
        <f>_xlfn.XLOOKUP(Q35,'Sales History'!$C$4:$C$83,'Sales History'!$AS$4:$AS$83,"")</f>
        <v>-9.2156862745098045E-2</v>
      </c>
      <c r="J35" s="2314">
        <f>_xlfn.XLOOKUP(Q35,'Sales History'!$C$4:$C$83,'Sales History'!$AW$4:$AW$83,"")</f>
        <v>0.5178571428571429</v>
      </c>
      <c r="K35" s="1942">
        <f>_xlfn.XLOOKUP(Q35,'Sales Rec'!$E$4:$E$91,'Sales Rec'!$CV$4:$CV$91,"")</f>
        <v>28</v>
      </c>
      <c r="L35" s="2235">
        <f>_xlfn.XLOOKUP(Q35,'Cement Ranking'!$F$7:$F$35,'Cement Ranking'!$AQ$7:$AQ$35,"")</f>
        <v>28</v>
      </c>
      <c r="M35" s="1582" t="str">
        <f>_xlfn.XLOOKUP(Q35,'Sales Rec'!$E$4:$E$32,'Sales Rec'!$DS$4:$DS$32,"")</f>
        <v>SS</v>
      </c>
      <c r="N35" s="1582" t="str">
        <f>_xlfn.XLOOKUP(Q35,'Sales Rec'!$E$4:$E$32,'Sales Rec'!$DZ$4:$DZ$32,"")</f>
        <v>SS</v>
      </c>
      <c r="O35" s="1937" t="str">
        <f>_xlfn.XLOOKUP($Q35,'History Records'!$B$7:$B$88,'History Records'!$G$7:$G$88,"")</f>
        <v/>
      </c>
      <c r="P35" s="60" t="s">
        <v>40</v>
      </c>
      <c r="Q35" s="124" t="s">
        <v>41</v>
      </c>
      <c r="R35" s="1570">
        <v>12</v>
      </c>
      <c r="S35" s="66">
        <f t="shared" si="5"/>
        <v>10327.799999999999</v>
      </c>
      <c r="T35" s="2386">
        <f>_xlfn.XLOOKUP($Q35,'Price Record'!$C$6:$C$85,'Price Record'!H$6:H$85,"")</f>
        <v>73770</v>
      </c>
      <c r="U35" s="338">
        <f>_xlfn.XLOOKUP(Q35,'دیده بان بازار'!$A$3:$A$3542,'دیده بان بازار'!$M$3:$M$3542,"")</f>
        <v>2.99</v>
      </c>
      <c r="V35" s="2386">
        <f>_xlfn.XLOOKUP($Q35,'Price Record'!$C$6:$C$85,'Price Record'!G$6:G$85,"")</f>
        <v>73770</v>
      </c>
      <c r="W35" s="337">
        <f>_xlfn.XLOOKUP(Q35,'دیده بان بازار'!$A$3:$A$3542,'دیده بان بازار'!$J$3:$J$3542,"")</f>
        <v>2.99</v>
      </c>
      <c r="X35" s="1641">
        <f t="shared" si="6"/>
        <v>13678.8</v>
      </c>
      <c r="Y35" s="661" t="str">
        <f t="shared" si="7"/>
        <v/>
      </c>
      <c r="Z35" s="1031">
        <f t="shared" si="8"/>
        <v>-4.8129032258064586E-2</v>
      </c>
      <c r="AA35" s="511">
        <f t="shared" ca="1" si="9"/>
        <v>3.6986301369863014E-2</v>
      </c>
      <c r="AB35" s="823">
        <f t="shared" ca="1" si="10"/>
        <v>56.743555751951732</v>
      </c>
      <c r="AC35" s="1150">
        <f t="shared" si="11"/>
        <v>-4.8129032258064586E-2</v>
      </c>
      <c r="AD35" s="1150">
        <f t="shared" si="12"/>
        <v>3.9014084507042184E-2</v>
      </c>
      <c r="AE35" s="1150">
        <f t="shared" si="13"/>
        <v>0.91468298109009993</v>
      </c>
      <c r="AF35" s="1150">
        <f t="shared" si="14"/>
        <v>0.36973474801060996</v>
      </c>
      <c r="AG35" s="1150">
        <f t="shared" si="15"/>
        <v>2.0358024691358021</v>
      </c>
      <c r="AH35" s="275">
        <f t="shared" ca="1" si="16"/>
        <v>350</v>
      </c>
      <c r="AI35" s="1121">
        <v>46224</v>
      </c>
      <c r="AJ35" s="1554">
        <v>46331</v>
      </c>
      <c r="AK35" s="27">
        <v>2400000</v>
      </c>
      <c r="AL35" s="23">
        <v>2500000</v>
      </c>
      <c r="AM35" s="29">
        <f t="shared" si="17"/>
        <v>1400000000</v>
      </c>
      <c r="AN35" s="1225">
        <v>0.2979</v>
      </c>
      <c r="AO35" s="174">
        <f>_xlfn.XLOOKUP(Q35,'Cem Sales'!$K$5:$K$33,'Cem Sales'!$DU$5:$DU$33,"")</f>
        <v>4007</v>
      </c>
      <c r="AP35" s="1925">
        <v>4414</v>
      </c>
      <c r="AQ35" s="1925">
        <v>2331</v>
      </c>
      <c r="AR35" s="766">
        <f>_xlfn.XLOOKUP(Q35,'Sales Rec'!$E$4:$E$86,'Sales Rec'!$X$4:$X$86,"")</f>
        <v>4017.1895017793595</v>
      </c>
      <c r="AS35" s="984">
        <f>_xlfn.XLOOKUP(Q35,'Sales Rec'!$E$4:$E$86,'Sales Rec'!$K$4:$K$86,"")</f>
        <v>4</v>
      </c>
      <c r="AT35" s="6">
        <f t="shared" si="18"/>
        <v>2.4782774115062911</v>
      </c>
      <c r="AU35" s="99">
        <f t="shared" si="19"/>
        <v>-0.51954743829722094</v>
      </c>
      <c r="AV35" s="16">
        <v>926</v>
      </c>
      <c r="AW35" s="16">
        <v>335</v>
      </c>
      <c r="AX35" s="1421">
        <f t="shared" si="20"/>
        <v>0.36199999999999999</v>
      </c>
      <c r="AY35" s="1419">
        <v>0.36699999999999999</v>
      </c>
      <c r="AZ35" s="1689">
        <v>0.52800000000000002</v>
      </c>
      <c r="BA35" s="1690">
        <v>0.47799999999999998</v>
      </c>
      <c r="BB35" s="100">
        <f t="shared" si="21"/>
        <v>-2.8000000000000025</v>
      </c>
      <c r="BC35" s="1420">
        <f t="shared" si="22"/>
        <v>0.28699999999999998</v>
      </c>
      <c r="BD35" s="1419">
        <v>0.315</v>
      </c>
      <c r="BE35" s="1687">
        <v>0.46400000000000002</v>
      </c>
      <c r="BF35" s="1688">
        <v>0.41399999999999998</v>
      </c>
      <c r="BG35" s="306">
        <f t="shared" si="23"/>
        <v>7.5000000000000011E-2</v>
      </c>
      <c r="BH35" s="1861">
        <f t="shared" si="24"/>
        <v>277.80000000000007</v>
      </c>
      <c r="BI35" s="306">
        <f t="shared" si="25"/>
        <v>5.1999999999999991E-2</v>
      </c>
      <c r="BJ35" s="99">
        <v>0</v>
      </c>
      <c r="BK35" s="306">
        <f>_xlfn.XLOOKUP(Q35,'Sales Rec'!$E$4:$E$91,'Sales Rec'!$Y$4:$Y$91,"")</f>
        <v>-8.9898164526651683E-2</v>
      </c>
      <c r="BL35" s="99">
        <f t="shared" si="26"/>
        <v>-1.2530739680576128</v>
      </c>
      <c r="BM35" s="15"/>
      <c r="BN35" s="1803">
        <v>3</v>
      </c>
      <c r="BO35" s="842">
        <f t="shared" si="27"/>
        <v>1</v>
      </c>
      <c r="BP35" s="16">
        <v>2027</v>
      </c>
      <c r="BQ35" s="16"/>
      <c r="BR35" s="16"/>
      <c r="BS35" s="1251">
        <f>(_xlfn.XLOOKUP(Q35,'Sales Rec'!$E$4:$E$32,'Sales Rec'!$X$4:$X$32)*BC35+CL35)*1000/CJ35</f>
        <v>9856.6670500762575</v>
      </c>
      <c r="BT35" s="1246">
        <f t="shared" si="28"/>
        <v>9221.4285714285706</v>
      </c>
      <c r="BU35" s="406"/>
      <c r="BV35" s="407">
        <f t="shared" si="29"/>
        <v>7.7334762822811793</v>
      </c>
      <c r="BW35" s="99">
        <f t="shared" si="30"/>
        <v>-13.667381411405897</v>
      </c>
      <c r="BX35" s="18">
        <f t="shared" si="31"/>
        <v>1335.4666935053378</v>
      </c>
      <c r="BY35" s="18">
        <f t="shared" si="32"/>
        <v>2192.7388535031846</v>
      </c>
      <c r="BZ35" s="18">
        <f t="shared" si="33"/>
        <v>1454.2225996441282</v>
      </c>
      <c r="CA35" s="1710">
        <f t="shared" si="34"/>
        <v>9.406262839916959</v>
      </c>
      <c r="CB35" s="266">
        <f>_xlfn.XLOOKUP($Q35,'Price Record'!$C$6:$C$85,'Price Record'!I$6:I$85,"")</f>
        <v>15662</v>
      </c>
      <c r="CC35" s="267">
        <f>_xlfn.XLOOKUP($Q35,'Price Record'!$C$6:$C$85,'Price Record'!J$6:J$85,"")</f>
        <v>4.71</v>
      </c>
      <c r="CD35" s="99">
        <f t="shared" si="35"/>
        <v>0.87000000000000011</v>
      </c>
      <c r="CE35" s="17">
        <f t="shared" si="36"/>
        <v>2.8551816518850228</v>
      </c>
      <c r="CF35" s="99">
        <f t="shared" si="37"/>
        <v>-3.4207266075400913</v>
      </c>
      <c r="CG35" s="103">
        <f t="shared" si="38"/>
        <v>0.26587033515933461</v>
      </c>
      <c r="CH35" s="99">
        <f t="shared" si="39"/>
        <v>-2.0119449726099812</v>
      </c>
      <c r="CI35" s="19"/>
      <c r="CJ35" s="708">
        <v>140</v>
      </c>
      <c r="CK35" s="419">
        <v>1326</v>
      </c>
      <c r="CL35" s="468">
        <v>227</v>
      </c>
      <c r="CM35" s="843">
        <v>18</v>
      </c>
      <c r="CN35" s="21">
        <v>284</v>
      </c>
      <c r="CO35" s="21">
        <v>79</v>
      </c>
      <c r="CP35" s="469">
        <f t="shared" si="40"/>
        <v>322.75</v>
      </c>
      <c r="CQ35" s="1239">
        <f>(AR35*BC35)*(_xlfn.XLOOKUP($Q35,'Sales Rec'!$E$4:$E$32,'Sales Rec'!$L$4:$L$32,"")/12)+CO35</f>
        <v>463.31112900355868</v>
      </c>
      <c r="CR35" s="25">
        <v>1610</v>
      </c>
      <c r="CS35" s="57">
        <v>-1100</v>
      </c>
      <c r="CT35" s="2240" t="str">
        <f t="shared" si="41"/>
        <v/>
      </c>
      <c r="CU35" s="693">
        <f t="shared" si="42"/>
        <v>781</v>
      </c>
      <c r="CV35" s="50">
        <v>3626</v>
      </c>
      <c r="CW35" s="25">
        <v>129</v>
      </c>
      <c r="CX35" s="50">
        <v>187</v>
      </c>
      <c r="CY35" s="53">
        <f t="shared" si="43"/>
        <v>3813</v>
      </c>
      <c r="CZ35" s="6">
        <f t="shared" si="44"/>
        <v>1.16988416988417</v>
      </c>
      <c r="DA35" s="99">
        <f t="shared" si="45"/>
        <v>-0.24092664092663973</v>
      </c>
      <c r="DB35" s="53">
        <f t="shared" si="46"/>
        <v>4594</v>
      </c>
      <c r="DC35" s="645">
        <f t="shared" si="47"/>
        <v>0.82999564649542878</v>
      </c>
      <c r="DD35" s="13">
        <v>352</v>
      </c>
      <c r="DE35" s="28">
        <v>236</v>
      </c>
      <c r="DF35" s="28">
        <v>88</v>
      </c>
      <c r="DG35" s="52">
        <v>4242</v>
      </c>
      <c r="DH35" s="8">
        <f t="shared" si="48"/>
        <v>616</v>
      </c>
      <c r="DI35" s="644">
        <f t="shared" si="49"/>
        <v>6.5214115288625969</v>
      </c>
      <c r="DJ35" s="26">
        <v>1775</v>
      </c>
      <c r="DK35" s="26">
        <v>128</v>
      </c>
      <c r="DL35" s="26">
        <v>1840</v>
      </c>
      <c r="DM35" s="138">
        <f t="shared" si="50"/>
        <v>0.82999564649542878</v>
      </c>
      <c r="DN35" s="99">
        <f t="shared" si="51"/>
        <v>-2.298658345367083</v>
      </c>
      <c r="DO35" s="138">
        <f t="shared" si="52"/>
        <v>0.14096878981950001</v>
      </c>
      <c r="DP35" s="99">
        <f t="shared" si="53"/>
        <v>0</v>
      </c>
      <c r="DQ35" s="26">
        <v>334</v>
      </c>
      <c r="DR35" s="8">
        <f t="shared" si="54"/>
        <v>165</v>
      </c>
      <c r="DS35" s="27" t="s">
        <v>231</v>
      </c>
      <c r="DT35" s="7">
        <f t="shared" si="55"/>
        <v>22.768518518518515</v>
      </c>
      <c r="DU35" s="8">
        <f t="shared" si="56"/>
        <v>21314.474999999999</v>
      </c>
      <c r="DV35" s="32">
        <f t="shared" si="57"/>
        <v>2.0637962586417244</v>
      </c>
      <c r="DW35" s="99">
        <f t="shared" si="58"/>
        <v>10</v>
      </c>
      <c r="DX35" s="14">
        <f t="shared" si="59"/>
        <v>1673.8289590747331</v>
      </c>
      <c r="DY35" s="99">
        <f t="shared" si="60"/>
        <v>-10</v>
      </c>
      <c r="DZ35" s="103">
        <f t="shared" si="61"/>
        <v>0.33243806221085936</v>
      </c>
      <c r="EA35" s="99">
        <f t="shared" si="62"/>
        <v>-4.7439901930454358</v>
      </c>
      <c r="EB35" s="103">
        <f>_xlfn.XLOOKUP(Q35,'Cem Sales'!$K$5:$K$33,'Cem Sales'!$DN$5:$DN$33, 0)</f>
        <v>5.9842519685039369E-2</v>
      </c>
      <c r="EC35" s="99">
        <f t="shared" si="63"/>
        <v>0.59842519685039375</v>
      </c>
      <c r="ED35" s="8">
        <f t="shared" si="64"/>
        <v>57009.68</v>
      </c>
      <c r="EE35" s="8">
        <f t="shared" si="65"/>
        <v>33197.142857142855</v>
      </c>
      <c r="EF35" s="235">
        <f t="shared" si="66"/>
        <v>9471.4285714285706</v>
      </c>
      <c r="EG35" s="8">
        <f t="shared" si="67"/>
        <v>49839.125714285714</v>
      </c>
      <c r="EH35" s="411">
        <f t="shared" si="68"/>
        <v>107</v>
      </c>
      <c r="EI35" s="1605">
        <v>14600</v>
      </c>
      <c r="EJ35" s="821">
        <f t="shared" si="69"/>
        <v>0.15852334419109662</v>
      </c>
      <c r="EK35" s="502"/>
      <c r="EL35" s="502"/>
      <c r="EM35" s="510">
        <v>24300</v>
      </c>
      <c r="EN35" s="435">
        <v>3402</v>
      </c>
      <c r="EO35" s="510">
        <v>53860</v>
      </c>
      <c r="EP35" s="435">
        <v>7540</v>
      </c>
      <c r="EQ35" s="510">
        <v>38530</v>
      </c>
      <c r="ER35" s="435">
        <v>5394</v>
      </c>
      <c r="ES35" s="510">
        <v>71000</v>
      </c>
      <c r="ET35" s="435">
        <v>9940</v>
      </c>
      <c r="EU35" s="510">
        <v>77500</v>
      </c>
      <c r="EV35" s="435">
        <v>10850</v>
      </c>
      <c r="EW35" s="1610">
        <v>77500</v>
      </c>
      <c r="EX35" s="834">
        <v>10850</v>
      </c>
      <c r="EY35" s="835">
        <f t="shared" si="70"/>
        <v>2.1893004115226335</v>
      </c>
      <c r="EZ35" s="1648">
        <f t="shared" si="71"/>
        <v>26</v>
      </c>
    </row>
    <row r="36" spans="1:156" s="102" customFormat="1" ht="30" customHeight="1">
      <c r="A36" s="1062"/>
      <c r="B36" s="1062"/>
      <c r="C36" s="1062"/>
      <c r="D36" s="1063"/>
      <c r="E36" s="1062"/>
      <c r="F36" s="1062"/>
      <c r="G36" s="1388"/>
      <c r="H36" s="1388"/>
      <c r="I36" s="1388"/>
      <c r="J36" s="1388"/>
      <c r="K36" s="1388"/>
      <c r="L36" s="1062"/>
      <c r="M36" s="1062"/>
      <c r="N36" s="1062"/>
      <c r="O36" s="1063"/>
      <c r="P36" s="1063"/>
      <c r="Q36" s="1063"/>
      <c r="R36" s="1063"/>
      <c r="S36" s="1063"/>
      <c r="T36" s="1064"/>
      <c r="U36" s="1065"/>
      <c r="V36" s="1064"/>
      <c r="W36" s="1066"/>
      <c r="X36" s="1066"/>
      <c r="Y36" s="1067"/>
      <c r="Z36" s="1067"/>
      <c r="AA36" s="1067"/>
      <c r="AB36" s="1068"/>
      <c r="AC36" s="1068"/>
      <c r="AD36" s="1068"/>
      <c r="AE36" s="1069"/>
      <c r="AF36" s="1070"/>
      <c r="AG36" s="1071"/>
      <c r="AH36" s="1071"/>
      <c r="AI36" s="1122"/>
      <c r="AJ36" s="1122"/>
      <c r="AK36" s="1098"/>
      <c r="AL36" s="1098"/>
      <c r="AM36" s="1098"/>
      <c r="AN36" s="1098"/>
      <c r="AO36" s="1099"/>
      <c r="AP36" s="1072"/>
      <c r="AQ36" s="1072"/>
      <c r="AR36" s="1073"/>
      <c r="AS36" s="1074"/>
      <c r="AT36" s="1075"/>
      <c r="AU36" s="1075"/>
      <c r="AV36" s="1100"/>
      <c r="AW36" s="1100"/>
      <c r="AX36" s="1104"/>
      <c r="AY36" s="1362"/>
      <c r="AZ36" s="1364"/>
      <c r="BA36" s="1364"/>
      <c r="BB36" s="1075"/>
      <c r="BC36" s="1104"/>
      <c r="BD36" s="1104"/>
      <c r="BE36" s="1104"/>
      <c r="BF36" s="1104"/>
      <c r="BG36" s="1104"/>
      <c r="BH36" s="1104"/>
      <c r="BI36" s="1104"/>
      <c r="BJ36" s="1104"/>
      <c r="BK36" s="1104"/>
      <c r="BL36" s="1104"/>
      <c r="BM36" s="1104" t="str">
        <f>IFERROR(BL36/#REF!,"")</f>
        <v/>
      </c>
      <c r="BN36" s="1077"/>
      <c r="BO36" s="1078"/>
      <c r="BP36" s="1100"/>
      <c r="BQ36" s="1100"/>
      <c r="BR36" s="1100"/>
      <c r="BS36" s="1252"/>
      <c r="BT36" s="1247"/>
      <c r="BU36" s="1079"/>
      <c r="BV36" s="1079"/>
      <c r="BW36" s="1101"/>
      <c r="BX36" s="1102"/>
      <c r="BY36" s="1102"/>
      <c r="BZ36" s="1103"/>
      <c r="CA36" s="1103"/>
      <c r="CB36" s="528"/>
      <c r="CC36" s="1080"/>
      <c r="CD36" s="1101"/>
      <c r="CE36" s="1101"/>
      <c r="CF36" s="1101"/>
      <c r="CG36" s="1101"/>
      <c r="CH36" s="1101"/>
      <c r="CI36" s="1076"/>
      <c r="CJ36" s="1076"/>
      <c r="CK36" s="1076"/>
      <c r="CL36" s="1076"/>
      <c r="CM36" s="1076"/>
      <c r="CN36" s="1076"/>
      <c r="CO36" s="1076"/>
      <c r="CP36" s="1076"/>
      <c r="CQ36" s="1076"/>
      <c r="CR36" s="1076"/>
      <c r="CS36" s="1076"/>
      <c r="CT36" s="1076"/>
      <c r="CU36" s="1076"/>
      <c r="CV36" s="1076"/>
      <c r="CW36" s="1076"/>
      <c r="CX36" s="1076"/>
      <c r="CY36" s="1076"/>
      <c r="CZ36" s="1076"/>
      <c r="DA36" s="1076"/>
      <c r="DB36" s="1076"/>
      <c r="DC36" s="1076"/>
      <c r="DD36" s="1076"/>
      <c r="DE36" s="1076"/>
      <c r="DF36" s="1076"/>
      <c r="DG36" s="1076"/>
      <c r="DH36" s="1076"/>
      <c r="DI36" s="1076"/>
      <c r="DJ36" s="1076"/>
      <c r="DK36" s="1076"/>
      <c r="DL36" s="1076"/>
      <c r="DM36" s="1076"/>
      <c r="DN36" s="1076"/>
      <c r="DO36" s="1076"/>
      <c r="DP36" s="1076"/>
      <c r="DQ36" s="1076"/>
      <c r="DR36" s="1076"/>
      <c r="DS36" s="1076"/>
      <c r="DT36" s="1076"/>
      <c r="DU36" s="1076"/>
      <c r="DV36" s="1076"/>
      <c r="DW36" s="1076"/>
      <c r="DX36" s="1076"/>
      <c r="DY36" s="1076"/>
      <c r="DZ36" s="1076"/>
      <c r="EA36" s="1076"/>
      <c r="EB36" s="1076"/>
      <c r="EC36" s="1076"/>
      <c r="ED36" s="1076"/>
      <c r="EE36" s="1076"/>
      <c r="EF36" s="1076"/>
      <c r="EG36" s="1076"/>
      <c r="EH36" s="1076"/>
      <c r="EI36" s="1076"/>
      <c r="EJ36" s="1076"/>
      <c r="EK36" s="1076"/>
      <c r="EL36" s="1076"/>
      <c r="EM36" s="1076"/>
      <c r="EN36" s="1076"/>
      <c r="EO36" s="1076"/>
      <c r="EP36" s="1076"/>
      <c r="EQ36" s="1076"/>
      <c r="ER36" s="1076"/>
      <c r="ES36" s="1076"/>
      <c r="ET36" s="1076"/>
      <c r="EU36" s="1076"/>
      <c r="EV36" s="1076"/>
      <c r="EW36" s="1076"/>
      <c r="EX36" s="1083"/>
      <c r="EY36" s="1076"/>
      <c r="EZ36" s="1076"/>
    </row>
    <row r="37" spans="1:156" ht="38" customHeight="1" thickBot="1">
      <c r="A37" s="1"/>
      <c r="B37" s="1"/>
      <c r="C37" s="1"/>
      <c r="D37" s="1"/>
      <c r="E37" s="1"/>
      <c r="F37" s="9"/>
      <c r="G37" s="33"/>
      <c r="H37" s="33"/>
      <c r="I37" s="33"/>
      <c r="J37" s="33"/>
      <c r="K37" s="33"/>
      <c r="L37" s="1"/>
      <c r="M37" s="1"/>
      <c r="N37" s="1"/>
      <c r="O37" s="1"/>
      <c r="P37" s="1"/>
      <c r="Q37" s="1"/>
      <c r="R37" s="1"/>
      <c r="S37" s="9"/>
      <c r="T37" s="9"/>
      <c r="U37" s="9"/>
      <c r="V37" s="1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9"/>
      <c r="AI37" s="9"/>
      <c r="AJ37" s="187"/>
      <c r="AK37" s="9"/>
      <c r="AL37" s="9"/>
      <c r="AM37" s="9"/>
      <c r="AN37" s="9"/>
      <c r="AO37" s="1"/>
      <c r="AP37" s="1"/>
      <c r="AQ37" s="1"/>
      <c r="AR37" s="9"/>
      <c r="AS37" s="33"/>
      <c r="AT37" s="9"/>
      <c r="AU37" s="9"/>
      <c r="AV37" s="9"/>
      <c r="AW37" s="9"/>
      <c r="AX37" s="9"/>
      <c r="AY37" s="9"/>
      <c r="AZ37" s="1"/>
      <c r="BA37" s="1"/>
      <c r="BB37" s="9"/>
      <c r="BC37" s="9"/>
      <c r="BD37" s="9"/>
      <c r="BE37" s="9"/>
      <c r="BF37" s="9"/>
      <c r="BG37" s="10"/>
      <c r="BH37" s="10"/>
      <c r="BI37" s="10"/>
      <c r="BJ37" s="9"/>
      <c r="BK37" s="10"/>
      <c r="BL37" s="10"/>
      <c r="BM37" s="10"/>
      <c r="BN37" s="9"/>
      <c r="BO37" s="841"/>
      <c r="BP37" s="9"/>
      <c r="BQ37" s="9"/>
      <c r="BR37" s="9"/>
      <c r="BS37" s="9"/>
      <c r="BT37" s="9"/>
      <c r="BU37" s="9"/>
      <c r="BV37" s="9"/>
      <c r="BW37" s="9"/>
      <c r="BX37" s="10"/>
      <c r="BY37" s="10"/>
      <c r="BZ37" s="9"/>
      <c r="CA37" s="9"/>
      <c r="CB37" s="9"/>
      <c r="CC37" s="9"/>
      <c r="CD37" s="9"/>
      <c r="CE37" s="9"/>
      <c r="CF37" s="9"/>
      <c r="CG37" s="10"/>
      <c r="CH37" s="10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55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10"/>
      <c r="DY37" s="10"/>
      <c r="DZ37" s="10"/>
      <c r="EA37" s="10"/>
      <c r="EB37" s="10"/>
      <c r="EC37" s="10"/>
      <c r="ED37" s="187"/>
      <c r="EE37" s="187"/>
      <c r="EF37" s="187"/>
      <c r="EG37" s="187"/>
      <c r="EH37" s="187"/>
      <c r="EI37" s="187"/>
      <c r="EJ37" s="187"/>
      <c r="EK37" s="187"/>
      <c r="EL37" s="187"/>
      <c r="EM37" s="289"/>
      <c r="EN37" s="289"/>
      <c r="EO37" s="289"/>
      <c r="EP37" s="289"/>
      <c r="EQ37" s="289"/>
      <c r="ER37" s="289"/>
      <c r="ES37" s="289"/>
      <c r="ET37" s="289"/>
      <c r="EU37" s="289"/>
      <c r="EV37" s="289"/>
      <c r="EW37" s="289"/>
      <c r="EX37" s="1033">
        <f>SUM(EX7:EX35)</f>
        <v>265362</v>
      </c>
      <c r="EY37" s="289"/>
      <c r="EZ37" s="289"/>
    </row>
    <row r="38" spans="1:156">
      <c r="O38" s="1280"/>
      <c r="P38" s="184" t="s">
        <v>416</v>
      </c>
      <c r="Q38" s="1277">
        <v>189000</v>
      </c>
      <c r="R38" s="185"/>
      <c r="Z38" s="11"/>
      <c r="AA38" s="11" t="s">
        <v>417</v>
      </c>
      <c r="AB38" s="11" t="s">
        <v>418</v>
      </c>
      <c r="AC38" s="11"/>
      <c r="AD38" s="11"/>
      <c r="AE38" s="11"/>
      <c r="AF38" s="11"/>
      <c r="AG38" s="11"/>
      <c r="AV38" s="11"/>
      <c r="AW38" s="11"/>
    </row>
    <row r="39" spans="1:156" ht="28" customHeight="1">
      <c r="O39" s="1280"/>
      <c r="P39" s="1269" t="s">
        <v>419</v>
      </c>
      <c r="Q39" s="1276">
        <v>5</v>
      </c>
      <c r="R39" s="1270"/>
      <c r="S39" s="391"/>
      <c r="T39" s="1569"/>
      <c r="Z39" s="11"/>
      <c r="AA39" s="11">
        <v>6</v>
      </c>
      <c r="AB39" s="663">
        <v>0.5</v>
      </c>
      <c r="AC39" s="663"/>
      <c r="AD39" s="663"/>
      <c r="AE39" s="663"/>
      <c r="AF39" s="663"/>
      <c r="AG39" s="663"/>
      <c r="AV39" s="11"/>
      <c r="AW39" s="11"/>
    </row>
    <row r="40" spans="1:156" ht="29" customHeight="1">
      <c r="O40" s="1280"/>
      <c r="P40" s="1269" t="s">
        <v>420</v>
      </c>
      <c r="Q40" s="2138">
        <v>0.25</v>
      </c>
      <c r="R40" s="1270"/>
      <c r="S40" s="392"/>
      <c r="T40" s="393"/>
      <c r="AA40" s="63">
        <v>8</v>
      </c>
      <c r="AB40" s="663">
        <v>0.5</v>
      </c>
      <c r="AC40" s="663"/>
      <c r="AD40" s="663"/>
      <c r="AE40" s="663"/>
      <c r="AF40" s="663"/>
      <c r="AG40" s="663"/>
      <c r="AV40" s="11"/>
      <c r="AW40" s="11"/>
      <c r="CJ40" s="392"/>
    </row>
    <row r="41" spans="1:156" ht="29" customHeight="1">
      <c r="O41" s="1280"/>
      <c r="P41" s="1271"/>
      <c r="Q41" s="2139"/>
      <c r="R41" s="1272"/>
      <c r="S41" s="392"/>
      <c r="T41" s="393"/>
      <c r="AB41" s="663"/>
      <c r="AC41" s="663"/>
      <c r="AD41" s="663"/>
      <c r="AE41" s="663"/>
      <c r="AF41" s="663"/>
      <c r="AG41" s="663"/>
      <c r="AV41" s="11"/>
      <c r="AW41" s="11"/>
      <c r="CJ41" s="392"/>
    </row>
    <row r="42" spans="1:156" ht="27" customHeight="1">
      <c r="O42" s="1281" t="s">
        <v>244</v>
      </c>
      <c r="P42" s="182" t="s">
        <v>421</v>
      </c>
      <c r="Q42" s="1278">
        <f>AT2</f>
        <v>2.426322667676569</v>
      </c>
      <c r="R42" s="1268">
        <v>10</v>
      </c>
      <c r="AA42" s="63">
        <v>9</v>
      </c>
      <c r="AB42" s="663">
        <v>0.5</v>
      </c>
      <c r="AC42" s="663"/>
      <c r="AD42" s="663"/>
      <c r="AE42" s="663"/>
      <c r="AF42" s="663"/>
      <c r="AG42" s="663"/>
      <c r="AK42" s="271"/>
      <c r="AL42" s="271"/>
      <c r="AV42" s="11"/>
      <c r="AW42" s="11"/>
    </row>
    <row r="43" spans="1:156" ht="29" customHeight="1">
      <c r="O43" s="1281" t="s">
        <v>245</v>
      </c>
      <c r="P43" s="182" t="s">
        <v>422</v>
      </c>
      <c r="Q43" s="1278"/>
      <c r="R43" s="1268">
        <v>100</v>
      </c>
      <c r="AA43" s="63">
        <v>12</v>
      </c>
      <c r="AB43" s="663">
        <v>0.5</v>
      </c>
      <c r="AC43" s="663"/>
      <c r="AD43" s="663"/>
      <c r="AE43" s="663"/>
      <c r="AF43" s="663"/>
      <c r="AG43" s="663"/>
      <c r="AV43" s="11"/>
      <c r="AW43" s="11"/>
    </row>
    <row r="44" spans="1:156" ht="26" customHeight="1">
      <c r="O44" s="1281" t="s">
        <v>246</v>
      </c>
      <c r="P44" s="182" t="s">
        <v>423</v>
      </c>
      <c r="Q44" s="1278"/>
      <c r="R44" s="1268">
        <v>30</v>
      </c>
      <c r="AB44" s="663"/>
      <c r="AC44" s="663"/>
      <c r="AD44" s="663"/>
      <c r="AE44" s="663"/>
      <c r="AF44" s="663"/>
      <c r="AG44" s="663"/>
      <c r="AV44" s="11"/>
      <c r="AW44" s="11"/>
    </row>
    <row r="45" spans="1:156" ht="27" customHeight="1">
      <c r="O45" s="1281" t="s">
        <v>247</v>
      </c>
      <c r="P45" s="182" t="s">
        <v>424</v>
      </c>
      <c r="Q45" s="1288">
        <v>5</v>
      </c>
      <c r="R45" s="1268">
        <v>5</v>
      </c>
      <c r="AV45" s="11"/>
      <c r="AW45" s="11"/>
    </row>
    <row r="46" spans="1:156" ht="26" customHeight="1">
      <c r="O46" s="1281" t="s">
        <v>249</v>
      </c>
      <c r="P46" s="182" t="s">
        <v>425</v>
      </c>
      <c r="Q46" s="1288">
        <v>5</v>
      </c>
      <c r="R46" s="1268">
        <v>3</v>
      </c>
      <c r="S46"/>
      <c r="T46"/>
      <c r="U46"/>
      <c r="W46"/>
      <c r="X46"/>
      <c r="Y46"/>
      <c r="Z46"/>
      <c r="AA46"/>
      <c r="AB46"/>
      <c r="AC46"/>
      <c r="AD46"/>
      <c r="AE46"/>
      <c r="AF46"/>
      <c r="AG46"/>
    </row>
    <row r="47" spans="1:156" ht="26" customHeight="1">
      <c r="O47" s="1281" t="s">
        <v>251</v>
      </c>
      <c r="P47" s="182" t="s">
        <v>426</v>
      </c>
      <c r="Q47" s="1288">
        <v>2</v>
      </c>
      <c r="R47" s="1268">
        <v>4</v>
      </c>
      <c r="S47"/>
      <c r="T47"/>
      <c r="U47"/>
      <c r="W47"/>
      <c r="X47"/>
      <c r="Y47"/>
      <c r="Z47"/>
      <c r="AA47"/>
      <c r="AB47"/>
      <c r="AC47"/>
      <c r="AD47"/>
      <c r="AE47"/>
      <c r="AF47"/>
      <c r="AG47"/>
    </row>
    <row r="48" spans="1:156" ht="24" customHeight="1">
      <c r="O48" s="1281" t="s">
        <v>252</v>
      </c>
      <c r="P48" s="182" t="s">
        <v>427</v>
      </c>
      <c r="Q48" s="1296">
        <v>0.4</v>
      </c>
      <c r="R48" s="1268">
        <v>15</v>
      </c>
    </row>
    <row r="49" spans="15:33" ht="26" customHeight="1">
      <c r="O49" s="1281" t="s">
        <v>253</v>
      </c>
      <c r="P49" s="182" t="s">
        <v>428</v>
      </c>
      <c r="Q49" s="2123">
        <f>BG2</f>
        <v>8.3370370370370388</v>
      </c>
      <c r="R49" s="1268">
        <v>2</v>
      </c>
      <c r="S49"/>
      <c r="T49"/>
      <c r="U49"/>
      <c r="W49"/>
      <c r="X49"/>
      <c r="Y49"/>
      <c r="Z49"/>
      <c r="AA49"/>
      <c r="AB49"/>
      <c r="AC49"/>
      <c r="AD49"/>
      <c r="AE49"/>
      <c r="AF49"/>
      <c r="AG49"/>
    </row>
    <row r="50" spans="15:33" ht="31" customHeight="1">
      <c r="O50" s="1281" t="s">
        <v>254</v>
      </c>
      <c r="P50" s="1279" t="s">
        <v>429</v>
      </c>
      <c r="Q50" s="2140">
        <v>1.2</v>
      </c>
      <c r="R50" s="1268">
        <v>8</v>
      </c>
    </row>
    <row r="51" spans="15:33" ht="27" customHeight="1">
      <c r="O51" s="1281" t="s">
        <v>255</v>
      </c>
      <c r="P51" s="1297" t="s">
        <v>430</v>
      </c>
      <c r="Q51" s="1298">
        <f>DM2</f>
        <v>0.6001298119587205</v>
      </c>
      <c r="R51" s="1299">
        <v>10</v>
      </c>
    </row>
    <row r="52" spans="15:33" ht="35" customHeight="1">
      <c r="O52" s="1281" t="s">
        <v>256</v>
      </c>
      <c r="P52" s="1279" t="s">
        <v>431</v>
      </c>
      <c r="Q52" s="1288">
        <v>1</v>
      </c>
      <c r="R52" s="1268">
        <v>3</v>
      </c>
    </row>
    <row r="53" spans="15:33" ht="29" customHeight="1">
      <c r="O53" s="1281" t="s">
        <v>259</v>
      </c>
      <c r="P53" s="182" t="s">
        <v>432</v>
      </c>
      <c r="Q53" s="2141">
        <v>1</v>
      </c>
      <c r="R53" s="1268">
        <v>20</v>
      </c>
    </row>
    <row r="54" spans="15:33" ht="29" customHeight="1">
      <c r="O54" s="1281" t="s">
        <v>261</v>
      </c>
      <c r="P54" s="182" t="s">
        <v>433</v>
      </c>
      <c r="Q54" s="2142">
        <f>DX2</f>
        <v>2588.5696595154632</v>
      </c>
      <c r="R54" s="1268">
        <v>30</v>
      </c>
    </row>
    <row r="55" spans="15:33">
      <c r="O55" s="1281" t="s">
        <v>262</v>
      </c>
      <c r="P55" s="182" t="s">
        <v>434</v>
      </c>
      <c r="Q55" s="2143">
        <f>DZ2</f>
        <v>0.49057106864570721</v>
      </c>
      <c r="R55" s="1268">
        <v>30</v>
      </c>
      <c r="AA55"/>
      <c r="AB55"/>
      <c r="AC55"/>
      <c r="AD55"/>
      <c r="AE55"/>
      <c r="AF55"/>
      <c r="AG55"/>
    </row>
    <row r="56" spans="15:33">
      <c r="O56" s="1281" t="s">
        <v>263</v>
      </c>
      <c r="P56" s="182" t="s">
        <v>435</v>
      </c>
      <c r="Q56" s="2143"/>
      <c r="R56" s="1268">
        <v>10</v>
      </c>
      <c r="AA56"/>
      <c r="AB56"/>
      <c r="AC56"/>
      <c r="AD56"/>
      <c r="AE56"/>
      <c r="AF56"/>
      <c r="AG56"/>
    </row>
    <row r="57" spans="15:33">
      <c r="P57" s="181" t="s">
        <v>436</v>
      </c>
      <c r="Q57" s="2144">
        <v>65</v>
      </c>
      <c r="R57" s="410">
        <v>0.65</v>
      </c>
    </row>
    <row r="58" spans="15:33" ht="22" thickBot="1">
      <c r="P58" s="1292" t="s">
        <v>437</v>
      </c>
      <c r="Q58" s="1293">
        <v>110</v>
      </c>
      <c r="R58" s="1294">
        <v>0.65</v>
      </c>
    </row>
  </sheetData>
  <autoFilter ref="A6:EZ40" xr:uid="{7633CD49-AECD-E040-91E0-588B762B76F7}">
    <sortState xmlns:xlrd2="http://schemas.microsoft.com/office/spreadsheetml/2017/richdata2" ref="A7:EZ40">
      <sortCondition descending="1" ref="A6:A40"/>
    </sortState>
  </autoFilter>
  <sortState xmlns:xlrd2="http://schemas.microsoft.com/office/spreadsheetml/2017/richdata2" ref="A8:O35">
    <sortCondition descending="1" ref="A7:A36"/>
  </sortState>
  <phoneticPr fontId="39" type="noConversion"/>
  <conditionalFormatting sqref="A7:O34 K35:O35 A35:J36 H7:H35 J7:J35 I21:I35 S8:V8 S9:W35 K36:DE36">
    <cfRule type="expression" dxfId="174" priority="33" stopIfTrue="1">
      <formula>ROW()=EVEN(ROW())</formula>
    </cfRule>
  </conditionalFormatting>
  <conditionalFormatting sqref="C2 DG36:EZ36">
    <cfRule type="expression" dxfId="173" priority="92">
      <formula>ROW()=EVEN(ROW())</formula>
    </cfRule>
  </conditionalFormatting>
  <conditionalFormatting sqref="C7:C35">
    <cfRule type="aboveAverage" dxfId="172" priority="26"/>
  </conditionalFormatting>
  <conditionalFormatting sqref="G7:J35">
    <cfRule type="cellIs" dxfId="171" priority="3" operator="lessThan">
      <formula>0</formula>
    </cfRule>
    <cfRule type="cellIs" dxfId="170" priority="4" operator="greaterThan">
      <formula>0</formula>
    </cfRule>
  </conditionalFormatting>
  <conditionalFormatting sqref="M7:N35">
    <cfRule type="cellIs" dxfId="169" priority="28" operator="equal">
      <formula>"SS"</formula>
    </cfRule>
    <cfRule type="cellIs" dxfId="168" priority="29" operator="equal">
      <formula>"BB"</formula>
    </cfRule>
    <cfRule type="cellIs" dxfId="167" priority="30" operator="equal">
      <formula>"B"</formula>
    </cfRule>
    <cfRule type="cellIs" dxfId="166" priority="31" operator="equal">
      <formula>"S"</formula>
    </cfRule>
    <cfRule type="cellIs" dxfId="165" priority="32" operator="equal">
      <formula>"N"</formula>
    </cfRule>
  </conditionalFormatting>
  <conditionalFormatting sqref="O7:O35">
    <cfRule type="containsText" dxfId="164" priority="19" operator="containsText" text="Closed">
      <formula>NOT(ISERROR(SEARCH("Closed",O7)))</formula>
    </cfRule>
  </conditionalFormatting>
  <conditionalFormatting sqref="P7:R35">
    <cfRule type="expression" dxfId="163" priority="17">
      <formula>ROW()=EVEN(ROW())</formula>
    </cfRule>
  </conditionalFormatting>
  <conditionalFormatting sqref="S2">
    <cfRule type="expression" dxfId="162" priority="91">
      <formula>ROW()=EVEN(ROW())</formula>
    </cfRule>
  </conditionalFormatting>
  <conditionalFormatting sqref="S7:AH7 X8:Y35 AC8:AC35">
    <cfRule type="expression" dxfId="161" priority="47" stopIfTrue="1">
      <formula>ROW()=EVEN(ROW())</formula>
    </cfRule>
  </conditionalFormatting>
  <conditionalFormatting sqref="W8 Z8:AB35 AD8:AH35">
    <cfRule type="expression" dxfId="160" priority="57">
      <formula>ROW()=EVEN(ROW())</formula>
    </cfRule>
  </conditionalFormatting>
  <conditionalFormatting sqref="Y7:Y35">
    <cfRule type="containsText" dxfId="159" priority="24" stopIfTrue="1" operator="containsText" text="B">
      <formula>NOT(ISERROR(SEARCH("B",Y7)))</formula>
    </cfRule>
    <cfRule type="containsText" dxfId="158" priority="25" stopIfTrue="1" operator="containsText" text="S">
      <formula>NOT(ISERROR(SEARCH("S",Y7)))</formula>
    </cfRule>
  </conditionalFormatting>
  <conditionalFormatting sqref="AG2">
    <cfRule type="expression" dxfId="157" priority="84">
      <formula>ROW()=EVEN(ROW())</formula>
    </cfRule>
  </conditionalFormatting>
  <conditionalFormatting sqref="AK7:DE35">
    <cfRule type="expression" dxfId="156" priority="1">
      <formula>ROW()=EVEN(ROW())</formula>
    </cfRule>
  </conditionalFormatting>
  <conditionalFormatting sqref="DF7:DF36">
    <cfRule type="expression" dxfId="155" priority="48">
      <formula>ROW()=EVEN(ROW())</formula>
    </cfRule>
  </conditionalFormatting>
  <conditionalFormatting sqref="DG7:EH35">
    <cfRule type="expression" dxfId="154" priority="86">
      <formula>ROW()=EVEN(ROW())</formula>
    </cfRule>
  </conditionalFormatting>
  <conditionalFormatting sqref="EJ7:EY35">
    <cfRule type="expression" dxfId="153" priority="188">
      <formula>ROW()=EVEN(ROW())</formula>
    </cfRule>
  </conditionalFormatting>
  <conditionalFormatting sqref="EP7:EV8">
    <cfRule type="expression" dxfId="152" priority="77">
      <formula>ROW()=EVEN(ROW())</formula>
    </cfRule>
  </conditionalFormatting>
  <conditionalFormatting sqref="EX7:EY8 DD14:DH14">
    <cfRule type="expression" dxfId="151" priority="234">
      <formula>ROW()=EVEN(ROW())</formula>
    </cfRule>
  </conditionalFormatting>
  <pageMargins left="0.7" right="0.7" top="0.75" bottom="0.75" header="0.3" footer="0.3"/>
  <pageSetup paperSize="9" scale="10" fitToHeight="2" orientation="landscape" r:id="rId1"/>
  <ignoredErrors>
    <ignoredError sqref="DC2 DI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5293-AA9C-874D-BB42-6C02CD70FDAE}">
  <sheetPr codeName="Sheet3">
    <tabColor theme="5" tint="0.39997558519241921"/>
    <pageSetUpPr fitToPage="1"/>
  </sheetPr>
  <dimension ref="A1:EY78"/>
  <sheetViews>
    <sheetView zoomScale="80" zoomScaleNormal="80" zoomScaleSheetLayoutView="70" workbookViewId="0">
      <pane xSplit="24" ySplit="6" topLeftCell="AY7" activePane="bottomRight" state="frozen"/>
      <selection pane="topRight" activeCell="T1" sqref="T1"/>
      <selection pane="bottomLeft" activeCell="A7" sqref="A7"/>
      <selection pane="bottomRight" activeCell="CT53" sqref="CT53"/>
    </sheetView>
  </sheetViews>
  <sheetFormatPr baseColWidth="10" defaultColWidth="11" defaultRowHeight="21"/>
  <cols>
    <col min="1" max="1" width="8.6640625" customWidth="1"/>
    <col min="2" max="2" width="13.5" hidden="1" customWidth="1"/>
    <col min="3" max="3" width="9.83203125" bestFit="1" customWidth="1"/>
    <col min="4" max="4" width="11" bestFit="1" customWidth="1"/>
    <col min="5" max="6" width="8.33203125" customWidth="1"/>
    <col min="7" max="7" width="7.33203125" customWidth="1"/>
    <col min="8" max="8" width="9.83203125" customWidth="1"/>
    <col min="9" max="9" width="8.33203125" customWidth="1"/>
    <col min="10" max="10" width="9.1640625" customWidth="1"/>
    <col min="11" max="11" width="7.5" style="3" customWidth="1"/>
    <col min="12" max="12" width="9" customWidth="1"/>
    <col min="13" max="13" width="7" customWidth="1"/>
    <col min="14" max="14" width="6.6640625" customWidth="1"/>
    <col min="15" max="15" width="9.1640625" customWidth="1"/>
    <col min="16" max="16" width="9.6640625" style="63" customWidth="1"/>
    <col min="17" max="17" width="20.6640625" customWidth="1"/>
    <col min="18" max="18" width="10.83203125" customWidth="1"/>
    <col min="19" max="19" width="7.6640625" bestFit="1" customWidth="1"/>
    <col min="20" max="20" width="13.83203125" style="11" bestFit="1" customWidth="1"/>
    <col min="21" max="21" width="11.5" style="11" customWidth="1"/>
    <col min="22" max="22" width="12.33203125" style="11" customWidth="1"/>
    <col min="23" max="23" width="11.5" bestFit="1" customWidth="1"/>
    <col min="24" max="24" width="11.5" style="63" customWidth="1"/>
    <col min="25" max="25" width="13.6640625" style="63" bestFit="1" customWidth="1"/>
    <col min="26" max="26" width="9.5" style="63" customWidth="1"/>
    <col min="27" max="27" width="11" style="63" customWidth="1"/>
    <col min="28" max="28" width="13.1640625" style="63" customWidth="1"/>
    <col min="29" max="29" width="11.33203125" style="63" customWidth="1"/>
    <col min="30" max="30" width="11.83203125" style="63" customWidth="1"/>
    <col min="31" max="31" width="14" style="63" customWidth="1"/>
    <col min="32" max="35" width="11.33203125" style="63" customWidth="1"/>
    <col min="36" max="36" width="13.6640625" style="63" customWidth="1"/>
    <col min="37" max="37" width="14.33203125" style="63" customWidth="1"/>
    <col min="38" max="38" width="20.1640625" style="188" hidden="1" customWidth="1"/>
    <col min="39" max="39" width="10.5" style="11" hidden="1" customWidth="1"/>
    <col min="40" max="40" width="11.33203125" style="11" hidden="1" customWidth="1"/>
    <col min="41" max="41" width="11.33203125" style="11" customWidth="1"/>
    <col min="42" max="42" width="11.6640625" style="11" hidden="1" customWidth="1"/>
    <col min="43" max="43" width="13.5" style="11" customWidth="1"/>
    <col min="44" max="44" width="11.83203125" style="11" customWidth="1"/>
    <col min="45" max="45" width="14" style="11" customWidth="1"/>
    <col min="46" max="46" width="12.33203125" style="11" customWidth="1"/>
    <col min="47" max="47" width="14.83203125" style="11" customWidth="1"/>
    <col min="48" max="48" width="11.1640625" style="5" customWidth="1"/>
    <col min="49" max="49" width="12.6640625" customWidth="1"/>
    <col min="50" max="50" width="10.5" customWidth="1"/>
    <col min="51" max="52" width="11.6640625" style="12" customWidth="1"/>
    <col min="53" max="53" width="11.1640625" style="11" customWidth="1"/>
    <col min="54" max="54" width="11" style="11" customWidth="1"/>
    <col min="55" max="55" width="10.1640625" customWidth="1"/>
    <col min="56" max="56" width="15" bestFit="1" customWidth="1"/>
    <col min="57" max="57" width="11" style="11" customWidth="1"/>
    <col min="58" max="59" width="10.1640625" customWidth="1"/>
    <col min="60" max="62" width="10.83203125" customWidth="1"/>
    <col min="63" max="63" width="10.1640625" customWidth="1"/>
    <col min="64" max="64" width="12.1640625" style="3" customWidth="1"/>
    <col min="65" max="65" width="11.33203125" style="11" customWidth="1"/>
    <col min="66" max="66" width="12.1640625" style="3" hidden="1" customWidth="1"/>
    <col min="67" max="67" width="10.6640625" style="3" customWidth="1"/>
    <col min="68" max="68" width="10.1640625" style="11" customWidth="1"/>
    <col min="69" max="69" width="10.33203125" style="11" customWidth="1"/>
    <col min="70" max="70" width="10" style="441" customWidth="1"/>
    <col min="71" max="71" width="10.5" style="12" customWidth="1"/>
    <col min="72" max="72" width="11.6640625" style="12" customWidth="1"/>
    <col min="73" max="73" width="12.5" style="12" customWidth="1"/>
    <col min="74" max="74" width="1.83203125" style="12" customWidth="1"/>
    <col min="75" max="75" width="11.83203125" style="11" customWidth="1"/>
    <col min="76" max="76" width="11.33203125" style="11" customWidth="1"/>
    <col min="77" max="77" width="11.83203125" style="11" customWidth="1"/>
    <col min="78" max="78" width="11.6640625" style="11" customWidth="1"/>
    <col min="79" max="80" width="11.5" style="11" customWidth="1"/>
    <col min="81" max="81" width="10.5" style="11" bestFit="1" customWidth="1"/>
    <col min="82" max="82" width="13.33203125" style="11" customWidth="1"/>
    <col min="83" max="83" width="11.33203125" style="11" customWidth="1"/>
    <col min="84" max="84" width="12" style="12" customWidth="1"/>
    <col min="85" max="85" width="13.83203125" style="12" customWidth="1"/>
    <col min="86" max="86" width="13.1640625" style="11" customWidth="1"/>
    <col min="87" max="87" width="10.83203125" style="11" customWidth="1"/>
    <col min="88" max="88" width="10.83203125" style="11" hidden="1" customWidth="1"/>
    <col min="89" max="89" width="13.83203125" style="11" bestFit="1" customWidth="1"/>
    <col min="90" max="90" width="13.33203125" style="11" customWidth="1"/>
    <col min="91" max="91" width="15.33203125" style="11" customWidth="1"/>
    <col min="92" max="92" width="14" style="12" customWidth="1"/>
    <col min="93" max="93" width="12.33203125" style="12" customWidth="1"/>
    <col min="94" max="94" width="10.1640625" style="12" customWidth="1"/>
    <col min="95" max="95" width="11.5" style="12" customWidth="1"/>
    <col min="96" max="98" width="12" style="12" customWidth="1"/>
    <col min="99" max="99" width="12.1640625" style="11" customWidth="1"/>
    <col min="100" max="100" width="13" style="11" customWidth="1"/>
    <col min="101" max="101" width="11.6640625" style="11" bestFit="1" customWidth="1"/>
    <col min="102" max="102" width="11.1640625" style="11" customWidth="1"/>
    <col min="103" max="104" width="11.5" style="56" customWidth="1"/>
    <col min="105" max="106" width="11.1640625" style="11" customWidth="1"/>
    <col min="107" max="107" width="10.1640625" style="11" bestFit="1" customWidth="1"/>
    <col min="108" max="108" width="9.6640625" style="11" customWidth="1"/>
    <col min="109" max="111" width="10.33203125" style="11" customWidth="1"/>
    <col min="112" max="112" width="10.5" style="11" customWidth="1"/>
    <col min="113" max="113" width="11" style="11" customWidth="1"/>
    <col min="114" max="114" width="10.6640625" style="11" customWidth="1"/>
    <col min="115" max="117" width="10.33203125" style="11" customWidth="1"/>
    <col min="118" max="119" width="9.83203125" style="11" customWidth="1"/>
    <col min="120" max="120" width="12" style="11" customWidth="1"/>
    <col min="121" max="121" width="11.83203125" style="11" customWidth="1"/>
    <col min="122" max="122" width="10.33203125" style="11" customWidth="1"/>
    <col min="123" max="123" width="9.6640625" style="11" customWidth="1"/>
    <col min="124" max="124" width="9.83203125" style="11" customWidth="1"/>
    <col min="125" max="125" width="10" style="11" customWidth="1"/>
    <col min="126" max="126" width="14.33203125" style="11" customWidth="1"/>
    <col min="127" max="127" width="13" style="11" customWidth="1"/>
    <col min="128" max="128" width="11.1640625" style="11" customWidth="1"/>
    <col min="129" max="129" width="12.1640625" customWidth="1"/>
    <col min="130" max="130" width="13.33203125" style="188" customWidth="1"/>
    <col min="131" max="134" width="13" style="188" customWidth="1"/>
    <col min="135" max="136" width="13.1640625" style="188" customWidth="1"/>
    <col min="137" max="137" width="13.33203125" style="188" customWidth="1"/>
    <col min="138" max="138" width="13.1640625" style="188" customWidth="1"/>
    <col min="139" max="143" width="12" style="188" customWidth="1"/>
    <col min="144" max="144" width="13.6640625" style="188" bestFit="1" customWidth="1"/>
    <col min="145" max="145" width="14.6640625" style="188" bestFit="1" customWidth="1"/>
    <col min="147" max="147" width="13" style="833" customWidth="1"/>
  </cols>
  <sheetData>
    <row r="1" spans="1:147" ht="16">
      <c r="A1" s="1528">
        <v>1</v>
      </c>
      <c r="C1">
        <v>2</v>
      </c>
      <c r="D1">
        <v>3</v>
      </c>
      <c r="E1">
        <v>4</v>
      </c>
      <c r="F1">
        <v>5</v>
      </c>
      <c r="G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/>
    </row>
    <row r="2" spans="1:147" ht="24">
      <c r="A2" s="155"/>
      <c r="B2" s="168">
        <f>R82</f>
        <v>0</v>
      </c>
      <c r="C2" s="236">
        <f ca="1">SUMPRODUCT(C7:C21,T7:T21)/T2</f>
        <v>0.114364037679238</v>
      </c>
      <c r="D2" s="155"/>
      <c r="E2" s="155"/>
      <c r="F2" s="155"/>
      <c r="G2" s="155"/>
      <c r="H2" s="155"/>
      <c r="I2" s="155"/>
      <c r="J2" s="155"/>
      <c r="K2" s="155"/>
      <c r="L2" s="155"/>
      <c r="M2" s="1938"/>
      <c r="N2" s="155"/>
      <c r="O2" s="155"/>
      <c r="P2" s="156">
        <f>SUM(P18:P78)</f>
        <v>0</v>
      </c>
      <c r="Q2" s="429"/>
      <c r="R2" s="155"/>
      <c r="S2" s="156"/>
      <c r="T2" s="474">
        <f>SUM(T7:T56)</f>
        <v>5799195.170669999</v>
      </c>
      <c r="U2" s="439"/>
      <c r="V2" s="1358" t="str">
        <f>MID('دیده بان بازار'!A3,18,10)</f>
        <v>1405/05/14</v>
      </c>
      <c r="W2" s="1814">
        <f>(T2/AL2)*10000000000</f>
        <v>68588.943473329375</v>
      </c>
      <c r="X2" s="1358" t="str">
        <f>MID('دیده بان بازار'!A3,50,9)</f>
        <v xml:space="preserve"> 13:37:15</v>
      </c>
      <c r="Y2" s="1707"/>
      <c r="Z2" s="265"/>
      <c r="AA2" s="434">
        <f>IFERROR((T2-EN2)/EN2,"")</f>
        <v>0.23585578175636474</v>
      </c>
      <c r="AB2" s="659">
        <v>0.9</v>
      </c>
      <c r="AC2" s="658"/>
      <c r="AD2" s="668"/>
      <c r="AE2" s="668"/>
      <c r="AF2" s="668"/>
      <c r="AG2" s="666"/>
      <c r="AH2" s="666">
        <f>(T2-ED2)/ED2</f>
        <v>2.7778665580943875</v>
      </c>
      <c r="AI2" s="156"/>
      <c r="AJ2" s="156"/>
      <c r="AK2" s="186"/>
      <c r="AL2" s="436">
        <f>SUM(AL7:AL18)</f>
        <v>845500000000</v>
      </c>
      <c r="AM2" s="436"/>
      <c r="AN2" s="436"/>
      <c r="AO2" s="148"/>
      <c r="AP2" s="43"/>
      <c r="AQ2" s="478">
        <f>SUM(AQ8:AQ56)</f>
        <v>3492820</v>
      </c>
      <c r="AR2" s="478">
        <f>SUM(AR7:AR32)</f>
        <v>387593</v>
      </c>
      <c r="AS2" s="45">
        <f>SUM(AS7:AS18)</f>
        <v>1003702.2639002358</v>
      </c>
      <c r="AT2" s="46"/>
      <c r="AU2" s="276"/>
      <c r="AV2" s="156"/>
      <c r="AW2" s="48">
        <f>SUM(AW7:AW56)</f>
        <v>1418871</v>
      </c>
      <c r="AX2" s="48">
        <f>SUM(AX7:AX56)</f>
        <v>330595</v>
      </c>
      <c r="AY2" s="1084">
        <f>AR2/AQ2</f>
        <v>0.11096850109653518</v>
      </c>
      <c r="AZ2" s="1084">
        <f>SUM(AZ7:AZ32)/COUNT(AZ7:AZ32)</f>
        <v>0.23142307692307687</v>
      </c>
      <c r="BA2" s="1085"/>
      <c r="BB2" s="1085"/>
      <c r="BC2" s="156"/>
      <c r="BD2" s="1232"/>
      <c r="BE2" s="1233"/>
      <c r="BF2" s="1233"/>
      <c r="BG2" s="1233"/>
      <c r="BH2" s="156"/>
      <c r="BI2" s="156"/>
      <c r="BJ2" s="156"/>
      <c r="BK2" s="162"/>
      <c r="BL2" s="156"/>
      <c r="BM2" s="156"/>
      <c r="BN2" s="47"/>
      <c r="BO2" s="44"/>
      <c r="BP2" s="44"/>
      <c r="BQ2" s="44"/>
      <c r="BR2" s="44"/>
      <c r="BS2" s="44"/>
      <c r="BT2" s="285"/>
      <c r="BU2" s="285">
        <f>SUMPRODUCT(BU7:BU18,AL7:AL18)/AL2</f>
        <v>1742.9568302779421</v>
      </c>
      <c r="BV2" s="159"/>
      <c r="BW2" s="284">
        <f>W2/BU2</f>
        <v>39.352060981563028</v>
      </c>
      <c r="BX2" s="159">
        <f>IFERROR(($R$88-BW2)*$S$88,"")</f>
        <v>0</v>
      </c>
      <c r="BY2" s="156">
        <f>SUM(BY7:BY18)</f>
        <v>154489.24436510113</v>
      </c>
      <c r="BZ2" s="156">
        <f>SUM(BZ7:BZ18)</f>
        <v>117818.58840322224</v>
      </c>
      <c r="CA2" s="159"/>
      <c r="CB2" s="159"/>
      <c r="CC2" s="166">
        <f>SUMPRODUCT(CC7:CC18,AL7:AL18)/AL2</f>
        <v>1392.8637492607925</v>
      </c>
      <c r="CD2" s="433">
        <f>W2/CC2</f>
        <v>49.243110469154111</v>
      </c>
      <c r="CE2" s="156"/>
      <c r="CF2" s="1057">
        <v>1</v>
      </c>
      <c r="CG2" s="156"/>
      <c r="CH2" s="160"/>
      <c r="CI2" s="160"/>
      <c r="CJ2" s="44"/>
      <c r="CK2" s="48">
        <f t="shared" ref="CK2:CQ2" si="0">SUM(CK7:CK56)</f>
        <v>661697.80009999999</v>
      </c>
      <c r="CL2" s="48">
        <f t="shared" si="0"/>
        <v>465525</v>
      </c>
      <c r="CM2" s="48">
        <f t="shared" si="0"/>
        <v>80309</v>
      </c>
      <c r="CN2" s="48">
        <f t="shared" si="0"/>
        <v>19668</v>
      </c>
      <c r="CO2" s="48">
        <f t="shared" si="0"/>
        <v>277924</v>
      </c>
      <c r="CP2" s="48">
        <f t="shared" si="0"/>
        <v>24340</v>
      </c>
      <c r="CQ2" s="48">
        <f t="shared" si="0"/>
        <v>280919.25</v>
      </c>
      <c r="CR2" s="48"/>
      <c r="CS2" s="48">
        <f>SUM(CS7:CS56)</f>
        <v>743449</v>
      </c>
      <c r="CT2" s="48">
        <f>SUM(CT7:CT56)</f>
        <v>-16906</v>
      </c>
      <c r="CU2" s="161"/>
      <c r="CV2" s="163">
        <f>SUM(CV7:CV18)</f>
        <v>223157</v>
      </c>
      <c r="CW2" s="48">
        <f>SUM(CW7:CW56)</f>
        <v>1402770</v>
      </c>
      <c r="CX2" s="48">
        <f>SUM(CX7:CX55)</f>
        <v>255573</v>
      </c>
      <c r="CY2" s="48">
        <f>SUM(CY7:CY56)</f>
        <v>114548</v>
      </c>
      <c r="CZ2" s="162">
        <f>SUM(CZ7:CZ18)</f>
        <v>142843</v>
      </c>
      <c r="DA2" s="165"/>
      <c r="DB2" s="162"/>
      <c r="DC2" s="163">
        <f>SUM(DC7:DC18)</f>
        <v>366000</v>
      </c>
      <c r="DD2" s="1240">
        <f>CZ2/DC2</f>
        <v>0.39028142076502731</v>
      </c>
      <c r="DE2" s="48">
        <f>SUM(DE7:DE18)</f>
        <v>102996</v>
      </c>
      <c r="DF2" s="48">
        <f>SUM(DF7:DF18)</f>
        <v>53094</v>
      </c>
      <c r="DG2" s="48">
        <f>SUM(DG7:DG18)</f>
        <v>39096</v>
      </c>
      <c r="DH2" s="48">
        <f>SUM(DH7:DH18)</f>
        <v>263004</v>
      </c>
      <c r="DI2" s="162">
        <f>SUM(DI7:DI18)</f>
        <v>131496</v>
      </c>
      <c r="DJ2" s="180">
        <f>AS2/DI2</f>
        <v>7.6329490167019207</v>
      </c>
      <c r="DK2" s="48">
        <f>SUM(DK7:DK18)</f>
        <v>71459</v>
      </c>
      <c r="DL2" s="48">
        <f>SUM(DL7:DL18)</f>
        <v>11640</v>
      </c>
      <c r="DM2" s="48">
        <f>SUM(DM7:DM18)</f>
        <v>149547</v>
      </c>
      <c r="DN2" s="48"/>
      <c r="DO2" s="48"/>
      <c r="DP2" s="48">
        <f>SUM(DP7:DP18)</f>
        <v>12029</v>
      </c>
      <c r="DQ2" s="162">
        <f>SUM(DQ7:DQ18)</f>
        <v>18329</v>
      </c>
      <c r="DR2" s="162">
        <f>SUM(DR7:DR18)</f>
        <v>-1.4675979183020347</v>
      </c>
      <c r="DS2" s="162">
        <f>SUM(DS7:DS18)</f>
        <v>-5</v>
      </c>
      <c r="DT2" s="186"/>
      <c r="DU2" s="186"/>
      <c r="DV2" s="186"/>
      <c r="DW2" s="186"/>
      <c r="DX2" s="186"/>
      <c r="DY2" s="186"/>
      <c r="DZ2" s="186"/>
      <c r="EA2" s="186"/>
      <c r="EB2" s="186"/>
      <c r="EC2" s="287"/>
      <c r="ED2" s="156">
        <f>SUM(ED7:ED56)</f>
        <v>1535045</v>
      </c>
      <c r="EE2" s="287"/>
      <c r="EF2" s="156">
        <f>SUM(EF7:EF56)</f>
        <v>5965723.1359999999</v>
      </c>
      <c r="EG2" s="156"/>
      <c r="EH2" s="156"/>
      <c r="EI2" s="156"/>
      <c r="EJ2" s="156"/>
      <c r="EK2" s="156"/>
      <c r="EL2" s="156"/>
      <c r="EM2" s="287"/>
      <c r="EN2" s="156">
        <f>SUM(EN7:EN56)</f>
        <v>4692453</v>
      </c>
      <c r="EO2" s="567">
        <f>(EN2-ED2)/ED2</f>
        <v>2.0568830229732677</v>
      </c>
      <c r="EP2" s="567"/>
      <c r="EQ2"/>
    </row>
    <row r="3" spans="1:147" s="30" customFormat="1" ht="28" customHeight="1">
      <c r="A3" s="34" t="s">
        <v>232</v>
      </c>
      <c r="B3" s="34" t="s">
        <v>232</v>
      </c>
      <c r="C3" s="34" t="s">
        <v>233</v>
      </c>
      <c r="D3" s="34"/>
      <c r="E3" s="34" t="s">
        <v>234</v>
      </c>
      <c r="F3" s="34" t="s">
        <v>234</v>
      </c>
      <c r="G3" s="34"/>
      <c r="H3" s="34"/>
      <c r="I3" s="34"/>
      <c r="J3" s="34"/>
      <c r="K3" s="34"/>
      <c r="L3" s="34" t="s">
        <v>235</v>
      </c>
      <c r="M3" s="34"/>
      <c r="N3" s="34"/>
      <c r="O3" s="147" t="s">
        <v>236</v>
      </c>
      <c r="P3" s="34" t="s">
        <v>241</v>
      </c>
      <c r="Q3" s="34"/>
      <c r="R3" s="61"/>
      <c r="S3" s="35" t="s">
        <v>237</v>
      </c>
      <c r="T3" s="34" t="s">
        <v>243</v>
      </c>
      <c r="U3" s="34" t="s">
        <v>239</v>
      </c>
      <c r="V3" s="34" t="s">
        <v>233</v>
      </c>
      <c r="W3" s="34" t="s">
        <v>239</v>
      </c>
      <c r="X3" s="37" t="s">
        <v>233</v>
      </c>
      <c r="Y3" s="37"/>
      <c r="Z3" s="37"/>
      <c r="AA3" s="37" t="s">
        <v>233</v>
      </c>
      <c r="AB3" s="654" t="s">
        <v>233</v>
      </c>
      <c r="AC3" s="654"/>
      <c r="AD3" s="654"/>
      <c r="AE3" s="654"/>
      <c r="AF3" s="654"/>
      <c r="AG3" s="654" t="s">
        <v>234</v>
      </c>
      <c r="AH3" s="654" t="s">
        <v>234</v>
      </c>
      <c r="AI3" s="36"/>
      <c r="AJ3" s="36"/>
      <c r="AK3" s="40" t="s">
        <v>240</v>
      </c>
      <c r="AL3" s="38" t="s">
        <v>242</v>
      </c>
      <c r="AM3" s="38"/>
      <c r="AN3" s="38"/>
      <c r="AO3" s="39" t="s">
        <v>234</v>
      </c>
      <c r="AP3" s="34" t="s">
        <v>241</v>
      </c>
      <c r="AQ3" s="34" t="s">
        <v>243</v>
      </c>
      <c r="AR3" s="34"/>
      <c r="AS3" s="34" t="s">
        <v>243</v>
      </c>
      <c r="AT3" s="34" t="s">
        <v>237</v>
      </c>
      <c r="AU3" s="40"/>
      <c r="AV3" s="106" t="s">
        <v>244</v>
      </c>
      <c r="AW3" s="34" t="s">
        <v>243</v>
      </c>
      <c r="AX3" s="34" t="s">
        <v>243</v>
      </c>
      <c r="AY3" s="34" t="s">
        <v>234</v>
      </c>
      <c r="AZ3" s="34" t="s">
        <v>234</v>
      </c>
      <c r="BA3" s="34"/>
      <c r="BB3" s="34" t="s">
        <v>234</v>
      </c>
      <c r="BC3" s="106" t="s">
        <v>245</v>
      </c>
      <c r="BD3" s="34" t="s">
        <v>234</v>
      </c>
      <c r="BE3" s="34" t="s">
        <v>234</v>
      </c>
      <c r="BF3" s="34"/>
      <c r="BG3" s="34" t="s">
        <v>234</v>
      </c>
      <c r="BH3" s="34" t="s">
        <v>234</v>
      </c>
      <c r="BI3" s="34" t="s">
        <v>243</v>
      </c>
      <c r="BJ3" s="34"/>
      <c r="BK3" s="105" t="s">
        <v>246</v>
      </c>
      <c r="BL3" s="104"/>
      <c r="BM3" s="104" t="s">
        <v>247</v>
      </c>
      <c r="BN3" s="41"/>
      <c r="BO3" s="34" t="s">
        <v>237</v>
      </c>
      <c r="BP3" s="838"/>
      <c r="BQ3" s="41" t="s">
        <v>239</v>
      </c>
      <c r="BR3" s="41" t="s">
        <v>239</v>
      </c>
      <c r="BS3" s="41" t="s">
        <v>239</v>
      </c>
      <c r="BT3" s="41"/>
      <c r="BU3" s="41" t="s">
        <v>239</v>
      </c>
      <c r="BV3" s="41"/>
      <c r="BW3" s="41" t="s">
        <v>248</v>
      </c>
      <c r="BX3" s="104" t="s">
        <v>249</v>
      </c>
      <c r="BY3" s="41" t="s">
        <v>243</v>
      </c>
      <c r="BZ3" s="41" t="s">
        <v>250</v>
      </c>
      <c r="CA3" s="40" t="s">
        <v>234</v>
      </c>
      <c r="CB3" s="40"/>
      <c r="CC3" s="42" t="s">
        <v>239</v>
      </c>
      <c r="CD3" s="42" t="s">
        <v>248</v>
      </c>
      <c r="CE3" s="104" t="s">
        <v>251</v>
      </c>
      <c r="CF3" s="41" t="s">
        <v>248</v>
      </c>
      <c r="CG3" s="104" t="s">
        <v>252</v>
      </c>
      <c r="CH3" s="42" t="s">
        <v>248</v>
      </c>
      <c r="CI3" s="104" t="s">
        <v>253</v>
      </c>
      <c r="CJ3" s="40"/>
      <c r="CK3" s="34" t="s">
        <v>243</v>
      </c>
      <c r="CL3" s="34"/>
      <c r="CM3" s="34"/>
      <c r="CN3" s="34"/>
      <c r="CO3" s="34" t="s">
        <v>243</v>
      </c>
      <c r="CP3" s="34" t="s">
        <v>243</v>
      </c>
      <c r="CQ3" s="34" t="s">
        <v>243</v>
      </c>
      <c r="CR3" s="34"/>
      <c r="CS3" s="34" t="s">
        <v>243</v>
      </c>
      <c r="CT3" s="34" t="s">
        <v>243</v>
      </c>
      <c r="CU3" s="54" t="s">
        <v>248</v>
      </c>
      <c r="CV3" s="34" t="s">
        <v>243</v>
      </c>
      <c r="CW3" s="34" t="s">
        <v>243</v>
      </c>
      <c r="CX3" s="34" t="s">
        <v>243</v>
      </c>
      <c r="CY3" s="34" t="s">
        <v>243</v>
      </c>
      <c r="CZ3" s="34" t="s">
        <v>243</v>
      </c>
      <c r="DA3" s="34" t="s">
        <v>248</v>
      </c>
      <c r="DB3" s="105" t="s">
        <v>254</v>
      </c>
      <c r="DC3" s="34" t="s">
        <v>243</v>
      </c>
      <c r="DD3" s="34" t="s">
        <v>234</v>
      </c>
      <c r="DE3" s="34" t="s">
        <v>243</v>
      </c>
      <c r="DF3" s="34" t="s">
        <v>243</v>
      </c>
      <c r="DG3" s="34" t="s">
        <v>243</v>
      </c>
      <c r="DH3" s="34" t="s">
        <v>243</v>
      </c>
      <c r="DI3" s="34" t="s">
        <v>243</v>
      </c>
      <c r="DJ3" s="34"/>
      <c r="DK3" s="34" t="s">
        <v>243</v>
      </c>
      <c r="DL3" s="34" t="s">
        <v>243</v>
      </c>
      <c r="DM3" s="34" t="s">
        <v>243</v>
      </c>
      <c r="DN3" s="34" t="s">
        <v>248</v>
      </c>
      <c r="DO3" s="105" t="s">
        <v>255</v>
      </c>
      <c r="DP3" s="34" t="s">
        <v>243</v>
      </c>
      <c r="DQ3" s="34" t="s">
        <v>243</v>
      </c>
      <c r="DR3" s="34" t="s">
        <v>248</v>
      </c>
      <c r="DS3" s="105" t="s">
        <v>256</v>
      </c>
      <c r="DT3" s="41" t="s">
        <v>239</v>
      </c>
      <c r="DU3" s="41" t="s">
        <v>239</v>
      </c>
      <c r="DV3" s="41"/>
      <c r="DW3" s="40">
        <f>R84</f>
        <v>0</v>
      </c>
      <c r="DX3" s="40" t="s">
        <v>264</v>
      </c>
      <c r="DY3" s="40" t="s">
        <v>239</v>
      </c>
      <c r="DZ3" s="40"/>
      <c r="EA3" s="40"/>
      <c r="EB3" s="40"/>
      <c r="EC3" s="291"/>
      <c r="ED3" s="291"/>
      <c r="EE3" s="291"/>
      <c r="EF3" s="291"/>
      <c r="EG3" s="291"/>
      <c r="EH3" s="291"/>
      <c r="EI3" s="291"/>
      <c r="EJ3" s="291"/>
      <c r="EK3" s="291"/>
      <c r="EL3" s="291"/>
      <c r="EM3" s="291" t="s">
        <v>265</v>
      </c>
      <c r="EN3" s="291" t="s">
        <v>238</v>
      </c>
      <c r="EO3" s="291" t="s">
        <v>234</v>
      </c>
      <c r="EP3" s="291"/>
    </row>
    <row r="4" spans="1:147" s="360" customFormat="1" ht="121" customHeight="1" thickBot="1">
      <c r="A4" s="1590" t="s">
        <v>267</v>
      </c>
      <c r="B4" s="1590" t="s">
        <v>438</v>
      </c>
      <c r="C4" s="515" t="s">
        <v>439</v>
      </c>
      <c r="D4" s="465" t="s">
        <v>269</v>
      </c>
      <c r="E4" s="516" t="s">
        <v>270</v>
      </c>
      <c r="F4" s="516" t="s">
        <v>271</v>
      </c>
      <c r="G4" s="1229" t="s">
        <v>272</v>
      </c>
      <c r="H4" s="2302" t="s">
        <v>8281</v>
      </c>
      <c r="I4" s="1229" t="s">
        <v>8280</v>
      </c>
      <c r="J4" s="1229" t="s">
        <v>8279</v>
      </c>
      <c r="K4" s="1229" t="s">
        <v>274</v>
      </c>
      <c r="L4" s="465" t="s">
        <v>275</v>
      </c>
      <c r="M4" s="1574" t="s">
        <v>276</v>
      </c>
      <c r="N4" s="1597" t="s">
        <v>277</v>
      </c>
      <c r="O4" s="1598" t="s">
        <v>278</v>
      </c>
      <c r="P4" s="1360" t="s">
        <v>440</v>
      </c>
      <c r="Q4" s="350" t="s">
        <v>279</v>
      </c>
      <c r="R4" s="351" t="s">
        <v>11</v>
      </c>
      <c r="S4" s="350" t="s">
        <v>280</v>
      </c>
      <c r="T4" s="350" t="s">
        <v>281</v>
      </c>
      <c r="U4" s="350" t="s">
        <v>282</v>
      </c>
      <c r="V4" s="350" t="s">
        <v>283</v>
      </c>
      <c r="W4" s="350" t="s">
        <v>284</v>
      </c>
      <c r="X4" s="350" t="s">
        <v>285</v>
      </c>
      <c r="Y4" s="350" t="s">
        <v>286</v>
      </c>
      <c r="Z4" s="501" t="s">
        <v>441</v>
      </c>
      <c r="AA4" s="657" t="s">
        <v>442</v>
      </c>
      <c r="AB4" s="656" t="s">
        <v>289</v>
      </c>
      <c r="AC4" s="657" t="s">
        <v>443</v>
      </c>
      <c r="AD4" s="790" t="s">
        <v>291</v>
      </c>
      <c r="AE4" s="790" t="s">
        <v>292</v>
      </c>
      <c r="AF4" s="790" t="s">
        <v>293</v>
      </c>
      <c r="AG4" s="790" t="s">
        <v>294</v>
      </c>
      <c r="AH4" s="790" t="s">
        <v>295</v>
      </c>
      <c r="AI4" s="352" t="s">
        <v>296</v>
      </c>
      <c r="AJ4" s="353" t="s">
        <v>444</v>
      </c>
      <c r="AK4" s="350" t="s">
        <v>445</v>
      </c>
      <c r="AL4" s="350" t="s">
        <v>301</v>
      </c>
      <c r="AM4" s="350"/>
      <c r="AN4" s="350"/>
      <c r="AO4" s="350" t="s">
        <v>302</v>
      </c>
      <c r="AP4" s="97" t="s">
        <v>446</v>
      </c>
      <c r="AQ4" s="400" t="s">
        <v>447</v>
      </c>
      <c r="AR4" s="501" t="s">
        <v>305</v>
      </c>
      <c r="AS4" s="350" t="s">
        <v>448</v>
      </c>
      <c r="AT4" s="350" t="s">
        <v>307</v>
      </c>
      <c r="AU4" s="350" t="s">
        <v>449</v>
      </c>
      <c r="AV4" s="354" t="s">
        <v>309</v>
      </c>
      <c r="AW4" s="350" t="s">
        <v>310</v>
      </c>
      <c r="AX4" s="350" t="s">
        <v>311</v>
      </c>
      <c r="AY4" s="501" t="s">
        <v>312</v>
      </c>
      <c r="AZ4" s="501" t="s">
        <v>313</v>
      </c>
      <c r="BA4" s="501" t="s">
        <v>314</v>
      </c>
      <c r="BB4" s="501" t="s">
        <v>315</v>
      </c>
      <c r="BC4" s="354" t="s">
        <v>316</v>
      </c>
      <c r="BD4" s="501" t="s">
        <v>317</v>
      </c>
      <c r="BE4" s="501" t="s">
        <v>318</v>
      </c>
      <c r="BF4" s="501" t="s">
        <v>319</v>
      </c>
      <c r="BG4" s="501" t="s">
        <v>320</v>
      </c>
      <c r="BH4" s="400" t="s">
        <v>321</v>
      </c>
      <c r="BI4" s="400" t="s">
        <v>322</v>
      </c>
      <c r="BJ4" s="400" t="s">
        <v>323</v>
      </c>
      <c r="BK4" s="1318" t="s">
        <v>450</v>
      </c>
      <c r="BL4" s="400" t="s">
        <v>325</v>
      </c>
      <c r="BM4" s="122" t="s">
        <v>326</v>
      </c>
      <c r="BN4" s="350"/>
      <c r="BO4" s="350" t="s">
        <v>327</v>
      </c>
      <c r="BP4" s="350" t="s">
        <v>328</v>
      </c>
      <c r="BQ4" s="350" t="s">
        <v>329</v>
      </c>
      <c r="BR4" s="97" t="s">
        <v>330</v>
      </c>
      <c r="BS4" s="97" t="s">
        <v>331</v>
      </c>
      <c r="BT4" s="400" t="s">
        <v>332</v>
      </c>
      <c r="BU4" s="97" t="s">
        <v>333</v>
      </c>
      <c r="BV4" s="355"/>
      <c r="BW4" s="350" t="s">
        <v>451</v>
      </c>
      <c r="BX4" s="354" t="s">
        <v>335</v>
      </c>
      <c r="BY4" s="350" t="s">
        <v>336</v>
      </c>
      <c r="BZ4" s="350" t="s">
        <v>337</v>
      </c>
      <c r="CA4" s="350" t="s">
        <v>338</v>
      </c>
      <c r="CB4" s="350" t="s">
        <v>339</v>
      </c>
      <c r="CC4" s="350" t="s">
        <v>340</v>
      </c>
      <c r="CD4" s="350" t="s">
        <v>341</v>
      </c>
      <c r="CE4" s="354" t="s">
        <v>342</v>
      </c>
      <c r="CF4" s="97" t="s">
        <v>343</v>
      </c>
      <c r="CG4" s="354" t="s">
        <v>344</v>
      </c>
      <c r="CH4" s="97" t="s">
        <v>345</v>
      </c>
      <c r="CI4" s="354" t="s">
        <v>346</v>
      </c>
      <c r="CJ4" s="355"/>
      <c r="CK4" s="350" t="s">
        <v>347</v>
      </c>
      <c r="CL4" s="350" t="s">
        <v>348</v>
      </c>
      <c r="CM4" s="350" t="s">
        <v>452</v>
      </c>
      <c r="CN4" s="350" t="s">
        <v>453</v>
      </c>
      <c r="CO4" s="350" t="s">
        <v>351</v>
      </c>
      <c r="CP4" s="350" t="s">
        <v>352</v>
      </c>
      <c r="CQ4" s="350" t="s">
        <v>353</v>
      </c>
      <c r="CR4" s="400" t="s">
        <v>354</v>
      </c>
      <c r="CS4" s="350" t="s">
        <v>355</v>
      </c>
      <c r="CT4" s="350" t="s">
        <v>356</v>
      </c>
      <c r="CU4" s="350" t="s">
        <v>357</v>
      </c>
      <c r="CV4" s="350" t="s">
        <v>358</v>
      </c>
      <c r="CW4" s="356" t="s">
        <v>359</v>
      </c>
      <c r="CX4" s="356" t="s">
        <v>360</v>
      </c>
      <c r="CY4" s="356" t="s">
        <v>361</v>
      </c>
      <c r="CZ4" s="357" t="s">
        <v>362</v>
      </c>
      <c r="DA4" s="97" t="s">
        <v>363</v>
      </c>
      <c r="DB4" s="354" t="s">
        <v>454</v>
      </c>
      <c r="DC4" s="357" t="s">
        <v>365</v>
      </c>
      <c r="DD4" s="357" t="s">
        <v>366</v>
      </c>
      <c r="DE4" s="350" t="s">
        <v>367</v>
      </c>
      <c r="DF4" s="350" t="s">
        <v>368</v>
      </c>
      <c r="DG4" s="348" t="s">
        <v>369</v>
      </c>
      <c r="DH4" s="350" t="s">
        <v>370</v>
      </c>
      <c r="DI4" s="350" t="s">
        <v>371</v>
      </c>
      <c r="DJ4" s="350" t="s">
        <v>372</v>
      </c>
      <c r="DK4" s="350" t="s">
        <v>373</v>
      </c>
      <c r="DL4" s="350" t="s">
        <v>374</v>
      </c>
      <c r="DM4" s="350" t="s">
        <v>375</v>
      </c>
      <c r="DN4" s="399" t="s">
        <v>376</v>
      </c>
      <c r="DO4" s="122" t="s">
        <v>377</v>
      </c>
      <c r="DP4" s="350" t="s">
        <v>380</v>
      </c>
      <c r="DQ4" s="350" t="s">
        <v>381</v>
      </c>
      <c r="DR4" s="400" t="s">
        <v>378</v>
      </c>
      <c r="DS4" s="122" t="s">
        <v>379</v>
      </c>
      <c r="DT4" s="350" t="s">
        <v>393</v>
      </c>
      <c r="DU4" s="350" t="s">
        <v>394</v>
      </c>
      <c r="DV4" s="350" t="s">
        <v>395</v>
      </c>
      <c r="DW4" s="350" t="s">
        <v>396</v>
      </c>
      <c r="DX4" s="350" t="s">
        <v>397</v>
      </c>
      <c r="DY4" s="350" t="s">
        <v>455</v>
      </c>
      <c r="DZ4" s="804" t="s">
        <v>399</v>
      </c>
      <c r="EA4" s="350" t="s">
        <v>400</v>
      </c>
      <c r="EB4" s="350" t="s">
        <v>456</v>
      </c>
      <c r="EC4" s="359" t="s">
        <v>402</v>
      </c>
      <c r="ED4" s="348" t="s">
        <v>403</v>
      </c>
      <c r="EE4" s="359" t="s">
        <v>404</v>
      </c>
      <c r="EF4" s="348" t="s">
        <v>405</v>
      </c>
      <c r="EG4" s="359" t="s">
        <v>406</v>
      </c>
      <c r="EH4" s="348" t="s">
        <v>407</v>
      </c>
      <c r="EI4" s="359" t="s">
        <v>408</v>
      </c>
      <c r="EJ4" s="348" t="s">
        <v>409</v>
      </c>
      <c r="EK4" s="359" t="s">
        <v>410</v>
      </c>
      <c r="EL4" s="348" t="s">
        <v>457</v>
      </c>
      <c r="EM4" s="359" t="s">
        <v>411</v>
      </c>
      <c r="EN4" s="348" t="s">
        <v>412</v>
      </c>
      <c r="EO4" s="503" t="s">
        <v>413</v>
      </c>
      <c r="EP4" s="503" t="s">
        <v>414</v>
      </c>
    </row>
    <row r="5" spans="1:147" ht="28" customHeight="1">
      <c r="A5" s="68"/>
      <c r="B5" s="68"/>
      <c r="C5" s="189"/>
      <c r="D5" s="844"/>
      <c r="E5" s="68"/>
      <c r="F5" s="68"/>
      <c r="G5" s="68"/>
      <c r="H5" s="68"/>
      <c r="I5" s="68"/>
      <c r="J5" s="68"/>
      <c r="K5" s="844"/>
      <c r="L5" s="68"/>
      <c r="M5" s="68"/>
      <c r="N5" s="68"/>
      <c r="O5" s="1820">
        <f>COUNTIF(O7:O58,"&gt;0")+COUNTIF(O7:O58,"&lt;0")
+COUNTIF(O7:O56,"Good")
+COUNTIF(O7:O56,"Fair")
+COUNTIF(O7:O56,"Bad")
+COUNTIF(O7:O56,"Terrible")</f>
        <v>0</v>
      </c>
      <c r="P5" s="150" t="s">
        <v>234</v>
      </c>
      <c r="Q5" s="69"/>
      <c r="R5" s="68"/>
      <c r="S5" s="71"/>
      <c r="T5" s="70"/>
      <c r="U5" s="70"/>
      <c r="V5" s="383" t="s">
        <v>234</v>
      </c>
      <c r="W5" s="72"/>
      <c r="X5" s="384" t="s">
        <v>234</v>
      </c>
      <c r="Y5" s="384"/>
      <c r="Z5" s="384"/>
      <c r="AA5" s="150"/>
      <c r="AB5" s="150"/>
      <c r="AC5" s="150"/>
      <c r="AD5" s="150"/>
      <c r="AE5" s="150"/>
      <c r="AF5" s="150"/>
      <c r="AG5" s="150"/>
      <c r="AH5" s="150"/>
      <c r="AI5" s="150"/>
      <c r="AJ5" s="150" t="s">
        <v>234</v>
      </c>
      <c r="AK5" s="80"/>
      <c r="AL5" s="150" t="s">
        <v>234</v>
      </c>
      <c r="AM5" s="150"/>
      <c r="AN5" s="150"/>
      <c r="AO5" s="150"/>
      <c r="AP5" s="150"/>
      <c r="AQ5" s="70"/>
      <c r="AR5" s="68"/>
      <c r="AS5" s="74"/>
      <c r="AT5" s="75"/>
      <c r="AU5" s="68"/>
      <c r="AV5" s="68"/>
      <c r="AW5" s="78"/>
      <c r="AX5" s="78"/>
      <c r="AY5" s="70"/>
      <c r="AZ5" s="68"/>
      <c r="BA5" s="68"/>
      <c r="BB5" s="68"/>
      <c r="BC5" s="77"/>
      <c r="BD5" s="68"/>
      <c r="BE5" s="68"/>
      <c r="BF5" s="68"/>
      <c r="BG5" s="68"/>
      <c r="BH5" s="76"/>
      <c r="BI5" s="76"/>
      <c r="BJ5" s="76"/>
      <c r="BK5" s="70"/>
      <c r="BL5" s="76"/>
      <c r="BM5" s="76"/>
      <c r="BN5" s="77"/>
      <c r="BO5" s="77"/>
      <c r="BP5" s="839"/>
      <c r="BQ5" s="78"/>
      <c r="BR5" s="78"/>
      <c r="BS5" s="78"/>
      <c r="BT5" s="78"/>
      <c r="BU5" s="71">
        <f>S5</f>
        <v>0</v>
      </c>
      <c r="BV5" s="79"/>
      <c r="BW5" s="80"/>
      <c r="BX5" s="80"/>
      <c r="BY5" s="78"/>
      <c r="BZ5" s="78"/>
      <c r="CA5" s="78"/>
      <c r="CB5" s="78"/>
      <c r="CC5" s="78"/>
      <c r="CD5" s="80"/>
      <c r="CE5" s="80"/>
      <c r="CF5" s="81"/>
      <c r="CG5" s="82"/>
      <c r="CH5" s="83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81"/>
      <c r="CT5" s="70"/>
      <c r="CU5" s="70"/>
      <c r="CV5" s="70"/>
      <c r="CW5" s="84"/>
      <c r="CX5" s="84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68"/>
      <c r="DX5" s="80"/>
      <c r="DY5" s="70"/>
      <c r="DZ5" s="70"/>
      <c r="EA5" s="68"/>
      <c r="EB5" s="68"/>
      <c r="EC5" s="68"/>
      <c r="ED5" s="288"/>
      <c r="EE5" s="288"/>
      <c r="EF5" s="288"/>
      <c r="EG5" s="288"/>
      <c r="EH5" s="288"/>
      <c r="EI5" s="288"/>
      <c r="EJ5" s="288"/>
      <c r="EK5" s="288"/>
      <c r="EL5" s="288"/>
      <c r="EM5" s="68"/>
      <c r="EN5" s="288"/>
      <c r="EO5" s="288"/>
      <c r="EP5" s="288"/>
      <c r="EQ5"/>
    </row>
    <row r="6" spans="1:147" s="102" customFormat="1" ht="20" customHeight="1">
      <c r="A6" s="315"/>
      <c r="B6" s="315"/>
      <c r="C6" s="450"/>
      <c r="D6" s="315"/>
      <c r="E6" s="315"/>
      <c r="F6" s="315"/>
      <c r="G6" s="1373"/>
      <c r="H6" s="1373"/>
      <c r="I6" s="1373"/>
      <c r="J6" s="1373"/>
      <c r="K6" s="1314"/>
      <c r="L6" s="315"/>
      <c r="M6" s="315"/>
      <c r="N6" s="315"/>
      <c r="O6" s="451"/>
      <c r="P6" s="451"/>
      <c r="Q6" s="314"/>
      <c r="R6" s="315"/>
      <c r="S6" s="316"/>
      <c r="T6" s="317"/>
      <c r="U6" s="317"/>
      <c r="V6" s="462"/>
      <c r="W6" s="319"/>
      <c r="X6" s="463"/>
      <c r="Y6" s="463"/>
      <c r="Z6" s="463"/>
      <c r="AA6" s="318"/>
      <c r="AB6" s="318"/>
      <c r="AC6" s="318"/>
      <c r="AD6" s="318"/>
      <c r="AE6" s="318"/>
      <c r="AF6" s="318"/>
      <c r="AG6" s="318"/>
      <c r="AH6" s="318"/>
      <c r="AI6" s="318"/>
      <c r="AJ6" s="700"/>
      <c r="AK6" s="701"/>
      <c r="AL6" s="700"/>
      <c r="AM6" s="700"/>
      <c r="AN6" s="700"/>
      <c r="AO6" s="700"/>
      <c r="AP6" s="318"/>
      <c r="AQ6" s="696"/>
      <c r="AR6" s="702"/>
      <c r="AS6" s="320"/>
      <c r="AT6" s="452"/>
      <c r="AU6" s="315"/>
      <c r="AV6" s="315"/>
      <c r="AW6" s="1417"/>
      <c r="AX6" s="1417"/>
      <c r="AY6" s="317"/>
      <c r="AZ6" s="315"/>
      <c r="BA6" s="315"/>
      <c r="BB6" s="315"/>
      <c r="BC6" s="454"/>
      <c r="BD6" s="315"/>
      <c r="BE6" s="315"/>
      <c r="BF6" s="315"/>
      <c r="BG6" s="315"/>
      <c r="BH6" s="453"/>
      <c r="BI6" s="453"/>
      <c r="BJ6" s="453"/>
      <c r="BK6" s="317"/>
      <c r="BL6" s="453"/>
      <c r="BM6" s="453"/>
      <c r="BN6" s="454"/>
      <c r="BO6" s="699"/>
      <c r="BP6" s="840"/>
      <c r="BQ6" s="698"/>
      <c r="BR6" s="698"/>
      <c r="BS6" s="698"/>
      <c r="BT6" s="316"/>
      <c r="BU6" s="316"/>
      <c r="BV6" s="456"/>
      <c r="BW6" s="457"/>
      <c r="BX6" s="457"/>
      <c r="BY6" s="455"/>
      <c r="BZ6" s="455"/>
      <c r="CA6" s="455"/>
      <c r="CB6" s="455"/>
      <c r="CC6" s="455"/>
      <c r="CD6" s="457"/>
      <c r="CE6" s="457"/>
      <c r="CF6" s="458"/>
      <c r="CG6" s="459"/>
      <c r="CH6" s="460"/>
      <c r="CI6" s="455"/>
      <c r="CJ6" s="455"/>
      <c r="CK6" s="698"/>
      <c r="CL6" s="698"/>
      <c r="CM6" s="455"/>
      <c r="CN6" s="698"/>
      <c r="CO6" s="698"/>
      <c r="CP6" s="698"/>
      <c r="CQ6" s="455"/>
      <c r="CR6" s="455"/>
      <c r="CS6" s="697"/>
      <c r="CT6" s="696"/>
      <c r="CU6" s="692"/>
      <c r="CV6" s="317"/>
      <c r="CW6" s="695"/>
      <c r="CX6" s="695"/>
      <c r="CY6" s="696"/>
      <c r="CZ6" s="317"/>
      <c r="DA6" s="317"/>
      <c r="DB6" s="317"/>
      <c r="DC6" s="317"/>
      <c r="DD6" s="317"/>
      <c r="DE6" s="696"/>
      <c r="DF6" s="696"/>
      <c r="DG6" s="696"/>
      <c r="DH6" s="696"/>
      <c r="DI6" s="317"/>
      <c r="DJ6" s="317"/>
      <c r="DK6" s="696"/>
      <c r="DL6" s="696"/>
      <c r="DM6" s="696"/>
      <c r="DN6" s="696"/>
      <c r="DO6" s="696"/>
      <c r="DP6" s="696"/>
      <c r="DQ6" s="317"/>
      <c r="DR6" s="317"/>
      <c r="DS6" s="317"/>
      <c r="DT6" s="317"/>
      <c r="DU6" s="317"/>
      <c r="DV6" s="317"/>
      <c r="DW6" s="464"/>
      <c r="DX6" s="461"/>
      <c r="DY6" s="696"/>
      <c r="DZ6" s="696"/>
      <c r="EA6" s="702"/>
      <c r="EB6" s="703"/>
      <c r="EC6" s="703"/>
      <c r="ED6" s="704"/>
      <c r="EE6" s="802"/>
      <c r="EF6" s="802"/>
      <c r="EG6" s="802"/>
      <c r="EH6" s="802"/>
      <c r="EI6" s="802"/>
      <c r="EJ6" s="802"/>
      <c r="EK6" s="802"/>
      <c r="EL6" s="802"/>
      <c r="EM6" s="703"/>
      <c r="EN6" s="704"/>
      <c r="EO6" s="705"/>
      <c r="EP6" s="705"/>
    </row>
    <row r="7" spans="1:147" ht="35" customHeight="1">
      <c r="A7" s="99">
        <f>_xlfn.XLOOKUP(R7,'MOPFRA Ranking'!$E$6:$E$55,'MOPFRA Ranking'!$AE$6:$AE$55)</f>
        <v>48.716544797266323</v>
      </c>
      <c r="B7" s="99">
        <f t="shared" ref="B7:B38" si="1">IFERROR(AV7+BM7+BX7+CE7+CG7+CI7+BK7+DB7+DO7+DS7,"")</f>
        <v>38.716544797266323</v>
      </c>
      <c r="C7" s="1585">
        <f t="shared" ref="C7:C38" ca="1" si="2">((((CL7*10000000000)/AL7)+CC7*0.8)/W7)/((AI7+DX7)/365)</f>
        <v>0.22868086834527063</v>
      </c>
      <c r="D7" s="2378">
        <f t="shared" ref="D7:D38" si="3">(CD7-BW7)</f>
        <v>1.9271081268398715</v>
      </c>
      <c r="E7" s="1414">
        <f t="shared" ref="E7:E38" si="4">IF(OR(AY7=AZ7, AY7=""), (AZ7-BB7), (AY7-AZ7))*100</f>
        <v>41.2</v>
      </c>
      <c r="F7" s="1415">
        <f t="shared" ref="F7:F38" si="5">IF(OR(BD7=BE7, BD7=""), (BE7-BG7), (BD7-BE7))*100</f>
        <v>39.800000000000004</v>
      </c>
      <c r="G7" s="2124" cm="1">
        <f t="array" ref="G7">IFERROR(_xlfn.XLOOKUP(R7,'Sales Rec'!$E$37:$E$91,'Sales Rec'!$CU$37:$CU$91*100,""),"")</f>
        <v>14.207893686721052</v>
      </c>
      <c r="H7" s="2313">
        <f>_xlfn.XLOOKUP(R7,'Sales Rec'!$E$37:$E$86,'Sales Rec'!$DQ$37:$DQ$86,"")</f>
        <v>1.0879478827361564</v>
      </c>
      <c r="I7" s="2312">
        <f>_xlfn.XLOOKUP(R7,'Sales History'!$C$4:$C$83,'Sales History'!$AS$4:$AS$83,"")</f>
        <v>-0.1614487415592388</v>
      </c>
      <c r="J7" s="2313">
        <f>_xlfn.XLOOKUP(R7,'Sales History'!$C$4:$C$83,'Sales History'!$AW$4:$AW$83,"")</f>
        <v>0.2417096536477524</v>
      </c>
      <c r="K7" s="1942">
        <f>_xlfn.XLOOKUP(R7,'Sales Rec'!$E$4:$E$91,'Sales Rec'!$CV$4:$CV$91,"")</f>
        <v>20</v>
      </c>
      <c r="L7" s="1587">
        <f>_xlfn.XLOOKUP(R7,'MOPFRA Ranking'!$E$6:$E$55,'MOPFRA Ranking'!$AG$6:$AG$55,"")</f>
        <v>1</v>
      </c>
      <c r="M7" s="1582" t="str">
        <f>_xlfn.XLOOKUP(R7,'Sales Rec'!$E$4:$E$105,'Sales Rec'!$DS$4:$DS$105,"")</f>
        <v>BB</v>
      </c>
      <c r="N7" s="1582" t="str">
        <f>_xlfn.XLOOKUP(R7,'Sales Rec'!$E$4:$E$105,'Sales Rec'!$DZ$4:$DZ$105,"")</f>
        <v>BB</v>
      </c>
      <c r="O7" s="2365" t="str">
        <f>_xlfn.XLOOKUP($R7,'History Records'!$B$7:$B$88,'History Records'!$G$7:$G$88,"")</f>
        <v/>
      </c>
      <c r="P7" s="856" t="s">
        <v>458</v>
      </c>
      <c r="Q7" s="2364" t="s">
        <v>114</v>
      </c>
      <c r="R7" s="1571" t="s">
        <v>115</v>
      </c>
      <c r="S7" s="1929">
        <v>12</v>
      </c>
      <c r="T7" s="66">
        <f t="shared" ref="T7:T38" si="6">(W7*AL7)/10000000000</f>
        <v>5800</v>
      </c>
      <c r="U7" s="2386">
        <f>_xlfn.XLOOKUP($R7,'Price Record'!$C$6:$C$100,'Price Record'!H$6:H$100,"")</f>
        <v>4640</v>
      </c>
      <c r="V7" s="338">
        <f>_xlfn.XLOOKUP(R7,'دیده بان بازار'!$A$3:$A$3542,'دیده بان بازار'!$M$3:$M$3542,"")</f>
        <v>2.88</v>
      </c>
      <c r="W7" s="2386">
        <f>_xlfn.XLOOKUP($R7,'Price Record'!$C$6:$C$100,'Price Record'!G$6:G$100,"")</f>
        <v>4640</v>
      </c>
      <c r="X7" s="337">
        <f>_xlfn.XLOOKUP(R7,'دیده بان بازار'!$A$3:$A$3542,'دیده بان بازار'!$J$3:$J$3542,"")</f>
        <v>2.88</v>
      </c>
      <c r="Y7" s="1708">
        <f t="shared" ref="Y7:Y38" si="7">T7+CZ7-DL7-DP7</f>
        <v>7161</v>
      </c>
      <c r="Z7" s="661" t="str">
        <f t="shared" ref="Z7:Z37" si="8">IFERROR(IF(V7-X7&lt;-1.5,"B",IF(V7-X7&gt;1.5,"S","")),"")</f>
        <v/>
      </c>
      <c r="AA7" s="822">
        <f t="shared" ref="AA7:AA38" si="9">IFERROR((T7-EN7)/EN7,0)</f>
        <v>0.29233511586452765</v>
      </c>
      <c r="AB7" s="511">
        <f t="shared" ref="AB7:AB38" ca="1" si="10">((365-AI7)/365)*$AB$2</f>
        <v>3.9452054794520547E-2</v>
      </c>
      <c r="AC7" s="2194">
        <f t="shared" ref="AC7:AC38" ca="1" si="11">IFERROR(((AB7-AA7)*10000)/(365-AI7),"")</f>
        <v>-158.05191316875445</v>
      </c>
      <c r="AD7" s="1150">
        <f t="shared" ref="AD7:AD38" si="12">IFERROR(($T7-EL7)/EL7,"")</f>
        <v>0.29233511586452765</v>
      </c>
      <c r="AE7" s="1150">
        <f t="shared" ref="AE7:AE38" si="13">IFERROR((T7-EJ7)/EJ7,"")</f>
        <v>1.1722846441947565</v>
      </c>
      <c r="AF7" s="1150">
        <f t="shared" ref="AF7:AF38" si="14">IFERROR((T7-EH7)/EH7,"")</f>
        <v>0.69789227166276346</v>
      </c>
      <c r="AG7" s="1150">
        <f t="shared" ref="AG7:AG38" si="15">IFERROR((T7-EF7)/EF7,"")</f>
        <v>1.0458553791887126</v>
      </c>
      <c r="AH7" s="1150">
        <f t="shared" ref="AH7:AH38" si="16">IFERROR((T7-ED7)/ED7,"")</f>
        <v>1.9160382101558573</v>
      </c>
      <c r="AI7" s="275">
        <f t="shared" ref="AI7:AI38" ca="1" si="17">IF((AJ7-TODAY())&gt;0,AJ7-TODAY(),(365-(TODAY()-AJ7)))</f>
        <v>349</v>
      </c>
      <c r="AJ7" s="1121">
        <v>46223</v>
      </c>
      <c r="AK7" s="1116">
        <v>46341</v>
      </c>
      <c r="AL7" s="1345">
        <f t="shared" ref="AL7:AL38" si="18">CK7*10000000</f>
        <v>12500000000</v>
      </c>
      <c r="AM7" s="29"/>
      <c r="AN7" s="29"/>
      <c r="AO7" s="685">
        <v>0.31730000000000003</v>
      </c>
      <c r="AP7" s="174"/>
      <c r="AQ7" s="1925">
        <v>4747</v>
      </c>
      <c r="AR7" s="1925">
        <v>1034</v>
      </c>
      <c r="AS7" s="766">
        <f>_xlfn.XLOOKUP(R7,'Sales Rec'!$E$4:$E$86,'Sales Rec'!$X$4:$X$86,"")</f>
        <v>7835.2442996742675</v>
      </c>
      <c r="AT7" s="984">
        <f>_xlfn.XLOOKUP(R7,'Sales Rec'!$E$4:$E$86,'Sales Rec'!$K$4:$K$86,"")</f>
        <v>4</v>
      </c>
      <c r="AU7" s="376">
        <f t="shared" ref="AU7:AU38" si="19">(T7-(CP7*CD7))/AS7</f>
        <v>0.73049413408053476</v>
      </c>
      <c r="AV7" s="99">
        <f t="shared" ref="AV7:AV38" si="20">MIN(MAX((_xlfn.XLOOKUP($P7,$U$63:$BD$63,$U$64:$BD$64, "")-$AU7)*$S$64, -10), 10)</f>
        <v>0.10055638227274954</v>
      </c>
      <c r="AW7" s="16">
        <v>1366</v>
      </c>
      <c r="AX7" s="16">
        <v>703</v>
      </c>
      <c r="AY7" s="1421">
        <f t="shared" ref="AY7:AY38" si="21">ROUND(AX7/AW7,3)</f>
        <v>0.51500000000000001</v>
      </c>
      <c r="AZ7" s="1419">
        <v>0.10299999999999999</v>
      </c>
      <c r="BA7" s="1689">
        <v>0.218</v>
      </c>
      <c r="BB7" s="1690">
        <v>0.184</v>
      </c>
      <c r="BC7" s="100">
        <f t="shared" ref="BC7:BC16" si="22">IF(BD7=0,0,MIN(MAX(IF(BD7=BE7,BD7-BG7,BD7-BE7)*$S$65, -10), 10))</f>
        <v>10</v>
      </c>
      <c r="BD7" s="1420">
        <f t="shared" ref="BD7:BD38" si="23">IF(CO7=0,BF7,ROUND((CO7-CN7)/AW7,3))</f>
        <v>0.44800000000000001</v>
      </c>
      <c r="BE7" s="1419">
        <v>0.05</v>
      </c>
      <c r="BF7" s="1687">
        <v>0.183</v>
      </c>
      <c r="BG7" s="1688">
        <v>0.14099999999999999</v>
      </c>
      <c r="BH7" s="306">
        <f t="shared" ref="BH7:BH38" si="24">AY7-BD7</f>
        <v>6.7000000000000004E-2</v>
      </c>
      <c r="BI7" s="1861">
        <f t="shared" ref="BI7:BI38" si="25">IFERROR(BH7*AW7*(4/BP7),"")</f>
        <v>366.08800000000002</v>
      </c>
      <c r="BJ7" s="306">
        <f t="shared" ref="BJ7:BJ38" si="26">AZ7-BE7</f>
        <v>5.2999999999999992E-2</v>
      </c>
      <c r="BK7" s="99">
        <v>0</v>
      </c>
      <c r="BL7" s="306">
        <f>_xlfn.XLOOKUP(R7,'Sales Rec'!$E$4:$E$91,'Sales Rec'!$Y$4:$Y$91,"")</f>
        <v>0.6505675794552912</v>
      </c>
      <c r="BM7" s="99">
        <f t="shared" ref="BM7:BM38" si="27">IFERROR(MIN(MAX((BL7-AA7)*$S$66,-10),10),0)</f>
        <v>10</v>
      </c>
      <c r="BN7" s="15"/>
      <c r="BO7" s="1803">
        <v>3</v>
      </c>
      <c r="BP7" s="842">
        <f t="shared" ref="BP7:BP38" si="28">IF((BO7-S7+12)/3&gt;4,(BO7-S7+12)/3-4, (BO7-S7+12)/3)</f>
        <v>1</v>
      </c>
      <c r="BQ7" s="16">
        <v>502</v>
      </c>
      <c r="BR7" s="16"/>
      <c r="BS7" s="16"/>
      <c r="BT7" s="1253">
        <f>(_xlfn.XLOOKUP(R7,'Sales Rec'!$E$37:$E$91,'Sales Rec'!$X$37:$X$91)*BD7+CM7)*1000/CK7</f>
        <v>2876.1515570032575</v>
      </c>
      <c r="BU7" s="1246">
        <f t="shared" ref="BU7:BU38" si="29">IF((CO7/CK7)*1000*(12/(12-(S7-BO7)))=0,CC7,IF(S7-BO7&gt;=0,((CQ7/CK7)*1000*(12/(12-(S7-BO7)))),((CQ7/CK7)*1000*(12/(BO7-S7)))))</f>
        <v>2026.4</v>
      </c>
      <c r="BV7" s="406"/>
      <c r="BW7" s="407">
        <f t="shared" ref="BW7:BW38" si="30">IF(CO7=0,W7/BU7,(W7*2)/(BT7+BU7))</f>
        <v>1.8928918731601283</v>
      </c>
      <c r="BX7" s="99">
        <f t="shared" ref="BX7:BX38" si="31">MIN(MAX(IF(BW7&lt;0,-20, IF(BW7&gt;50, -20,($R$67-BW7)*$S$67)), -10), 10)</f>
        <v>10</v>
      </c>
      <c r="BY7" s="18">
        <f t="shared" ref="BY7:BY38" si="32">IFERROR(T7/BW7,"")</f>
        <v>3064.0947231270361</v>
      </c>
      <c r="BZ7" s="18">
        <f t="shared" ref="BZ7:BZ38" si="33">T7/CD7</f>
        <v>1518.324607329843</v>
      </c>
      <c r="CA7" s="18">
        <f t="shared" ref="CA7:CA38" si="34">AS7*AY7</f>
        <v>4035.150814332248</v>
      </c>
      <c r="CB7" s="1710">
        <f t="shared" ref="CB7:CB38" si="35">Y7/CA7</f>
        <v>1.774654859135675</v>
      </c>
      <c r="CC7" s="266">
        <f>_xlfn.XLOOKUP($R7,'Price Record'!$C$6:$C$100,'Price Record'!I$6:I$100,"")</f>
        <v>1216</v>
      </c>
      <c r="CD7" s="267">
        <f>_xlfn.XLOOKUP($R7,'Price Record'!$C$6:$C$100,'Price Record'!J$6:J$100,"")</f>
        <v>3.82</v>
      </c>
      <c r="CE7" s="99">
        <f t="shared" ref="CE7:CE38" si="36">MIN(MAX(IF(CD7&lt;0,-20, IF(CD7&gt;50, -20,($R$68-CD7)*$S$68)), -10), 10)</f>
        <v>3.5400000000000005</v>
      </c>
      <c r="CF7" s="17">
        <f t="shared" ref="CF7:CF38" si="37">CZ7/BY7</f>
        <v>0.50487995306529632</v>
      </c>
      <c r="CG7" s="99">
        <f t="shared" ref="CG7:CG38" si="38">MIN(MAX(($R$69-CF7)*$S$69, -10), 10)</f>
        <v>5.9804801877388147</v>
      </c>
      <c r="CH7" s="494">
        <f t="shared" ref="CH7:CH38" si="39">BY7/(CV7+DH7)</f>
        <v>0.49056911993708552</v>
      </c>
      <c r="CI7" s="99">
        <f t="shared" ref="CI7:CI38" si="40">MIN(MAX((CH7-$R$70)*$S$70, -10), 10)</f>
        <v>1.3585367990562824</v>
      </c>
      <c r="CJ7" s="20"/>
      <c r="CK7" s="691">
        <v>1250</v>
      </c>
      <c r="CL7" s="419">
        <v>481</v>
      </c>
      <c r="CM7" s="468">
        <v>85</v>
      </c>
      <c r="CN7" s="843">
        <v>15</v>
      </c>
      <c r="CO7" s="21">
        <v>627</v>
      </c>
      <c r="CP7" s="21">
        <v>20</v>
      </c>
      <c r="CQ7" s="469">
        <f t="shared" ref="CQ7:CQ38" si="41">IF(AND(CN7&gt;0, CM7&gt;(CN7/(BP7/4))), CO7+CM7*BP7/4-CN7, CO7)</f>
        <v>633.25</v>
      </c>
      <c r="CR7" s="1239">
        <f>(AS7*BD7)*(_xlfn.XLOOKUP($R7,'Sales Rec'!$E$37:$E$91,'Sales Rec'!$L$37:$L$91,"")/12)+CP7</f>
        <v>1190.0631487513572</v>
      </c>
      <c r="CS7" s="21">
        <v>1108</v>
      </c>
      <c r="CT7" s="16">
        <v>-4</v>
      </c>
      <c r="CU7" s="2240" t="str">
        <f t="shared" ref="CU7:CU38" si="42">_xlfn.TEXTJOIN(", ",TRUE,
    IF(CV7/(CK7*1.1+CS7+CT7)&lt;=0.975,"Check EQ",""),
    IF(CS7&lt;&gt;(CO7+CL7),"Check RE","")
)</f>
        <v/>
      </c>
      <c r="CV7" s="693">
        <f t="shared" ref="CV7:CV38" si="43">DC7-CZ7</f>
        <v>2460</v>
      </c>
      <c r="CW7" s="49">
        <v>1378</v>
      </c>
      <c r="CX7" s="21">
        <v>304</v>
      </c>
      <c r="CY7" s="49">
        <v>169</v>
      </c>
      <c r="CZ7" s="53">
        <f t="shared" ref="CZ7:CZ38" si="44">CW7+CY7</f>
        <v>1547</v>
      </c>
      <c r="DA7" s="1058">
        <f t="shared" ref="DA7:DA38" si="45">DH7/CW7</f>
        <v>2.7474600870827284</v>
      </c>
      <c r="DB7" s="99">
        <f t="shared" ref="DB7:DB38" si="46">MIN(MAX((DA7-$R$72)*$S$72, -6), 6)</f>
        <v>6</v>
      </c>
      <c r="DC7" s="53">
        <f t="shared" ref="DC7:DC38" si="47">DE7+DH7</f>
        <v>4007</v>
      </c>
      <c r="DD7" s="645">
        <f t="shared" ref="DD7:DD38" si="48">(CZ7/DC7)</f>
        <v>0.38607436985275767</v>
      </c>
      <c r="DE7" s="13">
        <v>221</v>
      </c>
      <c r="DF7" s="24">
        <v>106</v>
      </c>
      <c r="DG7" s="24">
        <v>103</v>
      </c>
      <c r="DH7" s="51">
        <v>3786</v>
      </c>
      <c r="DI7" s="8">
        <f>DH7-CW7</f>
        <v>2408</v>
      </c>
      <c r="DJ7" s="644">
        <f t="shared" ref="DJ7:DJ38" si="49">AS7/DI7</f>
        <v>3.2538389948813404</v>
      </c>
      <c r="DK7" s="22">
        <v>2278</v>
      </c>
      <c r="DL7" s="22">
        <v>158</v>
      </c>
      <c r="DM7" s="22">
        <v>999</v>
      </c>
      <c r="DN7" s="138">
        <f t="shared" ref="DN7:DN38" si="50">CZ7/DC7</f>
        <v>0.38607436985275767</v>
      </c>
      <c r="DO7" s="99">
        <f t="shared" ref="DO7:DO38" si="51">MIN(MAX((_xlfn.XLOOKUP($P7,$U$63:$AP$63,$U$73:$AP$73, "")-$DN7)*$S$73, -6), 6)</f>
        <v>1.7369714281984772</v>
      </c>
      <c r="DP7" s="22">
        <v>28</v>
      </c>
      <c r="DQ7" s="8">
        <f t="shared" ref="DQ7:DQ38" si="52">DH7-DK7-DL7-DP7-DM7</f>
        <v>323</v>
      </c>
      <c r="DR7" s="138">
        <f t="shared" ref="DR7:DR38" si="53">(DP7-CX7)/CA7</f>
        <v>-6.8398930473599545E-2</v>
      </c>
      <c r="DS7" s="99">
        <f t="shared" ref="DS7:DS38" si="54">MIN(MAX(ROUNDDOWN(DR7*5,0),-10),5)</f>
        <v>0</v>
      </c>
      <c r="DT7" s="8">
        <f t="shared" ref="DT7:DT38" si="55">($CC7/$R$62)*(IF(($S7+2-$R$61)&lt;0,(88-$S7-2+$R$61),(100-($S7+2-$R$61))))/100</f>
        <v>4426.24</v>
      </c>
      <c r="DU7" s="8">
        <f t="shared" ref="DU7:DU38" si="56">($BU7/$R$62)*(IF(($S7+2-$R$61)&lt;0,(88-$S7-2+$R$61),(100-($S7+3-$R$61))))/100</f>
        <v>7295.04</v>
      </c>
      <c r="DV7" s="235">
        <f t="shared" ref="DV7:DV38" si="57">((CS7-CO7)*10000000000)/AL7</f>
        <v>384.8</v>
      </c>
      <c r="DW7" s="8">
        <f t="shared" ref="DW7:DW38" si="58">(DT7+DU7+DV7)/2</f>
        <v>6053.0399999999991</v>
      </c>
      <c r="DX7" s="411">
        <f t="shared" ref="DX7:DX38" si="59">IFERROR((AK7-AJ7),230)</f>
        <v>118</v>
      </c>
      <c r="DY7" s="1117">
        <v>400</v>
      </c>
      <c r="DZ7" s="857">
        <f t="shared" ref="DZ7:DZ38" si="60">DY7/(DY7+EM7)</f>
        <v>0.10025062656641603</v>
      </c>
      <c r="EA7" s="386">
        <v>0.28000000000000003</v>
      </c>
      <c r="EB7" s="505"/>
      <c r="EC7" s="510">
        <v>15300</v>
      </c>
      <c r="ED7" s="435">
        <v>1989</v>
      </c>
      <c r="EE7" s="510">
        <v>7270</v>
      </c>
      <c r="EF7" s="435">
        <v>2835</v>
      </c>
      <c r="EG7" s="510">
        <v>8760</v>
      </c>
      <c r="EH7" s="435">
        <v>3416</v>
      </c>
      <c r="EI7" s="510">
        <v>2738</v>
      </c>
      <c r="EJ7" s="435">
        <v>2670</v>
      </c>
      <c r="EK7" s="510">
        <v>3590</v>
      </c>
      <c r="EL7" s="1606">
        <v>4488</v>
      </c>
      <c r="EM7" s="1224">
        <v>3590</v>
      </c>
      <c r="EN7" s="834">
        <v>4488</v>
      </c>
      <c r="EO7" s="835">
        <f>IFERROR((EN7-ED7)/ED7,"")</f>
        <v>1.2564102564102564</v>
      </c>
      <c r="EP7" s="1648">
        <f t="shared" ref="EP7:EP38" si="61">IFERROR(RANK(EO7,$EO$7:$EO$61),"NEW")</f>
        <v>19</v>
      </c>
      <c r="EQ7"/>
    </row>
    <row r="8" spans="1:147" ht="41" customHeight="1">
      <c r="A8" s="99">
        <f>_xlfn.XLOOKUP(R8,'MOPFRA Ranking'!$E$6:$E$55,'MOPFRA Ranking'!$AE$6:$AE$55)</f>
        <v>40.089609914804811</v>
      </c>
      <c r="B8" s="99">
        <f t="shared" si="1"/>
        <v>30.089609914804814</v>
      </c>
      <c r="C8" s="1585">
        <f t="shared" ca="1" si="2"/>
        <v>0.25905805870672405</v>
      </c>
      <c r="D8" s="2378">
        <f t="shared" si="3"/>
        <v>1.5725873191781234</v>
      </c>
      <c r="E8" s="1414">
        <f t="shared" si="4"/>
        <v>30.599999999999998</v>
      </c>
      <c r="F8" s="1415">
        <f t="shared" si="5"/>
        <v>23.6</v>
      </c>
      <c r="G8" s="2124" cm="1">
        <f t="array" ref="G8">IFERROR(_xlfn.XLOOKUP(R8,'Sales Rec'!$E$37:$E$91,'Sales Rec'!$CU$37:$CU$91*100,""),"")</f>
        <v>3.5106252739744992</v>
      </c>
      <c r="H8" s="2313">
        <f>_xlfn.XLOOKUP(R8,'Sales Rec'!$E$37:$E$86,'Sales Rec'!$DQ$37:$DQ$86,"")</f>
        <v>0.97280593325092712</v>
      </c>
      <c r="I8" s="2312">
        <f>_xlfn.XLOOKUP(R8,'Sales History'!$C$4:$C$83,'Sales History'!$AS$4:$AS$83,"")</f>
        <v>0.14487966021708354</v>
      </c>
      <c r="J8" s="2313">
        <f>_xlfn.XLOOKUP(R8,'Sales History'!$C$4:$C$83,'Sales History'!$AW$4:$AW$83,"")</f>
        <v>0.74136848713119896</v>
      </c>
      <c r="K8" s="1942">
        <f>_xlfn.XLOOKUP(R8,'Sales Rec'!$E$4:$E$91,'Sales Rec'!$CV$4:$CV$91,"")</f>
        <v>23</v>
      </c>
      <c r="L8" s="1587">
        <f>_xlfn.XLOOKUP(R8,'MOPFRA Ranking'!$E$6:$E$55,'MOPFRA Ranking'!$AG$6:$AG$55,"")</f>
        <v>2</v>
      </c>
      <c r="M8" s="1582" t="str">
        <f>_xlfn.XLOOKUP(R8,'Sales Rec'!$E$4:$E$105,'Sales Rec'!$DS$4:$DS$105,"")</f>
        <v>BB</v>
      </c>
      <c r="N8" s="1582" t="str">
        <f>_xlfn.XLOOKUP(R8,'Sales Rec'!$E$4:$E$105,'Sales Rec'!$DZ$4:$DZ$105,"")</f>
        <v>BB</v>
      </c>
      <c r="O8" s="2365" t="str">
        <f>_xlfn.XLOOKUP($R8,'History Records'!$B$7:$B$88,'History Records'!$G$7:$G$88,"")</f>
        <v/>
      </c>
      <c r="P8" s="856" t="s">
        <v>463</v>
      </c>
      <c r="Q8" s="2364" t="s">
        <v>138</v>
      </c>
      <c r="R8" s="1571" t="s">
        <v>139</v>
      </c>
      <c r="S8" s="1929">
        <v>12</v>
      </c>
      <c r="T8" s="66">
        <f t="shared" si="6"/>
        <v>11010</v>
      </c>
      <c r="U8" s="2386">
        <f>_xlfn.XLOOKUP($R8,'Price Record'!$C$6:$C$100,'Price Record'!H$6:H$100,"")</f>
        <v>11010</v>
      </c>
      <c r="V8" s="338">
        <f>_xlfn.XLOOKUP(R8,'دیده بان بازار'!$A$3:$A$3542,'دیده بان بازار'!$M$3:$M$3542,"")</f>
        <v>2.99</v>
      </c>
      <c r="W8" s="2386">
        <f>_xlfn.XLOOKUP($R8,'Price Record'!$C$6:$C$100,'Price Record'!G$6:G$100,"")</f>
        <v>11010</v>
      </c>
      <c r="X8" s="337">
        <f>_xlfn.XLOOKUP(R8,'دیده بان بازار'!$A$3:$A$3542,'دیده بان بازار'!$J$3:$J$3542,"")</f>
        <v>2.99</v>
      </c>
      <c r="Y8" s="1708">
        <f t="shared" si="7"/>
        <v>13443</v>
      </c>
      <c r="Z8" s="661" t="str">
        <f t="shared" si="8"/>
        <v/>
      </c>
      <c r="AA8" s="822">
        <f t="shared" si="9"/>
        <v>5.3588516746411484E-2</v>
      </c>
      <c r="AB8" s="511">
        <f t="shared" ca="1" si="10"/>
        <v>9.3698630136986302E-2</v>
      </c>
      <c r="AC8" s="2194">
        <f t="shared" ca="1" si="11"/>
        <v>10.555292997519688</v>
      </c>
      <c r="AD8" s="1150">
        <f t="shared" si="12"/>
        <v>5.3588516746411484E-2</v>
      </c>
      <c r="AE8" s="1150">
        <f t="shared" si="13"/>
        <v>0.22469410456062291</v>
      </c>
      <c r="AF8" s="1150">
        <f t="shared" si="14"/>
        <v>0.82043650793650791</v>
      </c>
      <c r="AG8" s="1150">
        <f t="shared" si="15"/>
        <v>0.31651321296185581</v>
      </c>
      <c r="AH8" s="1150">
        <f t="shared" si="16"/>
        <v>0.84576697401508805</v>
      </c>
      <c r="AI8" s="275">
        <f t="shared" ca="1" si="17"/>
        <v>327</v>
      </c>
      <c r="AJ8" s="1121">
        <v>46201</v>
      </c>
      <c r="AK8" s="1830">
        <v>46223</v>
      </c>
      <c r="AL8" s="1345">
        <f t="shared" si="18"/>
        <v>10000000000</v>
      </c>
      <c r="AM8" s="29"/>
      <c r="AN8" s="29"/>
      <c r="AO8" s="685">
        <v>0.18959999999999999</v>
      </c>
      <c r="AP8" s="174"/>
      <c r="AQ8" s="1928">
        <v>6843</v>
      </c>
      <c r="AR8" s="1928">
        <v>2746</v>
      </c>
      <c r="AS8" s="766">
        <f>_xlfn.XLOOKUP(R8,'Sales Rec'!$E$4:$E$86,'Sales Rec'!$X$4:$X$86,"")</f>
        <v>11248.205500618047</v>
      </c>
      <c r="AT8" s="984">
        <f>_xlfn.XLOOKUP(R8,'Sales Rec'!$E$4:$E$86,'Sales Rec'!$K$4:$K$86,"")</f>
        <v>4</v>
      </c>
      <c r="AU8" s="376">
        <f t="shared" si="19"/>
        <v>0.97882279972525765</v>
      </c>
      <c r="AV8" s="99">
        <f t="shared" si="20"/>
        <v>0</v>
      </c>
      <c r="AW8" s="16">
        <v>2426</v>
      </c>
      <c r="AX8" s="16">
        <v>1505</v>
      </c>
      <c r="AY8" s="1421">
        <f t="shared" si="21"/>
        <v>0.62</v>
      </c>
      <c r="AZ8" s="1419">
        <v>0.314</v>
      </c>
      <c r="BA8" s="1689">
        <v>0.40100000000000002</v>
      </c>
      <c r="BB8" s="1690">
        <v>0.35899999999999999</v>
      </c>
      <c r="BC8" s="100">
        <f t="shared" si="22"/>
        <v>10</v>
      </c>
      <c r="BD8" s="1420">
        <f t="shared" si="23"/>
        <v>0.45500000000000002</v>
      </c>
      <c r="BE8" s="1419">
        <v>0.219</v>
      </c>
      <c r="BF8" s="1687">
        <v>0.28499999999999998</v>
      </c>
      <c r="BG8" s="1688">
        <v>0.27200000000000002</v>
      </c>
      <c r="BH8" s="306">
        <f t="shared" si="24"/>
        <v>0.16499999999999998</v>
      </c>
      <c r="BI8" s="1861">
        <f t="shared" si="25"/>
        <v>1601.1599999999999</v>
      </c>
      <c r="BJ8" s="306">
        <f t="shared" si="26"/>
        <v>9.5000000000000001E-2</v>
      </c>
      <c r="BK8" s="99">
        <v>0</v>
      </c>
      <c r="BL8" s="306">
        <f>_xlfn.XLOOKUP(R8,'Sales Rec'!$E$4:$E$91,'Sales Rec'!$Y$4:$Y$91,"")</f>
        <v>0.6437535438576717</v>
      </c>
      <c r="BM8" s="99">
        <f t="shared" si="27"/>
        <v>10</v>
      </c>
      <c r="BN8" s="15"/>
      <c r="BO8" s="1803">
        <v>3</v>
      </c>
      <c r="BP8" s="842">
        <f t="shared" si="28"/>
        <v>1</v>
      </c>
      <c r="BQ8" s="16">
        <v>1157</v>
      </c>
      <c r="BR8" s="16"/>
      <c r="BS8" s="16"/>
      <c r="BT8" s="1253">
        <f>(_xlfn.XLOOKUP(R8,'Sales Rec'!$E$37:$E$91,'Sales Rec'!$X$37:$X$91)*BD8+CM8)*1000/CK8</f>
        <v>5169.9335027812112</v>
      </c>
      <c r="BU8" s="1246">
        <f t="shared" si="29"/>
        <v>4628</v>
      </c>
      <c r="BV8" s="406"/>
      <c r="BW8" s="407">
        <f t="shared" si="30"/>
        <v>2.2474126808218764</v>
      </c>
      <c r="BX8" s="99">
        <f t="shared" si="31"/>
        <v>10</v>
      </c>
      <c r="BY8" s="18">
        <f t="shared" si="32"/>
        <v>4898.9667513906061</v>
      </c>
      <c r="BZ8" s="18">
        <f t="shared" si="33"/>
        <v>2882.1989528795812</v>
      </c>
      <c r="CA8" s="18">
        <f t="shared" si="34"/>
        <v>6973.8874103831895</v>
      </c>
      <c r="CB8" s="1710">
        <f t="shared" si="35"/>
        <v>1.9276193045481582</v>
      </c>
      <c r="CC8" s="266">
        <f>_xlfn.XLOOKUP($R8,'Price Record'!$C$6:$C$100,'Price Record'!I$6:I$100,"")</f>
        <v>2884</v>
      </c>
      <c r="CD8" s="267">
        <f>_xlfn.XLOOKUP($R8,'Price Record'!$C$6:$C$100,'Price Record'!J$6:J$100,"")</f>
        <v>3.82</v>
      </c>
      <c r="CE8" s="99">
        <f t="shared" si="36"/>
        <v>3.5400000000000005</v>
      </c>
      <c r="CF8" s="17">
        <f t="shared" si="37"/>
        <v>1.0024562829715018</v>
      </c>
      <c r="CG8" s="99">
        <f t="shared" si="38"/>
        <v>3.9901748681139928</v>
      </c>
      <c r="CH8" s="494">
        <f t="shared" si="39"/>
        <v>0.52083422830008574</v>
      </c>
      <c r="CI8" s="99">
        <f t="shared" si="40"/>
        <v>1.8125134245012857</v>
      </c>
      <c r="CJ8" s="20"/>
      <c r="CK8" s="691">
        <v>1000</v>
      </c>
      <c r="CL8" s="419">
        <v>420</v>
      </c>
      <c r="CM8" s="468">
        <v>52</v>
      </c>
      <c r="CN8" s="843">
        <v>52</v>
      </c>
      <c r="CO8" s="21">
        <v>1157</v>
      </c>
      <c r="CP8" s="21"/>
      <c r="CQ8" s="469">
        <f t="shared" si="41"/>
        <v>1157</v>
      </c>
      <c r="CR8" s="1239">
        <f>(AS8*BD8)*(_xlfn.XLOOKUP($R8,'Sales Rec'!$E$37:$E$91,'Sales Rec'!$L$37:$L$91,"")/12)+CP8</f>
        <v>1705.9778342604036</v>
      </c>
      <c r="CS8" s="21">
        <v>1577</v>
      </c>
      <c r="CT8" s="16">
        <v>-39</v>
      </c>
      <c r="CU8" s="2240" t="str">
        <f t="shared" si="42"/>
        <v/>
      </c>
      <c r="CV8" s="693">
        <f t="shared" si="43"/>
        <v>2656</v>
      </c>
      <c r="CW8" s="49">
        <v>4759</v>
      </c>
      <c r="CX8" s="21">
        <v>1692</v>
      </c>
      <c r="CY8" s="49">
        <v>152</v>
      </c>
      <c r="CZ8" s="53">
        <f t="shared" si="44"/>
        <v>4911</v>
      </c>
      <c r="DA8" s="1058">
        <f t="shared" si="45"/>
        <v>1.4183652027736919</v>
      </c>
      <c r="DB8" s="99">
        <f t="shared" si="46"/>
        <v>1.7469216221895358</v>
      </c>
      <c r="DC8" s="53">
        <f t="shared" si="47"/>
        <v>7567</v>
      </c>
      <c r="DD8" s="645">
        <f t="shared" si="48"/>
        <v>0.64900224659706618</v>
      </c>
      <c r="DE8" s="13">
        <v>817</v>
      </c>
      <c r="DF8" s="24">
        <v>550</v>
      </c>
      <c r="DG8" s="24">
        <v>153</v>
      </c>
      <c r="DH8" s="51">
        <v>6750</v>
      </c>
      <c r="DI8" s="8">
        <f>DH8-CW8</f>
        <v>1991</v>
      </c>
      <c r="DJ8" s="644">
        <f t="shared" si="49"/>
        <v>5.6495256155791296</v>
      </c>
      <c r="DK8" s="22">
        <v>2188</v>
      </c>
      <c r="DL8" s="22">
        <v>2458</v>
      </c>
      <c r="DM8" s="22">
        <v>1577</v>
      </c>
      <c r="DN8" s="138">
        <f t="shared" si="50"/>
        <v>0.64900224659706618</v>
      </c>
      <c r="DO8" s="99">
        <f t="shared" si="51"/>
        <v>0</v>
      </c>
      <c r="DP8" s="22">
        <v>20</v>
      </c>
      <c r="DQ8" s="8">
        <f t="shared" si="52"/>
        <v>507</v>
      </c>
      <c r="DR8" s="138">
        <f t="shared" si="53"/>
        <v>-0.23975150466447376</v>
      </c>
      <c r="DS8" s="99">
        <f t="shared" si="54"/>
        <v>-1</v>
      </c>
      <c r="DT8" s="8">
        <f t="shared" si="55"/>
        <v>10497.76</v>
      </c>
      <c r="DU8" s="8">
        <f t="shared" si="56"/>
        <v>16660.8</v>
      </c>
      <c r="DV8" s="235">
        <f t="shared" si="57"/>
        <v>420</v>
      </c>
      <c r="DW8" s="8">
        <f t="shared" si="58"/>
        <v>13789.279999999999</v>
      </c>
      <c r="DX8" s="411">
        <f t="shared" si="59"/>
        <v>22</v>
      </c>
      <c r="DY8" s="1117">
        <v>1600</v>
      </c>
      <c r="DZ8" s="857">
        <f t="shared" si="60"/>
        <v>0.13278008298755187</v>
      </c>
      <c r="EA8" s="386">
        <v>0.53800000000000003</v>
      </c>
      <c r="EB8" s="504"/>
      <c r="EC8" s="510">
        <v>119300</v>
      </c>
      <c r="ED8" s="435">
        <v>5965</v>
      </c>
      <c r="EE8" s="510">
        <v>33452</v>
      </c>
      <c r="EF8" s="435">
        <v>8363</v>
      </c>
      <c r="EG8" s="510">
        <v>13440</v>
      </c>
      <c r="EH8" s="435">
        <v>6048</v>
      </c>
      <c r="EI8" s="510">
        <v>13830</v>
      </c>
      <c r="EJ8" s="435">
        <v>8990</v>
      </c>
      <c r="EK8" s="510">
        <v>10450</v>
      </c>
      <c r="EL8" s="1606">
        <v>10450</v>
      </c>
      <c r="EM8" s="1224">
        <v>10450</v>
      </c>
      <c r="EN8" s="834">
        <v>10450</v>
      </c>
      <c r="EO8" s="835">
        <f>IFERROR((EN8-ED8)/ED8,"")</f>
        <v>0.75188600167644593</v>
      </c>
      <c r="EP8" s="1648">
        <f t="shared" si="61"/>
        <v>25</v>
      </c>
      <c r="EQ8"/>
    </row>
    <row r="9" spans="1:147" ht="35" customHeight="1">
      <c r="A9" s="99">
        <f>_xlfn.XLOOKUP(R9,'MOPFRA Ranking'!$E$6:$E$55,'MOPFRA Ranking'!$AE$6:$AE$55)</f>
        <v>34.139725881635457</v>
      </c>
      <c r="B9" s="99">
        <f t="shared" si="1"/>
        <v>27.339725881635459</v>
      </c>
      <c r="C9" s="1585">
        <f t="shared" ca="1" si="2"/>
        <v>0.19981205591926948</v>
      </c>
      <c r="D9" s="2378">
        <f t="shared" si="3"/>
        <v>2.3135843858887504</v>
      </c>
      <c r="E9" s="1414">
        <f t="shared" si="4"/>
        <v>3.6000000000000005</v>
      </c>
      <c r="F9" s="1415">
        <f t="shared" si="5"/>
        <v>6.8000000000000007</v>
      </c>
      <c r="G9" s="2124" cm="1">
        <f t="array" ref="G9">IFERROR(_xlfn.XLOOKUP(R9,'Sales Rec'!$E$37:$E$91,'Sales Rec'!$CU$37:$CU$91*100,""),"")</f>
        <v>51.283642346555382</v>
      </c>
      <c r="H9" s="2313">
        <f>_xlfn.XLOOKUP(R9,'Sales Rec'!$E$37:$E$86,'Sales Rec'!$DQ$37:$DQ$86,"")</f>
        <v>1.7849692202462379</v>
      </c>
      <c r="I9" s="2312">
        <f>_xlfn.XLOOKUP(R9,'Sales History'!$C$4:$C$83,'Sales History'!$AS$4:$AS$83,"")</f>
        <v>0.40550127574833528</v>
      </c>
      <c r="J9" s="2313">
        <f>_xlfn.XLOOKUP(R9,'Sales History'!$C$4:$C$83,'Sales History'!$AW$4:$AW$83,"")</f>
        <v>1.0009539384028345</v>
      </c>
      <c r="K9" s="1942">
        <f>_xlfn.XLOOKUP(R9,'Sales Rec'!$E$4:$E$91,'Sales Rec'!$CV$4:$CV$91,"")</f>
        <v>8</v>
      </c>
      <c r="L9" s="1587">
        <f>_xlfn.XLOOKUP(R9,'MOPFRA Ranking'!$E$6:$E$55,'MOPFRA Ranking'!$AG$6:$AG$55,"")</f>
        <v>5</v>
      </c>
      <c r="M9" s="1582" t="str">
        <f>_xlfn.XLOOKUP(R9,'Sales Rec'!$E$4:$E$105,'Sales Rec'!$DS$4:$DS$105,"")</f>
        <v>BB</v>
      </c>
      <c r="N9" s="1582" t="str">
        <f>_xlfn.XLOOKUP(R9,'Sales Rec'!$E$4:$E$105,'Sales Rec'!$DZ$4:$DZ$105,"")</f>
        <v>BB</v>
      </c>
      <c r="O9" s="2365" t="str">
        <f>_xlfn.XLOOKUP($R9,'History Records'!$B$7:$B$88,'History Records'!$G$7:$G$88,"")</f>
        <v/>
      </c>
      <c r="P9" s="856" t="s">
        <v>471</v>
      </c>
      <c r="Q9" s="2364" t="s">
        <v>148</v>
      </c>
      <c r="R9" s="1571" t="s">
        <v>149</v>
      </c>
      <c r="S9" s="1929">
        <v>12</v>
      </c>
      <c r="T9" s="66">
        <f t="shared" si="6"/>
        <v>33354</v>
      </c>
      <c r="U9" s="2386">
        <f>_xlfn.XLOOKUP($R9,'Price Record'!$C$6:$C$100,'Price Record'!H$6:H$100,"")</f>
        <v>19620</v>
      </c>
      <c r="V9" s="338">
        <f>_xlfn.XLOOKUP(R9,'دیده بان بازار'!$A$3:$A$3542,'دیده بان بازار'!$M$3:$M$3542,"")</f>
        <v>2.99</v>
      </c>
      <c r="W9" s="2386">
        <f>_xlfn.XLOOKUP($R9,'Price Record'!$C$6:$C$100,'Price Record'!G$6:G$100,"")</f>
        <v>19620</v>
      </c>
      <c r="X9" s="337">
        <f>_xlfn.XLOOKUP(R9,'دیده بان بازار'!$A$3:$A$3542,'دیده بان بازار'!$J$3:$J$3542,"")</f>
        <v>2.99</v>
      </c>
      <c r="Y9" s="1708">
        <f t="shared" si="7"/>
        <v>57043</v>
      </c>
      <c r="Z9" s="661" t="str">
        <f t="shared" si="8"/>
        <v/>
      </c>
      <c r="AA9" s="822">
        <f t="shared" si="9"/>
        <v>0.54245283018867929</v>
      </c>
      <c r="AB9" s="511">
        <f t="shared" ca="1" si="10"/>
        <v>4.9315068493150684E-2</v>
      </c>
      <c r="AC9" s="2194">
        <f t="shared" ca="1" si="11"/>
        <v>-246.56888084776429</v>
      </c>
      <c r="AD9" s="1150">
        <f t="shared" si="12"/>
        <v>0.54245283018867929</v>
      </c>
      <c r="AE9" s="1150">
        <f t="shared" si="13"/>
        <v>1.4073619631901841</v>
      </c>
      <c r="AF9" s="1150">
        <f t="shared" si="14"/>
        <v>0.53478741027056875</v>
      </c>
      <c r="AG9" s="1150">
        <f t="shared" si="15"/>
        <v>4.9263873159682899E-2</v>
      </c>
      <c r="AH9" s="1150">
        <f t="shared" si="16"/>
        <v>5.9462550028587767E-2</v>
      </c>
      <c r="AI9" s="275">
        <f t="shared" ca="1" si="17"/>
        <v>345</v>
      </c>
      <c r="AJ9" s="1121">
        <v>46219</v>
      </c>
      <c r="AK9" s="1116">
        <v>46270</v>
      </c>
      <c r="AL9" s="1345">
        <f t="shared" si="18"/>
        <v>17000000000</v>
      </c>
      <c r="AM9" s="29"/>
      <c r="AN9" s="29"/>
      <c r="AO9" s="685">
        <v>0.16</v>
      </c>
      <c r="AP9" s="174"/>
      <c r="AQ9" s="1925">
        <v>48825</v>
      </c>
      <c r="AR9" s="1925">
        <v>3036</v>
      </c>
      <c r="AS9" s="766">
        <f>_xlfn.XLOOKUP(R9,'Sales Rec'!$E$4:$E$86,'Sales Rec'!$X$4:$X$86,"")</f>
        <v>109843.31108926129</v>
      </c>
      <c r="AT9" s="984">
        <f>_xlfn.XLOOKUP(R9,'Sales Rec'!$E$4:$E$86,'Sales Rec'!$K$4:$K$86,"")</f>
        <v>4</v>
      </c>
      <c r="AU9" s="376">
        <f t="shared" si="19"/>
        <v>0.30471231855712166</v>
      </c>
      <c r="AV9" s="99">
        <f t="shared" si="20"/>
        <v>10</v>
      </c>
      <c r="AW9" s="16">
        <v>48825</v>
      </c>
      <c r="AX9" s="16">
        <v>3036</v>
      </c>
      <c r="AY9" s="1421">
        <f t="shared" si="21"/>
        <v>6.2E-2</v>
      </c>
      <c r="AZ9" s="1419">
        <v>2.5999999999999999E-2</v>
      </c>
      <c r="BA9" s="1689">
        <v>6.2E-2</v>
      </c>
      <c r="BB9" s="1690">
        <v>0.01</v>
      </c>
      <c r="BC9" s="100">
        <f t="shared" si="22"/>
        <v>6.8000000000000007</v>
      </c>
      <c r="BD9" s="1420">
        <f t="shared" si="23"/>
        <v>8.3000000000000004E-2</v>
      </c>
      <c r="BE9" s="1419">
        <v>1.4999999999999999E-2</v>
      </c>
      <c r="BF9" s="1687">
        <v>5.1999999999999998E-2</v>
      </c>
      <c r="BG9" s="1688">
        <v>5.0000000000000001E-3</v>
      </c>
      <c r="BH9" s="306">
        <f t="shared" si="24"/>
        <v>-2.1000000000000005E-2</v>
      </c>
      <c r="BI9" s="1861">
        <f t="shared" si="25"/>
        <v>-4101.3000000000011</v>
      </c>
      <c r="BJ9" s="306">
        <f t="shared" si="26"/>
        <v>1.0999999999999999E-2</v>
      </c>
      <c r="BK9" s="99">
        <v>0</v>
      </c>
      <c r="BL9" s="306">
        <f>_xlfn.XLOOKUP(R9,'Sales Rec'!$E$4:$E$91,'Sales Rec'!$Y$4:$Y$91,"")</f>
        <v>1.2497349941476967</v>
      </c>
      <c r="BM9" s="99">
        <f t="shared" si="27"/>
        <v>10</v>
      </c>
      <c r="BN9" s="15"/>
      <c r="BO9" s="1803">
        <v>3</v>
      </c>
      <c r="BP9" s="842">
        <f t="shared" si="28"/>
        <v>1</v>
      </c>
      <c r="BQ9" s="16">
        <v>2092</v>
      </c>
      <c r="BR9" s="16"/>
      <c r="BS9" s="16"/>
      <c r="BT9" s="1253">
        <f>(_xlfn.XLOOKUP(R9,'Sales Rec'!$E$37:$E$91,'Sales Rec'!$X$37:$X$91)*BD9+CM9)*1000/CK9</f>
        <v>5866.4675414168751</v>
      </c>
      <c r="BU9" s="1246">
        <f t="shared" si="29"/>
        <v>8369.4117647058829</v>
      </c>
      <c r="BV9" s="406"/>
      <c r="BW9" s="407">
        <f t="shared" si="30"/>
        <v>2.7564156141112499</v>
      </c>
      <c r="BX9" s="99">
        <f t="shared" si="31"/>
        <v>10</v>
      </c>
      <c r="BY9" s="18">
        <f t="shared" si="32"/>
        <v>12100.497410204345</v>
      </c>
      <c r="BZ9" s="18">
        <f t="shared" si="33"/>
        <v>6578.6982248520708</v>
      </c>
      <c r="CA9" s="18">
        <f t="shared" si="34"/>
        <v>6810.2852875341996</v>
      </c>
      <c r="CB9" s="1710">
        <f t="shared" si="35"/>
        <v>8.3760074052130591</v>
      </c>
      <c r="CC9" s="266">
        <f>_xlfn.XLOOKUP($R9,'Price Record'!$C$6:$C$100,'Price Record'!I$6:I$100,"")</f>
        <v>3871</v>
      </c>
      <c r="CD9" s="267">
        <f>_xlfn.XLOOKUP($R9,'Price Record'!$C$6:$C$100,'Price Record'!J$6:J$100,"")</f>
        <v>5.07</v>
      </c>
      <c r="CE9" s="99">
        <f t="shared" si="36"/>
        <v>-0.21000000000000085</v>
      </c>
      <c r="CF9" s="17">
        <f t="shared" si="37"/>
        <v>2.3511430179728086</v>
      </c>
      <c r="CG9" s="99">
        <f t="shared" si="38"/>
        <v>-1.4045720718912342</v>
      </c>
      <c r="CH9" s="494">
        <f t="shared" si="39"/>
        <v>0.32135167733911418</v>
      </c>
      <c r="CI9" s="99">
        <f t="shared" si="40"/>
        <v>-1.1797248399132876</v>
      </c>
      <c r="CJ9" s="20"/>
      <c r="CK9" s="691">
        <v>1700</v>
      </c>
      <c r="CL9" s="419">
        <v>1966</v>
      </c>
      <c r="CM9" s="468">
        <v>856</v>
      </c>
      <c r="CN9" s="843">
        <v>-515</v>
      </c>
      <c r="CO9" s="21">
        <v>3557</v>
      </c>
      <c r="CP9" s="21">
        <v>-23</v>
      </c>
      <c r="CQ9" s="469">
        <f t="shared" si="41"/>
        <v>3557</v>
      </c>
      <c r="CR9" s="1239">
        <f>(AS9*BD9)*(_xlfn.XLOOKUP($R9,'Sales Rec'!$E$37:$E$91,'Sales Rec'!$L$37:$L$91,"")/12)+CP9</f>
        <v>3015.9982734695623</v>
      </c>
      <c r="CS9" s="21">
        <v>5523</v>
      </c>
      <c r="CT9" s="16">
        <v>-500</v>
      </c>
      <c r="CU9" s="2240" t="str">
        <f t="shared" si="42"/>
        <v/>
      </c>
      <c r="CV9" s="693">
        <f t="shared" si="43"/>
        <v>6873</v>
      </c>
      <c r="CW9" s="49">
        <v>25343</v>
      </c>
      <c r="CX9" s="21">
        <v>152</v>
      </c>
      <c r="CY9" s="49">
        <v>3107</v>
      </c>
      <c r="CZ9" s="53">
        <f t="shared" si="44"/>
        <v>28450</v>
      </c>
      <c r="DA9" s="1058">
        <f t="shared" si="45"/>
        <v>1.2146154756737562</v>
      </c>
      <c r="DB9" s="99">
        <f t="shared" si="46"/>
        <v>0.11692380539004965</v>
      </c>
      <c r="DC9" s="53">
        <f t="shared" si="47"/>
        <v>35323</v>
      </c>
      <c r="DD9" s="645">
        <f t="shared" si="48"/>
        <v>0.80542422784021739</v>
      </c>
      <c r="DE9" s="13">
        <v>4541</v>
      </c>
      <c r="DF9" s="24">
        <v>4042</v>
      </c>
      <c r="DG9" s="24">
        <v>289</v>
      </c>
      <c r="DH9" s="51">
        <v>30782</v>
      </c>
      <c r="DI9" s="8">
        <f>DH9-CW9</f>
        <v>5439</v>
      </c>
      <c r="DJ9" s="644">
        <f t="shared" si="49"/>
        <v>20.195497534337431</v>
      </c>
      <c r="DK9" s="22">
        <v>17967</v>
      </c>
      <c r="DL9" s="22">
        <v>3968</v>
      </c>
      <c r="DM9" s="22">
        <v>5435</v>
      </c>
      <c r="DN9" s="138">
        <f t="shared" si="50"/>
        <v>0.80542422784021739</v>
      </c>
      <c r="DO9" s="99">
        <f t="shared" si="51"/>
        <v>1.7098988049929487E-2</v>
      </c>
      <c r="DP9" s="22">
        <v>793</v>
      </c>
      <c r="DQ9" s="8">
        <f t="shared" si="52"/>
        <v>2619</v>
      </c>
      <c r="DR9" s="138">
        <f t="shared" si="53"/>
        <v>9.4122341860378503E-2</v>
      </c>
      <c r="DS9" s="99">
        <f t="shared" si="54"/>
        <v>0</v>
      </c>
      <c r="DT9" s="8">
        <f t="shared" si="55"/>
        <v>14090.44</v>
      </c>
      <c r="DU9" s="8">
        <f t="shared" si="56"/>
        <v>30129.882352941182</v>
      </c>
      <c r="DV9" s="235">
        <f t="shared" si="57"/>
        <v>1156.4705882352941</v>
      </c>
      <c r="DW9" s="8">
        <f t="shared" si="58"/>
        <v>22688.396470588239</v>
      </c>
      <c r="DX9" s="411">
        <f t="shared" si="59"/>
        <v>51</v>
      </c>
      <c r="DY9" s="1117">
        <v>1100</v>
      </c>
      <c r="DZ9" s="857">
        <f t="shared" si="60"/>
        <v>7.9594790159189577E-2</v>
      </c>
      <c r="EA9" s="386">
        <v>1.1100000000000001</v>
      </c>
      <c r="EB9" s="504"/>
      <c r="EC9" s="510">
        <v>39040</v>
      </c>
      <c r="ED9" s="435">
        <v>31482</v>
      </c>
      <c r="EE9" s="510">
        <v>39420</v>
      </c>
      <c r="EF9" s="435">
        <v>31788</v>
      </c>
      <c r="EG9" s="510">
        <v>26950</v>
      </c>
      <c r="EH9" s="435">
        <v>21732</v>
      </c>
      <c r="EI9" s="510">
        <v>8150</v>
      </c>
      <c r="EJ9" s="435">
        <v>13855</v>
      </c>
      <c r="EK9" s="510">
        <v>12720</v>
      </c>
      <c r="EL9" s="1606">
        <v>21624</v>
      </c>
      <c r="EM9" s="1224">
        <v>12720</v>
      </c>
      <c r="EN9" s="834">
        <v>21624</v>
      </c>
      <c r="EO9" s="835">
        <f>IFERROR((EN9-ED9)/ED9,"")</f>
        <v>-0.31313131313131315</v>
      </c>
      <c r="EP9" s="1648">
        <f t="shared" si="61"/>
        <v>40</v>
      </c>
      <c r="EQ9"/>
    </row>
    <row r="10" spans="1:147" ht="35" customHeight="1">
      <c r="A10" s="99">
        <f>_xlfn.XLOOKUP(R10,'MOPFRA Ranking'!$E$6:$E$55,'MOPFRA Ranking'!$AE$6:$AE$55)</f>
        <v>28.21227651390776</v>
      </c>
      <c r="B10" s="99">
        <f t="shared" si="1"/>
        <v>18.21227651390776</v>
      </c>
      <c r="C10" s="1585">
        <f t="shared" ca="1" si="2"/>
        <v>0.31869052654967467</v>
      </c>
      <c r="D10" s="2378">
        <f t="shared" si="3"/>
        <v>2.2430854930005832</v>
      </c>
      <c r="E10" s="1414">
        <f t="shared" si="4"/>
        <v>12.5</v>
      </c>
      <c r="F10" s="1415">
        <f t="shared" si="5"/>
        <v>14.7</v>
      </c>
      <c r="G10" s="2124" cm="1">
        <f t="array" ref="G10">IFERROR(_xlfn.XLOOKUP(R10,'Sales Rec'!$E$37:$E$91,'Sales Rec'!$CU$37:$CU$91*100,""),"")</f>
        <v>-10.364700623716871</v>
      </c>
      <c r="H10" s="2313">
        <f>_xlfn.XLOOKUP(R10,'Sales Rec'!$E$37:$E$86,'Sales Rec'!$DQ$37:$DQ$86,"")</f>
        <v>0.88239486813970069</v>
      </c>
      <c r="I10" s="2312">
        <f>_xlfn.XLOOKUP(R10,'Sales History'!$C$4:$C$83,'Sales History'!$AS$4:$AS$83,"")</f>
        <v>0.38525730180806678</v>
      </c>
      <c r="J10" s="2313">
        <f>_xlfn.XLOOKUP(R10,'Sales History'!$C$4:$C$83,'Sales History'!$AW$4:$AW$83,"")</f>
        <v>0.92006802721088432</v>
      </c>
      <c r="K10" s="1942">
        <f>_xlfn.XLOOKUP(R10,'Sales Rec'!$E$4:$E$91,'Sales Rec'!$CV$4:$CV$91,"")</f>
        <v>27</v>
      </c>
      <c r="L10" s="1587">
        <f>_xlfn.XLOOKUP(R10,'MOPFRA Ranking'!$E$6:$E$55,'MOPFRA Ranking'!$AG$6:$AG$55,"")</f>
        <v>7</v>
      </c>
      <c r="M10" s="1582" t="str">
        <f>_xlfn.XLOOKUP(R10,'Sales Rec'!$E$4:$E$105,'Sales Rec'!$DS$4:$DS$105,"")</f>
        <v>B</v>
      </c>
      <c r="N10" s="1582" t="str">
        <f>_xlfn.XLOOKUP(R10,'Sales Rec'!$E$4:$E$105,'Sales Rec'!$DZ$4:$DZ$105,"")</f>
        <v>BB</v>
      </c>
      <c r="O10" s="2365" t="str">
        <f>_xlfn.XLOOKUP($R10,'History Records'!$B$7:$B$88,'History Records'!$G$7:$G$88,"")</f>
        <v/>
      </c>
      <c r="P10" s="856" t="s">
        <v>460</v>
      </c>
      <c r="Q10" s="2364" t="s">
        <v>108</v>
      </c>
      <c r="R10" s="1571" t="s">
        <v>109</v>
      </c>
      <c r="S10" s="1929">
        <v>12</v>
      </c>
      <c r="T10" s="66">
        <f t="shared" si="6"/>
        <v>3258</v>
      </c>
      <c r="U10" s="2386">
        <f>_xlfn.XLOOKUP($R10,'Price Record'!$C$6:$C$100,'Price Record'!H$6:H$100,"")</f>
        <v>3620</v>
      </c>
      <c r="V10" s="338">
        <f>_xlfn.XLOOKUP(R10,'دیده بان بازار'!$A$3:$A$3542,'دیده بان بازار'!$M$3:$M$3542,"")</f>
        <v>2.84</v>
      </c>
      <c r="W10" s="2386">
        <f>_xlfn.XLOOKUP($R10,'Price Record'!$C$6:$C$100,'Price Record'!G$6:G$100,"")</f>
        <v>3620</v>
      </c>
      <c r="X10" s="337">
        <f>_xlfn.XLOOKUP(R10,'دیده بان بازار'!$A$3:$A$3542,'دیده بان بازار'!$J$3:$J$3542,"")</f>
        <v>2.84</v>
      </c>
      <c r="Y10" s="1708">
        <f t="shared" si="7"/>
        <v>6720</v>
      </c>
      <c r="Z10" s="661" t="str">
        <f t="shared" si="8"/>
        <v/>
      </c>
      <c r="AA10" s="822">
        <f t="shared" si="9"/>
        <v>0.31902834008097164</v>
      </c>
      <c r="AB10" s="511">
        <f t="shared" ca="1" si="10"/>
        <v>3.4520547945205482E-2</v>
      </c>
      <c r="AC10" s="823">
        <f t="shared" ca="1" si="11"/>
        <v>-203.21985152554726</v>
      </c>
      <c r="AD10" s="1150">
        <f t="shared" si="12"/>
        <v>0.31902834008097164</v>
      </c>
      <c r="AE10" s="1150">
        <f t="shared" si="13"/>
        <v>0.32116788321167883</v>
      </c>
      <c r="AF10" s="1150" t="str">
        <f t="shared" si="14"/>
        <v/>
      </c>
      <c r="AG10" s="1150" t="str">
        <f t="shared" si="15"/>
        <v/>
      </c>
      <c r="AH10" s="1150" t="str">
        <f t="shared" si="16"/>
        <v/>
      </c>
      <c r="AI10" s="275">
        <f t="shared" ca="1" si="17"/>
        <v>351</v>
      </c>
      <c r="AJ10" s="1121">
        <v>46225</v>
      </c>
      <c r="AK10" s="1116">
        <v>46305</v>
      </c>
      <c r="AL10" s="1345">
        <f t="shared" si="18"/>
        <v>9000000000</v>
      </c>
      <c r="AM10" s="29"/>
      <c r="AN10" s="29"/>
      <c r="AO10" s="685">
        <v>0.05</v>
      </c>
      <c r="AP10" s="174"/>
      <c r="AQ10" s="1928">
        <v>5461</v>
      </c>
      <c r="AR10" s="1928">
        <v>1514</v>
      </c>
      <c r="AS10" s="766">
        <f>_xlfn.XLOOKUP(R10,'Sales Rec'!$E$4:$E$86,'Sales Rec'!$X$4:$X$86,"")</f>
        <v>8795.3791874554518</v>
      </c>
      <c r="AT10" s="984">
        <f>_xlfn.XLOOKUP(R10,'Sales Rec'!$E$4:$E$86,'Sales Rec'!$K$4:$K$86,"")</f>
        <v>4</v>
      </c>
      <c r="AU10" s="376">
        <f t="shared" si="19"/>
        <v>0.37042177836366325</v>
      </c>
      <c r="AV10" s="99">
        <f t="shared" si="20"/>
        <v>0</v>
      </c>
      <c r="AW10" s="16">
        <v>1992</v>
      </c>
      <c r="AX10" s="16">
        <v>800</v>
      </c>
      <c r="AY10" s="1421">
        <f t="shared" si="21"/>
        <v>0.40200000000000002</v>
      </c>
      <c r="AZ10" s="1419">
        <v>0.27700000000000002</v>
      </c>
      <c r="BA10" s="1689">
        <v>0.27700000000000002</v>
      </c>
      <c r="BB10" s="1690">
        <v>0.19400000000000001</v>
      </c>
      <c r="BC10" s="100">
        <f t="shared" si="22"/>
        <v>10</v>
      </c>
      <c r="BD10" s="1420">
        <f t="shared" si="23"/>
        <v>0.246</v>
      </c>
      <c r="BE10" s="1419">
        <v>9.9000000000000005E-2</v>
      </c>
      <c r="BF10" s="1687">
        <v>0.13500000000000001</v>
      </c>
      <c r="BG10" s="1688">
        <v>6.2E-2</v>
      </c>
      <c r="BH10" s="306">
        <f t="shared" si="24"/>
        <v>0.15600000000000003</v>
      </c>
      <c r="BI10" s="1861">
        <f t="shared" si="25"/>
        <v>1243.0080000000003</v>
      </c>
      <c r="BJ10" s="306">
        <f t="shared" si="26"/>
        <v>0.17800000000000002</v>
      </c>
      <c r="BK10" s="99">
        <v>0</v>
      </c>
      <c r="BL10" s="306">
        <f>_xlfn.XLOOKUP(R10,'Sales Rec'!$E$4:$E$91,'Sales Rec'!$Y$4:$Y$91,"")</f>
        <v>0.61058033097517883</v>
      </c>
      <c r="BM10" s="99">
        <f t="shared" si="27"/>
        <v>8.7465597268262165</v>
      </c>
      <c r="BN10" s="15"/>
      <c r="BO10" s="1803">
        <v>3</v>
      </c>
      <c r="BP10" s="842">
        <f t="shared" si="28"/>
        <v>1</v>
      </c>
      <c r="BQ10" s="16">
        <v>552</v>
      </c>
      <c r="BR10" s="16"/>
      <c r="BS10" s="16"/>
      <c r="BT10" s="1253">
        <f>(_xlfn.XLOOKUP(R10,'Sales Rec'!$E$37:$E$91,'Sales Rec'!$X$37:$X$91)*BD10+CM10)*1000/CK10</f>
        <v>2466.2925334600459</v>
      </c>
      <c r="BU10" s="1246">
        <f t="shared" si="29"/>
        <v>2244.4444444444443</v>
      </c>
      <c r="BV10" s="406"/>
      <c r="BW10" s="407">
        <f t="shared" si="30"/>
        <v>1.5369145069994163</v>
      </c>
      <c r="BX10" s="99">
        <f t="shared" si="31"/>
        <v>10</v>
      </c>
      <c r="BY10" s="18">
        <f t="shared" si="32"/>
        <v>2119.8316400570206</v>
      </c>
      <c r="BZ10" s="18">
        <f t="shared" si="33"/>
        <v>861.90476190476193</v>
      </c>
      <c r="CA10" s="18">
        <f t="shared" si="34"/>
        <v>3535.7424333570916</v>
      </c>
      <c r="CB10" s="1710">
        <f t="shared" si="35"/>
        <v>1.9005909300976831</v>
      </c>
      <c r="CC10" s="266">
        <f>_xlfn.XLOOKUP($R10,'Price Record'!$C$6:$C$100,'Price Record'!I$6:I$100,"")</f>
        <v>957</v>
      </c>
      <c r="CD10" s="267">
        <f>_xlfn.XLOOKUP($R10,'Price Record'!$C$6:$C$100,'Price Record'!J$6:J$100,"")</f>
        <v>3.78</v>
      </c>
      <c r="CE10" s="99">
        <f t="shared" si="36"/>
        <v>3.6600000000000006</v>
      </c>
      <c r="CF10" s="17">
        <f t="shared" si="37"/>
        <v>2.3704712700037036</v>
      </c>
      <c r="CG10" s="99">
        <f t="shared" si="38"/>
        <v>-1.4818850800148144</v>
      </c>
      <c r="CH10" s="494">
        <f t="shared" si="39"/>
        <v>0.24020755128124879</v>
      </c>
      <c r="CI10" s="99">
        <f t="shared" si="40"/>
        <v>-2.3968867307812682</v>
      </c>
      <c r="CJ10" s="20"/>
      <c r="CK10" s="691">
        <v>900</v>
      </c>
      <c r="CL10" s="419">
        <v>537</v>
      </c>
      <c r="CM10" s="468">
        <v>56</v>
      </c>
      <c r="CN10" s="843">
        <v>5</v>
      </c>
      <c r="CO10" s="21">
        <v>496</v>
      </c>
      <c r="CP10" s="21"/>
      <c r="CQ10" s="469">
        <f t="shared" si="41"/>
        <v>505</v>
      </c>
      <c r="CR10" s="1239">
        <f>(AS10*BD10)*(_xlfn.XLOOKUP($R10,'Sales Rec'!$E$37:$E$91,'Sales Rec'!$L$37:$L$91,"")/12)+CP10</f>
        <v>721.22109337134702</v>
      </c>
      <c r="CS10" s="21">
        <v>1033</v>
      </c>
      <c r="CT10" s="16">
        <v>0</v>
      </c>
      <c r="CU10" s="2240" t="str">
        <f t="shared" si="42"/>
        <v/>
      </c>
      <c r="CV10" s="693">
        <f t="shared" si="43"/>
        <v>2024</v>
      </c>
      <c r="CW10" s="49">
        <v>4429</v>
      </c>
      <c r="CX10" s="21">
        <v>2540</v>
      </c>
      <c r="CY10" s="49">
        <v>596</v>
      </c>
      <c r="CZ10" s="53">
        <f t="shared" si="44"/>
        <v>5025</v>
      </c>
      <c r="DA10" s="1058">
        <f t="shared" si="45"/>
        <v>1.535561074734703</v>
      </c>
      <c r="DB10" s="99">
        <f t="shared" si="46"/>
        <v>2.6844885978776247</v>
      </c>
      <c r="DC10" s="53">
        <f t="shared" si="47"/>
        <v>7049</v>
      </c>
      <c r="DD10" s="645">
        <f t="shared" si="48"/>
        <v>0.71286707334373667</v>
      </c>
      <c r="DE10" s="13">
        <v>248</v>
      </c>
      <c r="DF10" s="24">
        <v>206</v>
      </c>
      <c r="DG10" s="24">
        <v>0</v>
      </c>
      <c r="DH10" s="51">
        <v>6801</v>
      </c>
      <c r="DI10" s="8">
        <v>12</v>
      </c>
      <c r="DJ10" s="644">
        <f t="shared" si="49"/>
        <v>732.94826562128765</v>
      </c>
      <c r="DK10" s="22">
        <v>1936</v>
      </c>
      <c r="DL10" s="22">
        <v>1563</v>
      </c>
      <c r="DM10" s="22">
        <v>1829</v>
      </c>
      <c r="DN10" s="138">
        <f t="shared" si="50"/>
        <v>0.71286707334373667</v>
      </c>
      <c r="DO10" s="99">
        <f t="shared" si="51"/>
        <v>0</v>
      </c>
      <c r="DP10" s="22">
        <v>0</v>
      </c>
      <c r="DQ10" s="8">
        <f t="shared" si="52"/>
        <v>1473</v>
      </c>
      <c r="DR10" s="138">
        <f t="shared" si="53"/>
        <v>-0.71837811941192187</v>
      </c>
      <c r="DS10" s="99">
        <f t="shared" si="54"/>
        <v>-3</v>
      </c>
      <c r="DT10" s="8">
        <f t="shared" si="55"/>
        <v>3483.48</v>
      </c>
      <c r="DU10" s="8">
        <f t="shared" si="56"/>
        <v>8080</v>
      </c>
      <c r="DV10" s="235">
        <f t="shared" si="57"/>
        <v>596.66666666666663</v>
      </c>
      <c r="DW10" s="8">
        <f t="shared" si="58"/>
        <v>6080.0733333333328</v>
      </c>
      <c r="DX10" s="411">
        <f t="shared" si="59"/>
        <v>80</v>
      </c>
      <c r="DY10" s="1117">
        <v>526</v>
      </c>
      <c r="DZ10" s="857">
        <f t="shared" si="60"/>
        <v>0.16085626911314985</v>
      </c>
      <c r="EA10" s="386">
        <v>0.5</v>
      </c>
      <c r="EB10" s="504"/>
      <c r="EC10" s="510"/>
      <c r="ED10" s="435"/>
      <c r="EE10" s="510"/>
      <c r="EF10" s="435"/>
      <c r="EG10" s="510"/>
      <c r="EH10" s="435"/>
      <c r="EI10" s="510">
        <v>4111</v>
      </c>
      <c r="EJ10" s="435">
        <v>2466</v>
      </c>
      <c r="EK10" s="510">
        <v>2744</v>
      </c>
      <c r="EL10" s="1606">
        <v>2470</v>
      </c>
      <c r="EM10" s="1224">
        <v>2744</v>
      </c>
      <c r="EN10" s="834">
        <v>2470</v>
      </c>
      <c r="EO10" s="835"/>
      <c r="EP10" s="1648" t="str">
        <f t="shared" si="61"/>
        <v>NEW</v>
      </c>
      <c r="EQ10"/>
    </row>
    <row r="11" spans="1:147" ht="35" customHeight="1">
      <c r="A11" s="99">
        <f>_xlfn.XLOOKUP(R11,'MOPFRA Ranking'!$E$6:$E$55,'MOPFRA Ranking'!$AE$6:$AE$55)</f>
        <v>27.307134554074281</v>
      </c>
      <c r="B11" s="99">
        <f t="shared" si="1"/>
        <v>23.507134554074277</v>
      </c>
      <c r="C11" s="1585">
        <f t="shared" ca="1" si="2"/>
        <v>0.48892655145839048</v>
      </c>
      <c r="D11" s="2378">
        <f t="shared" si="3"/>
        <v>0.73794874383732756</v>
      </c>
      <c r="E11" s="1414">
        <f t="shared" si="4"/>
        <v>5.9000000000000021</v>
      </c>
      <c r="F11" s="1415">
        <f t="shared" si="5"/>
        <v>3.8000000000000007</v>
      </c>
      <c r="G11" s="2124" cm="1">
        <f t="array" ref="G11">IFERROR(_xlfn.XLOOKUP(R11,'Sales Rec'!$E$37:$E$91,'Sales Rec'!$CU$37:$CU$91*100,""),"")</f>
        <v>18.705128205128208</v>
      </c>
      <c r="H11" s="2313">
        <f>_xlfn.XLOOKUP(R11,'Sales Rec'!$E$37:$E$86,'Sales Rec'!$DQ$37:$DQ$86,"")</f>
        <v>1.0925</v>
      </c>
      <c r="I11" s="2312">
        <f>_xlfn.XLOOKUP(R11,'Sales History'!$C$4:$C$83,'Sales History'!$AS$4:$AS$83,"")</f>
        <v>-0.12380250552689757</v>
      </c>
      <c r="J11" s="2313">
        <f>_xlfn.XLOOKUP(R11,'Sales History'!$C$4:$C$83,'Sales History'!$AW$4:$AW$83,"")</f>
        <v>0.77024070021881841</v>
      </c>
      <c r="K11" s="1942">
        <f>_xlfn.XLOOKUP(R11,'Sales Rec'!$E$4:$E$91,'Sales Rec'!$CV$4:$CV$91,"")</f>
        <v>19</v>
      </c>
      <c r="L11" s="1587">
        <f>_xlfn.XLOOKUP(R11,'MOPFRA Ranking'!$E$6:$E$55,'MOPFRA Ranking'!$AG$6:$AG$55,"")</f>
        <v>17</v>
      </c>
      <c r="M11" s="1582" t="str">
        <f>_xlfn.XLOOKUP(R11,'Sales Rec'!$E$4:$E$105,'Sales Rec'!$DS$4:$DS$105,"")</f>
        <v>BB</v>
      </c>
      <c r="N11" s="1582" t="str">
        <f>_xlfn.XLOOKUP(R11,'Sales Rec'!$E$4:$E$105,'Sales Rec'!$DZ$4:$DZ$105,"")</f>
        <v>B</v>
      </c>
      <c r="O11" s="2365" t="str">
        <f>_xlfn.XLOOKUP($R11,'History Records'!$B$7:$B$88,'History Records'!$G$7:$G$88,"")</f>
        <v/>
      </c>
      <c r="P11" s="856" t="s">
        <v>466</v>
      </c>
      <c r="Q11" s="2364" t="s">
        <v>110</v>
      </c>
      <c r="R11" s="1571" t="s">
        <v>111</v>
      </c>
      <c r="S11" s="1929">
        <v>12</v>
      </c>
      <c r="T11" s="66">
        <f t="shared" si="6"/>
        <v>3380</v>
      </c>
      <c r="U11" s="2386">
        <f>_xlfn.XLOOKUP($R11,'Price Record'!$C$6:$C$100,'Price Record'!H$6:H$100,"")</f>
        <v>3380</v>
      </c>
      <c r="V11" s="338">
        <f>_xlfn.XLOOKUP(R11,'دیده بان بازار'!$A$3:$A$3542,'دیده بان بازار'!$M$3:$M$3542,"")</f>
        <v>2.74</v>
      </c>
      <c r="W11" s="2386">
        <f>_xlfn.XLOOKUP($R11,'Price Record'!$C$6:$C$100,'Price Record'!G$6:G$100,"")</f>
        <v>3380</v>
      </c>
      <c r="X11" s="337">
        <f>_xlfn.XLOOKUP(R11,'دیده بان بازار'!$A$3:$A$3542,'دیده بان بازار'!$J$3:$J$3542,"")</f>
        <v>2.74</v>
      </c>
      <c r="Y11" s="1708">
        <f t="shared" si="7"/>
        <v>5923</v>
      </c>
      <c r="Z11" s="661" t="str">
        <f t="shared" si="8"/>
        <v/>
      </c>
      <c r="AA11" s="822">
        <f t="shared" si="9"/>
        <v>0.32549019607843138</v>
      </c>
      <c r="AB11" s="511">
        <f t="shared" ca="1" si="10"/>
        <v>3.9452054794520547E-2</v>
      </c>
      <c r="AC11" s="2194">
        <f t="shared" ca="1" si="11"/>
        <v>-178.77383830244426</v>
      </c>
      <c r="AD11" s="1150">
        <f t="shared" si="12"/>
        <v>0.32549019607843138</v>
      </c>
      <c r="AE11" s="1150">
        <f t="shared" si="13"/>
        <v>0.25463994060876022</v>
      </c>
      <c r="AF11" s="1150">
        <f t="shared" si="14"/>
        <v>0.7002012072434608</v>
      </c>
      <c r="AG11" s="1150">
        <f t="shared" si="15"/>
        <v>0.22552574329224076</v>
      </c>
      <c r="AH11" s="1150">
        <f t="shared" si="16"/>
        <v>0.47985989492119091</v>
      </c>
      <c r="AI11" s="275">
        <f t="shared" ca="1" si="17"/>
        <v>349</v>
      </c>
      <c r="AJ11" s="1121">
        <v>46223</v>
      </c>
      <c r="AK11" s="1116">
        <v>46327</v>
      </c>
      <c r="AL11" s="1345">
        <f t="shared" si="18"/>
        <v>10000000000</v>
      </c>
      <c r="AM11" s="29"/>
      <c r="AN11" s="29"/>
      <c r="AO11" s="685">
        <v>0.1118</v>
      </c>
      <c r="AP11" s="174"/>
      <c r="AQ11" s="1928">
        <v>4072</v>
      </c>
      <c r="AR11" s="1928">
        <v>599</v>
      </c>
      <c r="AS11" s="766">
        <f>_xlfn.XLOOKUP(R11,'Sales Rec'!$E$4:$E$86,'Sales Rec'!$X$4:$X$86,"")</f>
        <v>6504.1744391971661</v>
      </c>
      <c r="AT11" s="984">
        <f>_xlfn.XLOOKUP(R11,'Sales Rec'!$E$4:$E$86,'Sales Rec'!$K$4:$K$86,"")</f>
        <v>4</v>
      </c>
      <c r="AU11" s="376">
        <f t="shared" si="19"/>
        <v>0.4992363028321245</v>
      </c>
      <c r="AV11" s="99">
        <f t="shared" si="20"/>
        <v>0</v>
      </c>
      <c r="AW11" s="16">
        <v>1254</v>
      </c>
      <c r="AX11" s="16">
        <v>292</v>
      </c>
      <c r="AY11" s="1421">
        <f t="shared" si="21"/>
        <v>0.23300000000000001</v>
      </c>
      <c r="AZ11" s="1419">
        <v>0.17399999999999999</v>
      </c>
      <c r="BA11" s="1689">
        <v>0.14699999999999999</v>
      </c>
      <c r="BB11" s="1690">
        <v>0.14699999999999999</v>
      </c>
      <c r="BC11" s="100">
        <f t="shared" si="22"/>
        <v>3.8000000000000007</v>
      </c>
      <c r="BD11" s="1420">
        <f t="shared" si="23"/>
        <v>0.17899999999999999</v>
      </c>
      <c r="BE11" s="1419">
        <v>0.14099999999999999</v>
      </c>
      <c r="BF11" s="1687">
        <v>0.11899999999999999</v>
      </c>
      <c r="BG11" s="1688">
        <v>0.14000000000000001</v>
      </c>
      <c r="BH11" s="306">
        <f t="shared" si="24"/>
        <v>5.400000000000002E-2</v>
      </c>
      <c r="BI11" s="1861">
        <f t="shared" si="25"/>
        <v>270.86400000000009</v>
      </c>
      <c r="BJ11" s="306">
        <f t="shared" si="26"/>
        <v>3.3000000000000002E-2</v>
      </c>
      <c r="BK11" s="99">
        <v>0</v>
      </c>
      <c r="BL11" s="306">
        <f>_xlfn.XLOOKUP(R11,'Sales Rec'!$E$4:$E$91,'Sales Rec'!$Y$4:$Y$91,"")</f>
        <v>0.59729234754350835</v>
      </c>
      <c r="BM11" s="99">
        <f t="shared" si="27"/>
        <v>8.154064543952309</v>
      </c>
      <c r="BN11" s="15"/>
      <c r="BO11" s="1803">
        <v>3</v>
      </c>
      <c r="BP11" s="842">
        <f t="shared" si="28"/>
        <v>1</v>
      </c>
      <c r="BQ11" s="16">
        <v>500</v>
      </c>
      <c r="BR11" s="16"/>
      <c r="BS11" s="16"/>
      <c r="BT11" s="1253">
        <f>(_xlfn.XLOOKUP(R11,'Sales Rec'!$E$37:$E$91,'Sales Rec'!$X$37:$X$91)*BD11+CM11)*1000/CK11</f>
        <v>1615.2472246162927</v>
      </c>
      <c r="BU11" s="1246">
        <f t="shared" si="29"/>
        <v>1347</v>
      </c>
      <c r="BV11" s="406"/>
      <c r="BW11" s="407">
        <f t="shared" si="30"/>
        <v>2.2820512561626725</v>
      </c>
      <c r="BX11" s="99">
        <f t="shared" si="31"/>
        <v>10</v>
      </c>
      <c r="BY11" s="18">
        <f t="shared" si="32"/>
        <v>1481.1236123081462</v>
      </c>
      <c r="BZ11" s="18">
        <f t="shared" si="33"/>
        <v>1119.2052980132451</v>
      </c>
      <c r="CA11" s="18">
        <f t="shared" si="34"/>
        <v>1515.4726443329398</v>
      </c>
      <c r="CB11" s="1710">
        <f t="shared" si="35"/>
        <v>3.9083516433957843</v>
      </c>
      <c r="CC11" s="266">
        <f>_xlfn.XLOOKUP($R11,'Price Record'!$C$6:$C$100,'Price Record'!I$6:I$100,"")</f>
        <v>1120</v>
      </c>
      <c r="CD11" s="267">
        <f>_xlfn.XLOOKUP($R11,'Price Record'!$C$6:$C$100,'Price Record'!J$6:J$100,"")</f>
        <v>3.02</v>
      </c>
      <c r="CE11" s="99">
        <f t="shared" si="36"/>
        <v>5.9399999999999995</v>
      </c>
      <c r="CF11" s="17">
        <f t="shared" si="37"/>
        <v>1.8593991596071004</v>
      </c>
      <c r="CG11" s="99">
        <f t="shared" si="38"/>
        <v>0.5624033615715982</v>
      </c>
      <c r="CH11" s="494">
        <f t="shared" si="39"/>
        <v>0.22661009980234795</v>
      </c>
      <c r="CI11" s="99">
        <f t="shared" si="40"/>
        <v>-2.600848502964781</v>
      </c>
      <c r="CJ11" s="377">
        <f>MIN(MAX(IF(CI11&lt;0,-20, IF(CI11&gt;50, -20,($R$68-CI11)*$S$68)), -10), 10)</f>
        <v>-10</v>
      </c>
      <c r="CK11" s="691">
        <v>1000</v>
      </c>
      <c r="CL11" s="419">
        <v>1155</v>
      </c>
      <c r="CM11" s="468">
        <v>451</v>
      </c>
      <c r="CN11" s="843">
        <v>88</v>
      </c>
      <c r="CO11" s="21">
        <v>312</v>
      </c>
      <c r="CP11" s="21">
        <v>44</v>
      </c>
      <c r="CQ11" s="469">
        <f t="shared" si="41"/>
        <v>336.75</v>
      </c>
      <c r="CR11" s="1239">
        <f>(AS11*BD11)*(_xlfn.XLOOKUP($R11,'Sales Rec'!$E$37:$E$91,'Sales Rec'!$L$37:$L$91,"")/12)+CP11</f>
        <v>432.08240820543085</v>
      </c>
      <c r="CS11" s="21">
        <v>1467</v>
      </c>
      <c r="CT11" s="16">
        <v>-5</v>
      </c>
      <c r="CU11" s="2240" t="str">
        <f t="shared" si="42"/>
        <v/>
      </c>
      <c r="CV11" s="693">
        <f t="shared" si="43"/>
        <v>2889</v>
      </c>
      <c r="CW11" s="49">
        <v>2640</v>
      </c>
      <c r="CX11" s="21">
        <v>82</v>
      </c>
      <c r="CY11" s="49">
        <v>114</v>
      </c>
      <c r="CZ11" s="53">
        <f t="shared" si="44"/>
        <v>2754</v>
      </c>
      <c r="DA11" s="1058">
        <f t="shared" si="45"/>
        <v>1.3814393939393939</v>
      </c>
      <c r="DB11" s="99">
        <f t="shared" si="46"/>
        <v>1.4515151515151512</v>
      </c>
      <c r="DC11" s="53">
        <f t="shared" si="47"/>
        <v>5643</v>
      </c>
      <c r="DD11" s="645">
        <f t="shared" si="48"/>
        <v>0.48803827751196172</v>
      </c>
      <c r="DE11" s="13">
        <v>1996</v>
      </c>
      <c r="DF11" s="24">
        <v>109</v>
      </c>
      <c r="DG11" s="24">
        <v>1657</v>
      </c>
      <c r="DH11" s="51">
        <v>3647</v>
      </c>
      <c r="DI11" s="8">
        <f t="shared" ref="DI11:DI52" si="62">DH11-CW11</f>
        <v>1007</v>
      </c>
      <c r="DJ11" s="644">
        <f t="shared" si="49"/>
        <v>6.4589617072464414</v>
      </c>
      <c r="DK11" s="22">
        <v>2691</v>
      </c>
      <c r="DL11" s="22">
        <v>211</v>
      </c>
      <c r="DM11" s="22">
        <v>585</v>
      </c>
      <c r="DN11" s="138">
        <f t="shared" si="50"/>
        <v>0.48803827751196172</v>
      </c>
      <c r="DO11" s="99">
        <f t="shared" si="51"/>
        <v>0</v>
      </c>
      <c r="DP11" s="22">
        <v>0</v>
      </c>
      <c r="DQ11" s="8">
        <f t="shared" si="52"/>
        <v>160</v>
      </c>
      <c r="DR11" s="138">
        <f t="shared" si="53"/>
        <v>-5.4108531953141026E-2</v>
      </c>
      <c r="DS11" s="99">
        <f t="shared" si="54"/>
        <v>0</v>
      </c>
      <c r="DT11" s="8">
        <f t="shared" si="55"/>
        <v>4076.8</v>
      </c>
      <c r="DU11" s="8">
        <f t="shared" si="56"/>
        <v>4849.2</v>
      </c>
      <c r="DV11" s="235">
        <f t="shared" si="57"/>
        <v>1155</v>
      </c>
      <c r="DW11" s="8">
        <f t="shared" si="58"/>
        <v>5040.5</v>
      </c>
      <c r="DX11" s="411">
        <f t="shared" si="59"/>
        <v>104</v>
      </c>
      <c r="DY11" s="1117">
        <v>600</v>
      </c>
      <c r="DZ11" s="857">
        <f t="shared" si="60"/>
        <v>0.19047619047619047</v>
      </c>
      <c r="EA11" s="386">
        <v>0.6</v>
      </c>
      <c r="EB11" s="504"/>
      <c r="EC11" s="510">
        <v>13730</v>
      </c>
      <c r="ED11" s="435">
        <v>2284</v>
      </c>
      <c r="EE11" s="510">
        <v>16580</v>
      </c>
      <c r="EF11" s="435">
        <v>2758</v>
      </c>
      <c r="EG11" s="510">
        <v>4780</v>
      </c>
      <c r="EH11" s="435">
        <v>1988</v>
      </c>
      <c r="EI11" s="510">
        <v>4319</v>
      </c>
      <c r="EJ11" s="435">
        <v>2694</v>
      </c>
      <c r="EK11" s="510">
        <v>2550</v>
      </c>
      <c r="EL11" s="1606">
        <v>2550</v>
      </c>
      <c r="EM11" s="1224">
        <v>2550</v>
      </c>
      <c r="EN11" s="834">
        <v>2550</v>
      </c>
      <c r="EO11" s="835">
        <f t="shared" ref="EO11:EO56" si="63">IFERROR((EN11-ED11)/ED11,"")</f>
        <v>0.11646234676007006</v>
      </c>
      <c r="EP11" s="1648">
        <f t="shared" si="61"/>
        <v>30</v>
      </c>
      <c r="EQ11"/>
    </row>
    <row r="12" spans="1:147" ht="35" customHeight="1">
      <c r="A12" s="99">
        <f>_xlfn.XLOOKUP(R12,'MOPFRA Ranking'!$E$6:$E$55,'MOPFRA Ranking'!$AE$6:$AE$55)</f>
        <v>25.720175838287016</v>
      </c>
      <c r="B12" s="99">
        <f t="shared" si="1"/>
        <v>15.720175838287016</v>
      </c>
      <c r="C12" s="1585">
        <f t="shared" ca="1" si="2"/>
        <v>0.112972214641681</v>
      </c>
      <c r="D12" s="2378">
        <f t="shared" si="3"/>
        <v>4.2767270684161645</v>
      </c>
      <c r="E12" s="1414">
        <f t="shared" si="4"/>
        <v>16.399999999999999</v>
      </c>
      <c r="F12" s="1415">
        <f t="shared" si="5"/>
        <v>14.200000000000001</v>
      </c>
      <c r="G12" s="2124" cm="1">
        <f t="array" ref="G12">IFERROR(_xlfn.XLOOKUP(R12,'Sales Rec'!$E$37:$E$91,'Sales Rec'!$CU$37:$CU$91*100,""),"")</f>
        <v>15.626752102523023</v>
      </c>
      <c r="H12" s="2313">
        <f>_xlfn.XLOOKUP(R12,'Sales Rec'!$E$37:$E$86,'Sales Rec'!$DQ$37:$DQ$86,"")</f>
        <v>2.3744493392070485</v>
      </c>
      <c r="I12" s="2312">
        <f>_xlfn.XLOOKUP(R12,'Sales History'!$C$4:$C$83,'Sales History'!$AS$4:$AS$83,"")</f>
        <v>1.2452431289640591</v>
      </c>
      <c r="J12" s="2313">
        <f>_xlfn.XLOOKUP(R12,'Sales History'!$C$4:$C$83,'Sales History'!$AW$4:$AW$83,"")</f>
        <v>1.8160676532769555</v>
      </c>
      <c r="K12" s="1942">
        <f>_xlfn.XLOOKUP(R12,'Sales Rec'!$E$4:$E$91,'Sales Rec'!$CV$4:$CV$91,"")</f>
        <v>3</v>
      </c>
      <c r="L12" s="1587">
        <f>_xlfn.XLOOKUP(R12,'MOPFRA Ranking'!$E$6:$E$55,'MOPFRA Ranking'!$AG$6:$AG$55,"")</f>
        <v>4</v>
      </c>
      <c r="M12" s="1582" t="str">
        <f>_xlfn.XLOOKUP(R12,'Sales Rec'!$E$4:$E$105,'Sales Rec'!$DS$4:$DS$105,"")</f>
        <v>BB</v>
      </c>
      <c r="N12" s="1582" t="str">
        <f>_xlfn.XLOOKUP(R12,'Sales Rec'!$E$4:$E$105,'Sales Rec'!$DZ$4:$DZ$105,"")</f>
        <v>BB</v>
      </c>
      <c r="O12" s="2365" t="str">
        <f>_xlfn.XLOOKUP($R12,'History Records'!$B$7:$B$88,'History Records'!$G$7:$G$88,"")</f>
        <v/>
      </c>
      <c r="P12" s="856" t="s">
        <v>168</v>
      </c>
      <c r="Q12" s="2364" t="s">
        <v>162</v>
      </c>
      <c r="R12" s="1571" t="s">
        <v>163</v>
      </c>
      <c r="S12" s="1929">
        <v>12</v>
      </c>
      <c r="T12" s="66">
        <f t="shared" si="6"/>
        <v>36778</v>
      </c>
      <c r="U12" s="2386">
        <f>_xlfn.XLOOKUP($R12,'Price Record'!$C$6:$C$100,'Price Record'!H$6:H$100,"")</f>
        <v>7090</v>
      </c>
      <c r="V12" s="338">
        <f>_xlfn.XLOOKUP(R12,'دیده بان بازار'!$A$3:$A$3542,'دیده بان بازار'!$M$3:$M$3542,"")</f>
        <v>2.75</v>
      </c>
      <c r="W12" s="2386">
        <f>_xlfn.XLOOKUP($R12,'Price Record'!$C$6:$C$100,'Price Record'!G$6:G$100,"")</f>
        <v>7100</v>
      </c>
      <c r="X12" s="337">
        <f>_xlfn.XLOOKUP(R12,'دیده بان بازار'!$A$3:$A$3542,'دیده بان بازار'!$J$3:$J$3542,"")</f>
        <v>2.9</v>
      </c>
      <c r="Y12" s="1708">
        <f t="shared" si="7"/>
        <v>45551</v>
      </c>
      <c r="Z12" s="661" t="str">
        <f t="shared" si="8"/>
        <v/>
      </c>
      <c r="AA12" s="822">
        <f t="shared" si="9"/>
        <v>0.85569403098037233</v>
      </c>
      <c r="AB12" s="511">
        <f t="shared" ca="1" si="10"/>
        <v>0.12082191780821919</v>
      </c>
      <c r="AC12" s="2194">
        <f t="shared" ca="1" si="11"/>
        <v>-149.9739006473782</v>
      </c>
      <c r="AD12" s="1150">
        <f t="shared" si="12"/>
        <v>0.85569403098037233</v>
      </c>
      <c r="AE12" s="1150">
        <f t="shared" si="13"/>
        <v>5.6040581792063211</v>
      </c>
      <c r="AF12" s="1150">
        <f t="shared" si="14"/>
        <v>7.3453596550941684</v>
      </c>
      <c r="AG12" s="1150">
        <f t="shared" si="15"/>
        <v>3.803186626616168</v>
      </c>
      <c r="AH12" s="1150">
        <f t="shared" si="16"/>
        <v>8.007592456527064</v>
      </c>
      <c r="AI12" s="275">
        <f t="shared" ca="1" si="17"/>
        <v>316</v>
      </c>
      <c r="AJ12" s="1121">
        <v>46190</v>
      </c>
      <c r="AK12" s="1116">
        <v>46310</v>
      </c>
      <c r="AL12" s="1345">
        <f t="shared" si="18"/>
        <v>51800000000</v>
      </c>
      <c r="AM12" s="29"/>
      <c r="AN12" s="29"/>
      <c r="AO12" s="685">
        <v>0.13</v>
      </c>
      <c r="AP12" s="174"/>
      <c r="AQ12" s="1925">
        <v>8636</v>
      </c>
      <c r="AR12" s="1925">
        <v>4204</v>
      </c>
      <c r="AS12" s="766">
        <f>_xlfn.XLOOKUP(R12,'Sales Rec'!$E$4:$E$86,'Sales Rec'!$X$4:$X$86,"")</f>
        <v>23822.372246696035</v>
      </c>
      <c r="AT12" s="984">
        <f>_xlfn.XLOOKUP(R12,'Sales Rec'!$E$4:$E$86,'Sales Rec'!$K$4:$K$86,"")</f>
        <v>4</v>
      </c>
      <c r="AU12" s="376">
        <f t="shared" si="19"/>
        <v>1.5438428893285723</v>
      </c>
      <c r="AV12" s="99">
        <f t="shared" si="20"/>
        <v>2.5995216117376208</v>
      </c>
      <c r="AW12" s="16">
        <v>5310</v>
      </c>
      <c r="AX12" s="16">
        <v>3072</v>
      </c>
      <c r="AY12" s="1421">
        <f t="shared" si="21"/>
        <v>0.57899999999999996</v>
      </c>
      <c r="AZ12" s="1419">
        <v>0.41499999999999998</v>
      </c>
      <c r="BA12" s="1689">
        <v>0.48699999999999999</v>
      </c>
      <c r="BB12" s="1690">
        <v>0.30299999999999999</v>
      </c>
      <c r="BC12" s="100">
        <f t="shared" si="22"/>
        <v>10</v>
      </c>
      <c r="BD12" s="1420">
        <f t="shared" si="23"/>
        <v>0.39200000000000002</v>
      </c>
      <c r="BE12" s="1419">
        <v>0.25</v>
      </c>
      <c r="BF12" s="1687">
        <v>0.309</v>
      </c>
      <c r="BG12" s="1688">
        <v>0.14599999999999999</v>
      </c>
      <c r="BH12" s="306">
        <f t="shared" si="24"/>
        <v>0.18699999999999994</v>
      </c>
      <c r="BI12" s="1861">
        <f t="shared" si="25"/>
        <v>3971.8799999999987</v>
      </c>
      <c r="BJ12" s="306">
        <f t="shared" si="26"/>
        <v>0.16499999999999998</v>
      </c>
      <c r="BK12" s="99">
        <v>0</v>
      </c>
      <c r="BL12" s="306">
        <f>_xlfn.XLOOKUP(R12,'Sales Rec'!$E$4:$E$91,'Sales Rec'!$Y$4:$Y$91,"")</f>
        <v>1.7584960915581329</v>
      </c>
      <c r="BM12" s="99">
        <f t="shared" si="27"/>
        <v>10</v>
      </c>
      <c r="BN12" s="15"/>
      <c r="BO12" s="1803">
        <v>3</v>
      </c>
      <c r="BP12" s="842">
        <f t="shared" si="28"/>
        <v>1</v>
      </c>
      <c r="BQ12" s="16">
        <v>403</v>
      </c>
      <c r="BR12" s="16"/>
      <c r="BS12" s="16"/>
      <c r="BT12" s="1253">
        <f>(_xlfn.XLOOKUP(R12,'Sales Rec'!$E$37:$E$91,'Sales Rec'!$X$37:$X$91)*BD12+CM12)*1000/CK12</f>
        <v>1806.2490194410902</v>
      </c>
      <c r="BU12" s="1246">
        <f t="shared" si="29"/>
        <v>1612.7413127413129</v>
      </c>
      <c r="BV12" s="406"/>
      <c r="BW12" s="407">
        <f t="shared" si="30"/>
        <v>4.1532729315838353</v>
      </c>
      <c r="BX12" s="99">
        <f t="shared" si="31"/>
        <v>4.2336353420808237</v>
      </c>
      <c r="BY12" s="18">
        <f t="shared" si="32"/>
        <v>8855.1849603524242</v>
      </c>
      <c r="BZ12" s="18">
        <f t="shared" si="33"/>
        <v>4362.7520759193358</v>
      </c>
      <c r="CA12" s="18">
        <f t="shared" si="34"/>
        <v>13793.153530837004</v>
      </c>
      <c r="CB12" s="1710">
        <f t="shared" si="35"/>
        <v>3.3024355089039488</v>
      </c>
      <c r="CC12" s="266">
        <f>_xlfn.XLOOKUP($R12,'Price Record'!$C$6:$C$100,'Price Record'!I$6:I$100,"")</f>
        <v>841</v>
      </c>
      <c r="CD12" s="267">
        <f>_xlfn.XLOOKUP($R12,'Price Record'!$C$6:$C$100,'Price Record'!J$6:J$100,"")</f>
        <v>8.43</v>
      </c>
      <c r="CE12" s="99">
        <f t="shared" si="36"/>
        <v>-10</v>
      </c>
      <c r="CF12" s="17">
        <f t="shared" si="37"/>
        <v>1.021096684087798</v>
      </c>
      <c r="CG12" s="99">
        <f t="shared" si="38"/>
        <v>3.9156132636488081</v>
      </c>
      <c r="CH12" s="494">
        <f t="shared" si="39"/>
        <v>0.40809184572341695</v>
      </c>
      <c r="CI12" s="99">
        <f t="shared" si="40"/>
        <v>0.12137768585125386</v>
      </c>
      <c r="CJ12" s="20"/>
      <c r="CK12" s="691">
        <v>5180</v>
      </c>
      <c r="CL12" s="419">
        <v>1478</v>
      </c>
      <c r="CM12" s="468">
        <v>18</v>
      </c>
      <c r="CN12" s="843">
        <v>3</v>
      </c>
      <c r="CO12" s="21">
        <v>2087</v>
      </c>
      <c r="CP12" s="21"/>
      <c r="CQ12" s="469">
        <f t="shared" si="41"/>
        <v>2088.5</v>
      </c>
      <c r="CR12" s="1239">
        <f>(AS12*BD12)*(_xlfn.XLOOKUP($R12,'Sales Rec'!$E$37:$E$91,'Sales Rec'!$L$37:$L$91,"")/12)+CP12</f>
        <v>3112.7899735682822</v>
      </c>
      <c r="CS12" s="21">
        <v>3565</v>
      </c>
      <c r="CT12" s="16">
        <v>-150</v>
      </c>
      <c r="CU12" s="2240" t="str">
        <f t="shared" si="42"/>
        <v/>
      </c>
      <c r="CV12" s="693">
        <f t="shared" si="43"/>
        <v>8903</v>
      </c>
      <c r="CW12" s="49">
        <v>7527</v>
      </c>
      <c r="CX12" s="21">
        <v>2723</v>
      </c>
      <c r="CY12" s="49">
        <v>1515</v>
      </c>
      <c r="CZ12" s="53">
        <f t="shared" si="44"/>
        <v>9042</v>
      </c>
      <c r="DA12" s="1058">
        <f t="shared" si="45"/>
        <v>1.7000132855055134</v>
      </c>
      <c r="DB12" s="99">
        <f t="shared" si="46"/>
        <v>4.000106284044108</v>
      </c>
      <c r="DC12" s="53">
        <f t="shared" si="47"/>
        <v>17945</v>
      </c>
      <c r="DD12" s="645">
        <f t="shared" si="48"/>
        <v>0.50387294511005853</v>
      </c>
      <c r="DE12" s="13">
        <v>5149</v>
      </c>
      <c r="DF12" s="24">
        <v>5142</v>
      </c>
      <c r="DG12" s="24">
        <v>1</v>
      </c>
      <c r="DH12" s="51">
        <v>12796</v>
      </c>
      <c r="DI12" s="8">
        <f t="shared" si="62"/>
        <v>5269</v>
      </c>
      <c r="DJ12" s="644">
        <f t="shared" si="49"/>
        <v>4.521232159175562</v>
      </c>
      <c r="DK12" s="22">
        <v>2223</v>
      </c>
      <c r="DL12" s="22">
        <v>269</v>
      </c>
      <c r="DM12" s="22">
        <v>9505</v>
      </c>
      <c r="DN12" s="138">
        <f t="shared" si="50"/>
        <v>0.50387294511005853</v>
      </c>
      <c r="DO12" s="99">
        <f t="shared" si="51"/>
        <v>0.84992165092440009</v>
      </c>
      <c r="DP12" s="22">
        <v>0</v>
      </c>
      <c r="DQ12" s="8">
        <f t="shared" si="52"/>
        <v>799</v>
      </c>
      <c r="DR12" s="138">
        <f t="shared" si="53"/>
        <v>-0.19741678318248673</v>
      </c>
      <c r="DS12" s="99">
        <f t="shared" si="54"/>
        <v>0</v>
      </c>
      <c r="DT12" s="8">
        <f t="shared" si="55"/>
        <v>3061.24</v>
      </c>
      <c r="DU12" s="8">
        <f t="shared" si="56"/>
        <v>5805.8687258687269</v>
      </c>
      <c r="DV12" s="235">
        <f t="shared" si="57"/>
        <v>285.32818532818533</v>
      </c>
      <c r="DW12" s="8">
        <f t="shared" si="58"/>
        <v>4576.2184555984559</v>
      </c>
      <c r="DX12" s="411">
        <f t="shared" si="59"/>
        <v>120</v>
      </c>
      <c r="DY12" s="1117">
        <v>260</v>
      </c>
      <c r="DZ12" s="857">
        <f t="shared" si="60"/>
        <v>6.3631913852178174E-2</v>
      </c>
      <c r="EA12" s="386">
        <v>19.73</v>
      </c>
      <c r="EB12" s="504"/>
      <c r="EC12" s="510">
        <v>27220</v>
      </c>
      <c r="ED12" s="435">
        <v>4083</v>
      </c>
      <c r="EE12" s="510">
        <v>29450</v>
      </c>
      <c r="EF12" s="435">
        <v>7657</v>
      </c>
      <c r="EG12" s="510">
        <v>16950</v>
      </c>
      <c r="EH12" s="435">
        <v>4407</v>
      </c>
      <c r="EI12" s="510">
        <v>21420</v>
      </c>
      <c r="EJ12" s="435">
        <v>5569</v>
      </c>
      <c r="EK12" s="510">
        <v>3826</v>
      </c>
      <c r="EL12" s="1606">
        <v>19819</v>
      </c>
      <c r="EM12" s="1224">
        <v>3826</v>
      </c>
      <c r="EN12" s="834">
        <v>19819</v>
      </c>
      <c r="EO12" s="835">
        <f t="shared" si="63"/>
        <v>3.8540289003183932</v>
      </c>
      <c r="EP12" s="1648">
        <f t="shared" si="61"/>
        <v>9</v>
      </c>
      <c r="EQ12"/>
    </row>
    <row r="13" spans="1:147" ht="35" customHeight="1">
      <c r="A13" s="99">
        <f>_xlfn.XLOOKUP(R13,'MOPFRA Ranking'!$E$6:$E$55,'MOPFRA Ranking'!$AE$6:$AE$55)</f>
        <v>24.251489960105612</v>
      </c>
      <c r="B13" s="99">
        <f t="shared" si="1"/>
        <v>20.551489960105613</v>
      </c>
      <c r="C13" s="1585">
        <f t="shared" ca="1" si="2"/>
        <v>0.28259446071946076</v>
      </c>
      <c r="D13" s="2378">
        <f t="shared" si="3"/>
        <v>1.952366686791053</v>
      </c>
      <c r="E13" s="1414">
        <f t="shared" si="4"/>
        <v>6.1</v>
      </c>
      <c r="F13" s="1415">
        <f t="shared" si="5"/>
        <v>3.7000000000000006</v>
      </c>
      <c r="G13" s="2124" cm="1">
        <f t="array" ref="G13">IFERROR(_xlfn.XLOOKUP(R13,'Sales Rec'!$E$37:$E$91,'Sales Rec'!$CU$37:$CU$91*100,""),"")</f>
        <v>-8.1632192128888938</v>
      </c>
      <c r="H13" s="2313">
        <f>_xlfn.XLOOKUP(R13,'Sales Rec'!$E$37:$E$86,'Sales Rec'!$DQ$37:$DQ$86,"")</f>
        <v>1.3478760045924225</v>
      </c>
      <c r="I13" s="2312">
        <f>_xlfn.XLOOKUP(R13,'Sales History'!$C$4:$C$83,'Sales History'!$AS$4:$AS$83,"")</f>
        <v>0.69759450171821302</v>
      </c>
      <c r="J13" s="2313">
        <f>_xlfn.XLOOKUP(R13,'Sales History'!$C$4:$C$83,'Sales History'!$AW$4:$AW$83,"")</f>
        <v>1.1227863046044864</v>
      </c>
      <c r="K13" s="1942">
        <f>_xlfn.XLOOKUP(R13,'Sales Rec'!$E$4:$E$91,'Sales Rec'!$CV$4:$CV$91,"")</f>
        <v>14</v>
      </c>
      <c r="L13" s="1587">
        <f>_xlfn.XLOOKUP(R13,'MOPFRA Ranking'!$E$6:$E$55,'MOPFRA Ranking'!$AG$6:$AG$55,"")</f>
        <v>8</v>
      </c>
      <c r="M13" s="1582" t="str">
        <f>_xlfn.XLOOKUP(R13,'Sales Rec'!$E$4:$E$105,'Sales Rec'!$DS$4:$DS$105,"")</f>
        <v>BB</v>
      </c>
      <c r="N13" s="1582" t="str">
        <f>_xlfn.XLOOKUP(R13,'Sales Rec'!$E$4:$E$105,'Sales Rec'!$DZ$4:$DZ$105,"")</f>
        <v>BB</v>
      </c>
      <c r="O13" s="2365" t="str">
        <f>_xlfn.XLOOKUP($R13,'History Records'!$B$7:$B$88,'History Records'!$G$7:$G$88,"")</f>
        <v/>
      </c>
      <c r="P13" s="856" t="s">
        <v>209</v>
      </c>
      <c r="Q13" s="2364" t="s">
        <v>96</v>
      </c>
      <c r="R13" s="1571" t="s">
        <v>97</v>
      </c>
      <c r="S13" s="1929">
        <v>12</v>
      </c>
      <c r="T13" s="66">
        <f t="shared" si="6"/>
        <v>4884</v>
      </c>
      <c r="U13" s="2386">
        <f>_xlfn.XLOOKUP($R13,'Price Record'!$C$6:$C$100,'Price Record'!H$6:H$100,"")</f>
        <v>8140</v>
      </c>
      <c r="V13" s="338">
        <f>_xlfn.XLOOKUP(R13,'دیده بان بازار'!$A$3:$A$3542,'دیده بان بازار'!$M$3:$M$3542,"")</f>
        <v>2.91</v>
      </c>
      <c r="W13" s="2386">
        <f>_xlfn.XLOOKUP($R13,'Price Record'!$C$6:$C$100,'Price Record'!G$6:G$100,"")</f>
        <v>8140</v>
      </c>
      <c r="X13" s="337">
        <f>_xlfn.XLOOKUP(R13,'دیده بان بازار'!$A$3:$A$3542,'دیده بان بازار'!$J$3:$J$3542,"")</f>
        <v>2.91</v>
      </c>
      <c r="Y13" s="1708">
        <f t="shared" si="7"/>
        <v>6201</v>
      </c>
      <c r="Z13" s="661" t="str">
        <f t="shared" si="8"/>
        <v/>
      </c>
      <c r="AA13" s="822">
        <f t="shared" si="9"/>
        <v>0.15297450424929179</v>
      </c>
      <c r="AB13" s="511">
        <f t="shared" ca="1" si="10"/>
        <v>4.4383561643835619E-2</v>
      </c>
      <c r="AC13" s="2194">
        <f t="shared" ca="1" si="11"/>
        <v>-60.32830144747566</v>
      </c>
      <c r="AD13" s="1150">
        <f t="shared" si="12"/>
        <v>0.15297450424929179</v>
      </c>
      <c r="AE13" s="1150">
        <f t="shared" si="13"/>
        <v>1.4567404426559356</v>
      </c>
      <c r="AF13" s="1150">
        <f t="shared" si="14"/>
        <v>1.7028223574986165</v>
      </c>
      <c r="AG13" s="1150">
        <f t="shared" si="15"/>
        <v>0.8641221374045801</v>
      </c>
      <c r="AH13" s="1150">
        <f t="shared" si="16"/>
        <v>2.3659545141281875</v>
      </c>
      <c r="AI13" s="275">
        <f t="shared" ca="1" si="17"/>
        <v>347</v>
      </c>
      <c r="AJ13" s="1121">
        <v>46221</v>
      </c>
      <c r="AK13" s="1693">
        <v>46290</v>
      </c>
      <c r="AL13" s="1345">
        <f t="shared" si="18"/>
        <v>6000000000</v>
      </c>
      <c r="AM13" s="29"/>
      <c r="AN13" s="29"/>
      <c r="AO13" s="685">
        <v>0.39</v>
      </c>
      <c r="AP13" s="174"/>
      <c r="AQ13" s="1925">
        <v>3210</v>
      </c>
      <c r="AR13" s="1925">
        <v>710</v>
      </c>
      <c r="AS13" s="766">
        <f>_xlfn.XLOOKUP(R13,'Sales Rec'!$E$4:$E$86,'Sales Rec'!$X$4:$X$86,"")</f>
        <v>6398.0909873708388</v>
      </c>
      <c r="AT13" s="984">
        <f>_xlfn.XLOOKUP(R13,'Sales Rec'!$E$4:$E$86,'Sales Rec'!$K$4:$K$86,"")</f>
        <v>4</v>
      </c>
      <c r="AU13" s="376">
        <f t="shared" si="19"/>
        <v>0.76335269530247452</v>
      </c>
      <c r="AV13" s="99">
        <f t="shared" si="20"/>
        <v>0.978925903346336</v>
      </c>
      <c r="AW13" s="16">
        <v>1482</v>
      </c>
      <c r="AX13" s="16">
        <v>350</v>
      </c>
      <c r="AY13" s="1421">
        <f t="shared" si="21"/>
        <v>0.23599999999999999</v>
      </c>
      <c r="AZ13" s="1419">
        <v>0.17499999999999999</v>
      </c>
      <c r="BA13" s="1689">
        <v>0.221</v>
      </c>
      <c r="BB13" s="1690">
        <v>0.24099999999999999</v>
      </c>
      <c r="BC13" s="100">
        <f t="shared" si="22"/>
        <v>3.7000000000000006</v>
      </c>
      <c r="BD13" s="1420">
        <f t="shared" si="23"/>
        <v>0.185</v>
      </c>
      <c r="BE13" s="1419">
        <v>0.14799999999999999</v>
      </c>
      <c r="BF13" s="1687">
        <v>0.17799999999999999</v>
      </c>
      <c r="BG13" s="1688">
        <v>0.21199999999999999</v>
      </c>
      <c r="BH13" s="306">
        <f t="shared" si="24"/>
        <v>5.099999999999999E-2</v>
      </c>
      <c r="BI13" s="1861">
        <f t="shared" si="25"/>
        <v>302.32799999999992</v>
      </c>
      <c r="BJ13" s="306">
        <f t="shared" si="26"/>
        <v>2.6999999999999996E-2</v>
      </c>
      <c r="BK13" s="99">
        <v>0</v>
      </c>
      <c r="BL13" s="306">
        <f>_xlfn.XLOOKUP(R13,'Sales Rec'!$E$4:$E$91,'Sales Rec'!$Y$4:$Y$91,"")</f>
        <v>0.99317476242082203</v>
      </c>
      <c r="BM13" s="99">
        <f t="shared" si="27"/>
        <v>10</v>
      </c>
      <c r="BN13" s="15"/>
      <c r="BO13" s="1803">
        <v>3</v>
      </c>
      <c r="BP13" s="842">
        <f t="shared" si="28"/>
        <v>1</v>
      </c>
      <c r="BQ13" s="16">
        <v>460</v>
      </c>
      <c r="BR13" s="16"/>
      <c r="BS13" s="16"/>
      <c r="BT13" s="1253">
        <f>(_xlfn.XLOOKUP(R13,'Sales Rec'!$E$37:$E$91,'Sales Rec'!$X$37:$X$91)*BD13+CM13)*1000/CK13</f>
        <v>2064.4113877726754</v>
      </c>
      <c r="BU13" s="1246">
        <f t="shared" si="29"/>
        <v>1918.3333333333333</v>
      </c>
      <c r="BV13" s="406"/>
      <c r="BW13" s="407">
        <f t="shared" si="30"/>
        <v>4.0876333132089471</v>
      </c>
      <c r="BX13" s="99">
        <f t="shared" si="31"/>
        <v>4.5618334339552646</v>
      </c>
      <c r="BY13" s="18">
        <f t="shared" si="32"/>
        <v>1194.8234163318027</v>
      </c>
      <c r="BZ13" s="18">
        <f t="shared" si="33"/>
        <v>808.60927152317879</v>
      </c>
      <c r="CA13" s="18">
        <f t="shared" si="34"/>
        <v>1509.9494730195179</v>
      </c>
      <c r="CB13" s="1710">
        <f t="shared" si="35"/>
        <v>4.1067599352179416</v>
      </c>
      <c r="CC13" s="266">
        <f>_xlfn.XLOOKUP($R13,'Price Record'!$C$6:$C$100,'Price Record'!I$6:I$100,"")</f>
        <v>1348</v>
      </c>
      <c r="CD13" s="267">
        <f>_xlfn.XLOOKUP($R13,'Price Record'!$C$6:$C$100,'Price Record'!J$6:J$100,"")</f>
        <v>6.04</v>
      </c>
      <c r="CE13" s="99">
        <f t="shared" si="36"/>
        <v>-3.12</v>
      </c>
      <c r="CF13" s="17">
        <f t="shared" si="37"/>
        <v>1.1533084982804933</v>
      </c>
      <c r="CG13" s="99">
        <f t="shared" si="38"/>
        <v>3.3867660068780268</v>
      </c>
      <c r="CH13" s="494">
        <f t="shared" si="39"/>
        <v>0.25623491664846726</v>
      </c>
      <c r="CI13" s="99">
        <f t="shared" si="40"/>
        <v>-2.1564762502729913</v>
      </c>
      <c r="CJ13" s="20"/>
      <c r="CK13" s="691">
        <v>600</v>
      </c>
      <c r="CL13" s="419">
        <v>926</v>
      </c>
      <c r="CM13" s="468">
        <v>55</v>
      </c>
      <c r="CN13" s="843">
        <v>2</v>
      </c>
      <c r="CO13" s="21">
        <v>276</v>
      </c>
      <c r="CP13" s="21"/>
      <c r="CQ13" s="469">
        <f t="shared" si="41"/>
        <v>287.75</v>
      </c>
      <c r="CR13" s="1239">
        <f>(AS13*BD13)*(_xlfn.XLOOKUP($R13,'Sales Rec'!$E$37:$E$91,'Sales Rec'!$L$37:$L$91,"")/12)+CP13</f>
        <v>394.54894422120174</v>
      </c>
      <c r="CS13" s="21">
        <v>1202</v>
      </c>
      <c r="CT13" s="16">
        <v>0</v>
      </c>
      <c r="CU13" s="2240" t="str">
        <f t="shared" si="42"/>
        <v/>
      </c>
      <c r="CV13" s="693">
        <f t="shared" si="43"/>
        <v>1865</v>
      </c>
      <c r="CW13" s="49">
        <v>1149</v>
      </c>
      <c r="CX13" s="21">
        <v>151</v>
      </c>
      <c r="CY13" s="49">
        <v>229</v>
      </c>
      <c r="CZ13" s="53">
        <f t="shared" si="44"/>
        <v>1378</v>
      </c>
      <c r="DA13" s="1058">
        <f t="shared" si="45"/>
        <v>2.4351610095735423</v>
      </c>
      <c r="DB13" s="99">
        <f t="shared" si="46"/>
        <v>6</v>
      </c>
      <c r="DC13" s="53">
        <f t="shared" si="47"/>
        <v>3243</v>
      </c>
      <c r="DD13" s="645">
        <f t="shared" si="48"/>
        <v>0.42491520197348137</v>
      </c>
      <c r="DE13" s="13">
        <v>445</v>
      </c>
      <c r="DF13" s="24">
        <v>445</v>
      </c>
      <c r="DG13" s="24">
        <v>0</v>
      </c>
      <c r="DH13" s="51">
        <v>2798</v>
      </c>
      <c r="DI13" s="8">
        <f t="shared" si="62"/>
        <v>1649</v>
      </c>
      <c r="DJ13" s="644">
        <f t="shared" si="49"/>
        <v>3.8799824059253116</v>
      </c>
      <c r="DK13" s="22">
        <v>334</v>
      </c>
      <c r="DL13" s="22">
        <v>61</v>
      </c>
      <c r="DM13" s="22">
        <v>2022</v>
      </c>
      <c r="DN13" s="138">
        <f t="shared" si="50"/>
        <v>0.42491520197348137</v>
      </c>
      <c r="DO13" s="99">
        <f t="shared" si="51"/>
        <v>0.90044086619897767</v>
      </c>
      <c r="DP13" s="22">
        <v>0</v>
      </c>
      <c r="DQ13" s="8">
        <f t="shared" si="52"/>
        <v>381</v>
      </c>
      <c r="DR13" s="138">
        <f t="shared" si="53"/>
        <v>-0.10000334626961928</v>
      </c>
      <c r="DS13" s="99">
        <f t="shared" si="54"/>
        <v>0</v>
      </c>
      <c r="DT13" s="8">
        <f t="shared" si="55"/>
        <v>4906.72</v>
      </c>
      <c r="DU13" s="8">
        <f t="shared" si="56"/>
        <v>6906</v>
      </c>
      <c r="DV13" s="235">
        <f t="shared" si="57"/>
        <v>1543.3333333333333</v>
      </c>
      <c r="DW13" s="8">
        <f t="shared" si="58"/>
        <v>6678.0266666666676</v>
      </c>
      <c r="DX13" s="411">
        <f t="shared" si="59"/>
        <v>69</v>
      </c>
      <c r="DY13" s="1117">
        <v>350</v>
      </c>
      <c r="DZ13" s="857">
        <f t="shared" si="60"/>
        <v>4.7233468286099867E-2</v>
      </c>
      <c r="EA13" s="386">
        <v>0.33800000000000002</v>
      </c>
      <c r="EB13" s="504"/>
      <c r="EC13" s="510">
        <v>3238</v>
      </c>
      <c r="ED13" s="435">
        <v>1451</v>
      </c>
      <c r="EE13" s="510">
        <v>5850</v>
      </c>
      <c r="EF13" s="435">
        <v>2620</v>
      </c>
      <c r="EG13" s="510">
        <v>4035</v>
      </c>
      <c r="EH13" s="435">
        <v>1807</v>
      </c>
      <c r="EI13" s="510">
        <v>3313</v>
      </c>
      <c r="EJ13" s="435">
        <v>1988</v>
      </c>
      <c r="EK13" s="510">
        <v>7060</v>
      </c>
      <c r="EL13" s="1606">
        <v>4236</v>
      </c>
      <c r="EM13" s="1224">
        <v>7060</v>
      </c>
      <c r="EN13" s="834">
        <v>4236</v>
      </c>
      <c r="EO13" s="835">
        <f t="shared" si="63"/>
        <v>1.9193659545141282</v>
      </c>
      <c r="EP13" s="1648">
        <f t="shared" si="61"/>
        <v>14</v>
      </c>
      <c r="EQ13"/>
    </row>
    <row r="14" spans="1:147" ht="35" customHeight="1">
      <c r="A14" s="99">
        <f>_xlfn.XLOOKUP(R14,'MOPFRA Ranking'!$E$6:$E$55,'MOPFRA Ranking'!$AE$6:$AE$55)</f>
        <v>22.537123972438035</v>
      </c>
      <c r="B14" s="99">
        <f t="shared" si="1"/>
        <v>20.037123972438032</v>
      </c>
      <c r="C14" s="1585">
        <f t="shared" ca="1" si="2"/>
        <v>0.35360424408253976</v>
      </c>
      <c r="D14" s="2378">
        <f t="shared" si="3"/>
        <v>2.9950139723083997</v>
      </c>
      <c r="E14" s="1414">
        <f t="shared" si="4"/>
        <v>2.599999999999997</v>
      </c>
      <c r="F14" s="1415">
        <f t="shared" si="5"/>
        <v>2.5000000000000022</v>
      </c>
      <c r="G14" s="2124" cm="1">
        <f t="array" ref="G14">IFERROR(_xlfn.XLOOKUP(R14,'Sales Rec'!$E$37:$E$91,'Sales Rec'!$CU$37:$CU$91*100,""),"")</f>
        <v>16.218014216720452</v>
      </c>
      <c r="H14" s="2313">
        <f>_xlfn.XLOOKUP(R14,'Sales Rec'!$E$37:$E$86,'Sales Rec'!$DQ$37:$DQ$86,"")</f>
        <v>0.47426067907995617</v>
      </c>
      <c r="I14" s="2312">
        <f>_xlfn.XLOOKUP(R14,'Sales History'!$C$4:$C$83,'Sales History'!$AS$4:$AS$83,"")</f>
        <v>1.6872852233676976</v>
      </c>
      <c r="J14" s="2313">
        <f>_xlfn.XLOOKUP(R14,'Sales History'!$C$4:$C$83,'Sales History'!$AW$4:$AW$83,"")</f>
        <v>10.302521008403362</v>
      </c>
      <c r="K14" s="1942">
        <f>_xlfn.XLOOKUP(R14,'Sales Rec'!$E$4:$E$91,'Sales Rec'!$CV$4:$CV$91,"")</f>
        <v>38</v>
      </c>
      <c r="L14" s="1587">
        <f>_xlfn.XLOOKUP(R14,'MOPFRA Ranking'!$E$6:$E$55,'MOPFRA Ranking'!$AG$6:$AG$55,"")</f>
        <v>14</v>
      </c>
      <c r="M14" s="1582" t="str">
        <f>_xlfn.XLOOKUP(R14,'Sales Rec'!$E$4:$E$105,'Sales Rec'!$DS$4:$DS$105,"")</f>
        <v>B</v>
      </c>
      <c r="N14" s="1582" t="str">
        <f>_xlfn.XLOOKUP(R14,'Sales Rec'!$E$4:$E$105,'Sales Rec'!$DZ$4:$DZ$105,"")</f>
        <v>BB</v>
      </c>
      <c r="O14" s="2365" t="str">
        <f>_xlfn.XLOOKUP($R14,'History Records'!$B$7:$B$88,'History Records'!$G$7:$G$88,"")</f>
        <v/>
      </c>
      <c r="P14" s="856" t="s">
        <v>470</v>
      </c>
      <c r="Q14" s="2364" t="s">
        <v>86</v>
      </c>
      <c r="R14" s="1571" t="s">
        <v>87</v>
      </c>
      <c r="S14" s="1929">
        <v>12</v>
      </c>
      <c r="T14" s="66">
        <f t="shared" si="6"/>
        <v>3295</v>
      </c>
      <c r="U14" s="2386">
        <f>_xlfn.XLOOKUP($R14,'Price Record'!$C$6:$C$100,'Price Record'!H$6:H$100,"")</f>
        <v>6570</v>
      </c>
      <c r="V14" s="338">
        <f>_xlfn.XLOOKUP(R14,'دیده بان بازار'!$A$3:$A$3542,'دیده بان بازار'!$M$3:$M$3542,"")</f>
        <v>2.66</v>
      </c>
      <c r="W14" s="2386">
        <f>_xlfn.XLOOKUP($R14,'Price Record'!$C$6:$C$100,'Price Record'!G$6:G$100,"")</f>
        <v>6590</v>
      </c>
      <c r="X14" s="337">
        <f>_xlfn.XLOOKUP(R14,'دیده بان بازار'!$A$3:$A$3542,'دیده بان بازار'!$J$3:$J$3542,"")</f>
        <v>2.97</v>
      </c>
      <c r="Y14" s="1708">
        <f t="shared" si="7"/>
        <v>4050</v>
      </c>
      <c r="Z14" s="661" t="str">
        <f t="shared" si="8"/>
        <v/>
      </c>
      <c r="AA14" s="822">
        <f t="shared" si="9"/>
        <v>0.14211438474870017</v>
      </c>
      <c r="AB14" s="511">
        <f t="shared" ca="1" si="10"/>
        <v>5.6712328767123295E-2</v>
      </c>
      <c r="AC14" s="2194">
        <f t="shared" ca="1" si="11"/>
        <v>-37.131328687642124</v>
      </c>
      <c r="AD14" s="1150">
        <f t="shared" si="12"/>
        <v>0.14211438474870017</v>
      </c>
      <c r="AE14" s="1150">
        <f t="shared" si="13"/>
        <v>0.10942760942760943</v>
      </c>
      <c r="AF14" s="1150" t="str">
        <f t="shared" si="14"/>
        <v/>
      </c>
      <c r="AG14" s="1150" t="str">
        <f t="shared" si="15"/>
        <v/>
      </c>
      <c r="AH14" s="1150" t="str">
        <f t="shared" si="16"/>
        <v/>
      </c>
      <c r="AI14" s="275">
        <f t="shared" ca="1" si="17"/>
        <v>342</v>
      </c>
      <c r="AJ14" s="1121">
        <v>46216</v>
      </c>
      <c r="AK14" s="1116">
        <v>46255</v>
      </c>
      <c r="AL14" s="1345">
        <f t="shared" si="18"/>
        <v>5000000000</v>
      </c>
      <c r="AM14" s="29"/>
      <c r="AN14" s="29"/>
      <c r="AO14" s="685">
        <v>0.05</v>
      </c>
      <c r="AP14" s="174"/>
      <c r="AQ14" s="1925">
        <v>2996</v>
      </c>
      <c r="AR14" s="1925">
        <v>565</v>
      </c>
      <c r="AS14" s="766">
        <f>_xlfn.XLOOKUP(R14,'Sales Rec'!$E$4:$E$86,'Sales Rec'!$X$4:$X$86,"")</f>
        <v>4075.1924972617744</v>
      </c>
      <c r="AT14" s="984">
        <f>_xlfn.XLOOKUP(R14,'Sales Rec'!$E$4:$E$86,'Sales Rec'!$K$4:$K$86,"")</f>
        <v>4</v>
      </c>
      <c r="AU14" s="376">
        <f t="shared" si="19"/>
        <v>0.80855076225576938</v>
      </c>
      <c r="AV14" s="99">
        <f t="shared" si="20"/>
        <v>0</v>
      </c>
      <c r="AW14" s="16">
        <v>782</v>
      </c>
      <c r="AX14" s="16">
        <v>280</v>
      </c>
      <c r="AY14" s="2202">
        <f t="shared" si="21"/>
        <v>0.35799999999999998</v>
      </c>
      <c r="AZ14" s="1419">
        <v>0.33200000000000002</v>
      </c>
      <c r="BA14" s="1689">
        <v>0.189</v>
      </c>
      <c r="BB14" s="1690">
        <v>0.20200000000000001</v>
      </c>
      <c r="BC14" s="100">
        <f t="shared" si="22"/>
        <v>2.5000000000000022</v>
      </c>
      <c r="BD14" s="1420">
        <f t="shared" si="23"/>
        <v>0.26300000000000001</v>
      </c>
      <c r="BE14" s="1419">
        <v>0.23799999999999999</v>
      </c>
      <c r="BF14" s="1687">
        <v>0.13200000000000001</v>
      </c>
      <c r="BG14" s="1688">
        <v>0.16300000000000001</v>
      </c>
      <c r="BH14" s="306">
        <f t="shared" si="24"/>
        <v>9.4999999999999973E-2</v>
      </c>
      <c r="BI14" s="1861">
        <f t="shared" si="25"/>
        <v>297.15999999999991</v>
      </c>
      <c r="BJ14" s="306">
        <f t="shared" si="26"/>
        <v>9.4000000000000028E-2</v>
      </c>
      <c r="BK14" s="99">
        <v>0</v>
      </c>
      <c r="BL14" s="306">
        <f>_xlfn.XLOOKUP(R14,'Sales Rec'!$E$4:$E$91,'Sales Rec'!$Y$4:$Y$91,"")</f>
        <v>0.36021111390579919</v>
      </c>
      <c r="BM14" s="99">
        <f t="shared" si="27"/>
        <v>6.5429018747129701</v>
      </c>
      <c r="BN14" s="15"/>
      <c r="BO14" s="1803">
        <v>3</v>
      </c>
      <c r="BP14" s="842">
        <f t="shared" si="28"/>
        <v>1</v>
      </c>
      <c r="BQ14" s="16">
        <v>462</v>
      </c>
      <c r="BR14" s="16"/>
      <c r="BS14" s="16"/>
      <c r="BT14" s="1253">
        <f>(_xlfn.XLOOKUP(R14,'Sales Rec'!$E$37:$E$91,'Sales Rec'!$X$37:$X$91)*BD14+CM14)*1000/CK14</f>
        <v>2251.5512535596936</v>
      </c>
      <c r="BU14" s="1246">
        <f t="shared" si="29"/>
        <v>1848</v>
      </c>
      <c r="BV14" s="406"/>
      <c r="BW14" s="407">
        <f t="shared" si="30"/>
        <v>3.2149860276916002</v>
      </c>
      <c r="BX14" s="99">
        <f t="shared" si="31"/>
        <v>8.9250698615419992</v>
      </c>
      <c r="BY14" s="18">
        <f t="shared" si="32"/>
        <v>1024.8878133899234</v>
      </c>
      <c r="BZ14" s="18">
        <f t="shared" si="33"/>
        <v>530.59581320450889</v>
      </c>
      <c r="CA14" s="18">
        <f t="shared" si="34"/>
        <v>1458.9189140197152</v>
      </c>
      <c r="CB14" s="1710">
        <f t="shared" si="35"/>
        <v>2.7760281678994465</v>
      </c>
      <c r="CC14" s="266">
        <f>_xlfn.XLOOKUP($R14,'Price Record'!$C$6:$C$100,'Price Record'!I$6:I$100,"")</f>
        <v>1058</v>
      </c>
      <c r="CD14" s="267">
        <f>_xlfn.XLOOKUP($R14,'Price Record'!$C$6:$C$100,'Price Record'!J$6:J$100,"")</f>
        <v>6.21</v>
      </c>
      <c r="CE14" s="99">
        <f t="shared" si="36"/>
        <v>-3.63</v>
      </c>
      <c r="CF14" s="17">
        <f t="shared" si="37"/>
        <v>0.98059513135965348</v>
      </c>
      <c r="CG14" s="99">
        <f t="shared" si="38"/>
        <v>4.0776194745613861</v>
      </c>
      <c r="CH14" s="494">
        <f t="shared" si="39"/>
        <v>0.27476885077477842</v>
      </c>
      <c r="CI14" s="99">
        <f t="shared" si="40"/>
        <v>-1.8784672383783241</v>
      </c>
      <c r="CJ14" s="20"/>
      <c r="CK14" s="691">
        <v>500</v>
      </c>
      <c r="CL14" s="419">
        <v>793</v>
      </c>
      <c r="CM14" s="468">
        <v>54</v>
      </c>
      <c r="CN14" s="843">
        <v>25</v>
      </c>
      <c r="CO14" s="21">
        <v>231</v>
      </c>
      <c r="CP14" s="21">
        <v>0</v>
      </c>
      <c r="CQ14" s="469">
        <f t="shared" si="41"/>
        <v>231</v>
      </c>
      <c r="CR14" s="1239">
        <f>(AS14*BD14)*(_xlfn.XLOOKUP($R14,'Sales Rec'!$E$37:$E$91,'Sales Rec'!$L$37:$L$91,"")/12)+CP14</f>
        <v>357.25854225994891</v>
      </c>
      <c r="CS14" s="21">
        <v>1024</v>
      </c>
      <c r="CT14" s="16">
        <v>0</v>
      </c>
      <c r="CU14" s="2240" t="str">
        <f t="shared" si="42"/>
        <v/>
      </c>
      <c r="CV14" s="693">
        <f t="shared" si="43"/>
        <v>1575</v>
      </c>
      <c r="CW14" s="49">
        <v>992</v>
      </c>
      <c r="CX14" s="21">
        <v>140</v>
      </c>
      <c r="CY14" s="49">
        <v>13</v>
      </c>
      <c r="CZ14" s="53">
        <f t="shared" si="44"/>
        <v>1005</v>
      </c>
      <c r="DA14" s="1058">
        <f t="shared" si="45"/>
        <v>2.1723790322580645</v>
      </c>
      <c r="DB14" s="99">
        <f t="shared" si="46"/>
        <v>6</v>
      </c>
      <c r="DC14" s="53">
        <f t="shared" si="47"/>
        <v>2580</v>
      </c>
      <c r="DD14" s="645">
        <f t="shared" si="48"/>
        <v>0.38953488372093026</v>
      </c>
      <c r="DE14" s="13">
        <v>425</v>
      </c>
      <c r="DF14" s="24">
        <v>376</v>
      </c>
      <c r="DG14" s="24">
        <v>49</v>
      </c>
      <c r="DH14" s="51">
        <v>2155</v>
      </c>
      <c r="DI14" s="8">
        <f t="shared" si="62"/>
        <v>1163</v>
      </c>
      <c r="DJ14" s="644">
        <f t="shared" si="49"/>
        <v>3.5040348213772781</v>
      </c>
      <c r="DK14" s="22">
        <v>1630</v>
      </c>
      <c r="DL14" s="22">
        <v>9</v>
      </c>
      <c r="DM14" s="22">
        <v>255</v>
      </c>
      <c r="DN14" s="138">
        <f t="shared" si="50"/>
        <v>0.38953488372093026</v>
      </c>
      <c r="DO14" s="99">
        <f t="shared" si="51"/>
        <v>0</v>
      </c>
      <c r="DP14" s="22">
        <v>241</v>
      </c>
      <c r="DQ14" s="8">
        <f t="shared" si="52"/>
        <v>20</v>
      </c>
      <c r="DR14" s="138">
        <f t="shared" si="53"/>
        <v>6.9229344434035583E-2</v>
      </c>
      <c r="DS14" s="99">
        <f t="shared" si="54"/>
        <v>0</v>
      </c>
      <c r="DT14" s="8">
        <f t="shared" si="55"/>
        <v>3851.12</v>
      </c>
      <c r="DU14" s="8">
        <f t="shared" si="56"/>
        <v>6652.8</v>
      </c>
      <c r="DV14" s="235">
        <f t="shared" si="57"/>
        <v>1586</v>
      </c>
      <c r="DW14" s="8">
        <f t="shared" si="58"/>
        <v>6044.96</v>
      </c>
      <c r="DX14" s="411">
        <f t="shared" si="59"/>
        <v>39</v>
      </c>
      <c r="DY14" s="1117">
        <v>400</v>
      </c>
      <c r="DZ14" s="857">
        <f t="shared" si="60"/>
        <v>6.4829821717990274E-2</v>
      </c>
      <c r="EA14" s="386"/>
      <c r="EB14" s="504"/>
      <c r="EC14" s="510"/>
      <c r="ED14" s="435"/>
      <c r="EE14" s="510"/>
      <c r="EF14" s="435"/>
      <c r="EG14" s="510"/>
      <c r="EH14" s="435"/>
      <c r="EI14" s="510">
        <v>5940</v>
      </c>
      <c r="EJ14" s="435">
        <v>2970</v>
      </c>
      <c r="EK14" s="510">
        <v>5770</v>
      </c>
      <c r="EL14" s="1606">
        <v>2885</v>
      </c>
      <c r="EM14" s="1224">
        <v>5770</v>
      </c>
      <c r="EN14" s="834">
        <v>2885</v>
      </c>
      <c r="EO14" s="835" t="str">
        <f t="shared" si="63"/>
        <v/>
      </c>
      <c r="EP14" s="1648" t="str">
        <f t="shared" si="61"/>
        <v>NEW</v>
      </c>
      <c r="EQ14"/>
    </row>
    <row r="15" spans="1:147" ht="45" customHeight="1">
      <c r="A15" s="99">
        <f>_xlfn.XLOOKUP(R15,'MOPFRA Ranking'!$E$6:$E$55,'MOPFRA Ranking'!$AE$6:$AE$55)</f>
        <v>21.915394470166301</v>
      </c>
      <c r="B15" s="99">
        <f t="shared" si="1"/>
        <v>22.915394470166301</v>
      </c>
      <c r="C15" s="1585">
        <f t="shared" ca="1" si="2"/>
        <v>0.16832968547151153</v>
      </c>
      <c r="D15" s="2378">
        <f t="shared" si="3"/>
        <v>3.1881062704957381</v>
      </c>
      <c r="E15" s="1414">
        <f t="shared" si="4"/>
        <v>-4.7000000000000046</v>
      </c>
      <c r="F15" s="1415">
        <f t="shared" si="5"/>
        <v>-1.0000000000000009</v>
      </c>
      <c r="G15" s="2124" cm="1">
        <f t="array" ref="G15">IFERROR(_xlfn.XLOOKUP(R15,'Sales Rec'!$E$37:$E$91,'Sales Rec'!$CU$37:$CU$91*100,""),"")</f>
        <v>-2.4543884252858916</v>
      </c>
      <c r="H15" s="2313">
        <f>_xlfn.XLOOKUP(R15,'Sales Rec'!$E$37:$E$86,'Sales Rec'!$DQ$37:$DQ$86,"")</f>
        <v>2.4231805929919137</v>
      </c>
      <c r="I15" s="2312">
        <f>_xlfn.XLOOKUP(R15,'Sales History'!$C$4:$C$83,'Sales History'!$AS$4:$AS$83,"")</f>
        <v>2.7273936170212765</v>
      </c>
      <c r="J15" s="2313">
        <f>_xlfn.XLOOKUP(R15,'Sales History'!$C$4:$C$83,'Sales History'!$AW$4:$AW$83,"")</f>
        <v>2.0871212121212119</v>
      </c>
      <c r="K15" s="1942">
        <f>_xlfn.XLOOKUP(R15,'Sales Rec'!$E$4:$E$91,'Sales Rec'!$CV$4:$CV$91,"")</f>
        <v>2</v>
      </c>
      <c r="L15" s="1587">
        <f>_xlfn.XLOOKUP(R15,'MOPFRA Ranking'!$E$6:$E$55,'MOPFRA Ranking'!$AG$6:$AG$55,"")</f>
        <v>6</v>
      </c>
      <c r="M15" s="1582" t="str">
        <f>_xlfn.XLOOKUP(R15,'Sales Rec'!$E$4:$E$105,'Sales Rec'!$DS$4:$DS$105,"")</f>
        <v>BB</v>
      </c>
      <c r="N15" s="1582" t="str">
        <f>_xlfn.XLOOKUP(R15,'Sales Rec'!$E$4:$E$105,'Sales Rec'!$DZ$4:$DZ$105,"")</f>
        <v>BB</v>
      </c>
      <c r="O15" s="2365" t="str">
        <f>_xlfn.XLOOKUP($R15,'History Records'!$B$7:$B$88,'History Records'!$G$7:$G$88,"")</f>
        <v/>
      </c>
      <c r="P15" s="856" t="s">
        <v>168</v>
      </c>
      <c r="Q15" s="2383" t="s">
        <v>160</v>
      </c>
      <c r="R15" s="1975" t="s">
        <v>161</v>
      </c>
      <c r="S15" s="1929">
        <v>12</v>
      </c>
      <c r="T15" s="66">
        <f t="shared" si="6"/>
        <v>16316.3</v>
      </c>
      <c r="U15" s="2386">
        <f>_xlfn.XLOOKUP($R15,'Price Record'!$C$6:$C$100,'Price Record'!H$6:H$100,"")</f>
        <v>21130</v>
      </c>
      <c r="V15" s="338">
        <f>_xlfn.XLOOKUP(R15,'دیده بان بازار'!$A$3:$A$3542,'دیده بان بازار'!$M$3:$M$3542,"")</f>
        <v>2.67</v>
      </c>
      <c r="W15" s="2386">
        <f>_xlfn.XLOOKUP($R15,'Price Record'!$C$6:$C$100,'Price Record'!G$6:G$100,"")</f>
        <v>21190</v>
      </c>
      <c r="X15" s="337">
        <f>_xlfn.XLOOKUP(R15,'دیده بان بازار'!$A$3:$A$3542,'دیده بان بازار'!$J$3:$J$3542,"")</f>
        <v>2.96</v>
      </c>
      <c r="Y15" s="1708">
        <f t="shared" si="7"/>
        <v>19623.3</v>
      </c>
      <c r="Z15" s="661" t="str">
        <f t="shared" si="8"/>
        <v/>
      </c>
      <c r="AA15" s="822">
        <f t="shared" si="9"/>
        <v>0.12409920771615565</v>
      </c>
      <c r="AB15" s="511">
        <f t="shared" ca="1" si="10"/>
        <v>3.6986301369863014E-2</v>
      </c>
      <c r="AC15" s="2194">
        <f t="shared" ca="1" si="11"/>
        <v>-58.075270897528426</v>
      </c>
      <c r="AD15" s="1150">
        <f t="shared" si="12"/>
        <v>0.12409920771615565</v>
      </c>
      <c r="AE15" s="1150">
        <f t="shared" si="13"/>
        <v>2.0372859270290395</v>
      </c>
      <c r="AF15" s="1150" t="str">
        <f t="shared" si="14"/>
        <v/>
      </c>
      <c r="AG15" s="1150" t="str">
        <f t="shared" si="15"/>
        <v/>
      </c>
      <c r="AH15" s="1150" t="str">
        <f t="shared" si="16"/>
        <v/>
      </c>
      <c r="AI15" s="275">
        <f t="shared" ca="1" si="17"/>
        <v>350</v>
      </c>
      <c r="AJ15" s="1121">
        <v>46224</v>
      </c>
      <c r="AK15" s="1116">
        <v>46299</v>
      </c>
      <c r="AL15" s="1345">
        <f t="shared" si="18"/>
        <v>7700000000</v>
      </c>
      <c r="AM15" s="29"/>
      <c r="AN15" s="29"/>
      <c r="AO15" s="685">
        <v>0.05</v>
      </c>
      <c r="AP15" s="174"/>
      <c r="AQ15" s="1925">
        <v>3615</v>
      </c>
      <c r="AR15" s="1925">
        <v>2001</v>
      </c>
      <c r="AS15" s="766">
        <f>_xlfn.XLOOKUP(R15,'Sales Rec'!$E$4:$E$86,'Sales Rec'!$X$4:$X$86,"")</f>
        <v>10622.898921832884</v>
      </c>
      <c r="AT15" s="984">
        <f>_xlfn.XLOOKUP(R15,'Sales Rec'!$E$4:$E$86,'Sales Rec'!$K$4:$K$86,"")</f>
        <v>4</v>
      </c>
      <c r="AU15" s="376">
        <f t="shared" si="19"/>
        <v>1.5359554976528733</v>
      </c>
      <c r="AV15" s="99">
        <f t="shared" si="20"/>
        <v>2.6783955284946104</v>
      </c>
      <c r="AW15" s="16">
        <v>2803</v>
      </c>
      <c r="AX15" s="16">
        <v>1406</v>
      </c>
      <c r="AY15" s="1421">
        <f t="shared" si="21"/>
        <v>0.502</v>
      </c>
      <c r="AZ15" s="1419">
        <v>0.54900000000000004</v>
      </c>
      <c r="BA15" s="1421">
        <v>0.55400000000000005</v>
      </c>
      <c r="BB15" s="1421">
        <v>0.55700000000000005</v>
      </c>
      <c r="BC15" s="100">
        <f t="shared" si="22"/>
        <v>-1.0000000000000009</v>
      </c>
      <c r="BD15" s="1420">
        <f t="shared" si="23"/>
        <v>0.377</v>
      </c>
      <c r="BE15" s="1419">
        <v>0.38700000000000001</v>
      </c>
      <c r="BF15" s="1420">
        <v>0.40400000000000003</v>
      </c>
      <c r="BG15" s="1420">
        <v>0.38200000000000001</v>
      </c>
      <c r="BH15" s="306">
        <f t="shared" si="24"/>
        <v>0.125</v>
      </c>
      <c r="BI15" s="1861">
        <f t="shared" si="25"/>
        <v>1401.5</v>
      </c>
      <c r="BJ15" s="306">
        <f t="shared" si="26"/>
        <v>0.16200000000000003</v>
      </c>
      <c r="BK15" s="99">
        <v>0</v>
      </c>
      <c r="BL15" s="306">
        <f>_xlfn.XLOOKUP(R15,'Sales Rec'!$E$4:$E$91,'Sales Rec'!$Y$4:$Y$91,"")</f>
        <v>1.9385612508528034</v>
      </c>
      <c r="BM15" s="99">
        <f t="shared" si="27"/>
        <v>10</v>
      </c>
      <c r="BN15" s="15"/>
      <c r="BO15" s="1803">
        <v>3</v>
      </c>
      <c r="BP15" s="842">
        <f t="shared" si="28"/>
        <v>1</v>
      </c>
      <c r="BQ15" s="16">
        <v>1428</v>
      </c>
      <c r="BR15" s="16"/>
      <c r="BS15" s="16"/>
      <c r="BT15" s="1253">
        <f>(_xlfn.XLOOKUP(R15,'Sales Rec'!$E$37:$E$91,'Sales Rec'!$X$37:$X$91)*BD15+CM15)*1000/CK15</f>
        <v>5288.0946669233736</v>
      </c>
      <c r="BU15" s="1246">
        <f t="shared" si="29"/>
        <v>5714.2857142857147</v>
      </c>
      <c r="BV15" s="406"/>
      <c r="BW15" s="407">
        <f t="shared" si="30"/>
        <v>3.8518937295042619</v>
      </c>
      <c r="BX15" s="99">
        <f t="shared" si="31"/>
        <v>5.7405313524786905</v>
      </c>
      <c r="BY15" s="18">
        <f t="shared" si="32"/>
        <v>4235.9164467654991</v>
      </c>
      <c r="BZ15" s="18">
        <f t="shared" si="33"/>
        <v>2317.65625</v>
      </c>
      <c r="CA15" s="18">
        <f t="shared" si="34"/>
        <v>5332.6952587601081</v>
      </c>
      <c r="CB15" s="1710">
        <f t="shared" si="35"/>
        <v>3.6798089986043125</v>
      </c>
      <c r="CC15" s="266">
        <f>_xlfn.XLOOKUP($R15,'Price Record'!$C$6:$C$100,'Price Record'!I$6:I$100,"")</f>
        <v>3000</v>
      </c>
      <c r="CD15" s="267">
        <f>_xlfn.XLOOKUP($R15,'Price Record'!$C$6:$C$100,'Price Record'!J$6:J$100,"")</f>
        <v>7.04</v>
      </c>
      <c r="CE15" s="99">
        <f t="shared" si="36"/>
        <v>-6.12</v>
      </c>
      <c r="CF15" s="17">
        <f t="shared" si="37"/>
        <v>0.84279282768337282</v>
      </c>
      <c r="CG15" s="99">
        <f t="shared" si="38"/>
        <v>4.6288286892665091</v>
      </c>
      <c r="CH15" s="494">
        <f t="shared" si="39"/>
        <v>0.43705287317019181</v>
      </c>
      <c r="CI15" s="99">
        <f t="shared" si="40"/>
        <v>0.55579309755287687</v>
      </c>
      <c r="CJ15" s="20"/>
      <c r="CK15" s="691">
        <v>770</v>
      </c>
      <c r="CL15" s="419">
        <v>1350</v>
      </c>
      <c r="CM15" s="468">
        <v>67</v>
      </c>
      <c r="CN15" s="843">
        <v>42</v>
      </c>
      <c r="CO15" s="21">
        <v>1100</v>
      </c>
      <c r="CP15" s="21"/>
      <c r="CQ15" s="469">
        <f t="shared" si="41"/>
        <v>1100</v>
      </c>
      <c r="CR15" s="1239">
        <f>(AS15*BD15)*(_xlfn.XLOOKUP($R15,'Sales Rec'!$E$37:$E$91,'Sales Rec'!$L$37:$L$91,"")/12)+CP15</f>
        <v>1334.9442978436657</v>
      </c>
      <c r="CS15" s="21">
        <v>2450</v>
      </c>
      <c r="CT15" s="16">
        <v>-60</v>
      </c>
      <c r="CU15" s="2240" t="str">
        <f t="shared" si="42"/>
        <v/>
      </c>
      <c r="CV15" s="693">
        <f t="shared" si="43"/>
        <v>3296</v>
      </c>
      <c r="CW15" s="49">
        <v>3335</v>
      </c>
      <c r="CX15" s="21">
        <v>1192</v>
      </c>
      <c r="CY15" s="49">
        <v>235</v>
      </c>
      <c r="CZ15" s="53">
        <f t="shared" si="44"/>
        <v>3570</v>
      </c>
      <c r="DA15" s="1058">
        <f t="shared" si="45"/>
        <v>1.9178410794602698</v>
      </c>
      <c r="DB15" s="99">
        <f t="shared" si="46"/>
        <v>5.742728635682159</v>
      </c>
      <c r="DC15" s="53">
        <f t="shared" si="47"/>
        <v>6866</v>
      </c>
      <c r="DD15" s="645">
        <f t="shared" si="48"/>
        <v>0.51995339353335279</v>
      </c>
      <c r="DE15" s="13">
        <v>470</v>
      </c>
      <c r="DF15" s="24">
        <v>469</v>
      </c>
      <c r="DG15" s="24">
        <v>0</v>
      </c>
      <c r="DH15" s="51">
        <v>6396</v>
      </c>
      <c r="DI15" s="8">
        <f t="shared" si="62"/>
        <v>3061</v>
      </c>
      <c r="DJ15" s="644">
        <f t="shared" si="49"/>
        <v>3.4704014772404066</v>
      </c>
      <c r="DK15" s="22">
        <v>1161</v>
      </c>
      <c r="DL15" s="22">
        <v>263</v>
      </c>
      <c r="DM15" s="22">
        <v>3938</v>
      </c>
      <c r="DN15" s="138">
        <f t="shared" si="50"/>
        <v>0.51995339353335279</v>
      </c>
      <c r="DO15" s="99">
        <f t="shared" si="51"/>
        <v>0.68911716669145751</v>
      </c>
      <c r="DP15" s="22">
        <v>0</v>
      </c>
      <c r="DQ15" s="8">
        <f t="shared" si="52"/>
        <v>1034</v>
      </c>
      <c r="DR15" s="138">
        <f t="shared" si="53"/>
        <v>-0.22352674251203114</v>
      </c>
      <c r="DS15" s="99">
        <f t="shared" si="54"/>
        <v>-1</v>
      </c>
      <c r="DT15" s="8">
        <f t="shared" si="55"/>
        <v>10920</v>
      </c>
      <c r="DU15" s="8">
        <f t="shared" si="56"/>
        <v>20571.428571428572</v>
      </c>
      <c r="DV15" s="235">
        <f t="shared" si="57"/>
        <v>1753.2467532467533</v>
      </c>
      <c r="DW15" s="8">
        <f t="shared" si="58"/>
        <v>16622.337662337664</v>
      </c>
      <c r="DX15" s="411">
        <f t="shared" si="59"/>
        <v>75</v>
      </c>
      <c r="DY15" s="1117">
        <v>300</v>
      </c>
      <c r="DZ15" s="857">
        <f t="shared" si="60"/>
        <v>1.5665796344647518E-2</v>
      </c>
      <c r="EA15" s="386">
        <v>3.53</v>
      </c>
      <c r="EB15" s="504"/>
      <c r="EC15" s="510"/>
      <c r="ED15" s="435"/>
      <c r="EE15" s="510"/>
      <c r="EF15" s="435"/>
      <c r="EG15" s="510"/>
      <c r="EH15" s="435"/>
      <c r="EI15" s="510">
        <v>31600</v>
      </c>
      <c r="EJ15" s="435">
        <v>5372</v>
      </c>
      <c r="EK15" s="510">
        <v>18850</v>
      </c>
      <c r="EL15" s="1606">
        <v>14515</v>
      </c>
      <c r="EM15" s="1224">
        <v>18850</v>
      </c>
      <c r="EN15" s="834">
        <v>14515</v>
      </c>
      <c r="EO15" s="835" t="str">
        <f t="shared" si="63"/>
        <v/>
      </c>
      <c r="EP15" s="1648" t="str">
        <f t="shared" si="61"/>
        <v>NEW</v>
      </c>
      <c r="EQ15"/>
    </row>
    <row r="16" spans="1:147" ht="35" customHeight="1">
      <c r="A16" s="99">
        <f>_xlfn.XLOOKUP(R16,'MOPFRA Ranking'!$E$6:$E$55,'MOPFRA Ranking'!$AE$6:$AE$55)</f>
        <v>21.973793847562622</v>
      </c>
      <c r="B16" s="99">
        <f t="shared" si="1"/>
        <v>11.973793847562622</v>
      </c>
      <c r="C16" s="1585">
        <f t="shared" ca="1" si="2"/>
        <v>0.21917477602718566</v>
      </c>
      <c r="D16" s="2378">
        <f t="shared" si="3"/>
        <v>2.6407948169983704</v>
      </c>
      <c r="E16" s="1414">
        <f t="shared" si="4"/>
        <v>28.500000000000004</v>
      </c>
      <c r="F16" s="1415">
        <f t="shared" si="5"/>
        <v>26.3</v>
      </c>
      <c r="G16" s="2124" cm="1">
        <f t="array" ref="G16">IFERROR(_xlfn.XLOOKUP(R16,'Sales Rec'!$E$37:$E$91,'Sales Rec'!$CU$37:$CU$91*100,""),"")</f>
        <v>27.340047640340437</v>
      </c>
      <c r="H16" s="2313">
        <f>_xlfn.XLOOKUP(R16,'Sales Rec'!$E$37:$E$86,'Sales Rec'!$DQ$37:$DQ$86,"")</f>
        <v>0.8349433011339773</v>
      </c>
      <c r="I16" s="2312">
        <f>_xlfn.XLOOKUP(R16,'Sales History'!$C$4:$C$83,'Sales History'!$AS$4:$AS$83,"")</f>
        <v>2.190051967334818E-2</v>
      </c>
      <c r="J16" s="2313">
        <f>_xlfn.XLOOKUP(R16,'Sales History'!$C$4:$C$83,'Sales History'!$AW$4:$AW$83,"")</f>
        <v>1.025883524141364</v>
      </c>
      <c r="K16" s="1942">
        <f>_xlfn.XLOOKUP(R16,'Sales Rec'!$E$4:$E$91,'Sales Rec'!$CV$4:$CV$91,"")</f>
        <v>28</v>
      </c>
      <c r="L16" s="1587">
        <f>_xlfn.XLOOKUP(R16,'MOPFRA Ranking'!$E$6:$E$55,'MOPFRA Ranking'!$AG$6:$AG$55,"")</f>
        <v>3</v>
      </c>
      <c r="M16" s="1582" t="str">
        <f>_xlfn.XLOOKUP(R16,'Sales Rec'!$E$4:$E$105,'Sales Rec'!$DS$4:$DS$105,"")</f>
        <v>BB</v>
      </c>
      <c r="N16" s="1582" t="str">
        <f>_xlfn.XLOOKUP(R16,'Sales Rec'!$E$4:$E$105,'Sales Rec'!$DZ$4:$DZ$105,"")</f>
        <v>BB</v>
      </c>
      <c r="O16" s="2365" t="str">
        <f>_xlfn.XLOOKUP($R16,'History Records'!$B$7:$B$88,'History Records'!$G$7:$G$88,"")</f>
        <v/>
      </c>
      <c r="P16" s="856" t="s">
        <v>458</v>
      </c>
      <c r="Q16" s="2364" t="s">
        <v>116</v>
      </c>
      <c r="R16" s="1571" t="s">
        <v>117</v>
      </c>
      <c r="S16" s="1929">
        <v>12</v>
      </c>
      <c r="T16" s="66">
        <f t="shared" si="6"/>
        <v>9960</v>
      </c>
      <c r="U16" s="2386">
        <f>_xlfn.XLOOKUP($R16,'Price Record'!$C$6:$C$100,'Price Record'!H$6:H$100,"")</f>
        <v>4980</v>
      </c>
      <c r="V16" s="338">
        <f>_xlfn.XLOOKUP(R16,'دیده بان بازار'!$A$3:$A$3542,'دیده بان بازار'!$M$3:$M$3542,"")</f>
        <v>2.89</v>
      </c>
      <c r="W16" s="2386">
        <f>_xlfn.XLOOKUP($R16,'Price Record'!$C$6:$C$100,'Price Record'!G$6:G$100,"")</f>
        <v>4980</v>
      </c>
      <c r="X16" s="337">
        <f>_xlfn.XLOOKUP(R16,'دیده بان بازار'!$A$3:$A$3542,'دیده بان بازار'!$J$3:$J$3542,"")</f>
        <v>2.89</v>
      </c>
      <c r="Y16" s="1708">
        <f t="shared" si="7"/>
        <v>13088</v>
      </c>
      <c r="Z16" s="661" t="str">
        <f t="shared" si="8"/>
        <v/>
      </c>
      <c r="AA16" s="822">
        <f t="shared" si="9"/>
        <v>1.1057082452431291</v>
      </c>
      <c r="AB16" s="511">
        <f t="shared" ca="1" si="10"/>
        <v>0.17506849315068493</v>
      </c>
      <c r="AC16" s="2194">
        <f t="shared" ca="1" si="11"/>
        <v>-131.07602142147101</v>
      </c>
      <c r="AD16" s="1150">
        <f t="shared" si="12"/>
        <v>1.1057082452431291</v>
      </c>
      <c r="AE16" s="1150">
        <f t="shared" si="13"/>
        <v>1.4221789883268483</v>
      </c>
      <c r="AF16" s="1150">
        <f t="shared" si="14"/>
        <v>0.70694087403598971</v>
      </c>
      <c r="AG16" s="1150">
        <f t="shared" si="15"/>
        <v>0.52340165188130927</v>
      </c>
      <c r="AH16" s="1150">
        <f t="shared" si="16"/>
        <v>1.1396348012889366</v>
      </c>
      <c r="AI16" s="275">
        <f t="shared" ca="1" si="17"/>
        <v>294</v>
      </c>
      <c r="AJ16" s="1121">
        <v>46168</v>
      </c>
      <c r="AK16" s="1116">
        <v>46290</v>
      </c>
      <c r="AL16" s="1345">
        <f t="shared" si="18"/>
        <v>20000000000</v>
      </c>
      <c r="AM16" s="29"/>
      <c r="AN16" s="29"/>
      <c r="AO16" s="685">
        <v>0.27</v>
      </c>
      <c r="AP16" s="174"/>
      <c r="AQ16" s="1925">
        <v>9834</v>
      </c>
      <c r="AR16" s="1925">
        <v>1257</v>
      </c>
      <c r="AS16" s="766">
        <f>_xlfn.XLOOKUP(R16,'Sales Rec'!$E$4:$E$86,'Sales Rec'!$X$4:$X$86,"")</f>
        <v>15254.666211675767</v>
      </c>
      <c r="AT16" s="984">
        <f>_xlfn.XLOOKUP(R16,'Sales Rec'!$E$4:$E$86,'Sales Rec'!$K$4:$K$86,"")</f>
        <v>4</v>
      </c>
      <c r="AU16" s="376">
        <f t="shared" si="19"/>
        <v>0.65291497446051727</v>
      </c>
      <c r="AV16" s="99">
        <f t="shared" si="20"/>
        <v>0.87634797847292445</v>
      </c>
      <c r="AW16" s="16">
        <v>2753</v>
      </c>
      <c r="AX16" s="16">
        <v>1201</v>
      </c>
      <c r="AY16" s="1421">
        <f t="shared" si="21"/>
        <v>0.436</v>
      </c>
      <c r="AZ16" s="1419">
        <v>0.151</v>
      </c>
      <c r="BA16" s="1689">
        <v>0.128</v>
      </c>
      <c r="BB16" s="1690">
        <v>0.13600000000000001</v>
      </c>
      <c r="BC16" s="100">
        <f t="shared" si="22"/>
        <v>10</v>
      </c>
      <c r="BD16" s="1420">
        <f t="shared" si="23"/>
        <v>0.32400000000000001</v>
      </c>
      <c r="BE16" s="1419">
        <v>6.0999999999999999E-2</v>
      </c>
      <c r="BF16" s="1687">
        <v>7.3999999999999996E-2</v>
      </c>
      <c r="BG16" s="1688">
        <v>8.7999999999999995E-2</v>
      </c>
      <c r="BH16" s="306">
        <f t="shared" si="24"/>
        <v>0.11199999999999999</v>
      </c>
      <c r="BI16" s="1861">
        <f t="shared" si="25"/>
        <v>1233.3439999999998</v>
      </c>
      <c r="BJ16" s="306">
        <f t="shared" si="26"/>
        <v>0.09</v>
      </c>
      <c r="BK16" s="99">
        <v>0</v>
      </c>
      <c r="BL16" s="306">
        <f>_xlfn.XLOOKUP(R16,'Sales Rec'!$E$4:$E$91,'Sales Rec'!$Y$4:$Y$91,"")</f>
        <v>0.55121682038598407</v>
      </c>
      <c r="BM16" s="99">
        <f t="shared" si="27"/>
        <v>-10</v>
      </c>
      <c r="BN16" s="15"/>
      <c r="BO16" s="1803">
        <v>3</v>
      </c>
      <c r="BP16" s="842">
        <f t="shared" si="28"/>
        <v>1</v>
      </c>
      <c r="BQ16" s="16">
        <v>485</v>
      </c>
      <c r="BR16" s="16"/>
      <c r="BS16" s="16"/>
      <c r="BT16" s="1253">
        <f>(_xlfn.XLOOKUP(R16,'Sales Rec'!$E$37:$E$91,'Sales Rec'!$X$37:$X$91)*BD16+CM16)*1000/CK16</f>
        <v>2786.7559262914742</v>
      </c>
      <c r="BU16" s="1246">
        <f t="shared" si="29"/>
        <v>2097.5</v>
      </c>
      <c r="BV16" s="406"/>
      <c r="BW16" s="407">
        <f t="shared" si="30"/>
        <v>2.0392051830016293</v>
      </c>
      <c r="BX16" s="99">
        <f t="shared" si="31"/>
        <v>10</v>
      </c>
      <c r="BY16" s="18">
        <f t="shared" si="32"/>
        <v>4884.2559262914747</v>
      </c>
      <c r="BZ16" s="18">
        <f t="shared" si="33"/>
        <v>2128.2051282051284</v>
      </c>
      <c r="CA16" s="18">
        <f t="shared" si="34"/>
        <v>6651.0344682906343</v>
      </c>
      <c r="CB16" s="1710">
        <f t="shared" si="35"/>
        <v>1.9678141892660668</v>
      </c>
      <c r="CC16" s="266">
        <f>_xlfn.XLOOKUP($R16,'Price Record'!$C$6:$C$100,'Price Record'!I$6:I$100,"")</f>
        <v>1065</v>
      </c>
      <c r="CD16" s="267">
        <f>_xlfn.XLOOKUP($R16,'Price Record'!$C$6:$C$100,'Price Record'!J$6:J$100,"")</f>
        <v>4.68</v>
      </c>
      <c r="CE16" s="99">
        <f t="shared" si="36"/>
        <v>0.96000000000000085</v>
      </c>
      <c r="CF16" s="17">
        <f t="shared" si="37"/>
        <v>0.89143567939649548</v>
      </c>
      <c r="CG16" s="99">
        <f t="shared" si="38"/>
        <v>4.4342572824140181</v>
      </c>
      <c r="CH16" s="494">
        <f t="shared" si="39"/>
        <v>0.41888987360990348</v>
      </c>
      <c r="CI16" s="99">
        <f t="shared" si="40"/>
        <v>0.28334810414855194</v>
      </c>
      <c r="CJ16" s="20"/>
      <c r="CK16" s="691">
        <v>2000</v>
      </c>
      <c r="CL16" s="419">
        <v>784</v>
      </c>
      <c r="CM16" s="468">
        <v>631</v>
      </c>
      <c r="CN16" s="843">
        <v>80</v>
      </c>
      <c r="CO16" s="21">
        <v>971</v>
      </c>
      <c r="CP16" s="21">
        <v>0</v>
      </c>
      <c r="CQ16" s="469">
        <f t="shared" si="41"/>
        <v>1048.75</v>
      </c>
      <c r="CR16" s="1239">
        <f>(AS16*BD16)*(_xlfn.XLOOKUP($R16,'Sales Rec'!$E$37:$E$91,'Sales Rec'!$L$37:$L$91,"")/12)+CP16</f>
        <v>1647.5039508609827</v>
      </c>
      <c r="CS16" s="21">
        <v>1755</v>
      </c>
      <c r="CT16" s="16">
        <v>0</v>
      </c>
      <c r="CU16" s="2240" t="str">
        <f t="shared" si="42"/>
        <v/>
      </c>
      <c r="CV16" s="693">
        <f t="shared" si="43"/>
        <v>3955</v>
      </c>
      <c r="CW16" s="49">
        <v>4204</v>
      </c>
      <c r="CX16" s="21">
        <v>835</v>
      </c>
      <c r="CY16" s="49">
        <v>150</v>
      </c>
      <c r="CZ16" s="53">
        <f t="shared" si="44"/>
        <v>4354</v>
      </c>
      <c r="DA16" s="1058">
        <f t="shared" si="45"/>
        <v>1.832778306374881</v>
      </c>
      <c r="DB16" s="99">
        <f t="shared" si="46"/>
        <v>5.0622264509990487</v>
      </c>
      <c r="DC16" s="53">
        <f t="shared" si="47"/>
        <v>8309</v>
      </c>
      <c r="DD16" s="645">
        <f t="shared" si="48"/>
        <v>0.52401010951979776</v>
      </c>
      <c r="DE16" s="13">
        <v>604</v>
      </c>
      <c r="DF16" s="24">
        <v>563</v>
      </c>
      <c r="DG16" s="24">
        <v>1</v>
      </c>
      <c r="DH16" s="51">
        <v>7705</v>
      </c>
      <c r="DI16" s="8">
        <f t="shared" si="62"/>
        <v>3501</v>
      </c>
      <c r="DJ16" s="644">
        <f t="shared" si="49"/>
        <v>4.3572311372967061</v>
      </c>
      <c r="DK16" s="22">
        <v>4501</v>
      </c>
      <c r="DL16" s="22">
        <v>825</v>
      </c>
      <c r="DM16" s="22">
        <v>1151</v>
      </c>
      <c r="DN16" s="138">
        <f t="shared" si="50"/>
        <v>0.52401010951979776</v>
      </c>
      <c r="DO16" s="99">
        <f t="shared" si="51"/>
        <v>0.35761403152807625</v>
      </c>
      <c r="DP16" s="22">
        <v>401</v>
      </c>
      <c r="DQ16" s="8">
        <f t="shared" si="52"/>
        <v>827</v>
      </c>
      <c r="DR16" s="138">
        <f t="shared" si="53"/>
        <v>-6.5253007192960955E-2</v>
      </c>
      <c r="DS16" s="99">
        <f t="shared" si="54"/>
        <v>0</v>
      </c>
      <c r="DT16" s="8">
        <f t="shared" si="55"/>
        <v>3876.6</v>
      </c>
      <c r="DU16" s="8">
        <f t="shared" si="56"/>
        <v>7551</v>
      </c>
      <c r="DV16" s="235">
        <f t="shared" si="57"/>
        <v>392</v>
      </c>
      <c r="DW16" s="8">
        <f t="shared" si="58"/>
        <v>5909.8</v>
      </c>
      <c r="DX16" s="411">
        <f t="shared" si="59"/>
        <v>122</v>
      </c>
      <c r="DY16" s="1117">
        <v>475</v>
      </c>
      <c r="DZ16" s="857">
        <f t="shared" si="60"/>
        <v>0.16725352112676056</v>
      </c>
      <c r="EA16" s="386">
        <v>0.33329999999999999</v>
      </c>
      <c r="EB16" s="504"/>
      <c r="EC16" s="510">
        <v>18940</v>
      </c>
      <c r="ED16" s="435">
        <v>4655</v>
      </c>
      <c r="EE16" s="510">
        <v>7730</v>
      </c>
      <c r="EF16" s="435">
        <v>6538</v>
      </c>
      <c r="EG16" s="510">
        <v>3890</v>
      </c>
      <c r="EH16" s="435">
        <v>5835</v>
      </c>
      <c r="EI16" s="510">
        <v>2741</v>
      </c>
      <c r="EJ16" s="435">
        <v>4112</v>
      </c>
      <c r="EK16" s="510">
        <v>2365</v>
      </c>
      <c r="EL16" s="1606">
        <v>4730</v>
      </c>
      <c r="EM16" s="1224">
        <v>2365</v>
      </c>
      <c r="EN16" s="834">
        <v>4730</v>
      </c>
      <c r="EO16" s="835">
        <f t="shared" si="63"/>
        <v>1.611170784103115E-2</v>
      </c>
      <c r="EP16" s="1648">
        <f t="shared" si="61"/>
        <v>34</v>
      </c>
      <c r="EQ16"/>
    </row>
    <row r="17" spans="1:147" ht="35" customHeight="1">
      <c r="A17" s="99">
        <f>_xlfn.XLOOKUP(R17,'MOPFRA Ranking'!$E$6:$E$55,'MOPFRA Ranking'!$AE$6:$AE$55)</f>
        <v>18.611866641113266</v>
      </c>
      <c r="B17" s="99">
        <f t="shared" si="1"/>
        <v>13.611866641113265</v>
      </c>
      <c r="C17" s="1585">
        <f t="shared" ca="1" si="2"/>
        <v>1.7058784671013232</v>
      </c>
      <c r="D17" s="2378">
        <f t="shared" si="3"/>
        <v>0.32399785399901759</v>
      </c>
      <c r="E17" s="1414">
        <f t="shared" si="4"/>
        <v>6.3000000000000016</v>
      </c>
      <c r="F17" s="1415">
        <f t="shared" si="5"/>
        <v>5.0000000000000018</v>
      </c>
      <c r="G17" s="2124" cm="1">
        <f t="array" ref="G17">IFERROR(_xlfn.XLOOKUP(R17,'Sales Rec'!$E$37:$E$91,'Sales Rec'!$CU$37:$CU$91*100,""),"")</f>
        <v>19.298883119513878</v>
      </c>
      <c r="H17" s="2313">
        <f>_xlfn.XLOOKUP(R17,'Sales Rec'!$E$37:$E$86,'Sales Rec'!$DQ$37:$DQ$86,"")</f>
        <v>0.5212685228621099</v>
      </c>
      <c r="I17" s="2312">
        <f>_xlfn.XLOOKUP(R17,'Sales History'!$C$4:$C$83,'Sales History'!$AS$4:$AS$83,"")</f>
        <v>-1.2070944821449194E-2</v>
      </c>
      <c r="J17" s="2313">
        <f>_xlfn.XLOOKUP(R17,'Sales History'!$C$4:$C$83,'Sales History'!$AW$4:$AW$83,"")</f>
        <v>0.47224834680382072</v>
      </c>
      <c r="K17" s="1942">
        <f>_xlfn.XLOOKUP(R17,'Sales Rec'!$E$4:$E$91,'Sales Rec'!$CV$4:$CV$91,"")</f>
        <v>36</v>
      </c>
      <c r="L17" s="1587">
        <f>_xlfn.XLOOKUP(R17,'MOPFRA Ranking'!$E$6:$E$55,'MOPFRA Ranking'!$AG$6:$AG$55,"")</f>
        <v>9</v>
      </c>
      <c r="M17" s="1582" t="str">
        <f>_xlfn.XLOOKUP(R17,'Sales Rec'!$E$4:$E$105,'Sales Rec'!$DS$4:$DS$105,"")</f>
        <v>B</v>
      </c>
      <c r="N17" s="1582" t="str">
        <f>_xlfn.XLOOKUP(R17,'Sales Rec'!$E$4:$E$105,'Sales Rec'!$DZ$4:$DZ$105,"")</f>
        <v>B</v>
      </c>
      <c r="O17" s="2365" t="str">
        <f>_xlfn.XLOOKUP($R17,'History Records'!$B$7:$B$88,'History Records'!$G$7:$G$88,"")</f>
        <v/>
      </c>
      <c r="P17" s="856" t="s">
        <v>459</v>
      </c>
      <c r="Q17" s="2363" t="s">
        <v>171</v>
      </c>
      <c r="R17" s="1811" t="s">
        <v>172</v>
      </c>
      <c r="S17" s="66">
        <v>12</v>
      </c>
      <c r="T17" s="66">
        <f t="shared" si="6"/>
        <v>294277.5</v>
      </c>
      <c r="U17" s="2386">
        <f>_xlfn.XLOOKUP($R17,'Price Record'!$C$6:$C$100,'Price Record'!H$6:H$100,"")</f>
        <v>4510</v>
      </c>
      <c r="V17" s="338">
        <f>_xlfn.XLOOKUP(R17,'دیده بان بازار'!$A$3:$A$3542,'دیده بان بازار'!$M$3:$M$3542,"")</f>
        <v>2.97</v>
      </c>
      <c r="W17" s="2386">
        <f>_xlfn.XLOOKUP($R17,'Price Record'!$C$6:$C$100,'Price Record'!G$6:G$100,"")</f>
        <v>4510</v>
      </c>
      <c r="X17" s="337">
        <f>_xlfn.XLOOKUP(R17,'دیده بان بازار'!$A$3:$A$3542,'دیده بان بازار'!$J$3:$J$3542,"")</f>
        <v>2.97</v>
      </c>
      <c r="Y17" s="1708">
        <f t="shared" si="7"/>
        <v>336761.5</v>
      </c>
      <c r="Z17" s="661" t="str">
        <f t="shared" si="8"/>
        <v/>
      </c>
      <c r="AA17" s="822">
        <f t="shared" si="9"/>
        <v>1.537028096523066</v>
      </c>
      <c r="AB17" s="511">
        <f t="shared" ca="1" si="10"/>
        <v>0.88767123287671235</v>
      </c>
      <c r="AC17" s="823">
        <f t="shared" ca="1" si="11"/>
        <v>-18.037690656843157</v>
      </c>
      <c r="AD17" s="1150" t="str">
        <f t="shared" si="12"/>
        <v/>
      </c>
      <c r="AE17" s="1150">
        <f t="shared" si="13"/>
        <v>1.537028096523066</v>
      </c>
      <c r="AF17" s="1150">
        <f t="shared" si="14"/>
        <v>1.948642799170349</v>
      </c>
      <c r="AG17" s="1150">
        <f t="shared" si="15"/>
        <v>1.9999847083889779</v>
      </c>
      <c r="AH17" s="1150">
        <f t="shared" si="16"/>
        <v>2.3612507138777841</v>
      </c>
      <c r="AI17" s="275">
        <f t="shared" ca="1" si="17"/>
        <v>5</v>
      </c>
      <c r="AJ17" s="1120">
        <v>46244</v>
      </c>
      <c r="AK17" s="1116">
        <v>46322</v>
      </c>
      <c r="AL17" s="1345">
        <f t="shared" si="18"/>
        <v>652500000000</v>
      </c>
      <c r="AM17" s="29"/>
      <c r="AN17" s="29"/>
      <c r="AO17" s="685">
        <v>0.51619999999999999</v>
      </c>
      <c r="AP17" s="174"/>
      <c r="AQ17" s="1925">
        <v>456866</v>
      </c>
      <c r="AR17" s="1925">
        <v>97121</v>
      </c>
      <c r="AS17" s="766">
        <f>_xlfn.XLOOKUP(R17,'Sales Rec'!$E$4:$E$86,'Sales Rec'!$X$4:$X$86,"")</f>
        <v>650494.47474647011</v>
      </c>
      <c r="AT17" s="984">
        <f>_xlfn.XLOOKUP(R17,'Sales Rec'!$E$4:$E$86,'Sales Rec'!$K$4:$K$86,"")</f>
        <v>4</v>
      </c>
      <c r="AU17" s="376">
        <f t="shared" si="19"/>
        <v>0.46671959837680005</v>
      </c>
      <c r="AV17" s="99">
        <f t="shared" si="20"/>
        <v>-0.29128943445609734</v>
      </c>
      <c r="AW17" s="16">
        <v>145436</v>
      </c>
      <c r="AX17" s="16">
        <v>24912</v>
      </c>
      <c r="AY17" s="1421">
        <f t="shared" si="21"/>
        <v>0.17100000000000001</v>
      </c>
      <c r="AZ17" s="1419">
        <v>0.108</v>
      </c>
      <c r="BA17" s="1689">
        <v>0.21299999999999999</v>
      </c>
      <c r="BB17" s="1690">
        <v>7.2999999999999995E-2</v>
      </c>
      <c r="BC17" s="100">
        <f>MIN(MAX(IF(BD17=BE17,BD17-BG17,BD17-BE17)*$S$65, -10), 10)</f>
        <v>5.0000000000000018</v>
      </c>
      <c r="BD17" s="1420">
        <f t="shared" si="23"/>
        <v>0.13700000000000001</v>
      </c>
      <c r="BE17" s="1419">
        <v>8.6999999999999994E-2</v>
      </c>
      <c r="BF17" s="1687">
        <v>0.16700000000000001</v>
      </c>
      <c r="BG17" s="1688">
        <v>0.06</v>
      </c>
      <c r="BH17" s="306">
        <f t="shared" si="24"/>
        <v>3.4000000000000002E-2</v>
      </c>
      <c r="BI17" s="1861">
        <f t="shared" si="25"/>
        <v>19779.296000000002</v>
      </c>
      <c r="BJ17" s="306">
        <f t="shared" si="26"/>
        <v>2.1000000000000005E-2</v>
      </c>
      <c r="BK17" s="99">
        <v>0</v>
      </c>
      <c r="BL17" s="306">
        <f>_xlfn.XLOOKUP(R17,'Sales Rec'!$E$4:$E$91,'Sales Rec'!$Y$4:$Y$91,"")</f>
        <v>0.42381896386789586</v>
      </c>
      <c r="BM17" s="99">
        <f t="shared" si="27"/>
        <v>-10</v>
      </c>
      <c r="BN17" s="15"/>
      <c r="BO17" s="1803">
        <v>3</v>
      </c>
      <c r="BP17" s="842">
        <f t="shared" si="28"/>
        <v>1</v>
      </c>
      <c r="BQ17" s="16">
        <v>324</v>
      </c>
      <c r="BR17" s="16"/>
      <c r="BS17" s="16"/>
      <c r="BT17" s="1253">
        <f>(_xlfn.XLOOKUP(R17,'Sales Rec'!$E$37:$E$91,'Sales Rec'!$X$37:$X$91)*BD17+CM17)*1000/CK17</f>
        <v>1444.7470197741982</v>
      </c>
      <c r="BU17" s="1246">
        <f t="shared" si="29"/>
        <v>1300.2298850574712</v>
      </c>
      <c r="BV17" s="406"/>
      <c r="BW17" s="407">
        <f t="shared" si="30"/>
        <v>3.2860021460009823</v>
      </c>
      <c r="BX17" s="99">
        <f t="shared" si="31"/>
        <v>8.569989269995089</v>
      </c>
      <c r="BY17" s="18">
        <f t="shared" si="32"/>
        <v>89554.871520133223</v>
      </c>
      <c r="BZ17" s="18">
        <f t="shared" si="33"/>
        <v>81517.313019390582</v>
      </c>
      <c r="CA17" s="18">
        <f t="shared" si="34"/>
        <v>111234.5551816464</v>
      </c>
      <c r="CB17" s="1710">
        <f t="shared" si="35"/>
        <v>3.0274899688326831</v>
      </c>
      <c r="CC17" s="266">
        <f>_xlfn.XLOOKUP($R17,'Price Record'!$C$6:$C$100,'Price Record'!I$6:I$100,"")</f>
        <v>1249</v>
      </c>
      <c r="CD17" s="267">
        <f>_xlfn.XLOOKUP($R17,'Price Record'!$C$6:$C$100,'Price Record'!J$6:J$100,"")</f>
        <v>3.61</v>
      </c>
      <c r="CE17" s="99">
        <f t="shared" si="36"/>
        <v>4.17</v>
      </c>
      <c r="CF17" s="17">
        <f t="shared" si="37"/>
        <v>0.54361085191278913</v>
      </c>
      <c r="CG17" s="99">
        <f t="shared" si="38"/>
        <v>5.8255565923488435</v>
      </c>
      <c r="CH17" s="494">
        <f t="shared" si="39"/>
        <v>0.28262070772875325</v>
      </c>
      <c r="CI17" s="99">
        <f t="shared" si="40"/>
        <v>-1.7606893840687015</v>
      </c>
      <c r="CJ17" s="20"/>
      <c r="CK17" s="691">
        <v>65250</v>
      </c>
      <c r="CL17" s="419">
        <v>48956</v>
      </c>
      <c r="CM17" s="468">
        <v>5152</v>
      </c>
      <c r="CN17" s="843">
        <v>1232</v>
      </c>
      <c r="CO17" s="21">
        <v>21154</v>
      </c>
      <c r="CP17" s="21">
        <v>-2582</v>
      </c>
      <c r="CQ17" s="469">
        <f t="shared" si="41"/>
        <v>21210</v>
      </c>
      <c r="CR17" s="1239">
        <f>(AS17*BD17)*(_xlfn.XLOOKUP($R17,'Sales Rec'!$E$37:$E$91,'Sales Rec'!$L$37:$L$91,"")/12)+CP17</f>
        <v>27123.914346755471</v>
      </c>
      <c r="CS17" s="21">
        <v>70110</v>
      </c>
      <c r="CT17" s="16">
        <v>-608</v>
      </c>
      <c r="CU17" s="2240" t="str">
        <f t="shared" si="42"/>
        <v/>
      </c>
      <c r="CV17" s="693">
        <f t="shared" si="43"/>
        <v>175007</v>
      </c>
      <c r="CW17" s="49">
        <v>41746</v>
      </c>
      <c r="CX17" s="21">
        <v>0</v>
      </c>
      <c r="CY17" s="49">
        <v>6937</v>
      </c>
      <c r="CZ17" s="378">
        <f t="shared" si="44"/>
        <v>48683</v>
      </c>
      <c r="DA17" s="1058">
        <f t="shared" si="45"/>
        <v>3.398313610884875</v>
      </c>
      <c r="DB17" s="99">
        <f t="shared" si="46"/>
        <v>6</v>
      </c>
      <c r="DC17" s="53">
        <f t="shared" si="47"/>
        <v>223690</v>
      </c>
      <c r="DD17" s="645">
        <f t="shared" si="48"/>
        <v>0.2176360141266932</v>
      </c>
      <c r="DE17" s="13">
        <v>81824</v>
      </c>
      <c r="DF17" s="24">
        <v>40132</v>
      </c>
      <c r="DG17" s="24">
        <v>31693</v>
      </c>
      <c r="DH17" s="51">
        <v>141866</v>
      </c>
      <c r="DI17" s="8">
        <f t="shared" si="62"/>
        <v>100120</v>
      </c>
      <c r="DJ17" s="644">
        <f t="shared" si="49"/>
        <v>6.4971481696611075</v>
      </c>
      <c r="DK17" s="22">
        <v>30723</v>
      </c>
      <c r="DL17" s="22">
        <v>358</v>
      </c>
      <c r="DM17" s="22">
        <v>104418</v>
      </c>
      <c r="DN17" s="138">
        <f t="shared" si="50"/>
        <v>0.2176360141266932</v>
      </c>
      <c r="DO17" s="99">
        <f t="shared" si="51"/>
        <v>1.0982995972941312</v>
      </c>
      <c r="DP17" s="22">
        <v>5841</v>
      </c>
      <c r="DQ17" s="8">
        <f t="shared" si="52"/>
        <v>526</v>
      </c>
      <c r="DR17" s="138">
        <f t="shared" si="53"/>
        <v>5.2510660832523016E-2</v>
      </c>
      <c r="DS17" s="99">
        <f t="shared" si="54"/>
        <v>0</v>
      </c>
      <c r="DT17" s="8">
        <f t="shared" si="55"/>
        <v>4546.3599999999997</v>
      </c>
      <c r="DU17" s="8">
        <f t="shared" si="56"/>
        <v>4680.8275862068958</v>
      </c>
      <c r="DV17" s="235">
        <f t="shared" si="57"/>
        <v>750.28352490421457</v>
      </c>
      <c r="DW17" s="8">
        <f t="shared" si="58"/>
        <v>4988.735555555555</v>
      </c>
      <c r="DX17" s="411">
        <f t="shared" si="59"/>
        <v>78</v>
      </c>
      <c r="DY17" s="1532">
        <v>190</v>
      </c>
      <c r="DZ17" s="857">
        <f t="shared" si="60"/>
        <v>8.11965811965812E-2</v>
      </c>
      <c r="EA17" s="386">
        <v>0.38</v>
      </c>
      <c r="EB17" s="505"/>
      <c r="EC17" s="510">
        <v>5150</v>
      </c>
      <c r="ED17" s="435">
        <v>87550</v>
      </c>
      <c r="EE17" s="510">
        <v>3567</v>
      </c>
      <c r="EF17" s="435">
        <v>98093</v>
      </c>
      <c r="EG17" s="510">
        <v>2559</v>
      </c>
      <c r="EH17" s="435">
        <v>99801</v>
      </c>
      <c r="EI17" s="510">
        <v>2150</v>
      </c>
      <c r="EJ17" s="435">
        <v>115993</v>
      </c>
      <c r="EK17" s="510"/>
      <c r="EL17" s="1606"/>
      <c r="EM17" s="1684">
        <v>2150</v>
      </c>
      <c r="EN17" s="1608">
        <v>115993</v>
      </c>
      <c r="EO17" s="1609">
        <f t="shared" si="63"/>
        <v>0.32487721302113076</v>
      </c>
      <c r="EP17" s="1648">
        <f t="shared" si="61"/>
        <v>27</v>
      </c>
      <c r="EQ17"/>
    </row>
    <row r="18" spans="1:147" ht="35" customHeight="1">
      <c r="A18" s="99">
        <f>_xlfn.XLOOKUP(R18,'MOPFRA Ranking'!$E$6:$E$55,'MOPFRA Ranking'!$AE$6:$AE$55)</f>
        <v>17.984453865135521</v>
      </c>
      <c r="B18" s="99">
        <f t="shared" si="1"/>
        <v>14.384453865135514</v>
      </c>
      <c r="C18" s="1585">
        <f t="shared" ca="1" si="2"/>
        <v>0.14932142100576917</v>
      </c>
      <c r="D18" s="2378">
        <f t="shared" si="3"/>
        <v>2.3935069616322808</v>
      </c>
      <c r="E18" s="1414">
        <f t="shared" si="4"/>
        <v>2.1999999999999993</v>
      </c>
      <c r="F18" s="1415">
        <f t="shared" si="5"/>
        <v>3.5999999999999992</v>
      </c>
      <c r="G18" s="2124" cm="1">
        <f t="array" ref="G18">IFERROR(_xlfn.XLOOKUP(R18,'Sales Rec'!$E$37:$E$91,'Sales Rec'!$CU$37:$CU$91*100,""),"")</f>
        <v>-106.74176521249188</v>
      </c>
      <c r="H18" s="2313">
        <f>_xlfn.XLOOKUP(R18,'Sales Rec'!$E$37:$E$86,'Sales Rec'!$DQ$37:$DQ$86,"")</f>
        <v>3.3424031096375901</v>
      </c>
      <c r="I18" s="2312">
        <f>_xlfn.XLOOKUP(R18,'Sales History'!$C$4:$C$83,'Sales History'!$AS$4:$AS$83,"")</f>
        <v>0.10494603973610953</v>
      </c>
      <c r="J18" s="2313">
        <f>_xlfn.XLOOKUP(R18,'Sales History'!$C$4:$C$83,'Sales History'!$AW$4:$AW$83,"")</f>
        <v>-6.2162437582798328E-3</v>
      </c>
      <c r="K18" s="1942">
        <f>_xlfn.XLOOKUP(R18,'Sales Rec'!$E$4:$E$91,'Sales Rec'!$CV$4:$CV$91,"")</f>
        <v>1</v>
      </c>
      <c r="L18" s="1587">
        <f>_xlfn.XLOOKUP(R18,'MOPFRA Ranking'!$E$6:$E$55,'MOPFRA Ranking'!$AG$6:$AG$55,"")</f>
        <v>11</v>
      </c>
      <c r="M18" s="1582" t="str">
        <f>_xlfn.XLOOKUP(R18,'Sales Rec'!$E$4:$E$105,'Sales Rec'!$DS$4:$DS$105,"")</f>
        <v>B</v>
      </c>
      <c r="N18" s="1582" t="str">
        <f>_xlfn.XLOOKUP(R18,'Sales Rec'!$E$4:$E$105,'Sales Rec'!$DZ$4:$DZ$105,"")</f>
        <v>B</v>
      </c>
      <c r="O18" s="2365" t="str">
        <f>_xlfn.XLOOKUP($R18,'History Records'!$B$7:$B$88,'History Records'!$G$7:$G$88,"")</f>
        <v/>
      </c>
      <c r="P18" s="856" t="s">
        <v>209</v>
      </c>
      <c r="Q18" s="2384" t="s">
        <v>102</v>
      </c>
      <c r="R18" s="1972" t="s">
        <v>103</v>
      </c>
      <c r="S18" s="1929">
        <v>12</v>
      </c>
      <c r="T18" s="66">
        <f t="shared" si="6"/>
        <v>84436</v>
      </c>
      <c r="U18" s="2386">
        <f>_xlfn.XLOOKUP($R18,'Price Record'!$C$6:$C$100,'Price Record'!H$6:H$100,"")</f>
        <v>19170</v>
      </c>
      <c r="V18" s="338">
        <f>_xlfn.XLOOKUP(R18,'دیده بان بازار'!$A$3:$A$3542,'دیده بان بازار'!$M$3:$M$3542,"")</f>
        <v>2.84</v>
      </c>
      <c r="W18" s="2386">
        <f>_xlfn.XLOOKUP($R18,'Price Record'!$C$6:$C$100,'Price Record'!G$6:G$100,"")</f>
        <v>19190</v>
      </c>
      <c r="X18" s="337">
        <f>_xlfn.XLOOKUP(R18,'دیده بان بازار'!$A$3:$A$3542,'دیده بان بازار'!$J$3:$J$3542,"")</f>
        <v>2.95</v>
      </c>
      <c r="Y18" s="1708">
        <f t="shared" si="7"/>
        <v>110358</v>
      </c>
      <c r="Z18" s="661" t="str">
        <f t="shared" si="8"/>
        <v/>
      </c>
      <c r="AA18" s="822">
        <f t="shared" si="9"/>
        <v>0.22541507024265645</v>
      </c>
      <c r="AB18" s="511">
        <f t="shared" ca="1" si="10"/>
        <v>5.917808219178082E-2</v>
      </c>
      <c r="AC18" s="2194">
        <f t="shared" ca="1" si="11"/>
        <v>-69.265411687864841</v>
      </c>
      <c r="AD18" s="1150">
        <f t="shared" si="12"/>
        <v>0.22541507024265645</v>
      </c>
      <c r="AE18" s="1150">
        <f t="shared" si="13"/>
        <v>5.2508143322475567</v>
      </c>
      <c r="AF18" s="1150">
        <f t="shared" si="14"/>
        <v>3.9551643192488264</v>
      </c>
      <c r="AG18" s="1150">
        <f t="shared" si="15"/>
        <v>3.9102116771342175</v>
      </c>
      <c r="AH18" s="1150">
        <f t="shared" si="16"/>
        <v>5.3262156289802949</v>
      </c>
      <c r="AI18" s="275">
        <f t="shared" ca="1" si="17"/>
        <v>341</v>
      </c>
      <c r="AJ18" s="2193">
        <v>46215</v>
      </c>
      <c r="AK18" s="1116">
        <v>46245</v>
      </c>
      <c r="AL18" s="1345">
        <f t="shared" si="18"/>
        <v>44000000000</v>
      </c>
      <c r="AM18" s="29"/>
      <c r="AN18" s="29"/>
      <c r="AO18" s="685">
        <v>0.12</v>
      </c>
      <c r="AP18" s="174"/>
      <c r="AQ18" s="1925">
        <v>46676</v>
      </c>
      <c r="AR18" s="1925">
        <v>11224</v>
      </c>
      <c r="AS18" s="766">
        <f>_xlfn.XLOOKUP(R18,'Sales Rec'!$E$4:$E$86,'Sales Rec'!$X$4:$X$86,"")</f>
        <v>148808.25377272209</v>
      </c>
      <c r="AT18" s="984">
        <f>_xlfn.XLOOKUP(R18,'Sales Rec'!$E$4:$E$86,'Sales Rec'!$K$4:$K$86,"")</f>
        <v>4</v>
      </c>
      <c r="AU18" s="376">
        <f t="shared" si="19"/>
        <v>0.50238611168827541</v>
      </c>
      <c r="AV18" s="99">
        <f t="shared" si="20"/>
        <v>3.5885917394883271</v>
      </c>
      <c r="AW18" s="16">
        <v>28975</v>
      </c>
      <c r="AX18" s="16">
        <v>6047</v>
      </c>
      <c r="AY18" s="1421">
        <f t="shared" si="21"/>
        <v>0.20899999999999999</v>
      </c>
      <c r="AZ18" s="1419">
        <v>0.187</v>
      </c>
      <c r="BA18" s="1689">
        <v>0.24</v>
      </c>
      <c r="BB18" s="1690">
        <v>0.16400000000000001</v>
      </c>
      <c r="BC18" s="100">
        <f>IF(BD18=0,0,MIN(MAX(IF(BD18=BE18,BD18-BG18,BD18-BE18)*$S$65, -10), 10))</f>
        <v>3.5999999999999992</v>
      </c>
      <c r="BD18" s="1420">
        <f t="shared" si="23"/>
        <v>0.14299999999999999</v>
      </c>
      <c r="BE18" s="1419">
        <v>0.107</v>
      </c>
      <c r="BF18" s="1687">
        <v>0.156</v>
      </c>
      <c r="BG18" s="1688">
        <v>9.8000000000000004E-2</v>
      </c>
      <c r="BH18" s="306">
        <f t="shared" si="24"/>
        <v>6.6000000000000003E-2</v>
      </c>
      <c r="BI18" s="1861">
        <f t="shared" si="25"/>
        <v>7649.4000000000005</v>
      </c>
      <c r="BJ18" s="306">
        <f t="shared" si="26"/>
        <v>0.08</v>
      </c>
      <c r="BK18" s="99">
        <v>0</v>
      </c>
      <c r="BL18" s="306">
        <f>_xlfn.XLOOKUP(R18,'Sales Rec'!$E$4:$E$91,'Sales Rec'!$Y$4:$Y$91,"")</f>
        <v>2.18811067299516</v>
      </c>
      <c r="BM18" s="99">
        <f t="shared" si="27"/>
        <v>10</v>
      </c>
      <c r="BN18" s="15"/>
      <c r="BO18" s="1803">
        <v>3</v>
      </c>
      <c r="BP18" s="842">
        <f t="shared" si="28"/>
        <v>1</v>
      </c>
      <c r="BQ18" s="16">
        <v>1030</v>
      </c>
      <c r="BR18" s="16"/>
      <c r="BS18" s="16"/>
      <c r="BT18" s="1253">
        <f>(_xlfn.XLOOKUP(R18,'Sales Rec'!$E$37:$E$91,'Sales Rec'!$X$37:$X$91)*BD18+CM18)*1000/CK18</f>
        <v>5318.7682476134678</v>
      </c>
      <c r="BU18" s="1246">
        <f t="shared" si="29"/>
        <v>4260.681818181818</v>
      </c>
      <c r="BV18" s="406"/>
      <c r="BW18" s="407">
        <f t="shared" si="30"/>
        <v>4.0064930383677195</v>
      </c>
      <c r="BX18" s="99">
        <f t="shared" si="31"/>
        <v>4.9675348081614024</v>
      </c>
      <c r="BY18" s="18">
        <f t="shared" si="32"/>
        <v>21074.790144749626</v>
      </c>
      <c r="BZ18" s="18">
        <f t="shared" si="33"/>
        <v>13193.125</v>
      </c>
      <c r="CA18" s="18">
        <f t="shared" si="34"/>
        <v>31100.925038498917</v>
      </c>
      <c r="CB18" s="1710">
        <f t="shared" si="35"/>
        <v>3.5483832028594353</v>
      </c>
      <c r="CC18" s="266">
        <f>_xlfn.XLOOKUP($R18,'Price Record'!$C$6:$C$100,'Price Record'!I$6:I$100,"")</f>
        <v>2993</v>
      </c>
      <c r="CD18" s="267">
        <f>_xlfn.XLOOKUP($R18,'Price Record'!$C$6:$C$100,'Price Record'!J$6:J$100,"")</f>
        <v>6.4</v>
      </c>
      <c r="CE18" s="99">
        <f t="shared" si="36"/>
        <v>-4.2000000000000011</v>
      </c>
      <c r="CF18" s="17">
        <f t="shared" si="37"/>
        <v>1.5242856407755534</v>
      </c>
      <c r="CG18" s="99">
        <f t="shared" si="38"/>
        <v>1.9028574368977864</v>
      </c>
      <c r="CH18" s="494">
        <f t="shared" si="39"/>
        <v>0.42855844608649801</v>
      </c>
      <c r="CI18" s="99">
        <f t="shared" si="40"/>
        <v>0.42837669129746986</v>
      </c>
      <c r="CJ18" s="20"/>
      <c r="CK18" s="691">
        <v>4400</v>
      </c>
      <c r="CL18" s="419">
        <v>2280</v>
      </c>
      <c r="CM18" s="468">
        <v>2123</v>
      </c>
      <c r="CN18" s="843">
        <v>378</v>
      </c>
      <c r="CO18" s="21">
        <v>4534</v>
      </c>
      <c r="CP18" s="21">
        <v>1512</v>
      </c>
      <c r="CQ18" s="469">
        <f t="shared" si="41"/>
        <v>4686.75</v>
      </c>
      <c r="CR18" s="1239">
        <f>(AS18*BD18)*(_xlfn.XLOOKUP($R18,'Sales Rec'!$E$37:$E$91,'Sales Rec'!$L$37:$L$91,"")/12)+CP18</f>
        <v>8605.1934298330852</v>
      </c>
      <c r="CS18" s="21">
        <v>6814</v>
      </c>
      <c r="CT18" s="16">
        <v>0</v>
      </c>
      <c r="CU18" s="2240" t="str">
        <f t="shared" si="42"/>
        <v/>
      </c>
      <c r="CV18" s="693">
        <f t="shared" si="43"/>
        <v>11654</v>
      </c>
      <c r="CW18" s="49">
        <v>31646</v>
      </c>
      <c r="CX18" s="21">
        <v>5222</v>
      </c>
      <c r="CY18" s="49">
        <v>478</v>
      </c>
      <c r="CZ18" s="378">
        <f t="shared" si="44"/>
        <v>32124</v>
      </c>
      <c r="DA18" s="1058">
        <f t="shared" si="45"/>
        <v>1.1856790747645831</v>
      </c>
      <c r="DB18" s="99">
        <f t="shared" si="46"/>
        <v>-0.1145674018833347</v>
      </c>
      <c r="DC18" s="53">
        <f t="shared" si="47"/>
        <v>43778</v>
      </c>
      <c r="DD18" s="645">
        <f t="shared" si="48"/>
        <v>0.73379322947599246</v>
      </c>
      <c r="DE18" s="13">
        <v>6256</v>
      </c>
      <c r="DF18" s="24">
        <v>954</v>
      </c>
      <c r="DG18" s="24">
        <v>5150</v>
      </c>
      <c r="DH18" s="51">
        <v>37522</v>
      </c>
      <c r="DI18" s="8">
        <f t="shared" si="62"/>
        <v>5876</v>
      </c>
      <c r="DJ18" s="644">
        <f t="shared" si="49"/>
        <v>25.324753875548346</v>
      </c>
      <c r="DK18" s="22">
        <v>3827</v>
      </c>
      <c r="DL18" s="22">
        <v>1497</v>
      </c>
      <c r="DM18" s="22">
        <v>17833</v>
      </c>
      <c r="DN18" s="138">
        <f t="shared" si="50"/>
        <v>0.73379322947599246</v>
      </c>
      <c r="DO18" s="99">
        <f t="shared" si="51"/>
        <v>-2.188339408826133</v>
      </c>
      <c r="DP18" s="22">
        <v>4705</v>
      </c>
      <c r="DQ18" s="8">
        <f t="shared" si="52"/>
        <v>9660</v>
      </c>
      <c r="DR18" s="138">
        <f t="shared" si="53"/>
        <v>-1.6623299768737457E-2</v>
      </c>
      <c r="DS18" s="99">
        <f t="shared" si="54"/>
        <v>0</v>
      </c>
      <c r="DT18" s="8">
        <f t="shared" si="55"/>
        <v>10894.52</v>
      </c>
      <c r="DU18" s="8">
        <f t="shared" si="56"/>
        <v>15338.454545454546</v>
      </c>
      <c r="DV18" s="235">
        <f t="shared" si="57"/>
        <v>518.18181818181813</v>
      </c>
      <c r="DW18" s="8">
        <f t="shared" si="58"/>
        <v>13375.578181818184</v>
      </c>
      <c r="DX18" s="411">
        <f t="shared" si="59"/>
        <v>30</v>
      </c>
      <c r="DY18" s="2192">
        <v>1600</v>
      </c>
      <c r="DZ18" s="857">
        <f t="shared" si="60"/>
        <v>9.2699884125144849E-2</v>
      </c>
      <c r="EA18" s="386"/>
      <c r="EB18" s="504"/>
      <c r="EC18" s="510">
        <v>44490</v>
      </c>
      <c r="ED18" s="435">
        <v>13347</v>
      </c>
      <c r="EE18" s="510">
        <v>14330</v>
      </c>
      <c r="EF18" s="435">
        <v>17196</v>
      </c>
      <c r="EG18" s="510">
        <v>8520</v>
      </c>
      <c r="EH18" s="435">
        <v>17040</v>
      </c>
      <c r="EI18" s="510">
        <v>3070</v>
      </c>
      <c r="EJ18" s="435">
        <v>13508</v>
      </c>
      <c r="EK18" s="510">
        <v>15660</v>
      </c>
      <c r="EL18" s="1606">
        <v>68904</v>
      </c>
      <c r="EM18" s="2067">
        <v>15660</v>
      </c>
      <c r="EN18" s="2068">
        <v>68904</v>
      </c>
      <c r="EO18" s="835">
        <f t="shared" si="63"/>
        <v>4.1625084288604182</v>
      </c>
      <c r="EP18" s="1648">
        <f t="shared" si="61"/>
        <v>7</v>
      </c>
      <c r="EQ18"/>
    </row>
    <row r="19" spans="1:147" ht="35" customHeight="1">
      <c r="A19" s="99">
        <f>_xlfn.XLOOKUP(R19,'MOPFRA Ranking'!$E$6:$E$55,'MOPFRA Ranking'!$AE$6:$AE$55)</f>
        <v>15.917114604278469</v>
      </c>
      <c r="B19" s="99">
        <f t="shared" si="1"/>
        <v>8.4171146042784706</v>
      </c>
      <c r="C19" s="1585">
        <f t="shared" ca="1" si="2"/>
        <v>0.24108981296481299</v>
      </c>
      <c r="D19" s="2378">
        <f t="shared" si="3"/>
        <v>2.1959807475102675</v>
      </c>
      <c r="E19" s="1414">
        <f t="shared" si="4"/>
        <v>8.0000000000000018</v>
      </c>
      <c r="F19" s="1415">
        <f t="shared" si="5"/>
        <v>7.5000000000000009</v>
      </c>
      <c r="G19" s="2124" cm="1">
        <f t="array" ref="G19">IFERROR(_xlfn.XLOOKUP(R19,'Sales Rec'!$E$37:$E$91,'Sales Rec'!$CU$37:$CU$91*100,""),"")</f>
        <v>15.712199654851977</v>
      </c>
      <c r="H19" s="2313">
        <f>_xlfn.XLOOKUP(R19,'Sales Rec'!$E$37:$E$86,'Sales Rec'!$DQ$37:$DQ$86,"")</f>
        <v>0.68387096774193545</v>
      </c>
      <c r="I19" s="2312">
        <f>_xlfn.XLOOKUP(R19,'Sales History'!$C$4:$C$83,'Sales History'!$AS$4:$AS$83,"")</f>
        <v>0.3639705882352941</v>
      </c>
      <c r="J19" s="2313">
        <f>_xlfn.XLOOKUP(R19,'Sales History'!$C$4:$C$83,'Sales History'!$AW$4:$AW$83,"")</f>
        <v>0.84453781512605042</v>
      </c>
      <c r="K19" s="1942">
        <f>_xlfn.XLOOKUP(R19,'Sales Rec'!$E$4:$E$91,'Sales Rec'!$CV$4:$CV$91,"")</f>
        <v>31</v>
      </c>
      <c r="L19" s="1587">
        <f>_xlfn.XLOOKUP(R19,'MOPFRA Ranking'!$E$6:$E$55,'MOPFRA Ranking'!$AG$6:$AG$55,"")</f>
        <v>16</v>
      </c>
      <c r="M19" s="1582" t="str">
        <f>_xlfn.XLOOKUP(R19,'Sales Rec'!$E$4:$E$105,'Sales Rec'!$DS$4:$DS$105,"")</f>
        <v>B</v>
      </c>
      <c r="N19" s="1582" t="str">
        <f>_xlfn.XLOOKUP(R19,'Sales Rec'!$E$4:$E$105,'Sales Rec'!$DZ$4:$DZ$105,"")</f>
        <v>BB</v>
      </c>
      <c r="O19" s="2365" t="str">
        <f>_xlfn.XLOOKUP($R19,'History Records'!$B$7:$B$88,'History Records'!$G$7:$G$88,"")</f>
        <v/>
      </c>
      <c r="P19" s="856" t="s">
        <v>461</v>
      </c>
      <c r="Q19" s="2364" t="s">
        <v>130</v>
      </c>
      <c r="R19" s="1571" t="s">
        <v>131</v>
      </c>
      <c r="S19" s="1929">
        <v>12</v>
      </c>
      <c r="T19" s="66">
        <f t="shared" si="6"/>
        <v>1456</v>
      </c>
      <c r="U19" s="2386">
        <f>_xlfn.XLOOKUP($R19,'Price Record'!$C$6:$C$100,'Price Record'!H$6:H$100,"")</f>
        <v>3640</v>
      </c>
      <c r="V19" s="338">
        <f>_xlfn.XLOOKUP(R19,'دیده بان بازار'!$A$3:$A$3542,'دیده بان بازار'!$M$3:$M$3542,"")</f>
        <v>2.82</v>
      </c>
      <c r="W19" s="2386">
        <f>_xlfn.XLOOKUP($R19,'Price Record'!$C$6:$C$100,'Price Record'!G$6:G$100,"")</f>
        <v>3640</v>
      </c>
      <c r="X19" s="337">
        <f>_xlfn.XLOOKUP(R19,'دیده بان بازار'!$A$3:$A$3542,'دیده بان بازار'!$J$3:$J$3542,"")</f>
        <v>2.82</v>
      </c>
      <c r="Y19" s="1708">
        <f t="shared" si="7"/>
        <v>1886</v>
      </c>
      <c r="Z19" s="661" t="str">
        <f t="shared" si="8"/>
        <v/>
      </c>
      <c r="AA19" s="822">
        <f t="shared" si="9"/>
        <v>0.66210045662100458</v>
      </c>
      <c r="AB19" s="511">
        <f t="shared" ca="1" si="10"/>
        <v>0.18246575342465754</v>
      </c>
      <c r="AC19" s="2194">
        <f t="shared" ca="1" si="11"/>
        <v>-64.815500431938787</v>
      </c>
      <c r="AD19" s="1150">
        <f t="shared" si="12"/>
        <v>0.66210045662100458</v>
      </c>
      <c r="AE19" s="1150">
        <f t="shared" si="13"/>
        <v>0.52780692549842601</v>
      </c>
      <c r="AF19" s="1150">
        <f t="shared" si="14"/>
        <v>0.36329588014981273</v>
      </c>
      <c r="AG19" s="1150">
        <f t="shared" si="15"/>
        <v>8.7378640776699032E-2</v>
      </c>
      <c r="AH19" s="1150">
        <f t="shared" si="16"/>
        <v>0.3</v>
      </c>
      <c r="AI19" s="275">
        <f t="shared" ca="1" si="17"/>
        <v>291</v>
      </c>
      <c r="AJ19" s="1121">
        <v>46165</v>
      </c>
      <c r="AK19" s="1116">
        <v>46270</v>
      </c>
      <c r="AL19" s="1345">
        <f t="shared" si="18"/>
        <v>4000000000</v>
      </c>
      <c r="AM19" s="29"/>
      <c r="AN19" s="29"/>
      <c r="AO19" s="685">
        <v>0.5605</v>
      </c>
      <c r="AP19" s="174"/>
      <c r="AQ19" s="1925">
        <v>1055</v>
      </c>
      <c r="AR19" s="1925">
        <v>248</v>
      </c>
      <c r="AS19" s="766">
        <f>_xlfn.XLOOKUP(R19,'Sales Rec'!$E$4:$E$86,'Sales Rec'!$X$4:$X$86,"")</f>
        <v>1596.491935483871</v>
      </c>
      <c r="AT19" s="586">
        <f>_xlfn.XLOOKUP(R19,'Sales Rec'!$E$4:$E$86,'Sales Rec'!$K$4:$K$86,"")</f>
        <v>4</v>
      </c>
      <c r="AU19" s="376">
        <f t="shared" si="19"/>
        <v>0.91572651731366661</v>
      </c>
      <c r="AV19" s="99">
        <f t="shared" si="20"/>
        <v>4.5383118423140338</v>
      </c>
      <c r="AW19" s="16">
        <v>344</v>
      </c>
      <c r="AX19" s="16">
        <v>111</v>
      </c>
      <c r="AY19" s="1421">
        <f t="shared" si="21"/>
        <v>0.32300000000000001</v>
      </c>
      <c r="AZ19" s="1419">
        <v>0.24299999999999999</v>
      </c>
      <c r="BA19" s="1689">
        <v>0.23499999999999999</v>
      </c>
      <c r="BB19" s="1690">
        <v>0.255</v>
      </c>
      <c r="BC19" s="100">
        <f>MIN(MAX(IF(BD19=BE19,BD19-BG19,BD19-BE19)*$S$65, -10), 10)</f>
        <v>7.5000000000000009</v>
      </c>
      <c r="BD19" s="1420">
        <f t="shared" si="23"/>
        <v>0.25600000000000001</v>
      </c>
      <c r="BE19" s="1419">
        <v>0.18099999999999999</v>
      </c>
      <c r="BF19" s="1687">
        <v>0.20200000000000001</v>
      </c>
      <c r="BG19" s="1688">
        <v>0.255</v>
      </c>
      <c r="BH19" s="306">
        <f t="shared" si="24"/>
        <v>6.7000000000000004E-2</v>
      </c>
      <c r="BI19" s="1861">
        <f t="shared" si="25"/>
        <v>92.192000000000007</v>
      </c>
      <c r="BJ19" s="306">
        <f t="shared" si="26"/>
        <v>6.2E-2</v>
      </c>
      <c r="BK19" s="99">
        <v>0</v>
      </c>
      <c r="BL19" s="306">
        <f>_xlfn.XLOOKUP(R19,'Sales Rec'!$E$4:$E$91,'Sales Rec'!$Y$4:$Y$91,"")</f>
        <v>0.51326249808897728</v>
      </c>
      <c r="BM19" s="99">
        <f t="shared" si="27"/>
        <v>-4.4651387559608189</v>
      </c>
      <c r="BN19" s="15"/>
      <c r="BO19" s="1803">
        <v>3</v>
      </c>
      <c r="BP19" s="842">
        <f t="shared" si="28"/>
        <v>1</v>
      </c>
      <c r="BQ19" s="16">
        <v>229</v>
      </c>
      <c r="BR19" s="16"/>
      <c r="BS19" s="16"/>
      <c r="BT19" s="1253">
        <f>(_xlfn.XLOOKUP(R19,'Sales Rec'!$E$37:$E$91,'Sales Rec'!$X$37:$X$91)*BD19+CM19)*1000/CK19</f>
        <v>1029.2548387096774</v>
      </c>
      <c r="BU19" s="1246">
        <f t="shared" si="29"/>
        <v>910</v>
      </c>
      <c r="BV19" s="406"/>
      <c r="BW19" s="407">
        <f t="shared" si="30"/>
        <v>3.7540192524897327</v>
      </c>
      <c r="BX19" s="99">
        <f t="shared" si="31"/>
        <v>6.2299037375513366</v>
      </c>
      <c r="BY19" s="18">
        <f t="shared" si="32"/>
        <v>387.85096774193545</v>
      </c>
      <c r="BZ19" s="18">
        <f t="shared" si="33"/>
        <v>244.70588235294116</v>
      </c>
      <c r="CA19" s="18">
        <f t="shared" si="34"/>
        <v>515.66689516129031</v>
      </c>
      <c r="CB19" s="1710">
        <f t="shared" si="35"/>
        <v>3.6573998014941349</v>
      </c>
      <c r="CC19" s="266">
        <f>_xlfn.XLOOKUP($R19,'Price Record'!$C$6:$C$100,'Price Record'!I$6:I$100,"")</f>
        <v>612</v>
      </c>
      <c r="CD19" s="267">
        <f>_xlfn.XLOOKUP($R19,'Price Record'!$C$6:$C$100,'Price Record'!J$6:J$100,"")</f>
        <v>5.95</v>
      </c>
      <c r="CE19" s="99">
        <f t="shared" si="36"/>
        <v>-2.8500000000000005</v>
      </c>
      <c r="CF19" s="17">
        <f t="shared" si="37"/>
        <v>1.5805039847364053</v>
      </c>
      <c r="CG19" s="99">
        <f t="shared" si="38"/>
        <v>1.6779840610543788</v>
      </c>
      <c r="CH19" s="494">
        <f t="shared" si="39"/>
        <v>0.22949761404848251</v>
      </c>
      <c r="CI19" s="99">
        <f t="shared" si="40"/>
        <v>-2.5575357892727628</v>
      </c>
      <c r="CJ19" s="20"/>
      <c r="CK19" s="691">
        <v>400</v>
      </c>
      <c r="CL19" s="419">
        <v>185</v>
      </c>
      <c r="CM19" s="468">
        <v>3</v>
      </c>
      <c r="CN19" s="843">
        <v>3</v>
      </c>
      <c r="CO19" s="21">
        <v>91</v>
      </c>
      <c r="CP19" s="21">
        <v>-1</v>
      </c>
      <c r="CQ19" s="469">
        <f t="shared" si="41"/>
        <v>91</v>
      </c>
      <c r="CR19" s="1239">
        <f>(AS19*BD19)*(_xlfn.XLOOKUP($R19,'Sales Rec'!$E$37:$E$91,'Sales Rec'!$L$37:$L$91,"")/12)+CP19</f>
        <v>135.23397849462364</v>
      </c>
      <c r="CS19" s="21">
        <v>276</v>
      </c>
      <c r="CT19" s="16">
        <v>0</v>
      </c>
      <c r="CU19" s="2240" t="str">
        <f t="shared" si="42"/>
        <v/>
      </c>
      <c r="CV19" s="693">
        <f t="shared" si="43"/>
        <v>710</v>
      </c>
      <c r="CW19" s="49">
        <v>507</v>
      </c>
      <c r="CX19" s="21">
        <v>31</v>
      </c>
      <c r="CY19" s="49">
        <v>106</v>
      </c>
      <c r="CZ19" s="378">
        <f t="shared" si="44"/>
        <v>613</v>
      </c>
      <c r="DA19" s="1058">
        <f t="shared" si="45"/>
        <v>1.9329388560157792</v>
      </c>
      <c r="DB19" s="99">
        <f t="shared" si="46"/>
        <v>5.8635108481262339</v>
      </c>
      <c r="DC19" s="53">
        <f t="shared" si="47"/>
        <v>1323</v>
      </c>
      <c r="DD19" s="645">
        <f t="shared" si="48"/>
        <v>0.46334089191232047</v>
      </c>
      <c r="DE19" s="13">
        <v>343</v>
      </c>
      <c r="DF19" s="24">
        <v>329</v>
      </c>
      <c r="DG19" s="24">
        <v>8</v>
      </c>
      <c r="DH19" s="51">
        <v>980</v>
      </c>
      <c r="DI19" s="8">
        <f t="shared" si="62"/>
        <v>473</v>
      </c>
      <c r="DJ19" s="644">
        <f t="shared" si="49"/>
        <v>3.3752472208961333</v>
      </c>
      <c r="DK19" s="22">
        <v>190</v>
      </c>
      <c r="DL19" s="22">
        <v>116</v>
      </c>
      <c r="DM19" s="22">
        <v>445</v>
      </c>
      <c r="DN19" s="138">
        <f t="shared" si="50"/>
        <v>0.46334089191232047</v>
      </c>
      <c r="DO19" s="99">
        <f t="shared" si="51"/>
        <v>-1.9921339533930382E-2</v>
      </c>
      <c r="DP19" s="22">
        <v>67</v>
      </c>
      <c r="DQ19" s="8">
        <f t="shared" si="52"/>
        <v>162</v>
      </c>
      <c r="DR19" s="138">
        <f t="shared" si="53"/>
        <v>6.9812509466484013E-2</v>
      </c>
      <c r="DS19" s="99">
        <f t="shared" si="54"/>
        <v>0</v>
      </c>
      <c r="DT19" s="8">
        <f t="shared" si="55"/>
        <v>2227.6799999999998</v>
      </c>
      <c r="DU19" s="8">
        <f t="shared" si="56"/>
        <v>3276</v>
      </c>
      <c r="DV19" s="235">
        <f t="shared" si="57"/>
        <v>462.5</v>
      </c>
      <c r="DW19" s="8">
        <f t="shared" si="58"/>
        <v>2983.09</v>
      </c>
      <c r="DX19" s="411">
        <f t="shared" si="59"/>
        <v>105</v>
      </c>
      <c r="DY19" s="1117">
        <v>150</v>
      </c>
      <c r="DZ19" s="857">
        <f t="shared" si="60"/>
        <v>6.4075181546347712E-2</v>
      </c>
      <c r="EA19" s="386">
        <v>0.33</v>
      </c>
      <c r="EB19" s="504"/>
      <c r="EC19" s="510">
        <v>13930</v>
      </c>
      <c r="ED19" s="435">
        <v>1120</v>
      </c>
      <c r="EE19" s="510">
        <v>6694</v>
      </c>
      <c r="EF19" s="435">
        <v>1339</v>
      </c>
      <c r="EG19" s="510">
        <v>5340</v>
      </c>
      <c r="EH19" s="435">
        <v>1068</v>
      </c>
      <c r="EI19" s="510">
        <v>3178</v>
      </c>
      <c r="EJ19" s="435">
        <v>953</v>
      </c>
      <c r="EK19" s="510">
        <v>2191</v>
      </c>
      <c r="EL19" s="1606">
        <v>876</v>
      </c>
      <c r="EM19" s="1224">
        <v>2191</v>
      </c>
      <c r="EN19" s="834">
        <v>876</v>
      </c>
      <c r="EO19" s="835">
        <f t="shared" si="63"/>
        <v>-0.21785714285714286</v>
      </c>
      <c r="EP19" s="1648">
        <f t="shared" si="61"/>
        <v>38</v>
      </c>
      <c r="EQ19"/>
    </row>
    <row r="20" spans="1:147" ht="35" customHeight="1">
      <c r="A20" s="99">
        <f>_xlfn.XLOOKUP(R20,'MOPFRA Ranking'!$E$6:$E$55,'MOPFRA Ranking'!$AE$6:$AE$55)</f>
        <v>16.038839843918019</v>
      </c>
      <c r="B20" s="99">
        <f t="shared" si="1"/>
        <v>6.0388398439180211</v>
      </c>
      <c r="C20" s="1585">
        <f t="shared" ca="1" si="2"/>
        <v>0.18987870222291683</v>
      </c>
      <c r="D20" s="2378">
        <f t="shared" si="3"/>
        <v>1.5294932514476089</v>
      </c>
      <c r="E20" s="1414">
        <f t="shared" si="4"/>
        <v>16.799999999999997</v>
      </c>
      <c r="F20" s="1415">
        <f t="shared" si="5"/>
        <v>13.200000000000003</v>
      </c>
      <c r="G20" s="2124" cm="1">
        <f t="array" ref="G20">IFERROR(_xlfn.XLOOKUP(R20,'Sales Rec'!$E$37:$E$91,'Sales Rec'!$CU$37:$CU$91*100,""),"")</f>
        <v>-15.339183550565672</v>
      </c>
      <c r="H20" s="2313">
        <f>_xlfn.XLOOKUP(R20,'Sales Rec'!$E$37:$E$86,'Sales Rec'!$DQ$37:$DQ$86,"")</f>
        <v>0.36759581881533099</v>
      </c>
      <c r="I20" s="2312">
        <f>_xlfn.XLOOKUP(R20,'Sales History'!$C$4:$C$83,'Sales History'!$AS$4:$AS$83,"")</f>
        <v>9.7061442564559217E-2</v>
      </c>
      <c r="J20" s="2313">
        <f>_xlfn.XLOOKUP(R20,'Sales History'!$C$4:$C$83,'Sales History'!$AW$4:$AW$83,"")</f>
        <v>0.52860411899313497</v>
      </c>
      <c r="K20" s="1942">
        <f>_xlfn.XLOOKUP(R20,'Sales Rec'!$E$4:$E$91,'Sales Rec'!$CV$4:$CV$91,"")</f>
        <v>41</v>
      </c>
      <c r="L20" s="1587">
        <f>_xlfn.XLOOKUP(R20,'MOPFRA Ranking'!$E$6:$E$55,'MOPFRA Ranking'!$AG$6:$AG$55,"")</f>
        <v>13</v>
      </c>
      <c r="M20" s="1582" t="str">
        <f>_xlfn.XLOOKUP(R20,'Sales Rec'!$E$4:$E$105,'Sales Rec'!$DS$4:$DS$105,"")</f>
        <v>S</v>
      </c>
      <c r="N20" s="1582" t="str">
        <f>_xlfn.XLOOKUP(R20,'Sales Rec'!$E$4:$E$105,'Sales Rec'!$DZ$4:$DZ$105,"")</f>
        <v>B</v>
      </c>
      <c r="O20" s="2365" t="str">
        <f>_xlfn.XLOOKUP($R20,'History Records'!$B$7:$B$88,'History Records'!$G$7:$G$88,"")</f>
        <v/>
      </c>
      <c r="P20" s="856" t="s">
        <v>464</v>
      </c>
      <c r="Q20" s="2364" t="s">
        <v>185</v>
      </c>
      <c r="R20" s="1571" t="s">
        <v>186</v>
      </c>
      <c r="S20" s="1929">
        <v>12</v>
      </c>
      <c r="T20" s="66">
        <f t="shared" si="6"/>
        <v>3526</v>
      </c>
      <c r="U20" s="2386">
        <f>_xlfn.XLOOKUP($R20,'Price Record'!$C$6:$C$100,'Price Record'!H$6:H$100,"")</f>
        <v>8200</v>
      </c>
      <c r="V20" s="338">
        <f>_xlfn.XLOOKUP(R20,'دیده بان بازار'!$A$3:$A$3542,'دیده بان بازار'!$M$3:$M$3542,"")</f>
        <v>2.89</v>
      </c>
      <c r="W20" s="2386">
        <f>_xlfn.XLOOKUP($R20,'Price Record'!$C$6:$C$100,'Price Record'!G$6:G$100,"")</f>
        <v>8200</v>
      </c>
      <c r="X20" s="337">
        <f>_xlfn.XLOOKUP(R20,'دیده بان بازار'!$A$3:$A$3542,'دیده بان بازار'!$J$3:$J$3542,"")</f>
        <v>2.89</v>
      </c>
      <c r="Y20" s="1708">
        <f t="shared" si="7"/>
        <v>5580</v>
      </c>
      <c r="Z20" s="661" t="str">
        <f t="shared" si="8"/>
        <v/>
      </c>
      <c r="AA20" s="822">
        <f t="shared" si="9"/>
        <v>0.43742356298410112</v>
      </c>
      <c r="AB20" s="511">
        <f t="shared" ca="1" si="10"/>
        <v>0.15534246575342467</v>
      </c>
      <c r="AC20" s="2194">
        <f t="shared" ca="1" si="11"/>
        <v>-44.774777338202604</v>
      </c>
      <c r="AD20" s="1150">
        <f t="shared" si="12"/>
        <v>0.43742356298410112</v>
      </c>
      <c r="AE20" s="1150">
        <f t="shared" si="13"/>
        <v>4.878048780487805E-2</v>
      </c>
      <c r="AF20" s="1150">
        <f t="shared" si="14"/>
        <v>0.5505716798592788</v>
      </c>
      <c r="AG20" s="1150">
        <f t="shared" si="15"/>
        <v>0.2977548767022451</v>
      </c>
      <c r="AH20" s="1150">
        <f t="shared" si="16"/>
        <v>2.3201506591337098</v>
      </c>
      <c r="AI20" s="275">
        <f t="shared" ca="1" si="17"/>
        <v>302</v>
      </c>
      <c r="AJ20" s="1121">
        <v>46176</v>
      </c>
      <c r="AK20" s="1116">
        <v>46295</v>
      </c>
      <c r="AL20" s="1345">
        <f t="shared" si="18"/>
        <v>4300000000</v>
      </c>
      <c r="AM20" s="29"/>
      <c r="AN20" s="29"/>
      <c r="AO20" s="685">
        <v>0.26</v>
      </c>
      <c r="AP20" s="174"/>
      <c r="AQ20" s="1925">
        <v>4479</v>
      </c>
      <c r="AR20" s="1925">
        <v>869</v>
      </c>
      <c r="AS20" s="766">
        <f>_xlfn.XLOOKUP(R20,'Sales Rec'!$E$4:$E$86,'Sales Rec'!$X$4:$X$86,"")</f>
        <v>5465.4808362369331</v>
      </c>
      <c r="AT20" s="984">
        <f>_xlfn.XLOOKUP(R20,'Sales Rec'!$E$4:$E$86,'Sales Rec'!$K$4:$K$86,"")</f>
        <v>4</v>
      </c>
      <c r="AU20" s="376">
        <f t="shared" si="19"/>
        <v>0.6451399438860177</v>
      </c>
      <c r="AV20" s="99">
        <f t="shared" si="20"/>
        <v>0.60819603724610816</v>
      </c>
      <c r="AW20" s="16">
        <v>1232</v>
      </c>
      <c r="AX20" s="16">
        <v>445</v>
      </c>
      <c r="AY20" s="1421">
        <f t="shared" si="21"/>
        <v>0.36099999999999999</v>
      </c>
      <c r="AZ20" s="1419">
        <v>0.193</v>
      </c>
      <c r="BA20" s="1689">
        <v>0.19400000000000001</v>
      </c>
      <c r="BB20" s="1690">
        <v>0.188</v>
      </c>
      <c r="BC20" s="100">
        <f>IF(BD20=0,0,MIN(MAX(IF(BD20=BE20,BD20-BG20,BD20-BE20)*$S$65, -10), 10))</f>
        <v>10</v>
      </c>
      <c r="BD20" s="1420">
        <f t="shared" si="23"/>
        <v>0.27300000000000002</v>
      </c>
      <c r="BE20" s="1419">
        <v>0.14099999999999999</v>
      </c>
      <c r="BF20" s="1687">
        <v>0.14099999999999999</v>
      </c>
      <c r="BG20" s="1688">
        <v>0.14299999999999999</v>
      </c>
      <c r="BH20" s="306">
        <f t="shared" si="24"/>
        <v>8.7999999999999967E-2</v>
      </c>
      <c r="BI20" s="1861">
        <f t="shared" si="25"/>
        <v>433.66399999999982</v>
      </c>
      <c r="BJ20" s="306">
        <f t="shared" si="26"/>
        <v>5.2000000000000018E-2</v>
      </c>
      <c r="BK20" s="99">
        <v>0</v>
      </c>
      <c r="BL20" s="306">
        <f>_xlfn.XLOOKUP(R20,'Sales Rec'!$E$4:$E$91,'Sales Rec'!$Y$4:$Y$91,"")</f>
        <v>0.22024577723530545</v>
      </c>
      <c r="BM20" s="99">
        <f t="shared" si="27"/>
        <v>-6.5153335724638701</v>
      </c>
      <c r="BN20" s="15"/>
      <c r="BO20" s="1803">
        <v>3</v>
      </c>
      <c r="BP20" s="842">
        <f t="shared" si="28"/>
        <v>1</v>
      </c>
      <c r="BQ20" s="16">
        <v>781</v>
      </c>
      <c r="BR20" s="16"/>
      <c r="BS20" s="16"/>
      <c r="BT20" s="1253">
        <f>(_xlfn.XLOOKUP(R20,'Sales Rec'!$E$37:$E$91,'Sales Rec'!$X$37:$X$91)*BD20+CM20)*1000/CK20</f>
        <v>3539.7122518434485</v>
      </c>
      <c r="BU20" s="1246">
        <f t="shared" si="29"/>
        <v>3125.5813953488373</v>
      </c>
      <c r="BV20" s="406"/>
      <c r="BW20" s="407">
        <f t="shared" si="30"/>
        <v>2.4605067485523913</v>
      </c>
      <c r="BX20" s="99">
        <f t="shared" si="31"/>
        <v>10</v>
      </c>
      <c r="BY20" s="18">
        <f t="shared" si="32"/>
        <v>1433.0381341463415</v>
      </c>
      <c r="BZ20" s="18">
        <f t="shared" si="33"/>
        <v>883.7092731829573</v>
      </c>
      <c r="CA20" s="18">
        <f t="shared" si="34"/>
        <v>1973.0385818815328</v>
      </c>
      <c r="CB20" s="1710">
        <f t="shared" si="35"/>
        <v>2.8281251320887959</v>
      </c>
      <c r="CC20" s="266">
        <f>_xlfn.XLOOKUP($R20,'Price Record'!$C$6:$C$100,'Price Record'!I$6:I$100,"")</f>
        <v>2053</v>
      </c>
      <c r="CD20" s="267">
        <f>_xlfn.XLOOKUP($R20,'Price Record'!$C$6:$C$100,'Price Record'!J$6:J$100,"")</f>
        <v>3.99</v>
      </c>
      <c r="CE20" s="99">
        <f t="shared" si="36"/>
        <v>3.0299999999999994</v>
      </c>
      <c r="CF20" s="17">
        <f t="shared" si="37"/>
        <v>1.8764329684791208</v>
      </c>
      <c r="CG20" s="99">
        <f t="shared" si="38"/>
        <v>0.49426812608351689</v>
      </c>
      <c r="CH20" s="494">
        <f t="shared" si="39"/>
        <v>0.39652411016777572</v>
      </c>
      <c r="CI20" s="99">
        <f t="shared" si="40"/>
        <v>-5.2138347483364489E-2</v>
      </c>
      <c r="CJ20" s="20"/>
      <c r="CK20" s="691">
        <v>430</v>
      </c>
      <c r="CL20" s="419">
        <v>66</v>
      </c>
      <c r="CM20" s="468">
        <v>30</v>
      </c>
      <c r="CN20" s="843">
        <v>0</v>
      </c>
      <c r="CO20" s="21">
        <v>336</v>
      </c>
      <c r="CP20" s="21">
        <v>0</v>
      </c>
      <c r="CQ20" s="469">
        <f t="shared" si="41"/>
        <v>336</v>
      </c>
      <c r="CR20" s="1239">
        <f>(AS20*BD20)*(_xlfn.XLOOKUP($R20,'Sales Rec'!$E$37:$E$91,'Sales Rec'!$L$37:$L$91,"")/12)+CP20</f>
        <v>497.35875609756096</v>
      </c>
      <c r="CS20" s="21">
        <v>402</v>
      </c>
      <c r="CT20" s="16">
        <v>-24</v>
      </c>
      <c r="CU20" s="2240" t="str">
        <f t="shared" si="42"/>
        <v/>
      </c>
      <c r="CV20" s="693">
        <f t="shared" si="43"/>
        <v>854</v>
      </c>
      <c r="CW20" s="49">
        <v>2510</v>
      </c>
      <c r="CX20" s="21">
        <v>347</v>
      </c>
      <c r="CY20" s="49">
        <v>179</v>
      </c>
      <c r="CZ20" s="378">
        <f t="shared" si="44"/>
        <v>2689</v>
      </c>
      <c r="DA20" s="1058">
        <f t="shared" si="45"/>
        <v>1.0996015936254979</v>
      </c>
      <c r="DB20" s="99">
        <f t="shared" si="46"/>
        <v>-0.80318725099601629</v>
      </c>
      <c r="DC20" s="53">
        <f t="shared" si="47"/>
        <v>3543</v>
      </c>
      <c r="DD20" s="645">
        <f t="shared" si="48"/>
        <v>0.75896133220434658</v>
      </c>
      <c r="DE20" s="13">
        <v>783</v>
      </c>
      <c r="DF20" s="24">
        <v>740</v>
      </c>
      <c r="DG20" s="24">
        <v>1</v>
      </c>
      <c r="DH20" s="51">
        <v>2760</v>
      </c>
      <c r="DI20" s="8">
        <f t="shared" si="62"/>
        <v>250</v>
      </c>
      <c r="DJ20" s="644">
        <f t="shared" si="49"/>
        <v>21.861923344947733</v>
      </c>
      <c r="DK20" s="22">
        <v>1218</v>
      </c>
      <c r="DL20" s="22">
        <v>635</v>
      </c>
      <c r="DM20" s="22">
        <v>581</v>
      </c>
      <c r="DN20" s="138">
        <f t="shared" si="50"/>
        <v>0.75896133220434658</v>
      </c>
      <c r="DO20" s="99">
        <f t="shared" si="51"/>
        <v>-0.72296514846835302</v>
      </c>
      <c r="DP20" s="22">
        <v>0</v>
      </c>
      <c r="DQ20" s="8">
        <f t="shared" si="52"/>
        <v>326</v>
      </c>
      <c r="DR20" s="138">
        <f t="shared" si="53"/>
        <v>-0.17587086394889107</v>
      </c>
      <c r="DS20" s="99">
        <f t="shared" si="54"/>
        <v>0</v>
      </c>
      <c r="DT20" s="8">
        <f t="shared" si="55"/>
        <v>7472.92</v>
      </c>
      <c r="DU20" s="8">
        <f t="shared" si="56"/>
        <v>11252.093023255815</v>
      </c>
      <c r="DV20" s="235">
        <f t="shared" si="57"/>
        <v>153.48837209302326</v>
      </c>
      <c r="DW20" s="8">
        <f t="shared" si="58"/>
        <v>9439.2506976744189</v>
      </c>
      <c r="DX20" s="411">
        <f t="shared" si="59"/>
        <v>119</v>
      </c>
      <c r="DY20" s="1117">
        <v>3132</v>
      </c>
      <c r="DZ20" s="857">
        <f t="shared" si="60"/>
        <v>0.19526184538653366</v>
      </c>
      <c r="EA20" s="386">
        <v>1.26</v>
      </c>
      <c r="EB20" s="504"/>
      <c r="EC20" s="510">
        <v>11800</v>
      </c>
      <c r="ED20" s="435">
        <v>1062</v>
      </c>
      <c r="EE20" s="510">
        <v>14300</v>
      </c>
      <c r="EF20" s="435">
        <v>2717</v>
      </c>
      <c r="EG20" s="510">
        <v>11970</v>
      </c>
      <c r="EH20" s="435">
        <v>2274</v>
      </c>
      <c r="EI20" s="510">
        <v>17695</v>
      </c>
      <c r="EJ20" s="435">
        <v>3362</v>
      </c>
      <c r="EK20" s="510">
        <v>12908</v>
      </c>
      <c r="EL20" s="1606">
        <v>2453</v>
      </c>
      <c r="EM20" s="1224">
        <v>12908</v>
      </c>
      <c r="EN20" s="834">
        <v>2453</v>
      </c>
      <c r="EO20" s="835">
        <f t="shared" si="63"/>
        <v>1.3097928436911488</v>
      </c>
      <c r="EP20" s="1648">
        <f t="shared" si="61"/>
        <v>18</v>
      </c>
      <c r="EQ20"/>
    </row>
    <row r="21" spans="1:147" ht="35" customHeight="1">
      <c r="A21" s="99">
        <f>_xlfn.XLOOKUP(R21,'MOPFRA Ranking'!$E$6:$E$55,'MOPFRA Ranking'!$AE$6:$AE$55)</f>
        <v>16.387529442051104</v>
      </c>
      <c r="B21" s="99">
        <f t="shared" si="1"/>
        <v>14.687529442051105</v>
      </c>
      <c r="C21" s="1585">
        <f t="shared" ca="1" si="2"/>
        <v>0.17365027936088065</v>
      </c>
      <c r="D21" s="2378">
        <f t="shared" si="3"/>
        <v>1.9536940581890816</v>
      </c>
      <c r="E21" s="1414">
        <f t="shared" si="4"/>
        <v>2.2000000000000006</v>
      </c>
      <c r="F21" s="1415">
        <f t="shared" si="5"/>
        <v>1.7000000000000002</v>
      </c>
      <c r="G21" s="2124" cm="1">
        <f t="array" ref="G21">IFERROR(_xlfn.XLOOKUP(R21,'Sales Rec'!$E$37:$E$91,'Sales Rec'!$CU$37:$CU$91*100,""),"")</f>
        <v>13.629381392764817</v>
      </c>
      <c r="H21" s="2313">
        <f>_xlfn.XLOOKUP(R21,'Sales Rec'!$E$37:$E$86,'Sales Rec'!$DQ$37:$DQ$86,"")</f>
        <v>1.5242796840164541</v>
      </c>
      <c r="I21" s="2312">
        <f>_xlfn.XLOOKUP(R21,'Sales History'!$C$4:$C$83,'Sales History'!$AS$4:$AS$83,"")</f>
        <v>0.27290174338986622</v>
      </c>
      <c r="J21" s="2313">
        <f>_xlfn.XLOOKUP(R21,'Sales History'!$C$4:$C$83,'Sales History'!$AW$4:$AW$83,"")</f>
        <v>0.30838105993385495</v>
      </c>
      <c r="K21" s="1942">
        <f>_xlfn.XLOOKUP(R21,'Sales Rec'!$E$4:$E$91,'Sales Rec'!$CV$4:$CV$91,"")</f>
        <v>10</v>
      </c>
      <c r="L21" s="1587">
        <f>_xlfn.XLOOKUP(R21,'MOPFRA Ranking'!$E$6:$E$55,'MOPFRA Ranking'!$AG$6:$AG$55,"")</f>
        <v>12</v>
      </c>
      <c r="M21" s="1582" t="str">
        <f>_xlfn.XLOOKUP(R21,'Sales Rec'!$E$4:$E$105,'Sales Rec'!$DS$4:$DS$105,"")</f>
        <v>BB</v>
      </c>
      <c r="N21" s="1582" t="str">
        <f>_xlfn.XLOOKUP(R21,'Sales Rec'!$E$4:$E$105,'Sales Rec'!$DZ$4:$DZ$105,"")</f>
        <v>BB</v>
      </c>
      <c r="O21" s="2365" t="str">
        <f>_xlfn.XLOOKUP($R21,'History Records'!$B$7:$B$88,'History Records'!$G$7:$G$88,"")</f>
        <v/>
      </c>
      <c r="P21" s="856" t="s">
        <v>459</v>
      </c>
      <c r="Q21" s="2364" t="s">
        <v>175</v>
      </c>
      <c r="R21" s="1571" t="s">
        <v>176</v>
      </c>
      <c r="S21" s="1929">
        <v>12</v>
      </c>
      <c r="T21" s="66">
        <f t="shared" si="6"/>
        <v>705011.24080000003</v>
      </c>
      <c r="U21" s="2386">
        <f>_xlfn.XLOOKUP($R21,'Price Record'!$C$6:$C$100,'Price Record'!H$6:H$100,"")</f>
        <v>11240</v>
      </c>
      <c r="V21" s="338">
        <f>_xlfn.XLOOKUP(R21,'دیده بان بازار'!$A$3:$A$3542,'دیده بان بازار'!$M$3:$M$3542,"")</f>
        <v>2.93</v>
      </c>
      <c r="W21" s="2386">
        <f>_xlfn.XLOOKUP($R21,'Price Record'!$C$6:$C$100,'Price Record'!G$6:G$100,"")</f>
        <v>11240</v>
      </c>
      <c r="X21" s="337">
        <f>_xlfn.XLOOKUP(R21,'دیده بان بازار'!$A$3:$A$3542,'دیده بان بازار'!$J$3:$J$3542,"")</f>
        <v>2.93</v>
      </c>
      <c r="Y21" s="1708">
        <f t="shared" si="7"/>
        <v>852034.24080000003</v>
      </c>
      <c r="Z21" s="661" t="str">
        <f t="shared" si="8"/>
        <v/>
      </c>
      <c r="AA21" s="822">
        <f t="shared" si="9"/>
        <v>0.2270732260372085</v>
      </c>
      <c r="AB21" s="511">
        <f t="shared" ca="1" si="10"/>
        <v>3.6986301369863014E-2</v>
      </c>
      <c r="AC21" s="2194">
        <f t="shared" ca="1" si="11"/>
        <v>-126.72461644489701</v>
      </c>
      <c r="AD21" s="1150">
        <f t="shared" si="12"/>
        <v>0.2270732260372085</v>
      </c>
      <c r="AE21" s="1150">
        <f t="shared" si="13"/>
        <v>2.8789524288457415</v>
      </c>
      <c r="AF21" s="1150">
        <f t="shared" si="14"/>
        <v>2.8082161130887111</v>
      </c>
      <c r="AG21" s="1150">
        <f t="shared" si="15"/>
        <v>3.6703404378788385</v>
      </c>
      <c r="AH21" s="1150">
        <f t="shared" si="16"/>
        <v>4.7977898092105269</v>
      </c>
      <c r="AI21" s="275">
        <f t="shared" ca="1" si="17"/>
        <v>350</v>
      </c>
      <c r="AJ21" s="1121">
        <v>46224</v>
      </c>
      <c r="AK21" s="1116">
        <v>46271</v>
      </c>
      <c r="AL21" s="1345">
        <f t="shared" si="18"/>
        <v>627234200000</v>
      </c>
      <c r="AM21" s="29"/>
      <c r="AN21" s="29"/>
      <c r="AO21" s="685">
        <v>0.48599999999999999</v>
      </c>
      <c r="AP21" s="174"/>
      <c r="AQ21" s="1925">
        <v>847187</v>
      </c>
      <c r="AR21" s="1925">
        <v>106686</v>
      </c>
      <c r="AS21" s="766">
        <f>_xlfn.XLOOKUP(R21,'Sales Rec'!$E$4:$E$86,'Sales Rec'!$X$4:$X$86,"")</f>
        <v>1781674.8225220123</v>
      </c>
      <c r="AT21" s="984">
        <f>_xlfn.XLOOKUP(R21,'Sales Rec'!$E$4:$E$86,'Sales Rec'!$K$4:$K$86,"")</f>
        <v>4</v>
      </c>
      <c r="AU21" s="376">
        <f t="shared" si="19"/>
        <v>0.39670199739339229</v>
      </c>
      <c r="AV21" s="99">
        <f t="shared" si="20"/>
        <v>0.40888657537798023</v>
      </c>
      <c r="AW21" s="16">
        <v>386120</v>
      </c>
      <c r="AX21" s="16">
        <v>48461</v>
      </c>
      <c r="AY21" s="1421">
        <f t="shared" si="21"/>
        <v>0.126</v>
      </c>
      <c r="AZ21" s="1419">
        <v>0.104</v>
      </c>
      <c r="BA21" s="1689">
        <v>0.126</v>
      </c>
      <c r="BB21" s="1690">
        <v>6.5000000000000002E-2</v>
      </c>
      <c r="BC21" s="100">
        <f>IF(BD21=0,0,MIN(MAX(IF(BD21=BE21,BD21-BG21,BD21-BE21)*$S$65, -10), 10))</f>
        <v>1.7000000000000002</v>
      </c>
      <c r="BD21" s="1420">
        <f t="shared" si="23"/>
        <v>9.7000000000000003E-2</v>
      </c>
      <c r="BE21" s="1419">
        <v>0.08</v>
      </c>
      <c r="BF21" s="1687">
        <v>0.1</v>
      </c>
      <c r="BG21" s="1688">
        <v>4.7E-2</v>
      </c>
      <c r="BH21" s="306">
        <f t="shared" si="24"/>
        <v>2.8999999999999998E-2</v>
      </c>
      <c r="BI21" s="1861">
        <f t="shared" si="25"/>
        <v>44789.919999999998</v>
      </c>
      <c r="BJ21" s="306">
        <f t="shared" si="26"/>
        <v>2.3999999999999994E-2</v>
      </c>
      <c r="BK21" s="99">
        <v>0</v>
      </c>
      <c r="BL21" s="306">
        <f>_xlfn.XLOOKUP(R21,'Sales Rec'!$E$4:$E$91,'Sales Rec'!$Y$4:$Y$91,"")</f>
        <v>1.1030478778852983</v>
      </c>
      <c r="BM21" s="99">
        <f t="shared" si="27"/>
        <v>10</v>
      </c>
      <c r="BN21" s="15"/>
      <c r="BO21" s="1803">
        <v>3</v>
      </c>
      <c r="BP21" s="842">
        <f t="shared" si="28"/>
        <v>1</v>
      </c>
      <c r="BQ21" s="16">
        <v>614</v>
      </c>
      <c r="BR21" s="16"/>
      <c r="BS21" s="16"/>
      <c r="BT21" s="1253">
        <f>(_xlfn.XLOOKUP(R21,'Sales Rec'!$E$37:$E$91,'Sales Rec'!$X$37:$X$91)*BD21+CM21)*1000/CK21</f>
        <v>2831.9957327683214</v>
      </c>
      <c r="BU21" s="1246">
        <f t="shared" si="29"/>
        <v>2474.5143042263958</v>
      </c>
      <c r="BV21" s="406"/>
      <c r="BW21" s="407">
        <f t="shared" si="30"/>
        <v>4.2363059418109188</v>
      </c>
      <c r="BX21" s="99">
        <f t="shared" si="31"/>
        <v>3.818470290945406</v>
      </c>
      <c r="BY21" s="18">
        <f t="shared" si="32"/>
        <v>166421.22889231759</v>
      </c>
      <c r="BZ21" s="18">
        <f t="shared" si="33"/>
        <v>113895.19237479806</v>
      </c>
      <c r="CA21" s="18">
        <f t="shared" si="34"/>
        <v>224491.02763777354</v>
      </c>
      <c r="CB21" s="1710">
        <f t="shared" si="35"/>
        <v>3.7954044300371592</v>
      </c>
      <c r="CC21" s="266">
        <f>_xlfn.XLOOKUP($R21,'Price Record'!$C$6:$C$100,'Price Record'!I$6:I$100,"")</f>
        <v>1816</v>
      </c>
      <c r="CD21" s="267">
        <f>_xlfn.XLOOKUP($R21,'Price Record'!$C$6:$C$100,'Price Record'!J$6:J$100,"")</f>
        <v>6.19</v>
      </c>
      <c r="CE21" s="99">
        <f t="shared" si="36"/>
        <v>-3.5700000000000012</v>
      </c>
      <c r="CF21" s="17">
        <f t="shared" si="37"/>
        <v>0.97741737086469094</v>
      </c>
      <c r="CG21" s="99">
        <f t="shared" si="38"/>
        <v>4.0903305165412362</v>
      </c>
      <c r="CH21" s="494">
        <f t="shared" si="39"/>
        <v>0.4866615849350594</v>
      </c>
      <c r="CI21" s="99">
        <f t="shared" si="40"/>
        <v>1.2999237740258907</v>
      </c>
      <c r="CJ21" s="20"/>
      <c r="CK21" s="691">
        <v>62723.42</v>
      </c>
      <c r="CL21" s="419">
        <v>42034</v>
      </c>
      <c r="CM21" s="468">
        <v>4810</v>
      </c>
      <c r="CN21" s="843">
        <v>940</v>
      </c>
      <c r="CO21" s="21">
        <v>38540</v>
      </c>
      <c r="CP21" s="21">
        <v>-288</v>
      </c>
      <c r="CQ21" s="469">
        <f t="shared" si="41"/>
        <v>38802.5</v>
      </c>
      <c r="CR21" s="1239">
        <f>(AS21*BD21)*(_xlfn.XLOOKUP($R21,'Sales Rec'!$E$37:$E$91,'Sales Rec'!$L$37:$L$91,"")/12)+CP21</f>
        <v>57319.485928211725</v>
      </c>
      <c r="CS21" s="21">
        <v>80574</v>
      </c>
      <c r="CT21" s="16">
        <v>-2430</v>
      </c>
      <c r="CU21" s="2240" t="str">
        <f t="shared" si="42"/>
        <v/>
      </c>
      <c r="CV21" s="693">
        <f t="shared" si="43"/>
        <v>153315</v>
      </c>
      <c r="CW21" s="49">
        <v>149231</v>
      </c>
      <c r="CX21" s="21">
        <v>20390</v>
      </c>
      <c r="CY21" s="49">
        <v>13432</v>
      </c>
      <c r="CZ21" s="378">
        <f t="shared" si="44"/>
        <v>162663</v>
      </c>
      <c r="DA21" s="1058">
        <f t="shared" si="45"/>
        <v>1.2641475296687685</v>
      </c>
      <c r="DB21" s="99">
        <f t="shared" si="46"/>
        <v>0.51318023735014862</v>
      </c>
      <c r="DC21" s="53">
        <f t="shared" si="47"/>
        <v>315978</v>
      </c>
      <c r="DD21" s="645">
        <f t="shared" si="48"/>
        <v>0.5147921690750622</v>
      </c>
      <c r="DE21" s="13">
        <v>127328</v>
      </c>
      <c r="DF21" s="24">
        <v>110576</v>
      </c>
      <c r="DG21" s="24">
        <v>12834</v>
      </c>
      <c r="DH21" s="51">
        <v>188650</v>
      </c>
      <c r="DI21" s="8">
        <f t="shared" si="62"/>
        <v>39419</v>
      </c>
      <c r="DJ21" s="644">
        <f t="shared" si="49"/>
        <v>45.198376988812811</v>
      </c>
      <c r="DK21" s="22">
        <v>47153</v>
      </c>
      <c r="DL21" s="22">
        <v>15637</v>
      </c>
      <c r="DM21" s="22">
        <v>123700</v>
      </c>
      <c r="DN21" s="138">
        <f t="shared" si="50"/>
        <v>0.5147921690750622</v>
      </c>
      <c r="DO21" s="99">
        <f t="shared" si="51"/>
        <v>-1.8732619521895588</v>
      </c>
      <c r="DP21" s="22">
        <v>3</v>
      </c>
      <c r="DQ21" s="8">
        <f t="shared" si="52"/>
        <v>2157</v>
      </c>
      <c r="DR21" s="138">
        <f t="shared" si="53"/>
        <v>-9.0814319906340979E-2</v>
      </c>
      <c r="DS21" s="99">
        <f t="shared" si="54"/>
        <v>0</v>
      </c>
      <c r="DT21" s="8">
        <f t="shared" si="55"/>
        <v>6610.24</v>
      </c>
      <c r="DU21" s="8">
        <f t="shared" si="56"/>
        <v>8908.251495215025</v>
      </c>
      <c r="DV21" s="235">
        <f t="shared" si="57"/>
        <v>670.1484070862208</v>
      </c>
      <c r="DW21" s="8">
        <f t="shared" si="58"/>
        <v>8094.3199511506227</v>
      </c>
      <c r="DX21" s="411">
        <f t="shared" si="59"/>
        <v>47</v>
      </c>
      <c r="DY21" s="1117">
        <v>740</v>
      </c>
      <c r="DZ21" s="857">
        <f t="shared" si="60"/>
        <v>7.4747474747474743E-2</v>
      </c>
      <c r="EA21" s="386">
        <v>0.19</v>
      </c>
      <c r="EB21" s="505"/>
      <c r="EC21" s="510">
        <v>6400</v>
      </c>
      <c r="ED21" s="435">
        <v>121600</v>
      </c>
      <c r="EE21" s="510">
        <v>6650</v>
      </c>
      <c r="EF21" s="435">
        <v>150955</v>
      </c>
      <c r="EG21" s="510">
        <v>4990</v>
      </c>
      <c r="EH21" s="435">
        <v>185129</v>
      </c>
      <c r="EI21" s="510">
        <v>3450</v>
      </c>
      <c r="EJ21" s="435">
        <v>181753</v>
      </c>
      <c r="EK21" s="510">
        <v>9160</v>
      </c>
      <c r="EL21" s="1606">
        <v>574547</v>
      </c>
      <c r="EM21" s="2067">
        <v>9160</v>
      </c>
      <c r="EN21" s="2068">
        <v>574547</v>
      </c>
      <c r="EO21" s="835">
        <f t="shared" si="63"/>
        <v>3.7248930921052632</v>
      </c>
      <c r="EP21" s="1648">
        <f t="shared" si="61"/>
        <v>10</v>
      </c>
      <c r="EQ21"/>
    </row>
    <row r="22" spans="1:147" ht="35" customHeight="1">
      <c r="A22" s="99">
        <f>_xlfn.XLOOKUP(R22,'MOPFRA Ranking'!$E$6:$E$55,'MOPFRA Ranking'!$AE$6:$AE$55)</f>
        <v>13.754050345773464</v>
      </c>
      <c r="B22" s="99">
        <f t="shared" si="1"/>
        <v>3.7540503457734609</v>
      </c>
      <c r="C22" s="1585">
        <f t="shared" ca="1" si="2"/>
        <v>0.23554790057531996</v>
      </c>
      <c r="D22" s="2378">
        <f t="shared" si="3"/>
        <v>1.1407495647527846</v>
      </c>
      <c r="E22" s="1414">
        <f t="shared" si="4"/>
        <v>12.400000000000006</v>
      </c>
      <c r="F22" s="1415">
        <f t="shared" si="5"/>
        <v>12.3</v>
      </c>
      <c r="G22" s="2124" cm="1">
        <f t="array" ref="G22">IFERROR(_xlfn.XLOOKUP(R22,'Sales Rec'!$E$37:$E$91,'Sales Rec'!$CU$37:$CU$91*100,""),"")</f>
        <v>34.188210346367768</v>
      </c>
      <c r="H22" s="2313">
        <f>_xlfn.XLOOKUP(R22,'Sales Rec'!$E$37:$E$86,'Sales Rec'!$DQ$37:$DQ$86,"")</f>
        <v>0.53115922894111434</v>
      </c>
      <c r="I22" s="2312">
        <f>_xlfn.XLOOKUP(R22,'Sales History'!$C$4:$C$83,'Sales History'!$AS$4:$AS$83,"")</f>
        <v>-0.46305167017947246</v>
      </c>
      <c r="J22" s="2313">
        <f>_xlfn.XLOOKUP(R22,'Sales History'!$C$4:$C$83,'Sales History'!$AW$4:$AW$83,"")</f>
        <v>-0.43374393430384472</v>
      </c>
      <c r="K22" s="1942">
        <f>_xlfn.XLOOKUP(R22,'Sales Rec'!$E$4:$E$91,'Sales Rec'!$CV$4:$CV$91,"")</f>
        <v>35</v>
      </c>
      <c r="L22" s="1587">
        <f>_xlfn.XLOOKUP(R22,'MOPFRA Ranking'!$E$6:$E$55,'MOPFRA Ranking'!$AG$6:$AG$55,"")</f>
        <v>15</v>
      </c>
      <c r="M22" s="1582" t="str">
        <f>_xlfn.XLOOKUP(R22,'Sales Rec'!$E$4:$E$105,'Sales Rec'!$DS$4:$DS$105,"")</f>
        <v>B</v>
      </c>
      <c r="N22" s="1582" t="str">
        <f>_xlfn.XLOOKUP(R22,'Sales Rec'!$E$4:$E$105,'Sales Rec'!$DZ$4:$DZ$105,"")</f>
        <v>B</v>
      </c>
      <c r="O22" s="2365" t="str">
        <f>_xlfn.XLOOKUP($R22,'History Records'!$B$7:$B$88,'History Records'!$G$7:$G$88,"")</f>
        <v/>
      </c>
      <c r="P22" s="856" t="s">
        <v>462</v>
      </c>
      <c r="Q22" s="2364" t="s">
        <v>144</v>
      </c>
      <c r="R22" s="1571" t="s">
        <v>145</v>
      </c>
      <c r="S22" s="1929">
        <v>12</v>
      </c>
      <c r="T22" s="66">
        <f t="shared" si="6"/>
        <v>98960.4</v>
      </c>
      <c r="U22" s="2386">
        <f>_xlfn.XLOOKUP($R22,'Price Record'!$C$6:$C$100,'Price Record'!H$6:H$100,"")</f>
        <v>64680</v>
      </c>
      <c r="V22" s="338">
        <f>_xlfn.XLOOKUP(R22,'دیده بان بازار'!$A$3:$A$3542,'دیده بان بازار'!$M$3:$M$3542,"")</f>
        <v>2.99</v>
      </c>
      <c r="W22" s="2386">
        <f>_xlfn.XLOOKUP($R22,'Price Record'!$C$6:$C$100,'Price Record'!G$6:G$100,"")</f>
        <v>64680</v>
      </c>
      <c r="X22" s="337">
        <f>_xlfn.XLOOKUP(R22,'دیده بان بازار'!$A$3:$A$3542,'دیده بان بازار'!$J$3:$J$3542,"")</f>
        <v>2.99</v>
      </c>
      <c r="Y22" s="1708">
        <f t="shared" si="7"/>
        <v>136323.4</v>
      </c>
      <c r="Z22" s="661" t="str">
        <f t="shared" si="8"/>
        <v/>
      </c>
      <c r="AA22" s="822">
        <f t="shared" si="9"/>
        <v>-0.21706066647678729</v>
      </c>
      <c r="AB22" s="511">
        <f t="shared" ca="1" si="10"/>
        <v>0.12082191780821919</v>
      </c>
      <c r="AC22" s="2194">
        <f t="shared" ca="1" si="11"/>
        <v>68.955629445919698</v>
      </c>
      <c r="AD22" s="1150">
        <f t="shared" si="12"/>
        <v>-0.2168747922700727</v>
      </c>
      <c r="AE22" s="1150">
        <f t="shared" si="13"/>
        <v>1.2329617762534408</v>
      </c>
      <c r="AF22" s="1150">
        <f t="shared" si="14"/>
        <v>2.2692566897918729</v>
      </c>
      <c r="AG22" s="1150">
        <f t="shared" si="15"/>
        <v>1.7988121500084844</v>
      </c>
      <c r="AH22" s="1150">
        <f t="shared" si="16"/>
        <v>1.7947809878844361</v>
      </c>
      <c r="AI22" s="275">
        <f t="shared" ca="1" si="17"/>
        <v>316</v>
      </c>
      <c r="AJ22" s="1121">
        <v>46190</v>
      </c>
      <c r="AK22" s="1116">
        <v>46300</v>
      </c>
      <c r="AL22" s="1345">
        <f t="shared" si="18"/>
        <v>15300000000</v>
      </c>
      <c r="AM22" s="29"/>
      <c r="AN22" s="29"/>
      <c r="AO22" s="685">
        <v>0.12</v>
      </c>
      <c r="AP22" s="174"/>
      <c r="AQ22" s="1925">
        <v>47988</v>
      </c>
      <c r="AR22" s="1925">
        <v>19331</v>
      </c>
      <c r="AS22" s="766">
        <f>_xlfn.XLOOKUP(R22,'Sales Rec'!$E$4:$E$86,'Sales Rec'!$X$4:$X$86,"")</f>
        <v>58439.134539213097</v>
      </c>
      <c r="AT22" s="984">
        <f>_xlfn.XLOOKUP(R22,'Sales Rec'!$E$4:$E$86,'Sales Rec'!$K$4:$K$86,"")</f>
        <v>4</v>
      </c>
      <c r="AU22" s="376">
        <f t="shared" si="19"/>
        <v>1.6927067928020685</v>
      </c>
      <c r="AV22" s="99">
        <f t="shared" si="20"/>
        <v>5.436475637953853</v>
      </c>
      <c r="AW22" s="16">
        <v>8407</v>
      </c>
      <c r="AX22" s="16">
        <v>4488</v>
      </c>
      <c r="AY22" s="1421">
        <f t="shared" si="21"/>
        <v>0.53400000000000003</v>
      </c>
      <c r="AZ22" s="1419">
        <v>0.41</v>
      </c>
      <c r="BA22" s="1689">
        <v>0.40300000000000002</v>
      </c>
      <c r="BB22" s="1690">
        <v>0.433</v>
      </c>
      <c r="BC22" s="100">
        <f>IF(BD22=0,0,MIN(MAX(IF(BD22=BE22,BD22-BG22,BD22-BE22)*$S$65, -10), 10))</f>
        <v>10</v>
      </c>
      <c r="BD22" s="1420">
        <f t="shared" si="23"/>
        <v>0.45</v>
      </c>
      <c r="BE22" s="1419">
        <v>0.32700000000000001</v>
      </c>
      <c r="BF22" s="1687">
        <v>0.313</v>
      </c>
      <c r="BG22" s="1688">
        <v>0.33700000000000002</v>
      </c>
      <c r="BH22" s="306">
        <f t="shared" si="24"/>
        <v>8.4000000000000019E-2</v>
      </c>
      <c r="BI22" s="1861">
        <f t="shared" si="25"/>
        <v>2824.7520000000009</v>
      </c>
      <c r="BJ22" s="306">
        <f t="shared" si="26"/>
        <v>8.2999999999999963E-2</v>
      </c>
      <c r="BK22" s="99">
        <v>0</v>
      </c>
      <c r="BL22" s="306">
        <f>_xlfn.XLOOKUP(R22,'Sales Rec'!$E$4:$E$91,'Sales Rec'!$Y$4:$Y$91,"")</f>
        <v>0.21778641617098227</v>
      </c>
      <c r="BM22" s="99">
        <f t="shared" si="27"/>
        <v>10</v>
      </c>
      <c r="BN22" s="15"/>
      <c r="BO22" s="1803">
        <v>3</v>
      </c>
      <c r="BP22" s="842">
        <f t="shared" si="28"/>
        <v>1</v>
      </c>
      <c r="BQ22" s="16">
        <v>2052</v>
      </c>
      <c r="BR22" s="16"/>
      <c r="BS22" s="16"/>
      <c r="BT22" s="1253">
        <f>(_xlfn.XLOOKUP(R22,'Sales Rec'!$E$37:$E$91,'Sales Rec'!$X$37:$X$91)*BD22+CM22)*1000/CK22</f>
        <v>15144.18989715418</v>
      </c>
      <c r="BU22" s="1246">
        <f t="shared" si="29"/>
        <v>8209.1503267973858</v>
      </c>
      <c r="BV22" s="406"/>
      <c r="BW22" s="407">
        <f t="shared" si="30"/>
        <v>5.5392504352472152</v>
      </c>
      <c r="BX22" s="99">
        <f t="shared" si="31"/>
        <v>-2.6962521762360758</v>
      </c>
      <c r="BY22" s="18">
        <f t="shared" si="32"/>
        <v>17865.305271322944</v>
      </c>
      <c r="BZ22" s="18">
        <f t="shared" si="33"/>
        <v>14814.43113772455</v>
      </c>
      <c r="CA22" s="18">
        <f t="shared" si="34"/>
        <v>31206.497843939796</v>
      </c>
      <c r="CB22" s="1710">
        <f t="shared" si="35"/>
        <v>4.3684299558937392</v>
      </c>
      <c r="CC22" s="266">
        <f>_xlfn.XLOOKUP($R22,'Price Record'!$C$6:$C$100,'Price Record'!I$6:I$100,"")</f>
        <v>9681</v>
      </c>
      <c r="CD22" s="267">
        <f>_xlfn.XLOOKUP($R22,'Price Record'!$C$6:$C$100,'Price Record'!J$6:J$100,"")</f>
        <v>6.68</v>
      </c>
      <c r="CE22" s="99">
        <f t="shared" si="36"/>
        <v>-5.0399999999999991</v>
      </c>
      <c r="CF22" s="17">
        <f t="shared" si="37"/>
        <v>2.2878422383080448</v>
      </c>
      <c r="CG22" s="99">
        <f t="shared" si="38"/>
        <v>-1.1513689532321791</v>
      </c>
      <c r="CH22" s="494">
        <f t="shared" si="39"/>
        <v>0.30475427776812364</v>
      </c>
      <c r="CI22" s="99">
        <f t="shared" si="40"/>
        <v>-1.4286858334781458</v>
      </c>
      <c r="CJ22" s="20"/>
      <c r="CK22" s="691">
        <v>1530</v>
      </c>
      <c r="CL22" s="419">
        <v>15356</v>
      </c>
      <c r="CM22" s="468">
        <v>-3127</v>
      </c>
      <c r="CN22" s="843">
        <v>-643</v>
      </c>
      <c r="CO22" s="21">
        <v>3140</v>
      </c>
      <c r="CP22" s="21">
        <v>6</v>
      </c>
      <c r="CQ22" s="469">
        <f t="shared" si="41"/>
        <v>3140</v>
      </c>
      <c r="CR22" s="1239">
        <f>(AS22*BD22)*(_xlfn.XLOOKUP($R22,'Sales Rec'!$E$37:$E$91,'Sales Rec'!$L$37:$L$91,"")/12)+CP22</f>
        <v>8771.8701808819642</v>
      </c>
      <c r="CS22" s="21">
        <v>18496</v>
      </c>
      <c r="CT22" s="16">
        <v>-155</v>
      </c>
      <c r="CU22" s="2240" t="str">
        <f t="shared" si="42"/>
        <v/>
      </c>
      <c r="CV22" s="693">
        <f t="shared" si="43"/>
        <v>20105</v>
      </c>
      <c r="CW22" s="49">
        <v>32924</v>
      </c>
      <c r="CX22" s="21">
        <v>2389</v>
      </c>
      <c r="CY22" s="49">
        <v>7949</v>
      </c>
      <c r="CZ22" s="378">
        <f t="shared" si="44"/>
        <v>40873</v>
      </c>
      <c r="DA22" s="1058">
        <f t="shared" si="45"/>
        <v>1.1698760782407971</v>
      </c>
      <c r="DB22" s="99">
        <f t="shared" si="46"/>
        <v>-0.24099137407362292</v>
      </c>
      <c r="DC22" s="53">
        <f t="shared" si="47"/>
        <v>60978</v>
      </c>
      <c r="DD22" s="645">
        <f t="shared" si="48"/>
        <v>0.6702909245957559</v>
      </c>
      <c r="DE22" s="13">
        <v>22461</v>
      </c>
      <c r="DF22" s="24">
        <v>4824</v>
      </c>
      <c r="DG22" s="24">
        <v>17532</v>
      </c>
      <c r="DH22" s="51">
        <v>38517</v>
      </c>
      <c r="DI22" s="8">
        <f t="shared" si="62"/>
        <v>5593</v>
      </c>
      <c r="DJ22" s="644">
        <f t="shared" si="49"/>
        <v>10.448620514788681</v>
      </c>
      <c r="DK22" s="22">
        <v>9801</v>
      </c>
      <c r="DL22" s="22">
        <v>2825</v>
      </c>
      <c r="DM22" s="22">
        <v>24021</v>
      </c>
      <c r="DN22" s="138">
        <f t="shared" si="50"/>
        <v>0.6702909245957559</v>
      </c>
      <c r="DO22" s="99">
        <f t="shared" si="51"/>
        <v>-1.1251269551603693</v>
      </c>
      <c r="DP22" s="22">
        <v>685</v>
      </c>
      <c r="DQ22" s="8">
        <f t="shared" si="52"/>
        <v>1185</v>
      </c>
      <c r="DR22" s="138">
        <f t="shared" si="53"/>
        <v>-5.4604012552818756E-2</v>
      </c>
      <c r="DS22" s="99">
        <f t="shared" si="54"/>
        <v>0</v>
      </c>
      <c r="DT22" s="8">
        <f t="shared" si="55"/>
        <v>35238.839999999997</v>
      </c>
      <c r="DU22" s="8">
        <f t="shared" si="56"/>
        <v>29552.941176470587</v>
      </c>
      <c r="DV22" s="235">
        <f t="shared" si="57"/>
        <v>10036.601307189543</v>
      </c>
      <c r="DW22" s="8">
        <f t="shared" si="58"/>
        <v>37414.191241830064</v>
      </c>
      <c r="DX22" s="411">
        <f t="shared" si="59"/>
        <v>110</v>
      </c>
      <c r="DY22" s="1117">
        <v>6928</v>
      </c>
      <c r="DZ22" s="857">
        <f t="shared" si="60"/>
        <v>7.7390527256479005E-2</v>
      </c>
      <c r="EA22" s="386"/>
      <c r="EB22" s="504"/>
      <c r="EC22" s="510">
        <v>69430</v>
      </c>
      <c r="ED22" s="435">
        <v>35409</v>
      </c>
      <c r="EE22" s="510">
        <v>23110</v>
      </c>
      <c r="EF22" s="435">
        <v>35358</v>
      </c>
      <c r="EG22" s="510">
        <v>19784</v>
      </c>
      <c r="EH22" s="435">
        <v>30270</v>
      </c>
      <c r="EI22" s="510">
        <v>28966</v>
      </c>
      <c r="EJ22" s="435">
        <v>44318</v>
      </c>
      <c r="EK22" s="510">
        <v>82592</v>
      </c>
      <c r="EL22" s="1606">
        <v>126366</v>
      </c>
      <c r="EM22" s="1224">
        <v>82592</v>
      </c>
      <c r="EN22" s="834">
        <v>126396</v>
      </c>
      <c r="EO22" s="835">
        <f t="shared" si="63"/>
        <v>2.5696009489112939</v>
      </c>
      <c r="EP22" s="1648">
        <f t="shared" si="61"/>
        <v>13</v>
      </c>
      <c r="EQ22"/>
    </row>
    <row r="23" spans="1:147" ht="35" customHeight="1">
      <c r="A23" s="99">
        <f>_xlfn.XLOOKUP(R23,'MOPFRA Ranking'!$E$6:$E$55,'MOPFRA Ranking'!$AE$6:$AE$55)</f>
        <v>12.65688189714186</v>
      </c>
      <c r="B23" s="99">
        <f t="shared" si="1"/>
        <v>8.5568818971418619</v>
      </c>
      <c r="C23" s="1585">
        <f t="shared" ca="1" si="2"/>
        <v>0.15976243346069857</v>
      </c>
      <c r="D23" s="2378">
        <f t="shared" si="3"/>
        <v>3.1790383673397797</v>
      </c>
      <c r="E23" s="1414">
        <f t="shared" si="4"/>
        <v>7.0999999999999952</v>
      </c>
      <c r="F23" s="1415">
        <f t="shared" si="5"/>
        <v>4.0999999999999979</v>
      </c>
      <c r="G23" s="2124" cm="1">
        <f t="array" ref="G23">IFERROR(_xlfn.XLOOKUP(R23,'Sales Rec'!$E$37:$E$91,'Sales Rec'!$CU$37:$CU$91*100,""),"")</f>
        <v>21.412431849325042</v>
      </c>
      <c r="H23" s="2313">
        <f>_xlfn.XLOOKUP(R23,'Sales Rec'!$E$37:$E$86,'Sales Rec'!$DQ$37:$DQ$86,"")</f>
        <v>2.1480582524271843</v>
      </c>
      <c r="I23" s="2312">
        <f>_xlfn.XLOOKUP(R23,'Sales History'!$C$4:$C$83,'Sales History'!$AS$4:$AS$83,"")</f>
        <v>0.5483359746434231</v>
      </c>
      <c r="J23" s="2313">
        <f>_xlfn.XLOOKUP(R23,'Sales History'!$C$4:$C$83,'Sales History'!$AW$4:$AW$83,"")</f>
        <v>0.60089020771513357</v>
      </c>
      <c r="K23" s="1942">
        <f>_xlfn.XLOOKUP(R23,'Sales Rec'!$E$4:$E$91,'Sales Rec'!$CV$4:$CV$91,"")</f>
        <v>5</v>
      </c>
      <c r="L23" s="1587">
        <f>_xlfn.XLOOKUP(R23,'MOPFRA Ranking'!$E$6:$E$55,'MOPFRA Ranking'!$AG$6:$AG$55,"")</f>
        <v>19</v>
      </c>
      <c r="M23" s="1582" t="str">
        <f>_xlfn.XLOOKUP(R23,'Sales Rec'!$E$4:$E$105,'Sales Rec'!$DS$4:$DS$105,"")</f>
        <v>BB</v>
      </c>
      <c r="N23" s="1582" t="str">
        <f>_xlfn.XLOOKUP(R23,'Sales Rec'!$E$4:$E$105,'Sales Rec'!$DZ$4:$DZ$105,"")</f>
        <v>BB</v>
      </c>
      <c r="O23" s="2365" t="str">
        <f>_xlfn.XLOOKUP($R23,'History Records'!$B$7:$B$88,'History Records'!$G$7:$G$88,"")</f>
        <v/>
      </c>
      <c r="P23" s="856" t="s">
        <v>209</v>
      </c>
      <c r="Q23" s="2364" t="s">
        <v>98</v>
      </c>
      <c r="R23" s="1571" t="s">
        <v>99</v>
      </c>
      <c r="S23" s="1929">
        <v>12</v>
      </c>
      <c r="T23" s="66">
        <f t="shared" si="6"/>
        <v>5887</v>
      </c>
      <c r="U23" s="2386">
        <f>_xlfn.XLOOKUP($R23,'Price Record'!$C$6:$C$100,'Price Record'!H$6:H$100,"")</f>
        <v>8370</v>
      </c>
      <c r="V23" s="338">
        <f>_xlfn.XLOOKUP(R23,'دیده بان بازار'!$A$3:$A$3542,'دیده بان بازار'!$M$3:$M$3542,"")</f>
        <v>1.21</v>
      </c>
      <c r="W23" s="2386">
        <f>_xlfn.XLOOKUP($R23,'Price Record'!$C$6:$C$100,'Price Record'!G$6:G$100,"")</f>
        <v>8410</v>
      </c>
      <c r="X23" s="337">
        <f>_xlfn.XLOOKUP(R23,'دیده بان بازار'!$A$3:$A$3542,'دیده بان بازار'!$J$3:$J$3542,"")</f>
        <v>1.69</v>
      </c>
      <c r="Y23" s="1708">
        <f t="shared" si="7"/>
        <v>6461</v>
      </c>
      <c r="Z23" s="661" t="str">
        <f t="shared" si="8"/>
        <v/>
      </c>
      <c r="AA23" s="822">
        <f t="shared" si="9"/>
        <v>1.5991169977924944</v>
      </c>
      <c r="AB23" s="511">
        <f t="shared" ca="1" si="10"/>
        <v>0.18000000000000002</v>
      </c>
      <c r="AC23" s="2194">
        <f t="shared" ca="1" si="11"/>
        <v>-194.39958873869787</v>
      </c>
      <c r="AD23" s="1150">
        <f t="shared" si="12"/>
        <v>1.5991169977924944</v>
      </c>
      <c r="AE23" s="1150">
        <f t="shared" si="13"/>
        <v>2.050259067357513</v>
      </c>
      <c r="AF23" s="1150">
        <f t="shared" si="14"/>
        <v>4.5328947368421053</v>
      </c>
      <c r="AG23" s="1150">
        <f t="shared" si="15"/>
        <v>2.4107763615295479</v>
      </c>
      <c r="AH23" s="1150">
        <f t="shared" si="16"/>
        <v>5.2099156118143464</v>
      </c>
      <c r="AI23" s="275">
        <f t="shared" ca="1" si="17"/>
        <v>292</v>
      </c>
      <c r="AJ23" s="1121">
        <v>46166</v>
      </c>
      <c r="AK23" s="1116">
        <v>46289</v>
      </c>
      <c r="AL23" s="1345">
        <f t="shared" si="18"/>
        <v>7000000000</v>
      </c>
      <c r="AM23" s="29"/>
      <c r="AN23" s="29"/>
      <c r="AO23" s="685">
        <v>0.05</v>
      </c>
      <c r="AP23" s="174"/>
      <c r="AQ23" s="1925">
        <v>1820</v>
      </c>
      <c r="AR23" s="1925">
        <v>643</v>
      </c>
      <c r="AS23" s="766">
        <f>_xlfn.XLOOKUP(R23,'Sales Rec'!$E$4:$E$86,'Sales Rec'!$X$4:$X$86,"")</f>
        <v>4513.7330097087379</v>
      </c>
      <c r="AT23" s="984">
        <f>_xlfn.XLOOKUP(R23,'Sales Rec'!$E$4:$E$86,'Sales Rec'!$K$4:$K$86,"")</f>
        <v>4</v>
      </c>
      <c r="AU23" s="376">
        <f t="shared" si="19"/>
        <v>1.3042419627694986</v>
      </c>
      <c r="AV23" s="99">
        <f t="shared" si="20"/>
        <v>-4.4299667713239046</v>
      </c>
      <c r="AW23" s="16">
        <v>977</v>
      </c>
      <c r="AX23" s="16">
        <v>463</v>
      </c>
      <c r="AY23" s="1421">
        <f t="shared" si="21"/>
        <v>0.47399999999999998</v>
      </c>
      <c r="AZ23" s="1419">
        <v>0.40300000000000002</v>
      </c>
      <c r="BA23" s="1689">
        <v>0.35299999999999998</v>
      </c>
      <c r="BB23" s="1690">
        <v>0.26800000000000002</v>
      </c>
      <c r="BC23" s="100">
        <f>IF(BD23=0,0,MIN(MAX(IF(BD23=BE23,BD23-BG23,BD23-BE23)*$S$65, -10), 10))</f>
        <v>4.0999999999999979</v>
      </c>
      <c r="BD23" s="1420">
        <f t="shared" si="23"/>
        <v>0.373</v>
      </c>
      <c r="BE23" s="1419">
        <v>0.33200000000000002</v>
      </c>
      <c r="BF23" s="1687">
        <v>0.29699999999999999</v>
      </c>
      <c r="BG23" s="1688">
        <v>0.23200000000000001</v>
      </c>
      <c r="BH23" s="306">
        <f t="shared" si="24"/>
        <v>0.10099999999999998</v>
      </c>
      <c r="BI23" s="1861">
        <f t="shared" si="25"/>
        <v>394.70799999999991</v>
      </c>
      <c r="BJ23" s="306">
        <f t="shared" si="26"/>
        <v>7.1000000000000008E-2</v>
      </c>
      <c r="BK23" s="99">
        <v>0</v>
      </c>
      <c r="BL23" s="306">
        <f>_xlfn.XLOOKUP(R23,'Sales Rec'!$E$4:$E$91,'Sales Rec'!$Y$4:$Y$91,"")</f>
        <v>1.4800730822575483</v>
      </c>
      <c r="BM23" s="99">
        <f t="shared" si="27"/>
        <v>-3.5713174660483826</v>
      </c>
      <c r="BN23" s="15"/>
      <c r="BO23" s="1803">
        <v>3</v>
      </c>
      <c r="BP23" s="842">
        <f t="shared" si="28"/>
        <v>1</v>
      </c>
      <c r="BQ23" s="16">
        <v>543</v>
      </c>
      <c r="BR23" s="16"/>
      <c r="BS23" s="16"/>
      <c r="BT23" s="1253">
        <f>(_xlfn.XLOOKUP(R23,'Sales Rec'!$E$37:$E$91,'Sales Rec'!$X$37:$X$91)*BD23+CM23)*1000/CK23</f>
        <v>2473.7463037447988</v>
      </c>
      <c r="BU23" s="1246">
        <f t="shared" si="29"/>
        <v>2171.4285714285711</v>
      </c>
      <c r="BV23" s="406"/>
      <c r="BW23" s="407">
        <f t="shared" si="30"/>
        <v>3.6209616326602201</v>
      </c>
      <c r="BX23" s="99">
        <f t="shared" si="31"/>
        <v>6.8951918366988991</v>
      </c>
      <c r="BY23" s="18">
        <f t="shared" si="32"/>
        <v>1625.8112063106796</v>
      </c>
      <c r="BZ23" s="18">
        <f t="shared" si="33"/>
        <v>865.73529411764707</v>
      </c>
      <c r="CA23" s="18">
        <f t="shared" si="34"/>
        <v>2139.5094466019418</v>
      </c>
      <c r="CB23" s="1710">
        <f t="shared" si="35"/>
        <v>3.0198511206676977</v>
      </c>
      <c r="CC23" s="266">
        <f>_xlfn.XLOOKUP($R23,'Price Record'!$C$6:$C$100,'Price Record'!I$6:I$100,"")</f>
        <v>1231</v>
      </c>
      <c r="CD23" s="267">
        <f>_xlfn.XLOOKUP($R23,'Price Record'!$C$6:$C$100,'Price Record'!J$6:J$100,"")</f>
        <v>6.8</v>
      </c>
      <c r="CE23" s="99">
        <f t="shared" si="36"/>
        <v>-5.3999999999999995</v>
      </c>
      <c r="CF23" s="17">
        <f t="shared" si="37"/>
        <v>0.47422480359793268</v>
      </c>
      <c r="CG23" s="99">
        <f t="shared" si="38"/>
        <v>6.1031007856082695</v>
      </c>
      <c r="CH23" s="494">
        <f t="shared" si="39"/>
        <v>0.45363035890364944</v>
      </c>
      <c r="CI23" s="99">
        <f t="shared" si="40"/>
        <v>0.80445538355474133</v>
      </c>
      <c r="CJ23" s="20"/>
      <c r="CK23" s="691">
        <v>700</v>
      </c>
      <c r="CL23" s="419">
        <v>380</v>
      </c>
      <c r="CM23" s="468">
        <v>48</v>
      </c>
      <c r="CN23" s="843">
        <v>16</v>
      </c>
      <c r="CO23" s="21">
        <v>380</v>
      </c>
      <c r="CP23" s="21">
        <v>0</v>
      </c>
      <c r="CQ23" s="469">
        <f t="shared" si="41"/>
        <v>380</v>
      </c>
      <c r="CR23" s="1239">
        <f>(AS23*BD23)*(_xlfn.XLOOKUP($R23,'Sales Rec'!$E$37:$E$91,'Sales Rec'!$L$37:$L$91,"")/12)+CP23</f>
        <v>561.20747087378641</v>
      </c>
      <c r="CS23" s="21">
        <v>760</v>
      </c>
      <c r="CT23" s="16">
        <v>0</v>
      </c>
      <c r="CU23" s="2240" t="str">
        <f t="shared" si="42"/>
        <v/>
      </c>
      <c r="CV23" s="693">
        <f t="shared" si="43"/>
        <v>1804</v>
      </c>
      <c r="CW23" s="49">
        <v>655</v>
      </c>
      <c r="CX23" s="21">
        <v>70</v>
      </c>
      <c r="CY23" s="49">
        <v>116</v>
      </c>
      <c r="CZ23" s="378">
        <f t="shared" si="44"/>
        <v>771</v>
      </c>
      <c r="DA23" s="1058">
        <f t="shared" si="45"/>
        <v>2.717557251908397</v>
      </c>
      <c r="DB23" s="99">
        <f t="shared" si="46"/>
        <v>6</v>
      </c>
      <c r="DC23" s="53">
        <f t="shared" si="47"/>
        <v>2575</v>
      </c>
      <c r="DD23" s="645">
        <f t="shared" si="48"/>
        <v>0.29941747572815536</v>
      </c>
      <c r="DE23" s="13">
        <v>795</v>
      </c>
      <c r="DF23" s="24">
        <v>742</v>
      </c>
      <c r="DG23" s="24">
        <v>53</v>
      </c>
      <c r="DH23" s="51">
        <v>1780</v>
      </c>
      <c r="DI23" s="8">
        <f t="shared" si="62"/>
        <v>1125</v>
      </c>
      <c r="DJ23" s="644">
        <f t="shared" si="49"/>
        <v>4.0122071197411007</v>
      </c>
      <c r="DK23" s="22">
        <v>739</v>
      </c>
      <c r="DL23" s="22">
        <v>185</v>
      </c>
      <c r="DM23" s="22">
        <v>705</v>
      </c>
      <c r="DN23" s="138">
        <f t="shared" si="50"/>
        <v>0.29941747572815536</v>
      </c>
      <c r="DO23" s="99">
        <f t="shared" si="51"/>
        <v>2.1554181286522378</v>
      </c>
      <c r="DP23" s="22">
        <v>12</v>
      </c>
      <c r="DQ23" s="8">
        <f t="shared" si="52"/>
        <v>139</v>
      </c>
      <c r="DR23" s="138">
        <f t="shared" si="53"/>
        <v>-2.7109017953679999E-2</v>
      </c>
      <c r="DS23" s="99">
        <f t="shared" si="54"/>
        <v>0</v>
      </c>
      <c r="DT23" s="8">
        <f t="shared" si="55"/>
        <v>4480.84</v>
      </c>
      <c r="DU23" s="8">
        <f t="shared" si="56"/>
        <v>7817.142857142856</v>
      </c>
      <c r="DV23" s="235">
        <f t="shared" si="57"/>
        <v>542.85714285714289</v>
      </c>
      <c r="DW23" s="8">
        <f t="shared" si="58"/>
        <v>6420.4199999999992</v>
      </c>
      <c r="DX23" s="411">
        <f t="shared" si="59"/>
        <v>123</v>
      </c>
      <c r="DY23" s="1117">
        <v>310</v>
      </c>
      <c r="DZ23" s="857">
        <f t="shared" si="60"/>
        <v>8.7422447828539196E-2</v>
      </c>
      <c r="EA23" s="386">
        <v>0.2</v>
      </c>
      <c r="EB23" s="504"/>
      <c r="EC23" s="510">
        <v>6320</v>
      </c>
      <c r="ED23" s="435">
        <v>948</v>
      </c>
      <c r="EE23" s="510">
        <v>11510</v>
      </c>
      <c r="EF23" s="435">
        <v>1726</v>
      </c>
      <c r="EG23" s="510">
        <v>3941</v>
      </c>
      <c r="EH23" s="435">
        <v>1064</v>
      </c>
      <c r="EI23" s="510">
        <v>3299</v>
      </c>
      <c r="EJ23" s="435">
        <v>1930</v>
      </c>
      <c r="EK23" s="510">
        <v>3236</v>
      </c>
      <c r="EL23" s="1606">
        <v>2265</v>
      </c>
      <c r="EM23" s="1224">
        <v>3236</v>
      </c>
      <c r="EN23" s="834">
        <v>2265</v>
      </c>
      <c r="EO23" s="835">
        <f t="shared" si="63"/>
        <v>1.389240506329114</v>
      </c>
      <c r="EP23" s="1648">
        <f t="shared" si="61"/>
        <v>17</v>
      </c>
      <c r="EQ23"/>
    </row>
    <row r="24" spans="1:147" ht="35" customHeight="1">
      <c r="A24" s="99">
        <f>_xlfn.XLOOKUP(R24,'MOPFRA Ranking'!$E$6:$E$55,'MOPFRA Ranking'!$AE$6:$AE$55)</f>
        <v>13.443311016965691</v>
      </c>
      <c r="B24" s="99">
        <f t="shared" si="1"/>
        <v>11.543311016965692</v>
      </c>
      <c r="C24" s="1585">
        <f t="shared" ca="1" si="2"/>
        <v>1.1102675425455555</v>
      </c>
      <c r="D24" s="2378">
        <f t="shared" si="3"/>
        <v>1.5809740327560635</v>
      </c>
      <c r="E24" s="1414">
        <f t="shared" si="4"/>
        <v>1.9000000000000017</v>
      </c>
      <c r="F24" s="1415">
        <f t="shared" si="5"/>
        <v>1.9000000000000004</v>
      </c>
      <c r="G24" s="2124" cm="1">
        <f t="array" ref="G24">IFERROR(_xlfn.XLOOKUP(R24,'Sales Rec'!$E$37:$E$91,'Sales Rec'!$CU$37:$CU$91*100,""),"")</f>
        <v>15.887594895889945</v>
      </c>
      <c r="H24" s="2313">
        <f>_xlfn.XLOOKUP(R24,'Sales Rec'!$E$37:$E$86,'Sales Rec'!$DQ$37:$DQ$86,"")</f>
        <v>1.0053832891587968</v>
      </c>
      <c r="I24" s="2312">
        <f>_xlfn.XLOOKUP(R24,'Sales History'!$C$4:$C$83,'Sales History'!$AS$4:$AS$83,"")</f>
        <v>0.18018429096708458</v>
      </c>
      <c r="J24" s="2313">
        <f>_xlfn.XLOOKUP(R24,'Sales History'!$C$4:$C$83,'Sales History'!$AW$4:$AW$83,"")</f>
        <v>0.15961645643049693</v>
      </c>
      <c r="K24" s="1942">
        <f>_xlfn.XLOOKUP(R24,'Sales Rec'!$E$4:$E$91,'Sales Rec'!$CV$4:$CV$91,"")</f>
        <v>22</v>
      </c>
      <c r="L24" s="1587">
        <f>_xlfn.XLOOKUP(R24,'MOPFRA Ranking'!$E$6:$E$55,'MOPFRA Ranking'!$AG$6:$AG$55,"")</f>
        <v>10</v>
      </c>
      <c r="M24" s="1582" t="str">
        <f>_xlfn.XLOOKUP(R24,'Sales Rec'!$E$4:$E$105,'Sales Rec'!$DS$4:$DS$105,"")</f>
        <v>BB</v>
      </c>
      <c r="N24" s="1582" t="str">
        <f>_xlfn.XLOOKUP(R24,'Sales Rec'!$E$4:$E$105,'Sales Rec'!$DZ$4:$DZ$105,"")</f>
        <v>BB</v>
      </c>
      <c r="O24" s="2365" t="str">
        <f>_xlfn.XLOOKUP($R24,'History Records'!$B$7:$B$88,'History Records'!$G$7:$G$88,"")</f>
        <v/>
      </c>
      <c r="P24" s="856" t="s">
        <v>459</v>
      </c>
      <c r="Q24" s="2390" t="s">
        <v>173</v>
      </c>
      <c r="R24" s="2391" t="s">
        <v>174</v>
      </c>
      <c r="S24" s="2055">
        <v>12</v>
      </c>
      <c r="T24" s="66">
        <f t="shared" si="6"/>
        <v>521613.40490000002</v>
      </c>
      <c r="U24" s="2386">
        <f>_xlfn.XLOOKUP($R24,'Price Record'!$C$6:$C$100,'Price Record'!H$6:H$100,"")</f>
        <v>12730</v>
      </c>
      <c r="V24" s="338">
        <f>_xlfn.XLOOKUP(R24,'دیده بان بازار'!$A$3:$A$3542,'دیده بان بازار'!$M$3:$M$3542,"")</f>
        <v>2.99</v>
      </c>
      <c r="W24" s="2386">
        <f>_xlfn.XLOOKUP($R24,'Price Record'!$C$6:$C$100,'Price Record'!G$6:G$100,"")</f>
        <v>12730</v>
      </c>
      <c r="X24" s="337">
        <f>_xlfn.XLOOKUP(R24,'دیده بان بازار'!$A$3:$A$3542,'دیده بان بازار'!$J$3:$J$3542,"")</f>
        <v>2.99</v>
      </c>
      <c r="Y24" s="1708">
        <f t="shared" si="7"/>
        <v>557193.40489999996</v>
      </c>
      <c r="Z24" s="661" t="str">
        <f t="shared" si="8"/>
        <v/>
      </c>
      <c r="AA24" s="822">
        <f t="shared" si="9"/>
        <v>2.9402437275741988</v>
      </c>
      <c r="AB24" s="511">
        <f t="shared" ca="1" si="10"/>
        <v>0.89013698630136995</v>
      </c>
      <c r="AC24" s="2194">
        <f t="shared" ca="1" si="11"/>
        <v>-56.789660423070046</v>
      </c>
      <c r="AD24" s="1150" t="str">
        <f t="shared" si="12"/>
        <v/>
      </c>
      <c r="AE24" s="1150">
        <f t="shared" si="13"/>
        <v>2.9402437275741988</v>
      </c>
      <c r="AF24" s="1150">
        <f t="shared" si="14"/>
        <v>3.3382464894041721</v>
      </c>
      <c r="AG24" s="1150">
        <f t="shared" si="15"/>
        <v>2.7155392230049791</v>
      </c>
      <c r="AH24" s="1150">
        <f t="shared" si="16"/>
        <v>3.7640713213199501</v>
      </c>
      <c r="AI24" s="275">
        <f t="shared" ca="1" si="17"/>
        <v>4</v>
      </c>
      <c r="AJ24" s="1640">
        <v>46243</v>
      </c>
      <c r="AK24" s="1116">
        <v>46344</v>
      </c>
      <c r="AL24" s="1345">
        <f t="shared" si="18"/>
        <v>409751300000</v>
      </c>
      <c r="AM24" s="29"/>
      <c r="AN24" s="29"/>
      <c r="AO24" s="685">
        <v>0.3155</v>
      </c>
      <c r="AP24" s="174"/>
      <c r="AQ24" s="1925">
        <v>654407</v>
      </c>
      <c r="AR24" s="1925">
        <v>99772</v>
      </c>
      <c r="AS24" s="766">
        <f>_xlfn.XLOOKUP(R24,'Sales Rec'!$E$4:$E$86,'Sales Rec'!$X$4:$X$86,"")</f>
        <v>1160849.9310542704</v>
      </c>
      <c r="AT24" s="984">
        <f>_xlfn.XLOOKUP(R24,'Sales Rec'!$E$4:$E$86,'Sales Rec'!$K$4:$K$86,"")</f>
        <v>4</v>
      </c>
      <c r="AU24" s="376">
        <f t="shared" si="19"/>
        <v>0.4493503690233786</v>
      </c>
      <c r="AV24" s="99">
        <f t="shared" si="20"/>
        <v>-0.11759714092188289</v>
      </c>
      <c r="AW24" s="16">
        <v>266655</v>
      </c>
      <c r="AX24" s="16">
        <v>43253</v>
      </c>
      <c r="AY24" s="1421">
        <f t="shared" si="21"/>
        <v>0.16200000000000001</v>
      </c>
      <c r="AZ24" s="1419">
        <v>0.14299999999999999</v>
      </c>
      <c r="BA24" s="1689">
        <v>0.152</v>
      </c>
      <c r="BB24" s="1690">
        <v>5.3999999999999999E-2</v>
      </c>
      <c r="BC24" s="100">
        <f>MIN(MAX(IF(BD24=BE24,BD24-BG24,BD24-BE24)*$S$65, -10), 10)</f>
        <v>1.9000000000000004</v>
      </c>
      <c r="BD24" s="1420">
        <f t="shared" si="23"/>
        <v>0.13100000000000001</v>
      </c>
      <c r="BE24" s="1419">
        <v>0.112</v>
      </c>
      <c r="BF24" s="1687">
        <v>0.11899999999999999</v>
      </c>
      <c r="BG24" s="1688">
        <v>4.1000000000000002E-2</v>
      </c>
      <c r="BH24" s="306">
        <f t="shared" si="24"/>
        <v>3.1E-2</v>
      </c>
      <c r="BI24" s="1861">
        <f t="shared" si="25"/>
        <v>33065.22</v>
      </c>
      <c r="BJ24" s="306">
        <f t="shared" si="26"/>
        <v>3.0999999999999986E-2</v>
      </c>
      <c r="BK24" s="99">
        <v>0</v>
      </c>
      <c r="BL24" s="306">
        <f>_xlfn.XLOOKUP(R24,'Sales Rec'!$E$4:$E$91,'Sales Rec'!$Y$4:$Y$91,"")</f>
        <v>0.77389595626921837</v>
      </c>
      <c r="BM24" s="99">
        <f t="shared" si="27"/>
        <v>-10</v>
      </c>
      <c r="BN24" s="15"/>
      <c r="BO24" s="1803">
        <v>3</v>
      </c>
      <c r="BP24" s="842">
        <f t="shared" si="28"/>
        <v>1</v>
      </c>
      <c r="BQ24" s="16">
        <v>889</v>
      </c>
      <c r="BR24" s="16"/>
      <c r="BS24" s="16"/>
      <c r="BT24" s="1253">
        <f>(_xlfn.XLOOKUP(R24,'Sales Rec'!$E$37:$E$91,'Sales Rec'!$X$37:$X$91)*BD24+CM24)*1000/CK24</f>
        <v>3897.3235952664322</v>
      </c>
      <c r="BU24" s="1246">
        <f t="shared" si="29"/>
        <v>3593.0575449058983</v>
      </c>
      <c r="BV24" s="406"/>
      <c r="BW24" s="407">
        <f t="shared" si="30"/>
        <v>3.3990259672439369</v>
      </c>
      <c r="BX24" s="99">
        <f t="shared" si="31"/>
        <v>8.0048701637803159</v>
      </c>
      <c r="BY24" s="18">
        <f t="shared" si="32"/>
        <v>153459.67048405475</v>
      </c>
      <c r="BZ24" s="18">
        <f t="shared" si="33"/>
        <v>104741.64757028111</v>
      </c>
      <c r="CA24" s="18">
        <f t="shared" si="34"/>
        <v>188057.6888307918</v>
      </c>
      <c r="CB24" s="1710">
        <f t="shared" si="35"/>
        <v>2.9628855292449354</v>
      </c>
      <c r="CC24" s="266">
        <f>_xlfn.XLOOKUP($R24,'Price Record'!$C$6:$C$100,'Price Record'!I$6:I$100,"")</f>
        <v>2555</v>
      </c>
      <c r="CD24" s="267">
        <f>_xlfn.XLOOKUP($R24,'Price Record'!$C$6:$C$100,'Price Record'!J$6:J$100,"")</f>
        <v>4.9800000000000004</v>
      </c>
      <c r="CE24" s="99">
        <f t="shared" si="36"/>
        <v>5.9999999999998721E-2</v>
      </c>
      <c r="CF24" s="17">
        <f t="shared" si="37"/>
        <v>0.37678954879554499</v>
      </c>
      <c r="CG24" s="99">
        <f t="shared" si="38"/>
        <v>6.4928418048178198</v>
      </c>
      <c r="CH24" s="494">
        <f t="shared" si="39"/>
        <v>0.42188225562626736</v>
      </c>
      <c r="CI24" s="99">
        <f t="shared" si="40"/>
        <v>0.32823383439400999</v>
      </c>
      <c r="CJ24" s="20"/>
      <c r="CK24" s="691">
        <v>40975.129999999997</v>
      </c>
      <c r="CL24" s="419">
        <v>82846</v>
      </c>
      <c r="CM24" s="468">
        <v>7622</v>
      </c>
      <c r="CN24" s="843">
        <v>1520</v>
      </c>
      <c r="CO24" s="21">
        <v>36421</v>
      </c>
      <c r="CP24" s="21">
        <v>-3</v>
      </c>
      <c r="CQ24" s="469">
        <f t="shared" si="41"/>
        <v>36806.5</v>
      </c>
      <c r="CR24" s="1239">
        <f>(AS24*BD24)*(_xlfn.XLOOKUP($R24,'Sales Rec'!$E$37:$E$91,'Sales Rec'!$L$37:$L$91,"")/12)+CP24</f>
        <v>50687.446989369811</v>
      </c>
      <c r="CS24" s="21">
        <v>119267</v>
      </c>
      <c r="CT24" s="16">
        <v>0</v>
      </c>
      <c r="CU24" s="2240" t="str">
        <f t="shared" si="42"/>
        <v/>
      </c>
      <c r="CV24" s="693">
        <f t="shared" si="43"/>
        <v>173494</v>
      </c>
      <c r="CW24" s="49">
        <v>56024</v>
      </c>
      <c r="CX24" s="21">
        <v>4805</v>
      </c>
      <c r="CY24" s="49">
        <v>1798</v>
      </c>
      <c r="CZ24" s="378">
        <f t="shared" si="44"/>
        <v>57822</v>
      </c>
      <c r="DA24" s="1058">
        <f t="shared" si="45"/>
        <v>3.3959731543624163</v>
      </c>
      <c r="DB24" s="99">
        <f t="shared" si="46"/>
        <v>6</v>
      </c>
      <c r="DC24" s="53">
        <f t="shared" si="47"/>
        <v>231316</v>
      </c>
      <c r="DD24" s="645">
        <f t="shared" si="48"/>
        <v>0.2499697383665635</v>
      </c>
      <c r="DE24" s="13">
        <v>41060</v>
      </c>
      <c r="DF24" s="24">
        <v>39858</v>
      </c>
      <c r="DG24" s="24">
        <v>1013</v>
      </c>
      <c r="DH24" s="51">
        <v>190256</v>
      </c>
      <c r="DI24" s="8">
        <f t="shared" si="62"/>
        <v>134232</v>
      </c>
      <c r="DJ24" s="644">
        <f t="shared" si="49"/>
        <v>8.6480863807011019</v>
      </c>
      <c r="DK24" s="22">
        <v>66111</v>
      </c>
      <c r="DL24" s="22">
        <v>8869</v>
      </c>
      <c r="DM24" s="22">
        <v>99364</v>
      </c>
      <c r="DN24" s="138">
        <f t="shared" si="50"/>
        <v>0.2499697383665635</v>
      </c>
      <c r="DO24" s="99">
        <f t="shared" si="51"/>
        <v>0.7749623548954282</v>
      </c>
      <c r="DP24" s="22">
        <v>13373</v>
      </c>
      <c r="DQ24" s="8">
        <f t="shared" si="52"/>
        <v>2539</v>
      </c>
      <c r="DR24" s="138">
        <f t="shared" si="53"/>
        <v>4.5560487599681225E-2</v>
      </c>
      <c r="DS24" s="99">
        <f t="shared" si="54"/>
        <v>0</v>
      </c>
      <c r="DT24" s="8">
        <f t="shared" si="55"/>
        <v>9300.2000000000007</v>
      </c>
      <c r="DU24" s="8">
        <f t="shared" si="56"/>
        <v>12935.007161661235</v>
      </c>
      <c r="DV24" s="235">
        <f t="shared" si="57"/>
        <v>2021.8605773794982</v>
      </c>
      <c r="DW24" s="8">
        <f t="shared" si="58"/>
        <v>12128.533869520368</v>
      </c>
      <c r="DX24" s="411">
        <f t="shared" si="59"/>
        <v>101</v>
      </c>
      <c r="DY24" s="1532">
        <v>936</v>
      </c>
      <c r="DZ24" s="857">
        <f t="shared" si="60"/>
        <v>8.6746987951807228E-2</v>
      </c>
      <c r="EA24" s="386">
        <v>2.0499999999999998</v>
      </c>
      <c r="EB24" s="504"/>
      <c r="EC24" s="510">
        <v>8150</v>
      </c>
      <c r="ED24" s="435">
        <v>109489</v>
      </c>
      <c r="EE24" s="510">
        <v>10310</v>
      </c>
      <c r="EF24" s="435">
        <v>140387</v>
      </c>
      <c r="EG24" s="510">
        <v>8950</v>
      </c>
      <c r="EH24" s="435">
        <v>120236</v>
      </c>
      <c r="EI24" s="510">
        <v>9854</v>
      </c>
      <c r="EJ24" s="435">
        <v>132381</v>
      </c>
      <c r="EK24" s="510"/>
      <c r="EL24" s="1606"/>
      <c r="EM24" s="1684">
        <v>9854</v>
      </c>
      <c r="EN24" s="1608">
        <v>132381</v>
      </c>
      <c r="EO24" s="1609">
        <f t="shared" si="63"/>
        <v>0.20908036423750331</v>
      </c>
      <c r="EP24" s="1648">
        <f t="shared" si="61"/>
        <v>28</v>
      </c>
      <c r="EQ24"/>
    </row>
    <row r="25" spans="1:147" ht="35" customHeight="1">
      <c r="A25" s="99">
        <f>_xlfn.XLOOKUP(R25,'MOPFRA Ranking'!$E$6:$E$55,'MOPFRA Ranking'!$AE$6:$AE$55)</f>
        <v>11.948830102828419</v>
      </c>
      <c r="B25" s="99">
        <f t="shared" si="1"/>
        <v>3.2488301028284168</v>
      </c>
      <c r="C25" s="1585">
        <f t="shared" ca="1" si="2"/>
        <v>0.13313443076256135</v>
      </c>
      <c r="D25" s="2378">
        <f t="shared" si="3"/>
        <v>1.2764594316789841</v>
      </c>
      <c r="E25" s="1414">
        <f t="shared" si="4"/>
        <v>11.800000000000002</v>
      </c>
      <c r="F25" s="1415">
        <f t="shared" si="5"/>
        <v>8.7000000000000011</v>
      </c>
      <c r="G25" s="2124" cm="1">
        <f t="array" ref="G25">IFERROR(_xlfn.XLOOKUP(R25,'Sales Rec'!$E$37:$E$91,'Sales Rec'!$CU$37:$CU$91*100,""),"")</f>
        <v>14.044747405884728</v>
      </c>
      <c r="H25" s="2313">
        <f>_xlfn.XLOOKUP(R25,'Sales Rec'!$E$37:$E$86,'Sales Rec'!$DQ$37:$DQ$86,"")</f>
        <v>0.62269020336533498</v>
      </c>
      <c r="I25" s="2312">
        <f>_xlfn.XLOOKUP(R25,'Sales History'!$C$4:$C$83,'Sales History'!$AS$4:$AS$83,"")</f>
        <v>1.4935375777884155E-2</v>
      </c>
      <c r="J25" s="2313">
        <f>_xlfn.XLOOKUP(R25,'Sales History'!$C$4:$C$83,'Sales History'!$AW$4:$AW$83,"")</f>
        <v>0.5008288208641839</v>
      </c>
      <c r="K25" s="1942">
        <f>_xlfn.XLOOKUP(R25,'Sales Rec'!$E$4:$E$91,'Sales Rec'!$CV$4:$CV$91,"")</f>
        <v>32</v>
      </c>
      <c r="L25" s="1587">
        <f>_xlfn.XLOOKUP(R25,'MOPFRA Ranking'!$E$6:$E$55,'MOPFRA Ranking'!$AG$6:$AG$55,"")</f>
        <v>34</v>
      </c>
      <c r="M25" s="1582" t="str">
        <f>_xlfn.XLOOKUP(R25,'Sales Rec'!$E$4:$E$105,'Sales Rec'!$DS$4:$DS$105,"")</f>
        <v>BB</v>
      </c>
      <c r="N25" s="1582" t="str">
        <f>_xlfn.XLOOKUP(R25,'Sales Rec'!$E$4:$E$105,'Sales Rec'!$DZ$4:$DZ$105,"")</f>
        <v>BB</v>
      </c>
      <c r="O25" s="2365" t="str">
        <f>_xlfn.XLOOKUP($R25,'History Records'!$B$7:$B$88,'History Records'!$G$7:$G$88,"")</f>
        <v/>
      </c>
      <c r="P25" s="856" t="s">
        <v>467</v>
      </c>
      <c r="Q25" s="2364" t="s">
        <v>177</v>
      </c>
      <c r="R25" s="1571" t="s">
        <v>178</v>
      </c>
      <c r="S25" s="1929">
        <v>12</v>
      </c>
      <c r="T25" s="66">
        <f t="shared" si="6"/>
        <v>52044</v>
      </c>
      <c r="U25" s="2386">
        <f>_xlfn.XLOOKUP($R25,'Price Record'!$C$6:$C$100,'Price Record'!H$6:H$100,"")</f>
        <v>86740</v>
      </c>
      <c r="V25" s="338">
        <f>_xlfn.XLOOKUP(R25,'دیده بان بازار'!$A$3:$A$3542,'دیده بان بازار'!$M$3:$M$3542,"")</f>
        <v>2.99</v>
      </c>
      <c r="W25" s="2386">
        <f>_xlfn.XLOOKUP($R25,'Price Record'!$C$6:$C$100,'Price Record'!G$6:G$100,"")</f>
        <v>86740</v>
      </c>
      <c r="X25" s="337">
        <f>_xlfn.XLOOKUP(R25,'دیده بان بازار'!$A$3:$A$3542,'دیده بان بازار'!$J$3:$J$3542,"")</f>
        <v>2.99</v>
      </c>
      <c r="Y25" s="1708">
        <f t="shared" si="7"/>
        <v>61178</v>
      </c>
      <c r="Z25" s="661" t="str">
        <f t="shared" si="8"/>
        <v/>
      </c>
      <c r="AA25" s="822">
        <f t="shared" si="9"/>
        <v>0.14101552223099184</v>
      </c>
      <c r="AB25" s="511">
        <f t="shared" ca="1" si="10"/>
        <v>8.6301369863013691E-2</v>
      </c>
      <c r="AC25" s="2194">
        <f t="shared" ca="1" si="11"/>
        <v>-15.632614962279471</v>
      </c>
      <c r="AD25" s="1150">
        <f t="shared" si="12"/>
        <v>0.14101552223099184</v>
      </c>
      <c r="AE25" s="1150">
        <f t="shared" si="13"/>
        <v>1.845489338436304</v>
      </c>
      <c r="AF25" s="1150">
        <f t="shared" si="14"/>
        <v>2.7713043478260868</v>
      </c>
      <c r="AG25" s="1150">
        <f t="shared" si="15"/>
        <v>1.8377317339149399</v>
      </c>
      <c r="AH25" s="1150">
        <f t="shared" si="16"/>
        <v>4.6142394822006469</v>
      </c>
      <c r="AI25" s="275">
        <f t="shared" ca="1" si="17"/>
        <v>330</v>
      </c>
      <c r="AJ25" s="1121">
        <v>46204</v>
      </c>
      <c r="AK25" s="1116">
        <v>46230</v>
      </c>
      <c r="AL25" s="1345">
        <f t="shared" si="18"/>
        <v>6000000000</v>
      </c>
      <c r="AM25" s="29"/>
      <c r="AN25" s="29"/>
      <c r="AO25" s="685">
        <v>0.05</v>
      </c>
      <c r="AP25" s="174"/>
      <c r="AQ25" s="1925">
        <v>34215</v>
      </c>
      <c r="AR25" s="1925">
        <v>7889</v>
      </c>
      <c r="AS25" s="766">
        <f>_xlfn.XLOOKUP(R25,'Sales Rec'!$E$4:$E$86,'Sales Rec'!$X$4:$X$86,"")</f>
        <v>49611.172654072463</v>
      </c>
      <c r="AT25" s="984">
        <f>_xlfn.XLOOKUP(R25,'Sales Rec'!$E$4:$E$86,'Sales Rec'!$K$4:$K$86,"")</f>
        <v>4</v>
      </c>
      <c r="AU25" s="376">
        <f t="shared" si="19"/>
        <v>1.052097687026057</v>
      </c>
      <c r="AV25" s="99">
        <f t="shared" si="20"/>
        <v>-1.8957495643108135</v>
      </c>
      <c r="AW25" s="16">
        <v>10601</v>
      </c>
      <c r="AX25" s="16">
        <v>2758</v>
      </c>
      <c r="AY25" s="1421">
        <f t="shared" si="21"/>
        <v>0.26</v>
      </c>
      <c r="AZ25" s="1419">
        <v>0.14199999999999999</v>
      </c>
      <c r="BA25" s="1689">
        <v>0.23100000000000001</v>
      </c>
      <c r="BB25" s="1690">
        <v>0.14899999999999999</v>
      </c>
      <c r="BC25" s="100">
        <f t="shared" ref="BC25:BC33" si="64">IF(BD25=0,0,MIN(MAX(IF(BD25=BE25,BD25-BG25,BD25-BE25)*$S$65, -10), 10))</f>
        <v>8.7000000000000011</v>
      </c>
      <c r="BD25" s="1420">
        <f t="shared" si="23"/>
        <v>0.19700000000000001</v>
      </c>
      <c r="BE25" s="1419">
        <v>0.11</v>
      </c>
      <c r="BF25" s="1687">
        <v>0.17199999999999999</v>
      </c>
      <c r="BG25" s="1688">
        <v>0.122</v>
      </c>
      <c r="BH25" s="306">
        <f t="shared" si="24"/>
        <v>6.3E-2</v>
      </c>
      <c r="BI25" s="1861">
        <f t="shared" si="25"/>
        <v>2671.4520000000002</v>
      </c>
      <c r="BJ25" s="306">
        <f t="shared" si="26"/>
        <v>3.1999999999999987E-2</v>
      </c>
      <c r="BK25" s="99">
        <v>0</v>
      </c>
      <c r="BL25" s="306">
        <f>_xlfn.XLOOKUP(R25,'Sales Rec'!$E$4:$E$91,'Sales Rec'!$Y$4:$Y$91,"")</f>
        <v>0.44998312594103357</v>
      </c>
      <c r="BM25" s="99">
        <f t="shared" si="27"/>
        <v>9.2690281113012514</v>
      </c>
      <c r="BN25" s="15"/>
      <c r="BO25" s="1803">
        <v>3</v>
      </c>
      <c r="BP25" s="842">
        <f t="shared" si="28"/>
        <v>1</v>
      </c>
      <c r="BQ25" s="16">
        <v>3870</v>
      </c>
      <c r="BR25" s="16"/>
      <c r="BS25" s="16"/>
      <c r="BT25" s="1253">
        <f>(_xlfn.XLOOKUP(R25,'Sales Rec'!$E$37:$E$91,'Sales Rec'!$X$37:$X$91)*BD25+CM25)*1000/CK25</f>
        <v>17107.335021420458</v>
      </c>
      <c r="BU25" s="1246">
        <f t="shared" si="29"/>
        <v>15480</v>
      </c>
      <c r="BV25" s="406"/>
      <c r="BW25" s="407">
        <f t="shared" si="30"/>
        <v>5.3235405683210155</v>
      </c>
      <c r="BX25" s="99">
        <f t="shared" si="31"/>
        <v>-1.6177028416050776</v>
      </c>
      <c r="BY25" s="18">
        <f t="shared" si="32"/>
        <v>9776.2005064261375</v>
      </c>
      <c r="BZ25" s="18">
        <f t="shared" si="33"/>
        <v>7885.454545454546</v>
      </c>
      <c r="CA25" s="18">
        <f t="shared" si="34"/>
        <v>12898.90489005884</v>
      </c>
      <c r="CB25" s="1710">
        <f t="shared" si="35"/>
        <v>4.7428832541551458</v>
      </c>
      <c r="CC25" s="266">
        <f>_xlfn.XLOOKUP($R25,'Price Record'!$C$6:$C$100,'Price Record'!I$6:I$100,"")</f>
        <v>13150</v>
      </c>
      <c r="CD25" s="267">
        <f>_xlfn.XLOOKUP($R25,'Price Record'!$C$6:$C$100,'Price Record'!J$6:J$100,"")</f>
        <v>6.6</v>
      </c>
      <c r="CE25" s="99">
        <f t="shared" si="36"/>
        <v>-4.7999999999999989</v>
      </c>
      <c r="CF25" s="17">
        <f t="shared" si="37"/>
        <v>1.5915180943529836</v>
      </c>
      <c r="CG25" s="99">
        <f t="shared" si="38"/>
        <v>1.6339276225880655</v>
      </c>
      <c r="CH25" s="494">
        <f t="shared" si="39"/>
        <v>0.47768007946966373</v>
      </c>
      <c r="CI25" s="99">
        <f t="shared" si="40"/>
        <v>1.1652011920449556</v>
      </c>
      <c r="CJ25" s="377">
        <f>MIN(MAX(IF(CI25&lt;0,-20, IF(CI25&gt;50, -20,($R$68-CI25)*$S$68)), -10), 10)</f>
        <v>10</v>
      </c>
      <c r="CK25" s="691">
        <v>600</v>
      </c>
      <c r="CL25" s="419">
        <v>446</v>
      </c>
      <c r="CM25" s="468">
        <v>491</v>
      </c>
      <c r="CN25" s="843">
        <v>232</v>
      </c>
      <c r="CO25" s="21">
        <v>2322</v>
      </c>
      <c r="CP25" s="21">
        <v>-23</v>
      </c>
      <c r="CQ25" s="469">
        <f t="shared" si="41"/>
        <v>2322</v>
      </c>
      <c r="CR25" s="1239">
        <f>(AS25*BD25)*(_xlfn.XLOOKUP($R25,'Sales Rec'!$E$37:$E$91,'Sales Rec'!$L$37:$L$91,"")/12)+CP25</f>
        <v>3234.8003376174247</v>
      </c>
      <c r="CS25" s="21">
        <v>2768</v>
      </c>
      <c r="CT25" s="16">
        <v>-8</v>
      </c>
      <c r="CU25" s="2240" t="str">
        <f t="shared" si="42"/>
        <v/>
      </c>
      <c r="CV25" s="693">
        <f t="shared" si="43"/>
        <v>3435</v>
      </c>
      <c r="CW25" s="49">
        <v>14994</v>
      </c>
      <c r="CX25" s="21">
        <v>1046</v>
      </c>
      <c r="CY25" s="49">
        <v>565</v>
      </c>
      <c r="CZ25" s="53">
        <f t="shared" si="44"/>
        <v>15559</v>
      </c>
      <c r="DA25" s="1058">
        <f t="shared" si="45"/>
        <v>1.1358543417366946</v>
      </c>
      <c r="DB25" s="99">
        <f t="shared" si="46"/>
        <v>-0.51316526610644253</v>
      </c>
      <c r="DC25" s="53">
        <f t="shared" si="47"/>
        <v>18994</v>
      </c>
      <c r="DD25" s="645">
        <f t="shared" si="48"/>
        <v>0.81915341686848475</v>
      </c>
      <c r="DE25" s="13">
        <v>1963</v>
      </c>
      <c r="DF25" s="24">
        <v>802</v>
      </c>
      <c r="DG25" s="24">
        <v>843</v>
      </c>
      <c r="DH25" s="51">
        <v>17031</v>
      </c>
      <c r="DI25" s="8">
        <f t="shared" si="62"/>
        <v>2037</v>
      </c>
      <c r="DJ25" s="644">
        <f t="shared" si="49"/>
        <v>24.355018485062573</v>
      </c>
      <c r="DK25" s="22">
        <v>6710</v>
      </c>
      <c r="DL25" s="22">
        <v>1845</v>
      </c>
      <c r="DM25" s="22">
        <v>1892</v>
      </c>
      <c r="DN25" s="138">
        <f t="shared" si="50"/>
        <v>0.81915341686848475</v>
      </c>
      <c r="DO25" s="99">
        <f t="shared" si="51"/>
        <v>-0.99270915108352287</v>
      </c>
      <c r="DP25" s="22">
        <v>4580</v>
      </c>
      <c r="DQ25" s="8">
        <f t="shared" si="52"/>
        <v>2004</v>
      </c>
      <c r="DR25" s="138">
        <f t="shared" si="53"/>
        <v>0.2739767468728021</v>
      </c>
      <c r="DS25" s="99">
        <f t="shared" si="54"/>
        <v>1</v>
      </c>
      <c r="DT25" s="8">
        <f t="shared" si="55"/>
        <v>47866</v>
      </c>
      <c r="DU25" s="8">
        <f t="shared" si="56"/>
        <v>55728</v>
      </c>
      <c r="DV25" s="235">
        <f t="shared" si="57"/>
        <v>743.33333333333337</v>
      </c>
      <c r="DW25" s="8">
        <f t="shared" si="58"/>
        <v>52168.666666666664</v>
      </c>
      <c r="DX25" s="411">
        <f t="shared" si="59"/>
        <v>26</v>
      </c>
      <c r="DY25" s="1117">
        <v>10000</v>
      </c>
      <c r="DZ25" s="857">
        <f t="shared" si="60"/>
        <v>0.11625203441060218</v>
      </c>
      <c r="EA25" s="386">
        <v>2</v>
      </c>
      <c r="EB25" s="504"/>
      <c r="EC25" s="510">
        <v>46350</v>
      </c>
      <c r="ED25" s="435">
        <v>9270</v>
      </c>
      <c r="EE25" s="510">
        <v>91700</v>
      </c>
      <c r="EF25" s="435">
        <v>18340</v>
      </c>
      <c r="EG25" s="510">
        <v>69200</v>
      </c>
      <c r="EH25" s="435">
        <v>13800</v>
      </c>
      <c r="EI25" s="510">
        <v>91450</v>
      </c>
      <c r="EJ25" s="435">
        <v>18290</v>
      </c>
      <c r="EK25" s="510">
        <v>76020</v>
      </c>
      <c r="EL25" s="1606">
        <v>45612</v>
      </c>
      <c r="EM25" s="2067">
        <v>76020</v>
      </c>
      <c r="EN25" s="2068">
        <v>45612</v>
      </c>
      <c r="EO25" s="835">
        <f t="shared" si="63"/>
        <v>3.9203883495145631</v>
      </c>
      <c r="EP25" s="1648">
        <f t="shared" si="61"/>
        <v>8</v>
      </c>
      <c r="EQ25"/>
    </row>
    <row r="26" spans="1:147" ht="35" customHeight="1">
      <c r="A26" s="99">
        <f>_xlfn.XLOOKUP(R26,'MOPFRA Ranking'!$E$6:$E$55,'MOPFRA Ranking'!$AE$6:$AE$55)</f>
        <v>11.736609338117248</v>
      </c>
      <c r="B26" s="99">
        <f t="shared" si="1"/>
        <v>5.4366093381172478</v>
      </c>
      <c r="C26" s="1585">
        <f t="shared" ca="1" si="2"/>
        <v>0.1043052803606468</v>
      </c>
      <c r="D26" s="2378">
        <f t="shared" si="3"/>
        <v>3.3381467050359568</v>
      </c>
      <c r="E26" s="1414">
        <f t="shared" si="4"/>
        <v>2.4000000000000021</v>
      </c>
      <c r="F26" s="1415">
        <f t="shared" si="5"/>
        <v>6.3</v>
      </c>
      <c r="G26" s="2124" cm="1">
        <f t="array" ref="G26">IFERROR(_xlfn.XLOOKUP(R26,'Sales Rec'!$E$37:$E$91,'Sales Rec'!$CU$37:$CU$91*100,""),"")</f>
        <v>15.736458299705514</v>
      </c>
      <c r="H26" s="2313">
        <f>_xlfn.XLOOKUP(R26,'Sales Rec'!$E$37:$E$86,'Sales Rec'!$DQ$37:$DQ$86,"")</f>
        <v>1.9105984138428262</v>
      </c>
      <c r="I26" s="2312">
        <f>_xlfn.XLOOKUP(R26,'Sales History'!$C$4:$C$83,'Sales History'!$AS$4:$AS$83,"")</f>
        <v>1.0211833455076698</v>
      </c>
      <c r="J26" s="2313">
        <f>_xlfn.XLOOKUP(R26,'Sales History'!$C$4:$C$83,'Sales History'!$AW$4:$AW$83,"")</f>
        <v>1.2491781722550954</v>
      </c>
      <c r="K26" s="1942">
        <f>_xlfn.XLOOKUP(R26,'Sales Rec'!$E$4:$E$91,'Sales Rec'!$CV$4:$CV$91,"")</f>
        <v>7</v>
      </c>
      <c r="L26" s="1587">
        <f>_xlfn.XLOOKUP(R26,'MOPFRA Ranking'!$E$6:$E$55,'MOPFRA Ranking'!$AG$6:$AG$55,"")</f>
        <v>18</v>
      </c>
      <c r="M26" s="1582" t="str">
        <f>_xlfn.XLOOKUP(R26,'Sales Rec'!$E$4:$E$105,'Sales Rec'!$DS$4:$DS$105,"")</f>
        <v>BB</v>
      </c>
      <c r="N26" s="1582" t="str">
        <f>_xlfn.XLOOKUP(R26,'Sales Rec'!$E$4:$E$105,'Sales Rec'!$DZ$4:$DZ$105,"")</f>
        <v>BB</v>
      </c>
      <c r="O26" s="2365" t="str">
        <f>_xlfn.XLOOKUP($R26,'History Records'!$B$7:$B$88,'History Records'!$G$7:$G$88,"")</f>
        <v/>
      </c>
      <c r="P26" s="856" t="s">
        <v>168</v>
      </c>
      <c r="Q26" s="2364" t="s">
        <v>164</v>
      </c>
      <c r="R26" s="1571" t="s">
        <v>165</v>
      </c>
      <c r="S26" s="1929">
        <v>12</v>
      </c>
      <c r="T26" s="66">
        <f t="shared" si="6"/>
        <v>24606.06</v>
      </c>
      <c r="U26" s="2386">
        <f>_xlfn.XLOOKUP($R26,'Price Record'!$C$6:$C$100,'Price Record'!H$6:H$100,"")</f>
        <v>30990</v>
      </c>
      <c r="V26" s="338">
        <f>_xlfn.XLOOKUP(R26,'دیده بان بازار'!$A$3:$A$3542,'دیده بان بازار'!$M$3:$M$3542,"")</f>
        <v>2.99</v>
      </c>
      <c r="W26" s="2386">
        <f>_xlfn.XLOOKUP($R26,'Price Record'!$C$6:$C$100,'Price Record'!G$6:G$100,"")</f>
        <v>30990</v>
      </c>
      <c r="X26" s="337">
        <f>_xlfn.XLOOKUP(R26,'دیده بان بازار'!$A$3:$A$3542,'دیده بان بازار'!$J$3:$J$3542,"")</f>
        <v>2.99</v>
      </c>
      <c r="Y26" s="1708">
        <f t="shared" si="7"/>
        <v>29275.06</v>
      </c>
      <c r="Z26" s="661" t="str">
        <f t="shared" si="8"/>
        <v/>
      </c>
      <c r="AA26" s="822">
        <f t="shared" si="9"/>
        <v>0.21529411764705889</v>
      </c>
      <c r="AB26" s="511">
        <f t="shared" ca="1" si="10"/>
        <v>6.9041095890410964E-2</v>
      </c>
      <c r="AC26" s="2194">
        <f t="shared" ca="1" si="11"/>
        <v>-52.233222055945689</v>
      </c>
      <c r="AD26" s="1150">
        <f t="shared" si="12"/>
        <v>0.21529411764705889</v>
      </c>
      <c r="AE26" s="1150">
        <f t="shared" si="13"/>
        <v>2.594224364592463</v>
      </c>
      <c r="AF26" s="1150">
        <f t="shared" si="14"/>
        <v>8.3988006111535523</v>
      </c>
      <c r="AG26" s="1150">
        <f t="shared" si="15"/>
        <v>8.7643095238095245</v>
      </c>
      <c r="AH26" s="1150">
        <f t="shared" si="16"/>
        <v>13.796187612748046</v>
      </c>
      <c r="AI26" s="275">
        <f t="shared" ca="1" si="17"/>
        <v>337</v>
      </c>
      <c r="AJ26" s="1121">
        <v>46211</v>
      </c>
      <c r="AK26" s="1116">
        <v>46331</v>
      </c>
      <c r="AL26" s="1345">
        <f t="shared" si="18"/>
        <v>7940000000</v>
      </c>
      <c r="AM26" s="29"/>
      <c r="AN26" s="29"/>
      <c r="AO26" s="685">
        <v>0.1</v>
      </c>
      <c r="AP26" s="174"/>
      <c r="AQ26" s="1925">
        <v>4859</v>
      </c>
      <c r="AR26" s="1925">
        <v>3122</v>
      </c>
      <c r="AS26" s="766">
        <f>_xlfn.XLOOKUP(R26,'Sales Rec'!$E$4:$E$86,'Sales Rec'!$X$4:$X$86,"")</f>
        <v>11976.298846431146</v>
      </c>
      <c r="AT26" s="984">
        <f>_xlfn.XLOOKUP(R26,'Sales Rec'!$E$4:$E$86,'Sales Rec'!$K$4:$K$86,"")</f>
        <v>4</v>
      </c>
      <c r="AU26" s="376">
        <f t="shared" si="19"/>
        <v>2.0545629593513723</v>
      </c>
      <c r="AV26" s="99">
        <f t="shared" si="20"/>
        <v>-2.5076790884903799</v>
      </c>
      <c r="AW26" s="16">
        <v>2767</v>
      </c>
      <c r="AX26" s="16">
        <v>1748</v>
      </c>
      <c r="AY26" s="1421">
        <f t="shared" si="21"/>
        <v>0.63200000000000001</v>
      </c>
      <c r="AZ26" s="1419">
        <v>0.60799999999999998</v>
      </c>
      <c r="BA26" s="1689">
        <v>0.64300000000000002</v>
      </c>
      <c r="BB26" s="1690">
        <v>0.54300000000000004</v>
      </c>
      <c r="BC26" s="100">
        <f t="shared" si="64"/>
        <v>6.3</v>
      </c>
      <c r="BD26" s="1420">
        <f t="shared" si="23"/>
        <v>0.44700000000000001</v>
      </c>
      <c r="BE26" s="1419">
        <v>0.38400000000000001</v>
      </c>
      <c r="BF26" s="1687">
        <v>0.44600000000000001</v>
      </c>
      <c r="BG26" s="1688">
        <v>0.38400000000000001</v>
      </c>
      <c r="BH26" s="306">
        <f t="shared" si="24"/>
        <v>0.185</v>
      </c>
      <c r="BI26" s="1861">
        <f t="shared" si="25"/>
        <v>2047.58</v>
      </c>
      <c r="BJ26" s="306">
        <f t="shared" si="26"/>
        <v>0.22399999999999998</v>
      </c>
      <c r="BK26" s="99">
        <v>0</v>
      </c>
      <c r="BL26" s="306">
        <f>_xlfn.XLOOKUP(R26,'Sales Rec'!$E$4:$E$91,'Sales Rec'!$Y$4:$Y$91,"")</f>
        <v>1.4647661754334524</v>
      </c>
      <c r="BM26" s="99">
        <f t="shared" si="27"/>
        <v>10</v>
      </c>
      <c r="BN26" s="15"/>
      <c r="BO26" s="1803">
        <v>3</v>
      </c>
      <c r="BP26" s="842">
        <f t="shared" si="28"/>
        <v>1</v>
      </c>
      <c r="BQ26" s="16">
        <v>1570</v>
      </c>
      <c r="BR26" s="16"/>
      <c r="BS26" s="16"/>
      <c r="BT26" s="1253">
        <f>(_xlfn.XLOOKUP(R26,'Sales Rec'!$E$37:$E$91,'Sales Rec'!$X$37:$X$91)*BD26+CM26)*1000/CK26</f>
        <v>6761.2161012024208</v>
      </c>
      <c r="BU26" s="1246">
        <f t="shared" si="29"/>
        <v>6282.1158690176326</v>
      </c>
      <c r="BV26" s="406"/>
      <c r="BW26" s="407">
        <f t="shared" si="30"/>
        <v>4.7518532949640431</v>
      </c>
      <c r="BX26" s="99">
        <f t="shared" si="31"/>
        <v>1.2407335251797846</v>
      </c>
      <c r="BY26" s="18">
        <f t="shared" si="32"/>
        <v>5178.2027921773615</v>
      </c>
      <c r="BZ26" s="18">
        <f t="shared" si="33"/>
        <v>3041.5401730531521</v>
      </c>
      <c r="CA26" s="18">
        <f t="shared" si="34"/>
        <v>7569.0208709444842</v>
      </c>
      <c r="CB26" s="1710">
        <f t="shared" si="35"/>
        <v>3.8677472950800538</v>
      </c>
      <c r="CC26" s="266">
        <f>_xlfn.XLOOKUP($R26,'Price Record'!$C$6:$C$100,'Price Record'!I$6:I$100,"")</f>
        <v>3831</v>
      </c>
      <c r="CD26" s="267">
        <f>_xlfn.XLOOKUP($R26,'Price Record'!$C$6:$C$100,'Price Record'!J$6:J$100,"")</f>
        <v>8.09</v>
      </c>
      <c r="CE26" s="99">
        <f t="shared" si="36"/>
        <v>-9.27</v>
      </c>
      <c r="CF26" s="17">
        <f t="shared" si="37"/>
        <v>1.0434122062894555</v>
      </c>
      <c r="CG26" s="99">
        <f t="shared" si="38"/>
        <v>3.8263511748421779</v>
      </c>
      <c r="CH26" s="494">
        <f t="shared" si="39"/>
        <v>0.49891153214927847</v>
      </c>
      <c r="CI26" s="99">
        <f t="shared" si="40"/>
        <v>1.4836729822391768</v>
      </c>
      <c r="CJ26" s="20"/>
      <c r="CK26" s="691">
        <v>794</v>
      </c>
      <c r="CL26" s="419">
        <v>780</v>
      </c>
      <c r="CM26" s="468">
        <v>15</v>
      </c>
      <c r="CN26" s="843">
        <v>11</v>
      </c>
      <c r="CO26" s="21">
        <v>1247</v>
      </c>
      <c r="CP26" s="21"/>
      <c r="CQ26" s="469">
        <f t="shared" si="41"/>
        <v>1247</v>
      </c>
      <c r="CR26" s="1239">
        <f>(AS26*BD26)*(_xlfn.XLOOKUP($R26,'Sales Rec'!$E$37:$E$91,'Sales Rec'!$L$37:$L$91,"")/12)+CP26</f>
        <v>1784.4685281182406</v>
      </c>
      <c r="CS26" s="21">
        <v>2027</v>
      </c>
      <c r="CT26" s="16">
        <v>-2</v>
      </c>
      <c r="CU26" s="2240" t="str">
        <f t="shared" si="42"/>
        <v/>
      </c>
      <c r="CV26" s="693">
        <f t="shared" si="43"/>
        <v>2913</v>
      </c>
      <c r="CW26" s="49">
        <v>5031</v>
      </c>
      <c r="CX26" s="21">
        <v>1740</v>
      </c>
      <c r="CY26" s="49">
        <v>372</v>
      </c>
      <c r="CZ26" s="378">
        <f t="shared" si="44"/>
        <v>5403</v>
      </c>
      <c r="DA26" s="1058">
        <f t="shared" si="45"/>
        <v>1.4839992049294375</v>
      </c>
      <c r="DB26" s="99">
        <f t="shared" si="46"/>
        <v>2.2719936394355003</v>
      </c>
      <c r="DC26" s="53">
        <f t="shared" si="47"/>
        <v>8316</v>
      </c>
      <c r="DD26" s="645">
        <f t="shared" si="48"/>
        <v>0.64971139971139968</v>
      </c>
      <c r="DE26" s="13">
        <v>850</v>
      </c>
      <c r="DF26" s="24">
        <v>834</v>
      </c>
      <c r="DG26" s="24">
        <v>0</v>
      </c>
      <c r="DH26" s="51">
        <v>7466</v>
      </c>
      <c r="DI26" s="8">
        <f t="shared" si="62"/>
        <v>2435</v>
      </c>
      <c r="DJ26" s="644">
        <f t="shared" si="49"/>
        <v>4.9183978835446185</v>
      </c>
      <c r="DK26" s="22">
        <v>921</v>
      </c>
      <c r="DL26" s="22">
        <v>724</v>
      </c>
      <c r="DM26" s="22">
        <v>5172</v>
      </c>
      <c r="DN26" s="138">
        <f t="shared" si="50"/>
        <v>0.64971139971139968</v>
      </c>
      <c r="DO26" s="99">
        <f t="shared" si="51"/>
        <v>-0.60846289508901141</v>
      </c>
      <c r="DP26" s="22">
        <v>10</v>
      </c>
      <c r="DQ26" s="8">
        <f t="shared" si="52"/>
        <v>639</v>
      </c>
      <c r="DR26" s="138">
        <f t="shared" si="53"/>
        <v>-0.22856324873419534</v>
      </c>
      <c r="DS26" s="99">
        <f t="shared" si="54"/>
        <v>-1</v>
      </c>
      <c r="DT26" s="8">
        <f t="shared" si="55"/>
        <v>13944.84</v>
      </c>
      <c r="DU26" s="8">
        <f t="shared" si="56"/>
        <v>22615.617128463477</v>
      </c>
      <c r="DV26" s="235">
        <f t="shared" si="57"/>
        <v>982.36775818639796</v>
      </c>
      <c r="DW26" s="8">
        <f t="shared" si="58"/>
        <v>18771.412443324934</v>
      </c>
      <c r="DX26" s="411">
        <f t="shared" si="59"/>
        <v>120</v>
      </c>
      <c r="DY26" s="1117">
        <v>1930</v>
      </c>
      <c r="DZ26" s="857">
        <f t="shared" si="60"/>
        <v>7.0360918702150929E-2</v>
      </c>
      <c r="EA26" s="386">
        <v>5.24</v>
      </c>
      <c r="EB26" s="504"/>
      <c r="EC26" s="510">
        <v>23750</v>
      </c>
      <c r="ED26" s="435">
        <v>1663</v>
      </c>
      <c r="EE26" s="510">
        <v>18000</v>
      </c>
      <c r="EF26" s="435">
        <v>2520</v>
      </c>
      <c r="EG26" s="510">
        <v>18700</v>
      </c>
      <c r="EH26" s="435">
        <v>2618</v>
      </c>
      <c r="EI26" s="510">
        <v>48900</v>
      </c>
      <c r="EJ26" s="435">
        <v>6846</v>
      </c>
      <c r="EK26" s="510">
        <v>25500</v>
      </c>
      <c r="EL26" s="1606">
        <v>20247</v>
      </c>
      <c r="EM26" s="1224">
        <v>25500</v>
      </c>
      <c r="EN26" s="834">
        <v>20247</v>
      </c>
      <c r="EO26" s="835">
        <f t="shared" si="63"/>
        <v>11.174984966927241</v>
      </c>
      <c r="EP26" s="1648">
        <f t="shared" si="61"/>
        <v>1</v>
      </c>
      <c r="EQ26"/>
    </row>
    <row r="27" spans="1:147" ht="35" customHeight="1">
      <c r="A27" s="99">
        <f>_xlfn.XLOOKUP(R27,'MOPFRA Ranking'!$E$6:$E$55,'MOPFRA Ranking'!$AE$6:$AE$55)</f>
        <v>10.895140384574557</v>
      </c>
      <c r="B27" s="99">
        <f t="shared" si="1"/>
        <v>2.5951403845745542</v>
      </c>
      <c r="C27" s="1585">
        <f t="shared" ca="1" si="2"/>
        <v>0.2923429204504257</v>
      </c>
      <c r="D27" s="2378">
        <f t="shared" si="3"/>
        <v>3.2354511215363528</v>
      </c>
      <c r="E27" s="1414">
        <f t="shared" si="4"/>
        <v>13.499999999999998</v>
      </c>
      <c r="F27" s="1415">
        <f t="shared" si="5"/>
        <v>8.3000000000000025</v>
      </c>
      <c r="G27" s="2124" cm="1">
        <f t="array" ref="G27">IFERROR(_xlfn.XLOOKUP(R27,'Sales Rec'!$E$37:$E$91,'Sales Rec'!$CU$37:$CU$91*100,""),"")</f>
        <v>11.836846823115899</v>
      </c>
      <c r="H27" s="2313">
        <f>_xlfn.XLOOKUP(R27,'Sales Rec'!$E$37:$E$86,'Sales Rec'!$DQ$37:$DQ$86,"")</f>
        <v>0.59988038277511957</v>
      </c>
      <c r="I27" s="2312">
        <f>_xlfn.XLOOKUP(R27,'Sales History'!$C$4:$C$83,'Sales History'!$AS$4:$AS$83,"")</f>
        <v>0.15428937259923176</v>
      </c>
      <c r="J27" s="2313">
        <f>_xlfn.XLOOKUP(R27,'Sales History'!$C$4:$C$83,'Sales History'!$AW$4:$AW$83,"")</f>
        <v>0.82533733133433285</v>
      </c>
      <c r="K27" s="1942">
        <f>_xlfn.XLOOKUP(R27,'Sales Rec'!$E$4:$E$91,'Sales Rec'!$CV$4:$CV$91,"")</f>
        <v>34</v>
      </c>
      <c r="L27" s="1587">
        <f>_xlfn.XLOOKUP(R27,'MOPFRA Ranking'!$E$6:$E$55,'MOPFRA Ranking'!$AG$6:$AG$55,"")</f>
        <v>25</v>
      </c>
      <c r="M27" s="1582" t="str">
        <f>_xlfn.XLOOKUP(R27,'Sales Rec'!$E$4:$E$105,'Sales Rec'!$DS$4:$DS$105,"")</f>
        <v>B</v>
      </c>
      <c r="N27" s="1582" t="str">
        <f>_xlfn.XLOOKUP(R27,'Sales Rec'!$E$4:$E$105,'Sales Rec'!$DZ$4:$DZ$105,"")</f>
        <v>BB</v>
      </c>
      <c r="O27" s="2365" t="str">
        <f>_xlfn.XLOOKUP($R27,'History Records'!$B$7:$B$88,'History Records'!$G$7:$G$88,"")</f>
        <v/>
      </c>
      <c r="P27" s="856" t="s">
        <v>464</v>
      </c>
      <c r="Q27" s="2364" t="s">
        <v>181</v>
      </c>
      <c r="R27" s="1571" t="s">
        <v>182</v>
      </c>
      <c r="S27" s="1929">
        <v>12</v>
      </c>
      <c r="T27" s="66">
        <f t="shared" si="6"/>
        <v>3923.56</v>
      </c>
      <c r="U27" s="2386">
        <f>_xlfn.XLOOKUP($R27,'Price Record'!$C$6:$C$100,'Price Record'!H$6:H$100,"")</f>
        <v>2087</v>
      </c>
      <c r="V27" s="338">
        <f>_xlfn.XLOOKUP(R27,'دیده بان بازار'!$A$3:$A$3542,'دیده بان بازار'!$M$3:$M$3542,"")</f>
        <v>2.96</v>
      </c>
      <c r="W27" s="2386">
        <f>_xlfn.XLOOKUP($R27,'Price Record'!$C$6:$C$100,'Price Record'!G$6:G$100,"")</f>
        <v>2087</v>
      </c>
      <c r="X27" s="337">
        <f>_xlfn.XLOOKUP(R27,'دیده بان بازار'!$A$3:$A$3542,'دیده بان بازار'!$J$3:$J$3542,"")</f>
        <v>2.96</v>
      </c>
      <c r="Y27" s="1708">
        <f t="shared" si="7"/>
        <v>8619.56</v>
      </c>
      <c r="Z27" s="661" t="str">
        <f t="shared" si="8"/>
        <v/>
      </c>
      <c r="AA27" s="822">
        <f t="shared" si="9"/>
        <v>0.33590738849165813</v>
      </c>
      <c r="AB27" s="511">
        <f t="shared" ca="1" si="10"/>
        <v>3.9452054794520547E-2</v>
      </c>
      <c r="AC27" s="2194">
        <f t="shared" ca="1" si="11"/>
        <v>-185.28458356071101</v>
      </c>
      <c r="AD27" s="1150">
        <f t="shared" si="12"/>
        <v>0.33590738849165813</v>
      </c>
      <c r="AE27" s="1150">
        <f t="shared" si="13"/>
        <v>6.7635374149659852E-2</v>
      </c>
      <c r="AF27" s="1150">
        <f t="shared" si="14"/>
        <v>0.28472822527832348</v>
      </c>
      <c r="AG27" s="1150">
        <f t="shared" si="15"/>
        <v>1.600106030483764</v>
      </c>
      <c r="AH27" s="1150">
        <f t="shared" si="16"/>
        <v>0.34969384244926038</v>
      </c>
      <c r="AI27" s="275">
        <f t="shared" ca="1" si="17"/>
        <v>349</v>
      </c>
      <c r="AJ27" s="1121">
        <v>46223</v>
      </c>
      <c r="AK27" s="1116">
        <v>46327</v>
      </c>
      <c r="AL27" s="1345">
        <f t="shared" si="18"/>
        <v>18800000000</v>
      </c>
      <c r="AM27" s="29"/>
      <c r="AN27" s="29"/>
      <c r="AO27" s="685">
        <v>0.3</v>
      </c>
      <c r="AP27" s="174"/>
      <c r="AQ27" s="1925">
        <v>5814</v>
      </c>
      <c r="AR27" s="1925">
        <v>481</v>
      </c>
      <c r="AS27" s="766">
        <f>_xlfn.XLOOKUP(R27,'Sales Rec'!$E$4:$E$86,'Sales Rec'!$X$4:$X$86,"")</f>
        <v>8361.3522727272721</v>
      </c>
      <c r="AT27" s="984">
        <f>_xlfn.XLOOKUP(R27,'Sales Rec'!$E$4:$E$86,'Sales Rec'!$K$4:$K$86,"")</f>
        <v>4</v>
      </c>
      <c r="AU27" s="376">
        <f t="shared" si="19"/>
        <v>0.46924945535397578</v>
      </c>
      <c r="AV27" s="99">
        <f t="shared" si="20"/>
        <v>2.3671009225665274</v>
      </c>
      <c r="AW27" s="16">
        <v>1803</v>
      </c>
      <c r="AX27" s="16">
        <v>426</v>
      </c>
      <c r="AY27" s="1421">
        <f t="shared" si="21"/>
        <v>0.23599999999999999</v>
      </c>
      <c r="AZ27" s="1419">
        <v>0.10100000000000001</v>
      </c>
      <c r="BA27" s="1689">
        <v>8.3000000000000004E-2</v>
      </c>
      <c r="BB27" s="1690">
        <v>0.20699999999999999</v>
      </c>
      <c r="BC27" s="100">
        <f t="shared" si="64"/>
        <v>8.3000000000000025</v>
      </c>
      <c r="BD27" s="1420">
        <f t="shared" si="23"/>
        <v>0.13400000000000001</v>
      </c>
      <c r="BE27" s="1419">
        <v>5.0999999999999997E-2</v>
      </c>
      <c r="BF27" s="1687">
        <v>-0.06</v>
      </c>
      <c r="BG27" s="1688">
        <v>0.14899999999999999</v>
      </c>
      <c r="BH27" s="306">
        <f t="shared" si="24"/>
        <v>0.10199999999999998</v>
      </c>
      <c r="BI27" s="1861">
        <f t="shared" si="25"/>
        <v>735.6239999999998</v>
      </c>
      <c r="BJ27" s="306">
        <f t="shared" si="26"/>
        <v>5.000000000000001E-2</v>
      </c>
      <c r="BK27" s="99">
        <v>0</v>
      </c>
      <c r="BL27" s="306">
        <f>_xlfn.XLOOKUP(R27,'Sales Rec'!$E$4:$E$91,'Sales Rec'!$Y$4:$Y$91,"")</f>
        <v>0.43814108578040456</v>
      </c>
      <c r="BM27" s="99">
        <f t="shared" si="27"/>
        <v>3.0670109186623931</v>
      </c>
      <c r="BN27" s="15"/>
      <c r="BO27" s="1803">
        <v>3</v>
      </c>
      <c r="BP27" s="842">
        <f t="shared" si="28"/>
        <v>1</v>
      </c>
      <c r="BQ27" s="16">
        <v>166</v>
      </c>
      <c r="BR27" s="16"/>
      <c r="BS27" s="16"/>
      <c r="BT27" s="1253">
        <f>(_xlfn.XLOOKUP(R27,'Sales Rec'!$E$37:$E$91,'Sales Rec'!$X$37:$X$91)*BD27+CM27)*1000/CK27</f>
        <v>1042.7772364603481</v>
      </c>
      <c r="BU27" s="1246">
        <f t="shared" si="29"/>
        <v>959.57446808510633</v>
      </c>
      <c r="BV27" s="406"/>
      <c r="BW27" s="407">
        <f t="shared" si="30"/>
        <v>2.0845488784636474</v>
      </c>
      <c r="BX27" s="99">
        <f t="shared" si="31"/>
        <v>10</v>
      </c>
      <c r="BY27" s="18">
        <f t="shared" si="32"/>
        <v>1882.2106022727273</v>
      </c>
      <c r="BZ27" s="18">
        <f t="shared" si="33"/>
        <v>737.51127819548867</v>
      </c>
      <c r="CA27" s="18">
        <f t="shared" si="34"/>
        <v>1973.2791363636361</v>
      </c>
      <c r="CB27" s="1710">
        <f t="shared" si="35"/>
        <v>4.3681402398467286</v>
      </c>
      <c r="CC27" s="266">
        <f>_xlfn.XLOOKUP($R27,'Price Record'!$C$6:$C$100,'Price Record'!I$6:I$100,"")</f>
        <v>392</v>
      </c>
      <c r="CD27" s="267">
        <f>_xlfn.XLOOKUP($R27,'Price Record'!$C$6:$C$100,'Price Record'!J$6:J$100,"")</f>
        <v>5.32</v>
      </c>
      <c r="CE27" s="99">
        <f t="shared" si="36"/>
        <v>-0.96000000000000085</v>
      </c>
      <c r="CF27" s="17">
        <f t="shared" si="37"/>
        <v>2.9571611132564968</v>
      </c>
      <c r="CG27" s="99">
        <f t="shared" si="38"/>
        <v>-3.8286444530259871</v>
      </c>
      <c r="CH27" s="494">
        <f t="shared" si="39"/>
        <v>0.18765808596936465</v>
      </c>
      <c r="CI27" s="99">
        <f t="shared" si="40"/>
        <v>-3.1851287104595305</v>
      </c>
      <c r="CJ27" s="20"/>
      <c r="CK27" s="691">
        <v>1880</v>
      </c>
      <c r="CL27" s="419">
        <v>834</v>
      </c>
      <c r="CM27" s="468">
        <v>840</v>
      </c>
      <c r="CN27" s="843">
        <v>72</v>
      </c>
      <c r="CO27" s="21">
        <v>313</v>
      </c>
      <c r="CP27" s="21">
        <v>0</v>
      </c>
      <c r="CQ27" s="469">
        <f t="shared" si="41"/>
        <v>451</v>
      </c>
      <c r="CR27" s="1239">
        <f>(AS27*BD27)*(_xlfn.XLOOKUP($R27,'Sales Rec'!$E$37:$E$91,'Sales Rec'!$L$37:$L$91,"")/12)+CP27</f>
        <v>373.47373484848481</v>
      </c>
      <c r="CS27" s="21">
        <v>1147</v>
      </c>
      <c r="CT27" s="16">
        <v>-51</v>
      </c>
      <c r="CU27" s="2240" t="str">
        <f t="shared" si="42"/>
        <v/>
      </c>
      <c r="CV27" s="693">
        <f t="shared" si="43"/>
        <v>5026</v>
      </c>
      <c r="CW27" s="49">
        <v>4388</v>
      </c>
      <c r="CX27" s="21">
        <v>2520</v>
      </c>
      <c r="CY27" s="49">
        <v>1178</v>
      </c>
      <c r="CZ27" s="378">
        <f t="shared" si="44"/>
        <v>5566</v>
      </c>
      <c r="DA27" s="1058">
        <f t="shared" si="45"/>
        <v>1.1403828623518688</v>
      </c>
      <c r="DB27" s="99">
        <f t="shared" si="46"/>
        <v>-0.47693710118504917</v>
      </c>
      <c r="DC27" s="53">
        <f t="shared" si="47"/>
        <v>10592</v>
      </c>
      <c r="DD27" s="645">
        <f t="shared" si="48"/>
        <v>0.52549093655589119</v>
      </c>
      <c r="DE27" s="13">
        <v>5588</v>
      </c>
      <c r="DF27" s="24">
        <v>5564</v>
      </c>
      <c r="DG27" s="24">
        <v>5</v>
      </c>
      <c r="DH27" s="51">
        <v>5004</v>
      </c>
      <c r="DI27" s="8">
        <f t="shared" si="62"/>
        <v>616</v>
      </c>
      <c r="DJ27" s="644">
        <f t="shared" si="49"/>
        <v>13.573623819362455</v>
      </c>
      <c r="DK27" s="22">
        <v>1309</v>
      </c>
      <c r="DL27" s="22">
        <v>870</v>
      </c>
      <c r="DM27" s="22">
        <v>1791</v>
      </c>
      <c r="DN27" s="138">
        <f t="shared" si="50"/>
        <v>0.52549093655589119</v>
      </c>
      <c r="DO27" s="99">
        <f t="shared" si="51"/>
        <v>1.611738808016201</v>
      </c>
      <c r="DP27" s="22">
        <v>0</v>
      </c>
      <c r="DQ27" s="8">
        <f t="shared" si="52"/>
        <v>1034</v>
      </c>
      <c r="DR27" s="138">
        <f t="shared" si="53"/>
        <v>-1.2770621011297278</v>
      </c>
      <c r="DS27" s="99">
        <f t="shared" si="54"/>
        <v>-6</v>
      </c>
      <c r="DT27" s="8">
        <f t="shared" si="55"/>
        <v>1426.88</v>
      </c>
      <c r="DU27" s="8">
        <f t="shared" si="56"/>
        <v>3454.4680851063831</v>
      </c>
      <c r="DV27" s="235">
        <f t="shared" si="57"/>
        <v>443.61702127659572</v>
      </c>
      <c r="DW27" s="8">
        <f t="shared" si="58"/>
        <v>2662.4825531914894</v>
      </c>
      <c r="DX27" s="411">
        <f t="shared" si="59"/>
        <v>104</v>
      </c>
      <c r="DY27" s="1117">
        <v>30</v>
      </c>
      <c r="DZ27" s="857">
        <f t="shared" si="60"/>
        <v>1.8844221105527637E-2</v>
      </c>
      <c r="EA27" s="386">
        <v>0.34</v>
      </c>
      <c r="EB27" s="504"/>
      <c r="EC27" s="510">
        <v>2943</v>
      </c>
      <c r="ED27" s="435">
        <v>2907</v>
      </c>
      <c r="EE27" s="510">
        <v>1161</v>
      </c>
      <c r="EF27" s="435">
        <v>1509</v>
      </c>
      <c r="EG27" s="510">
        <v>2349</v>
      </c>
      <c r="EH27" s="435">
        <v>3054</v>
      </c>
      <c r="EI27" s="510">
        <v>1955</v>
      </c>
      <c r="EJ27" s="435">
        <v>3675</v>
      </c>
      <c r="EK27" s="510">
        <v>1562</v>
      </c>
      <c r="EL27" s="1606">
        <v>2937</v>
      </c>
      <c r="EM27" s="1224">
        <v>1562</v>
      </c>
      <c r="EN27" s="834">
        <v>2937</v>
      </c>
      <c r="EO27" s="835">
        <f t="shared" si="63"/>
        <v>1.0319917440660475E-2</v>
      </c>
      <c r="EP27" s="1648">
        <f t="shared" si="61"/>
        <v>35</v>
      </c>
      <c r="EQ27"/>
    </row>
    <row r="28" spans="1:147" ht="35" customHeight="1">
      <c r="A28" s="99">
        <f>_xlfn.XLOOKUP(R28,'MOPFRA Ranking'!$E$6:$E$55,'MOPFRA Ranking'!$AE$6:$AE$55)</f>
        <v>11.047850751719084</v>
      </c>
      <c r="B28" s="99">
        <f t="shared" si="1"/>
        <v>2.7478507517190858</v>
      </c>
      <c r="C28" s="1585">
        <f t="shared" ca="1" si="2"/>
        <v>0.14189747028837732</v>
      </c>
      <c r="D28" s="2378">
        <f t="shared" si="3"/>
        <v>0.75417801381204264</v>
      </c>
      <c r="E28" s="1414">
        <f t="shared" si="4"/>
        <v>8.0000000000000018</v>
      </c>
      <c r="F28" s="1415">
        <f t="shared" si="5"/>
        <v>8.2999999999999989</v>
      </c>
      <c r="G28" s="2124" cm="1">
        <f t="array" ref="G28">IFERROR(_xlfn.XLOOKUP(R28,'Sales Rec'!$E$37:$E$91,'Sales Rec'!$CU$37:$CU$91*100,""),"")</f>
        <v>21.174646363928275</v>
      </c>
      <c r="H28" s="2313">
        <f>_xlfn.XLOOKUP(R28,'Sales Rec'!$E$37:$E$86,'Sales Rec'!$DQ$37:$DQ$86,"")</f>
        <v>0.88698010849909581</v>
      </c>
      <c r="I28" s="2312">
        <f>_xlfn.XLOOKUP(R28,'Sales History'!$C$4:$C$83,'Sales History'!$AS$4:$AS$83,"")</f>
        <v>0.3265494912118409</v>
      </c>
      <c r="J28" s="2313">
        <f>_xlfn.XLOOKUP(R28,'Sales History'!$C$4:$C$83,'Sales History'!$AW$4:$AW$83,"")</f>
        <v>0.82485322896281799</v>
      </c>
      <c r="K28" s="1942">
        <f>_xlfn.XLOOKUP(R28,'Sales Rec'!$E$4:$E$91,'Sales Rec'!$CV$4:$CV$91,"")</f>
        <v>25</v>
      </c>
      <c r="L28" s="1587">
        <f>_xlfn.XLOOKUP(R28,'MOPFRA Ranking'!$E$6:$E$55,'MOPFRA Ranking'!$AG$6:$AG$55,"")</f>
        <v>20</v>
      </c>
      <c r="M28" s="1582" t="str">
        <f>_xlfn.XLOOKUP(R28,'Sales Rec'!$E$4:$E$105,'Sales Rec'!$DS$4:$DS$105,"")</f>
        <v>B</v>
      </c>
      <c r="N28" s="1582" t="str">
        <f>_xlfn.XLOOKUP(R28,'Sales Rec'!$E$4:$E$105,'Sales Rec'!$DZ$4:$DZ$105,"")</f>
        <v>B</v>
      </c>
      <c r="O28" s="2365" t="str">
        <f>_xlfn.XLOOKUP($R28,'History Records'!$B$7:$B$88,'History Records'!$G$7:$G$88,"")</f>
        <v/>
      </c>
      <c r="P28" s="856" t="s">
        <v>168</v>
      </c>
      <c r="Q28" s="2364" t="s">
        <v>156</v>
      </c>
      <c r="R28" s="1571" t="s">
        <v>157</v>
      </c>
      <c r="S28" s="1929">
        <v>12</v>
      </c>
      <c r="T28" s="66">
        <f t="shared" si="6"/>
        <v>11774.474</v>
      </c>
      <c r="U28" s="2386">
        <f>_xlfn.XLOOKUP($R28,'Price Record'!$C$6:$C$100,'Price Record'!H$6:H$100,"")</f>
        <v>12790</v>
      </c>
      <c r="V28" s="338">
        <f>_xlfn.XLOOKUP(R28,'دیده بان بازار'!$A$3:$A$3542,'دیده بان بازار'!$M$3:$M$3542,"")</f>
        <v>2.98</v>
      </c>
      <c r="W28" s="2386">
        <f>_xlfn.XLOOKUP($R28,'Price Record'!$C$6:$C$100,'Price Record'!G$6:G$100,"")</f>
        <v>12790</v>
      </c>
      <c r="X28" s="337">
        <f>_xlfn.XLOOKUP(R28,'دیده بان بازار'!$A$3:$A$3542,'دیده بان بازار'!$J$3:$J$3542,"")</f>
        <v>2.98</v>
      </c>
      <c r="Y28" s="1708">
        <f t="shared" si="7"/>
        <v>15341.474</v>
      </c>
      <c r="Z28" s="661" t="str">
        <f t="shared" si="8"/>
        <v/>
      </c>
      <c r="AA28" s="822">
        <f t="shared" si="9"/>
        <v>6.4984985528219991E-2</v>
      </c>
      <c r="AB28" s="511">
        <f t="shared" ca="1" si="10"/>
        <v>3.6986301369863014E-2</v>
      </c>
      <c r="AC28" s="2194">
        <f t="shared" ca="1" si="11"/>
        <v>-18.66578943890465</v>
      </c>
      <c r="AD28" s="1150">
        <f t="shared" si="12"/>
        <v>6.4984985528219991E-2</v>
      </c>
      <c r="AE28" s="1150">
        <f t="shared" si="13"/>
        <v>1.4924796782387808</v>
      </c>
      <c r="AF28" s="1150">
        <f t="shared" si="14"/>
        <v>2.3834695402298851</v>
      </c>
      <c r="AG28" s="1150">
        <f t="shared" si="15"/>
        <v>1.2444670224933283</v>
      </c>
      <c r="AH28" s="1150">
        <f t="shared" si="16"/>
        <v>5.4908897464167588</v>
      </c>
      <c r="AI28" s="275">
        <f t="shared" ca="1" si="17"/>
        <v>350</v>
      </c>
      <c r="AJ28" s="1121">
        <v>46224</v>
      </c>
      <c r="AK28" s="1116">
        <v>46346</v>
      </c>
      <c r="AL28" s="1345">
        <f t="shared" si="18"/>
        <v>9206000000</v>
      </c>
      <c r="AM28" s="29"/>
      <c r="AN28" s="29"/>
      <c r="AO28" s="685">
        <v>0.11</v>
      </c>
      <c r="AP28" s="174"/>
      <c r="AQ28" s="1925">
        <v>4060</v>
      </c>
      <c r="AR28" s="1925">
        <v>1357</v>
      </c>
      <c r="AS28" s="766">
        <f>_xlfn.XLOOKUP(R28,'Sales Rec'!$E$4:$E$86,'Sales Rec'!$X$4:$X$86,"")</f>
        <v>6656.0696202531644</v>
      </c>
      <c r="AT28" s="984">
        <f>_xlfn.XLOOKUP(R28,'Sales Rec'!$E$4:$E$86,'Sales Rec'!$K$4:$K$86,"")</f>
        <v>4</v>
      </c>
      <c r="AU28" s="376">
        <f t="shared" si="19"/>
        <v>1.6225812853786254</v>
      </c>
      <c r="AV28" s="99">
        <f t="shared" si="20"/>
        <v>1.812137651237089</v>
      </c>
      <c r="AW28" s="16">
        <v>1434</v>
      </c>
      <c r="AX28" s="16">
        <v>479</v>
      </c>
      <c r="AY28" s="1421">
        <f t="shared" si="21"/>
        <v>0.33400000000000002</v>
      </c>
      <c r="AZ28" s="1419">
        <v>0.254</v>
      </c>
      <c r="BA28" s="1689">
        <v>0.33400000000000002</v>
      </c>
      <c r="BB28" s="1690">
        <v>0.2</v>
      </c>
      <c r="BC28" s="100">
        <f t="shared" si="64"/>
        <v>8.2999999999999989</v>
      </c>
      <c r="BD28" s="1420">
        <f t="shared" si="23"/>
        <v>0.24099999999999999</v>
      </c>
      <c r="BE28" s="1419">
        <v>0.158</v>
      </c>
      <c r="BF28" s="1687">
        <v>0.25900000000000001</v>
      </c>
      <c r="BG28" s="1688">
        <v>0.126</v>
      </c>
      <c r="BH28" s="306">
        <f t="shared" si="24"/>
        <v>9.3000000000000027E-2</v>
      </c>
      <c r="BI28" s="1861">
        <f t="shared" si="25"/>
        <v>533.44800000000021</v>
      </c>
      <c r="BJ28" s="306">
        <f t="shared" si="26"/>
        <v>9.6000000000000002E-2</v>
      </c>
      <c r="BK28" s="99">
        <v>0</v>
      </c>
      <c r="BL28" s="306">
        <f>_xlfn.XLOOKUP(R28,'Sales Rec'!$E$4:$E$91,'Sales Rec'!$Y$4:$Y$91,"")</f>
        <v>0.63942601484068085</v>
      </c>
      <c r="BM28" s="99">
        <f t="shared" si="27"/>
        <v>10</v>
      </c>
      <c r="BN28" s="15"/>
      <c r="BO28" s="1803">
        <v>3</v>
      </c>
      <c r="BP28" s="842">
        <f t="shared" si="28"/>
        <v>1</v>
      </c>
      <c r="BQ28" s="16">
        <v>377</v>
      </c>
      <c r="BR28" s="16"/>
      <c r="BS28" s="16"/>
      <c r="BT28" s="1253">
        <f>(_xlfn.XLOOKUP(R28,'Sales Rec'!$E$37:$E$91,'Sales Rec'!$X$37:$X$91)*BD28+CM28)*1000/CK28</f>
        <v>2330.1246779068133</v>
      </c>
      <c r="BU28" s="1246">
        <f t="shared" si="29"/>
        <v>2091.0275907017162</v>
      </c>
      <c r="BV28" s="406"/>
      <c r="BW28" s="407">
        <f t="shared" si="30"/>
        <v>5.7858219861879574</v>
      </c>
      <c r="BX28" s="99">
        <f t="shared" si="31"/>
        <v>-3.929109930939787</v>
      </c>
      <c r="BY28" s="18">
        <f t="shared" si="32"/>
        <v>2035.0563892405064</v>
      </c>
      <c r="BZ28" s="18">
        <f t="shared" si="33"/>
        <v>1800.3782874617737</v>
      </c>
      <c r="CA28" s="18">
        <f t="shared" si="34"/>
        <v>2223.1272531645573</v>
      </c>
      <c r="CB28" s="1710">
        <f t="shared" si="35"/>
        <v>6.9008528315965076</v>
      </c>
      <c r="CC28" s="266">
        <f>_xlfn.XLOOKUP($R28,'Price Record'!$C$6:$C$100,'Price Record'!I$6:I$100,"")</f>
        <v>1956</v>
      </c>
      <c r="CD28" s="267">
        <f>_xlfn.XLOOKUP($R28,'Price Record'!$C$6:$C$100,'Price Record'!J$6:J$100,"")</f>
        <v>6.54</v>
      </c>
      <c r="CE28" s="99">
        <f t="shared" si="36"/>
        <v>-4.62</v>
      </c>
      <c r="CF28" s="17">
        <f t="shared" si="37"/>
        <v>1.7911051601672487</v>
      </c>
      <c r="CG28" s="99">
        <f t="shared" si="38"/>
        <v>0.83557935933100502</v>
      </c>
      <c r="CH28" s="494">
        <f t="shared" si="39"/>
        <v>0.28739675035171675</v>
      </c>
      <c r="CI28" s="99">
        <f t="shared" si="40"/>
        <v>-1.689048744724249</v>
      </c>
      <c r="CJ28" s="20"/>
      <c r="CK28" s="691">
        <v>920.6</v>
      </c>
      <c r="CL28" s="419">
        <v>720</v>
      </c>
      <c r="CM28" s="468">
        <v>541</v>
      </c>
      <c r="CN28" s="843">
        <v>1</v>
      </c>
      <c r="CO28" s="21">
        <v>347</v>
      </c>
      <c r="CP28" s="21">
        <v>149</v>
      </c>
      <c r="CQ28" s="469">
        <f t="shared" si="41"/>
        <v>481.25</v>
      </c>
      <c r="CR28" s="1239">
        <f>(AS28*BD28)*(_xlfn.XLOOKUP($R28,'Sales Rec'!$E$37:$E$91,'Sales Rec'!$L$37:$L$91,"")/12)+CP28</f>
        <v>683.70425949367086</v>
      </c>
      <c r="CS28" s="21">
        <v>1067</v>
      </c>
      <c r="CT28" s="16">
        <v>-10</v>
      </c>
      <c r="CU28" s="2240" t="str">
        <f t="shared" si="42"/>
        <v/>
      </c>
      <c r="CV28" s="693">
        <f t="shared" si="43"/>
        <v>2070</v>
      </c>
      <c r="CW28" s="49">
        <v>3508</v>
      </c>
      <c r="CX28" s="21">
        <v>504</v>
      </c>
      <c r="CY28" s="49">
        <v>137</v>
      </c>
      <c r="CZ28" s="378">
        <f t="shared" si="44"/>
        <v>3645</v>
      </c>
      <c r="DA28" s="1058">
        <f t="shared" si="45"/>
        <v>1.4284492588369442</v>
      </c>
      <c r="DB28" s="99">
        <f t="shared" si="46"/>
        <v>1.8275940706955538</v>
      </c>
      <c r="DC28" s="53">
        <f t="shared" si="47"/>
        <v>5715</v>
      </c>
      <c r="DD28" s="645">
        <f t="shared" si="48"/>
        <v>0.63779527559055116</v>
      </c>
      <c r="DE28" s="13">
        <v>704</v>
      </c>
      <c r="DF28" s="24">
        <v>549</v>
      </c>
      <c r="DG28" s="24">
        <v>51</v>
      </c>
      <c r="DH28" s="51">
        <v>5011</v>
      </c>
      <c r="DI28" s="8">
        <f t="shared" si="62"/>
        <v>1503</v>
      </c>
      <c r="DJ28" s="644">
        <f t="shared" si="49"/>
        <v>4.4285227014325779</v>
      </c>
      <c r="DK28" s="22">
        <v>576</v>
      </c>
      <c r="DL28" s="22">
        <v>76</v>
      </c>
      <c r="DM28" s="22">
        <v>3782</v>
      </c>
      <c r="DN28" s="138">
        <f t="shared" si="50"/>
        <v>0.63779527559055116</v>
      </c>
      <c r="DO28" s="99">
        <f t="shared" si="51"/>
        <v>-0.48930165388052616</v>
      </c>
      <c r="DP28" s="22">
        <v>2</v>
      </c>
      <c r="DQ28" s="8">
        <f t="shared" si="52"/>
        <v>575</v>
      </c>
      <c r="DR28" s="138">
        <f t="shared" si="53"/>
        <v>-0.22580803653295939</v>
      </c>
      <c r="DS28" s="99">
        <f t="shared" si="54"/>
        <v>-1</v>
      </c>
      <c r="DT28" s="8">
        <f t="shared" si="55"/>
        <v>7119.84</v>
      </c>
      <c r="DU28" s="8">
        <f t="shared" si="56"/>
        <v>7527.6993265261781</v>
      </c>
      <c r="DV28" s="235">
        <f t="shared" si="57"/>
        <v>782.0986313273952</v>
      </c>
      <c r="DW28" s="8">
        <f t="shared" si="58"/>
        <v>7714.8189789267863</v>
      </c>
      <c r="DX28" s="411">
        <f t="shared" si="59"/>
        <v>122</v>
      </c>
      <c r="DY28" s="1117">
        <v>930</v>
      </c>
      <c r="DZ28" s="857">
        <f t="shared" si="60"/>
        <v>7.1870170015455953E-2</v>
      </c>
      <c r="EA28" s="386">
        <v>4.75</v>
      </c>
      <c r="EB28" s="504"/>
      <c r="EC28" s="510">
        <v>11340</v>
      </c>
      <c r="ED28" s="435">
        <v>1814</v>
      </c>
      <c r="EE28" s="510">
        <v>32790</v>
      </c>
      <c r="EF28" s="435">
        <v>5246</v>
      </c>
      <c r="EG28" s="510">
        <v>21750</v>
      </c>
      <c r="EH28" s="435">
        <v>3480</v>
      </c>
      <c r="EI28" s="510">
        <v>29525</v>
      </c>
      <c r="EJ28" s="435">
        <v>4724</v>
      </c>
      <c r="EK28" s="510">
        <v>12010</v>
      </c>
      <c r="EL28" s="1606">
        <v>11056</v>
      </c>
      <c r="EM28" s="1224">
        <v>12010</v>
      </c>
      <c r="EN28" s="834">
        <v>11056</v>
      </c>
      <c r="EO28" s="835">
        <f t="shared" si="63"/>
        <v>5.0948180815876514</v>
      </c>
      <c r="EP28" s="1648">
        <f t="shared" si="61"/>
        <v>6</v>
      </c>
      <c r="EQ28"/>
    </row>
    <row r="29" spans="1:147" ht="35" customHeight="1">
      <c r="A29" s="99">
        <f>_xlfn.XLOOKUP(R29,'MOPFRA Ranking'!$E$6:$E$55,'MOPFRA Ranking'!$AE$6:$AE$55)</f>
        <v>6.5163029754594088</v>
      </c>
      <c r="B29" s="99">
        <f t="shared" si="1"/>
        <v>-3.4836970245405898</v>
      </c>
      <c r="C29" s="1585">
        <f t="shared" ca="1" si="2"/>
        <v>0.21262135922330097</v>
      </c>
      <c r="D29" s="2378">
        <f t="shared" si="3"/>
        <v>1.7057836514589675</v>
      </c>
      <c r="E29" s="1414">
        <f t="shared" si="4"/>
        <v>9</v>
      </c>
      <c r="F29" s="1415">
        <f t="shared" si="5"/>
        <v>10.8</v>
      </c>
      <c r="G29" s="2124" cm="1">
        <f t="array" ref="G29">IFERROR(_xlfn.XLOOKUP(R29,'Sales Rec'!$E$37:$E$91,'Sales Rec'!$CU$37:$CU$91*100,""),"")</f>
        <v>-9.8013564698948841</v>
      </c>
      <c r="H29" s="2313">
        <f>_xlfn.XLOOKUP(R29,'Sales Rec'!$E$37:$E$86,'Sales Rec'!$DQ$37:$DQ$86,"")</f>
        <v>1.0967225777973957</v>
      </c>
      <c r="I29" s="2312">
        <f>_xlfn.XLOOKUP(R29,'Sales History'!$C$4:$C$83,'Sales History'!$AS$4:$AS$83,"")</f>
        <v>0.72189251566106161</v>
      </c>
      <c r="J29" s="2313">
        <f>_xlfn.XLOOKUP(R29,'Sales History'!$C$4:$C$83,'Sales History'!$AW$4:$AW$83,"")</f>
        <v>1.093360809963265</v>
      </c>
      <c r="K29" s="1942">
        <f>_xlfn.XLOOKUP(R29,'Sales Rec'!$E$4:$E$91,'Sales Rec'!$CV$4:$CV$91,"")</f>
        <v>18</v>
      </c>
      <c r="L29" s="1587">
        <f>_xlfn.XLOOKUP(R29,'MOPFRA Ranking'!$E$6:$E$55,'MOPFRA Ranking'!$AG$6:$AG$55,"")</f>
        <v>23</v>
      </c>
      <c r="M29" s="1582" t="str">
        <f>_xlfn.XLOOKUP(R29,'Sales Rec'!$E$4:$E$105,'Sales Rec'!$DS$4:$DS$105,"")</f>
        <v>BB</v>
      </c>
      <c r="N29" s="1582" t="str">
        <f>_xlfn.XLOOKUP(R29,'Sales Rec'!$E$4:$E$105,'Sales Rec'!$DZ$4:$DZ$105,"")</f>
        <v>B</v>
      </c>
      <c r="O29" s="2365" t="str">
        <f>_xlfn.XLOOKUP($R29,'History Records'!$B$7:$B$88,'History Records'!$G$7:$G$88,"")</f>
        <v/>
      </c>
      <c r="P29" s="856" t="s">
        <v>458</v>
      </c>
      <c r="Q29" s="2364" t="s">
        <v>124</v>
      </c>
      <c r="R29" s="1571" t="s">
        <v>125</v>
      </c>
      <c r="S29" s="1929">
        <v>9</v>
      </c>
      <c r="T29" s="66">
        <f t="shared" si="6"/>
        <v>51250</v>
      </c>
      <c r="U29" s="2386">
        <f>_xlfn.XLOOKUP($R29,'Price Record'!$C$6:$C$100,'Price Record'!H$6:H$100,"")</f>
        <v>4100</v>
      </c>
      <c r="V29" s="338">
        <f>_xlfn.XLOOKUP(R29,'دیده بان بازار'!$A$3:$A$3542,'دیده بان بازار'!$M$3:$M$3542,"")</f>
        <v>2.76</v>
      </c>
      <c r="W29" s="2386">
        <f>_xlfn.XLOOKUP($R29,'Price Record'!$C$6:$C$100,'Price Record'!G$6:G$100,"")</f>
        <v>4100</v>
      </c>
      <c r="X29" s="337">
        <f>_xlfn.XLOOKUP(R29,'دیده بان بازار'!$A$3:$A$3542,'دیده بان بازار'!$J$3:$J$3542,"")</f>
        <v>2.76</v>
      </c>
      <c r="Y29" s="1708">
        <f t="shared" si="7"/>
        <v>84784</v>
      </c>
      <c r="Z29" s="661" t="str">
        <f t="shared" si="8"/>
        <v/>
      </c>
      <c r="AA29" s="822">
        <f t="shared" si="9"/>
        <v>0.92756130585226415</v>
      </c>
      <c r="AB29" s="511">
        <f t="shared" ca="1" si="10"/>
        <v>0.18000000000000002</v>
      </c>
      <c r="AC29" s="2194">
        <f t="shared" ca="1" si="11"/>
        <v>-102.40565833592659</v>
      </c>
      <c r="AD29" s="1150">
        <f t="shared" si="12"/>
        <v>0.92756130585226415</v>
      </c>
      <c r="AE29" s="1150">
        <f t="shared" si="13"/>
        <v>0.85802849581263818</v>
      </c>
      <c r="AF29" s="1150">
        <f t="shared" si="14"/>
        <v>0.83042251508982468</v>
      </c>
      <c r="AG29" s="1150" t="str">
        <f t="shared" si="15"/>
        <v/>
      </c>
      <c r="AH29" s="1150" t="str">
        <f t="shared" si="16"/>
        <v/>
      </c>
      <c r="AI29" s="275">
        <f t="shared" ca="1" si="17"/>
        <v>292</v>
      </c>
      <c r="AJ29" s="1121">
        <v>46166</v>
      </c>
      <c r="AK29" s="1830">
        <v>46286</v>
      </c>
      <c r="AL29" s="1345">
        <f t="shared" si="18"/>
        <v>125000000000</v>
      </c>
      <c r="AM29" s="29"/>
      <c r="AN29" s="29"/>
      <c r="AO29" s="685">
        <v>0.05</v>
      </c>
      <c r="AP29" s="174"/>
      <c r="AQ29" s="1925">
        <v>41084</v>
      </c>
      <c r="AR29" s="1925">
        <v>7156</v>
      </c>
      <c r="AS29" s="766">
        <f>_xlfn.XLOOKUP(R29,'Sales Rec'!$E$4:$E$86,'Sales Rec'!$X$4:$X$86,"")</f>
        <v>74597.268050256956</v>
      </c>
      <c r="AT29" s="984">
        <f>_xlfn.XLOOKUP(R29,'Sales Rec'!$E$4:$E$86,'Sales Rec'!$K$4:$K$86,"")</f>
        <v>4</v>
      </c>
      <c r="AU29" s="376">
        <f t="shared" si="19"/>
        <v>0.6870224786981789</v>
      </c>
      <c r="AV29" s="99">
        <f t="shared" si="20"/>
        <v>0.53527293609630822</v>
      </c>
      <c r="AW29" s="16">
        <v>33022</v>
      </c>
      <c r="AX29" s="16">
        <v>9711</v>
      </c>
      <c r="AY29" s="1421">
        <f t="shared" si="21"/>
        <v>0.29399999999999998</v>
      </c>
      <c r="AZ29" s="1419">
        <v>0.20399999999999999</v>
      </c>
      <c r="BA29" s="1689">
        <v>0.17399999999999999</v>
      </c>
      <c r="BB29" s="1690">
        <v>0.193</v>
      </c>
      <c r="BC29" s="100">
        <f t="shared" si="64"/>
        <v>10</v>
      </c>
      <c r="BD29" s="1420">
        <f t="shared" si="23"/>
        <v>0.19900000000000001</v>
      </c>
      <c r="BE29" s="1419">
        <v>9.0999999999999998E-2</v>
      </c>
      <c r="BF29" s="1687">
        <v>8.2000000000000003E-2</v>
      </c>
      <c r="BG29" s="1688">
        <v>8.6999999999999994E-2</v>
      </c>
      <c r="BH29" s="306">
        <f t="shared" si="24"/>
        <v>9.4999999999999973E-2</v>
      </c>
      <c r="BI29" s="1861">
        <f t="shared" si="25"/>
        <v>6274.1799999999985</v>
      </c>
      <c r="BJ29" s="306">
        <f t="shared" si="26"/>
        <v>0.11299999999999999</v>
      </c>
      <c r="BK29" s="99">
        <v>0</v>
      </c>
      <c r="BL29" s="306">
        <f>_xlfn.XLOOKUP(R29,'Sales Rec'!$E$4:$E$91,'Sales Rec'!$Y$4:$Y$91,"")</f>
        <v>0.81572553914557877</v>
      </c>
      <c r="BM29" s="99">
        <f t="shared" si="27"/>
        <v>-3.3550730012005614</v>
      </c>
      <c r="BN29" s="15"/>
      <c r="BO29" s="1803">
        <v>3</v>
      </c>
      <c r="BP29" s="842">
        <f t="shared" si="28"/>
        <v>2</v>
      </c>
      <c r="BQ29" s="16">
        <v>389</v>
      </c>
      <c r="BR29" s="16">
        <v>621</v>
      </c>
      <c r="BS29" s="16"/>
      <c r="BT29" s="1253">
        <f>(_xlfn.XLOOKUP(R29,'Sales Rec'!$E$37:$E$91,'Sales Rec'!$X$37:$X$91)*BD29+CM29)*1000/CK29</f>
        <v>1216.4685073600908</v>
      </c>
      <c r="BU29" s="1246">
        <f t="shared" si="29"/>
        <v>1242.8799999999999</v>
      </c>
      <c r="BV29" s="406"/>
      <c r="BW29" s="407">
        <f t="shared" si="30"/>
        <v>3.3342163485410325</v>
      </c>
      <c r="BX29" s="99">
        <f t="shared" si="31"/>
        <v>8.3289182572948377</v>
      </c>
      <c r="BY29" s="18">
        <f t="shared" si="32"/>
        <v>15370.928171000567</v>
      </c>
      <c r="BZ29" s="18">
        <f t="shared" si="33"/>
        <v>10168.650793650793</v>
      </c>
      <c r="CA29" s="18">
        <f t="shared" si="34"/>
        <v>21931.596806775546</v>
      </c>
      <c r="CB29" s="1710">
        <f t="shared" si="35"/>
        <v>3.8658379846654318</v>
      </c>
      <c r="CC29" s="266">
        <f>_xlfn.XLOOKUP($R29,'Price Record'!$C$6:$C$100,'Price Record'!I$6:I$100,"")</f>
        <v>813</v>
      </c>
      <c r="CD29" s="267">
        <f>_xlfn.XLOOKUP($R29,'Price Record'!$C$6:$C$100,'Price Record'!J$6:J$100,"")</f>
        <v>5.04</v>
      </c>
      <c r="CE29" s="99">
        <f t="shared" si="36"/>
        <v>-0.12000000000000011</v>
      </c>
      <c r="CF29" s="17">
        <f t="shared" si="37"/>
        <v>2.3930239989928741</v>
      </c>
      <c r="CG29" s="99">
        <f t="shared" si="38"/>
        <v>-1.5720959959714964</v>
      </c>
      <c r="CH29" s="494">
        <f t="shared" si="39"/>
        <v>0.26385141738191031</v>
      </c>
      <c r="CI29" s="99">
        <f t="shared" si="40"/>
        <v>-2.0422287392713456</v>
      </c>
      <c r="CJ29" s="20"/>
      <c r="CK29" s="691">
        <v>12500</v>
      </c>
      <c r="CL29" s="419">
        <v>4170</v>
      </c>
      <c r="CM29" s="468">
        <v>361</v>
      </c>
      <c r="CN29" s="843">
        <v>1206</v>
      </c>
      <c r="CO29" s="21">
        <v>7768</v>
      </c>
      <c r="CP29" s="21">
        <v>0</v>
      </c>
      <c r="CQ29" s="469">
        <f t="shared" si="41"/>
        <v>7768</v>
      </c>
      <c r="CR29" s="1239">
        <f>(AS29*BD29)*(_xlfn.XLOOKUP($R29,'Sales Rec'!$E$37:$E$91,'Sales Rec'!$L$37:$L$91,"")/12)+CP29</f>
        <v>8659.4995328339974</v>
      </c>
      <c r="CS29" s="21">
        <v>11938</v>
      </c>
      <c r="CT29" s="16">
        <v>-600</v>
      </c>
      <c r="CU29" s="2240" t="str">
        <f t="shared" si="42"/>
        <v/>
      </c>
      <c r="CV29" s="693">
        <f t="shared" si="43"/>
        <v>25121</v>
      </c>
      <c r="CW29" s="49">
        <v>30519</v>
      </c>
      <c r="CX29" s="21">
        <v>17838</v>
      </c>
      <c r="CY29" s="49">
        <v>6264</v>
      </c>
      <c r="CZ29" s="378">
        <f t="shared" si="44"/>
        <v>36783</v>
      </c>
      <c r="DA29" s="1058">
        <f t="shared" si="45"/>
        <v>1.0857170942691439</v>
      </c>
      <c r="DB29" s="99">
        <f t="shared" si="46"/>
        <v>-0.9142632458468487</v>
      </c>
      <c r="DC29" s="53">
        <f t="shared" si="47"/>
        <v>61904</v>
      </c>
      <c r="DD29" s="645">
        <f t="shared" si="48"/>
        <v>0.59419423623675371</v>
      </c>
      <c r="DE29" s="13">
        <v>28769</v>
      </c>
      <c r="DF29" s="24">
        <v>23347</v>
      </c>
      <c r="DG29" s="24">
        <v>1065</v>
      </c>
      <c r="DH29" s="51">
        <v>33135</v>
      </c>
      <c r="DI29" s="8">
        <f t="shared" si="62"/>
        <v>2616</v>
      </c>
      <c r="DJ29" s="644">
        <f t="shared" si="49"/>
        <v>28.515775248569174</v>
      </c>
      <c r="DK29" s="22">
        <v>15851</v>
      </c>
      <c r="DL29" s="22">
        <v>3249</v>
      </c>
      <c r="DM29" s="22">
        <v>7039</v>
      </c>
      <c r="DN29" s="138">
        <f t="shared" si="50"/>
        <v>0.59419423623675371</v>
      </c>
      <c r="DO29" s="99">
        <f t="shared" si="51"/>
        <v>-0.34422723564148328</v>
      </c>
      <c r="DP29" s="22">
        <v>0</v>
      </c>
      <c r="DQ29" s="8">
        <f t="shared" si="52"/>
        <v>6996</v>
      </c>
      <c r="DR29" s="138">
        <f t="shared" si="53"/>
        <v>-0.81334706985353344</v>
      </c>
      <c r="DS29" s="99">
        <f t="shared" si="54"/>
        <v>-4</v>
      </c>
      <c r="DT29" s="8">
        <f t="shared" si="55"/>
        <v>3056.88</v>
      </c>
      <c r="DU29" s="8">
        <f t="shared" si="56"/>
        <v>4623.5135999999993</v>
      </c>
      <c r="DV29" s="235">
        <f t="shared" si="57"/>
        <v>333.6</v>
      </c>
      <c r="DW29" s="8">
        <f t="shared" si="58"/>
        <v>4006.9967999999999</v>
      </c>
      <c r="DX29" s="411">
        <f t="shared" si="59"/>
        <v>120</v>
      </c>
      <c r="DY29" s="1117">
        <v>0</v>
      </c>
      <c r="DZ29" s="857">
        <f t="shared" si="60"/>
        <v>0</v>
      </c>
      <c r="EA29" s="386">
        <v>0.47</v>
      </c>
      <c r="EB29" s="504"/>
      <c r="EC29" s="510"/>
      <c r="ED29" s="435"/>
      <c r="EE29" s="510"/>
      <c r="EF29" s="435"/>
      <c r="EG29" s="510">
        <v>3294</v>
      </c>
      <c r="EH29" s="435">
        <v>27999</v>
      </c>
      <c r="EI29" s="510">
        <v>3245</v>
      </c>
      <c r="EJ29" s="435">
        <v>27583</v>
      </c>
      <c r="EK29" s="510">
        <v>2127</v>
      </c>
      <c r="EL29" s="1606">
        <v>26588</v>
      </c>
      <c r="EM29" s="1224">
        <v>2127</v>
      </c>
      <c r="EN29" s="834">
        <v>26588</v>
      </c>
      <c r="EO29" s="835" t="str">
        <f t="shared" si="63"/>
        <v/>
      </c>
      <c r="EP29" s="1648" t="str">
        <f t="shared" si="61"/>
        <v>NEW</v>
      </c>
      <c r="EQ29"/>
    </row>
    <row r="30" spans="1:147" ht="35" customHeight="1">
      <c r="A30" s="99">
        <f>_xlfn.XLOOKUP(R30,'MOPFRA Ranking'!$E$6:$E$55,'MOPFRA Ranking'!$AE$6:$AE$55)</f>
        <v>8.9948642701746628</v>
      </c>
      <c r="B30" s="99">
        <f t="shared" si="1"/>
        <v>-1.0051357298253387</v>
      </c>
      <c r="C30" s="1585">
        <f t="shared" ca="1" si="2"/>
        <v>0.29447764010503813</v>
      </c>
      <c r="D30" s="2378">
        <f t="shared" si="3"/>
        <v>2.1772699489883491</v>
      </c>
      <c r="E30" s="1414">
        <f t="shared" si="4"/>
        <v>19.899999999999999</v>
      </c>
      <c r="F30" s="1415">
        <f t="shared" si="5"/>
        <v>14.700000000000003</v>
      </c>
      <c r="G30" s="2124" cm="1">
        <f t="array" ref="G30">IFERROR(_xlfn.XLOOKUP(R30,'Sales Rec'!$E$37:$E$91,'Sales Rec'!$CU$37:$CU$91*100,""),"")</f>
        <v>1.1074684556152459</v>
      </c>
      <c r="H30" s="2313">
        <f>_xlfn.XLOOKUP(R30,'Sales Rec'!$E$37:$E$86,'Sales Rec'!$DQ$37:$DQ$86,"")</f>
        <v>1.1067146282973621</v>
      </c>
      <c r="I30" s="2312">
        <f>_xlfn.XLOOKUP(R30,'Sales History'!$C$4:$C$83,'Sales History'!$AS$4:$AS$83,"")</f>
        <v>0.6048951048951049</v>
      </c>
      <c r="J30" s="2313">
        <f>_xlfn.XLOOKUP(R30,'Sales History'!$C$4:$C$83,'Sales History'!$AW$4:$AW$83,"")</f>
        <v>0.6468699839486356</v>
      </c>
      <c r="K30" s="1942">
        <f>_xlfn.XLOOKUP(R30,'Sales Rec'!$E$4:$E$91,'Sales Rec'!$CV$4:$CV$91,"")</f>
        <v>17</v>
      </c>
      <c r="L30" s="1587">
        <f>_xlfn.XLOOKUP(R30,'MOPFRA Ranking'!$E$6:$E$55,'MOPFRA Ranking'!$AG$6:$AG$55,"")</f>
        <v>21</v>
      </c>
      <c r="M30" s="1582" t="str">
        <f>_xlfn.XLOOKUP(R30,'Sales Rec'!$E$4:$E$105,'Sales Rec'!$DS$4:$DS$105,"")</f>
        <v>BB</v>
      </c>
      <c r="N30" s="1582" t="str">
        <f>_xlfn.XLOOKUP(R30,'Sales Rec'!$E$4:$E$105,'Sales Rec'!$DZ$4:$DZ$105,"")</f>
        <v>BB</v>
      </c>
      <c r="O30" s="2365" t="str">
        <f>_xlfn.XLOOKUP($R30,'History Records'!$B$7:$B$88,'History Records'!$G$7:$G$88,"")</f>
        <v>Closed</v>
      </c>
      <c r="P30" s="856" t="s">
        <v>465</v>
      </c>
      <c r="Q30" s="2364" t="s">
        <v>92</v>
      </c>
      <c r="R30" s="1571" t="s">
        <v>93</v>
      </c>
      <c r="S30" s="1929">
        <v>9</v>
      </c>
      <c r="T30" s="66">
        <f t="shared" si="6"/>
        <v>2123.1</v>
      </c>
      <c r="U30" s="2386">
        <f>_xlfn.XLOOKUP($R30,'Price Record'!$C$6:$C$100,'Price Record'!H$6:H$100,"")</f>
        <v>10110</v>
      </c>
      <c r="V30" s="338" t="str">
        <f>_xlfn.XLOOKUP(R30,'دیده بان بازار'!$A$3:$A$3542,'دیده بان بازار'!$M$3:$M$3542,"")</f>
        <v/>
      </c>
      <c r="W30" s="2386">
        <f>_xlfn.XLOOKUP($R30,'Price Record'!$C$6:$C$100,'Price Record'!G$6:G$100,"")</f>
        <v>10110</v>
      </c>
      <c r="X30" s="337" t="str">
        <f>_xlfn.XLOOKUP(R30,'دیده بان بازار'!$A$3:$A$3542,'دیده بان بازار'!$J$3:$J$3542,"")</f>
        <v/>
      </c>
      <c r="Y30" s="1708">
        <f t="shared" si="7"/>
        <v>3203.7999999999997</v>
      </c>
      <c r="Z30" s="661" t="str">
        <f t="shared" si="8"/>
        <v/>
      </c>
      <c r="AA30" s="822">
        <f t="shared" si="9"/>
        <v>1.6773013871374527</v>
      </c>
      <c r="AB30" s="511">
        <f t="shared" ca="1" si="10"/>
        <v>0.41671232876712327</v>
      </c>
      <c r="AC30" s="2194">
        <f t="shared" ca="1" si="11"/>
        <v>-74.591068542623049</v>
      </c>
      <c r="AD30" s="1150">
        <f t="shared" si="12"/>
        <v>1.6773013871374527</v>
      </c>
      <c r="AE30" s="1150">
        <f t="shared" si="13"/>
        <v>1.3254107338444687</v>
      </c>
      <c r="AF30" s="1150">
        <f t="shared" si="14"/>
        <v>0.74167350287120581</v>
      </c>
      <c r="AG30" s="1150">
        <f t="shared" si="15"/>
        <v>2.002970297029703</v>
      </c>
      <c r="AH30" s="1150">
        <f t="shared" si="16"/>
        <v>2.0329999999999999</v>
      </c>
      <c r="AI30" s="275">
        <f t="shared" ca="1" si="17"/>
        <v>196</v>
      </c>
      <c r="AJ30" s="1121">
        <v>46070</v>
      </c>
      <c r="AK30" s="1116">
        <v>46188</v>
      </c>
      <c r="AL30" s="1345">
        <f t="shared" si="18"/>
        <v>2100000000</v>
      </c>
      <c r="AM30" s="29"/>
      <c r="AN30" s="29"/>
      <c r="AO30" s="685">
        <v>0.18820000000000001</v>
      </c>
      <c r="AP30" s="174"/>
      <c r="AQ30" s="1925">
        <v>1600</v>
      </c>
      <c r="AR30" s="1925">
        <v>168</v>
      </c>
      <c r="AS30" s="766">
        <f>_xlfn.XLOOKUP(R30,'Sales Rec'!$E$4:$E$86,'Sales Rec'!$X$4:$X$86,"")</f>
        <v>3069.1217026378895</v>
      </c>
      <c r="AT30" s="984">
        <f>_xlfn.XLOOKUP(R30,'Sales Rec'!$E$4:$E$86,'Sales Rec'!$K$4:$K$86,"")</f>
        <v>4</v>
      </c>
      <c r="AU30" s="376">
        <f t="shared" si="19"/>
        <v>0.69176142418047804</v>
      </c>
      <c r="AV30" s="99">
        <f t="shared" si="20"/>
        <v>-0.30695138070247152</v>
      </c>
      <c r="AW30" s="16">
        <v>1490</v>
      </c>
      <c r="AX30" s="16">
        <v>442</v>
      </c>
      <c r="AY30" s="1421">
        <f t="shared" si="21"/>
        <v>0.29699999999999999</v>
      </c>
      <c r="AZ30" s="1419">
        <v>9.8000000000000004E-2</v>
      </c>
      <c r="BA30" s="1689">
        <v>0.105</v>
      </c>
      <c r="BB30" s="1690">
        <v>0.11600000000000001</v>
      </c>
      <c r="BC30" s="100">
        <f t="shared" si="64"/>
        <v>10</v>
      </c>
      <c r="BD30" s="1420">
        <f t="shared" si="23"/>
        <v>0.219</v>
      </c>
      <c r="BE30" s="1419">
        <v>7.1999999999999995E-2</v>
      </c>
      <c r="BF30" s="1687">
        <v>7.0000000000000007E-2</v>
      </c>
      <c r="BG30" s="1688">
        <v>9.7000000000000003E-2</v>
      </c>
      <c r="BH30" s="306">
        <f t="shared" si="24"/>
        <v>7.7999999999999986E-2</v>
      </c>
      <c r="BI30" s="1861">
        <f t="shared" si="25"/>
        <v>232.43999999999997</v>
      </c>
      <c r="BJ30" s="306">
        <f t="shared" si="26"/>
        <v>2.6000000000000009E-2</v>
      </c>
      <c r="BK30" s="99">
        <v>0</v>
      </c>
      <c r="BL30" s="306">
        <f>_xlfn.XLOOKUP(R30,'Sales Rec'!$E$4:$E$91,'Sales Rec'!$Y$4:$Y$91,"")</f>
        <v>0.91820106414868097</v>
      </c>
      <c r="BM30" s="99">
        <f t="shared" si="27"/>
        <v>-10</v>
      </c>
      <c r="BN30" s="15"/>
      <c r="BO30" s="1803">
        <v>3</v>
      </c>
      <c r="BP30" s="842">
        <f t="shared" si="28"/>
        <v>2</v>
      </c>
      <c r="BQ30" s="16">
        <v>397</v>
      </c>
      <c r="BR30" s="16">
        <v>1556</v>
      </c>
      <c r="BS30" s="16"/>
      <c r="BT30" s="1253">
        <f>(_xlfn.XLOOKUP(R30,'Sales Rec'!$E$37:$E$91,'Sales Rec'!$X$37:$X$91)*BD30+CM30)*1000/CK30</f>
        <v>3238.7507279890369</v>
      </c>
      <c r="BU30" s="1246">
        <f t="shared" si="29"/>
        <v>3114.2857142857142</v>
      </c>
      <c r="BV30" s="406"/>
      <c r="BW30" s="407">
        <f t="shared" si="30"/>
        <v>3.1827300510116512</v>
      </c>
      <c r="BX30" s="99">
        <f t="shared" si="31"/>
        <v>9.0863497449417441</v>
      </c>
      <c r="BY30" s="18">
        <f t="shared" si="32"/>
        <v>667.06882643884887</v>
      </c>
      <c r="BZ30" s="18">
        <f t="shared" si="33"/>
        <v>396.10074626865668</v>
      </c>
      <c r="CA30" s="18">
        <f t="shared" si="34"/>
        <v>911.52914568345318</v>
      </c>
      <c r="CB30" s="1710">
        <f t="shared" si="35"/>
        <v>3.5147532200935063</v>
      </c>
      <c r="CC30" s="266">
        <f>_xlfn.XLOOKUP($R30,'Price Record'!$C$6:$C$100,'Price Record'!I$6:I$100,"")</f>
        <v>1886</v>
      </c>
      <c r="CD30" s="267">
        <f>_xlfn.XLOOKUP($R30,'Price Record'!$C$6:$C$100,'Price Record'!J$6:J$100,"")</f>
        <v>5.36</v>
      </c>
      <c r="CE30" s="99">
        <f t="shared" si="36"/>
        <v>-1.080000000000001</v>
      </c>
      <c r="CF30" s="17">
        <f t="shared" si="37"/>
        <v>1.6579998287498876</v>
      </c>
      <c r="CG30" s="99">
        <f t="shared" si="38"/>
        <v>1.3680006850004496</v>
      </c>
      <c r="CH30" s="494">
        <f t="shared" si="39"/>
        <v>0.27205090800931847</v>
      </c>
      <c r="CI30" s="99">
        <f t="shared" si="40"/>
        <v>-1.9192363798602232</v>
      </c>
      <c r="CJ30" s="20"/>
      <c r="CK30" s="691">
        <v>210</v>
      </c>
      <c r="CL30" s="419">
        <v>221</v>
      </c>
      <c r="CM30" s="468">
        <v>8</v>
      </c>
      <c r="CN30" s="843">
        <v>0</v>
      </c>
      <c r="CO30" s="21">
        <v>327</v>
      </c>
      <c r="CP30" s="21">
        <v>0</v>
      </c>
      <c r="CQ30" s="469">
        <f t="shared" si="41"/>
        <v>327</v>
      </c>
      <c r="CR30" s="1239">
        <f>(AS30*BD30)*(_xlfn.XLOOKUP($R30,'Sales Rec'!$E$37:$E$91,'Sales Rec'!$L$37:$L$91,"")/12)+CP30</f>
        <v>392.08029751199035</v>
      </c>
      <c r="CS30" s="21">
        <v>548</v>
      </c>
      <c r="CT30" s="16">
        <v>0</v>
      </c>
      <c r="CU30" s="2240" t="str">
        <f t="shared" si="42"/>
        <v/>
      </c>
      <c r="CV30" s="693">
        <f t="shared" si="43"/>
        <v>779</v>
      </c>
      <c r="CW30" s="49">
        <v>1068</v>
      </c>
      <c r="CX30" s="21">
        <v>188</v>
      </c>
      <c r="CY30" s="49">
        <v>38</v>
      </c>
      <c r="CZ30" s="378">
        <f t="shared" si="44"/>
        <v>1106</v>
      </c>
      <c r="DA30" s="1058">
        <f t="shared" si="45"/>
        <v>1.5664794007490637</v>
      </c>
      <c r="DB30" s="99">
        <f t="shared" si="46"/>
        <v>2.9318352059925097</v>
      </c>
      <c r="DC30" s="53">
        <f t="shared" si="47"/>
        <v>1885</v>
      </c>
      <c r="DD30" s="645">
        <f t="shared" si="48"/>
        <v>0.58673740053050394</v>
      </c>
      <c r="DE30" s="13">
        <v>212</v>
      </c>
      <c r="DF30" s="24">
        <v>26</v>
      </c>
      <c r="DG30" s="24">
        <v>0</v>
      </c>
      <c r="DH30" s="51">
        <v>1673</v>
      </c>
      <c r="DI30" s="8">
        <f t="shared" si="62"/>
        <v>605</v>
      </c>
      <c r="DJ30" s="644">
        <f t="shared" si="49"/>
        <v>5.0729284341122138</v>
      </c>
      <c r="DK30" s="22">
        <v>368</v>
      </c>
      <c r="DL30" s="22">
        <v>25</v>
      </c>
      <c r="DM30" s="22">
        <v>809</v>
      </c>
      <c r="DN30" s="138">
        <f t="shared" si="50"/>
        <v>0.58673740053050394</v>
      </c>
      <c r="DO30" s="99">
        <f t="shared" si="51"/>
        <v>-8.5133605197346141E-2</v>
      </c>
      <c r="DP30" s="22">
        <v>0.3</v>
      </c>
      <c r="DQ30" s="8">
        <f t="shared" si="52"/>
        <v>470.70000000000005</v>
      </c>
      <c r="DR30" s="138">
        <f t="shared" si="53"/>
        <v>-0.20591771627802957</v>
      </c>
      <c r="DS30" s="99">
        <f t="shared" si="54"/>
        <v>-1</v>
      </c>
      <c r="DT30" s="8">
        <f t="shared" si="55"/>
        <v>7091.36</v>
      </c>
      <c r="DU30" s="8">
        <f t="shared" si="56"/>
        <v>11585.142857142857</v>
      </c>
      <c r="DV30" s="235">
        <f t="shared" si="57"/>
        <v>1052.3809523809523</v>
      </c>
      <c r="DW30" s="8">
        <f t="shared" si="58"/>
        <v>9864.4419047619049</v>
      </c>
      <c r="DX30" s="411">
        <f t="shared" si="59"/>
        <v>118</v>
      </c>
      <c r="DY30" s="1117">
        <v>60</v>
      </c>
      <c r="DZ30" s="857">
        <f t="shared" si="60"/>
        <v>1.5576323987538941E-2</v>
      </c>
      <c r="EA30" s="386"/>
      <c r="EB30" s="504"/>
      <c r="EC30" s="510">
        <v>70050</v>
      </c>
      <c r="ED30" s="435">
        <v>700</v>
      </c>
      <c r="EE30" s="510">
        <v>28290</v>
      </c>
      <c r="EF30" s="435">
        <v>707</v>
      </c>
      <c r="EG30" s="510">
        <v>48770</v>
      </c>
      <c r="EH30" s="435">
        <v>1219</v>
      </c>
      <c r="EI30" s="510">
        <v>4349</v>
      </c>
      <c r="EJ30" s="435">
        <v>913</v>
      </c>
      <c r="EK30" s="510">
        <v>3792</v>
      </c>
      <c r="EL30" s="1606">
        <v>793</v>
      </c>
      <c r="EM30" s="1224">
        <v>3792</v>
      </c>
      <c r="EN30" s="834">
        <v>793</v>
      </c>
      <c r="EO30" s="835">
        <f t="shared" si="63"/>
        <v>0.13285714285714287</v>
      </c>
      <c r="EP30" s="1648">
        <f t="shared" si="61"/>
        <v>29</v>
      </c>
      <c r="EQ30"/>
    </row>
    <row r="31" spans="1:147" ht="35" customHeight="1">
      <c r="A31" s="99">
        <f>_xlfn.XLOOKUP(R31,'MOPFRA Ranking'!$E$6:$E$55,'MOPFRA Ranking'!$AE$6:$AE$55)</f>
        <v>5.6361761382487128</v>
      </c>
      <c r="B31" s="99">
        <f t="shared" si="1"/>
        <v>1.3361761382487121</v>
      </c>
      <c r="C31" s="1585">
        <f t="shared" ca="1" si="2"/>
        <v>0.13449977365323676</v>
      </c>
      <c r="D31" s="2378">
        <f t="shared" si="3"/>
        <v>2.5527100395123794</v>
      </c>
      <c r="E31" s="1414">
        <f t="shared" si="4"/>
        <v>5.1000000000000014</v>
      </c>
      <c r="F31" s="1415">
        <f t="shared" si="5"/>
        <v>4.3000000000000007</v>
      </c>
      <c r="G31" s="2124" cm="1">
        <f t="array" ref="G31">IFERROR(_xlfn.XLOOKUP(R31,'Sales Rec'!$E$37:$E$91,'Sales Rec'!$CU$37:$CU$91*100,""),"")</f>
        <v>-18.537458123761972</v>
      </c>
      <c r="H31" s="2313">
        <f>_xlfn.XLOOKUP(R31,'Sales Rec'!$E$37:$E$86,'Sales Rec'!$DQ$37:$DQ$86,"")</f>
        <v>1.7205542725173211</v>
      </c>
      <c r="I31" s="2312">
        <f>_xlfn.XLOOKUP(R31,'Sales History'!$C$4:$C$83,'Sales History'!$AS$4:$AS$83,"")</f>
        <v>0.31992818671454221</v>
      </c>
      <c r="J31" s="2313">
        <f>_xlfn.XLOOKUP(R31,'Sales History'!$C$4:$C$83,'Sales History'!$AW$4:$AW$83,"")</f>
        <v>0.40083652840711048</v>
      </c>
      <c r="K31" s="1942">
        <f>_xlfn.XLOOKUP(R31,'Sales Rec'!$E$4:$E$91,'Sales Rec'!$CV$4:$CV$91,"")</f>
        <v>9</v>
      </c>
      <c r="L31" s="1587">
        <f>_xlfn.XLOOKUP(R31,'MOPFRA Ranking'!$E$6:$E$55,'MOPFRA Ranking'!$AG$6:$AG$55,"")</f>
        <v>26</v>
      </c>
      <c r="M31" s="1582" t="str">
        <f>_xlfn.XLOOKUP(R31,'Sales Rec'!$E$4:$E$105,'Sales Rec'!$DS$4:$DS$105,"")</f>
        <v>BB</v>
      </c>
      <c r="N31" s="1582" t="str">
        <f>_xlfn.XLOOKUP(R31,'Sales Rec'!$E$4:$E$105,'Sales Rec'!$DZ$4:$DZ$105,"")</f>
        <v>B</v>
      </c>
      <c r="O31" s="2365" t="str">
        <f>_xlfn.XLOOKUP($R31,'History Records'!$B$7:$B$88,'History Records'!$G$7:$G$88,"")</f>
        <v/>
      </c>
      <c r="P31" s="856" t="s">
        <v>209</v>
      </c>
      <c r="Q31" s="2364" t="s">
        <v>100</v>
      </c>
      <c r="R31" s="1571" t="s">
        <v>101</v>
      </c>
      <c r="S31" s="1929">
        <v>12</v>
      </c>
      <c r="T31" s="66">
        <f t="shared" si="6"/>
        <v>8930</v>
      </c>
      <c r="U31" s="2386">
        <f>_xlfn.XLOOKUP($R31,'Price Record'!$C$6:$C$100,'Price Record'!H$6:H$100,"")</f>
        <v>17850</v>
      </c>
      <c r="V31" s="338">
        <f>_xlfn.XLOOKUP(R31,'دیده بان بازار'!$A$3:$A$3542,'دیده بان بازار'!$M$3:$M$3542,"")</f>
        <v>2.94</v>
      </c>
      <c r="W31" s="2386">
        <f>_xlfn.XLOOKUP($R31,'Price Record'!$C$6:$C$100,'Price Record'!G$6:G$100,"")</f>
        <v>17860</v>
      </c>
      <c r="X31" s="337">
        <f>_xlfn.XLOOKUP(R31,'دیده بان بازار'!$A$3:$A$3542,'دیده بان بازار'!$J$3:$J$3542,"")</f>
        <v>3</v>
      </c>
      <c r="Y31" s="1708">
        <f t="shared" si="7"/>
        <v>13265</v>
      </c>
      <c r="Z31" s="661" t="str">
        <f t="shared" si="8"/>
        <v/>
      </c>
      <c r="AA31" s="822">
        <f t="shared" si="9"/>
        <v>1.0180995475113122E-2</v>
      </c>
      <c r="AB31" s="511">
        <f t="shared" ca="1" si="10"/>
        <v>3.9452054794520547E-2</v>
      </c>
      <c r="AC31" s="2194">
        <f t="shared" ca="1" si="11"/>
        <v>18.294412074629641</v>
      </c>
      <c r="AD31" s="1150">
        <f t="shared" si="12"/>
        <v>1.0180995475113122E-2</v>
      </c>
      <c r="AE31" s="1150">
        <f t="shared" si="13"/>
        <v>1.6704545454545454</v>
      </c>
      <c r="AF31" s="1150">
        <f t="shared" si="14"/>
        <v>3.7298728813559321</v>
      </c>
      <c r="AG31" s="1150">
        <f t="shared" si="15"/>
        <v>3.0832190214906263</v>
      </c>
      <c r="AH31" s="1150">
        <f t="shared" si="16"/>
        <v>6.3740710156895126</v>
      </c>
      <c r="AI31" s="275">
        <f t="shared" ca="1" si="17"/>
        <v>349</v>
      </c>
      <c r="AJ31" s="1121">
        <v>46223</v>
      </c>
      <c r="AK31" s="1116">
        <v>46344</v>
      </c>
      <c r="AL31" s="1345">
        <f t="shared" si="18"/>
        <v>5000000000</v>
      </c>
      <c r="AM31" s="29"/>
      <c r="AN31" s="29"/>
      <c r="AO31" s="685">
        <v>0.22</v>
      </c>
      <c r="AP31" s="174"/>
      <c r="AQ31" s="1928">
        <v>7000</v>
      </c>
      <c r="AR31" s="1928">
        <v>1277</v>
      </c>
      <c r="AS31" s="766">
        <f>_xlfn.XLOOKUP(R31,'Sales Rec'!$E$4:$E$86,'Sales Rec'!$X$4:$X$86,"")</f>
        <v>15550.939953810623</v>
      </c>
      <c r="AT31" s="984">
        <f>_xlfn.XLOOKUP(R31,'Sales Rec'!$E$4:$E$86,'Sales Rec'!$K$4:$K$86,"")</f>
        <v>4</v>
      </c>
      <c r="AU31" s="376">
        <f t="shared" si="19"/>
        <v>0.57289913191497455</v>
      </c>
      <c r="AV31" s="99">
        <f t="shared" si="20"/>
        <v>2.8834615372213355</v>
      </c>
      <c r="AW31" s="16">
        <v>3675</v>
      </c>
      <c r="AX31" s="16">
        <v>725</v>
      </c>
      <c r="AY31" s="1421">
        <f t="shared" si="21"/>
        <v>0.19700000000000001</v>
      </c>
      <c r="AZ31" s="1419">
        <v>0.14599999999999999</v>
      </c>
      <c r="BA31" s="1689">
        <v>0.182</v>
      </c>
      <c r="BB31" s="1690">
        <v>0.16400000000000001</v>
      </c>
      <c r="BC31" s="100">
        <f t="shared" si="64"/>
        <v>4.3000000000000007</v>
      </c>
      <c r="BD31" s="1420">
        <f t="shared" si="23"/>
        <v>0.13500000000000001</v>
      </c>
      <c r="BE31" s="1419">
        <v>9.1999999999999998E-2</v>
      </c>
      <c r="BF31" s="1687">
        <v>0.13</v>
      </c>
      <c r="BG31" s="1688">
        <v>0.115</v>
      </c>
      <c r="BH31" s="306">
        <f t="shared" si="24"/>
        <v>6.2E-2</v>
      </c>
      <c r="BI31" s="1861">
        <f t="shared" si="25"/>
        <v>911.4</v>
      </c>
      <c r="BJ31" s="306">
        <f t="shared" si="26"/>
        <v>5.3999999999999992E-2</v>
      </c>
      <c r="BK31" s="99">
        <v>0</v>
      </c>
      <c r="BL31" s="306">
        <f>_xlfn.XLOOKUP(R31,'Sales Rec'!$E$4:$E$91,'Sales Rec'!$Y$4:$Y$91,"")</f>
        <v>1.2215628505443747</v>
      </c>
      <c r="BM31" s="99">
        <f t="shared" si="27"/>
        <v>10</v>
      </c>
      <c r="BN31" s="15"/>
      <c r="BO31" s="1803">
        <v>3</v>
      </c>
      <c r="BP31" s="842">
        <f t="shared" si="28"/>
        <v>1</v>
      </c>
      <c r="BQ31" s="16">
        <v>977</v>
      </c>
      <c r="BR31" s="16"/>
      <c r="BS31" s="16"/>
      <c r="BT31" s="1253">
        <f>(_xlfn.XLOOKUP(R31,'Sales Rec'!$E$37:$E$91,'Sales Rec'!$X$37:$X$91)*BD31+CM31)*1000/CK31</f>
        <v>4192.7537875288681</v>
      </c>
      <c r="BU31" s="1246">
        <f t="shared" si="29"/>
        <v>3912</v>
      </c>
      <c r="BV31" s="406"/>
      <c r="BW31" s="407">
        <f t="shared" si="30"/>
        <v>4.4072899604876206</v>
      </c>
      <c r="BX31" s="99">
        <f t="shared" si="31"/>
        <v>2.9635501975618972</v>
      </c>
      <c r="BY31" s="18">
        <f t="shared" si="32"/>
        <v>2026.188446882217</v>
      </c>
      <c r="BZ31" s="18">
        <f t="shared" si="33"/>
        <v>1283.0459770114942</v>
      </c>
      <c r="CA31" s="18">
        <f t="shared" si="34"/>
        <v>3063.5351709006927</v>
      </c>
      <c r="CB31" s="1710">
        <f t="shared" si="35"/>
        <v>4.3299649783684488</v>
      </c>
      <c r="CC31" s="266">
        <f>_xlfn.XLOOKUP($R31,'Price Record'!$C$6:$C$100,'Price Record'!I$6:I$100,"")</f>
        <v>2564</v>
      </c>
      <c r="CD31" s="267">
        <f>_xlfn.XLOOKUP($R31,'Price Record'!$C$6:$C$100,'Price Record'!J$6:J$100,"")</f>
        <v>6.96</v>
      </c>
      <c r="CE31" s="99">
        <f t="shared" si="36"/>
        <v>-5.88</v>
      </c>
      <c r="CF31" s="17">
        <f t="shared" si="37"/>
        <v>2.423269172003832</v>
      </c>
      <c r="CG31" s="99">
        <f t="shared" si="38"/>
        <v>-1.6930766880153278</v>
      </c>
      <c r="CH31" s="494">
        <f t="shared" si="39"/>
        <v>0.29394870838273857</v>
      </c>
      <c r="CI31" s="99">
        <f t="shared" si="40"/>
        <v>-1.590769374258922</v>
      </c>
      <c r="CJ31" s="19"/>
      <c r="CK31" s="691">
        <v>500</v>
      </c>
      <c r="CL31" s="419">
        <v>521</v>
      </c>
      <c r="CM31" s="468">
        <v>-3</v>
      </c>
      <c r="CN31" s="843">
        <v>-8</v>
      </c>
      <c r="CO31" s="21">
        <v>489</v>
      </c>
      <c r="CP31" s="21">
        <v>3</v>
      </c>
      <c r="CQ31" s="469">
        <f t="shared" si="41"/>
        <v>489</v>
      </c>
      <c r="CR31" s="1239">
        <f>(AS31*BD31)*(_xlfn.XLOOKUP($R31,'Sales Rec'!$E$37:$E$91,'Sales Rec'!$L$37:$L$91,"")/12)+CP31</f>
        <v>702.79229792147794</v>
      </c>
      <c r="CS31" s="21">
        <v>1010</v>
      </c>
      <c r="CT31" s="16">
        <v>0</v>
      </c>
      <c r="CU31" s="2240" t="str">
        <f t="shared" si="42"/>
        <v/>
      </c>
      <c r="CV31" s="693">
        <f t="shared" si="43"/>
        <v>1561</v>
      </c>
      <c r="CW31" s="49">
        <v>4908</v>
      </c>
      <c r="CX31" s="21">
        <v>1687</v>
      </c>
      <c r="CY31" s="49">
        <v>2</v>
      </c>
      <c r="CZ31" s="378">
        <f t="shared" si="44"/>
        <v>4910</v>
      </c>
      <c r="DA31" s="1058">
        <f t="shared" si="45"/>
        <v>1.0863895680521598</v>
      </c>
      <c r="DB31" s="99">
        <f t="shared" si="46"/>
        <v>-0.90888345558272121</v>
      </c>
      <c r="DC31" s="53">
        <f t="shared" si="47"/>
        <v>6471</v>
      </c>
      <c r="DD31" s="645">
        <f t="shared" si="48"/>
        <v>0.75876989646113424</v>
      </c>
      <c r="DE31" s="13">
        <v>1139</v>
      </c>
      <c r="DF31" s="24">
        <v>810</v>
      </c>
      <c r="DG31" s="24">
        <v>321</v>
      </c>
      <c r="DH31" s="51">
        <v>5332</v>
      </c>
      <c r="DI31" s="8">
        <f t="shared" si="62"/>
        <v>424</v>
      </c>
      <c r="DJ31" s="644">
        <f t="shared" si="49"/>
        <v>36.67674517408166</v>
      </c>
      <c r="DK31" s="22">
        <v>1019</v>
      </c>
      <c r="DL31" s="22">
        <v>553</v>
      </c>
      <c r="DM31" s="22">
        <v>3577</v>
      </c>
      <c r="DN31" s="138">
        <f t="shared" si="50"/>
        <v>0.75876989646113424</v>
      </c>
      <c r="DO31" s="99">
        <f t="shared" si="51"/>
        <v>-2.438106078677551</v>
      </c>
      <c r="DP31" s="22">
        <v>22</v>
      </c>
      <c r="DQ31" s="8">
        <f t="shared" si="52"/>
        <v>161</v>
      </c>
      <c r="DR31" s="138">
        <f t="shared" si="53"/>
        <v>-0.54348976170248531</v>
      </c>
      <c r="DS31" s="99">
        <f t="shared" si="54"/>
        <v>-2</v>
      </c>
      <c r="DT31" s="8">
        <f t="shared" si="55"/>
        <v>9332.9599999999991</v>
      </c>
      <c r="DU31" s="8">
        <f t="shared" si="56"/>
        <v>14083.2</v>
      </c>
      <c r="DV31" s="235">
        <f t="shared" si="57"/>
        <v>1042</v>
      </c>
      <c r="DW31" s="8">
        <f t="shared" si="58"/>
        <v>12229.08</v>
      </c>
      <c r="DX31" s="411">
        <f t="shared" si="59"/>
        <v>121</v>
      </c>
      <c r="DY31" s="1117">
        <v>850</v>
      </c>
      <c r="DZ31" s="857">
        <f t="shared" si="60"/>
        <v>4.5871559633027525E-2</v>
      </c>
      <c r="EA31" s="386">
        <v>0.56000000000000005</v>
      </c>
      <c r="EB31" s="504"/>
      <c r="EC31" s="510">
        <v>12110</v>
      </c>
      <c r="ED31" s="435">
        <v>1211</v>
      </c>
      <c r="EE31" s="510">
        <v>11510</v>
      </c>
      <c r="EF31" s="435">
        <v>2187</v>
      </c>
      <c r="EG31" s="510">
        <v>5900</v>
      </c>
      <c r="EH31" s="435">
        <v>1888</v>
      </c>
      <c r="EI31" s="510">
        <v>10450</v>
      </c>
      <c r="EJ31" s="435">
        <v>3344</v>
      </c>
      <c r="EK31" s="510">
        <v>17680</v>
      </c>
      <c r="EL31" s="1606">
        <v>8840</v>
      </c>
      <c r="EM31" s="1224">
        <v>17680</v>
      </c>
      <c r="EN31" s="834">
        <v>8840</v>
      </c>
      <c r="EO31" s="835">
        <f t="shared" si="63"/>
        <v>6.2997522708505365</v>
      </c>
      <c r="EP31" s="1648">
        <f t="shared" si="61"/>
        <v>5</v>
      </c>
      <c r="EQ31"/>
    </row>
    <row r="32" spans="1:147" ht="35" customHeight="1">
      <c r="A32" s="99">
        <f>_xlfn.XLOOKUP(R32,'MOPFRA Ranking'!$E$6:$E$55,'MOPFRA Ranking'!$AE$6:$AE$55)</f>
        <v>6.6054331585631454</v>
      </c>
      <c r="B32" s="99">
        <f t="shared" si="1"/>
        <v>1.4054331585631461</v>
      </c>
      <c r="C32" s="1585">
        <f t="shared" ca="1" si="2"/>
        <v>0.15042094491526894</v>
      </c>
      <c r="D32" s="2378">
        <f t="shared" si="3"/>
        <v>3.1130186287097281</v>
      </c>
      <c r="E32" s="1414">
        <f t="shared" si="4"/>
        <v>4.9999999999999991</v>
      </c>
      <c r="F32" s="1415">
        <f t="shared" si="5"/>
        <v>5.1999999999999993</v>
      </c>
      <c r="G32" s="2124" cm="1">
        <f t="array" ref="G32">IFERROR(_xlfn.XLOOKUP(R32,'Sales Rec'!$E$37:$E$91,'Sales Rec'!$CU$37:$CU$91*100,""),"")</f>
        <v>-8.5123473406429895</v>
      </c>
      <c r="H32" s="2313">
        <f>_xlfn.XLOOKUP(R32,'Sales Rec'!$E$37:$E$86,'Sales Rec'!$DQ$37:$DQ$86,"")</f>
        <v>1.0793477347230394</v>
      </c>
      <c r="I32" s="2312">
        <f>_xlfn.XLOOKUP(R32,'Sales History'!$C$4:$C$83,'Sales History'!$AS$4:$AS$83,"")</f>
        <v>0.3512687969924812</v>
      </c>
      <c r="J32" s="2313">
        <f>_xlfn.XLOOKUP(R32,'Sales History'!$C$4:$C$83,'Sales History'!$AW$4:$AW$83,"")</f>
        <v>1.0616109450031712</v>
      </c>
      <c r="K32" s="1942">
        <f>_xlfn.XLOOKUP(R32,'Sales Rec'!$E$4:$E$91,'Sales Rec'!$CV$4:$CV$91,"")</f>
        <v>21</v>
      </c>
      <c r="L32" s="1587">
        <f>_xlfn.XLOOKUP(R32,'MOPFRA Ranking'!$E$6:$E$55,'MOPFRA Ranking'!$AG$6:$AG$55,"")</f>
        <v>24</v>
      </c>
      <c r="M32" s="1582" t="str">
        <f>_xlfn.XLOOKUP(R32,'Sales Rec'!$E$4:$E$105,'Sales Rec'!$DS$4:$DS$105,"")</f>
        <v>BB</v>
      </c>
      <c r="N32" s="1582" t="str">
        <f>_xlfn.XLOOKUP(R32,'Sales Rec'!$E$4:$E$105,'Sales Rec'!$DZ$4:$DZ$105,"")</f>
        <v>BB</v>
      </c>
      <c r="O32" s="2365" t="str">
        <f>_xlfn.XLOOKUP($R32,'History Records'!$B$7:$B$88,'History Records'!$G$7:$G$88,"")</f>
        <v>Closed</v>
      </c>
      <c r="P32" s="856" t="s">
        <v>467</v>
      </c>
      <c r="Q32" s="2364" t="s">
        <v>179</v>
      </c>
      <c r="R32" s="1571" t="s">
        <v>180</v>
      </c>
      <c r="S32" s="1929">
        <v>12</v>
      </c>
      <c r="T32" s="66">
        <f t="shared" si="6"/>
        <v>58140</v>
      </c>
      <c r="U32" s="2386">
        <f>_xlfn.XLOOKUP($R32,'Price Record'!$C$6:$C$100,'Price Record'!H$6:H$100,"")</f>
        <v>32300</v>
      </c>
      <c r="V32" s="338" t="str">
        <f>_xlfn.XLOOKUP(R32,'دیده بان بازار'!$A$3:$A$3542,'دیده بان بازار'!$M$3:$M$3542,"")</f>
        <v/>
      </c>
      <c r="W32" s="2386">
        <f>_xlfn.XLOOKUP($R32,'Price Record'!$C$6:$C$100,'Price Record'!G$6:G$100,"")</f>
        <v>32300</v>
      </c>
      <c r="X32" s="337" t="str">
        <f>_xlfn.XLOOKUP(R32,'دیده بان بازار'!$A$3:$A$3542,'دیده بان بازار'!$J$3:$J$3542,"")</f>
        <v/>
      </c>
      <c r="Y32" s="1708">
        <f t="shared" si="7"/>
        <v>74575</v>
      </c>
      <c r="Z32" s="661" t="str">
        <f t="shared" si="8"/>
        <v/>
      </c>
      <c r="AA32" s="822">
        <f t="shared" si="9"/>
        <v>0</v>
      </c>
      <c r="AB32" s="511">
        <f t="shared" ca="1" si="10"/>
        <v>2.2191780821917809E-2</v>
      </c>
      <c r="AC32" s="2194">
        <f t="shared" ca="1" si="11"/>
        <v>24.657534246575342</v>
      </c>
      <c r="AD32" s="1150">
        <f t="shared" si="12"/>
        <v>0</v>
      </c>
      <c r="AE32" s="1150">
        <f t="shared" si="13"/>
        <v>1.1461794019933556</v>
      </c>
      <c r="AF32" s="1150">
        <f t="shared" si="14"/>
        <v>1.6410466067048242</v>
      </c>
      <c r="AG32" s="1150">
        <f t="shared" si="15"/>
        <v>0.89017848434604507</v>
      </c>
      <c r="AH32" s="1150">
        <f t="shared" si="16"/>
        <v>2.8338278931750742</v>
      </c>
      <c r="AI32" s="275">
        <f t="shared" ca="1" si="17"/>
        <v>356</v>
      </c>
      <c r="AJ32" s="1121">
        <v>46230</v>
      </c>
      <c r="AK32" s="1116">
        <v>46270</v>
      </c>
      <c r="AL32" s="1345">
        <f t="shared" si="18"/>
        <v>18000000000</v>
      </c>
      <c r="AM32" s="29"/>
      <c r="AN32" s="29"/>
      <c r="AO32" s="685">
        <v>0.33</v>
      </c>
      <c r="AP32" s="174"/>
      <c r="AQ32" s="1925">
        <v>44617</v>
      </c>
      <c r="AR32" s="1925">
        <v>12583</v>
      </c>
      <c r="AS32" s="766">
        <f>_xlfn.XLOOKUP(R32,'Sales Rec'!$E$4:$E$86,'Sales Rec'!$X$4:$X$86,"")</f>
        <v>79305.128940068913</v>
      </c>
      <c r="AT32" s="984">
        <f>_xlfn.XLOOKUP(R32,'Sales Rec'!$E$4:$E$86,'Sales Rec'!$K$4:$K$86,"")</f>
        <v>4</v>
      </c>
      <c r="AU32" s="376">
        <f t="shared" si="19"/>
        <v>0.67294777416389417</v>
      </c>
      <c r="AV32" s="99">
        <f t="shared" si="20"/>
        <v>1.8957495643108146</v>
      </c>
      <c r="AW32" s="16">
        <v>17253</v>
      </c>
      <c r="AX32" s="16">
        <v>3566</v>
      </c>
      <c r="AY32" s="1421">
        <f t="shared" si="21"/>
        <v>0.20699999999999999</v>
      </c>
      <c r="AZ32" s="1419">
        <v>0.157</v>
      </c>
      <c r="BA32" s="1689">
        <v>0.28199999999999997</v>
      </c>
      <c r="BB32" s="1690">
        <v>0.157</v>
      </c>
      <c r="BC32" s="100">
        <f t="shared" si="64"/>
        <v>5.1999999999999993</v>
      </c>
      <c r="BD32" s="1420">
        <f t="shared" si="23"/>
        <v>0.151</v>
      </c>
      <c r="BE32" s="1419">
        <v>9.9000000000000005E-2</v>
      </c>
      <c r="BF32" s="1687">
        <v>0.193</v>
      </c>
      <c r="BG32" s="1688">
        <v>0.10100000000000001</v>
      </c>
      <c r="BH32" s="306">
        <f t="shared" si="24"/>
        <v>5.5999999999999994E-2</v>
      </c>
      <c r="BI32" s="1861">
        <f t="shared" si="25"/>
        <v>3864.6719999999996</v>
      </c>
      <c r="BJ32" s="306">
        <f t="shared" si="26"/>
        <v>5.7999999999999996E-2</v>
      </c>
      <c r="BK32" s="99">
        <v>0</v>
      </c>
      <c r="BL32" s="306">
        <f>_xlfn.XLOOKUP(R32,'Sales Rec'!$E$4:$E$91,'Sales Rec'!$Y$4:$Y$91,"")</f>
        <v>0.77746439563549574</v>
      </c>
      <c r="BM32" s="99">
        <f t="shared" si="27"/>
        <v>10</v>
      </c>
      <c r="BN32" s="15"/>
      <c r="BO32" s="1803">
        <v>3</v>
      </c>
      <c r="BP32" s="842">
        <f t="shared" si="28"/>
        <v>1</v>
      </c>
      <c r="BQ32" s="16">
        <v>1467</v>
      </c>
      <c r="BR32" s="16"/>
      <c r="BS32" s="16"/>
      <c r="BT32" s="1253">
        <f>(_xlfn.XLOOKUP(R32,'Sales Rec'!$E$37:$E$91,'Sales Rec'!$X$37:$X$91)*BD32+CM32)*1000/CK32</f>
        <v>6660.0413721946688</v>
      </c>
      <c r="BU32" s="1246">
        <f t="shared" si="29"/>
        <v>5866.6666666666661</v>
      </c>
      <c r="BV32" s="406"/>
      <c r="BW32" s="407">
        <f t="shared" si="30"/>
        <v>5.1569813712902715</v>
      </c>
      <c r="BX32" s="99">
        <f t="shared" si="31"/>
        <v>-0.78490685645135727</v>
      </c>
      <c r="BY32" s="18">
        <f t="shared" si="32"/>
        <v>11274.037234975203</v>
      </c>
      <c r="BZ32" s="18">
        <f t="shared" si="33"/>
        <v>7030.2297460701329</v>
      </c>
      <c r="CA32" s="18">
        <f t="shared" si="34"/>
        <v>16416.161690594265</v>
      </c>
      <c r="CB32" s="1710">
        <f t="shared" si="35"/>
        <v>4.5427793296363657</v>
      </c>
      <c r="CC32" s="266">
        <f>_xlfn.XLOOKUP($R32,'Price Record'!$C$6:$C$100,'Price Record'!I$6:I$100,"")</f>
        <v>4271</v>
      </c>
      <c r="CD32" s="267">
        <f>_xlfn.XLOOKUP($R32,'Price Record'!$C$6:$C$100,'Price Record'!J$6:J$100,"")</f>
        <v>8.27</v>
      </c>
      <c r="CE32" s="99">
        <f t="shared" si="36"/>
        <v>-9.8099999999999987</v>
      </c>
      <c r="CF32" s="17">
        <f t="shared" si="37"/>
        <v>1.7749630928945581</v>
      </c>
      <c r="CG32" s="99">
        <f t="shared" si="38"/>
        <v>0.90014762842176754</v>
      </c>
      <c r="CH32" s="494">
        <f t="shared" si="39"/>
        <v>0.3043582213426706</v>
      </c>
      <c r="CI32" s="99">
        <f t="shared" si="40"/>
        <v>-1.4346266798599414</v>
      </c>
      <c r="CJ32" s="20"/>
      <c r="CK32" s="691">
        <v>1800</v>
      </c>
      <c r="CL32" s="419">
        <v>3338</v>
      </c>
      <c r="CM32" s="468">
        <v>13</v>
      </c>
      <c r="CN32" s="843">
        <v>42</v>
      </c>
      <c r="CO32" s="21">
        <v>2640</v>
      </c>
      <c r="CP32" s="21">
        <v>577</v>
      </c>
      <c r="CQ32" s="469">
        <f t="shared" si="41"/>
        <v>2640</v>
      </c>
      <c r="CR32" s="1239">
        <f>(AS32*BD32)*(_xlfn.XLOOKUP($R32,'Sales Rec'!$E$37:$E$91,'Sales Rec'!$L$37:$L$91,"")/12)+CP32</f>
        <v>4568.6914899834683</v>
      </c>
      <c r="CS32" s="21">
        <v>5978</v>
      </c>
      <c r="CT32" s="16">
        <v>-64</v>
      </c>
      <c r="CU32" s="2240" t="str">
        <f t="shared" si="42"/>
        <v/>
      </c>
      <c r="CV32" s="693">
        <f t="shared" si="43"/>
        <v>12233</v>
      </c>
      <c r="CW32" s="49">
        <v>19370</v>
      </c>
      <c r="CX32" s="21">
        <v>5787</v>
      </c>
      <c r="CY32" s="49">
        <v>641</v>
      </c>
      <c r="CZ32" s="378">
        <f t="shared" si="44"/>
        <v>20011</v>
      </c>
      <c r="DA32" s="1058">
        <f t="shared" si="45"/>
        <v>1.2807950438822922</v>
      </c>
      <c r="DB32" s="99">
        <f t="shared" si="46"/>
        <v>0.64636035105833756</v>
      </c>
      <c r="DC32" s="53">
        <f t="shared" si="47"/>
        <v>32244</v>
      </c>
      <c r="DD32" s="645">
        <f t="shared" si="48"/>
        <v>0.62061158665178018</v>
      </c>
      <c r="DE32" s="13">
        <v>7435</v>
      </c>
      <c r="DF32" s="24">
        <v>6607</v>
      </c>
      <c r="DG32" s="24">
        <v>474</v>
      </c>
      <c r="DH32" s="51">
        <v>24809</v>
      </c>
      <c r="DI32" s="8">
        <f t="shared" si="62"/>
        <v>5439</v>
      </c>
      <c r="DJ32" s="644">
        <f t="shared" si="49"/>
        <v>14.580829001667386</v>
      </c>
      <c r="DK32" s="22">
        <v>11369</v>
      </c>
      <c r="DL32" s="22">
        <v>2736</v>
      </c>
      <c r="DM32" s="22">
        <v>7186</v>
      </c>
      <c r="DN32" s="138">
        <f t="shared" si="50"/>
        <v>0.62061158665178018</v>
      </c>
      <c r="DO32" s="99">
        <f t="shared" si="51"/>
        <v>0.99270915108352287</v>
      </c>
      <c r="DP32" s="22">
        <v>840</v>
      </c>
      <c r="DQ32" s="8">
        <f t="shared" si="52"/>
        <v>2678</v>
      </c>
      <c r="DR32" s="138">
        <f t="shared" si="53"/>
        <v>-0.30134937101858666</v>
      </c>
      <c r="DS32" s="99">
        <f t="shared" si="54"/>
        <v>-1</v>
      </c>
      <c r="DT32" s="8">
        <f t="shared" si="55"/>
        <v>15546.44</v>
      </c>
      <c r="DU32" s="8">
        <f t="shared" si="56"/>
        <v>21120</v>
      </c>
      <c r="DV32" s="235">
        <f t="shared" si="57"/>
        <v>1854.4444444444443</v>
      </c>
      <c r="DW32" s="8">
        <f t="shared" si="58"/>
        <v>19260.442222222224</v>
      </c>
      <c r="DX32" s="411">
        <f t="shared" si="59"/>
        <v>40</v>
      </c>
      <c r="DY32" s="1117">
        <v>3000</v>
      </c>
      <c r="DZ32" s="857">
        <f t="shared" si="60"/>
        <v>8.4985835694050993E-2</v>
      </c>
      <c r="EA32" s="386"/>
      <c r="EB32" s="504"/>
      <c r="EC32" s="510">
        <v>12690</v>
      </c>
      <c r="ED32" s="435">
        <v>15165</v>
      </c>
      <c r="EE32" s="510">
        <v>25740</v>
      </c>
      <c r="EF32" s="435">
        <v>30759</v>
      </c>
      <c r="EG32" s="510">
        <v>12230</v>
      </c>
      <c r="EH32" s="435">
        <v>22014</v>
      </c>
      <c r="EI32" s="510">
        <v>15050</v>
      </c>
      <c r="EJ32" s="435">
        <v>27090</v>
      </c>
      <c r="EK32" s="510">
        <v>32300</v>
      </c>
      <c r="EL32" s="1606">
        <v>58140</v>
      </c>
      <c r="EM32" s="1224">
        <v>32300</v>
      </c>
      <c r="EN32" s="834">
        <v>58140</v>
      </c>
      <c r="EO32" s="835">
        <f t="shared" si="63"/>
        <v>2.8338278931750742</v>
      </c>
      <c r="EP32" s="1648">
        <f t="shared" si="61"/>
        <v>12</v>
      </c>
      <c r="EQ32"/>
    </row>
    <row r="33" spans="1:147" ht="35" customHeight="1">
      <c r="A33" s="99">
        <f>_xlfn.XLOOKUP(R33,'MOPFRA Ranking'!$E$6:$E$55,'MOPFRA Ranking'!$AE$6:$AE$55)</f>
        <v>3.7897457124291933</v>
      </c>
      <c r="B33" s="99">
        <f t="shared" si="1"/>
        <v>-0.51025428757080471</v>
      </c>
      <c r="C33" s="1585">
        <f t="shared" ca="1" si="2"/>
        <v>0.21230822490016568</v>
      </c>
      <c r="D33" s="2378">
        <f t="shared" si="3"/>
        <v>-0.73999564825824748</v>
      </c>
      <c r="E33" s="1414">
        <f t="shared" si="4"/>
        <v>3.2999999999999972</v>
      </c>
      <c r="F33" s="1415">
        <f t="shared" si="5"/>
        <v>4.299999999999998</v>
      </c>
      <c r="G33" s="2124" cm="1">
        <f t="array" ref="G33">IFERROR(_xlfn.XLOOKUP(R33,'Sales Rec'!$E$37:$E$91,'Sales Rec'!$CU$37:$CU$91*100,""),"")</f>
        <v>-10.649619536801779</v>
      </c>
      <c r="H33" s="2313">
        <f>_xlfn.XLOOKUP(R33,'Sales Rec'!$E$37:$E$86,'Sales Rec'!$DQ$37:$DQ$86,"")</f>
        <v>0.61666779378282721</v>
      </c>
      <c r="I33" s="2312">
        <f>_xlfn.XLOOKUP(R33,'Sales History'!$C$4:$C$83,'Sales History'!$AS$4:$AS$83,"")</f>
        <v>-0.70354051435892628</v>
      </c>
      <c r="J33" s="2313">
        <f>_xlfn.XLOOKUP(R33,'Sales History'!$C$4:$C$83,'Sales History'!$AW$4:$AW$83,"")</f>
        <v>-0.63971692043748662</v>
      </c>
      <c r="K33" s="1942">
        <f>_xlfn.XLOOKUP(R33,'Sales Rec'!$E$4:$E$91,'Sales Rec'!$CV$4:$CV$91,"")</f>
        <v>33</v>
      </c>
      <c r="L33" s="1587">
        <f>_xlfn.XLOOKUP(R33,'MOPFRA Ranking'!$E$6:$E$55,'MOPFRA Ranking'!$AG$6:$AG$55,"")</f>
        <v>32</v>
      </c>
      <c r="M33" s="1582" t="str">
        <f>_xlfn.XLOOKUP(R33,'Sales Rec'!$E$4:$E$105,'Sales Rec'!$DS$4:$DS$105,"")</f>
        <v>N</v>
      </c>
      <c r="N33" s="1582" t="str">
        <f>_xlfn.XLOOKUP(R33,'Sales Rec'!$E$4:$E$105,'Sales Rec'!$DZ$4:$DZ$105,"")</f>
        <v>N</v>
      </c>
      <c r="O33" s="2365" t="str">
        <f>_xlfn.XLOOKUP($R33,'History Records'!$B$7:$B$88,'History Records'!$G$7:$G$88,"")</f>
        <v/>
      </c>
      <c r="P33" s="856" t="s">
        <v>462</v>
      </c>
      <c r="Q33" s="2364" t="s">
        <v>142</v>
      </c>
      <c r="R33" s="1571" t="s">
        <v>143</v>
      </c>
      <c r="S33" s="1929">
        <v>6</v>
      </c>
      <c r="T33" s="66">
        <f t="shared" si="6"/>
        <v>255295.0704</v>
      </c>
      <c r="U33" s="2386">
        <f>_xlfn.XLOOKUP($R33,'Price Record'!$C$6:$C$100,'Price Record'!H$6:H$100,"")</f>
        <v>10930</v>
      </c>
      <c r="V33" s="338">
        <f>_xlfn.XLOOKUP(R33,'دیده بان بازار'!$A$3:$A$3542,'دیده بان بازار'!$M$3:$M$3542,"")</f>
        <v>2.92</v>
      </c>
      <c r="W33" s="2386">
        <f>_xlfn.XLOOKUP($R33,'Price Record'!$C$6:$C$100,'Price Record'!G$6:G$100,"")</f>
        <v>10930</v>
      </c>
      <c r="X33" s="337">
        <f>_xlfn.XLOOKUP(R33,'دیده بان بازار'!$A$3:$A$3542,'دیده بان بازار'!$J$3:$J$3542,"")</f>
        <v>2.92</v>
      </c>
      <c r="Y33" s="1708">
        <f t="shared" si="7"/>
        <v>296132.07039999997</v>
      </c>
      <c r="Z33" s="661" t="str">
        <f t="shared" si="8"/>
        <v/>
      </c>
      <c r="AA33" s="822">
        <f t="shared" si="9"/>
        <v>0.22064313500487692</v>
      </c>
      <c r="AB33" s="511">
        <f t="shared" ca="1" si="10"/>
        <v>0.57945205479452055</v>
      </c>
      <c r="AC33" s="2194">
        <f t="shared" ca="1" si="11"/>
        <v>15.268464671899729</v>
      </c>
      <c r="AD33" s="1150">
        <f t="shared" si="12"/>
        <v>0.22064313500487692</v>
      </c>
      <c r="AE33" s="1150">
        <f t="shared" si="13"/>
        <v>1.1908850419648833</v>
      </c>
      <c r="AF33" s="1150">
        <f t="shared" si="14"/>
        <v>1.8809789694630645</v>
      </c>
      <c r="AG33" s="1150">
        <f t="shared" si="15"/>
        <v>-0.9375250071448985</v>
      </c>
      <c r="AH33" s="1150">
        <f t="shared" si="16"/>
        <v>1.2992098994920567</v>
      </c>
      <c r="AI33" s="275">
        <f t="shared" ca="1" si="17"/>
        <v>130</v>
      </c>
      <c r="AJ33" s="1121">
        <v>46004</v>
      </c>
      <c r="AK33" s="1830">
        <v>46117</v>
      </c>
      <c r="AL33" s="1345">
        <f t="shared" si="18"/>
        <v>233572800000</v>
      </c>
      <c r="AM33" s="29"/>
      <c r="AN33" s="29"/>
      <c r="AO33" s="685">
        <v>0.16769999999999999</v>
      </c>
      <c r="AP33" s="174"/>
      <c r="AQ33" s="1925">
        <v>60047</v>
      </c>
      <c r="AR33" s="1925">
        <v>30004</v>
      </c>
      <c r="AS33" s="766">
        <f>_xlfn.XLOOKUP(R33,'Sales Rec'!$E$4:$E$86,'Sales Rec'!$X$4:$X$86,"")</f>
        <v>91903.875506638709</v>
      </c>
      <c r="AT33" s="984">
        <f>_xlfn.XLOOKUP(R33,'Sales Rec'!$E$4:$E$86,'Sales Rec'!$K$4:$K$86,"")</f>
        <v>4</v>
      </c>
      <c r="AU33" s="376">
        <f t="shared" si="19"/>
        <v>2.7800019203928388</v>
      </c>
      <c r="AV33" s="99">
        <f t="shared" si="20"/>
        <v>-5.4364756379538504</v>
      </c>
      <c r="AW33" s="16">
        <v>66073</v>
      </c>
      <c r="AX33" s="16">
        <v>31333</v>
      </c>
      <c r="AY33" s="1421">
        <f t="shared" si="21"/>
        <v>0.47399999999999998</v>
      </c>
      <c r="AZ33" s="1419">
        <v>0.441</v>
      </c>
      <c r="BA33" s="1689">
        <v>0.5</v>
      </c>
      <c r="BB33" s="1690">
        <v>0.52100000000000002</v>
      </c>
      <c r="BC33" s="100">
        <f t="shared" si="64"/>
        <v>4.299999999999998</v>
      </c>
      <c r="BD33" s="1420">
        <f t="shared" si="23"/>
        <v>0.36499999999999999</v>
      </c>
      <c r="BE33" s="1419">
        <v>0.32200000000000001</v>
      </c>
      <c r="BF33" s="1687">
        <v>0.42599999999999999</v>
      </c>
      <c r="BG33" s="1688">
        <v>0.45600000000000002</v>
      </c>
      <c r="BH33" s="306">
        <f t="shared" si="24"/>
        <v>0.10899999999999999</v>
      </c>
      <c r="BI33" s="1861">
        <f t="shared" si="25"/>
        <v>9602.609333333332</v>
      </c>
      <c r="BJ33" s="306">
        <f t="shared" si="26"/>
        <v>0.11899999999999999</v>
      </c>
      <c r="BK33" s="99">
        <v>0</v>
      </c>
      <c r="BL33" s="306">
        <f>_xlfn.XLOOKUP(R33,'Sales Rec'!$E$4:$E$91,'Sales Rec'!$Y$4:$Y$91,"")</f>
        <v>0.53053234144318129</v>
      </c>
      <c r="BM33" s="99">
        <f t="shared" si="27"/>
        <v>9.2966761931491302</v>
      </c>
      <c r="BN33" s="15"/>
      <c r="BO33" s="1803">
        <v>3</v>
      </c>
      <c r="BP33" s="842">
        <f t="shared" si="28"/>
        <v>3</v>
      </c>
      <c r="BQ33" s="16">
        <v>23350</v>
      </c>
      <c r="BR33" s="16">
        <v>41856</v>
      </c>
      <c r="BS33" s="16">
        <v>1291</v>
      </c>
      <c r="BT33" s="1253">
        <f>(_xlfn.XLOOKUP(R33,'Sales Rec'!$E$37:$E$91,'Sales Rec'!$X$37:$X$91)*BD33+CM33)*1000/CK33</f>
        <v>1610.8859661708525</v>
      </c>
      <c r="BU33" s="1246">
        <f t="shared" si="29"/>
        <v>1721.4333175780741</v>
      </c>
      <c r="BV33" s="406"/>
      <c r="BW33" s="407">
        <f t="shared" si="30"/>
        <v>6.5599956482582478</v>
      </c>
      <c r="BX33" s="99">
        <f t="shared" si="31"/>
        <v>-7.7999782412912388</v>
      </c>
      <c r="BY33" s="18">
        <f t="shared" si="32"/>
        <v>38916.957279961563</v>
      </c>
      <c r="BZ33" s="18">
        <f t="shared" si="33"/>
        <v>43865.132371134016</v>
      </c>
      <c r="CA33" s="18">
        <f t="shared" si="34"/>
        <v>43562.436990146743</v>
      </c>
      <c r="CB33" s="1710">
        <f t="shared" si="35"/>
        <v>6.7978765849803393</v>
      </c>
      <c r="CC33" s="266">
        <f>_xlfn.XLOOKUP($R33,'Price Record'!$C$6:$C$100,'Price Record'!I$6:I$100,"")</f>
        <v>1879</v>
      </c>
      <c r="CD33" s="267">
        <f>_xlfn.XLOOKUP($R33,'Price Record'!$C$6:$C$100,'Price Record'!J$6:J$100,"")</f>
        <v>5.82</v>
      </c>
      <c r="CE33" s="99">
        <f t="shared" si="36"/>
        <v>-2.4600000000000009</v>
      </c>
      <c r="CF33" s="17">
        <f t="shared" si="37"/>
        <v>1.1457216369522925</v>
      </c>
      <c r="CG33" s="99">
        <f t="shared" si="38"/>
        <v>3.4171134521908302</v>
      </c>
      <c r="CH33" s="494">
        <f t="shared" si="39"/>
        <v>0.32808367361014307</v>
      </c>
      <c r="CI33" s="99">
        <f t="shared" si="40"/>
        <v>-1.0787448958478543</v>
      </c>
      <c r="CJ33" s="20"/>
      <c r="CK33" s="691">
        <v>23357.279999999999</v>
      </c>
      <c r="CL33" s="419">
        <v>974</v>
      </c>
      <c r="CM33" s="468">
        <v>4081</v>
      </c>
      <c r="CN33" s="843">
        <v>6032</v>
      </c>
      <c r="CO33" s="21">
        <v>30156</v>
      </c>
      <c r="CP33" s="21">
        <v>-34</v>
      </c>
      <c r="CQ33" s="469">
        <f t="shared" si="41"/>
        <v>30156</v>
      </c>
      <c r="CR33" s="1239">
        <f>(AS33*BD33)*(_xlfn.XLOOKUP($R33,'Sales Rec'!$E$37:$E$91,'Sales Rec'!$L$37:$L$91,"")/12)+CP33</f>
        <v>27920.095466602608</v>
      </c>
      <c r="CS33" s="21">
        <v>31130</v>
      </c>
      <c r="CT33" s="16">
        <v>-492</v>
      </c>
      <c r="CU33" s="2240" t="str">
        <f t="shared" si="42"/>
        <v/>
      </c>
      <c r="CV33" s="693">
        <f t="shared" si="43"/>
        <v>55550</v>
      </c>
      <c r="CW33" s="49">
        <v>41955</v>
      </c>
      <c r="CX33" s="21">
        <v>9630</v>
      </c>
      <c r="CY33" s="49">
        <v>2633</v>
      </c>
      <c r="CZ33" s="378">
        <f t="shared" si="44"/>
        <v>44588</v>
      </c>
      <c r="DA33" s="1058">
        <f t="shared" si="45"/>
        <v>1.5032534858777262</v>
      </c>
      <c r="DB33" s="99">
        <f t="shared" si="46"/>
        <v>2.4260278870218102</v>
      </c>
      <c r="DC33" s="53">
        <f t="shared" si="47"/>
        <v>100138</v>
      </c>
      <c r="DD33" s="645">
        <f t="shared" si="48"/>
        <v>0.44526553356368209</v>
      </c>
      <c r="DE33" s="13">
        <v>37069</v>
      </c>
      <c r="DF33" s="24">
        <v>2097</v>
      </c>
      <c r="DG33" s="24">
        <v>33784</v>
      </c>
      <c r="DH33" s="51">
        <v>63069</v>
      </c>
      <c r="DI33" s="8">
        <f t="shared" si="62"/>
        <v>21114</v>
      </c>
      <c r="DJ33" s="644">
        <f t="shared" si="49"/>
        <v>4.3527458324637074</v>
      </c>
      <c r="DK33" s="22">
        <v>7034</v>
      </c>
      <c r="DL33" s="22">
        <v>2502</v>
      </c>
      <c r="DM33" s="22">
        <v>50798</v>
      </c>
      <c r="DN33" s="138">
        <f t="shared" si="50"/>
        <v>0.44526553356368209</v>
      </c>
      <c r="DO33" s="99">
        <f t="shared" si="51"/>
        <v>1.1251269551603689</v>
      </c>
      <c r="DP33" s="22">
        <v>1249</v>
      </c>
      <c r="DQ33" s="8">
        <f t="shared" si="52"/>
        <v>1486</v>
      </c>
      <c r="DR33" s="138">
        <f t="shared" si="53"/>
        <v>-0.19239052218074193</v>
      </c>
      <c r="DS33" s="99">
        <f t="shared" si="54"/>
        <v>0</v>
      </c>
      <c r="DT33" s="8">
        <f t="shared" si="55"/>
        <v>7290.52</v>
      </c>
      <c r="DU33" s="8">
        <f t="shared" si="56"/>
        <v>6610.303939499805</v>
      </c>
      <c r="DV33" s="235">
        <f t="shared" si="57"/>
        <v>41.700060966002894</v>
      </c>
      <c r="DW33" s="8">
        <f t="shared" si="58"/>
        <v>6971.262000232904</v>
      </c>
      <c r="DX33" s="411">
        <f t="shared" si="59"/>
        <v>113</v>
      </c>
      <c r="DY33" s="1117">
        <v>11000</v>
      </c>
      <c r="DZ33" s="857">
        <f t="shared" si="60"/>
        <v>3.0591245341787639E-2</v>
      </c>
      <c r="EA33" s="386">
        <v>37.928800000000003</v>
      </c>
      <c r="EB33" s="504"/>
      <c r="EC33" s="510">
        <v>185060</v>
      </c>
      <c r="ED33" s="435">
        <v>111036</v>
      </c>
      <c r="EE33" s="510">
        <v>174950</v>
      </c>
      <c r="EF33" s="435">
        <f>(EE33*$AL33)/10000000000</f>
        <v>4086356.1359999999</v>
      </c>
      <c r="EG33" s="510">
        <v>147690</v>
      </c>
      <c r="EH33" s="435">
        <v>88614</v>
      </c>
      <c r="EI33" s="510">
        <v>194210</v>
      </c>
      <c r="EJ33" s="435">
        <v>116526</v>
      </c>
      <c r="EK33" s="510">
        <v>348580</v>
      </c>
      <c r="EL33" s="1606">
        <v>209148</v>
      </c>
      <c r="EM33" s="1224">
        <v>348580</v>
      </c>
      <c r="EN33" s="834">
        <v>209148</v>
      </c>
      <c r="EO33" s="835">
        <f t="shared" si="63"/>
        <v>0.88360531719442348</v>
      </c>
      <c r="EP33" s="1648">
        <f t="shared" si="61"/>
        <v>20</v>
      </c>
      <c r="EQ33"/>
    </row>
    <row r="34" spans="1:147" ht="35" customHeight="1">
      <c r="A34" s="99">
        <f>_xlfn.XLOOKUP(R34,'MOPFRA Ranking'!$E$6:$E$55,'MOPFRA Ranking'!$AE$6:$AE$55)</f>
        <v>2.361815286894287</v>
      </c>
      <c r="B34" s="99">
        <f t="shared" si="1"/>
        <v>-1.9381847131057122</v>
      </c>
      <c r="C34" s="1585">
        <f t="shared" ca="1" si="2"/>
        <v>0.18254715810656075</v>
      </c>
      <c r="D34" s="2378">
        <f t="shared" si="3"/>
        <v>-0.18660680866113744</v>
      </c>
      <c r="E34" s="1414">
        <f t="shared" si="4"/>
        <v>6.1999999999999975</v>
      </c>
      <c r="F34" s="1415">
        <f t="shared" si="5"/>
        <v>4.299999999999998</v>
      </c>
      <c r="G34" s="2124" cm="1">
        <f t="array" ref="G34">IFERROR(_xlfn.XLOOKUP(R34,'Sales Rec'!$E$37:$E$91,'Sales Rec'!$CU$37:$CU$91*100,""),"")</f>
        <v>-15.14472482762404</v>
      </c>
      <c r="H34" s="2313">
        <f>_xlfn.XLOOKUP(R34,'Sales Rec'!$E$37:$E$86,'Sales Rec'!$DQ$37:$DQ$86,"")</f>
        <v>0.4131054131054131</v>
      </c>
      <c r="I34" s="2312">
        <f>_xlfn.XLOOKUP(R34,'Sales History'!$C$4:$C$83,'Sales History'!$AS$4:$AS$83,"")</f>
        <v>-0.23185988323603002</v>
      </c>
      <c r="J34" s="2313">
        <f>_xlfn.XLOOKUP(R34,'Sales History'!$C$4:$C$83,'Sales History'!$AW$4:$AW$83,"")</f>
        <v>0.27752048450302813</v>
      </c>
      <c r="K34" s="1942">
        <f>_xlfn.XLOOKUP(R34,'Sales Rec'!$E$4:$E$91,'Sales Rec'!$CV$4:$CV$91,"")</f>
        <v>39</v>
      </c>
      <c r="L34" s="1587">
        <f>_xlfn.XLOOKUP(R34,'MOPFRA Ranking'!$E$6:$E$55,'MOPFRA Ranking'!$AG$6:$AG$55,"")</f>
        <v>37</v>
      </c>
      <c r="M34" s="1582" t="str">
        <f>_xlfn.XLOOKUP(R34,'Sales Rec'!$E$4:$E$105,'Sales Rec'!$DS$4:$DS$105,"")</f>
        <v>N</v>
      </c>
      <c r="N34" s="1582" t="str">
        <f>_xlfn.XLOOKUP(R34,'Sales Rec'!$E$4:$E$105,'Sales Rec'!$DZ$4:$DZ$105,"")</f>
        <v>B</v>
      </c>
      <c r="O34" s="2365" t="str">
        <f>_xlfn.XLOOKUP($R34,'History Records'!$B$7:$B$88,'History Records'!$G$7:$G$88,"")</f>
        <v/>
      </c>
      <c r="P34" s="856" t="s">
        <v>209</v>
      </c>
      <c r="Q34" s="2364" t="s">
        <v>104</v>
      </c>
      <c r="R34" s="1571" t="s">
        <v>105</v>
      </c>
      <c r="S34" s="1929">
        <v>12</v>
      </c>
      <c r="T34" s="66">
        <f t="shared" si="6"/>
        <v>14452.3</v>
      </c>
      <c r="U34" s="2386">
        <f>_xlfn.XLOOKUP($R34,'Price Record'!$C$6:$C$100,'Price Record'!H$6:H$100,"")</f>
        <v>3361</v>
      </c>
      <c r="V34" s="338">
        <f>_xlfn.XLOOKUP(R34,'دیده بان بازار'!$A$3:$A$3542,'دیده بان بازار'!$M$3:$M$3542,"")</f>
        <v>2.97</v>
      </c>
      <c r="W34" s="2386">
        <f>_xlfn.XLOOKUP($R34,'Price Record'!$C$6:$C$100,'Price Record'!G$6:G$100,"")</f>
        <v>3361</v>
      </c>
      <c r="X34" s="337">
        <f>_xlfn.XLOOKUP(R34,'دیده بان بازار'!$A$3:$A$3542,'دیده بان بازار'!$J$3:$J$3542,"")</f>
        <v>2.97</v>
      </c>
      <c r="Y34" s="1708">
        <f t="shared" si="7"/>
        <v>18687.3</v>
      </c>
      <c r="Z34" s="661" t="str">
        <f t="shared" si="8"/>
        <v/>
      </c>
      <c r="AA34" s="822">
        <f t="shared" si="9"/>
        <v>0.26541458716399607</v>
      </c>
      <c r="AB34" s="511">
        <f t="shared" ca="1" si="10"/>
        <v>3.4520547945205482E-2</v>
      </c>
      <c r="AC34" s="2194">
        <f t="shared" ca="1" si="11"/>
        <v>-164.92431372770758</v>
      </c>
      <c r="AD34" s="1150">
        <f t="shared" si="12"/>
        <v>0.26541458716399607</v>
      </c>
      <c r="AE34" s="1150">
        <f t="shared" si="13"/>
        <v>1.9220177921552768</v>
      </c>
      <c r="AF34" s="1150">
        <f t="shared" si="14"/>
        <v>2.0980278670953911</v>
      </c>
      <c r="AG34" s="1150">
        <f t="shared" si="15"/>
        <v>1.2118610345883072</v>
      </c>
      <c r="AH34" s="1150">
        <f t="shared" si="16"/>
        <v>1.3183028553095923</v>
      </c>
      <c r="AI34" s="275">
        <f t="shared" ca="1" si="17"/>
        <v>351</v>
      </c>
      <c r="AJ34" s="1121">
        <v>46225</v>
      </c>
      <c r="AK34" s="1116">
        <v>46338</v>
      </c>
      <c r="AL34" s="1345">
        <f t="shared" si="18"/>
        <v>43000000000</v>
      </c>
      <c r="AM34" s="29"/>
      <c r="AN34" s="29"/>
      <c r="AO34" s="685">
        <v>0.25</v>
      </c>
      <c r="AP34" s="174"/>
      <c r="AQ34" s="1925">
        <v>11147</v>
      </c>
      <c r="AR34" s="1925">
        <v>3128</v>
      </c>
      <c r="AS34" s="766">
        <f>_xlfn.XLOOKUP(R34,'Sales Rec'!$E$4:$E$86,'Sales Rec'!$X$4:$X$86,"")</f>
        <v>13928.693019943021</v>
      </c>
      <c r="AT34" s="984">
        <f>_xlfn.XLOOKUP(R34,'Sales Rec'!$E$4:$E$86,'Sales Rec'!$K$4:$K$86,"")</f>
        <v>4</v>
      </c>
      <c r="AU34" s="376">
        <f t="shared" si="19"/>
        <v>1.03759196783986</v>
      </c>
      <c r="AV34" s="99">
        <f t="shared" si="20"/>
        <v>-1.7634668220275185</v>
      </c>
      <c r="AW34" s="16">
        <v>2763</v>
      </c>
      <c r="AX34" s="16">
        <v>811</v>
      </c>
      <c r="AY34" s="1421">
        <f t="shared" si="21"/>
        <v>0.29399999999999998</v>
      </c>
      <c r="AZ34" s="1419">
        <v>0.23200000000000001</v>
      </c>
      <c r="BA34" s="1689">
        <v>0.28100000000000003</v>
      </c>
      <c r="BB34" s="1690">
        <v>0.24</v>
      </c>
      <c r="BC34" s="100">
        <f>MIN(MAX(IF(BD34=BE34,BD34-BG34,BD34-BE34)*$S$65, -10), 10)</f>
        <v>4.299999999999998</v>
      </c>
      <c r="BD34" s="1420">
        <f t="shared" si="23"/>
        <v>0.20399999999999999</v>
      </c>
      <c r="BE34" s="1419">
        <v>0.161</v>
      </c>
      <c r="BF34" s="1687">
        <v>0.21099999999999999</v>
      </c>
      <c r="BG34" s="1688">
        <v>0.20100000000000001</v>
      </c>
      <c r="BH34" s="306">
        <f t="shared" si="24"/>
        <v>0.09</v>
      </c>
      <c r="BI34" s="1861">
        <f t="shared" si="25"/>
        <v>994.68</v>
      </c>
      <c r="BJ34" s="306">
        <f t="shared" si="26"/>
        <v>7.1000000000000008E-2</v>
      </c>
      <c r="BK34" s="99">
        <v>0</v>
      </c>
      <c r="BL34" s="306">
        <f>_xlfn.XLOOKUP(R34,'Sales Rec'!$E$4:$E$91,'Sales Rec'!$Y$4:$Y$91,"")</f>
        <v>0.24954633712595503</v>
      </c>
      <c r="BM34" s="99">
        <f t="shared" si="27"/>
        <v>-0.47604750114123129</v>
      </c>
      <c r="BN34" s="15"/>
      <c r="BO34" s="1803">
        <v>3</v>
      </c>
      <c r="BP34" s="842">
        <f t="shared" si="28"/>
        <v>1</v>
      </c>
      <c r="BQ34" s="16">
        <v>132</v>
      </c>
      <c r="BR34" s="16"/>
      <c r="BS34" s="16"/>
      <c r="BT34" s="1253">
        <f>(_xlfn.XLOOKUP(R34,'Sales Rec'!$E$37:$E$91,'Sales Rec'!$X$37:$X$91)*BD34+CM34)*1000/CK34</f>
        <v>667.54729676008742</v>
      </c>
      <c r="BU34" s="1246">
        <f t="shared" si="29"/>
        <v>531.39534883720933</v>
      </c>
      <c r="BV34" s="406"/>
      <c r="BW34" s="407">
        <f t="shared" si="30"/>
        <v>5.6066068086611374</v>
      </c>
      <c r="BX34" s="99">
        <f t="shared" si="31"/>
        <v>-3.0330340433056868</v>
      </c>
      <c r="BY34" s="18">
        <f t="shared" si="32"/>
        <v>2577.7266880341876</v>
      </c>
      <c r="BZ34" s="18">
        <f t="shared" si="33"/>
        <v>2666.4760147601473</v>
      </c>
      <c r="CA34" s="18">
        <f t="shared" si="34"/>
        <v>4095.0357478632477</v>
      </c>
      <c r="CB34" s="1710">
        <f t="shared" si="35"/>
        <v>4.5634033865884716</v>
      </c>
      <c r="CC34" s="266">
        <f>_xlfn.XLOOKUP($R34,'Price Record'!$C$6:$C$100,'Price Record'!I$6:I$100,"")</f>
        <v>620</v>
      </c>
      <c r="CD34" s="267">
        <f>_xlfn.XLOOKUP($R34,'Price Record'!$C$6:$C$100,'Price Record'!J$6:J$100,"")</f>
        <v>5.42</v>
      </c>
      <c r="CE34" s="99">
        <f t="shared" si="36"/>
        <v>-1.2599999999999998</v>
      </c>
      <c r="CF34" s="17">
        <f t="shared" si="37"/>
        <v>1.7387413571832315</v>
      </c>
      <c r="CG34" s="99">
        <f t="shared" si="38"/>
        <v>1.0450345712670739</v>
      </c>
      <c r="CH34" s="494">
        <f t="shared" si="39"/>
        <v>0.16898693379010016</v>
      </c>
      <c r="CI34" s="99">
        <f t="shared" si="40"/>
        <v>-3.4651959931484981</v>
      </c>
      <c r="CJ34" s="20"/>
      <c r="CK34" s="691">
        <v>4300</v>
      </c>
      <c r="CL34" s="419">
        <v>1221</v>
      </c>
      <c r="CM34" s="468">
        <v>29</v>
      </c>
      <c r="CN34" s="843">
        <v>3</v>
      </c>
      <c r="CO34" s="21">
        <v>567</v>
      </c>
      <c r="CP34" s="21"/>
      <c r="CQ34" s="469">
        <f t="shared" si="41"/>
        <v>571.25</v>
      </c>
      <c r="CR34" s="1239">
        <f>(AS34*BD34)*(_xlfn.XLOOKUP($R34,'Sales Rec'!$E$37:$E$91,'Sales Rec'!$L$37:$L$91,"")/12)+CP34</f>
        <v>947.15112535612536</v>
      </c>
      <c r="CS34" s="21">
        <v>1788</v>
      </c>
      <c r="CT34" s="16">
        <v>-59</v>
      </c>
      <c r="CU34" s="2240" t="str">
        <f t="shared" si="42"/>
        <v/>
      </c>
      <c r="CV34" s="693">
        <f t="shared" si="43"/>
        <v>6357</v>
      </c>
      <c r="CW34" s="49">
        <v>4415</v>
      </c>
      <c r="CX34" s="21">
        <v>889</v>
      </c>
      <c r="CY34" s="49">
        <v>67</v>
      </c>
      <c r="CZ34" s="378">
        <f t="shared" si="44"/>
        <v>4482</v>
      </c>
      <c r="DA34" s="1058">
        <f t="shared" si="45"/>
        <v>2.0151755379388447</v>
      </c>
      <c r="DB34" s="99">
        <f t="shared" si="46"/>
        <v>6</v>
      </c>
      <c r="DC34" s="53">
        <f t="shared" si="47"/>
        <v>10839</v>
      </c>
      <c r="DD34" s="645">
        <f t="shared" si="48"/>
        <v>0.41350678106836425</v>
      </c>
      <c r="DE34" s="13">
        <v>1942</v>
      </c>
      <c r="DF34" s="24">
        <v>1475</v>
      </c>
      <c r="DG34" s="24">
        <v>442</v>
      </c>
      <c r="DH34" s="51">
        <v>8897</v>
      </c>
      <c r="DI34" s="8">
        <f t="shared" si="62"/>
        <v>4482</v>
      </c>
      <c r="DJ34" s="644">
        <f t="shared" si="49"/>
        <v>3.1076958991394514</v>
      </c>
      <c r="DK34" s="22">
        <v>959</v>
      </c>
      <c r="DL34" s="22">
        <v>70</v>
      </c>
      <c r="DM34" s="22">
        <v>5481</v>
      </c>
      <c r="DN34" s="138">
        <f t="shared" si="50"/>
        <v>0.41350678106836425</v>
      </c>
      <c r="DO34" s="99">
        <f t="shared" si="51"/>
        <v>1.0145250752501489</v>
      </c>
      <c r="DP34" s="22">
        <v>177</v>
      </c>
      <c r="DQ34" s="8">
        <f t="shared" si="52"/>
        <v>2210</v>
      </c>
      <c r="DR34" s="138">
        <f t="shared" si="53"/>
        <v>-0.1738690560568403</v>
      </c>
      <c r="DS34" s="99">
        <f t="shared" si="54"/>
        <v>0</v>
      </c>
      <c r="DT34" s="8">
        <f t="shared" si="55"/>
        <v>2256.8000000000002</v>
      </c>
      <c r="DU34" s="8">
        <f t="shared" si="56"/>
        <v>1913.0232558139535</v>
      </c>
      <c r="DV34" s="235">
        <f t="shared" si="57"/>
        <v>283.95348837209303</v>
      </c>
      <c r="DW34" s="8">
        <f t="shared" si="58"/>
        <v>2226.8883720930235</v>
      </c>
      <c r="DX34" s="411">
        <f t="shared" si="59"/>
        <v>113</v>
      </c>
      <c r="DY34" s="1117">
        <v>250</v>
      </c>
      <c r="DZ34" s="857">
        <f t="shared" si="60"/>
        <v>8.6028905712319345E-2</v>
      </c>
      <c r="EA34" s="386">
        <v>0.36499999999999999</v>
      </c>
      <c r="EB34" s="504"/>
      <c r="EC34" s="510">
        <v>7860</v>
      </c>
      <c r="ED34" s="435">
        <v>6234</v>
      </c>
      <c r="EE34" s="510">
        <v>3630</v>
      </c>
      <c r="EF34" s="435">
        <v>6534</v>
      </c>
      <c r="EG34" s="510">
        <v>1904</v>
      </c>
      <c r="EH34" s="435">
        <v>4665</v>
      </c>
      <c r="EI34" s="510">
        <v>1570</v>
      </c>
      <c r="EJ34" s="435">
        <v>4946</v>
      </c>
      <c r="EK34" s="510">
        <v>2656</v>
      </c>
      <c r="EL34" s="1606">
        <v>11421</v>
      </c>
      <c r="EM34" s="1224">
        <v>2656</v>
      </c>
      <c r="EN34" s="834">
        <v>11421</v>
      </c>
      <c r="EO34" s="835">
        <f t="shared" si="63"/>
        <v>0.83205004812319538</v>
      </c>
      <c r="EP34" s="1648">
        <f t="shared" si="61"/>
        <v>21</v>
      </c>
      <c r="EQ34"/>
    </row>
    <row r="35" spans="1:147" ht="35" customHeight="1">
      <c r="A35" s="99">
        <f>_xlfn.XLOOKUP(R35,'MOPFRA Ranking'!$E$6:$E$55,'MOPFRA Ranking'!$AE$6:$AE$55)</f>
        <v>3.3763719181679717</v>
      </c>
      <c r="B35" s="99">
        <f t="shared" si="1"/>
        <v>-0.3236280818320254</v>
      </c>
      <c r="C35" s="1585">
        <f t="shared" ca="1" si="2"/>
        <v>0.11861446139521008</v>
      </c>
      <c r="D35" s="2378">
        <f t="shared" si="3"/>
        <v>2.5163304780839475</v>
      </c>
      <c r="E35" s="1414">
        <f t="shared" si="4"/>
        <v>5.8999999999999995</v>
      </c>
      <c r="F35" s="1415">
        <f t="shared" si="5"/>
        <v>3.6999999999999975</v>
      </c>
      <c r="G35" s="2124" cm="1">
        <f t="array" ref="G35">IFERROR(_xlfn.XLOOKUP(R35,'Sales Rec'!$E$37:$E$91,'Sales Rec'!$CU$37:$CU$91*100,""),"")</f>
        <v>11.101224646000762</v>
      </c>
      <c r="H35" s="2313">
        <f>_xlfn.XLOOKUP(R35,'Sales Rec'!$E$37:$E$86,'Sales Rec'!$DQ$37:$DQ$86,"")</f>
        <v>1.4647435897435896</v>
      </c>
      <c r="I35" s="2312">
        <f>_xlfn.XLOOKUP(R35,'Sales History'!$C$4:$C$83,'Sales History'!$AS$4:$AS$83,"")</f>
        <v>1.6066115702479338</v>
      </c>
      <c r="J35" s="2313">
        <f>_xlfn.XLOOKUP(R35,'Sales History'!$C$4:$C$83,'Sales History'!$AW$4:$AW$83,"")</f>
        <v>3.023076923076923</v>
      </c>
      <c r="K35" s="1942">
        <f>_xlfn.XLOOKUP(R35,'Sales Rec'!$E$4:$E$91,'Sales Rec'!$CV$4:$CV$91,"")</f>
        <v>11</v>
      </c>
      <c r="L35" s="1587">
        <f>_xlfn.XLOOKUP(R35,'MOPFRA Ranking'!$E$6:$E$55,'MOPFRA Ranking'!$AG$6:$AG$55,"")</f>
        <v>30</v>
      </c>
      <c r="M35" s="1582" t="str">
        <f>_xlfn.XLOOKUP(R35,'Sales Rec'!$E$4:$E$105,'Sales Rec'!$DS$4:$DS$105,"")</f>
        <v>BB</v>
      </c>
      <c r="N35" s="1582" t="str">
        <f>_xlfn.XLOOKUP(R35,'Sales Rec'!$E$4:$E$105,'Sales Rec'!$DZ$4:$DZ$105,"")</f>
        <v>B</v>
      </c>
      <c r="O35" s="2365" t="str">
        <f>_xlfn.XLOOKUP($R35,'History Records'!$B$7:$B$88,'History Records'!$G$7:$G$88,"")</f>
        <v/>
      </c>
      <c r="P35" s="856" t="s">
        <v>168</v>
      </c>
      <c r="Q35" s="2364" t="s">
        <v>169</v>
      </c>
      <c r="R35" s="1571" t="s">
        <v>170</v>
      </c>
      <c r="S35" s="1929">
        <v>12</v>
      </c>
      <c r="T35" s="1641">
        <f t="shared" si="6"/>
        <v>12535.6</v>
      </c>
      <c r="U35" s="2386">
        <f>_xlfn.XLOOKUP($R35,'Price Record'!$C$6:$C$100,'Price Record'!H$6:H$100,"")</f>
        <v>44670</v>
      </c>
      <c r="V35" s="338">
        <f>_xlfn.XLOOKUP(R35,'دیده بان بازار'!$A$3:$A$3542,'دیده بان بازار'!$M$3:$M$3542,"")</f>
        <v>2.76</v>
      </c>
      <c r="W35" s="2386">
        <f>_xlfn.XLOOKUP($R35,'Price Record'!$C$6:$C$100,'Price Record'!G$6:G$100,"")</f>
        <v>44770</v>
      </c>
      <c r="X35" s="337">
        <f>_xlfn.XLOOKUP(R35,'دیده بان بازار'!$A$3:$A$3542,'دیده بان بازار'!$J$3:$J$3542,"")</f>
        <v>2.99</v>
      </c>
      <c r="Y35" s="1708">
        <f t="shared" si="7"/>
        <v>16397.599999999999</v>
      </c>
      <c r="Z35" s="661" t="str">
        <f t="shared" si="8"/>
        <v/>
      </c>
      <c r="AA35" s="822">
        <f t="shared" si="9"/>
        <v>0.29020172910662828</v>
      </c>
      <c r="AB35" s="511">
        <f t="shared" ca="1" si="10"/>
        <v>7.1506849315068496E-2</v>
      </c>
      <c r="AC35" s="2194">
        <f t="shared" ca="1" si="11"/>
        <v>-75.412027514330958</v>
      </c>
      <c r="AD35" s="1150">
        <f t="shared" si="12"/>
        <v>0.29020172910662828</v>
      </c>
      <c r="AE35" s="1150">
        <f t="shared" si="13"/>
        <v>1.6463162339033144</v>
      </c>
      <c r="AF35" s="1150">
        <f t="shared" si="14"/>
        <v>2.4447925254190714</v>
      </c>
      <c r="AG35" s="1150">
        <f t="shared" si="15"/>
        <v>2.3852551984877128</v>
      </c>
      <c r="AH35" s="1150">
        <f t="shared" si="16"/>
        <v>4.0323564833400241</v>
      </c>
      <c r="AI35" s="275">
        <f t="shared" ca="1" si="17"/>
        <v>336</v>
      </c>
      <c r="AJ35" s="1121">
        <v>46210</v>
      </c>
      <c r="AK35" s="1116">
        <v>46333</v>
      </c>
      <c r="AL35" s="1345">
        <f t="shared" si="18"/>
        <v>2800000000</v>
      </c>
      <c r="AM35" s="29"/>
      <c r="AN35" s="29"/>
      <c r="AO35" s="685">
        <v>0.23</v>
      </c>
      <c r="AP35" s="174"/>
      <c r="AQ35" s="1925">
        <v>3120</v>
      </c>
      <c r="AR35" s="1925">
        <v>1575</v>
      </c>
      <c r="AS35" s="766">
        <f>_xlfn.XLOOKUP(R35,'Sales Rec'!$E$4:$E$86,'Sales Rec'!$X$4:$X$86,"")</f>
        <v>6698</v>
      </c>
      <c r="AT35" s="984">
        <f>_xlfn.XLOOKUP(R35,'Sales Rec'!$E$4:$E$86,'Sales Rec'!$K$4:$K$86,"")</f>
        <v>4</v>
      </c>
      <c r="AU35" s="376">
        <f t="shared" si="19"/>
        <v>1.8715437444013139</v>
      </c>
      <c r="AV35" s="99">
        <f t="shared" si="20"/>
        <v>-0.67748693898979528</v>
      </c>
      <c r="AW35" s="16">
        <v>1577</v>
      </c>
      <c r="AX35" s="16">
        <v>761</v>
      </c>
      <c r="AY35" s="1421">
        <f t="shared" si="21"/>
        <v>0.48299999999999998</v>
      </c>
      <c r="AZ35" s="1419">
        <v>0.42399999999999999</v>
      </c>
      <c r="BA35" s="1689">
        <v>0.505</v>
      </c>
      <c r="BB35" s="1690">
        <v>0.40500000000000003</v>
      </c>
      <c r="BC35" s="100">
        <f>MIN(MAX(IF(BD35=BE35,BD35-BG35,BD35-BE35)*$S$65, -10), 10)</f>
        <v>3.6999999999999975</v>
      </c>
      <c r="BD35" s="1420">
        <f t="shared" si="23"/>
        <v>0.36399999999999999</v>
      </c>
      <c r="BE35" s="1419">
        <v>0.32700000000000001</v>
      </c>
      <c r="BF35" s="1687">
        <v>0.39800000000000002</v>
      </c>
      <c r="BG35" s="1688">
        <v>0.30299999999999999</v>
      </c>
      <c r="BH35" s="306">
        <f t="shared" si="24"/>
        <v>0.11899999999999999</v>
      </c>
      <c r="BI35" s="1861">
        <f t="shared" si="25"/>
        <v>750.65199999999993</v>
      </c>
      <c r="BJ35" s="306">
        <f t="shared" si="26"/>
        <v>9.6999999999999975E-2</v>
      </c>
      <c r="BK35" s="99">
        <v>0</v>
      </c>
      <c r="BL35" s="306">
        <f>_xlfn.XLOOKUP(R35,'Sales Rec'!$E$4:$E$91,'Sales Rec'!$Y$4:$Y$91,"")</f>
        <v>1.1467948717948717</v>
      </c>
      <c r="BM35" s="99">
        <f t="shared" si="27"/>
        <v>10</v>
      </c>
      <c r="BN35" s="15"/>
      <c r="BO35" s="1803">
        <v>3</v>
      </c>
      <c r="BP35" s="842">
        <f t="shared" si="28"/>
        <v>1</v>
      </c>
      <c r="BQ35" s="16">
        <v>2052</v>
      </c>
      <c r="BR35" s="16"/>
      <c r="BS35" s="16"/>
      <c r="BT35" s="1253">
        <f>(_xlfn.XLOOKUP(R35,'Sales Rec'!$E$37:$E$91,'Sales Rec'!$X$37:$X$91)*BD35+CM35)*1000/CK35</f>
        <v>8714.5428571428565</v>
      </c>
      <c r="BU35" s="1246">
        <f t="shared" si="29"/>
        <v>8200</v>
      </c>
      <c r="BV35" s="406"/>
      <c r="BW35" s="407">
        <f t="shared" si="30"/>
        <v>5.2936695219160521</v>
      </c>
      <c r="BX35" s="99">
        <f t="shared" si="31"/>
        <v>-1.4683476095802606</v>
      </c>
      <c r="BY35" s="18">
        <f t="shared" si="32"/>
        <v>2368.0360000000001</v>
      </c>
      <c r="BZ35" s="18">
        <f t="shared" si="33"/>
        <v>1605.0704225352115</v>
      </c>
      <c r="CA35" s="18">
        <f t="shared" si="34"/>
        <v>3235.134</v>
      </c>
      <c r="CB35" s="1710">
        <f t="shared" si="35"/>
        <v>5.0685999405279656</v>
      </c>
      <c r="CC35" s="266">
        <f>_xlfn.XLOOKUP($R35,'Price Record'!$C$6:$C$100,'Price Record'!I$6:I$100,"")</f>
        <v>5718</v>
      </c>
      <c r="CD35" s="267">
        <f>_xlfn.XLOOKUP($R35,'Price Record'!$C$6:$C$100,'Price Record'!J$6:J$100,"")</f>
        <v>7.81</v>
      </c>
      <c r="CE35" s="99">
        <f t="shared" si="36"/>
        <v>-8.43</v>
      </c>
      <c r="CF35" s="17">
        <f t="shared" si="37"/>
        <v>1.6967647451305639</v>
      </c>
      <c r="CG35" s="99">
        <f t="shared" si="38"/>
        <v>1.2129410194777446</v>
      </c>
      <c r="CH35" s="494">
        <f t="shared" si="39"/>
        <v>0.35999331103678933</v>
      </c>
      <c r="CI35" s="99">
        <f t="shared" si="40"/>
        <v>-0.60010033444816036</v>
      </c>
      <c r="CJ35" s="377"/>
      <c r="CK35" s="691">
        <v>280</v>
      </c>
      <c r="CL35" s="419">
        <v>589</v>
      </c>
      <c r="CM35" s="468">
        <v>2</v>
      </c>
      <c r="CN35" s="843">
        <v>0</v>
      </c>
      <c r="CO35" s="21">
        <v>574</v>
      </c>
      <c r="CP35" s="21"/>
      <c r="CQ35" s="469">
        <f t="shared" si="41"/>
        <v>574</v>
      </c>
      <c r="CR35" s="1239">
        <f>(AS35*BD35)*(_xlfn.XLOOKUP($R35,'Sales Rec'!$E$37:$E$91,'Sales Rec'!$L$37:$L$91,"")/12)+CP35</f>
        <v>812.69066666666663</v>
      </c>
      <c r="CS35" s="21">
        <v>1163</v>
      </c>
      <c r="CT35" s="16">
        <v>-14</v>
      </c>
      <c r="CU35" s="2240" t="str">
        <f t="shared" si="42"/>
        <v/>
      </c>
      <c r="CV35" s="693">
        <f t="shared" si="43"/>
        <v>1459</v>
      </c>
      <c r="CW35" s="49">
        <v>3832</v>
      </c>
      <c r="CX35" s="21">
        <v>596</v>
      </c>
      <c r="CY35" s="49">
        <v>186</v>
      </c>
      <c r="CZ35" s="378">
        <f t="shared" si="44"/>
        <v>4018</v>
      </c>
      <c r="DA35" s="1058">
        <f t="shared" si="45"/>
        <v>1.335855949895616</v>
      </c>
      <c r="DB35" s="99">
        <f t="shared" si="46"/>
        <v>1.086847599164928</v>
      </c>
      <c r="DC35" s="53">
        <f t="shared" si="47"/>
        <v>5477</v>
      </c>
      <c r="DD35" s="645">
        <f t="shared" si="48"/>
        <v>0.73361329194814684</v>
      </c>
      <c r="DE35" s="13">
        <v>358</v>
      </c>
      <c r="DF35" s="24">
        <v>328</v>
      </c>
      <c r="DG35" s="24">
        <v>0</v>
      </c>
      <c r="DH35" s="51">
        <v>5119</v>
      </c>
      <c r="DI35" s="8">
        <f t="shared" si="62"/>
        <v>1287</v>
      </c>
      <c r="DJ35" s="644">
        <f t="shared" si="49"/>
        <v>5.2043512043512044</v>
      </c>
      <c r="DK35" s="22">
        <v>970</v>
      </c>
      <c r="DL35" s="22">
        <v>156</v>
      </c>
      <c r="DM35" s="22">
        <v>2401</v>
      </c>
      <c r="DN35" s="138">
        <f t="shared" si="50"/>
        <v>0.73361329194814684</v>
      </c>
      <c r="DO35" s="99">
        <f t="shared" si="51"/>
        <v>-1.447481817456483</v>
      </c>
      <c r="DP35" s="22">
        <v>0</v>
      </c>
      <c r="DQ35" s="8">
        <f t="shared" si="52"/>
        <v>1592</v>
      </c>
      <c r="DR35" s="138">
        <f t="shared" si="53"/>
        <v>-0.18422729939470822</v>
      </c>
      <c r="DS35" s="99">
        <f t="shared" si="54"/>
        <v>0</v>
      </c>
      <c r="DT35" s="8">
        <f t="shared" si="55"/>
        <v>20813.52</v>
      </c>
      <c r="DU35" s="8">
        <f t="shared" si="56"/>
        <v>29520</v>
      </c>
      <c r="DV35" s="235">
        <f t="shared" si="57"/>
        <v>2103.5714285714284</v>
      </c>
      <c r="DW35" s="8">
        <f t="shared" si="58"/>
        <v>26218.545714285716</v>
      </c>
      <c r="DX35" s="411">
        <f t="shared" si="59"/>
        <v>123</v>
      </c>
      <c r="DY35" s="1117">
        <v>2750</v>
      </c>
      <c r="DZ35" s="857">
        <f t="shared" si="60"/>
        <v>7.3431241655540727E-2</v>
      </c>
      <c r="EA35" s="386"/>
      <c r="EB35" s="504"/>
      <c r="EC35" s="510">
        <v>34840</v>
      </c>
      <c r="ED35" s="435">
        <v>2491</v>
      </c>
      <c r="EE35" s="510">
        <v>51790</v>
      </c>
      <c r="EF35" s="435">
        <v>3703</v>
      </c>
      <c r="EG35" s="510">
        <v>50890</v>
      </c>
      <c r="EH35" s="435">
        <v>3639</v>
      </c>
      <c r="EI35" s="510">
        <v>66250</v>
      </c>
      <c r="EJ35" s="435">
        <v>4737</v>
      </c>
      <c r="EK35" s="510">
        <v>34700</v>
      </c>
      <c r="EL35" s="1606">
        <v>9716</v>
      </c>
      <c r="EM35" s="1224">
        <v>34700</v>
      </c>
      <c r="EN35" s="834">
        <v>9716</v>
      </c>
      <c r="EO35" s="835">
        <f t="shared" si="63"/>
        <v>2.9004415897230027</v>
      </c>
      <c r="EP35" s="1648">
        <f t="shared" si="61"/>
        <v>11</v>
      </c>
      <c r="EQ35"/>
    </row>
    <row r="36" spans="1:147" ht="35" customHeight="1">
      <c r="A36" s="99">
        <f>_xlfn.XLOOKUP(R36,'MOPFRA Ranking'!$E$6:$E$55,'MOPFRA Ranking'!$AE$6:$AE$55)</f>
        <v>1.0347963292789695</v>
      </c>
      <c r="B36" s="99">
        <f t="shared" si="1"/>
        <v>-2.0652036707210284</v>
      </c>
      <c r="C36" s="1585">
        <f t="shared" ca="1" si="2"/>
        <v>0.32064990584640995</v>
      </c>
      <c r="D36" s="2378">
        <f t="shared" si="3"/>
        <v>1.4514814144861301</v>
      </c>
      <c r="E36" s="1414">
        <f t="shared" si="4"/>
        <v>5.6999999999999993</v>
      </c>
      <c r="F36" s="1415">
        <f t="shared" si="5"/>
        <v>3.099999999999997</v>
      </c>
      <c r="G36" s="2124" cm="1">
        <f t="array" ref="G36">IFERROR(_xlfn.XLOOKUP(R36,'Sales Rec'!$E$37:$E$91,'Sales Rec'!$CU$37:$CU$91*100,""),"")</f>
        <v>5.3135740402366016</v>
      </c>
      <c r="H36" s="2313">
        <f>_xlfn.XLOOKUP(R36,'Sales Rec'!$E$37:$E$86,'Sales Rec'!$DQ$37:$DQ$86,"")</f>
        <v>0.88596932361076186</v>
      </c>
      <c r="I36" s="2312">
        <f>_xlfn.XLOOKUP(R36,'Sales History'!$C$4:$C$83,'Sales History'!$AS$4:$AS$83,"")</f>
        <v>0.26346972782817996</v>
      </c>
      <c r="J36" s="2313">
        <f>_xlfn.XLOOKUP(R36,'Sales History'!$C$4:$C$83,'Sales History'!$AW$4:$AW$83,"")</f>
        <v>0.38994858185437054</v>
      </c>
      <c r="K36" s="1942">
        <f>_xlfn.XLOOKUP(R36,'Sales Rec'!$E$4:$E$91,'Sales Rec'!$CV$4:$CV$91,"")</f>
        <v>26</v>
      </c>
      <c r="L36" s="1587">
        <f>_xlfn.XLOOKUP(R36,'MOPFRA Ranking'!$E$6:$E$55,'MOPFRA Ranking'!$AG$6:$AG$55,"")</f>
        <v>28</v>
      </c>
      <c r="M36" s="1582" t="str">
        <f>_xlfn.XLOOKUP(R36,'Sales Rec'!$E$4:$E$105,'Sales Rec'!$DS$4:$DS$105,"")</f>
        <v>B</v>
      </c>
      <c r="N36" s="1582" t="str">
        <f>_xlfn.XLOOKUP(R36,'Sales Rec'!$E$4:$E$105,'Sales Rec'!$DZ$4:$DZ$105,"")</f>
        <v>B</v>
      </c>
      <c r="O36" s="2365" t="str">
        <f>_xlfn.XLOOKUP($R36,'History Records'!$B$7:$B$88,'History Records'!$G$7:$G$88,"")</f>
        <v/>
      </c>
      <c r="P36" s="856" t="s">
        <v>458</v>
      </c>
      <c r="Q36" s="2364" t="s">
        <v>120</v>
      </c>
      <c r="R36" s="1571" t="s">
        <v>121</v>
      </c>
      <c r="S36" s="1929">
        <v>9</v>
      </c>
      <c r="T36" s="66">
        <f t="shared" si="6"/>
        <v>27092</v>
      </c>
      <c r="U36" s="2386">
        <f>_xlfn.XLOOKUP($R36,'Price Record'!$C$6:$C$100,'Price Record'!H$6:H$100,"")</f>
        <v>67620</v>
      </c>
      <c r="V36" s="338">
        <f>_xlfn.XLOOKUP(R36,'دیده بان بازار'!$A$3:$A$3542,'دیده بان بازار'!$M$3:$M$3542,"")</f>
        <v>2.83</v>
      </c>
      <c r="W36" s="2386">
        <f>_xlfn.XLOOKUP($R36,'Price Record'!$C$6:$C$100,'Price Record'!G$6:G$100,"")</f>
        <v>67730</v>
      </c>
      <c r="X36" s="337">
        <f>_xlfn.XLOOKUP(R36,'دیده بان بازار'!$A$3:$A$3542,'دیده بان بازار'!$J$3:$J$3542,"")</f>
        <v>3</v>
      </c>
      <c r="Y36" s="1708">
        <f t="shared" si="7"/>
        <v>39903</v>
      </c>
      <c r="Z36" s="661" t="str">
        <f t="shared" si="8"/>
        <v/>
      </c>
      <c r="AA36" s="822">
        <f t="shared" si="9"/>
        <v>1.0833589664718548</v>
      </c>
      <c r="AB36" s="511">
        <f t="shared" ca="1" si="10"/>
        <v>0.26876712328767122</v>
      </c>
      <c r="AC36" s="823">
        <f t="shared" ca="1" si="11"/>
        <v>-74.733196622402176</v>
      </c>
      <c r="AD36" s="1150">
        <f t="shared" si="12"/>
        <v>1.0833589664718548</v>
      </c>
      <c r="AE36" s="1150">
        <f t="shared" si="13"/>
        <v>0.64993909866017052</v>
      </c>
      <c r="AF36" s="1150">
        <f t="shared" si="14"/>
        <v>0.77083469507810964</v>
      </c>
      <c r="AG36" s="1150">
        <f t="shared" si="15"/>
        <v>2.4069416498993963</v>
      </c>
      <c r="AH36" s="1150">
        <f t="shared" si="16"/>
        <v>1.2501661129568107</v>
      </c>
      <c r="AI36" s="275">
        <f t="shared" ca="1" si="17"/>
        <v>256</v>
      </c>
      <c r="AJ36" s="1121">
        <v>46130</v>
      </c>
      <c r="AK36" s="1116">
        <v>46183</v>
      </c>
      <c r="AL36" s="1345">
        <f t="shared" si="18"/>
        <v>4000000000</v>
      </c>
      <c r="AM36" s="29"/>
      <c r="AN36" s="29"/>
      <c r="AO36" s="685">
        <v>8.9599999999999999E-2</v>
      </c>
      <c r="AP36" s="174"/>
      <c r="AQ36" s="1925">
        <v>14130</v>
      </c>
      <c r="AR36" s="1925">
        <v>4303</v>
      </c>
      <c r="AS36" s="766">
        <f>_xlfn.XLOOKUP(R36,'Sales Rec'!$E$4:$E$86,'Sales Rec'!$X$4:$X$86,"")</f>
        <v>25047.623271310033</v>
      </c>
      <c r="AT36" s="984">
        <f>_xlfn.XLOOKUP(R36,'Sales Rec'!$E$4:$E$86,'Sales Rec'!$K$4:$K$86,"")</f>
        <v>4</v>
      </c>
      <c r="AU36" s="376">
        <f t="shared" si="19"/>
        <v>1.0816195894734504</v>
      </c>
      <c r="AV36" s="99">
        <f t="shared" si="20"/>
        <v>-3.4106981716564064</v>
      </c>
      <c r="AW36" s="16">
        <v>12179</v>
      </c>
      <c r="AX36" s="16">
        <v>4813</v>
      </c>
      <c r="AY36" s="1421">
        <f t="shared" si="21"/>
        <v>0.39500000000000002</v>
      </c>
      <c r="AZ36" s="1419">
        <v>0.33800000000000002</v>
      </c>
      <c r="BA36" s="1689">
        <v>0.30499999999999999</v>
      </c>
      <c r="BB36" s="1690">
        <v>0.40200000000000002</v>
      </c>
      <c r="BC36" s="100">
        <f>IF(BD36=0,0,MIN(MAX(IF(BD36=BE36,BD36-BG36,BD36-BE36)*$S$65, -10), 10))</f>
        <v>3.099999999999997</v>
      </c>
      <c r="BD36" s="1420">
        <f t="shared" si="23"/>
        <v>0.35299999999999998</v>
      </c>
      <c r="BE36" s="1419">
        <v>0.32200000000000001</v>
      </c>
      <c r="BF36" s="1687">
        <v>0.26800000000000002</v>
      </c>
      <c r="BG36" s="1688">
        <v>0.39800000000000002</v>
      </c>
      <c r="BH36" s="306">
        <f t="shared" si="24"/>
        <v>4.2000000000000037E-2</v>
      </c>
      <c r="BI36" s="1861">
        <f t="shared" si="25"/>
        <v>1023.0360000000009</v>
      </c>
      <c r="BJ36" s="306">
        <f t="shared" si="26"/>
        <v>1.6000000000000014E-2</v>
      </c>
      <c r="BK36" s="99">
        <v>0</v>
      </c>
      <c r="BL36" s="306">
        <f>_xlfn.XLOOKUP(R36,'Sales Rec'!$E$4:$E$91,'Sales Rec'!$Y$4:$Y$91,"")</f>
        <v>0.77265557475654867</v>
      </c>
      <c r="BM36" s="99">
        <f t="shared" si="27"/>
        <v>-9.3211017514591852</v>
      </c>
      <c r="BN36" s="15"/>
      <c r="BO36" s="1803">
        <v>3</v>
      </c>
      <c r="BP36" s="842">
        <f t="shared" si="28"/>
        <v>2</v>
      </c>
      <c r="BQ36" s="16">
        <v>5396</v>
      </c>
      <c r="BR36" s="16">
        <v>10720</v>
      </c>
      <c r="BS36" s="16"/>
      <c r="BT36" s="1253">
        <f>(_xlfn.XLOOKUP(R36,'Sales Rec'!$E$37:$E$91,'Sales Rec'!$X$37:$X$91)*BD36+CM36)*1000/CK36</f>
        <v>22137.027536931098</v>
      </c>
      <c r="BU36" s="1246">
        <f t="shared" si="29"/>
        <v>21440</v>
      </c>
      <c r="BV36" s="406"/>
      <c r="BW36" s="407">
        <f t="shared" si="30"/>
        <v>3.1085185855138695</v>
      </c>
      <c r="BX36" s="99">
        <f t="shared" si="31"/>
        <v>9.4574070724306516</v>
      </c>
      <c r="BY36" s="18">
        <f t="shared" si="32"/>
        <v>8715.4055073862201</v>
      </c>
      <c r="BZ36" s="18">
        <f t="shared" si="33"/>
        <v>5941.2280701754389</v>
      </c>
      <c r="CA36" s="18">
        <f t="shared" si="34"/>
        <v>9893.8111921674627</v>
      </c>
      <c r="CB36" s="1710">
        <f t="shared" si="35"/>
        <v>4.0331272979607311</v>
      </c>
      <c r="CC36" s="266">
        <f>_xlfn.XLOOKUP($R36,'Price Record'!$C$6:$C$100,'Price Record'!I$6:I$100,"")</f>
        <v>14832</v>
      </c>
      <c r="CD36" s="267">
        <f>_xlfn.XLOOKUP($R36,'Price Record'!$C$6:$C$100,'Price Record'!J$6:J$100,"")</f>
        <v>4.5599999999999996</v>
      </c>
      <c r="CE36" s="99">
        <f t="shared" si="36"/>
        <v>1.3200000000000012</v>
      </c>
      <c r="CF36" s="17">
        <f t="shared" si="37"/>
        <v>1.5409495276631946</v>
      </c>
      <c r="CG36" s="99">
        <f t="shared" si="38"/>
        <v>1.8362018893472216</v>
      </c>
      <c r="CH36" s="494">
        <f t="shared" si="39"/>
        <v>0.36475288806337242</v>
      </c>
      <c r="CI36" s="99">
        <f t="shared" si="40"/>
        <v>-0.52870667904941415</v>
      </c>
      <c r="CJ36" s="19"/>
      <c r="CK36" s="691">
        <v>400</v>
      </c>
      <c r="CL36" s="419">
        <v>2608</v>
      </c>
      <c r="CM36" s="468">
        <v>13</v>
      </c>
      <c r="CN36" s="843">
        <v>-15</v>
      </c>
      <c r="CO36" s="21">
        <v>4288</v>
      </c>
      <c r="CP36" s="21"/>
      <c r="CQ36" s="469">
        <f t="shared" si="41"/>
        <v>4288</v>
      </c>
      <c r="CR36" s="1239">
        <f>(AS36*BD36)*(_xlfn.XLOOKUP($R36,'Sales Rec'!$E$37:$E$91,'Sales Rec'!$L$37:$L$91,"")/12)+CP36</f>
        <v>5157.7230919505901</v>
      </c>
      <c r="CS36" s="21">
        <v>6896</v>
      </c>
      <c r="CT36" s="16">
        <v>-408</v>
      </c>
      <c r="CU36" s="2240" t="str">
        <f t="shared" si="42"/>
        <v/>
      </c>
      <c r="CV36" s="693">
        <f t="shared" si="43"/>
        <v>6927</v>
      </c>
      <c r="CW36" s="49">
        <v>13332</v>
      </c>
      <c r="CX36" s="21">
        <v>3749</v>
      </c>
      <c r="CY36" s="49">
        <v>98</v>
      </c>
      <c r="CZ36" s="53">
        <f t="shared" si="44"/>
        <v>13430</v>
      </c>
      <c r="DA36" s="1058">
        <f t="shared" si="45"/>
        <v>1.2726522652265226</v>
      </c>
      <c r="DB36" s="99">
        <f t="shared" si="46"/>
        <v>0.58121812181218147</v>
      </c>
      <c r="DC36" s="53">
        <f t="shared" si="47"/>
        <v>20357</v>
      </c>
      <c r="DD36" s="645">
        <f t="shared" si="48"/>
        <v>0.65972392788721324</v>
      </c>
      <c r="DE36" s="13">
        <v>3390</v>
      </c>
      <c r="DF36" s="24">
        <v>1187</v>
      </c>
      <c r="DG36" s="24">
        <v>0</v>
      </c>
      <c r="DH36" s="51">
        <v>16967</v>
      </c>
      <c r="DI36" s="8">
        <f t="shared" si="62"/>
        <v>3635</v>
      </c>
      <c r="DJ36" s="644">
        <f t="shared" si="49"/>
        <v>6.8906804047620449</v>
      </c>
      <c r="DK36" s="22">
        <v>3707</v>
      </c>
      <c r="DL36" s="22">
        <v>619</v>
      </c>
      <c r="DM36" s="22">
        <v>10035</v>
      </c>
      <c r="DN36" s="138">
        <f t="shared" si="50"/>
        <v>0.65972392788721324</v>
      </c>
      <c r="DO36" s="99">
        <f t="shared" si="51"/>
        <v>-0.99952415214607848</v>
      </c>
      <c r="DP36" s="22">
        <v>0</v>
      </c>
      <c r="DQ36" s="8">
        <f t="shared" si="52"/>
        <v>2606</v>
      </c>
      <c r="DR36" s="138">
        <f t="shared" si="53"/>
        <v>-0.37892374608562718</v>
      </c>
      <c r="DS36" s="99">
        <f t="shared" si="54"/>
        <v>-1</v>
      </c>
      <c r="DT36" s="8">
        <f t="shared" si="55"/>
        <v>55768.32</v>
      </c>
      <c r="DU36" s="8">
        <f t="shared" si="56"/>
        <v>79756.800000000003</v>
      </c>
      <c r="DV36" s="235">
        <f t="shared" si="57"/>
        <v>6520</v>
      </c>
      <c r="DW36" s="8">
        <f t="shared" si="58"/>
        <v>71022.559999999998</v>
      </c>
      <c r="DX36" s="411">
        <f t="shared" si="59"/>
        <v>53</v>
      </c>
      <c r="DY36" s="1117">
        <v>6800</v>
      </c>
      <c r="DZ36" s="857">
        <f t="shared" si="60"/>
        <v>0.17298397354362757</v>
      </c>
      <c r="EA36" s="386"/>
      <c r="EB36" s="504"/>
      <c r="EC36" s="510">
        <v>30100</v>
      </c>
      <c r="ED36" s="435">
        <v>12040</v>
      </c>
      <c r="EE36" s="510">
        <v>19880</v>
      </c>
      <c r="EF36" s="435">
        <f>(EE36*$AL36)/10000000000</f>
        <v>7952</v>
      </c>
      <c r="EG36" s="510">
        <v>38247</v>
      </c>
      <c r="EH36" s="435">
        <v>15299</v>
      </c>
      <c r="EI36" s="510">
        <v>41050</v>
      </c>
      <c r="EJ36" s="435">
        <v>16420</v>
      </c>
      <c r="EK36" s="510">
        <v>32510</v>
      </c>
      <c r="EL36" s="1606">
        <v>13004</v>
      </c>
      <c r="EM36" s="1224">
        <v>32510</v>
      </c>
      <c r="EN36" s="834">
        <v>13004</v>
      </c>
      <c r="EO36" s="835">
        <f t="shared" si="63"/>
        <v>8.0066445182724252E-2</v>
      </c>
      <c r="EP36" s="1648">
        <f t="shared" si="61"/>
        <v>31</v>
      </c>
      <c r="EQ36"/>
    </row>
    <row r="37" spans="1:147" ht="39" customHeight="1">
      <c r="A37" s="99">
        <f>_xlfn.XLOOKUP(R37,'MOPFRA Ranking'!$E$6:$E$55,'MOPFRA Ranking'!$AE$6:$AE$55)</f>
        <v>1.5067957015240805</v>
      </c>
      <c r="B37" s="99">
        <f t="shared" si="1"/>
        <v>1.1067957015240801</v>
      </c>
      <c r="C37" s="1585">
        <f t="shared" ca="1" si="2"/>
        <v>0.56408931143005958</v>
      </c>
      <c r="D37" s="2378">
        <f t="shared" si="3"/>
        <v>1.2108961258936652</v>
      </c>
      <c r="E37" s="1414">
        <f t="shared" si="4"/>
        <v>0.10000000000000009</v>
      </c>
      <c r="F37" s="1415">
        <f t="shared" si="5"/>
        <v>0.40000000000000036</v>
      </c>
      <c r="G37" s="2124" cm="1">
        <f t="array" ref="G37">IFERROR(_xlfn.XLOOKUP(R37,'Sales Rec'!$E$37:$E$91,'Sales Rec'!$CU$37:$CU$91*100,""),"")</f>
        <v>42.274791359842887</v>
      </c>
      <c r="H37" s="2313">
        <f>_xlfn.XLOOKUP(R37,'Sales Rec'!$E$37:$E$86,'Sales Rec'!$DQ$37:$DQ$86,"")</f>
        <v>2.2351190476190474</v>
      </c>
      <c r="I37" s="2312">
        <f>_xlfn.XLOOKUP(R37,'Sales History'!$C$4:$C$83,'Sales History'!$AS$4:$AS$83,"")</f>
        <v>1.0058823529411764</v>
      </c>
      <c r="J37" s="2313">
        <f>_xlfn.XLOOKUP(R37,'Sales History'!$C$4:$C$83,'Sales History'!$AW$4:$AW$83,"")</f>
        <v>2.4385665529010239</v>
      </c>
      <c r="K37" s="1942">
        <f>_xlfn.XLOOKUP(R37,'Sales Rec'!$E$4:$E$91,'Sales Rec'!$CV$4:$CV$91,"")</f>
        <v>4</v>
      </c>
      <c r="L37" s="1587">
        <f>_xlfn.XLOOKUP(R37,'MOPFRA Ranking'!$E$6:$E$55,'MOPFRA Ranking'!$AG$6:$AG$55,"")</f>
        <v>22</v>
      </c>
      <c r="M37" s="1582" t="str">
        <f>_xlfn.XLOOKUP(R37,'Sales Rec'!$E$4:$E$105,'Sales Rec'!$DS$4:$DS$105,"")</f>
        <v>BB</v>
      </c>
      <c r="N37" s="1582" t="str">
        <f>_xlfn.XLOOKUP(R37,'Sales Rec'!$E$4:$E$105,'Sales Rec'!$DZ$4:$DZ$105,"")</f>
        <v>BB</v>
      </c>
      <c r="O37" s="2365" t="str">
        <f>_xlfn.XLOOKUP($R37,'History Records'!$B$7:$B$88,'History Records'!$G$7:$G$88,"")</f>
        <v/>
      </c>
      <c r="P37" s="856" t="s">
        <v>168</v>
      </c>
      <c r="Q37" s="2390" t="s">
        <v>158</v>
      </c>
      <c r="R37" s="2391" t="s">
        <v>159</v>
      </c>
      <c r="S37" s="2055">
        <v>12</v>
      </c>
      <c r="T37" s="66">
        <f t="shared" si="6"/>
        <v>12115.25</v>
      </c>
      <c r="U37" s="2386">
        <f>_xlfn.XLOOKUP($R37,'Price Record'!$C$6:$C$100,'Price Record'!H$6:H$100,"")</f>
        <v>49450</v>
      </c>
      <c r="V37" s="338">
        <f>_xlfn.XLOOKUP(R37,'دیده بان بازار'!$A$3:$A$3542,'دیده بان بازار'!$M$3:$M$3542,"")</f>
        <v>3</v>
      </c>
      <c r="W37" s="2386">
        <f>_xlfn.XLOOKUP($R37,'Price Record'!$C$6:$C$100,'Price Record'!G$6:G$100,"")</f>
        <v>49450</v>
      </c>
      <c r="X37" s="337">
        <f>_xlfn.XLOOKUP(R37,'دیده بان بازار'!$A$3:$A$3542,'دیده بان بازار'!$J$3:$J$3542,"")</f>
        <v>3</v>
      </c>
      <c r="Y37" s="1708">
        <f t="shared" si="7"/>
        <v>14133.25</v>
      </c>
      <c r="Z37" s="661" t="str">
        <f t="shared" si="8"/>
        <v/>
      </c>
      <c r="AA37" s="822">
        <f t="shared" si="9"/>
        <v>0.71531219028741333</v>
      </c>
      <c r="AB37" s="511">
        <f t="shared" ca="1" si="10"/>
        <v>0.87287671232876718</v>
      </c>
      <c r="AC37" s="2194">
        <f t="shared" ca="1" si="11"/>
        <v>4.4509751989083011</v>
      </c>
      <c r="AD37" s="1150" t="str">
        <f t="shared" si="12"/>
        <v/>
      </c>
      <c r="AE37" s="1150">
        <f t="shared" si="13"/>
        <v>0.71531219028741333</v>
      </c>
      <c r="AF37" s="1150">
        <f t="shared" si="14"/>
        <v>1.9973404255319149</v>
      </c>
      <c r="AG37" s="1150">
        <f t="shared" si="15"/>
        <v>1.1162008733624453</v>
      </c>
      <c r="AH37" s="1150">
        <f t="shared" si="16"/>
        <v>3.8558116232464932</v>
      </c>
      <c r="AI37" s="275">
        <f t="shared" ca="1" si="17"/>
        <v>11</v>
      </c>
      <c r="AJ37" s="1640">
        <v>46250</v>
      </c>
      <c r="AK37" s="1116">
        <v>46371</v>
      </c>
      <c r="AL37" s="1345">
        <f t="shared" si="18"/>
        <v>2450000000</v>
      </c>
      <c r="AM37" s="29"/>
      <c r="AN37" s="29"/>
      <c r="AO37" s="685">
        <v>0.19</v>
      </c>
      <c r="AP37" s="174"/>
      <c r="AQ37" s="1925">
        <v>2410</v>
      </c>
      <c r="AR37" s="1925">
        <v>1281</v>
      </c>
      <c r="AS37" s="766">
        <f>_xlfn.XLOOKUP(R37,'Sales Rec'!$E$4:$E$86,'Sales Rec'!$X$4:$X$86,"")</f>
        <v>6506.8184523809523</v>
      </c>
      <c r="AT37" s="984">
        <f>_xlfn.XLOOKUP(R37,'Sales Rec'!$E$4:$E$86,'Sales Rec'!$K$4:$K$86,"")</f>
        <v>4</v>
      </c>
      <c r="AU37" s="376">
        <f t="shared" si="19"/>
        <v>1.429328337353079</v>
      </c>
      <c r="AV37" s="99">
        <f t="shared" si="20"/>
        <v>3.7446671314925539</v>
      </c>
      <c r="AW37" s="16">
        <v>1364</v>
      </c>
      <c r="AX37" s="16">
        <v>445</v>
      </c>
      <c r="AY37" s="1421">
        <f t="shared" si="21"/>
        <v>0.32600000000000001</v>
      </c>
      <c r="AZ37" s="1419">
        <v>0.32500000000000001</v>
      </c>
      <c r="BA37" s="1689">
        <v>0.53200000000000003</v>
      </c>
      <c r="BB37" s="1690">
        <v>0.65200000000000002</v>
      </c>
      <c r="BC37" s="100">
        <f>MIN(MAX(IF(BD37=BE37,BD37-BG37,BD37-BE37)*$S$65, -10), 10)</f>
        <v>0.40000000000000036</v>
      </c>
      <c r="BD37" s="1420">
        <f t="shared" si="23"/>
        <v>0.24299999999999999</v>
      </c>
      <c r="BE37" s="1419">
        <v>0.23899999999999999</v>
      </c>
      <c r="BF37" s="1687">
        <v>0.433</v>
      </c>
      <c r="BG37" s="1688">
        <v>0.55000000000000004</v>
      </c>
      <c r="BH37" s="306">
        <f t="shared" si="24"/>
        <v>8.3000000000000018E-2</v>
      </c>
      <c r="BI37" s="1861">
        <f t="shared" si="25"/>
        <v>452.84800000000013</v>
      </c>
      <c r="BJ37" s="306">
        <f t="shared" si="26"/>
        <v>8.6000000000000021E-2</v>
      </c>
      <c r="BK37" s="99">
        <v>0</v>
      </c>
      <c r="BL37" s="306">
        <f>_xlfn.XLOOKUP(R37,'Sales Rec'!$E$4:$E$91,'Sales Rec'!$Y$4:$Y$91,"")</f>
        <v>1.6999246690377396</v>
      </c>
      <c r="BM37" s="99">
        <f t="shared" si="27"/>
        <v>10</v>
      </c>
      <c r="BN37" s="15"/>
      <c r="BO37" s="1803">
        <v>3</v>
      </c>
      <c r="BP37" s="842">
        <f t="shared" si="28"/>
        <v>1</v>
      </c>
      <c r="BQ37" s="16">
        <v>1358</v>
      </c>
      <c r="BR37" s="16"/>
      <c r="BS37" s="16"/>
      <c r="BT37" s="1253">
        <f>(_xlfn.XLOOKUP(R37,'Sales Rec'!$E$37:$E$91,'Sales Rec'!$X$37:$X$91)*BD37+CM37)*1000/CK37</f>
        <v>6637.375036443148</v>
      </c>
      <c r="BU37" s="1246">
        <f t="shared" si="29"/>
        <v>5604.0816326530612</v>
      </c>
      <c r="BV37" s="406"/>
      <c r="BW37" s="407">
        <f t="shared" si="30"/>
        <v>8.0791038741063339</v>
      </c>
      <c r="BX37" s="99">
        <f t="shared" si="31"/>
        <v>-10</v>
      </c>
      <c r="BY37" s="18">
        <f t="shared" si="32"/>
        <v>1499.5784419642855</v>
      </c>
      <c r="BZ37" s="18">
        <f t="shared" si="33"/>
        <v>1304.1173304628635</v>
      </c>
      <c r="CA37" s="18">
        <f t="shared" si="34"/>
        <v>2121.2228154761906</v>
      </c>
      <c r="CB37" s="1710">
        <f t="shared" si="35"/>
        <v>6.6627842661720784</v>
      </c>
      <c r="CC37" s="266">
        <f>_xlfn.XLOOKUP($R37,'Price Record'!$C$6:$C$100,'Price Record'!I$6:I$100,"")</f>
        <v>5324</v>
      </c>
      <c r="CD37" s="267">
        <f>_xlfn.XLOOKUP($R37,'Price Record'!$C$6:$C$100,'Price Record'!J$6:J$100,"")</f>
        <v>9.2899999999999991</v>
      </c>
      <c r="CE37" s="99">
        <f t="shared" si="36"/>
        <v>-10</v>
      </c>
      <c r="CF37" s="17">
        <f t="shared" si="37"/>
        <v>1.3463783844180426</v>
      </c>
      <c r="CG37" s="99">
        <f t="shared" si="38"/>
        <v>2.6144864623278297</v>
      </c>
      <c r="CH37" s="494">
        <f t="shared" si="39"/>
        <v>0.25668922320511561</v>
      </c>
      <c r="CI37" s="99">
        <f t="shared" si="40"/>
        <v>-2.1496616519232661</v>
      </c>
      <c r="CJ37" s="20"/>
      <c r="CK37" s="691">
        <v>245</v>
      </c>
      <c r="CL37" s="419">
        <v>1428</v>
      </c>
      <c r="CM37" s="468">
        <v>45</v>
      </c>
      <c r="CN37" s="843">
        <v>1</v>
      </c>
      <c r="CO37" s="21">
        <v>333</v>
      </c>
      <c r="CP37" s="21">
        <v>303</v>
      </c>
      <c r="CQ37" s="469">
        <f t="shared" si="41"/>
        <v>343.25</v>
      </c>
      <c r="CR37" s="1239">
        <f>(AS37*BD37)*(_xlfn.XLOOKUP($R37,'Sales Rec'!$E$37:$E$91,'Sales Rec'!$L$37:$L$91,"")/12)+CP37</f>
        <v>830.05229464285708</v>
      </c>
      <c r="CS37" s="21">
        <v>1761</v>
      </c>
      <c r="CT37" s="16">
        <v>-6</v>
      </c>
      <c r="CU37" s="2240" t="str">
        <f t="shared" si="42"/>
        <v/>
      </c>
      <c r="CV37" s="693">
        <f t="shared" si="43"/>
        <v>2026</v>
      </c>
      <c r="CW37" s="49">
        <v>1927</v>
      </c>
      <c r="CX37" s="21">
        <v>253</v>
      </c>
      <c r="CY37" s="49">
        <v>92</v>
      </c>
      <c r="CZ37" s="53">
        <f t="shared" si="44"/>
        <v>2019</v>
      </c>
      <c r="DA37" s="1058">
        <f t="shared" si="45"/>
        <v>1.9802802283341983</v>
      </c>
      <c r="DB37" s="99">
        <f t="shared" si="46"/>
        <v>6</v>
      </c>
      <c r="DC37" s="53">
        <f t="shared" si="47"/>
        <v>4045</v>
      </c>
      <c r="DD37" s="645">
        <f t="shared" si="48"/>
        <v>0.4991347342398022</v>
      </c>
      <c r="DE37" s="13">
        <v>229</v>
      </c>
      <c r="DF37" s="24">
        <v>139</v>
      </c>
      <c r="DG37" s="24">
        <v>85</v>
      </c>
      <c r="DH37" s="51">
        <v>3816</v>
      </c>
      <c r="DI37" s="8">
        <f t="shared" si="62"/>
        <v>1889</v>
      </c>
      <c r="DJ37" s="644">
        <f t="shared" si="49"/>
        <v>3.4445836169300965</v>
      </c>
      <c r="DK37" s="22">
        <v>312</v>
      </c>
      <c r="DL37" s="22">
        <v>1</v>
      </c>
      <c r="DM37" s="22">
        <v>3320</v>
      </c>
      <c r="DN37" s="138">
        <f t="shared" si="50"/>
        <v>0.4991347342398022</v>
      </c>
      <c r="DO37" s="99">
        <f t="shared" si="51"/>
        <v>0.8973037596269634</v>
      </c>
      <c r="DP37" s="22">
        <v>0</v>
      </c>
      <c r="DQ37" s="8">
        <f t="shared" si="52"/>
        <v>183</v>
      </c>
      <c r="DR37" s="138">
        <f t="shared" si="53"/>
        <v>-0.11927082725781656</v>
      </c>
      <c r="DS37" s="99">
        <f t="shared" si="54"/>
        <v>0</v>
      </c>
      <c r="DT37" s="8">
        <f t="shared" si="55"/>
        <v>19379.36</v>
      </c>
      <c r="DU37" s="8">
        <f t="shared" si="56"/>
        <v>20174.693877551021</v>
      </c>
      <c r="DV37" s="235">
        <f t="shared" si="57"/>
        <v>5828.5714285714284</v>
      </c>
      <c r="DW37" s="8">
        <f t="shared" si="58"/>
        <v>22691.312653061224</v>
      </c>
      <c r="DX37" s="411">
        <f t="shared" si="59"/>
        <v>121</v>
      </c>
      <c r="DY37" s="1532">
        <v>12050</v>
      </c>
      <c r="DZ37" s="857">
        <f t="shared" si="60"/>
        <v>0.29476516634050881</v>
      </c>
      <c r="EA37" s="386"/>
      <c r="EB37" s="504"/>
      <c r="EC37" s="510">
        <v>26260</v>
      </c>
      <c r="ED37" s="435">
        <v>2495</v>
      </c>
      <c r="EE37" s="510">
        <v>60260</v>
      </c>
      <c r="EF37" s="435">
        <v>5725</v>
      </c>
      <c r="EG37" s="510">
        <v>42550</v>
      </c>
      <c r="EH37" s="435">
        <v>4042</v>
      </c>
      <c r="EI37" s="510">
        <v>28830</v>
      </c>
      <c r="EJ37" s="435">
        <v>7063</v>
      </c>
      <c r="EK37" s="510"/>
      <c r="EL37" s="1606"/>
      <c r="EM37" s="1685">
        <v>28830</v>
      </c>
      <c r="EN37" s="1686">
        <v>7063</v>
      </c>
      <c r="EO37" s="1609">
        <f t="shared" si="63"/>
        <v>1.8308617234468938</v>
      </c>
      <c r="EP37" s="1648">
        <f t="shared" si="61"/>
        <v>16</v>
      </c>
      <c r="EQ37"/>
    </row>
    <row r="38" spans="1:147" ht="35" customHeight="1">
      <c r="A38" s="99">
        <f>_xlfn.XLOOKUP(R38,'MOPFRA Ranking'!$E$6:$E$55,'MOPFRA Ranking'!$AE$6:$AE$55)</f>
        <v>1.2283214162342571E-2</v>
      </c>
      <c r="B38" s="99">
        <f t="shared" si="1"/>
        <v>1.7122832141623427</v>
      </c>
      <c r="C38" s="1585">
        <f t="shared" ca="1" si="2"/>
        <v>0.27063632587929265</v>
      </c>
      <c r="D38" s="2378">
        <f t="shared" si="3"/>
        <v>-1.3688019735483934</v>
      </c>
      <c r="E38" s="1414">
        <f t="shared" si="4"/>
        <v>-1.7000000000000002</v>
      </c>
      <c r="F38" s="1415">
        <f t="shared" si="5"/>
        <v>-1.7000000000000002</v>
      </c>
      <c r="G38" s="2124" cm="1">
        <f t="array" ref="G38">IFERROR(_xlfn.XLOOKUP(R38,'Sales Rec'!$E$37:$E$91,'Sales Rec'!$CU$37:$CU$91*100,""),"")</f>
        <v>-12.549292507538867</v>
      </c>
      <c r="H38" s="2313">
        <f>_xlfn.XLOOKUP(R38,'Sales Rec'!$E$37:$E$86,'Sales Rec'!$DQ$37:$DQ$86,"")</f>
        <v>1.4300626304801669</v>
      </c>
      <c r="I38" s="2312">
        <f>_xlfn.XLOOKUP(R38,'Sales History'!$C$4:$C$83,'Sales History'!$AS$4:$AS$83,"")</f>
        <v>0.17631224764468373</v>
      </c>
      <c r="J38" s="2313">
        <f>_xlfn.XLOOKUP(R38,'Sales History'!$C$4:$C$83,'Sales History'!$AW$4:$AW$83,"")</f>
        <v>0.20626631853785901</v>
      </c>
      <c r="K38" s="1942">
        <f>_xlfn.XLOOKUP(R38,'Sales Rec'!$E$4:$E$91,'Sales Rec'!$CV$4:$CV$91,"")</f>
        <v>12</v>
      </c>
      <c r="L38" s="1587">
        <f>_xlfn.XLOOKUP(R38,'MOPFRA Ranking'!$E$6:$E$55,'MOPFRA Ranking'!$AG$6:$AG$55,"")</f>
        <v>36</v>
      </c>
      <c r="M38" s="1582" t="str">
        <f>_xlfn.XLOOKUP(R38,'Sales Rec'!$E$4:$E$105,'Sales Rec'!$DS$4:$DS$105,"")</f>
        <v>B</v>
      </c>
      <c r="N38" s="1582" t="str">
        <f>_xlfn.XLOOKUP(R38,'Sales Rec'!$E$4:$E$105,'Sales Rec'!$DZ$4:$DZ$105,"")</f>
        <v>S</v>
      </c>
      <c r="O38" s="2365" t="str">
        <f>_xlfn.XLOOKUP($R38,'History Records'!$B$7:$B$88,'History Records'!$G$7:$G$88,"")</f>
        <v/>
      </c>
      <c r="P38" s="856" t="s">
        <v>209</v>
      </c>
      <c r="Q38" s="2385" t="s">
        <v>106</v>
      </c>
      <c r="R38" s="1571" t="s">
        <v>107</v>
      </c>
      <c r="S38" s="1929">
        <v>12</v>
      </c>
      <c r="T38" s="66">
        <f t="shared" si="6"/>
        <v>4119.3</v>
      </c>
      <c r="U38" s="2386">
        <f>_xlfn.XLOOKUP($R38,'Price Record'!$C$6:$C$100,'Price Record'!H$6:H$100,"")</f>
        <v>45770</v>
      </c>
      <c r="V38" s="338">
        <f>_xlfn.XLOOKUP(R38,'دیده بان بازار'!$A$3:$A$3542,'دیده بان بازار'!$M$3:$M$3542,"")</f>
        <v>2.99</v>
      </c>
      <c r="W38" s="2386">
        <f>_xlfn.XLOOKUP($R38,'Price Record'!$C$6:$C$100,'Price Record'!G$6:G$100,"")</f>
        <v>45770</v>
      </c>
      <c r="X38" s="337">
        <f>_xlfn.XLOOKUP(R38,'دیده بان بازار'!$A$3:$A$3542,'دیده بان بازار'!$J$3:$J$3542,"")</f>
        <v>2.99</v>
      </c>
      <c r="Y38" s="1708">
        <f t="shared" si="7"/>
        <v>5163.3</v>
      </c>
      <c r="Z38" s="661"/>
      <c r="AA38" s="822">
        <f t="shared" si="9"/>
        <v>7.4693451604487399E-2</v>
      </c>
      <c r="AB38" s="511">
        <f t="shared" ca="1" si="10"/>
        <v>4.9315068493150684E-2</v>
      </c>
      <c r="AC38" s="2194">
        <f t="shared" ca="1" si="11"/>
        <v>-12.689191555668357</v>
      </c>
      <c r="AD38" s="1150">
        <f t="shared" si="12"/>
        <v>7.4693451604487399E-2</v>
      </c>
      <c r="AE38" s="1150">
        <f t="shared" si="13"/>
        <v>2.0244493392070484</v>
      </c>
      <c r="AF38" s="1150">
        <f t="shared" si="14"/>
        <v>1.7462000000000002</v>
      </c>
      <c r="AG38" s="1150">
        <f t="shared" si="15"/>
        <v>1.4755408653846156</v>
      </c>
      <c r="AH38" s="1150" t="str">
        <f t="shared" si="16"/>
        <v/>
      </c>
      <c r="AI38" s="275">
        <f t="shared" ca="1" si="17"/>
        <v>345</v>
      </c>
      <c r="AJ38" s="1121">
        <v>46219</v>
      </c>
      <c r="AK38" s="1116">
        <v>46316</v>
      </c>
      <c r="AL38" s="1345">
        <f t="shared" si="18"/>
        <v>900000000</v>
      </c>
      <c r="AM38" s="29"/>
      <c r="AN38" s="29"/>
      <c r="AO38" s="685">
        <v>0.05</v>
      </c>
      <c r="AP38" s="174"/>
      <c r="AQ38" s="1925">
        <v>2136</v>
      </c>
      <c r="AR38" s="1925">
        <v>485</v>
      </c>
      <c r="AS38" s="766">
        <f>_xlfn.XLOOKUP(R38,'Sales Rec'!$E$4:$E$86,'Sales Rec'!$X$4:$X$86,"")</f>
        <v>4173.556889352818</v>
      </c>
      <c r="AT38" s="984">
        <f>_xlfn.XLOOKUP(R38,'Sales Rec'!$E$4:$E$86,'Sales Rec'!$K$4:$K$86,"")</f>
        <v>4</v>
      </c>
      <c r="AU38" s="376">
        <f t="shared" si="19"/>
        <v>0.98699984430756582</v>
      </c>
      <c r="AV38" s="99">
        <f t="shared" si="20"/>
        <v>-1.2575455867045771</v>
      </c>
      <c r="AW38" s="16">
        <v>874</v>
      </c>
      <c r="AX38" s="16">
        <v>85</v>
      </c>
      <c r="AY38" s="1421">
        <f t="shared" si="21"/>
        <v>9.7000000000000003E-2</v>
      </c>
      <c r="AZ38" s="1419">
        <v>0.114</v>
      </c>
      <c r="BA38" s="1689">
        <v>0.22700000000000001</v>
      </c>
      <c r="BB38" s="1690">
        <v>0.14599999999999999</v>
      </c>
      <c r="BC38" s="100">
        <f t="shared" ref="BC38:BC56" si="65">IF(BD38=0,0,MIN(MAX(IF(BD38=BE38,BD38-BG38,BD38-BE38)*$S$65, -10), 10))</f>
        <v>-1.7000000000000002</v>
      </c>
      <c r="BD38" s="1420">
        <f t="shared" si="23"/>
        <v>9.7000000000000003E-2</v>
      </c>
      <c r="BE38" s="1419">
        <v>0.114</v>
      </c>
      <c r="BF38" s="1687">
        <v>0.22700000000000001</v>
      </c>
      <c r="BG38" s="1688">
        <v>0.14499999999999999</v>
      </c>
      <c r="BH38" s="306">
        <f t="shared" si="24"/>
        <v>0</v>
      </c>
      <c r="BI38" s="1861">
        <f t="shared" si="25"/>
        <v>0</v>
      </c>
      <c r="BJ38" s="306">
        <f t="shared" si="26"/>
        <v>0</v>
      </c>
      <c r="BK38" s="99">
        <v>1</v>
      </c>
      <c r="BL38" s="306">
        <f>_xlfn.XLOOKUP(R38,'Sales Rec'!$E$4:$E$91,'Sales Rec'!$Y$4:$Y$91,"")</f>
        <v>0.95391240138240541</v>
      </c>
      <c r="BM38" s="99">
        <f t="shared" si="27"/>
        <v>10</v>
      </c>
      <c r="BN38" s="15"/>
      <c r="BO38" s="1803">
        <v>3</v>
      </c>
      <c r="BP38" s="842">
        <f t="shared" si="28"/>
        <v>1</v>
      </c>
      <c r="BQ38" s="16">
        <v>1743</v>
      </c>
      <c r="BR38" s="16"/>
      <c r="BS38" s="16"/>
      <c r="BT38" s="1253">
        <f>(_xlfn.XLOOKUP(R38,'Sales Rec'!$E$37:$E$91,'Sales Rec'!$X$37:$X$91)*BD38+CM38)*1000/CK38</f>
        <v>5809.277980746926</v>
      </c>
      <c r="BU38" s="1246">
        <f t="shared" si="29"/>
        <v>6977.7777777777783</v>
      </c>
      <c r="BV38" s="406"/>
      <c r="BW38" s="407">
        <f t="shared" si="30"/>
        <v>7.1588019735483934</v>
      </c>
      <c r="BX38" s="99">
        <f t="shared" si="31"/>
        <v>-10</v>
      </c>
      <c r="BY38" s="18">
        <f t="shared" si="32"/>
        <v>575.4175091336117</v>
      </c>
      <c r="BZ38" s="18">
        <f t="shared" si="33"/>
        <v>711.45077720207257</v>
      </c>
      <c r="CA38" s="18">
        <f t="shared" si="34"/>
        <v>404.83501826722335</v>
      </c>
      <c r="CB38" s="1710">
        <f t="shared" si="35"/>
        <v>12.754084422093671</v>
      </c>
      <c r="CC38" s="266">
        <f>_xlfn.XLOOKUP($R38,'Price Record'!$C$6:$C$100,'Price Record'!I$6:I$100,"")</f>
        <v>7903</v>
      </c>
      <c r="CD38" s="267">
        <f>_xlfn.XLOOKUP($R38,'Price Record'!$C$6:$C$100,'Price Record'!J$6:J$100,"")</f>
        <v>5.79</v>
      </c>
      <c r="CE38" s="99">
        <f t="shared" si="36"/>
        <v>-2.37</v>
      </c>
      <c r="CF38" s="17">
        <f t="shared" si="37"/>
        <v>1.8264998602188143</v>
      </c>
      <c r="CG38" s="99">
        <f t="shared" si="38"/>
        <v>0.6940005591247429</v>
      </c>
      <c r="CH38" s="494">
        <f t="shared" si="39"/>
        <v>0.24888300568062791</v>
      </c>
      <c r="CI38" s="99">
        <f t="shared" si="40"/>
        <v>-2.2667549147905817</v>
      </c>
      <c r="CJ38" s="20"/>
      <c r="CK38" s="691">
        <v>90</v>
      </c>
      <c r="CL38" s="419">
        <v>781</v>
      </c>
      <c r="CM38" s="468">
        <v>118</v>
      </c>
      <c r="CN38" s="843">
        <v>72</v>
      </c>
      <c r="CO38" s="21">
        <v>157</v>
      </c>
      <c r="CP38" s="21">
        <v>0</v>
      </c>
      <c r="CQ38" s="469">
        <f t="shared" si="41"/>
        <v>157</v>
      </c>
      <c r="CR38" s="1239">
        <f>(AS38*BD38)*(_xlfn.XLOOKUP($R38,'Sales Rec'!$E$37:$E$91,'Sales Rec'!$L$37:$L$91,"")/12)+CP38</f>
        <v>134.94500608907444</v>
      </c>
      <c r="CS38" s="21">
        <v>938</v>
      </c>
      <c r="CT38" s="16">
        <v>-400</v>
      </c>
      <c r="CU38" s="2240" t="str">
        <f t="shared" si="42"/>
        <v/>
      </c>
      <c r="CV38" s="693">
        <f t="shared" si="43"/>
        <v>1237</v>
      </c>
      <c r="CW38" s="49">
        <v>575</v>
      </c>
      <c r="CX38" s="21">
        <v>33</v>
      </c>
      <c r="CY38" s="49">
        <v>476</v>
      </c>
      <c r="CZ38" s="53">
        <f t="shared" si="44"/>
        <v>1051</v>
      </c>
      <c r="DA38" s="1058">
        <f t="shared" si="45"/>
        <v>1.8695652173913044</v>
      </c>
      <c r="DB38" s="99">
        <f t="shared" si="46"/>
        <v>5.3565217391304358</v>
      </c>
      <c r="DC38" s="53">
        <f t="shared" si="47"/>
        <v>2288</v>
      </c>
      <c r="DD38" s="645">
        <f t="shared" si="48"/>
        <v>0.45935314685314688</v>
      </c>
      <c r="DE38" s="13">
        <v>1213</v>
      </c>
      <c r="DF38" s="24">
        <v>520</v>
      </c>
      <c r="DG38" s="24">
        <v>0</v>
      </c>
      <c r="DH38" s="51">
        <v>1075</v>
      </c>
      <c r="DI38" s="8">
        <f t="shared" si="62"/>
        <v>500</v>
      </c>
      <c r="DJ38" s="644">
        <f t="shared" si="49"/>
        <v>8.3471137787056353</v>
      </c>
      <c r="DK38" s="22">
        <v>602</v>
      </c>
      <c r="DL38" s="22">
        <v>7</v>
      </c>
      <c r="DM38" s="22">
        <v>245</v>
      </c>
      <c r="DN38" s="138">
        <f t="shared" si="50"/>
        <v>0.45935314685314688</v>
      </c>
      <c r="DO38" s="99">
        <f t="shared" si="51"/>
        <v>0.55606141740232262</v>
      </c>
      <c r="DP38" s="22">
        <v>0</v>
      </c>
      <c r="DQ38" s="8">
        <f t="shared" si="52"/>
        <v>221</v>
      </c>
      <c r="DR38" s="138">
        <f t="shared" si="53"/>
        <v>-8.1514687492319091E-2</v>
      </c>
      <c r="DS38" s="99">
        <f t="shared" si="54"/>
        <v>0</v>
      </c>
      <c r="DT38" s="8">
        <f t="shared" si="55"/>
        <v>28766.92</v>
      </c>
      <c r="DU38" s="8">
        <f t="shared" si="56"/>
        <v>25120</v>
      </c>
      <c r="DV38" s="235">
        <f t="shared" si="57"/>
        <v>8677.7777777777774</v>
      </c>
      <c r="DW38" s="8">
        <f t="shared" si="58"/>
        <v>31282.34888888889</v>
      </c>
      <c r="DX38" s="411">
        <f t="shared" si="59"/>
        <v>97</v>
      </c>
      <c r="DY38" s="1117">
        <v>4470</v>
      </c>
      <c r="DZ38" s="857">
        <f t="shared" si="60"/>
        <v>9.4985125371865708E-2</v>
      </c>
      <c r="EA38" s="386"/>
      <c r="EB38" s="504"/>
      <c r="EC38" s="510"/>
      <c r="ED38" s="435"/>
      <c r="EE38" s="510">
        <v>18490</v>
      </c>
      <c r="EF38" s="435">
        <v>1664</v>
      </c>
      <c r="EG38" s="510">
        <v>16670</v>
      </c>
      <c r="EH38" s="435">
        <v>1500</v>
      </c>
      <c r="EI38" s="510">
        <v>15130</v>
      </c>
      <c r="EJ38" s="435">
        <v>1362</v>
      </c>
      <c r="EK38" s="510">
        <v>42590</v>
      </c>
      <c r="EL38" s="1606">
        <v>3833</v>
      </c>
      <c r="EM38" s="1224">
        <v>42590</v>
      </c>
      <c r="EN38" s="834">
        <v>3833</v>
      </c>
      <c r="EO38" s="835" t="str">
        <f t="shared" si="63"/>
        <v/>
      </c>
      <c r="EP38" s="1648" t="str">
        <f t="shared" si="61"/>
        <v>NEW</v>
      </c>
      <c r="EQ38"/>
    </row>
    <row r="39" spans="1:147" ht="35" customHeight="1">
      <c r="A39" s="99">
        <f>_xlfn.XLOOKUP(R39,'MOPFRA Ranking'!$E$6:$E$55,'MOPFRA Ranking'!$AE$6:$AE$55)</f>
        <v>-1.2993818292259467</v>
      </c>
      <c r="B39" s="99">
        <f t="shared" ref="B39:B56" si="66">IFERROR(AV39+BM39+BX39+CE39+CG39+CI39+BK39+DB39+DO39+DS39,"")</f>
        <v>-2.1993818292259473</v>
      </c>
      <c r="C39" s="1585">
        <f t="shared" ref="C39:C56" ca="1" si="67">((((CL39*10000000000)/AL39)+CC39*0.8)/W39)/((AI39+DX39)/365)</f>
        <v>0.15070326019384275</v>
      </c>
      <c r="D39" s="2378">
        <f t="shared" ref="D39:D56" si="68">(CD39-BW39)</f>
        <v>1.8111582735754963</v>
      </c>
      <c r="E39" s="1414">
        <f t="shared" ref="E39:E56" si="69">IF(OR(AY39=AZ39, AY39=""), (AZ39-BB39), (AY39-AZ39))*100</f>
        <v>1.8000000000000016</v>
      </c>
      <c r="F39" s="1415">
        <f t="shared" ref="F39:F56" si="70">IF(OR(BD39=BE39, BD39=""), (BE39-BG39), (BD39-BE39))*100</f>
        <v>0.9000000000000008</v>
      </c>
      <c r="G39" s="2124" cm="1">
        <f t="array" ref="G39">IFERROR(_xlfn.XLOOKUP(R39,'Sales Rec'!$E$37:$E$91,'Sales Rec'!$CU$37:$CU$91*100,""),"")</f>
        <v>9.4059925961879731</v>
      </c>
      <c r="H39" s="2313">
        <f>_xlfn.XLOOKUP(R39,'Sales Rec'!$E$37:$E$86,'Sales Rec'!$DQ$37:$DQ$86,"")</f>
        <v>0.78352180936995153</v>
      </c>
      <c r="I39" s="2312">
        <f>_xlfn.XLOOKUP(R39,'Sales History'!$C$4:$C$83,'Sales History'!$AS$4:$AS$83,"")</f>
        <v>0.70861678004535145</v>
      </c>
      <c r="J39" s="2313">
        <f>_xlfn.XLOOKUP(R39,'Sales History'!$C$4:$C$83,'Sales History'!$AW$4:$AW$83,"")</f>
        <v>1.5026041666666667</v>
      </c>
      <c r="K39" s="1942">
        <f>_xlfn.XLOOKUP(R39,'Sales Rec'!$E$4:$E$91,'Sales Rec'!$CV$4:$CV$91,"")</f>
        <v>30</v>
      </c>
      <c r="L39" s="1587">
        <f>_xlfn.XLOOKUP(R39,'MOPFRA Ranking'!$E$6:$E$55,'MOPFRA Ranking'!$AG$6:$AG$55,"")</f>
        <v>29</v>
      </c>
      <c r="M39" s="1582" t="str">
        <f>_xlfn.XLOOKUP(R39,'Sales Rec'!$E$4:$E$105,'Sales Rec'!$DS$4:$DS$105,"")</f>
        <v>B</v>
      </c>
      <c r="N39" s="1582" t="str">
        <f>_xlfn.XLOOKUP(R39,'Sales Rec'!$E$4:$E$105,'Sales Rec'!$DZ$4:$DZ$105,"")</f>
        <v>B</v>
      </c>
      <c r="O39" s="2365" t="str">
        <f>_xlfn.XLOOKUP($R39,'History Records'!$B$7:$B$88,'History Records'!$G$7:$G$88,"")</f>
        <v/>
      </c>
      <c r="P39" s="856" t="s">
        <v>168</v>
      </c>
      <c r="Q39" s="2364" t="s">
        <v>166</v>
      </c>
      <c r="R39" s="1571" t="s">
        <v>167</v>
      </c>
      <c r="S39" s="1929">
        <v>12</v>
      </c>
      <c r="T39" s="1641">
        <f t="shared" ref="T39:T56" si="71">(W39*AL39)/10000000000</f>
        <v>17248.8</v>
      </c>
      <c r="U39" s="2386">
        <f>_xlfn.XLOOKUP($R39,'Price Record'!$C$6:$C$100,'Price Record'!H$6:H$100,"")</f>
        <v>71870</v>
      </c>
      <c r="V39" s="338">
        <f>_xlfn.XLOOKUP(R39,'دیده بان بازار'!$A$3:$A$3542,'دیده بان بازار'!$M$3:$M$3542,"")</f>
        <v>3</v>
      </c>
      <c r="W39" s="2386">
        <f>_xlfn.XLOOKUP($R39,'Price Record'!$C$6:$C$100,'Price Record'!G$6:G$100,"")</f>
        <v>71870</v>
      </c>
      <c r="X39" s="337">
        <f>_xlfn.XLOOKUP(R39,'دیده بان بازار'!$A$3:$A$3542,'دیده بان بازار'!$J$3:$J$3542,"")</f>
        <v>3</v>
      </c>
      <c r="Y39" s="1708">
        <f t="shared" ref="Y39:Y56" si="72">T39+CZ39-DL39-DP39</f>
        <v>19298.8</v>
      </c>
      <c r="Z39" s="661" t="str">
        <f t="shared" ref="Z39:Z56" si="73">IFERROR(IF(V39-X39&lt;-1.5,"B",IF(V39-X39&gt;1.5,"S","")),"")</f>
        <v/>
      </c>
      <c r="AA39" s="822">
        <f t="shared" ref="AA39:AA56" si="74">IFERROR((T39-EN39)/EN39,0)</f>
        <v>6.395262768319758E-2</v>
      </c>
      <c r="AB39" s="511">
        <f t="shared" ref="AB39:AB56" ca="1" si="75">((365-AI39)/365)*$AB$2</f>
        <v>0.11095890410958904</v>
      </c>
      <c r="AC39" s="2194">
        <f t="shared" ref="AC39:AC56" ca="1" si="76">IFERROR(((AB39-AA39)*10000)/(365-AI39),"")</f>
        <v>10.44583920586477</v>
      </c>
      <c r="AD39" s="1150">
        <f t="shared" ref="AD39:AD56" si="77">IFERROR(($T39-EL39)/EL39,"")</f>
        <v>6.395262768319758E-2</v>
      </c>
      <c r="AE39" s="1150">
        <f t="shared" ref="AE39:AE56" si="78">IFERROR((T39-EJ39)/EJ39,"")</f>
        <v>1.4563941896895469</v>
      </c>
      <c r="AF39" s="1150">
        <f t="shared" ref="AF39:AF56" si="79">IFERROR((T39-EH39)/EH39,"")</f>
        <v>3.2982307500622974</v>
      </c>
      <c r="AG39" s="1150">
        <f t="shared" ref="AG39:AG56" si="80">IFERROR((T39-EF39)/EF39,"")</f>
        <v>3.5631746031746028</v>
      </c>
      <c r="AH39" s="1150">
        <f t="shared" ref="AH39:AH56" si="81">IFERROR((T39-ED39)/ED39,"")</f>
        <v>9.0517482517482506</v>
      </c>
      <c r="AI39" s="275">
        <f t="shared" ref="AI39:AI56" ca="1" si="82">IF((AJ39-TODAY())&gt;0,AJ39-TODAY(),(365-(TODAY()-AJ39)))</f>
        <v>320</v>
      </c>
      <c r="AJ39" s="1121">
        <v>46194</v>
      </c>
      <c r="AK39" s="1116">
        <v>46305</v>
      </c>
      <c r="AL39" s="1345">
        <f t="shared" ref="AL39:AL56" si="83">CK39*10000000</f>
        <v>2400000000</v>
      </c>
      <c r="AM39" s="29"/>
      <c r="AN39" s="29"/>
      <c r="AO39" s="685">
        <v>0.2</v>
      </c>
      <c r="AP39" s="174"/>
      <c r="AQ39" s="1925">
        <v>4221</v>
      </c>
      <c r="AR39" s="1925">
        <v>2302</v>
      </c>
      <c r="AS39" s="766">
        <f>_xlfn.XLOOKUP(R39,'Sales Rec'!$E$4:$E$86,'Sales Rec'!$X$4:$X$86,"")</f>
        <v>6717.8727786752825</v>
      </c>
      <c r="AT39" s="984">
        <f>_xlfn.XLOOKUP(R39,'Sales Rec'!$E$4:$E$86,'Sales Rec'!$K$4:$K$86,"")</f>
        <v>4</v>
      </c>
      <c r="AU39" s="376">
        <f t="shared" ref="AU39:AU56" si="84">(T39-(CP39*CD39))/AS39</f>
        <v>2.5687506400505056</v>
      </c>
      <c r="AV39" s="99">
        <f t="shared" ref="AV39:AV56" si="85">MIN(MAX((_xlfn.XLOOKUP($P39,$U$63:$BD$63,$U$64:$BD$64, "")-$AU39)*$S$64, -10), 10)</f>
        <v>-7.6495558954817122</v>
      </c>
      <c r="AW39" s="16">
        <v>1507</v>
      </c>
      <c r="AX39" s="16">
        <v>901</v>
      </c>
      <c r="AY39" s="1421">
        <f t="shared" ref="AY39:AY56" si="86">ROUND(AX39/AW39,3)</f>
        <v>0.59799999999999998</v>
      </c>
      <c r="AZ39" s="1419">
        <v>0.57999999999999996</v>
      </c>
      <c r="BA39" s="1689">
        <v>0.54500000000000004</v>
      </c>
      <c r="BB39" s="1690">
        <v>0.49299999999999999</v>
      </c>
      <c r="BC39" s="100">
        <f t="shared" si="65"/>
        <v>0.9000000000000008</v>
      </c>
      <c r="BD39" s="1420">
        <f t="shared" ref="BD39:BD56" si="87">IF(CO39=0,BF39,ROUND((CO39-CN39)/AW39,3))</f>
        <v>0.44800000000000001</v>
      </c>
      <c r="BE39" s="1419">
        <v>0.439</v>
      </c>
      <c r="BF39" s="1687">
        <v>0.44700000000000001</v>
      </c>
      <c r="BG39" s="1688">
        <v>0.39600000000000002</v>
      </c>
      <c r="BH39" s="306">
        <f t="shared" ref="BH39:BH56" si="88">AY39-BD39</f>
        <v>0.14999999999999997</v>
      </c>
      <c r="BI39" s="1861">
        <f t="shared" ref="BI39:BI56" si="89">IFERROR(BH39*AW39*(4/BP39),"")</f>
        <v>904.19999999999982</v>
      </c>
      <c r="BJ39" s="306">
        <f t="shared" ref="BJ39:BJ56" si="90">AZ39-BE39</f>
        <v>0.14099999999999996</v>
      </c>
      <c r="BK39" s="99">
        <v>0</v>
      </c>
      <c r="BL39" s="306">
        <f>_xlfn.XLOOKUP(R39,'Sales Rec'!$E$4:$E$91,'Sales Rec'!$Y$4:$Y$91,"")</f>
        <v>0.59153583953453748</v>
      </c>
      <c r="BM39" s="99">
        <f t="shared" ref="BM39:BM56" si="91">IFERROR(MIN(MAX((BL39-AA39)*$S$66,-10),10),0)</f>
        <v>10</v>
      </c>
      <c r="BN39" s="15"/>
      <c r="BO39" s="1803">
        <v>3</v>
      </c>
      <c r="BP39" s="842">
        <f t="shared" ref="BP39:BP56" si="92">IF((BO39-S39+12)/3&gt;4,(BO39-S39+12)/3-4, (BO39-S39+12)/3)</f>
        <v>1</v>
      </c>
      <c r="BQ39" s="16">
        <v>2881</v>
      </c>
      <c r="BR39" s="16"/>
      <c r="BS39" s="16"/>
      <c r="BT39" s="1253">
        <f>(_xlfn.XLOOKUP(R39,'Sales Rec'!$E$37:$E$91,'Sales Rec'!$X$37:$X$91)*BD39+CM39)*1000/CK39</f>
        <v>12727.529186860529</v>
      </c>
      <c r="BU39" s="1246">
        <f t="shared" ref="BU39:BU56" si="93">IF((CO39/CK39)*1000*(12/(12-(S39-BO39)))=0,CC39,IF(S39-BO39&gt;=0,((CQ39/CK39)*1000*(12/(12-(S39-BO39)))),((CQ39/CK39)*1000*(12/(BO39-S39)))))</f>
        <v>11516.666666666668</v>
      </c>
      <c r="BV39" s="406"/>
      <c r="BW39" s="407">
        <f t="shared" ref="BW39:BW56" si="94">IF(CO39=0,W39/BU39,(W39*2)/(BT39+BU39))</f>
        <v>5.9288417264245039</v>
      </c>
      <c r="BX39" s="99">
        <f t="shared" ref="BX39:BX56" si="95">MIN(MAX(IF(BW39&lt;0,-20, IF(BW39&gt;50, -20,($R$67-BW39)*$S$67)), -10), 10)</f>
        <v>-4.6442086321225196</v>
      </c>
      <c r="BY39" s="18">
        <f t="shared" ref="BY39:BY56" si="96">IFERROR(T39/BW39,"")</f>
        <v>2909.3035024232636</v>
      </c>
      <c r="BZ39" s="18">
        <f t="shared" ref="BZ39:BZ56" si="97">T39/CD39</f>
        <v>2228.5271317829456</v>
      </c>
      <c r="CA39" s="18">
        <f t="shared" ref="CA39:CA56" si="98">AS39*AY39</f>
        <v>4017.2879216478186</v>
      </c>
      <c r="CB39" s="1710">
        <f t="shared" ref="CB39:CB56" si="99">Y39/CA39</f>
        <v>4.803937476327059</v>
      </c>
      <c r="CC39" s="266">
        <f>_xlfn.XLOOKUP($R39,'Price Record'!$C$6:$C$100,'Price Record'!I$6:I$100,"")</f>
        <v>9289</v>
      </c>
      <c r="CD39" s="267">
        <f>_xlfn.XLOOKUP($R39,'Price Record'!$C$6:$C$100,'Price Record'!J$6:J$100,"")</f>
        <v>7.74</v>
      </c>
      <c r="CE39" s="99">
        <f t="shared" ref="CE39:CE56" si="100">MIN(MAX(IF(CD39&lt;0,-20, IF(CD39&gt;50, -20,($R$68-CD39)*$S$68)), -10), 10)</f>
        <v>-8.2200000000000006</v>
      </c>
      <c r="CF39" s="17">
        <f t="shared" ref="CF39:CF56" si="101">CZ39/BY39</f>
        <v>1.0535167600929403</v>
      </c>
      <c r="CG39" s="99">
        <f t="shared" ref="CG39:CG56" si="102">MIN(MAX(($R$69-CF39)*$S$69, -10), 10)</f>
        <v>3.7859329596282389</v>
      </c>
      <c r="CH39" s="494">
        <f t="shared" ref="CH39:CH56" si="103">BY39/(CV39+DH39)</f>
        <v>0.41290143378133176</v>
      </c>
      <c r="CI39" s="99">
        <f t="shared" ref="CI39:CI56" si="104">MIN(MAX((CH39-$R$70)*$S$70, -10), 10)</f>
        <v>0.19352150671997609</v>
      </c>
      <c r="CJ39" s="377"/>
      <c r="CK39" s="691">
        <v>240</v>
      </c>
      <c r="CL39" s="419">
        <v>1286</v>
      </c>
      <c r="CM39" s="468">
        <v>45</v>
      </c>
      <c r="CN39" s="843">
        <v>16</v>
      </c>
      <c r="CO39" s="21">
        <v>691</v>
      </c>
      <c r="CP39" s="21">
        <v>-1</v>
      </c>
      <c r="CQ39" s="469">
        <f t="shared" ref="CQ39:CQ56" si="105">IF(AND(CN39&gt;0, CM39&gt;(CN39/(BP39/4))), CO39+CM39*BP39/4-CN39, CO39)</f>
        <v>691</v>
      </c>
      <c r="CR39" s="1239">
        <f>(AS39*BD39)*(_xlfn.XLOOKUP($R39,'Sales Rec'!$E$37:$E$91,'Sales Rec'!$L$37:$L$91,"")/12)+CP39</f>
        <v>1002.2023349488422</v>
      </c>
      <c r="CS39" s="21">
        <v>1977</v>
      </c>
      <c r="CT39" s="16">
        <v>-4</v>
      </c>
      <c r="CU39" s="2240" t="str">
        <f t="shared" ref="CU39:CU56" si="106">_xlfn.TEXTJOIN(", ",TRUE,
    IF(CV39/(CK39*1.1+CS39+CT39)&lt;=0.975,"Check EQ",""),
    IF(CS39&lt;&gt;(CO39+CL39),"Check RE","")
)</f>
        <v/>
      </c>
      <c r="CV39" s="693">
        <f t="shared" ref="CV39:CV56" si="107">DC39-CZ39</f>
        <v>2238</v>
      </c>
      <c r="CW39" s="49">
        <v>2782</v>
      </c>
      <c r="CX39" s="21">
        <v>603</v>
      </c>
      <c r="CY39" s="49">
        <v>283</v>
      </c>
      <c r="CZ39" s="53">
        <f t="shared" ref="CZ39:CZ56" si="108">CW39+CY39</f>
        <v>3065</v>
      </c>
      <c r="DA39" s="1058">
        <f t="shared" ref="DA39:DA56" si="109">DH39/CW39</f>
        <v>1.728253055355859</v>
      </c>
      <c r="DB39" s="99">
        <f t="shared" ref="DB39:DB56" si="110">MIN(MAX((DA39-$R$72)*$S$72, -6), 6)</f>
        <v>4.2260244428468727</v>
      </c>
      <c r="DC39" s="53">
        <f t="shared" ref="DC39:DC56" si="111">DE39+DH39</f>
        <v>5303</v>
      </c>
      <c r="DD39" s="645">
        <f t="shared" ref="DD39:DD56" si="112">(CZ39/DC39)</f>
        <v>0.57797473128417876</v>
      </c>
      <c r="DE39" s="13">
        <v>495</v>
      </c>
      <c r="DF39" s="24">
        <v>491</v>
      </c>
      <c r="DG39" s="24">
        <v>1</v>
      </c>
      <c r="DH39" s="51">
        <v>4808</v>
      </c>
      <c r="DI39" s="8">
        <f t="shared" si="62"/>
        <v>2026</v>
      </c>
      <c r="DJ39" s="644">
        <f t="shared" ref="DJ39:DJ56" si="113">AS39/DI39</f>
        <v>3.3158305916462401</v>
      </c>
      <c r="DK39" s="22">
        <v>1077</v>
      </c>
      <c r="DL39" s="22">
        <v>1012</v>
      </c>
      <c r="DM39" s="22">
        <v>1847</v>
      </c>
      <c r="DN39" s="138">
        <f t="shared" ref="DN39:DN56" si="114">CZ39/DC39</f>
        <v>0.57797473128417876</v>
      </c>
      <c r="DO39" s="99">
        <f t="shared" ref="DO39:DO56" si="115">MIN(MAX((_xlfn.XLOOKUP($P39,$U$63:$AP$63,$U$73:$AP$73, "")-$DN39)*$S$73, -6), 6)</f>
        <v>0.10890378918319787</v>
      </c>
      <c r="DP39" s="22">
        <v>3</v>
      </c>
      <c r="DQ39" s="8">
        <f t="shared" ref="DQ39:DQ56" si="116">DH39-DK39-DL39-DP39-DM39</f>
        <v>869</v>
      </c>
      <c r="DR39" s="138">
        <f t="shared" ref="DR39:DR55" si="117">(DP39-CX39)/CA39</f>
        <v>-0.14935449280764793</v>
      </c>
      <c r="DS39" s="99">
        <f t="shared" ref="DS39:DS56" si="118">MIN(MAX(ROUNDDOWN(DR39*5,0),-10),5)</f>
        <v>0</v>
      </c>
      <c r="DT39" s="8">
        <f t="shared" ref="DT39:DT56" si="119">($CC39/$R$62)*(IF(($S39+2-$R$61)&lt;0,(88-$S39-2+$R$61),(100-($S39+2-$R$61))))/100</f>
        <v>33811.96</v>
      </c>
      <c r="DU39" s="8">
        <f t="shared" ref="DU39:DU56" si="120">($BU39/$R$62)*(IF(($S39+2-$R$61)&lt;0,(88-$S39-2+$R$61),(100-($S39+3-$R$61))))/100</f>
        <v>41460.000000000007</v>
      </c>
      <c r="DV39" s="235">
        <f t="shared" ref="DV39:DV56" si="121">((CS39-CO39)*10000000000)/AL39</f>
        <v>5358.333333333333</v>
      </c>
      <c r="DW39" s="8">
        <f t="shared" ref="DW39:DW56" si="122">(DT39+DU39+DV39)/2</f>
        <v>40315.146666666667</v>
      </c>
      <c r="DX39" s="411">
        <f t="shared" ref="DX39:DX56" si="123">IFERROR((AK39-AJ39),230)</f>
        <v>111</v>
      </c>
      <c r="DY39" s="1117">
        <v>5700</v>
      </c>
      <c r="DZ39" s="857">
        <f t="shared" ref="DZ39:DZ56" si="124">DY39/(DY39+EM39)</f>
        <v>7.7815699658703066E-2</v>
      </c>
      <c r="EA39" s="386"/>
      <c r="EB39" s="504"/>
      <c r="EC39" s="510">
        <v>21450</v>
      </c>
      <c r="ED39" s="435">
        <v>1716</v>
      </c>
      <c r="EE39" s="510">
        <v>15750</v>
      </c>
      <c r="EF39" s="435">
        <v>3780</v>
      </c>
      <c r="EG39" s="510">
        <v>16720</v>
      </c>
      <c r="EH39" s="435">
        <v>4013</v>
      </c>
      <c r="EI39" s="510">
        <v>29260</v>
      </c>
      <c r="EJ39" s="435">
        <v>7022</v>
      </c>
      <c r="EK39" s="510">
        <v>67550</v>
      </c>
      <c r="EL39" s="1606">
        <v>16212</v>
      </c>
      <c r="EM39" s="1224">
        <v>67550</v>
      </c>
      <c r="EN39" s="834">
        <v>16212</v>
      </c>
      <c r="EO39" s="835">
        <f t="shared" si="63"/>
        <v>8.4475524475524484</v>
      </c>
      <c r="EP39" s="1648">
        <f t="shared" ref="EP39:EP56" si="125">IFERROR(RANK(EO39,$EO$7:$EO$61),"NEW")</f>
        <v>3</v>
      </c>
      <c r="EQ39"/>
    </row>
    <row r="40" spans="1:147" ht="35" customHeight="1">
      <c r="A40" s="99">
        <f>_xlfn.XLOOKUP(R40,'MOPFRA Ranking'!$E$6:$E$55,'MOPFRA Ranking'!$AE$6:$AE$55)</f>
        <v>-2.1757077800753883</v>
      </c>
      <c r="B40" s="99">
        <f t="shared" si="66"/>
        <v>-1.7757077800753882</v>
      </c>
      <c r="C40" s="1585">
        <f t="shared" ca="1" si="67"/>
        <v>0.29432040037345641</v>
      </c>
      <c r="D40" s="2378">
        <f t="shared" si="68"/>
        <v>0.57232885613075801</v>
      </c>
      <c r="E40" s="1414">
        <f t="shared" si="69"/>
        <v>-0.10000000000000009</v>
      </c>
      <c r="F40" s="1415">
        <f t="shared" si="70"/>
        <v>-0.40000000000000036</v>
      </c>
      <c r="G40" s="2124" cm="1">
        <f t="array" ref="G40">IFERROR(_xlfn.XLOOKUP(R40,'Sales Rec'!$E$37:$E$91,'Sales Rec'!$CU$37:$CU$91*100,""),"")</f>
        <v>5.0638005307690745</v>
      </c>
      <c r="H40" s="2313">
        <f>_xlfn.XLOOKUP(R40,'Sales Rec'!$E$37:$E$86,'Sales Rec'!$DQ$37:$DQ$86,"")</f>
        <v>0.36567593480345156</v>
      </c>
      <c r="I40" s="2312">
        <f>_xlfn.XLOOKUP(R40,'Sales History'!$C$4:$C$83,'Sales History'!$AS$4:$AS$83,"")</f>
        <v>0</v>
      </c>
      <c r="J40" s="2313">
        <f>_xlfn.XLOOKUP(R40,'Sales History'!$C$4:$C$83,'Sales History'!$AW$4:$AW$83,"")</f>
        <v>0.37887485648679681</v>
      </c>
      <c r="K40" s="1942">
        <f>_xlfn.XLOOKUP(R40,'Sales Rec'!$E$4:$E$91,'Sales Rec'!$CV$4:$CV$91,"")</f>
        <v>42</v>
      </c>
      <c r="L40" s="1587">
        <f>_xlfn.XLOOKUP(R40,'MOPFRA Ranking'!$E$6:$E$55,'MOPFRA Ranking'!$AG$6:$AG$55,"")</f>
        <v>39</v>
      </c>
      <c r="M40" s="1582" t="str">
        <f>_xlfn.XLOOKUP(R40,'Sales Rec'!$E$4:$E$105,'Sales Rec'!$DS$4:$DS$105,"")</f>
        <v>N</v>
      </c>
      <c r="N40" s="1582" t="str">
        <f>_xlfn.XLOOKUP(R40,'Sales Rec'!$E$4:$E$105,'Sales Rec'!$DZ$4:$DZ$105,"")</f>
        <v>N</v>
      </c>
      <c r="O40" s="2365" t="str">
        <f>_xlfn.XLOOKUP($R40,'History Records'!$B$7:$B$88,'History Records'!$G$7:$G$88,"")</f>
        <v/>
      </c>
      <c r="P40" s="856" t="s">
        <v>464</v>
      </c>
      <c r="Q40" s="2364" t="s">
        <v>183</v>
      </c>
      <c r="R40" s="1571" t="s">
        <v>184</v>
      </c>
      <c r="S40" s="1929">
        <v>9</v>
      </c>
      <c r="T40" s="66">
        <f t="shared" si="71"/>
        <v>8871.0512000000017</v>
      </c>
      <c r="U40" s="2386">
        <f>_xlfn.XLOOKUP($R40,'Price Record'!$C$6:$C$100,'Price Record'!H$6:H$100,"")</f>
        <v>6460</v>
      </c>
      <c r="V40" s="338">
        <f>_xlfn.XLOOKUP(R40,'دیده بان بازار'!$A$3:$A$3542,'دیده بان بازار'!$M$3:$M$3542,"")</f>
        <v>2.38</v>
      </c>
      <c r="W40" s="2386">
        <f>_xlfn.XLOOKUP($R40,'Price Record'!$C$6:$C$100,'Price Record'!G$6:G$100,"")</f>
        <v>6490</v>
      </c>
      <c r="X40" s="337">
        <f>_xlfn.XLOOKUP(R40,'دیده بان بازار'!$A$3:$A$3542,'دیده بان بازار'!$J$3:$J$3542,"")</f>
        <v>2.85</v>
      </c>
      <c r="Y40" s="1708">
        <f t="shared" si="72"/>
        <v>15605.051200000002</v>
      </c>
      <c r="Z40" s="661" t="str">
        <f t="shared" si="73"/>
        <v/>
      </c>
      <c r="AA40" s="822">
        <f t="shared" si="74"/>
        <v>0.13862805801565931</v>
      </c>
      <c r="AB40" s="511">
        <f t="shared" ca="1" si="75"/>
        <v>0.26383561643835618</v>
      </c>
      <c r="AC40" s="2194">
        <f t="shared" ca="1" si="76"/>
        <v>11.701640974083819</v>
      </c>
      <c r="AD40" s="1150">
        <f t="shared" si="77"/>
        <v>0.13862805801565931</v>
      </c>
      <c r="AE40" s="1150">
        <f t="shared" si="78"/>
        <v>0.89755105882352981</v>
      </c>
      <c r="AF40" s="1150">
        <f t="shared" si="79"/>
        <v>0.98014535714285755</v>
      </c>
      <c r="AG40" s="1150">
        <f t="shared" si="80"/>
        <v>4.7604228571428582</v>
      </c>
      <c r="AH40" s="1150">
        <f t="shared" si="81"/>
        <v>8.2023352697095451</v>
      </c>
      <c r="AI40" s="275">
        <f t="shared" ca="1" si="82"/>
        <v>258</v>
      </c>
      <c r="AJ40" s="1121">
        <v>46132</v>
      </c>
      <c r="AK40" s="1830">
        <v>46201</v>
      </c>
      <c r="AL40" s="1345">
        <f t="shared" si="83"/>
        <v>13668800000.000002</v>
      </c>
      <c r="AM40" s="29"/>
      <c r="AN40" s="29"/>
      <c r="AO40" s="685">
        <v>0.28460000000000002</v>
      </c>
      <c r="AP40" s="174"/>
      <c r="AQ40" s="1925">
        <v>9231</v>
      </c>
      <c r="AR40" s="1925">
        <v>2232</v>
      </c>
      <c r="AS40" s="766">
        <f>_xlfn.XLOOKUP(R40,'Sales Rec'!$E$4:$E$86,'Sales Rec'!$X$4:$X$86,"")</f>
        <v>12140.062991371045</v>
      </c>
      <c r="AT40" s="984">
        <f>_xlfn.XLOOKUP(R40,'Sales Rec'!$E$4:$E$86,'Sales Rec'!$K$4:$K$86,"")</f>
        <v>4</v>
      </c>
      <c r="AU40" s="376">
        <f t="shared" si="84"/>
        <v>0.73191887112247245</v>
      </c>
      <c r="AV40" s="99">
        <f t="shared" si="85"/>
        <v>-0.25959323511843935</v>
      </c>
      <c r="AW40" s="16">
        <v>5894</v>
      </c>
      <c r="AX40" s="16">
        <v>1544</v>
      </c>
      <c r="AY40" s="1421">
        <f t="shared" si="86"/>
        <v>0.26200000000000001</v>
      </c>
      <c r="AZ40" s="1419">
        <v>0.26300000000000001</v>
      </c>
      <c r="BA40" s="1689">
        <v>0.24199999999999999</v>
      </c>
      <c r="BB40" s="1690">
        <v>0.27400000000000002</v>
      </c>
      <c r="BC40" s="100">
        <f t="shared" si="65"/>
        <v>-0.40000000000000036</v>
      </c>
      <c r="BD40" s="1420">
        <f t="shared" si="87"/>
        <v>0.17199999999999999</v>
      </c>
      <c r="BE40" s="1419">
        <v>0.17599999999999999</v>
      </c>
      <c r="BF40" s="1687">
        <v>0.16900000000000001</v>
      </c>
      <c r="BG40" s="1688">
        <v>0.191</v>
      </c>
      <c r="BH40" s="306">
        <f t="shared" si="88"/>
        <v>9.0000000000000024E-2</v>
      </c>
      <c r="BI40" s="1861">
        <f t="shared" si="89"/>
        <v>1060.9200000000003</v>
      </c>
      <c r="BJ40" s="306">
        <f t="shared" si="90"/>
        <v>8.7000000000000022E-2</v>
      </c>
      <c r="BK40" s="99">
        <v>0</v>
      </c>
      <c r="BL40" s="306">
        <f>_xlfn.XLOOKUP(R40,'Sales Rec'!$E$4:$E$91,'Sales Rec'!$Y$4:$Y$91,"")</f>
        <v>0.31514061221655781</v>
      </c>
      <c r="BM40" s="99">
        <f t="shared" si="91"/>
        <v>5.2953766260269557</v>
      </c>
      <c r="BN40" s="15"/>
      <c r="BO40" s="1803">
        <v>3</v>
      </c>
      <c r="BP40" s="842">
        <f t="shared" si="92"/>
        <v>2</v>
      </c>
      <c r="BQ40" s="16">
        <v>437</v>
      </c>
      <c r="BR40" s="16">
        <v>756</v>
      </c>
      <c r="BS40" s="16"/>
      <c r="BT40" s="1253">
        <f>(_xlfn.XLOOKUP(R40,'Sales Rec'!$E$37:$E$91,'Sales Rec'!$X$37:$X$91)*BD40+CM40)*1000/CK40</f>
        <v>1537.1435930848495</v>
      </c>
      <c r="BU40" s="1246">
        <f t="shared" si="93"/>
        <v>1511.4713800772561</v>
      </c>
      <c r="BV40" s="406"/>
      <c r="BW40" s="407">
        <f t="shared" si="94"/>
        <v>4.2576711438692421</v>
      </c>
      <c r="BX40" s="99">
        <f t="shared" si="95"/>
        <v>3.7116442806537897</v>
      </c>
      <c r="BY40" s="18">
        <f t="shared" si="96"/>
        <v>2083.5454172579098</v>
      </c>
      <c r="BZ40" s="18">
        <f t="shared" si="97"/>
        <v>1836.6565631469982</v>
      </c>
      <c r="CA40" s="18">
        <f t="shared" si="98"/>
        <v>3180.6965037392142</v>
      </c>
      <c r="CB40" s="1710">
        <f t="shared" si="99"/>
        <v>4.9061742236817523</v>
      </c>
      <c r="CC40" s="266">
        <f>_xlfn.XLOOKUP($R40,'Price Record'!$C$6:$C$100,'Price Record'!I$6:I$100,"")</f>
        <v>1338</v>
      </c>
      <c r="CD40" s="267">
        <f>_xlfn.XLOOKUP($R40,'Price Record'!$C$6:$C$100,'Price Record'!J$6:J$100,"")</f>
        <v>4.83</v>
      </c>
      <c r="CE40" s="99">
        <f t="shared" si="100"/>
        <v>0.50999999999999979</v>
      </c>
      <c r="CF40" s="17">
        <f t="shared" si="101"/>
        <v>3.4369301195384416</v>
      </c>
      <c r="CG40" s="99">
        <f t="shared" si="102"/>
        <v>-5.7477204781537665</v>
      </c>
      <c r="CH40" s="494">
        <f t="shared" si="103"/>
        <v>0.18905230172016241</v>
      </c>
      <c r="CI40" s="99">
        <f t="shared" si="104"/>
        <v>-3.1642154741975643</v>
      </c>
      <c r="CJ40" s="20"/>
      <c r="CK40" s="691">
        <v>1366.88</v>
      </c>
      <c r="CL40" s="419">
        <v>876</v>
      </c>
      <c r="CM40" s="468">
        <v>13</v>
      </c>
      <c r="CN40" s="843">
        <v>18</v>
      </c>
      <c r="CO40" s="21">
        <v>1033</v>
      </c>
      <c r="CP40" s="21">
        <v>-3</v>
      </c>
      <c r="CQ40" s="469">
        <f t="shared" si="105"/>
        <v>1033</v>
      </c>
      <c r="CR40" s="1239">
        <f>(AS40*BD40)*(_xlfn.XLOOKUP($R40,'Sales Rec'!$E$37:$E$91,'Sales Rec'!$L$37:$L$91,"")/12)+CP40</f>
        <v>1215.0529868008948</v>
      </c>
      <c r="CS40" s="21">
        <v>1909</v>
      </c>
      <c r="CT40" s="16">
        <v>-37</v>
      </c>
      <c r="CU40" s="2240" t="str">
        <f t="shared" si="106"/>
        <v/>
      </c>
      <c r="CV40" s="693">
        <f t="shared" si="107"/>
        <v>3417</v>
      </c>
      <c r="CW40" s="49">
        <v>6484</v>
      </c>
      <c r="CX40" s="21">
        <v>1477</v>
      </c>
      <c r="CY40" s="49">
        <v>677</v>
      </c>
      <c r="CZ40" s="53">
        <f t="shared" si="108"/>
        <v>7161</v>
      </c>
      <c r="DA40" s="1058">
        <f t="shared" si="109"/>
        <v>1.1727328809376927</v>
      </c>
      <c r="DB40" s="99">
        <f t="shared" si="110"/>
        <v>-0.21813695249845821</v>
      </c>
      <c r="DC40" s="53">
        <f t="shared" si="111"/>
        <v>10578</v>
      </c>
      <c r="DD40" s="645">
        <f t="shared" si="112"/>
        <v>0.6769710720363018</v>
      </c>
      <c r="DE40" s="13">
        <v>2974</v>
      </c>
      <c r="DF40" s="24">
        <v>2610</v>
      </c>
      <c r="DG40" s="24">
        <v>63</v>
      </c>
      <c r="DH40" s="51">
        <v>7604</v>
      </c>
      <c r="DI40" s="8">
        <f t="shared" si="62"/>
        <v>1120</v>
      </c>
      <c r="DJ40" s="644">
        <f t="shared" si="113"/>
        <v>10.83934195658129</v>
      </c>
      <c r="DK40" s="22">
        <v>2689</v>
      </c>
      <c r="DL40" s="22">
        <v>427</v>
      </c>
      <c r="DM40" s="22">
        <v>1597</v>
      </c>
      <c r="DN40" s="138">
        <f t="shared" si="114"/>
        <v>0.6769710720363018</v>
      </c>
      <c r="DO40" s="99">
        <f t="shared" si="115"/>
        <v>9.6937453212094793E-2</v>
      </c>
      <c r="DP40" s="22">
        <v>0</v>
      </c>
      <c r="DQ40" s="8">
        <f t="shared" si="116"/>
        <v>2891</v>
      </c>
      <c r="DR40" s="138">
        <f t="shared" si="117"/>
        <v>-0.46436370092639917</v>
      </c>
      <c r="DS40" s="99">
        <f t="shared" si="118"/>
        <v>-2</v>
      </c>
      <c r="DT40" s="8">
        <f t="shared" si="119"/>
        <v>5030.88</v>
      </c>
      <c r="DU40" s="8">
        <f t="shared" si="120"/>
        <v>5622.6735338873932</v>
      </c>
      <c r="DV40" s="235">
        <f t="shared" si="121"/>
        <v>640.87557064263126</v>
      </c>
      <c r="DW40" s="8">
        <f t="shared" si="122"/>
        <v>5647.2145522650117</v>
      </c>
      <c r="DX40" s="411">
        <f t="shared" si="123"/>
        <v>69</v>
      </c>
      <c r="DY40" s="1117">
        <v>580</v>
      </c>
      <c r="DZ40" s="857">
        <f t="shared" si="124"/>
        <v>9.2356687898089165E-2</v>
      </c>
      <c r="EA40" s="386">
        <v>0.3977</v>
      </c>
      <c r="EB40" s="504"/>
      <c r="EC40" s="510">
        <v>4420</v>
      </c>
      <c r="ED40" s="435">
        <v>964</v>
      </c>
      <c r="EE40" s="510">
        <v>3531</v>
      </c>
      <c r="EF40" s="435">
        <v>1540</v>
      </c>
      <c r="EG40" s="510">
        <v>6850</v>
      </c>
      <c r="EH40" s="435">
        <v>4480</v>
      </c>
      <c r="EI40" s="510">
        <v>4780</v>
      </c>
      <c r="EJ40" s="435">
        <v>4675</v>
      </c>
      <c r="EK40" s="510">
        <v>5700</v>
      </c>
      <c r="EL40" s="1606">
        <v>7791</v>
      </c>
      <c r="EM40" s="1224">
        <v>5700</v>
      </c>
      <c r="EN40" s="834">
        <v>7791</v>
      </c>
      <c r="EO40" s="835">
        <f t="shared" si="63"/>
        <v>7.0819502074688794</v>
      </c>
      <c r="EP40" s="1648">
        <f t="shared" si="125"/>
        <v>4</v>
      </c>
      <c r="EQ40"/>
    </row>
    <row r="41" spans="1:147" ht="35" customHeight="1">
      <c r="A41" s="99">
        <f>_xlfn.XLOOKUP(R41,'MOPFRA Ranking'!$E$6:$E$55,'MOPFRA Ranking'!$AE$6:$AE$55)</f>
        <v>-1.4993665976421144</v>
      </c>
      <c r="B41" s="99">
        <f t="shared" si="66"/>
        <v>-11.499366597642114</v>
      </c>
      <c r="C41" s="1585">
        <f t="shared" ca="1" si="67"/>
        <v>0.10424401815710072</v>
      </c>
      <c r="D41" s="2378">
        <f t="shared" si="68"/>
        <v>4.798743132917819</v>
      </c>
      <c r="E41" s="1414">
        <f t="shared" si="69"/>
        <v>16.100000000000001</v>
      </c>
      <c r="F41" s="1415">
        <f t="shared" si="70"/>
        <v>12.100000000000005</v>
      </c>
      <c r="G41" s="2124" cm="1">
        <f t="array" ref="G41">IFERROR(_xlfn.XLOOKUP(R41,'Sales Rec'!$E$37:$E$91,'Sales Rec'!$CU$37:$CU$91*100,""),"")</f>
        <v>16.71763188591131</v>
      </c>
      <c r="H41" s="2313">
        <f>_xlfn.XLOOKUP(R41,'Sales Rec'!$E$37:$E$86,'Sales Rec'!$DQ$37:$DQ$86,"")</f>
        <v>1.9947422373598758</v>
      </c>
      <c r="I41" s="2312">
        <f>_xlfn.XLOOKUP(R41,'Sales History'!$C$4:$C$83,'Sales History'!$AS$4:$AS$83,"")</f>
        <v>-1.3382300387022211E-2</v>
      </c>
      <c r="J41" s="2313">
        <f>_xlfn.XLOOKUP(R41,'Sales History'!$C$4:$C$83,'Sales History'!$AW$4:$AW$83,"")</f>
        <v>0.32530838448245036</v>
      </c>
      <c r="K41" s="1942">
        <f>_xlfn.XLOOKUP(R41,'Sales Rec'!$E$4:$E$91,'Sales Rec'!$CV$4:$CV$91,"")</f>
        <v>6</v>
      </c>
      <c r="L41" s="1587">
        <f>_xlfn.XLOOKUP(R41,'MOPFRA Ranking'!$E$6:$E$55,'MOPFRA Ranking'!$AG$6:$AG$55,"")</f>
        <v>27</v>
      </c>
      <c r="M41" s="1582" t="str">
        <f>_xlfn.XLOOKUP(R41,'Sales Rec'!$E$4:$E$105,'Sales Rec'!$DS$4:$DS$105,"")</f>
        <v>BB</v>
      </c>
      <c r="N41" s="1582" t="str">
        <f>_xlfn.XLOOKUP(R41,'Sales Rec'!$E$4:$E$105,'Sales Rec'!$DZ$4:$DZ$105,"")</f>
        <v>BB</v>
      </c>
      <c r="O41" s="2365" t="str">
        <f>_xlfn.XLOOKUP($R41,'History Records'!$B$7:$B$88,'History Records'!$G$7:$G$88,"")</f>
        <v/>
      </c>
      <c r="P41" s="856" t="s">
        <v>472</v>
      </c>
      <c r="Q41" s="2364" t="s">
        <v>126</v>
      </c>
      <c r="R41" s="1571" t="s">
        <v>127</v>
      </c>
      <c r="S41" s="1929">
        <v>12</v>
      </c>
      <c r="T41" s="66">
        <f t="shared" si="71"/>
        <v>2335680</v>
      </c>
      <c r="U41" s="2386">
        <f>_xlfn.XLOOKUP($R41,'Price Record'!$C$6:$C$100,'Price Record'!H$6:H$100,"")</f>
        <v>16220</v>
      </c>
      <c r="V41" s="338">
        <f>_xlfn.XLOOKUP(R41,'دیده بان بازار'!$A$3:$A$3542,'دیده بان بازار'!$M$3:$M$3542,"")</f>
        <v>2.98</v>
      </c>
      <c r="W41" s="2386">
        <f>_xlfn.XLOOKUP($R41,'Price Record'!$C$6:$C$100,'Price Record'!G$6:G$100,"")</f>
        <v>16220</v>
      </c>
      <c r="X41" s="337">
        <f>_xlfn.XLOOKUP(R41,'دیده بان بازار'!$A$3:$A$3542,'دیده بان بازار'!$J$3:$J$3542,"")</f>
        <v>2.98</v>
      </c>
      <c r="Y41" s="1708">
        <f t="shared" si="72"/>
        <v>2592931</v>
      </c>
      <c r="Z41" s="661" t="str">
        <f t="shared" si="73"/>
        <v/>
      </c>
      <c r="AA41" s="822">
        <f t="shared" si="74"/>
        <v>0.11095890410958904</v>
      </c>
      <c r="AB41" s="511">
        <f t="shared" ca="1" si="75"/>
        <v>3.4520547945205482E-2</v>
      </c>
      <c r="AC41" s="2194">
        <f t="shared" ca="1" si="76"/>
        <v>-54.598825831702541</v>
      </c>
      <c r="AD41" s="1150">
        <f t="shared" si="77"/>
        <v>0.11095890410958904</v>
      </c>
      <c r="AE41" s="1150">
        <f t="shared" si="78"/>
        <v>2.4866099417823557</v>
      </c>
      <c r="AF41" s="1150">
        <f t="shared" si="79"/>
        <v>3.0907944514501891</v>
      </c>
      <c r="AG41" s="1150">
        <f t="shared" si="80"/>
        <v>4.907132018209408</v>
      </c>
      <c r="AH41" s="1150">
        <f t="shared" si="81"/>
        <v>10.143511450381679</v>
      </c>
      <c r="AI41" s="275">
        <f t="shared" ca="1" si="82"/>
        <v>351</v>
      </c>
      <c r="AJ41" s="1121">
        <v>46225</v>
      </c>
      <c r="AK41" s="1116">
        <v>46275</v>
      </c>
      <c r="AL41" s="1345">
        <f t="shared" si="83"/>
        <v>1440000000000</v>
      </c>
      <c r="AM41" s="29"/>
      <c r="AN41" s="29"/>
      <c r="AO41" s="685">
        <v>0.43959999999999999</v>
      </c>
      <c r="AP41" s="174"/>
      <c r="AQ41" s="1925">
        <v>321889</v>
      </c>
      <c r="AR41" s="1925">
        <v>180643</v>
      </c>
      <c r="AS41" s="766">
        <f>_xlfn.XLOOKUP(R41,'Sales Rec'!$E$4:$E$86,'Sales Rec'!$X$4:$X$86,"")</f>
        <v>728467.04202076653</v>
      </c>
      <c r="AT41" s="984">
        <f>_xlfn.XLOOKUP(R41,'Sales Rec'!$E$4:$E$86,'Sales Rec'!$K$4:$K$86,"")</f>
        <v>4</v>
      </c>
      <c r="AU41" s="376">
        <f t="shared" si="84"/>
        <v>3.2134617833997594</v>
      </c>
      <c r="AV41" s="99">
        <f t="shared" si="85"/>
        <v>-10</v>
      </c>
      <c r="AW41" s="16">
        <v>129757</v>
      </c>
      <c r="AX41" s="16">
        <v>85635</v>
      </c>
      <c r="AY41" s="1421">
        <f t="shared" si="86"/>
        <v>0.66</v>
      </c>
      <c r="AZ41" s="1419">
        <v>0.499</v>
      </c>
      <c r="BA41" s="1689">
        <v>0.56100000000000005</v>
      </c>
      <c r="BB41" s="1690">
        <v>0.52100000000000002</v>
      </c>
      <c r="BC41" s="100">
        <f t="shared" si="65"/>
        <v>10</v>
      </c>
      <c r="BD41" s="1420">
        <f t="shared" si="87"/>
        <v>0.55700000000000005</v>
      </c>
      <c r="BE41" s="1419">
        <v>0.436</v>
      </c>
      <c r="BF41" s="1687">
        <v>0.46500000000000002</v>
      </c>
      <c r="BG41" s="1688">
        <v>0.45700000000000002</v>
      </c>
      <c r="BH41" s="306">
        <f t="shared" si="88"/>
        <v>0.10299999999999998</v>
      </c>
      <c r="BI41" s="1861">
        <f t="shared" si="89"/>
        <v>53459.883999999991</v>
      </c>
      <c r="BJ41" s="306">
        <f t="shared" si="90"/>
        <v>6.3E-2</v>
      </c>
      <c r="BK41" s="99">
        <v>0</v>
      </c>
      <c r="BL41" s="306">
        <f>_xlfn.XLOOKUP(R41,'Sales Rec'!$E$4:$E$91,'Sales Rec'!$Y$4:$Y$91,"")</f>
        <v>1.2631001432815863</v>
      </c>
      <c r="BM41" s="99">
        <f t="shared" si="91"/>
        <v>10</v>
      </c>
      <c r="BN41" s="15"/>
      <c r="BO41" s="1803">
        <v>3</v>
      </c>
      <c r="BP41" s="842">
        <f t="shared" si="92"/>
        <v>1</v>
      </c>
      <c r="BQ41" s="16">
        <v>691</v>
      </c>
      <c r="BR41" s="16"/>
      <c r="BS41" s="16"/>
      <c r="BT41" s="1253">
        <f>(_xlfn.XLOOKUP(R41,'Sales Rec'!$E$37:$E$91,'Sales Rec'!$X$37:$X$91)*BD41+CM41)*1000/CK41</f>
        <v>2824.5218222608819</v>
      </c>
      <c r="BU41" s="1246">
        <f t="shared" si="93"/>
        <v>2016.3611111111113</v>
      </c>
      <c r="BV41" s="406"/>
      <c r="BW41" s="407">
        <f t="shared" si="94"/>
        <v>6.701256867082181</v>
      </c>
      <c r="BX41" s="99">
        <f t="shared" si="95"/>
        <v>-8.5062843354109052</v>
      </c>
      <c r="BY41" s="18">
        <f t="shared" si="96"/>
        <v>348543.5712027835</v>
      </c>
      <c r="BZ41" s="18">
        <f t="shared" si="97"/>
        <v>203102.60869565216</v>
      </c>
      <c r="CA41" s="18">
        <f t="shared" si="98"/>
        <v>480788.24773370591</v>
      </c>
      <c r="CB41" s="1710">
        <f t="shared" si="99"/>
        <v>5.3930831550527962</v>
      </c>
      <c r="CC41" s="266">
        <f>_xlfn.XLOOKUP($R41,'Price Record'!$C$6:$C$100,'Price Record'!I$6:I$100,"")</f>
        <v>1411</v>
      </c>
      <c r="CD41" s="267">
        <f>_xlfn.XLOOKUP($R41,'Price Record'!$C$6:$C$100,'Price Record'!J$6:J$100,"")</f>
        <v>11.5</v>
      </c>
      <c r="CE41" s="99">
        <f t="shared" si="100"/>
        <v>-10</v>
      </c>
      <c r="CF41" s="17">
        <f t="shared" si="101"/>
        <v>0.86131555651427982</v>
      </c>
      <c r="CG41" s="99">
        <f t="shared" si="102"/>
        <v>4.5547377739428807</v>
      </c>
      <c r="CH41" s="494">
        <f t="shared" si="103"/>
        <v>0.50588564088900423</v>
      </c>
      <c r="CI41" s="99">
        <f t="shared" si="104"/>
        <v>1.588284613335063</v>
      </c>
      <c r="CJ41" s="377">
        <f>MIN(MAX(IF(CI41&lt;0,-20, IF(CI41&gt;50, -20,($R$68-CI41)*$S$68)), -10), 10)</f>
        <v>10</v>
      </c>
      <c r="CK41" s="691">
        <v>144000</v>
      </c>
      <c r="CL41" s="419">
        <v>104948</v>
      </c>
      <c r="CM41" s="468">
        <v>975</v>
      </c>
      <c r="CN41" s="843">
        <v>308</v>
      </c>
      <c r="CO41" s="21">
        <v>72589</v>
      </c>
      <c r="CP41" s="21">
        <v>-454</v>
      </c>
      <c r="CQ41" s="469">
        <f t="shared" si="105"/>
        <v>72589</v>
      </c>
      <c r="CR41" s="1239">
        <f>(AS41*BD41)*(_xlfn.XLOOKUP($R41,'Sales Rec'!$E$37:$E$91,'Sales Rec'!$L$37:$L$91,"")/12)+CP41</f>
        <v>134798.04746852233</v>
      </c>
      <c r="CS41" s="21">
        <v>177537</v>
      </c>
      <c r="CT41" s="16">
        <v>0</v>
      </c>
      <c r="CU41" s="2240" t="str">
        <f t="shared" si="106"/>
        <v/>
      </c>
      <c r="CV41" s="693">
        <f t="shared" si="107"/>
        <v>371300</v>
      </c>
      <c r="CW41" s="49">
        <v>293160</v>
      </c>
      <c r="CX41" s="21">
        <v>3580</v>
      </c>
      <c r="CY41" s="49">
        <v>7046</v>
      </c>
      <c r="CZ41" s="53">
        <f t="shared" si="108"/>
        <v>300206</v>
      </c>
      <c r="DA41" s="1058">
        <f t="shared" si="109"/>
        <v>1.0836300996043116</v>
      </c>
      <c r="DB41" s="99">
        <f t="shared" si="110"/>
        <v>-0.93095920316550718</v>
      </c>
      <c r="DC41" s="53">
        <f t="shared" si="111"/>
        <v>671506</v>
      </c>
      <c r="DD41" s="645">
        <f t="shared" si="112"/>
        <v>0.4470637641361358</v>
      </c>
      <c r="DE41" s="13">
        <v>353829</v>
      </c>
      <c r="DF41" s="24">
        <v>251730</v>
      </c>
      <c r="DG41" s="24">
        <v>50772</v>
      </c>
      <c r="DH41" s="51">
        <v>317677</v>
      </c>
      <c r="DI41" s="8">
        <f t="shared" si="62"/>
        <v>24517</v>
      </c>
      <c r="DJ41" s="644">
        <f t="shared" si="113"/>
        <v>29.712731656432947</v>
      </c>
      <c r="DK41" s="22">
        <v>94993</v>
      </c>
      <c r="DL41" s="22">
        <v>23204</v>
      </c>
      <c r="DM41" s="22">
        <v>147892</v>
      </c>
      <c r="DN41" s="138">
        <f t="shared" si="114"/>
        <v>0.4470637641361358</v>
      </c>
      <c r="DO41" s="99">
        <f t="shared" si="115"/>
        <v>1.7948545536563543</v>
      </c>
      <c r="DP41" s="22">
        <v>19751</v>
      </c>
      <c r="DQ41" s="8">
        <f t="shared" si="116"/>
        <v>31837</v>
      </c>
      <c r="DR41" s="138">
        <f t="shared" si="117"/>
        <v>3.3634349583679155E-2</v>
      </c>
      <c r="DS41" s="99">
        <f t="shared" si="118"/>
        <v>0</v>
      </c>
      <c r="DT41" s="8">
        <f t="shared" si="119"/>
        <v>5136.04</v>
      </c>
      <c r="DU41" s="8">
        <f t="shared" si="120"/>
        <v>7258.9000000000015</v>
      </c>
      <c r="DV41" s="235">
        <f t="shared" si="121"/>
        <v>728.80555555555554</v>
      </c>
      <c r="DW41" s="8">
        <f t="shared" si="122"/>
        <v>6561.8727777777785</v>
      </c>
      <c r="DX41" s="411">
        <f t="shared" si="123"/>
        <v>50</v>
      </c>
      <c r="DY41" s="1117">
        <v>450</v>
      </c>
      <c r="DZ41" s="857">
        <f t="shared" si="124"/>
        <v>2.9900332225913623E-2</v>
      </c>
      <c r="EA41" s="386">
        <v>0.37</v>
      </c>
      <c r="EB41" s="504"/>
      <c r="EC41" s="510">
        <v>5240</v>
      </c>
      <c r="ED41" s="435">
        <v>209600</v>
      </c>
      <c r="EE41" s="510">
        <v>6590</v>
      </c>
      <c r="EF41" s="435">
        <v>395400</v>
      </c>
      <c r="EG41" s="510">
        <v>7320</v>
      </c>
      <c r="EH41" s="435">
        <v>570960</v>
      </c>
      <c r="EI41" s="510">
        <v>6380</v>
      </c>
      <c r="EJ41" s="435">
        <v>669900</v>
      </c>
      <c r="EK41" s="510">
        <v>14600</v>
      </c>
      <c r="EL41" s="1606">
        <v>2102400</v>
      </c>
      <c r="EM41" s="1224">
        <v>14600</v>
      </c>
      <c r="EN41" s="834">
        <v>2102400</v>
      </c>
      <c r="EO41" s="835">
        <f t="shared" si="63"/>
        <v>9.0305343511450378</v>
      </c>
      <c r="EP41" s="1648">
        <f t="shared" si="125"/>
        <v>2</v>
      </c>
      <c r="EQ41"/>
    </row>
    <row r="42" spans="1:147" ht="35" customHeight="1">
      <c r="A42" s="99">
        <f>_xlfn.XLOOKUP(R42,'MOPFRA Ranking'!$E$6:$E$55,'MOPFRA Ranking'!$AE$6:$AE$55)</f>
        <v>-5.9376752563919073</v>
      </c>
      <c r="B42" s="99">
        <f t="shared" si="66"/>
        <v>-12.937675256391906</v>
      </c>
      <c r="C42" s="1585">
        <f t="shared" ca="1" si="67"/>
        <v>0.2297958682724818</v>
      </c>
      <c r="D42" s="2378">
        <f t="shared" si="68"/>
        <v>2.2617537840290107</v>
      </c>
      <c r="E42" s="1414">
        <f t="shared" si="69"/>
        <v>6.3</v>
      </c>
      <c r="F42" s="1415">
        <f t="shared" si="70"/>
        <v>6.9999999999999991</v>
      </c>
      <c r="G42" s="2124" cm="1">
        <f t="array" ref="G42">IFERROR(_xlfn.XLOOKUP(R42,'Sales Rec'!$E$37:$E$91,'Sales Rec'!$CU$37:$CU$91*100,""),"")</f>
        <v>-2.7937537200233953</v>
      </c>
      <c r="H42" s="2313">
        <f>_xlfn.XLOOKUP(R42,'Sales Rec'!$E$37:$E$86,'Sales Rec'!$DQ$37:$DQ$86,"")</f>
        <v>1.1472814865794907</v>
      </c>
      <c r="I42" s="2312">
        <f>_xlfn.XLOOKUP(R42,'Sales History'!$C$4:$C$83,'Sales History'!$AS$4:$AS$83,"")</f>
        <v>0.26794258373205743</v>
      </c>
      <c r="J42" s="2313">
        <f>_xlfn.XLOOKUP(R42,'Sales History'!$C$4:$C$83,'Sales History'!$AW$4:$AW$83,"")</f>
        <v>0.58688819039066009</v>
      </c>
      <c r="K42" s="1942">
        <f>_xlfn.XLOOKUP(R42,'Sales Rec'!$E$4:$E$91,'Sales Rec'!$CV$4:$CV$91,"")</f>
        <v>16</v>
      </c>
      <c r="L42" s="1587">
        <f>_xlfn.XLOOKUP(R42,'MOPFRA Ranking'!$E$6:$E$55,'MOPFRA Ranking'!$AG$6:$AG$55,"")</f>
        <v>35</v>
      </c>
      <c r="M42" s="1582" t="str">
        <f>_xlfn.XLOOKUP(R42,'Sales Rec'!$E$4:$E$105,'Sales Rec'!$DS$4:$DS$105,"")</f>
        <v>BB</v>
      </c>
      <c r="N42" s="1582" t="str">
        <f>_xlfn.XLOOKUP(R42,'Sales Rec'!$E$4:$E$105,'Sales Rec'!$DZ$4:$DZ$105,"")</f>
        <v>BB</v>
      </c>
      <c r="O42" s="2365" t="str">
        <f>_xlfn.XLOOKUP($R42,'History Records'!$B$7:$B$88,'History Records'!$G$7:$G$88,"")</f>
        <v/>
      </c>
      <c r="P42" s="856" t="s">
        <v>465</v>
      </c>
      <c r="Q42" s="2364" t="s">
        <v>90</v>
      </c>
      <c r="R42" s="1571" t="s">
        <v>91</v>
      </c>
      <c r="S42" s="1929">
        <v>9</v>
      </c>
      <c r="T42" s="66">
        <f t="shared" si="71"/>
        <v>6123.2</v>
      </c>
      <c r="U42" s="2386">
        <f>_xlfn.XLOOKUP($R42,'Price Record'!$C$6:$C$100,'Price Record'!H$6:H$100,"")</f>
        <v>3440</v>
      </c>
      <c r="V42" s="338">
        <f>_xlfn.XLOOKUP(R42,'دیده بان بازار'!$A$3:$A$3542,'دیده بان بازار'!$M$3:$M$3542,"")</f>
        <v>2.99</v>
      </c>
      <c r="W42" s="2386">
        <f>_xlfn.XLOOKUP($R42,'Price Record'!$C$6:$C$100,'Price Record'!G$6:G$100,"")</f>
        <v>3440</v>
      </c>
      <c r="X42" s="337">
        <f>_xlfn.XLOOKUP(R42,'دیده بان بازار'!$A$3:$A$3542,'دیده بان بازار'!$J$3:$J$3542,"")</f>
        <v>2.99</v>
      </c>
      <c r="Y42" s="1708">
        <f t="shared" si="72"/>
        <v>10960.2</v>
      </c>
      <c r="Z42" s="661" t="str">
        <f t="shared" si="73"/>
        <v/>
      </c>
      <c r="AA42" s="822">
        <f t="shared" si="74"/>
        <v>1.2306739526411656</v>
      </c>
      <c r="AB42" s="511">
        <f t="shared" ca="1" si="75"/>
        <v>0.34273972602739727</v>
      </c>
      <c r="AC42" s="2194">
        <f t="shared" ca="1" si="76"/>
        <v>-63.880160188040897</v>
      </c>
      <c r="AD42" s="1150">
        <f t="shared" si="77"/>
        <v>1.2306739526411656</v>
      </c>
      <c r="AE42" s="1150">
        <f t="shared" si="78"/>
        <v>1.3946812671098943</v>
      </c>
      <c r="AF42" s="1150">
        <f t="shared" si="79"/>
        <v>1.5354865424430642</v>
      </c>
      <c r="AG42" s="1150">
        <f t="shared" si="80"/>
        <v>1.3054216867469879</v>
      </c>
      <c r="AH42" s="1150">
        <f t="shared" si="81"/>
        <v>2.6578255675029867</v>
      </c>
      <c r="AI42" s="275">
        <f t="shared" ca="1" si="82"/>
        <v>226</v>
      </c>
      <c r="AJ42" s="1121">
        <v>46100</v>
      </c>
      <c r="AK42" s="1830">
        <v>46204</v>
      </c>
      <c r="AL42" s="1345">
        <f t="shared" si="83"/>
        <v>17800000000</v>
      </c>
      <c r="AM42" s="29"/>
      <c r="AN42" s="29"/>
      <c r="AO42" s="685">
        <v>0.33</v>
      </c>
      <c r="AP42" s="174"/>
      <c r="AQ42" s="1925">
        <v>5721</v>
      </c>
      <c r="AR42" s="1925">
        <v>781</v>
      </c>
      <c r="AS42" s="766">
        <f>_xlfn.XLOOKUP(R42,'Sales Rec'!$E$4:$E$86,'Sales Rec'!$X$4:$X$86,"")</f>
        <v>11080.334406646349</v>
      </c>
      <c r="AT42" s="984">
        <f>_xlfn.XLOOKUP(R42,'Sales Rec'!$E$4:$E$86,'Sales Rec'!$K$4:$K$86,"")</f>
        <v>4</v>
      </c>
      <c r="AU42" s="376">
        <f t="shared" si="84"/>
        <v>0.55261870041820249</v>
      </c>
      <c r="AV42" s="99">
        <f t="shared" si="85"/>
        <v>1.0844758569202839</v>
      </c>
      <c r="AW42" s="16">
        <v>5214</v>
      </c>
      <c r="AX42" s="16">
        <v>1194</v>
      </c>
      <c r="AY42" s="1421">
        <f t="shared" si="86"/>
        <v>0.22900000000000001</v>
      </c>
      <c r="AZ42" s="1419">
        <v>0.16600000000000001</v>
      </c>
      <c r="BA42" s="1689">
        <v>0.13700000000000001</v>
      </c>
      <c r="BB42" s="1690">
        <v>0.14199999999999999</v>
      </c>
      <c r="BC42" s="100">
        <f t="shared" si="65"/>
        <v>6.9999999999999991</v>
      </c>
      <c r="BD42" s="1420">
        <f t="shared" si="87"/>
        <v>0.15</v>
      </c>
      <c r="BE42" s="1419">
        <v>0.08</v>
      </c>
      <c r="BF42" s="1687">
        <v>6.9000000000000006E-2</v>
      </c>
      <c r="BG42" s="1688">
        <v>4.3999999999999997E-2</v>
      </c>
      <c r="BH42" s="306">
        <f t="shared" si="88"/>
        <v>7.9000000000000015E-2</v>
      </c>
      <c r="BI42" s="1861">
        <f t="shared" si="89"/>
        <v>823.81200000000013</v>
      </c>
      <c r="BJ42" s="306">
        <f t="shared" si="90"/>
        <v>8.6000000000000007E-2</v>
      </c>
      <c r="BK42" s="99">
        <v>0</v>
      </c>
      <c r="BL42" s="306">
        <f>_xlfn.XLOOKUP(R42,'Sales Rec'!$E$4:$E$91,'Sales Rec'!$Y$4:$Y$91,"")</f>
        <v>0.9367828013714995</v>
      </c>
      <c r="BM42" s="99">
        <f t="shared" si="91"/>
        <v>-8.8167345380899835</v>
      </c>
      <c r="BN42" s="15"/>
      <c r="BO42" s="1803">
        <v>3</v>
      </c>
      <c r="BP42" s="842">
        <f t="shared" si="92"/>
        <v>2</v>
      </c>
      <c r="BQ42" s="16">
        <v>168</v>
      </c>
      <c r="BR42" s="16">
        <v>452</v>
      </c>
      <c r="BS42" s="16"/>
      <c r="BT42" s="1253">
        <f>(_xlfn.XLOOKUP(R42,'Sales Rec'!$E$37:$E$91,'Sales Rec'!$X$37:$X$91)*BD42+CM42)*1000/CK42</f>
        <v>992.72480954884952</v>
      </c>
      <c r="BU42" s="1246">
        <f t="shared" si="93"/>
        <v>935.39325842696633</v>
      </c>
      <c r="BV42" s="406"/>
      <c r="BW42" s="407">
        <f t="shared" si="94"/>
        <v>3.5682462159709893</v>
      </c>
      <c r="BX42" s="99">
        <f t="shared" si="95"/>
        <v>7.1587689201450537</v>
      </c>
      <c r="BY42" s="18">
        <f t="shared" si="96"/>
        <v>1716.0250804984762</v>
      </c>
      <c r="BZ42" s="18">
        <f t="shared" si="97"/>
        <v>1050.2915951972554</v>
      </c>
      <c r="CA42" s="18">
        <f t="shared" si="98"/>
        <v>2537.3965791220139</v>
      </c>
      <c r="CB42" s="1710">
        <f t="shared" si="99"/>
        <v>4.3194666888817324</v>
      </c>
      <c r="CC42" s="266">
        <f>_xlfn.XLOOKUP($R42,'Price Record'!$C$6:$C$100,'Price Record'!I$6:I$100,"")</f>
        <v>590</v>
      </c>
      <c r="CD42" s="267">
        <f>_xlfn.XLOOKUP($R42,'Price Record'!$C$6:$C$100,'Price Record'!J$6:J$100,"")</f>
        <v>5.83</v>
      </c>
      <c r="CE42" s="99">
        <f t="shared" si="100"/>
        <v>-2.4900000000000002</v>
      </c>
      <c r="CF42" s="17">
        <f t="shared" si="101"/>
        <v>2.9014727445321982</v>
      </c>
      <c r="CG42" s="99">
        <f t="shared" si="102"/>
        <v>-3.6058909781287927</v>
      </c>
      <c r="CH42" s="494">
        <f t="shared" si="103"/>
        <v>0.19324606762370228</v>
      </c>
      <c r="CI42" s="99">
        <f t="shared" si="104"/>
        <v>-3.101308985644466</v>
      </c>
      <c r="CJ42" s="20"/>
      <c r="CK42" s="691">
        <v>1780</v>
      </c>
      <c r="CL42" s="419">
        <v>432</v>
      </c>
      <c r="CM42" s="468">
        <v>105</v>
      </c>
      <c r="CN42" s="843">
        <v>25</v>
      </c>
      <c r="CO42" s="21">
        <v>805</v>
      </c>
      <c r="CP42" s="21">
        <v>0</v>
      </c>
      <c r="CQ42" s="469">
        <f t="shared" si="105"/>
        <v>832.5</v>
      </c>
      <c r="CR42" s="1239">
        <f>(AS42*BD42)*(_xlfn.XLOOKUP($R42,'Sales Rec'!$E$37:$E$91,'Sales Rec'!$L$37:$L$91,"")/12)+CP42</f>
        <v>969.52926058155549</v>
      </c>
      <c r="CS42" s="21">
        <v>1237</v>
      </c>
      <c r="CT42" s="16">
        <v>-50</v>
      </c>
      <c r="CU42" s="2240" t="str">
        <f t="shared" si="106"/>
        <v/>
      </c>
      <c r="CV42" s="693">
        <f t="shared" si="107"/>
        <v>3104</v>
      </c>
      <c r="CW42" s="49">
        <v>4710</v>
      </c>
      <c r="CX42" s="21">
        <v>1732</v>
      </c>
      <c r="CY42" s="49">
        <v>269</v>
      </c>
      <c r="CZ42" s="53">
        <f t="shared" si="108"/>
        <v>4979</v>
      </c>
      <c r="DA42" s="1058">
        <f t="shared" si="109"/>
        <v>1.2263269639065817</v>
      </c>
      <c r="DB42" s="99">
        <f t="shared" si="110"/>
        <v>0.21061571125265388</v>
      </c>
      <c r="DC42" s="53">
        <f t="shared" si="111"/>
        <v>8083</v>
      </c>
      <c r="DD42" s="645">
        <f t="shared" si="112"/>
        <v>0.6159841642954349</v>
      </c>
      <c r="DE42" s="13">
        <v>2307</v>
      </c>
      <c r="DF42" s="24">
        <v>1270</v>
      </c>
      <c r="DG42" s="24">
        <v>1020</v>
      </c>
      <c r="DH42" s="51">
        <v>5776</v>
      </c>
      <c r="DI42" s="8">
        <f t="shared" si="62"/>
        <v>1066</v>
      </c>
      <c r="DJ42" s="644">
        <f t="shared" si="113"/>
        <v>10.394309949949671</v>
      </c>
      <c r="DK42" s="22">
        <v>1842</v>
      </c>
      <c r="DL42" s="22">
        <v>142</v>
      </c>
      <c r="DM42" s="22">
        <v>3021</v>
      </c>
      <c r="DN42" s="138">
        <f t="shared" si="114"/>
        <v>0.6159841642954349</v>
      </c>
      <c r="DO42" s="99">
        <f t="shared" si="115"/>
        <v>-0.37760124284665575</v>
      </c>
      <c r="DP42" s="22">
        <v>0</v>
      </c>
      <c r="DQ42" s="8">
        <f t="shared" si="116"/>
        <v>771</v>
      </c>
      <c r="DR42" s="138">
        <f t="shared" si="117"/>
        <v>-0.68258939664815976</v>
      </c>
      <c r="DS42" s="99">
        <f t="shared" si="118"/>
        <v>-3</v>
      </c>
      <c r="DT42" s="8">
        <f t="shared" si="119"/>
        <v>2218.4</v>
      </c>
      <c r="DU42" s="8">
        <f t="shared" si="120"/>
        <v>3479.6629213483147</v>
      </c>
      <c r="DV42" s="235">
        <f t="shared" si="121"/>
        <v>242.69662921348313</v>
      </c>
      <c r="DW42" s="8">
        <f t="shared" si="122"/>
        <v>2970.3797752808991</v>
      </c>
      <c r="DX42" s="411">
        <f t="shared" si="123"/>
        <v>104</v>
      </c>
      <c r="DY42" s="1117">
        <v>30</v>
      </c>
      <c r="DZ42" s="857">
        <f t="shared" si="124"/>
        <v>1.9083969465648856E-2</v>
      </c>
      <c r="EA42" s="386">
        <v>0.45</v>
      </c>
      <c r="EB42" s="504"/>
      <c r="EC42" s="510">
        <v>15500</v>
      </c>
      <c r="ED42" s="435">
        <v>1674</v>
      </c>
      <c r="EE42" s="510">
        <v>2880</v>
      </c>
      <c r="EF42" s="435">
        <v>2656</v>
      </c>
      <c r="EG42" s="510">
        <v>2619</v>
      </c>
      <c r="EH42" s="435">
        <v>2415</v>
      </c>
      <c r="EI42" s="510">
        <v>2079</v>
      </c>
      <c r="EJ42" s="435">
        <v>2557</v>
      </c>
      <c r="EK42" s="510">
        <v>1542</v>
      </c>
      <c r="EL42" s="1606">
        <v>2745</v>
      </c>
      <c r="EM42" s="1224">
        <v>1542</v>
      </c>
      <c r="EN42" s="834">
        <v>2745</v>
      </c>
      <c r="EO42" s="835">
        <f t="shared" si="63"/>
        <v>0.63978494623655913</v>
      </c>
      <c r="EP42" s="1648">
        <f t="shared" si="125"/>
        <v>26</v>
      </c>
      <c r="EQ42"/>
    </row>
    <row r="43" spans="1:147" ht="35" customHeight="1">
      <c r="A43" s="99">
        <f>_xlfn.XLOOKUP(R43,'MOPFRA Ranking'!$E$6:$E$55,'MOPFRA Ranking'!$AE$6:$AE$55)</f>
        <v>-5.7512781330747558</v>
      </c>
      <c r="B43" s="99">
        <f t="shared" si="66"/>
        <v>-15.751278133074752</v>
      </c>
      <c r="C43" s="1585">
        <f t="shared" ca="1" si="67"/>
        <v>0.27163999423886426</v>
      </c>
      <c r="D43" s="2378">
        <f t="shared" si="68"/>
        <v>1.3149756002114987</v>
      </c>
      <c r="E43" s="1414">
        <f t="shared" si="69"/>
        <v>7.5000000000000009</v>
      </c>
      <c r="F43" s="1415">
        <f t="shared" si="70"/>
        <v>11.800000000000002</v>
      </c>
      <c r="G43" s="2124" cm="1">
        <f t="array" ref="G43">IFERROR(_xlfn.XLOOKUP(R43,'Sales Rec'!$E$37:$E$91,'Sales Rec'!$CU$37:$CU$91*100,""),"")</f>
        <v>16.09671302149178</v>
      </c>
      <c r="H43" s="2313">
        <f>_xlfn.XLOOKUP(R43,'Sales Rec'!$E$37:$E$86,'Sales Rec'!$DQ$37:$DQ$86,"")</f>
        <v>0.48928571428571427</v>
      </c>
      <c r="I43" s="2312">
        <f>_xlfn.XLOOKUP(R43,'Sales History'!$C$4:$C$83,'Sales History'!$AS$4:$AS$83,"")</f>
        <v>-1.2376237623762377E-2</v>
      </c>
      <c r="J43" s="2313">
        <f>_xlfn.XLOOKUP(R43,'Sales History'!$C$4:$C$83,'Sales History'!$AW$4:$AW$83,"")</f>
        <v>0.28121059268600251</v>
      </c>
      <c r="K43" s="1942">
        <f>_xlfn.XLOOKUP(R43,'Sales Rec'!$E$4:$E$91,'Sales Rec'!$CV$4:$CV$91,"")</f>
        <v>37</v>
      </c>
      <c r="L43" s="2199">
        <f>_xlfn.XLOOKUP(R43,'MOPFRA Ranking'!$E$6:$E$55,'MOPFRA Ranking'!$AG$6:$AG$55,"")</f>
        <v>33</v>
      </c>
      <c r="M43" s="1582" t="str">
        <f>_xlfn.XLOOKUP(R43,'Sales Rec'!$E$4:$E$105,'Sales Rec'!$DS$4:$DS$105,"")</f>
        <v>B</v>
      </c>
      <c r="N43" s="1582" t="str">
        <f>_xlfn.XLOOKUP(R43,'Sales Rec'!$E$4:$E$105,'Sales Rec'!$DZ$4:$DZ$105,"")</f>
        <v>B</v>
      </c>
      <c r="O43" s="2365" t="str">
        <f>_xlfn.XLOOKUP($R43,'History Records'!$B$7:$B$88,'History Records'!$G$7:$G$88,"")</f>
        <v/>
      </c>
      <c r="P43" s="856" t="s">
        <v>461</v>
      </c>
      <c r="Q43" s="2364" t="s">
        <v>132</v>
      </c>
      <c r="R43" s="1571" t="s">
        <v>133</v>
      </c>
      <c r="S43" s="1929">
        <v>3</v>
      </c>
      <c r="T43" s="66">
        <f t="shared" si="71"/>
        <v>7788</v>
      </c>
      <c r="U43" s="2386">
        <f>_xlfn.XLOOKUP($R43,'Price Record'!$C$6:$C$100,'Price Record'!H$6:H$100,"")</f>
        <v>4690</v>
      </c>
      <c r="V43" s="338">
        <f>_xlfn.XLOOKUP(R43,'دیده بان بازار'!$A$3:$A$3542,'دیده بان بازار'!$M$3:$M$3542,"")</f>
        <v>-1.68</v>
      </c>
      <c r="W43" s="2386">
        <f>_xlfn.XLOOKUP($R43,'Price Record'!$C$6:$C$100,'Price Record'!G$6:G$100,"")</f>
        <v>4720</v>
      </c>
      <c r="X43" s="337">
        <f>_xlfn.XLOOKUP(R43,'دیده بان بازار'!$A$3:$A$3542,'دیده بان بازار'!$J$3:$J$3542,"")</f>
        <v>-1.05</v>
      </c>
      <c r="Y43" s="1708">
        <f t="shared" si="72"/>
        <v>9153</v>
      </c>
      <c r="Z43" s="661" t="str">
        <f t="shared" si="73"/>
        <v/>
      </c>
      <c r="AA43" s="1145">
        <f t="shared" si="74"/>
        <v>2.1555915721231766</v>
      </c>
      <c r="AB43" s="511">
        <f t="shared" ca="1" si="75"/>
        <v>0.71753424657534248</v>
      </c>
      <c r="AC43" s="2194">
        <f t="shared" ca="1" si="76"/>
        <v>-49.417777510234849</v>
      </c>
      <c r="AD43" s="1150" t="str">
        <f t="shared" si="77"/>
        <v/>
      </c>
      <c r="AE43" s="1150">
        <f t="shared" si="78"/>
        <v>2.1555915721231766</v>
      </c>
      <c r="AF43" s="1150">
        <f t="shared" si="79"/>
        <v>1.7774607703281027</v>
      </c>
      <c r="AG43" s="1150">
        <f t="shared" si="80"/>
        <v>1.0202334630350194</v>
      </c>
      <c r="AH43" s="1150">
        <f t="shared" si="81"/>
        <v>1.9300225733634311</v>
      </c>
      <c r="AI43" s="275">
        <f t="shared" ca="1" si="82"/>
        <v>74</v>
      </c>
      <c r="AJ43" s="1120">
        <v>45948</v>
      </c>
      <c r="AK43" s="1116">
        <v>46063</v>
      </c>
      <c r="AL43" s="1345">
        <f t="shared" si="83"/>
        <v>16500000000</v>
      </c>
      <c r="AM43" s="29"/>
      <c r="AN43" s="29"/>
      <c r="AO43" s="685">
        <v>0.51</v>
      </c>
      <c r="AP43" s="174"/>
      <c r="AQ43" s="1416">
        <v>3002</v>
      </c>
      <c r="AR43" s="1416" t="s">
        <v>415</v>
      </c>
      <c r="AS43" s="766">
        <f>_xlfn.XLOOKUP(R43,'Sales Rec'!$E$4:$E$86,'Sales Rec'!$X$4:$X$86,"")</f>
        <v>4271.1678571428565</v>
      </c>
      <c r="AT43" s="984">
        <f>_xlfn.XLOOKUP(R43,'Sales Rec'!$E$4:$E$86,'Sales Rec'!$K$4:$K$86,"")</f>
        <v>4</v>
      </c>
      <c r="AU43" s="376">
        <f t="shared" si="84"/>
        <v>1.8233888857764733</v>
      </c>
      <c r="AV43" s="99">
        <f t="shared" si="85"/>
        <v>-4.5383118423140338</v>
      </c>
      <c r="AW43" s="16">
        <v>2204</v>
      </c>
      <c r="AX43" s="16">
        <v>1159</v>
      </c>
      <c r="AY43" s="2202">
        <f t="shared" si="86"/>
        <v>0.52600000000000002</v>
      </c>
      <c r="AZ43" s="2203">
        <v>0.45100000000000001</v>
      </c>
      <c r="BA43" s="2204">
        <v>0.41099999999999998</v>
      </c>
      <c r="BB43" s="2205">
        <v>0.46600000000000003</v>
      </c>
      <c r="BC43" s="2206">
        <f t="shared" si="65"/>
        <v>10</v>
      </c>
      <c r="BD43" s="2207">
        <f t="shared" si="87"/>
        <v>0.34200000000000003</v>
      </c>
      <c r="BE43" s="2203">
        <v>0.224</v>
      </c>
      <c r="BF43" s="2208">
        <v>0.33400000000000002</v>
      </c>
      <c r="BG43" s="2209">
        <v>0.33600000000000002</v>
      </c>
      <c r="BH43" s="306">
        <f t="shared" si="88"/>
        <v>0.184</v>
      </c>
      <c r="BI43" s="1861">
        <f t="shared" si="89"/>
        <v>540.71466666666663</v>
      </c>
      <c r="BJ43" s="306">
        <f t="shared" si="90"/>
        <v>0.22700000000000001</v>
      </c>
      <c r="BK43" s="99">
        <v>0</v>
      </c>
      <c r="BL43" s="306">
        <f>_xlfn.XLOOKUP(R43,'Sales Rec'!$E$4:$E$91,'Sales Rec'!$Y$4:$Y$91,"")</f>
        <v>0.42277410297896617</v>
      </c>
      <c r="BM43" s="99">
        <f t="shared" si="91"/>
        <v>-10</v>
      </c>
      <c r="BN43" s="15"/>
      <c r="BO43" s="1890">
        <v>12</v>
      </c>
      <c r="BP43" s="842">
        <f t="shared" si="92"/>
        <v>3</v>
      </c>
      <c r="BQ43" s="16">
        <v>123</v>
      </c>
      <c r="BR43" s="16">
        <v>434</v>
      </c>
      <c r="BS43" s="16">
        <v>724</v>
      </c>
      <c r="BT43" s="1253">
        <f>(_xlfn.XLOOKUP(R43,'Sales Rec'!$E$37:$E$91,'Sales Rec'!$X$37:$X$91)*BD43+CM43)*1000/CK43</f>
        <v>920.44812554112548</v>
      </c>
      <c r="BU43" s="1246">
        <f t="shared" si="93"/>
        <v>965.65656565656559</v>
      </c>
      <c r="BV43" s="406"/>
      <c r="BW43" s="407">
        <f t="shared" si="94"/>
        <v>5.0050243997885016</v>
      </c>
      <c r="BX43" s="99">
        <f t="shared" si="95"/>
        <v>-2.5121998942507773E-2</v>
      </c>
      <c r="BY43" s="18">
        <f t="shared" si="96"/>
        <v>1556.0363702380951</v>
      </c>
      <c r="BZ43" s="18">
        <f t="shared" si="97"/>
        <v>1232.2784810126582</v>
      </c>
      <c r="CA43" s="18">
        <f t="shared" si="98"/>
        <v>2246.6342928571426</v>
      </c>
      <c r="CB43" s="1710">
        <f t="shared" si="99"/>
        <v>4.0740943148160227</v>
      </c>
      <c r="CC43" s="266">
        <f>_xlfn.XLOOKUP($R43,'Price Record'!$C$6:$C$100,'Price Record'!I$6:I$100,"")</f>
        <v>742</v>
      </c>
      <c r="CD43" s="267">
        <f>_xlfn.XLOOKUP($R43,'Price Record'!$C$6:$C$100,'Price Record'!J$6:J$100,"")</f>
        <v>6.32</v>
      </c>
      <c r="CE43" s="99">
        <f t="shared" si="100"/>
        <v>-3.9600000000000009</v>
      </c>
      <c r="CF43" s="17">
        <f t="shared" si="101"/>
        <v>1.7069009766099461</v>
      </c>
      <c r="CG43" s="99">
        <f t="shared" si="102"/>
        <v>1.1723960935602156</v>
      </c>
      <c r="CH43" s="494">
        <f t="shared" si="103"/>
        <v>0.23865588500584281</v>
      </c>
      <c r="CI43" s="99">
        <f t="shared" si="104"/>
        <v>-2.4201617249123584</v>
      </c>
      <c r="CJ43" s="20"/>
      <c r="CK43" s="691">
        <v>1650</v>
      </c>
      <c r="CL43" s="419">
        <v>116</v>
      </c>
      <c r="CM43" s="468">
        <v>58</v>
      </c>
      <c r="CN43" s="843">
        <v>442</v>
      </c>
      <c r="CO43" s="21">
        <v>1195</v>
      </c>
      <c r="CP43" s="21"/>
      <c r="CQ43" s="469">
        <f t="shared" si="105"/>
        <v>1195</v>
      </c>
      <c r="CR43" s="1239">
        <f>(AS43*BD43)*(_xlfn.XLOOKUP($R43,'Sales Rec'!$E$37:$E$91,'Sales Rec'!$L$37:$L$91,"")/12)+CP43</f>
        <v>121.72828392857141</v>
      </c>
      <c r="CS43" s="21">
        <v>1311</v>
      </c>
      <c r="CT43" s="16">
        <v>0</v>
      </c>
      <c r="CU43" s="2240" t="str">
        <f t="shared" si="106"/>
        <v/>
      </c>
      <c r="CV43" s="693">
        <f t="shared" si="107"/>
        <v>3126</v>
      </c>
      <c r="CW43" s="49">
        <v>1076</v>
      </c>
      <c r="CX43" s="21">
        <v>2101</v>
      </c>
      <c r="CY43" s="49">
        <v>1580</v>
      </c>
      <c r="CZ43" s="53">
        <f t="shared" si="108"/>
        <v>2656</v>
      </c>
      <c r="DA43" s="1058">
        <f t="shared" si="109"/>
        <v>3.1542750929368029</v>
      </c>
      <c r="DB43" s="99">
        <f t="shared" si="110"/>
        <v>6</v>
      </c>
      <c r="DC43" s="53">
        <f t="shared" si="111"/>
        <v>5782</v>
      </c>
      <c r="DD43" s="645">
        <f t="shared" si="112"/>
        <v>0.4593566240055344</v>
      </c>
      <c r="DE43" s="13">
        <v>2388</v>
      </c>
      <c r="DF43" s="24">
        <v>2095</v>
      </c>
      <c r="DG43" s="24">
        <v>226</v>
      </c>
      <c r="DH43" s="51">
        <v>3394</v>
      </c>
      <c r="DI43" s="8">
        <f t="shared" si="62"/>
        <v>2318</v>
      </c>
      <c r="DJ43" s="644">
        <f t="shared" si="113"/>
        <v>1.8426090841858742</v>
      </c>
      <c r="DK43" s="22">
        <v>988</v>
      </c>
      <c r="DL43" s="22">
        <v>270</v>
      </c>
      <c r="DM43" s="22">
        <v>1032</v>
      </c>
      <c r="DN43" s="138">
        <f t="shared" si="114"/>
        <v>0.4593566240055344</v>
      </c>
      <c r="DO43" s="99">
        <f t="shared" si="115"/>
        <v>1.9921339533930382E-2</v>
      </c>
      <c r="DP43" s="22">
        <v>1021</v>
      </c>
      <c r="DQ43" s="8">
        <f t="shared" si="116"/>
        <v>83</v>
      </c>
      <c r="DR43" s="138">
        <f t="shared" si="117"/>
        <v>-0.48071909319363099</v>
      </c>
      <c r="DS43" s="99">
        <f t="shared" si="118"/>
        <v>-2</v>
      </c>
      <c r="DT43" s="8">
        <f t="shared" si="119"/>
        <v>2968</v>
      </c>
      <c r="DU43" s="8">
        <f t="shared" si="120"/>
        <v>3824</v>
      </c>
      <c r="DV43" s="235">
        <f t="shared" si="121"/>
        <v>70.303030303030297</v>
      </c>
      <c r="DW43" s="8">
        <f t="shared" si="122"/>
        <v>3431.151515151515</v>
      </c>
      <c r="DX43" s="411">
        <f t="shared" si="123"/>
        <v>115</v>
      </c>
      <c r="DY43" s="1532">
        <v>150</v>
      </c>
      <c r="DZ43" s="857">
        <f t="shared" si="124"/>
        <v>9.1130012150668294E-2</v>
      </c>
      <c r="EA43" s="386">
        <v>0.34</v>
      </c>
      <c r="EB43" s="504"/>
      <c r="EC43" s="510">
        <v>9230</v>
      </c>
      <c r="ED43" s="435">
        <v>2658</v>
      </c>
      <c r="EE43" s="510">
        <v>5140</v>
      </c>
      <c r="EF43" s="435">
        <v>3855</v>
      </c>
      <c r="EG43" s="510">
        <v>2280</v>
      </c>
      <c r="EH43" s="435">
        <v>2804</v>
      </c>
      <c r="EI43" s="510">
        <v>1496</v>
      </c>
      <c r="EJ43" s="435">
        <v>2468</v>
      </c>
      <c r="EK43" s="510"/>
      <c r="EL43" s="1606"/>
      <c r="EM43" s="1684">
        <v>1496</v>
      </c>
      <c r="EN43" s="1608">
        <v>2468</v>
      </c>
      <c r="EO43" s="1609">
        <f t="shared" si="63"/>
        <v>-7.1482317531978937E-2</v>
      </c>
      <c r="EP43" s="1648">
        <f t="shared" si="125"/>
        <v>36</v>
      </c>
      <c r="EQ43"/>
    </row>
    <row r="44" spans="1:147" ht="35" customHeight="1">
      <c r="A44" s="99">
        <f>_xlfn.XLOOKUP(R44,'MOPFRA Ranking'!$E$6:$E$55,'MOPFRA Ranking'!$AE$6:$AE$55)</f>
        <v>-8.6546666382605597</v>
      </c>
      <c r="B44" s="99">
        <f t="shared" si="66"/>
        <v>4.5333361739440026E-2</v>
      </c>
      <c r="C44" s="1585">
        <f t="shared" ca="1" si="67"/>
        <v>0.23472749772549714</v>
      </c>
      <c r="D44" s="2378">
        <f t="shared" si="68"/>
        <v>4.537898119489828</v>
      </c>
      <c r="E44" s="1414">
        <f t="shared" si="69"/>
        <v>-7.3000000000000007</v>
      </c>
      <c r="F44" s="1415">
        <f t="shared" si="70"/>
        <v>-8.6999999999999993</v>
      </c>
      <c r="G44" s="2124" cm="1">
        <f t="array" ref="G44">IFERROR(_xlfn.XLOOKUP(R44,'Sales Rec'!$E$37:$E$91,'Sales Rec'!$CU$37:$CU$91*100,""),"")</f>
        <v>2.4256361467676566</v>
      </c>
      <c r="H44" s="2313">
        <f>_xlfn.XLOOKUP(R44,'Sales Rec'!$E$37:$E$86,'Sales Rec'!$DQ$37:$DQ$86,"")</f>
        <v>0.37074665376552168</v>
      </c>
      <c r="I44" s="2312">
        <f>_xlfn.XLOOKUP(R44,'Sales History'!$C$4:$C$83,'Sales History'!$AS$4:$AS$83,"")</f>
        <v>0.10816505706760315</v>
      </c>
      <c r="J44" s="2313">
        <f>_xlfn.XLOOKUP(R44,'Sales History'!$C$4:$C$83,'Sales History'!$AW$4:$AW$83,"")</f>
        <v>0.80921206453121342</v>
      </c>
      <c r="K44" s="1942">
        <f>_xlfn.XLOOKUP(R44,'Sales Rec'!$E$4:$E$91,'Sales Rec'!$CV$4:$CV$91,"")</f>
        <v>40</v>
      </c>
      <c r="L44" s="1587">
        <f>_xlfn.XLOOKUP(R44,'MOPFRA Ranking'!$E$6:$E$55,'MOPFRA Ranking'!$AG$6:$AG$55,"")</f>
        <v>38</v>
      </c>
      <c r="M44" s="1582" t="str">
        <f>_xlfn.XLOOKUP(R44,'Sales Rec'!$E$4:$E$105,'Sales Rec'!$DS$4:$DS$105,"")</f>
        <v>N</v>
      </c>
      <c r="N44" s="1582" t="str">
        <f>_xlfn.XLOOKUP(R44,'Sales Rec'!$E$4:$E$105,'Sales Rec'!$DZ$4:$DZ$105,"")</f>
        <v>N</v>
      </c>
      <c r="O44" s="2365" t="str">
        <f>_xlfn.XLOOKUP($R44,'History Records'!$B$7:$B$88,'History Records'!$G$7:$G$88,"")</f>
        <v/>
      </c>
      <c r="P44" s="856" t="s">
        <v>469</v>
      </c>
      <c r="Q44" s="2364" t="s">
        <v>88</v>
      </c>
      <c r="R44" s="1571" t="s">
        <v>89</v>
      </c>
      <c r="S44" s="1929">
        <v>12</v>
      </c>
      <c r="T44" s="66">
        <f t="shared" si="71"/>
        <v>30576.468010000001</v>
      </c>
      <c r="U44" s="2386">
        <f>_xlfn.XLOOKUP($R44,'Price Record'!$C$6:$C$100,'Price Record'!H$6:H$100,"")</f>
        <v>152900</v>
      </c>
      <c r="V44" s="338">
        <f>_xlfn.XLOOKUP(R44,'دیده بان بازار'!$A$3:$A$3542,'دیده بان بازار'!$M$3:$M$3542,"")</f>
        <v>2.96</v>
      </c>
      <c r="W44" s="2386">
        <f>_xlfn.XLOOKUP($R44,'Price Record'!$C$6:$C$100,'Price Record'!G$6:G$100,"")</f>
        <v>152900</v>
      </c>
      <c r="X44" s="337">
        <f>_xlfn.XLOOKUP(R44,'دیده بان بازار'!$A$3:$A$3542,'دیده بان بازار'!$J$3:$J$3542,"")</f>
        <v>2.96</v>
      </c>
      <c r="Y44" s="1708">
        <f t="shared" si="72"/>
        <v>41261.468009999997</v>
      </c>
      <c r="Z44" s="661" t="str">
        <f t="shared" si="73"/>
        <v/>
      </c>
      <c r="AA44" s="822">
        <f t="shared" si="74"/>
        <v>8.1625385050762334E-2</v>
      </c>
      <c r="AB44" s="511">
        <f t="shared" ca="1" si="75"/>
        <v>8.3835616438356172E-2</v>
      </c>
      <c r="AC44" s="2194">
        <f t="shared" ca="1" si="76"/>
        <v>0.65006805517465849</v>
      </c>
      <c r="AD44" s="1150">
        <f t="shared" si="77"/>
        <v>8.1625385050762334E-2</v>
      </c>
      <c r="AE44" s="1150">
        <f t="shared" si="78"/>
        <v>0.26291636074511587</v>
      </c>
      <c r="AF44" s="1150" t="str">
        <f t="shared" si="79"/>
        <v/>
      </c>
      <c r="AG44" s="1150" t="str">
        <f t="shared" si="80"/>
        <v/>
      </c>
      <c r="AH44" s="1150" t="str">
        <f t="shared" si="81"/>
        <v/>
      </c>
      <c r="AI44" s="275">
        <f t="shared" ca="1" si="82"/>
        <v>331</v>
      </c>
      <c r="AJ44" s="1121">
        <v>46205</v>
      </c>
      <c r="AK44" s="1116">
        <v>46319</v>
      </c>
      <c r="AL44" s="1345">
        <f t="shared" si="83"/>
        <v>1999769000</v>
      </c>
      <c r="AM44" s="29"/>
      <c r="AN44" s="29"/>
      <c r="AO44" s="685">
        <v>0.06</v>
      </c>
      <c r="AP44" s="174"/>
      <c r="AQ44" s="1925">
        <v>19019</v>
      </c>
      <c r="AR44" s="1925">
        <v>3507</v>
      </c>
      <c r="AS44" s="766">
        <f>_xlfn.XLOOKUP(R44,'Sales Rec'!$E$4:$E$86,'Sales Rec'!$X$4:$X$86,"")</f>
        <v>25107.622685185186</v>
      </c>
      <c r="AT44" s="984">
        <f>_xlfn.XLOOKUP(R44,'Sales Rec'!$E$4:$E$86,'Sales Rec'!$K$4:$K$86,"")</f>
        <v>4</v>
      </c>
      <c r="AU44" s="376">
        <f t="shared" si="84"/>
        <v>1.217816134700866</v>
      </c>
      <c r="AV44" s="99">
        <f t="shared" si="85"/>
        <v>0</v>
      </c>
      <c r="AW44" s="16">
        <v>6311</v>
      </c>
      <c r="AX44" s="16">
        <v>1927</v>
      </c>
      <c r="AY44" s="1421">
        <f t="shared" si="86"/>
        <v>0.30499999999999999</v>
      </c>
      <c r="AZ44" s="1419">
        <v>0.378</v>
      </c>
      <c r="BA44" s="1689">
        <v>0.184</v>
      </c>
      <c r="BB44" s="1690">
        <v>0.26900000000000002</v>
      </c>
      <c r="BC44" s="100">
        <f t="shared" si="65"/>
        <v>-8.6999999999999993</v>
      </c>
      <c r="BD44" s="1420">
        <f t="shared" si="87"/>
        <v>0.223</v>
      </c>
      <c r="BE44" s="1419">
        <v>0.31</v>
      </c>
      <c r="BF44" s="1687">
        <v>0.124</v>
      </c>
      <c r="BG44" s="1688">
        <v>0.25</v>
      </c>
      <c r="BH44" s="306">
        <f t="shared" si="88"/>
        <v>8.199999999999999E-2</v>
      </c>
      <c r="BI44" s="1861">
        <f t="shared" si="89"/>
        <v>2070.0079999999998</v>
      </c>
      <c r="BJ44" s="306">
        <f t="shared" si="90"/>
        <v>6.8000000000000005E-2</v>
      </c>
      <c r="BK44" s="99">
        <v>0</v>
      </c>
      <c r="BL44" s="306">
        <f>_xlfn.XLOOKUP(R44,'Sales Rec'!$E$4:$E$91,'Sales Rec'!$Y$4:$Y$91,"")</f>
        <v>0.32013369184421819</v>
      </c>
      <c r="BM44" s="99">
        <f t="shared" si="91"/>
        <v>7.1552492038036757</v>
      </c>
      <c r="BN44" s="15"/>
      <c r="BO44" s="1803">
        <v>3</v>
      </c>
      <c r="BP44" s="842">
        <f t="shared" si="92"/>
        <v>1</v>
      </c>
      <c r="BQ44" s="16">
        <v>8657</v>
      </c>
      <c r="BR44" s="16"/>
      <c r="BS44" s="16"/>
      <c r="BT44" s="1253">
        <f>(_xlfn.XLOOKUP(R44,'Sales Rec'!$E$37:$E$91,'Sales Rec'!$X$37:$X$91)*BD44+CM44)*1000/CK44</f>
        <v>32553.759253175223</v>
      </c>
      <c r="BU44" s="1246">
        <f t="shared" si="93"/>
        <v>34623.999071892802</v>
      </c>
      <c r="BV44" s="406"/>
      <c r="BW44" s="407">
        <f t="shared" si="94"/>
        <v>4.5521018805101718</v>
      </c>
      <c r="BX44" s="99">
        <f t="shared" si="95"/>
        <v>2.2394905974491408</v>
      </c>
      <c r="BY44" s="18">
        <f t="shared" si="96"/>
        <v>6716.9999293981482</v>
      </c>
      <c r="BZ44" s="18">
        <f t="shared" si="97"/>
        <v>3363.7478558855887</v>
      </c>
      <c r="CA44" s="18">
        <f t="shared" si="98"/>
        <v>7657.8249189814815</v>
      </c>
      <c r="CB44" s="1710">
        <f t="shared" si="99"/>
        <v>5.3881446032704448</v>
      </c>
      <c r="CC44" s="266">
        <f>_xlfn.XLOOKUP($R44,'Price Record'!$C$6:$C$100,'Price Record'!I$6:I$100,"")</f>
        <v>16822</v>
      </c>
      <c r="CD44" s="267">
        <f>_xlfn.XLOOKUP($R44,'Price Record'!$C$6:$C$100,'Price Record'!J$6:J$100,"")</f>
        <v>9.09</v>
      </c>
      <c r="CE44" s="99">
        <f t="shared" si="100"/>
        <v>-10</v>
      </c>
      <c r="CF44" s="17">
        <f t="shared" si="101"/>
        <v>1.6976328896614599</v>
      </c>
      <c r="CG44" s="99">
        <f t="shared" si="102"/>
        <v>1.2094684413541605</v>
      </c>
      <c r="CH44" s="494">
        <f t="shared" si="103"/>
        <v>0.280963731517888</v>
      </c>
      <c r="CI44" s="99">
        <f t="shared" si="104"/>
        <v>-1.7855440272316803</v>
      </c>
      <c r="CJ44" s="20"/>
      <c r="CK44" s="691">
        <v>199.9769</v>
      </c>
      <c r="CL44" s="419">
        <v>6059</v>
      </c>
      <c r="CM44" s="468">
        <v>911</v>
      </c>
      <c r="CN44" s="843">
        <v>325</v>
      </c>
      <c r="CO44" s="21">
        <v>1731</v>
      </c>
      <c r="CP44" s="21">
        <v>0</v>
      </c>
      <c r="CQ44" s="469">
        <f t="shared" si="105"/>
        <v>1731</v>
      </c>
      <c r="CR44" s="1239">
        <f>(AS44*BD44)*(_xlfn.XLOOKUP($R44,'Sales Rec'!$E$37:$E$91,'Sales Rec'!$L$37:$L$91,"")/12)+CP44</f>
        <v>1866.333286265432</v>
      </c>
      <c r="CS44" s="21">
        <v>7790</v>
      </c>
      <c r="CT44" s="16">
        <v>0</v>
      </c>
      <c r="CU44" s="2240" t="str">
        <f t="shared" si="106"/>
        <v/>
      </c>
      <c r="CV44" s="693">
        <f t="shared" si="107"/>
        <v>8009</v>
      </c>
      <c r="CW44" s="49">
        <v>10754</v>
      </c>
      <c r="CX44" s="21">
        <v>1962</v>
      </c>
      <c r="CY44" s="49">
        <v>649</v>
      </c>
      <c r="CZ44" s="378">
        <f t="shared" si="108"/>
        <v>11403</v>
      </c>
      <c r="DA44" s="1058">
        <f t="shared" si="109"/>
        <v>1.4783336432955179</v>
      </c>
      <c r="DB44" s="99">
        <f t="shared" si="110"/>
        <v>2.2266691463641433</v>
      </c>
      <c r="DC44" s="53">
        <f t="shared" si="111"/>
        <v>19412</v>
      </c>
      <c r="DD44" s="645">
        <f t="shared" si="112"/>
        <v>0.58742015248300017</v>
      </c>
      <c r="DE44" s="13">
        <v>3514</v>
      </c>
      <c r="DF44" s="24">
        <v>2899</v>
      </c>
      <c r="DG44" s="24">
        <v>0</v>
      </c>
      <c r="DH44" s="51">
        <v>15898</v>
      </c>
      <c r="DI44" s="8">
        <f t="shared" si="62"/>
        <v>5144</v>
      </c>
      <c r="DJ44" s="644">
        <f t="shared" si="113"/>
        <v>4.8809530880997638</v>
      </c>
      <c r="DK44" s="22">
        <v>8381</v>
      </c>
      <c r="DL44" s="22">
        <v>718</v>
      </c>
      <c r="DM44" s="22">
        <v>5734</v>
      </c>
      <c r="DN44" s="138">
        <f t="shared" si="114"/>
        <v>0.58742015248300017</v>
      </c>
      <c r="DO44" s="99">
        <f t="shared" si="115"/>
        <v>0</v>
      </c>
      <c r="DP44" s="22">
        <v>0</v>
      </c>
      <c r="DQ44" s="8">
        <f t="shared" si="116"/>
        <v>1065</v>
      </c>
      <c r="DR44" s="138">
        <f t="shared" si="117"/>
        <v>-0.25620852144801359</v>
      </c>
      <c r="DS44" s="99">
        <f t="shared" si="118"/>
        <v>-1</v>
      </c>
      <c r="DT44" s="8">
        <f t="shared" si="119"/>
        <v>61232.08</v>
      </c>
      <c r="DU44" s="8">
        <f t="shared" si="120"/>
        <v>124646.39665881409</v>
      </c>
      <c r="DV44" s="235">
        <f t="shared" si="121"/>
        <v>30298.499476689558</v>
      </c>
      <c r="DW44" s="8">
        <f t="shared" si="122"/>
        <v>108088.48806775182</v>
      </c>
      <c r="DX44" s="411">
        <f t="shared" si="123"/>
        <v>114</v>
      </c>
      <c r="DY44" s="1117">
        <v>1640</v>
      </c>
      <c r="DZ44" s="857">
        <f t="shared" si="124"/>
        <v>1.1468531468531469E-2</v>
      </c>
      <c r="EA44" s="386"/>
      <c r="EB44" s="504"/>
      <c r="EC44" s="510"/>
      <c r="ED44" s="435"/>
      <c r="EE44" s="510"/>
      <c r="EF44" s="435"/>
      <c r="EG44" s="510"/>
      <c r="EH44" s="435"/>
      <c r="EI44" s="510">
        <v>121070</v>
      </c>
      <c r="EJ44" s="435">
        <v>24211</v>
      </c>
      <c r="EK44" s="510">
        <v>141360</v>
      </c>
      <c r="EL44" s="1606">
        <v>28269</v>
      </c>
      <c r="EM44" s="1224">
        <v>141360</v>
      </c>
      <c r="EN44" s="834">
        <v>28269</v>
      </c>
      <c r="EO44" s="835" t="str">
        <f t="shared" si="63"/>
        <v/>
      </c>
      <c r="EP44" s="1648" t="str">
        <f t="shared" si="125"/>
        <v>NEW</v>
      </c>
      <c r="EQ44"/>
    </row>
    <row r="45" spans="1:147" ht="35" customHeight="1">
      <c r="A45" s="99">
        <f>_xlfn.XLOOKUP(R45,'MOPFRA Ranking'!$E$6:$E$55,'MOPFRA Ranking'!$AE$6:$AE$55)</f>
        <v>-12.256156490777114</v>
      </c>
      <c r="B45" s="99">
        <f t="shared" si="66"/>
        <v>-22.256156490777116</v>
      </c>
      <c r="C45" s="1585">
        <f t="shared" ca="1" si="67"/>
        <v>0.18409280641838785</v>
      </c>
      <c r="D45" s="2378">
        <f t="shared" si="68"/>
        <v>13.374336488953677</v>
      </c>
      <c r="E45" s="1414">
        <f t="shared" si="69"/>
        <v>6.9</v>
      </c>
      <c r="F45" s="1415">
        <f t="shared" si="70"/>
        <v>10.5</v>
      </c>
      <c r="G45" s="2124" cm="1">
        <f t="array" ref="G45">IFERROR(_xlfn.XLOOKUP(R45,'Sales Rec'!$E$37:$E$91,'Sales Rec'!$CU$37:$CU$91*100,""),"")</f>
        <v>47.041027332134391</v>
      </c>
      <c r="H45" s="2313">
        <f>_xlfn.XLOOKUP(R45,'Sales Rec'!$E$37:$E$86,'Sales Rec'!$DQ$37:$DQ$86,"")</f>
        <v>1.354436158879927</v>
      </c>
      <c r="I45" s="2312">
        <f>_xlfn.XLOOKUP(R45,'Sales History'!$C$4:$C$83,'Sales History'!$AS$4:$AS$83,"")</f>
        <v>-0.20464135021097046</v>
      </c>
      <c r="J45" s="2313">
        <f>_xlfn.XLOOKUP(R45,'Sales History'!$C$4:$C$83,'Sales History'!$AW$4:$AW$83,"")</f>
        <v>0.98828025477707004</v>
      </c>
      <c r="K45" s="1942">
        <f>_xlfn.XLOOKUP(R45,'Sales Rec'!$E$4:$E$91,'Sales Rec'!$CV$4:$CV$91,"")</f>
        <v>13</v>
      </c>
      <c r="L45" s="1587">
        <f>_xlfn.XLOOKUP(R45,'MOPFRA Ranking'!$E$6:$E$55,'MOPFRA Ranking'!$AG$6:$AG$55,"")</f>
        <v>31</v>
      </c>
      <c r="M45" s="1582" t="str">
        <f>_xlfn.XLOOKUP(R45,'Sales Rec'!$E$4:$E$105,'Sales Rec'!$DS$4:$DS$105,"")</f>
        <v>B</v>
      </c>
      <c r="N45" s="1582" t="str">
        <f>_xlfn.XLOOKUP(R45,'Sales Rec'!$E$4:$E$105,'Sales Rec'!$DZ$4:$DZ$105,"")</f>
        <v>B</v>
      </c>
      <c r="O45" s="2365" t="str">
        <f>_xlfn.XLOOKUP($R45,'History Records'!$B$7:$B$88,'History Records'!$G$7:$G$88,"")</f>
        <v/>
      </c>
      <c r="P45" s="856" t="s">
        <v>458</v>
      </c>
      <c r="Q45" s="2364" t="s">
        <v>122</v>
      </c>
      <c r="R45" s="1571" t="s">
        <v>123</v>
      </c>
      <c r="S45" s="1929">
        <v>9</v>
      </c>
      <c r="T45" s="66">
        <f t="shared" si="71"/>
        <v>13975</v>
      </c>
      <c r="U45" s="2386">
        <f>_xlfn.XLOOKUP($R45,'Price Record'!$C$6:$C$100,'Price Record'!H$6:H$100,"")</f>
        <v>2795</v>
      </c>
      <c r="V45" s="338">
        <f>_xlfn.XLOOKUP(R45,'دیده بان بازار'!$A$3:$A$3542,'دیده بان بازار'!$M$3:$M$3542,"")</f>
        <v>2.98</v>
      </c>
      <c r="W45" s="2386">
        <f>_xlfn.XLOOKUP($R45,'Price Record'!$C$6:$C$100,'Price Record'!G$6:G$100,"")</f>
        <v>2795</v>
      </c>
      <c r="X45" s="337">
        <f>_xlfn.XLOOKUP(R45,'دیده بان بازار'!$A$3:$A$3542,'دیده بان بازار'!$J$3:$J$3542,"")</f>
        <v>2.98</v>
      </c>
      <c r="Y45" s="1708">
        <f t="shared" si="72"/>
        <v>32786</v>
      </c>
      <c r="Z45" s="661" t="str">
        <f t="shared" si="73"/>
        <v/>
      </c>
      <c r="AA45" s="822">
        <f t="shared" si="74"/>
        <v>0.38985579313774243</v>
      </c>
      <c r="AB45" s="511">
        <f t="shared" ca="1" si="75"/>
        <v>1.1613698630136986</v>
      </c>
      <c r="AC45" s="2194">
        <f t="shared" ca="1" si="76"/>
        <v>16.380341186326035</v>
      </c>
      <c r="AD45" s="1150">
        <f t="shared" si="77"/>
        <v>0.38985579313774243</v>
      </c>
      <c r="AE45" s="1150">
        <f t="shared" si="78"/>
        <v>-0.22683264177040111</v>
      </c>
      <c r="AF45" s="1150">
        <f t="shared" si="79"/>
        <v>-0.27137643378519288</v>
      </c>
      <c r="AG45" s="1150" t="str">
        <f t="shared" si="80"/>
        <v/>
      </c>
      <c r="AH45" s="1150" t="str">
        <f t="shared" si="81"/>
        <v/>
      </c>
      <c r="AI45" s="275">
        <f t="shared" ca="1" si="82"/>
        <v>-106</v>
      </c>
      <c r="AJ45" s="1121">
        <v>45768</v>
      </c>
      <c r="AK45" s="1830">
        <v>46204</v>
      </c>
      <c r="AL45" s="1345">
        <f t="shared" si="83"/>
        <v>50000000000</v>
      </c>
      <c r="AM45" s="29"/>
      <c r="AN45" s="29"/>
      <c r="AO45" s="685">
        <v>7.0000000000000007E-2</v>
      </c>
      <c r="AP45" s="174"/>
      <c r="AQ45" s="1925">
        <v>18602</v>
      </c>
      <c r="AR45" s="1925">
        <v>736</v>
      </c>
      <c r="AS45" s="766">
        <f>_xlfn.XLOOKUP(R45,'Sales Rec'!$E$4:$E$86,'Sales Rec'!$X$4:$X$86,"")</f>
        <v>35404.539285170773</v>
      </c>
      <c r="AT45" s="984">
        <f>_xlfn.XLOOKUP(R45,'Sales Rec'!$E$4:$E$86,'Sales Rec'!$K$4:$K$86,"")</f>
        <v>4</v>
      </c>
      <c r="AU45" s="376">
        <f t="shared" si="84"/>
        <v>0.39472339655196254</v>
      </c>
      <c r="AV45" s="99">
        <f t="shared" si="85"/>
        <v>3.4582637575584716</v>
      </c>
      <c r="AW45" s="16">
        <v>11063</v>
      </c>
      <c r="AX45" s="16">
        <v>1061</v>
      </c>
      <c r="AY45" s="1421">
        <f t="shared" si="86"/>
        <v>9.6000000000000002E-2</v>
      </c>
      <c r="AZ45" s="1419">
        <v>2.7E-2</v>
      </c>
      <c r="BA45" s="1689">
        <v>4.1000000000000002E-2</v>
      </c>
      <c r="BB45" s="1690">
        <v>1.7000000000000001E-2</v>
      </c>
      <c r="BC45" s="100">
        <f t="shared" si="65"/>
        <v>10</v>
      </c>
      <c r="BD45" s="1420">
        <f t="shared" si="87"/>
        <v>0.09</v>
      </c>
      <c r="BE45" s="1419">
        <v>-1.4999999999999999E-2</v>
      </c>
      <c r="BF45" s="1687">
        <v>0</v>
      </c>
      <c r="BG45" s="1688">
        <v>1.4999999999999999E-2</v>
      </c>
      <c r="BH45" s="306">
        <f t="shared" si="88"/>
        <v>6.0000000000000053E-3</v>
      </c>
      <c r="BI45" s="1861">
        <f t="shared" si="89"/>
        <v>132.75600000000011</v>
      </c>
      <c r="BJ45" s="306">
        <f t="shared" si="90"/>
        <v>4.1999999999999996E-2</v>
      </c>
      <c r="BK45" s="99">
        <v>0</v>
      </c>
      <c r="BL45" s="306">
        <f>_xlfn.XLOOKUP(R45,'Sales Rec'!$E$4:$E$91,'Sales Rec'!$Y$4:$Y$91,"")</f>
        <v>0.90326520186919546</v>
      </c>
      <c r="BM45" s="99">
        <f t="shared" si="91"/>
        <v>10</v>
      </c>
      <c r="BN45" s="15"/>
      <c r="BO45" s="1803">
        <v>3</v>
      </c>
      <c r="BP45" s="842">
        <f t="shared" si="92"/>
        <v>2</v>
      </c>
      <c r="BQ45" s="16">
        <v>231</v>
      </c>
      <c r="BR45" s="16">
        <v>52</v>
      </c>
      <c r="BS45" s="16"/>
      <c r="BT45" s="1253">
        <f>(_xlfn.XLOOKUP(R45,'Sales Rec'!$E$37:$E$91,'Sales Rec'!$X$37:$X$91)*BD45+CM45)*1000/CK45</f>
        <v>767.08170713307391</v>
      </c>
      <c r="BU45" s="1246">
        <f t="shared" si="93"/>
        <v>528.20000000000005</v>
      </c>
      <c r="BV45" s="406"/>
      <c r="BW45" s="407">
        <f t="shared" si="94"/>
        <v>4.3156635110463251</v>
      </c>
      <c r="BX45" s="99">
        <f t="shared" si="95"/>
        <v>3.4216824447683747</v>
      </c>
      <c r="BY45" s="18">
        <f t="shared" si="96"/>
        <v>3238.2042678326852</v>
      </c>
      <c r="BZ45" s="18">
        <f t="shared" si="97"/>
        <v>789.9943470887506</v>
      </c>
      <c r="CA45" s="18">
        <f t="shared" si="98"/>
        <v>3398.8357713763944</v>
      </c>
      <c r="CB45" s="1710">
        <f t="shared" si="99"/>
        <v>9.6462442451942785</v>
      </c>
      <c r="CC45" s="266">
        <f>_xlfn.XLOOKUP($R45,'Price Record'!$C$6:$C$100,'Price Record'!I$6:I$100,"")</f>
        <v>158</v>
      </c>
      <c r="CD45" s="267">
        <f>_xlfn.XLOOKUP($R45,'Price Record'!$C$6:$C$100,'Price Record'!J$6:J$100,"")</f>
        <v>17.690000000000001</v>
      </c>
      <c r="CE45" s="99">
        <f t="shared" si="100"/>
        <v>-10</v>
      </c>
      <c r="CF45" s="17">
        <f t="shared" si="101"/>
        <v>5.9878866174732188</v>
      </c>
      <c r="CG45" s="99">
        <f t="shared" si="102"/>
        <v>-10</v>
      </c>
      <c r="CH45" s="494">
        <f t="shared" si="103"/>
        <v>0.15223563856107777</v>
      </c>
      <c r="CI45" s="99">
        <f t="shared" si="104"/>
        <v>-3.7164654215838335</v>
      </c>
      <c r="CJ45" s="20"/>
      <c r="CK45" s="691">
        <v>5000</v>
      </c>
      <c r="CL45" s="419">
        <v>1694</v>
      </c>
      <c r="CM45" s="468">
        <v>649</v>
      </c>
      <c r="CN45" s="843">
        <v>65</v>
      </c>
      <c r="CO45" s="21">
        <v>1061</v>
      </c>
      <c r="CP45" s="21"/>
      <c r="CQ45" s="469">
        <f t="shared" si="105"/>
        <v>1320.5</v>
      </c>
      <c r="CR45" s="1239">
        <f>(AS45*BD45)*(_xlfn.XLOOKUP($R45,'Sales Rec'!$E$37:$E$91,'Sales Rec'!$L$37:$L$91,"")/12)+CP45</f>
        <v>1858.7383124714656</v>
      </c>
      <c r="CS45" s="21">
        <v>2755</v>
      </c>
      <c r="CT45" s="16">
        <v>-1182</v>
      </c>
      <c r="CU45" s="2240" t="str">
        <f t="shared" si="106"/>
        <v/>
      </c>
      <c r="CV45" s="693">
        <f t="shared" si="107"/>
        <v>7054</v>
      </c>
      <c r="CW45" s="49">
        <v>19228</v>
      </c>
      <c r="CX45" s="21">
        <v>7629</v>
      </c>
      <c r="CY45" s="49">
        <v>162</v>
      </c>
      <c r="CZ45" s="378">
        <f t="shared" si="108"/>
        <v>19390</v>
      </c>
      <c r="DA45" s="1058">
        <f t="shared" si="109"/>
        <v>0.73939047222800081</v>
      </c>
      <c r="DB45" s="99">
        <f t="shared" si="110"/>
        <v>-3.6848762221759932</v>
      </c>
      <c r="DC45" s="53">
        <f t="shared" si="111"/>
        <v>26444</v>
      </c>
      <c r="DD45" s="645">
        <f t="shared" si="112"/>
        <v>0.73324761760701862</v>
      </c>
      <c r="DE45" s="13">
        <v>12227</v>
      </c>
      <c r="DF45" s="24">
        <v>11275</v>
      </c>
      <c r="DG45" s="24">
        <v>700</v>
      </c>
      <c r="DH45" s="51">
        <v>14217</v>
      </c>
      <c r="DI45" s="8">
        <f t="shared" si="62"/>
        <v>-5011</v>
      </c>
      <c r="DJ45" s="644">
        <f t="shared" si="113"/>
        <v>-7.0653640561107114</v>
      </c>
      <c r="DK45" s="22">
        <v>7858</v>
      </c>
      <c r="DL45" s="22">
        <v>537</v>
      </c>
      <c r="DM45" s="22">
        <v>4891</v>
      </c>
      <c r="DN45" s="138">
        <f t="shared" si="114"/>
        <v>0.73324761760701862</v>
      </c>
      <c r="DO45" s="99">
        <f t="shared" si="115"/>
        <v>-1.7347610493441323</v>
      </c>
      <c r="DP45" s="22">
        <v>42</v>
      </c>
      <c r="DQ45" s="8">
        <f t="shared" si="116"/>
        <v>889</v>
      </c>
      <c r="DR45" s="138">
        <f t="shared" si="117"/>
        <v>-2.2322349505364785</v>
      </c>
      <c r="DS45" s="99">
        <f t="shared" si="118"/>
        <v>-10</v>
      </c>
      <c r="DT45" s="8">
        <f t="shared" si="119"/>
        <v>594.08000000000004</v>
      </c>
      <c r="DU45" s="8">
        <f t="shared" si="120"/>
        <v>1964.9040000000002</v>
      </c>
      <c r="DV45" s="235">
        <f t="shared" si="121"/>
        <v>338.8</v>
      </c>
      <c r="DW45" s="8">
        <f t="shared" si="122"/>
        <v>1448.8920000000003</v>
      </c>
      <c r="DX45" s="411">
        <f t="shared" si="123"/>
        <v>436</v>
      </c>
      <c r="DY45" s="1117">
        <v>105</v>
      </c>
      <c r="DZ45" s="857">
        <f t="shared" si="124"/>
        <v>4.9621928166351609E-2</v>
      </c>
      <c r="EA45" s="386">
        <v>8.09</v>
      </c>
      <c r="EB45" s="504"/>
      <c r="EC45" s="510"/>
      <c r="ED45" s="435"/>
      <c r="EE45" s="510"/>
      <c r="EF45" s="435"/>
      <c r="EG45" s="510">
        <v>3836</v>
      </c>
      <c r="EH45" s="435">
        <v>19180</v>
      </c>
      <c r="EI45" s="510">
        <v>3615</v>
      </c>
      <c r="EJ45" s="435">
        <v>18075</v>
      </c>
      <c r="EK45" s="510">
        <v>2011</v>
      </c>
      <c r="EL45" s="1606">
        <v>10055</v>
      </c>
      <c r="EM45" s="1224">
        <v>2011</v>
      </c>
      <c r="EN45" s="834">
        <v>10055</v>
      </c>
      <c r="EO45" s="835" t="str">
        <f t="shared" si="63"/>
        <v/>
      </c>
      <c r="EP45" s="1648" t="str">
        <f t="shared" si="125"/>
        <v>NEW</v>
      </c>
      <c r="EQ45"/>
    </row>
    <row r="46" spans="1:147" ht="35" customHeight="1">
      <c r="A46" s="99">
        <f>_xlfn.XLOOKUP(R46,'MOPFRA Ranking'!$E$6:$E$55,'MOPFRA Ranking'!$AE$6:$AE$55)</f>
        <v>-16.082359578665564</v>
      </c>
      <c r="B46" s="99">
        <f t="shared" si="66"/>
        <v>-14.782359578665563</v>
      </c>
      <c r="C46" s="1585">
        <f t="shared" ca="1" si="67"/>
        <v>0.19457477002144416</v>
      </c>
      <c r="D46" s="2378">
        <f t="shared" si="68"/>
        <v>3.1627869963684567</v>
      </c>
      <c r="E46" s="1414">
        <f t="shared" si="69"/>
        <v>0.60000000000000053</v>
      </c>
      <c r="F46" s="1415">
        <f t="shared" si="70"/>
        <v>-1.3000000000000012</v>
      </c>
      <c r="G46" s="2124" cm="1">
        <f t="array" ref="G46">IFERROR(_xlfn.XLOOKUP(R46,'Sales Rec'!$E$37:$E$91,'Sales Rec'!$CU$37:$CU$91*100,""),"")</f>
        <v>-25.020122778445021</v>
      </c>
      <c r="H46" s="2313">
        <f>_xlfn.XLOOKUP(R46,'Sales Rec'!$E$37:$E$86,'Sales Rec'!$DQ$37:$DQ$86,"")</f>
        <v>0.28739374208717672</v>
      </c>
      <c r="I46" s="2312">
        <f>_xlfn.XLOOKUP(R46,'Sales History'!$C$4:$C$83,'Sales History'!$AS$4:$AS$83,"")</f>
        <v>0.36774644604987183</v>
      </c>
      <c r="J46" s="2313">
        <f>_xlfn.XLOOKUP(R46,'Sales History'!$C$4:$C$83,'Sales History'!$AW$4:$AW$83,"")</f>
        <v>0.37152209492635024</v>
      </c>
      <c r="K46" s="1942">
        <f>_xlfn.XLOOKUP(R46,'Sales Rec'!$E$4:$E$91,'Sales Rec'!$CV$4:$CV$91,"")</f>
        <v>44</v>
      </c>
      <c r="L46" s="1587">
        <f>_xlfn.XLOOKUP(R46,'MOPFRA Ranking'!$E$6:$E$55,'MOPFRA Ranking'!$AG$6:$AG$55,"")</f>
        <v>44</v>
      </c>
      <c r="M46" s="1582" t="str">
        <f>_xlfn.XLOOKUP(R46,'Sales Rec'!$E$4:$E$105,'Sales Rec'!$DS$4:$DS$105,"")</f>
        <v>S</v>
      </c>
      <c r="N46" s="1582" t="str">
        <f>_xlfn.XLOOKUP(R46,'Sales Rec'!$E$4:$E$105,'Sales Rec'!$DZ$4:$DZ$105,"")</f>
        <v>N</v>
      </c>
      <c r="O46" s="2365" t="str">
        <f>_xlfn.XLOOKUP($R46,'History Records'!$B$7:$B$88,'History Records'!$G$7:$G$88,"")</f>
        <v/>
      </c>
      <c r="P46" s="856" t="s">
        <v>464</v>
      </c>
      <c r="Q46" s="2364" t="s">
        <v>187</v>
      </c>
      <c r="R46" s="1571" t="s">
        <v>188</v>
      </c>
      <c r="S46" s="1929">
        <v>12</v>
      </c>
      <c r="T46" s="66">
        <f t="shared" si="71"/>
        <v>11973.343999999999</v>
      </c>
      <c r="U46" s="2386">
        <f>_xlfn.XLOOKUP($R46,'Price Record'!$C$6:$C$100,'Price Record'!H$6:H$100,"")</f>
        <v>6470</v>
      </c>
      <c r="V46" s="338">
        <f>_xlfn.XLOOKUP(R46,'دیده بان بازار'!$A$3:$A$3542,'دیده بان بازار'!$M$3:$M$3542,"")</f>
        <v>2.21</v>
      </c>
      <c r="W46" s="2386">
        <v>6080</v>
      </c>
      <c r="X46" s="337">
        <f>_xlfn.XLOOKUP(R46,'دیده بان بازار'!$A$3:$A$3542,'دیده بان بازار'!$J$3:$J$3542,"")</f>
        <v>2.84</v>
      </c>
      <c r="Y46" s="1708">
        <f t="shared" si="72"/>
        <v>26754.343999999997</v>
      </c>
      <c r="Z46" s="661" t="str">
        <f t="shared" si="73"/>
        <v/>
      </c>
      <c r="AA46" s="822">
        <f t="shared" si="74"/>
        <v>2.8731312118862561E-5</v>
      </c>
      <c r="AB46" s="511">
        <f t="shared" ca="1" si="75"/>
        <v>8.3835616438356172E-2</v>
      </c>
      <c r="AC46" s="2194">
        <f t="shared" ca="1" si="76"/>
        <v>24.649083860658031</v>
      </c>
      <c r="AD46" s="1150">
        <f t="shared" si="77"/>
        <v>2.8731312118862561E-5</v>
      </c>
      <c r="AE46" s="1150">
        <f t="shared" si="78"/>
        <v>-0.18692489474399027</v>
      </c>
      <c r="AF46" s="1150">
        <f t="shared" si="79"/>
        <v>-4.335698306168112E-2</v>
      </c>
      <c r="AG46" s="1150">
        <f t="shared" si="80"/>
        <v>2.399586598523566</v>
      </c>
      <c r="AH46" s="1150">
        <f t="shared" si="81"/>
        <v>0.76234088901972319</v>
      </c>
      <c r="AI46" s="275">
        <f t="shared" ca="1" si="82"/>
        <v>331</v>
      </c>
      <c r="AJ46" s="1121">
        <v>46205</v>
      </c>
      <c r="AK46" s="1116">
        <v>46327</v>
      </c>
      <c r="AL46" s="1345">
        <f t="shared" si="83"/>
        <v>19693000000</v>
      </c>
      <c r="AM46" s="29"/>
      <c r="AN46" s="29"/>
      <c r="AO46" s="685">
        <v>0.17</v>
      </c>
      <c r="AP46" s="174"/>
      <c r="AQ46" s="1925">
        <v>18091</v>
      </c>
      <c r="AR46" s="1925">
        <v>2485</v>
      </c>
      <c r="AS46" s="766">
        <f>_xlfn.XLOOKUP(R46,'Sales Rec'!$E$4:$E$86,'Sales Rec'!$X$4:$X$86,"")</f>
        <v>21903.620094049558</v>
      </c>
      <c r="AT46" s="984">
        <f>_xlfn.XLOOKUP(R46,'Sales Rec'!$E$4:$E$86,'Sales Rec'!$K$4:$K$86,"")</f>
        <v>4</v>
      </c>
      <c r="AU46" s="376">
        <f t="shared" si="84"/>
        <v>0.97752992008004802</v>
      </c>
      <c r="AV46" s="99">
        <f t="shared" si="85"/>
        <v>-2.7157037246941949</v>
      </c>
      <c r="AW46" s="16">
        <v>5869</v>
      </c>
      <c r="AX46" s="16">
        <v>1184</v>
      </c>
      <c r="AY46" s="1421">
        <f t="shared" si="86"/>
        <v>0.20200000000000001</v>
      </c>
      <c r="AZ46" s="1419">
        <v>0.19600000000000001</v>
      </c>
      <c r="BA46" s="1689">
        <v>0.13700000000000001</v>
      </c>
      <c r="BB46" s="1690">
        <v>0.24099999999999999</v>
      </c>
      <c r="BC46" s="100">
        <f t="shared" si="65"/>
        <v>-1.3000000000000012</v>
      </c>
      <c r="BD46" s="1420">
        <f t="shared" si="87"/>
        <v>0.125</v>
      </c>
      <c r="BE46" s="1419">
        <v>0.13800000000000001</v>
      </c>
      <c r="BF46" s="1687">
        <v>6.6000000000000003E-2</v>
      </c>
      <c r="BG46" s="1688">
        <v>0.17799999999999999</v>
      </c>
      <c r="BH46" s="306">
        <f t="shared" si="88"/>
        <v>7.7000000000000013E-2</v>
      </c>
      <c r="BI46" s="1861">
        <f t="shared" si="89"/>
        <v>1807.6520000000003</v>
      </c>
      <c r="BJ46" s="306">
        <f t="shared" si="90"/>
        <v>5.7999999999999996E-2</v>
      </c>
      <c r="BK46" s="99">
        <v>0</v>
      </c>
      <c r="BL46" s="306">
        <f>_xlfn.XLOOKUP(R46,'Sales Rec'!$E$4:$E$91,'Sales Rec'!$Y$4:$Y$91,"")</f>
        <v>0.21074678536562702</v>
      </c>
      <c r="BM46" s="99">
        <f t="shared" si="91"/>
        <v>6.3215416216052445</v>
      </c>
      <c r="BN46" s="15"/>
      <c r="BO46" s="1803">
        <v>3</v>
      </c>
      <c r="BP46" s="842">
        <f t="shared" si="92"/>
        <v>1</v>
      </c>
      <c r="BQ46" s="16">
        <v>381</v>
      </c>
      <c r="BR46" s="16"/>
      <c r="BS46" s="16"/>
      <c r="BT46" s="1253">
        <f>(_xlfn.XLOOKUP(R46,'Sales Rec'!$E$37:$E$91,'Sales Rec'!$X$37:$X$91)*BD46+CM46)*1000/CK46</f>
        <v>1625.9343481217666</v>
      </c>
      <c r="BU46" s="1246">
        <f t="shared" si="93"/>
        <v>1726.501802671</v>
      </c>
      <c r="BV46" s="406"/>
      <c r="BW46" s="407">
        <f t="shared" si="94"/>
        <v>3.6272130036315433</v>
      </c>
      <c r="BX46" s="99">
        <f t="shared" si="95"/>
        <v>6.8639349818422835</v>
      </c>
      <c r="BY46" s="18">
        <f t="shared" si="96"/>
        <v>3300.9762558780972</v>
      </c>
      <c r="BZ46" s="18">
        <f t="shared" si="97"/>
        <v>1763.3790868924889</v>
      </c>
      <c r="CA46" s="18">
        <f t="shared" si="98"/>
        <v>4424.5312589980113</v>
      </c>
      <c r="CB46" s="1710">
        <f t="shared" si="99"/>
        <v>6.0468199756958763</v>
      </c>
      <c r="CC46" s="266">
        <f>_xlfn.XLOOKUP($R46,'Price Record'!$C$6:$C$100,'Price Record'!I$6:I$100,"")</f>
        <v>953</v>
      </c>
      <c r="CD46" s="267">
        <f>_xlfn.XLOOKUP($R46,'Price Record'!$C$6:$C$100,'Price Record'!J$6:J$100,"")</f>
        <v>6.79</v>
      </c>
      <c r="CE46" s="99">
        <f t="shared" si="100"/>
        <v>-5.37</v>
      </c>
      <c r="CF46" s="17">
        <f t="shared" si="101"/>
        <v>4.6531688837955807</v>
      </c>
      <c r="CG46" s="99">
        <f t="shared" si="102"/>
        <v>-10</v>
      </c>
      <c r="CH46" s="494">
        <f t="shared" si="103"/>
        <v>0.17399200168027076</v>
      </c>
      <c r="CI46" s="99">
        <f t="shared" si="104"/>
        <v>-3.390119974795939</v>
      </c>
      <c r="CJ46" s="20"/>
      <c r="CK46" s="691">
        <v>1969.3</v>
      </c>
      <c r="CL46" s="419">
        <v>1390</v>
      </c>
      <c r="CM46" s="468">
        <v>464</v>
      </c>
      <c r="CN46" s="843">
        <v>17</v>
      </c>
      <c r="CO46" s="21">
        <v>751</v>
      </c>
      <c r="CP46" s="21">
        <v>-1390</v>
      </c>
      <c r="CQ46" s="469">
        <f t="shared" si="105"/>
        <v>850</v>
      </c>
      <c r="CR46" s="1239">
        <f>(AS46*BD46)*(_xlfn.XLOOKUP($R46,'Sales Rec'!$E$37:$E$91,'Sales Rec'!$L$37:$L$91,"")/12)+CP46</f>
        <v>-477.34916274793511</v>
      </c>
      <c r="CS46" s="21">
        <v>2141</v>
      </c>
      <c r="CT46" s="16">
        <v>-11</v>
      </c>
      <c r="CU46" s="2240" t="str">
        <f t="shared" si="106"/>
        <v/>
      </c>
      <c r="CV46" s="693">
        <f t="shared" si="107"/>
        <v>4201</v>
      </c>
      <c r="CW46" s="49">
        <v>14600</v>
      </c>
      <c r="CX46" s="21">
        <v>3838</v>
      </c>
      <c r="CY46" s="49">
        <v>760</v>
      </c>
      <c r="CZ46" s="378">
        <f t="shared" si="108"/>
        <v>15360</v>
      </c>
      <c r="DA46" s="1058">
        <f t="shared" si="109"/>
        <v>1.0117123287671232</v>
      </c>
      <c r="DB46" s="99">
        <f t="shared" si="110"/>
        <v>-1.5063013698630137</v>
      </c>
      <c r="DC46" s="53">
        <f t="shared" si="111"/>
        <v>19561</v>
      </c>
      <c r="DD46" s="645">
        <f t="shared" si="112"/>
        <v>0.78523592863350544</v>
      </c>
      <c r="DE46" s="13">
        <v>4790</v>
      </c>
      <c r="DF46" s="24">
        <v>3353</v>
      </c>
      <c r="DG46" s="24">
        <v>1309</v>
      </c>
      <c r="DH46" s="51">
        <v>14771</v>
      </c>
      <c r="DI46" s="8">
        <f t="shared" si="62"/>
        <v>171</v>
      </c>
      <c r="DJ46" s="644">
        <f t="shared" si="113"/>
        <v>128.09134557923718</v>
      </c>
      <c r="DK46" s="22">
        <v>4918</v>
      </c>
      <c r="DL46" s="22">
        <v>579</v>
      </c>
      <c r="DM46" s="22">
        <v>5961</v>
      </c>
      <c r="DN46" s="138">
        <f t="shared" si="114"/>
        <v>0.78523592863350544</v>
      </c>
      <c r="DO46" s="99">
        <f t="shared" si="115"/>
        <v>-0.98571111275994161</v>
      </c>
      <c r="DP46" s="22">
        <v>0</v>
      </c>
      <c r="DQ46" s="8">
        <f t="shared" si="116"/>
        <v>3313</v>
      </c>
      <c r="DR46" s="138">
        <f t="shared" si="117"/>
        <v>-0.86743652046638753</v>
      </c>
      <c r="DS46" s="99">
        <f t="shared" si="118"/>
        <v>-4</v>
      </c>
      <c r="DT46" s="8">
        <f t="shared" si="119"/>
        <v>3468.92</v>
      </c>
      <c r="DU46" s="8">
        <f t="shared" si="120"/>
        <v>6215.4064896155996</v>
      </c>
      <c r="DV46" s="235">
        <f t="shared" si="121"/>
        <v>705.83456050373229</v>
      </c>
      <c r="DW46" s="8">
        <f t="shared" si="122"/>
        <v>5195.0805250596659</v>
      </c>
      <c r="DX46" s="411">
        <f t="shared" si="123"/>
        <v>122</v>
      </c>
      <c r="DY46" s="1117">
        <v>580</v>
      </c>
      <c r="DZ46" s="857">
        <f t="shared" si="124"/>
        <v>8.7087087087087081E-2</v>
      </c>
      <c r="EA46" s="386">
        <v>0.41</v>
      </c>
      <c r="EB46" s="504"/>
      <c r="EC46" s="510">
        <v>26890</v>
      </c>
      <c r="ED46" s="435">
        <v>6794</v>
      </c>
      <c r="EE46" s="510">
        <v>13940</v>
      </c>
      <c r="EF46" s="435">
        <v>3522</v>
      </c>
      <c r="EG46" s="510">
        <v>24770</v>
      </c>
      <c r="EH46" s="435">
        <v>12516</v>
      </c>
      <c r="EI46" s="510">
        <v>7890</v>
      </c>
      <c r="EJ46" s="435">
        <v>14726</v>
      </c>
      <c r="EK46" s="510">
        <v>6080</v>
      </c>
      <c r="EL46" s="1606">
        <v>11973</v>
      </c>
      <c r="EM46" s="1224">
        <v>6080</v>
      </c>
      <c r="EN46" s="834">
        <v>11973</v>
      </c>
      <c r="EO46" s="835">
        <f t="shared" si="63"/>
        <v>0.7622902561083309</v>
      </c>
      <c r="EP46" s="1648">
        <f t="shared" si="125"/>
        <v>24</v>
      </c>
      <c r="EQ46"/>
    </row>
    <row r="47" spans="1:147" ht="35" customHeight="1">
      <c r="A47" s="99">
        <f>_xlfn.XLOOKUP(R47,'MOPFRA Ranking'!$E$6:$E$55,'MOPFRA Ranking'!$AE$6:$AE$55)</f>
        <v>-21.000719895593619</v>
      </c>
      <c r="B47" s="99">
        <f t="shared" si="66"/>
        <v>-13.600719895593619</v>
      </c>
      <c r="C47" s="1585">
        <f t="shared" ca="1" si="67"/>
        <v>0.11077334055835787</v>
      </c>
      <c r="D47" s="2378">
        <f t="shared" si="68"/>
        <v>2.3990654272327987</v>
      </c>
      <c r="E47" s="1414">
        <f t="shared" si="69"/>
        <v>-7.5999999999999988</v>
      </c>
      <c r="F47" s="1415">
        <f t="shared" si="70"/>
        <v>-7.3999999999999986</v>
      </c>
      <c r="G47" s="2124" cm="1">
        <f t="array" ref="G47">IFERROR(_xlfn.XLOOKUP(R47,'Sales Rec'!$E$37:$E$91,'Sales Rec'!$CU$37:$CU$91*100,""),"")</f>
        <v>1.5667179616726505</v>
      </c>
      <c r="H47" s="2313">
        <f>_xlfn.XLOOKUP(R47,'Sales Rec'!$E$37:$E$86,'Sales Rec'!$DQ$37:$DQ$86,"")</f>
        <v>0.25472829999345564</v>
      </c>
      <c r="I47" s="2312">
        <f>_xlfn.XLOOKUP(R47,'Sales History'!$C$4:$C$83,'Sales History'!$AS$4:$AS$83,"")</f>
        <v>1.6485051690416318E-2</v>
      </c>
      <c r="J47" s="2313">
        <f>_xlfn.XLOOKUP(R47,'Sales History'!$C$4:$C$83,'Sales History'!$AW$4:$AW$83,"")</f>
        <v>0.2532076339388365</v>
      </c>
      <c r="K47" s="1942">
        <f>_xlfn.XLOOKUP(R47,'Sales Rec'!$E$4:$E$91,'Sales Rec'!$CV$4:$CV$91,"")</f>
        <v>47</v>
      </c>
      <c r="L47" s="1587">
        <f>_xlfn.XLOOKUP(R47,'MOPFRA Ranking'!$E$6:$E$55,'MOPFRA Ranking'!$AG$6:$AG$55,"")</f>
        <v>45</v>
      </c>
      <c r="M47" s="1582" t="str">
        <f>_xlfn.XLOOKUP(R47,'Sales Rec'!$E$4:$E$105,'Sales Rec'!$DS$4:$DS$105,"")</f>
        <v>S</v>
      </c>
      <c r="N47" s="1582" t="str">
        <f>_xlfn.XLOOKUP(R47,'Sales Rec'!$E$4:$E$105,'Sales Rec'!$DZ$4:$DZ$105,"")</f>
        <v>B</v>
      </c>
      <c r="O47" s="2365" t="str">
        <f>_xlfn.XLOOKUP($R47,'History Records'!$B$7:$B$88,'History Records'!$G$7:$G$88,"")</f>
        <v/>
      </c>
      <c r="P47" s="856" t="s">
        <v>468</v>
      </c>
      <c r="Q47" s="2364" t="s">
        <v>136</v>
      </c>
      <c r="R47" s="1571" t="s">
        <v>137</v>
      </c>
      <c r="S47" s="1929">
        <v>9</v>
      </c>
      <c r="T47" s="66">
        <f t="shared" si="71"/>
        <v>136988.54999999999</v>
      </c>
      <c r="U47" s="2386">
        <f>_xlfn.XLOOKUP($R47,'Price Record'!$C$6:$C$100,'Price Record'!H$6:H$100,"")</f>
        <v>2397</v>
      </c>
      <c r="V47" s="338">
        <f>_xlfn.XLOOKUP(R47,'دیده بان بازار'!$A$3:$A$3542,'دیده بان بازار'!$M$3:$M$3542,"")</f>
        <v>2.96</v>
      </c>
      <c r="W47" s="2386">
        <f>_xlfn.XLOOKUP($R47,'Price Record'!$C$6:$C$100,'Price Record'!G$6:G$100,"")</f>
        <v>2397</v>
      </c>
      <c r="X47" s="337">
        <f>_xlfn.XLOOKUP(R47,'دیده بان بازار'!$A$3:$A$3542,'دیده بان بازار'!$J$3:$J$3542,"")</f>
        <v>2.96</v>
      </c>
      <c r="Y47" s="1708">
        <f t="shared" si="72"/>
        <v>206632.55</v>
      </c>
      <c r="Z47" s="661" t="str">
        <f t="shared" si="73"/>
        <v/>
      </c>
      <c r="AA47" s="822">
        <f t="shared" si="74"/>
        <v>5.5943066807470757E-2</v>
      </c>
      <c r="AB47" s="511">
        <f t="shared" ca="1" si="75"/>
        <v>0.18986301369863012</v>
      </c>
      <c r="AC47" s="2194">
        <f t="shared" ca="1" si="76"/>
        <v>17.392200894955764</v>
      </c>
      <c r="AD47" s="1150">
        <f t="shared" si="77"/>
        <v>5.5943066807470757E-2</v>
      </c>
      <c r="AE47" s="1150">
        <f t="shared" si="78"/>
        <v>0.87178627059820168</v>
      </c>
      <c r="AF47" s="1150">
        <f t="shared" si="79"/>
        <v>-8.7801150665228408E-2</v>
      </c>
      <c r="AG47" s="1150">
        <f t="shared" si="80"/>
        <v>5.2705371551525305E-2</v>
      </c>
      <c r="AH47" s="1150">
        <f t="shared" si="81"/>
        <v>-0.20499704025256518</v>
      </c>
      <c r="AI47" s="275">
        <f t="shared" ca="1" si="82"/>
        <v>288</v>
      </c>
      <c r="AJ47" s="1121">
        <v>46162</v>
      </c>
      <c r="AK47" s="1116">
        <v>46275</v>
      </c>
      <c r="AL47" s="1345">
        <f t="shared" si="83"/>
        <v>571500000000</v>
      </c>
      <c r="AM47" s="29"/>
      <c r="AN47" s="29"/>
      <c r="AO47" s="685">
        <v>0.17</v>
      </c>
      <c r="AP47" s="174"/>
      <c r="AQ47" s="1925">
        <v>65676</v>
      </c>
      <c r="AR47" s="1925">
        <v>11850</v>
      </c>
      <c r="AS47" s="766">
        <f>_xlfn.XLOOKUP(R47,'Sales Rec'!$E$4:$E$86,'Sales Rec'!$X$4:$X$86,"")</f>
        <v>99035.195582636094</v>
      </c>
      <c r="AT47" s="984">
        <f>_xlfn.XLOOKUP(R47,'Sales Rec'!$E$4:$E$86,'Sales Rec'!$K$4:$K$86,"")</f>
        <v>4</v>
      </c>
      <c r="AU47" s="376">
        <f t="shared" si="84"/>
        <v>1.0387877702948405</v>
      </c>
      <c r="AV47" s="99">
        <f t="shared" si="85"/>
        <v>10</v>
      </c>
      <c r="AW47" s="16">
        <v>53097</v>
      </c>
      <c r="AX47" s="16">
        <v>8530</v>
      </c>
      <c r="AY47" s="1421">
        <f t="shared" si="86"/>
        <v>0.161</v>
      </c>
      <c r="AZ47" s="1419">
        <v>0.23699999999999999</v>
      </c>
      <c r="BA47" s="1689">
        <v>0.18</v>
      </c>
      <c r="BB47" s="1690">
        <v>0.26200000000000001</v>
      </c>
      <c r="BC47" s="100">
        <f t="shared" si="65"/>
        <v>-7.3999999999999986</v>
      </c>
      <c r="BD47" s="1420">
        <f t="shared" si="87"/>
        <v>0.13100000000000001</v>
      </c>
      <c r="BE47" s="1419">
        <v>0.20499999999999999</v>
      </c>
      <c r="BF47" s="1687">
        <v>0.14199999999999999</v>
      </c>
      <c r="BG47" s="1688">
        <v>0.20899999999999999</v>
      </c>
      <c r="BH47" s="306">
        <f t="shared" si="88"/>
        <v>0.03</v>
      </c>
      <c r="BI47" s="1861">
        <f t="shared" si="89"/>
        <v>3185.8199999999997</v>
      </c>
      <c r="BJ47" s="306">
        <f t="shared" si="90"/>
        <v>3.2000000000000001E-2</v>
      </c>
      <c r="BK47" s="99">
        <v>0</v>
      </c>
      <c r="BL47" s="306">
        <f>_xlfn.XLOOKUP(R47,'Sales Rec'!$E$4:$E$91,'Sales Rec'!$Y$4:$Y$91,"")</f>
        <v>0.17054577196222601</v>
      </c>
      <c r="BM47" s="99">
        <f t="shared" si="91"/>
        <v>3.4380811546426573</v>
      </c>
      <c r="BN47" s="15"/>
      <c r="BO47" s="1803">
        <v>3</v>
      </c>
      <c r="BP47" s="842">
        <f t="shared" si="92"/>
        <v>2</v>
      </c>
      <c r="BQ47" s="16">
        <v>146</v>
      </c>
      <c r="BR47" s="16">
        <v>265</v>
      </c>
      <c r="BS47" s="16"/>
      <c r="BT47" s="1253">
        <f>(_xlfn.XLOOKUP(R47,'Sales Rec'!$E$37:$E$91,'Sales Rec'!$X$37:$X$91)*BD47+CM47)*1000/CK47</f>
        <v>332.29414910455517</v>
      </c>
      <c r="BU47" s="1246">
        <f t="shared" si="93"/>
        <v>477.37532808398953</v>
      </c>
      <c r="BV47" s="406"/>
      <c r="BW47" s="407">
        <f t="shared" si="94"/>
        <v>5.9209345727672016</v>
      </c>
      <c r="BX47" s="99">
        <f t="shared" si="95"/>
        <v>-4.6046728638360079</v>
      </c>
      <c r="BY47" s="18">
        <f t="shared" si="96"/>
        <v>23136.305310662665</v>
      </c>
      <c r="BZ47" s="18">
        <f t="shared" si="97"/>
        <v>16464.969951923074</v>
      </c>
      <c r="CA47" s="18">
        <f t="shared" si="98"/>
        <v>15944.666488804411</v>
      </c>
      <c r="CB47" s="1710">
        <f t="shared" si="99"/>
        <v>12.959352279026191</v>
      </c>
      <c r="CC47" s="266">
        <f>_xlfn.XLOOKUP($R47,'Price Record'!$C$6:$C$100,'Price Record'!I$6:I$100,"")</f>
        <v>288</v>
      </c>
      <c r="CD47" s="267">
        <f>_xlfn.XLOOKUP($R47,'Price Record'!$C$6:$C$100,'Price Record'!J$6:J$100,"")</f>
        <v>8.32</v>
      </c>
      <c r="CE47" s="99">
        <f t="shared" si="100"/>
        <v>-9.9600000000000009</v>
      </c>
      <c r="CF47" s="17">
        <f t="shared" si="101"/>
        <v>3.0977720529547774</v>
      </c>
      <c r="CG47" s="99">
        <f t="shared" si="102"/>
        <v>-4.3910882118191097</v>
      </c>
      <c r="CH47" s="494">
        <f t="shared" si="103"/>
        <v>0.14892539867183333</v>
      </c>
      <c r="CI47" s="99">
        <f t="shared" si="104"/>
        <v>-3.7661190199225008</v>
      </c>
      <c r="CJ47" s="20"/>
      <c r="CK47" s="691">
        <v>57150</v>
      </c>
      <c r="CL47" s="419">
        <v>3504</v>
      </c>
      <c r="CM47" s="468">
        <v>6017</v>
      </c>
      <c r="CN47" s="843">
        <v>6667</v>
      </c>
      <c r="CO47" s="21">
        <v>13641</v>
      </c>
      <c r="CP47" s="21">
        <v>4100</v>
      </c>
      <c r="CQ47" s="469">
        <f t="shared" si="105"/>
        <v>13641</v>
      </c>
      <c r="CR47" s="1239">
        <f>(AS47*BD47)*(_xlfn.XLOOKUP($R47,'Sales Rec'!$E$37:$E$91,'Sales Rec'!$L$37:$L$91,"")/12)+CP47</f>
        <v>11667.939529106443</v>
      </c>
      <c r="CS47" s="21">
        <v>17145</v>
      </c>
      <c r="CT47" s="16">
        <v>-6000</v>
      </c>
      <c r="CU47" s="2240" t="str">
        <f t="shared" si="106"/>
        <v/>
      </c>
      <c r="CV47" s="693">
        <f t="shared" si="107"/>
        <v>78152</v>
      </c>
      <c r="CW47" s="49">
        <v>71540</v>
      </c>
      <c r="CX47" s="21">
        <v>6772</v>
      </c>
      <c r="CY47" s="49">
        <v>131</v>
      </c>
      <c r="CZ47" s="378">
        <f t="shared" si="108"/>
        <v>71671</v>
      </c>
      <c r="DA47" s="1058">
        <f t="shared" si="109"/>
        <v>1.0791585127201566</v>
      </c>
      <c r="DB47" s="99">
        <f t="shared" si="110"/>
        <v>-0.96673189823874672</v>
      </c>
      <c r="DC47" s="53">
        <f t="shared" si="111"/>
        <v>149823</v>
      </c>
      <c r="DD47" s="645">
        <f t="shared" si="112"/>
        <v>0.47837114461731511</v>
      </c>
      <c r="DE47" s="13">
        <v>72620</v>
      </c>
      <c r="DF47" s="24">
        <v>27096</v>
      </c>
      <c r="DG47" s="24">
        <v>40726</v>
      </c>
      <c r="DH47" s="51">
        <v>77203</v>
      </c>
      <c r="DI47" s="8">
        <f t="shared" si="62"/>
        <v>5663</v>
      </c>
      <c r="DJ47" s="644">
        <f t="shared" si="113"/>
        <v>17.488115059621418</v>
      </c>
      <c r="DK47" s="22">
        <v>23463</v>
      </c>
      <c r="DL47" s="22">
        <v>1762</v>
      </c>
      <c r="DM47" s="22">
        <v>47028</v>
      </c>
      <c r="DN47" s="138">
        <f t="shared" si="114"/>
        <v>0.47837114461731511</v>
      </c>
      <c r="DO47" s="99">
        <f t="shared" si="115"/>
        <v>-1.3501890564199086</v>
      </c>
      <c r="DP47" s="22">
        <v>265</v>
      </c>
      <c r="DQ47" s="8">
        <f t="shared" si="116"/>
        <v>4685</v>
      </c>
      <c r="DR47" s="138">
        <f t="shared" si="117"/>
        <v>-0.40809884638031829</v>
      </c>
      <c r="DS47" s="99">
        <f t="shared" si="118"/>
        <v>-2</v>
      </c>
      <c r="DT47" s="8">
        <f t="shared" si="119"/>
        <v>1082.8800000000001</v>
      </c>
      <c r="DU47" s="8">
        <f t="shared" si="120"/>
        <v>1775.836220472441</v>
      </c>
      <c r="DV47" s="235">
        <f t="shared" si="121"/>
        <v>61.312335958005249</v>
      </c>
      <c r="DW47" s="8">
        <f t="shared" si="122"/>
        <v>1460.0142782152232</v>
      </c>
      <c r="DX47" s="411">
        <f t="shared" si="123"/>
        <v>113</v>
      </c>
      <c r="DY47" s="1117">
        <v>200</v>
      </c>
      <c r="DZ47" s="857">
        <f t="shared" si="124"/>
        <v>8.0971659919028341E-2</v>
      </c>
      <c r="EA47" s="386">
        <v>0.21199999999999999</v>
      </c>
      <c r="EB47" s="504"/>
      <c r="EC47" s="510">
        <v>14480</v>
      </c>
      <c r="ED47" s="435">
        <v>172312</v>
      </c>
      <c r="EE47" s="510">
        <v>6760</v>
      </c>
      <c r="EF47" s="435">
        <v>130130</v>
      </c>
      <c r="EG47" s="510">
        <v>4635</v>
      </c>
      <c r="EH47" s="435">
        <v>150174</v>
      </c>
      <c r="EI47" s="510">
        <v>1970</v>
      </c>
      <c r="EJ47" s="435">
        <v>73186</v>
      </c>
      <c r="EK47" s="510">
        <v>2270</v>
      </c>
      <c r="EL47" s="1606">
        <v>129731</v>
      </c>
      <c r="EM47" s="1224">
        <v>2270</v>
      </c>
      <c r="EN47" s="834">
        <v>129731</v>
      </c>
      <c r="EO47" s="835">
        <f t="shared" si="63"/>
        <v>-0.24711569710757231</v>
      </c>
      <c r="EP47" s="1648">
        <f t="shared" si="125"/>
        <v>39</v>
      </c>
      <c r="EQ47"/>
    </row>
    <row r="48" spans="1:147" ht="35" customHeight="1">
      <c r="A48" s="99">
        <f>_xlfn.XLOOKUP(R48,'MOPFRA Ranking'!$E$6:$E$55,'MOPFRA Ranking'!$AE$6:$AE$55)</f>
        <v>-19.430894563608156</v>
      </c>
      <c r="B48" s="99">
        <f t="shared" si="66"/>
        <v>-27.830894563608162</v>
      </c>
      <c r="C48" s="1585">
        <f t="shared" ca="1" si="67"/>
        <v>0.10920762959861102</v>
      </c>
      <c r="D48" s="2378">
        <f t="shared" si="68"/>
        <v>2.9185395212263767</v>
      </c>
      <c r="E48" s="1414">
        <f t="shared" si="69"/>
        <v>3.4000000000000004</v>
      </c>
      <c r="F48" s="1415">
        <f t="shared" si="70"/>
        <v>8.3999999999999986</v>
      </c>
      <c r="G48" s="2124" cm="1">
        <f t="array" ref="G48">IFERROR(_xlfn.XLOOKUP(R48,'Sales Rec'!$E$37:$E$91,'Sales Rec'!$CU$37:$CU$91*100,""),"")</f>
        <v>-14.500778871929242</v>
      </c>
      <c r="H48" s="2313">
        <f>_xlfn.XLOOKUP(R48,'Sales Rec'!$E$37:$E$86,'Sales Rec'!$DQ$37:$DQ$86,"")</f>
        <v>1.1870503597122302</v>
      </c>
      <c r="I48" s="2312">
        <f>_xlfn.XLOOKUP(R48,'Sales History'!$C$4:$C$83,'Sales History'!$AS$4:$AS$83,"")</f>
        <v>0.72873769024171886</v>
      </c>
      <c r="J48" s="2313">
        <f>_xlfn.XLOOKUP(R48,'Sales History'!$C$4:$C$83,'Sales History'!$AW$4:$AW$83,"")</f>
        <v>0.76822276822276825</v>
      </c>
      <c r="K48" s="1942">
        <f>_xlfn.XLOOKUP(R48,'Sales Rec'!$E$4:$E$91,'Sales Rec'!$CV$4:$CV$91,"")</f>
        <v>15</v>
      </c>
      <c r="L48" s="1587">
        <f>_xlfn.XLOOKUP(R48,'MOPFRA Ranking'!$E$6:$E$55,'MOPFRA Ranking'!$AG$6:$AG$55,"")</f>
        <v>41</v>
      </c>
      <c r="M48" s="1582" t="str">
        <f>_xlfn.XLOOKUP(R48,'Sales Rec'!$E$4:$E$105,'Sales Rec'!$DS$4:$DS$105,"")</f>
        <v>BB</v>
      </c>
      <c r="N48" s="1582" t="str">
        <f>_xlfn.XLOOKUP(R48,'Sales Rec'!$E$4:$E$105,'Sales Rec'!$DZ$4:$DZ$105,"")</f>
        <v>BB</v>
      </c>
      <c r="O48" s="2365" t="str">
        <f>_xlfn.XLOOKUP($R48,'History Records'!$B$7:$B$88,'History Records'!$G$7:$G$88,"")</f>
        <v/>
      </c>
      <c r="P48" s="856" t="s">
        <v>465</v>
      </c>
      <c r="Q48" s="2364" t="s">
        <v>94</v>
      </c>
      <c r="R48" s="1571" t="s">
        <v>95</v>
      </c>
      <c r="S48" s="1929">
        <v>9</v>
      </c>
      <c r="T48" s="66">
        <f t="shared" si="71"/>
        <v>4804.2</v>
      </c>
      <c r="U48" s="2386">
        <f>_xlfn.XLOOKUP($R48,'Price Record'!$C$6:$C$100,'Price Record'!H$6:H$100,"")</f>
        <v>2816</v>
      </c>
      <c r="V48" s="338">
        <f>_xlfn.XLOOKUP(R48,'دیده بان بازار'!$A$3:$A$3542,'دیده بان بازار'!$M$3:$M$3542,"")</f>
        <v>-0.81</v>
      </c>
      <c r="W48" s="2386">
        <f>_xlfn.XLOOKUP($R48,'Price Record'!$C$6:$C$100,'Price Record'!G$6:G$100,"")</f>
        <v>2826</v>
      </c>
      <c r="X48" s="337">
        <f>_xlfn.XLOOKUP(R48,'دیده بان بازار'!$A$3:$A$3542,'دیده بان بازار'!$J$3:$J$3542,"")</f>
        <v>-0.46</v>
      </c>
      <c r="Y48" s="1708">
        <f t="shared" si="72"/>
        <v>7264.2</v>
      </c>
      <c r="Z48" s="661" t="str">
        <f t="shared" si="73"/>
        <v/>
      </c>
      <c r="AA48" s="822">
        <f t="shared" si="74"/>
        <v>1.7802083333333332</v>
      </c>
      <c r="AB48" s="511">
        <f t="shared" ca="1" si="75"/>
        <v>0.34273972602739727</v>
      </c>
      <c r="AC48" s="2194">
        <f t="shared" ca="1" si="76"/>
        <v>-103.41500771985152</v>
      </c>
      <c r="AD48" s="1150">
        <f t="shared" si="77"/>
        <v>1.7802083333333332</v>
      </c>
      <c r="AE48" s="1150">
        <f t="shared" si="78"/>
        <v>2.06</v>
      </c>
      <c r="AF48" s="1150">
        <f t="shared" si="79"/>
        <v>2.1858090185676393</v>
      </c>
      <c r="AG48" s="1150">
        <f t="shared" si="80"/>
        <v>2.4939636363636364</v>
      </c>
      <c r="AH48" s="1150">
        <f t="shared" si="81"/>
        <v>3.9425925925925922</v>
      </c>
      <c r="AI48" s="275">
        <f t="shared" ca="1" si="82"/>
        <v>226</v>
      </c>
      <c r="AJ48" s="1121">
        <v>46100</v>
      </c>
      <c r="AK48" s="1116">
        <v>46214</v>
      </c>
      <c r="AL48" s="1345">
        <f t="shared" si="83"/>
        <v>17000000000</v>
      </c>
      <c r="AM48" s="29"/>
      <c r="AN48" s="29"/>
      <c r="AO48" s="685">
        <v>0.28000000000000003</v>
      </c>
      <c r="AP48" s="174"/>
      <c r="AQ48" s="1925">
        <v>3315</v>
      </c>
      <c r="AR48" s="1925">
        <v>517</v>
      </c>
      <c r="AS48" s="766">
        <f>_xlfn.XLOOKUP(R48,'Sales Rec'!$E$4:$E$86,'Sales Rec'!$X$4:$X$86,"")</f>
        <v>6502.5422077922076</v>
      </c>
      <c r="AT48" s="984">
        <f>_xlfn.XLOOKUP(R48,'Sales Rec'!$E$4:$E$86,'Sales Rec'!$K$4:$K$86,"")</f>
        <v>4</v>
      </c>
      <c r="AU48" s="376">
        <f t="shared" si="84"/>
        <v>0.7388187337320119</v>
      </c>
      <c r="AV48" s="99">
        <f t="shared" si="85"/>
        <v>-0.77752447621781018</v>
      </c>
      <c r="AW48" s="16">
        <v>3048</v>
      </c>
      <c r="AX48" s="16">
        <v>686</v>
      </c>
      <c r="AY48" s="1421">
        <f t="shared" si="86"/>
        <v>0.22500000000000001</v>
      </c>
      <c r="AZ48" s="1419">
        <v>0.191</v>
      </c>
      <c r="BA48" s="1689">
        <v>0.156</v>
      </c>
      <c r="BB48" s="1690">
        <v>0.219</v>
      </c>
      <c r="BC48" s="100">
        <f t="shared" si="65"/>
        <v>8.3999999999999986</v>
      </c>
      <c r="BD48" s="1420">
        <f t="shared" si="87"/>
        <v>0.14699999999999999</v>
      </c>
      <c r="BE48" s="1419">
        <v>6.3E-2</v>
      </c>
      <c r="BF48" s="1687">
        <v>6.7000000000000004E-2</v>
      </c>
      <c r="BG48" s="1688">
        <v>0.123</v>
      </c>
      <c r="BH48" s="306">
        <f t="shared" si="88"/>
        <v>7.8000000000000014E-2</v>
      </c>
      <c r="BI48" s="1861">
        <f t="shared" si="89"/>
        <v>475.48800000000006</v>
      </c>
      <c r="BJ48" s="306">
        <f t="shared" si="90"/>
        <v>0.128</v>
      </c>
      <c r="BK48" s="99">
        <v>0</v>
      </c>
      <c r="BL48" s="306">
        <f>_xlfn.XLOOKUP(R48,'Sales Rec'!$E$4:$E$91,'Sales Rec'!$Y$4:$Y$91,"")</f>
        <v>0.96155119390413502</v>
      </c>
      <c r="BM48" s="99">
        <f t="shared" si="91"/>
        <v>-10</v>
      </c>
      <c r="BN48" s="15"/>
      <c r="BO48" s="1803">
        <v>3</v>
      </c>
      <c r="BP48" s="842">
        <f t="shared" si="92"/>
        <v>2</v>
      </c>
      <c r="BQ48" s="16">
        <v>184</v>
      </c>
      <c r="BR48" s="16">
        <v>751</v>
      </c>
      <c r="BS48" s="16"/>
      <c r="BT48" s="1253">
        <f>(_xlfn.XLOOKUP(R48,'Sales Rec'!$E$37:$E$91,'Sales Rec'!$X$37:$X$91)*BD48+CM48)*1000/CK48</f>
        <v>568.74923796791438</v>
      </c>
      <c r="BU48" s="1246">
        <f t="shared" si="93"/>
        <v>543.52941176470597</v>
      </c>
      <c r="BV48" s="406"/>
      <c r="BW48" s="407">
        <f t="shared" si="94"/>
        <v>5.0814604787736233</v>
      </c>
      <c r="BX48" s="99">
        <f t="shared" si="95"/>
        <v>-0.4073023938681164</v>
      </c>
      <c r="BY48" s="18">
        <f t="shared" si="96"/>
        <v>945.43685227272726</v>
      </c>
      <c r="BZ48" s="18">
        <f t="shared" si="97"/>
        <v>600.52499999999998</v>
      </c>
      <c r="CA48" s="18">
        <f t="shared" si="98"/>
        <v>1463.0719967532468</v>
      </c>
      <c r="CB48" s="1710">
        <f t="shared" si="99"/>
        <v>4.9650324906226313</v>
      </c>
      <c r="CC48" s="266">
        <f>_xlfn.XLOOKUP($R48,'Price Record'!$C$6:$C$100,'Price Record'!I$6:I$100,"")</f>
        <v>352</v>
      </c>
      <c r="CD48" s="267">
        <f>_xlfn.XLOOKUP($R48,'Price Record'!$C$6:$C$100,'Price Record'!J$6:J$100,"")</f>
        <v>8</v>
      </c>
      <c r="CE48" s="99">
        <f t="shared" si="100"/>
        <v>-9</v>
      </c>
      <c r="CF48" s="17">
        <f t="shared" si="101"/>
        <v>2.6855310261034573</v>
      </c>
      <c r="CG48" s="99">
        <f t="shared" si="102"/>
        <v>-2.7421241044138291</v>
      </c>
      <c r="CH48" s="494">
        <f t="shared" si="103"/>
        <v>0.17205402225163371</v>
      </c>
      <c r="CI48" s="99">
        <f t="shared" si="104"/>
        <v>-3.4191896662254946</v>
      </c>
      <c r="CJ48" s="20"/>
      <c r="CK48" s="691">
        <v>1700</v>
      </c>
      <c r="CL48" s="419">
        <v>10</v>
      </c>
      <c r="CM48" s="468">
        <v>11</v>
      </c>
      <c r="CN48" s="843">
        <v>14</v>
      </c>
      <c r="CO48" s="21">
        <v>462</v>
      </c>
      <c r="CP48" s="21"/>
      <c r="CQ48" s="469">
        <f t="shared" si="105"/>
        <v>462</v>
      </c>
      <c r="CR48" s="1239">
        <f>(AS48*BD48)*(_xlfn.XLOOKUP($R48,'Sales Rec'!$E$37:$E$91,'Sales Rec'!$L$37:$L$91,"")/12)+CP48</f>
        <v>557.59299431818181</v>
      </c>
      <c r="CS48" s="21">
        <v>472</v>
      </c>
      <c r="CT48" s="16">
        <v>-100</v>
      </c>
      <c r="CU48" s="2240" t="str">
        <f t="shared" si="106"/>
        <v/>
      </c>
      <c r="CV48" s="693">
        <f t="shared" si="107"/>
        <v>2234</v>
      </c>
      <c r="CW48" s="49">
        <v>2449</v>
      </c>
      <c r="CX48" s="21">
        <v>1015</v>
      </c>
      <c r="CY48" s="49">
        <v>90</v>
      </c>
      <c r="CZ48" s="378">
        <f t="shared" si="108"/>
        <v>2539</v>
      </c>
      <c r="DA48" s="1058">
        <f t="shared" si="109"/>
        <v>1.3315639036341365</v>
      </c>
      <c r="DB48" s="99">
        <f t="shared" si="110"/>
        <v>1.052511229073092</v>
      </c>
      <c r="DC48" s="53">
        <f t="shared" si="111"/>
        <v>4773</v>
      </c>
      <c r="DD48" s="645">
        <f t="shared" si="112"/>
        <v>0.53195055520636914</v>
      </c>
      <c r="DE48" s="13">
        <v>1512</v>
      </c>
      <c r="DF48" s="24">
        <v>163</v>
      </c>
      <c r="DG48" s="24">
        <v>719</v>
      </c>
      <c r="DH48" s="51">
        <v>3261</v>
      </c>
      <c r="DI48" s="8">
        <f t="shared" si="62"/>
        <v>812</v>
      </c>
      <c r="DJ48" s="644">
        <f t="shared" si="113"/>
        <v>8.0080569061480382</v>
      </c>
      <c r="DK48" s="22">
        <v>881</v>
      </c>
      <c r="DL48" s="22">
        <v>76</v>
      </c>
      <c r="DM48" s="22">
        <v>2073</v>
      </c>
      <c r="DN48" s="138">
        <f t="shared" si="114"/>
        <v>0.53195055520636914</v>
      </c>
      <c r="DO48" s="99">
        <f t="shared" si="115"/>
        <v>0.46273484804400189</v>
      </c>
      <c r="DP48" s="22">
        <v>3</v>
      </c>
      <c r="DQ48" s="8">
        <f t="shared" si="116"/>
        <v>228</v>
      </c>
      <c r="DR48" s="138">
        <f t="shared" si="117"/>
        <v>-0.69169528379038347</v>
      </c>
      <c r="DS48" s="99">
        <f t="shared" si="118"/>
        <v>-3</v>
      </c>
      <c r="DT48" s="8">
        <f t="shared" si="119"/>
        <v>1323.52</v>
      </c>
      <c r="DU48" s="8">
        <f t="shared" si="120"/>
        <v>2021.9294117647064</v>
      </c>
      <c r="DV48" s="235">
        <f t="shared" si="121"/>
        <v>5.882352941176471</v>
      </c>
      <c r="DW48" s="8">
        <f t="shared" si="122"/>
        <v>1675.6658823529415</v>
      </c>
      <c r="DX48" s="411">
        <f t="shared" si="123"/>
        <v>114</v>
      </c>
      <c r="DY48" s="1117">
        <v>40</v>
      </c>
      <c r="DZ48" s="857">
        <f t="shared" si="124"/>
        <v>1.4035087719298246E-2</v>
      </c>
      <c r="EA48" s="386">
        <v>1.76</v>
      </c>
      <c r="EB48" s="504"/>
      <c r="EC48" s="510">
        <v>3739</v>
      </c>
      <c r="ED48" s="435">
        <v>972</v>
      </c>
      <c r="EE48" s="510">
        <v>5290</v>
      </c>
      <c r="EF48" s="435">
        <v>1375</v>
      </c>
      <c r="EG48" s="510">
        <v>5800</v>
      </c>
      <c r="EH48" s="435">
        <v>1508</v>
      </c>
      <c r="EI48" s="510">
        <v>6040</v>
      </c>
      <c r="EJ48" s="435">
        <v>1570</v>
      </c>
      <c r="EK48" s="510">
        <v>2810</v>
      </c>
      <c r="EL48" s="1606">
        <v>1728</v>
      </c>
      <c r="EM48" s="1224">
        <v>2810</v>
      </c>
      <c r="EN48" s="834">
        <v>1728</v>
      </c>
      <c r="EO48" s="835">
        <f t="shared" si="63"/>
        <v>0.77777777777777779</v>
      </c>
      <c r="EP48" s="1648">
        <f t="shared" si="125"/>
        <v>22</v>
      </c>
      <c r="EQ48"/>
    </row>
    <row r="49" spans="1:155" ht="35" customHeight="1">
      <c r="A49" s="99">
        <f>_xlfn.XLOOKUP(R49,'MOPFRA Ranking'!$E$6:$E$55,'MOPFRA Ranking'!$AE$6:$AE$55)</f>
        <v>-19.324231968038298</v>
      </c>
      <c r="B49" s="99">
        <f t="shared" si="66"/>
        <v>-14.924231968038297</v>
      </c>
      <c r="C49" s="1585">
        <f t="shared" ca="1" si="67"/>
        <v>0.2901393459295783</v>
      </c>
      <c r="D49" s="2378">
        <f t="shared" si="68"/>
        <v>-1.6610981364639192</v>
      </c>
      <c r="E49" s="1414">
        <f t="shared" si="69"/>
        <v>-4.0000000000000036</v>
      </c>
      <c r="F49" s="1415">
        <f t="shared" si="70"/>
        <v>-4.4000000000000012</v>
      </c>
      <c r="G49" s="2124" cm="1">
        <f t="array" ref="G49">IFERROR(_xlfn.XLOOKUP(R49,'Sales Rec'!$E$37:$E$91,'Sales Rec'!$CU$37:$CU$91*100,""),"")</f>
        <v>24.176309680389515</v>
      </c>
      <c r="H49" s="2313">
        <f>_xlfn.XLOOKUP(R49,'Sales Rec'!$E$37:$E$86,'Sales Rec'!$DQ$37:$DQ$86,"")</f>
        <v>0.25667567183278828</v>
      </c>
      <c r="I49" s="2312">
        <f>_xlfn.XLOOKUP(R49,'Sales History'!$C$4:$C$83,'Sales History'!$AS$4:$AS$83,"")</f>
        <v>-0.34785316734674321</v>
      </c>
      <c r="J49" s="2313">
        <f>_xlfn.XLOOKUP(R49,'Sales History'!$C$4:$C$83,'Sales History'!$AW$4:$AW$83,"")</f>
        <v>0.50667374756594086</v>
      </c>
      <c r="K49" s="1942">
        <f>_xlfn.XLOOKUP(R49,'Sales Rec'!$E$4:$E$91,'Sales Rec'!$CV$4:$CV$91,"")</f>
        <v>46</v>
      </c>
      <c r="L49" s="1587">
        <f>_xlfn.XLOOKUP(R49,'MOPFRA Ranking'!$E$6:$E$55,'MOPFRA Ranking'!$AG$6:$AG$55,"")</f>
        <v>42</v>
      </c>
      <c r="M49" s="1582" t="str">
        <f>_xlfn.XLOOKUP(R49,'Sales Rec'!$E$4:$E$105,'Sales Rec'!$DS$4:$DS$105,"")</f>
        <v>B</v>
      </c>
      <c r="N49" s="1582" t="str">
        <f>_xlfn.XLOOKUP(R49,'Sales Rec'!$E$4:$E$105,'Sales Rec'!$DZ$4:$DZ$105,"")</f>
        <v>B</v>
      </c>
      <c r="O49" s="2365" t="str">
        <f>_xlfn.XLOOKUP($R49,'History Records'!$B$7:$B$88,'History Records'!$G$7:$G$88,"")</f>
        <v>Closed</v>
      </c>
      <c r="P49" s="856" t="s">
        <v>458</v>
      </c>
      <c r="Q49" s="2364" t="s">
        <v>118</v>
      </c>
      <c r="R49" s="1571" t="s">
        <v>119</v>
      </c>
      <c r="S49" s="1929">
        <v>12</v>
      </c>
      <c r="T49" s="66">
        <f t="shared" si="71"/>
        <v>493231.5</v>
      </c>
      <c r="U49" s="2386">
        <f>_xlfn.XLOOKUP($R49,'Price Record'!$C$6:$C$100,'Price Record'!H$6:H$100,"")</f>
        <v>2549</v>
      </c>
      <c r="V49" s="338" t="str">
        <f>_xlfn.XLOOKUP(R49,'دیده بان بازار'!$A$3:$A$3542,'دیده بان بازار'!$M$3:$M$3542,"")</f>
        <v/>
      </c>
      <c r="W49" s="2386">
        <f>_xlfn.XLOOKUP($R49,'Price Record'!$C$6:$C$100,'Price Record'!G$6:G$100,"")</f>
        <v>2549</v>
      </c>
      <c r="X49" s="337" t="str">
        <f>_xlfn.XLOOKUP(R49,'دیده بان بازار'!$A$3:$A$3542,'دیده بان بازار'!$J$3:$J$3542,"")</f>
        <v/>
      </c>
      <c r="Y49" s="1708">
        <f t="shared" si="72"/>
        <v>690202.5</v>
      </c>
      <c r="Z49" s="661" t="str">
        <f t="shared" si="73"/>
        <v/>
      </c>
      <c r="AA49" s="822">
        <f t="shared" si="74"/>
        <v>-1.0137217374379602E-6</v>
      </c>
      <c r="AB49" s="511">
        <f t="shared" ca="1" si="75"/>
        <v>7.3972602739726025E-3</v>
      </c>
      <c r="AC49" s="2194">
        <f t="shared" ca="1" si="76"/>
        <v>24.660913319033469</v>
      </c>
      <c r="AD49" s="1150">
        <f t="shared" si="77"/>
        <v>-1.0137217374379602E-6</v>
      </c>
      <c r="AE49" s="1150">
        <f t="shared" si="78"/>
        <v>0.2749941837921675</v>
      </c>
      <c r="AF49" s="1150">
        <f t="shared" si="79"/>
        <v>3.7945075757575761E-2</v>
      </c>
      <c r="AG49" s="1150">
        <f t="shared" si="80"/>
        <v>0.24302293346774193</v>
      </c>
      <c r="AH49" s="1150">
        <f t="shared" si="81"/>
        <v>0.77600280858418547</v>
      </c>
      <c r="AI49" s="275">
        <f t="shared" ca="1" si="82"/>
        <v>362</v>
      </c>
      <c r="AJ49" s="1121">
        <v>46236</v>
      </c>
      <c r="AK49" s="1116">
        <v>46303</v>
      </c>
      <c r="AL49" s="1345">
        <f t="shared" si="83"/>
        <v>1935000000000</v>
      </c>
      <c r="AM49" s="29"/>
      <c r="AN49" s="29"/>
      <c r="AO49" s="685">
        <v>0.35389999999999999</v>
      </c>
      <c r="AP49" s="174"/>
      <c r="AQ49" s="1928">
        <v>366886</v>
      </c>
      <c r="AR49" s="1928">
        <v>95239</v>
      </c>
      <c r="AS49" s="766">
        <f>_xlfn.XLOOKUP(R49,'Sales Rec'!$E$4:$E$86,'Sales Rec'!$X$4:$X$86,"")</f>
        <v>415517.63792940439</v>
      </c>
      <c r="AT49" s="984">
        <f>_xlfn.XLOOKUP(R49,'Sales Rec'!$E$4:$E$86,'Sales Rec'!$K$4:$K$86,"")</f>
        <v>4</v>
      </c>
      <c r="AU49" s="376">
        <f t="shared" si="84"/>
        <v>0.89652406058221445</v>
      </c>
      <c r="AV49" s="99">
        <f t="shared" si="85"/>
        <v>-1.5597428827440474</v>
      </c>
      <c r="AW49" s="16">
        <v>83417</v>
      </c>
      <c r="AX49" s="16">
        <v>19800</v>
      </c>
      <c r="AY49" s="1421">
        <f t="shared" si="86"/>
        <v>0.23699999999999999</v>
      </c>
      <c r="AZ49" s="1419">
        <v>0.27700000000000002</v>
      </c>
      <c r="BA49" s="1689">
        <v>0.26</v>
      </c>
      <c r="BB49" s="1690">
        <v>0.34899999999999998</v>
      </c>
      <c r="BC49" s="100">
        <f t="shared" si="65"/>
        <v>-4.4000000000000012</v>
      </c>
      <c r="BD49" s="1420">
        <f t="shared" si="87"/>
        <v>0.151</v>
      </c>
      <c r="BE49" s="1419">
        <v>0.19500000000000001</v>
      </c>
      <c r="BF49" s="1687">
        <v>0.17299999999999999</v>
      </c>
      <c r="BG49" s="1688">
        <v>0.26900000000000002</v>
      </c>
      <c r="BH49" s="306">
        <f t="shared" si="88"/>
        <v>8.5999999999999993E-2</v>
      </c>
      <c r="BI49" s="1861">
        <f t="shared" si="89"/>
        <v>28695.447999999997</v>
      </c>
      <c r="BJ49" s="306">
        <f t="shared" si="90"/>
        <v>8.2000000000000017E-2</v>
      </c>
      <c r="BK49" s="99">
        <v>0</v>
      </c>
      <c r="BL49" s="306">
        <f>_xlfn.XLOOKUP(R49,'Sales Rec'!$E$4:$E$91,'Sales Rec'!$Y$4:$Y$91,"")</f>
        <v>0.13255244934231447</v>
      </c>
      <c r="BM49" s="99">
        <f t="shared" si="91"/>
        <v>3.9766038919215574</v>
      </c>
      <c r="BN49" s="15"/>
      <c r="BO49" s="1803">
        <v>3</v>
      </c>
      <c r="BP49" s="842">
        <f t="shared" si="92"/>
        <v>1</v>
      </c>
      <c r="BQ49" s="16">
        <v>62</v>
      </c>
      <c r="BR49" s="16"/>
      <c r="BS49" s="16"/>
      <c r="BT49" s="1253">
        <f>(_xlfn.XLOOKUP(R49,'Sales Rec'!$E$37:$E$91,'Sales Rec'!$X$37:$X$91)*BD49+CM49)*1000/CK49</f>
        <v>513.1016192627394</v>
      </c>
      <c r="BU49" s="1246">
        <f t="shared" si="93"/>
        <v>248.80620155038761</v>
      </c>
      <c r="BV49" s="406"/>
      <c r="BW49" s="407">
        <f t="shared" si="94"/>
        <v>6.6910981364639195</v>
      </c>
      <c r="BX49" s="99">
        <f t="shared" si="95"/>
        <v>-8.4554906823195974</v>
      </c>
      <c r="BY49" s="18">
        <f t="shared" si="96"/>
        <v>73714.581663670033</v>
      </c>
      <c r="BZ49" s="18">
        <f t="shared" si="97"/>
        <v>98057.952286282307</v>
      </c>
      <c r="CA49" s="18">
        <f t="shared" si="98"/>
        <v>98477.680189268838</v>
      </c>
      <c r="CB49" s="1710">
        <f t="shared" si="99"/>
        <v>7.0087201350952588</v>
      </c>
      <c r="CC49" s="266">
        <f>_xlfn.XLOOKUP($R49,'Price Record'!$C$6:$C$100,'Price Record'!I$6:I$100,"")</f>
        <v>518</v>
      </c>
      <c r="CD49" s="267">
        <f>_xlfn.XLOOKUP($R49,'Price Record'!$C$6:$C$100,'Price Record'!J$6:J$100,"")</f>
        <v>5.03</v>
      </c>
      <c r="CE49" s="99">
        <f t="shared" si="100"/>
        <v>-9.0000000000000746E-2</v>
      </c>
      <c r="CF49" s="17">
        <f t="shared" si="101"/>
        <v>3.9295753087446652</v>
      </c>
      <c r="CG49" s="99">
        <f t="shared" si="102"/>
        <v>-7.7183012349786608</v>
      </c>
      <c r="CH49" s="494">
        <f t="shared" si="103"/>
        <v>9.9659550368370001E-2</v>
      </c>
      <c r="CI49" s="99">
        <f t="shared" si="104"/>
        <v>-4.5051067444744506</v>
      </c>
      <c r="CJ49" s="377">
        <f>MIN(MAX(IF(CI49&lt;0,-20, IF(CI49&gt;50, -20,($R$68-CI49)*$S$68)), -10), 10)</f>
        <v>-10</v>
      </c>
      <c r="CK49" s="691">
        <v>193500</v>
      </c>
      <c r="CL49" s="419">
        <v>88012</v>
      </c>
      <c r="CM49" s="468">
        <v>36542</v>
      </c>
      <c r="CN49" s="843">
        <v>-581</v>
      </c>
      <c r="CO49" s="21">
        <v>12036</v>
      </c>
      <c r="CP49" s="21">
        <v>23998</v>
      </c>
      <c r="CQ49" s="469">
        <f t="shared" si="105"/>
        <v>12036</v>
      </c>
      <c r="CR49" s="1239">
        <f>(AS49*BD49)*(_xlfn.XLOOKUP($R49,'Sales Rec'!$E$37:$E$91,'Sales Rec'!$L$37:$L$91,"")/12)+CP49</f>
        <v>44912.387775780022</v>
      </c>
      <c r="CS49" s="21">
        <v>100048</v>
      </c>
      <c r="CT49" s="16">
        <v>-2984</v>
      </c>
      <c r="CU49" s="2240" t="str">
        <f t="shared" si="106"/>
        <v/>
      </c>
      <c r="CV49" s="693">
        <f t="shared" si="107"/>
        <v>338162</v>
      </c>
      <c r="CW49" s="49">
        <v>246247</v>
      </c>
      <c r="CX49" s="21">
        <v>81869</v>
      </c>
      <c r="CY49" s="49">
        <v>43420</v>
      </c>
      <c r="CZ49" s="378">
        <f t="shared" si="108"/>
        <v>289667</v>
      </c>
      <c r="DA49" s="1058">
        <f t="shared" si="109"/>
        <v>1.6304848383939703</v>
      </c>
      <c r="DB49" s="99">
        <f t="shared" si="110"/>
        <v>3.4438787071517627</v>
      </c>
      <c r="DC49" s="53">
        <f t="shared" si="111"/>
        <v>627829</v>
      </c>
      <c r="DD49" s="645">
        <f t="shared" si="112"/>
        <v>0.46137881493209137</v>
      </c>
      <c r="DE49" s="13">
        <v>226327</v>
      </c>
      <c r="DF49" s="24">
        <v>112643</v>
      </c>
      <c r="DG49" s="24">
        <v>97784</v>
      </c>
      <c r="DH49" s="51">
        <v>401502</v>
      </c>
      <c r="DI49" s="8">
        <f t="shared" si="62"/>
        <v>155255</v>
      </c>
      <c r="DJ49" s="644">
        <f t="shared" si="113"/>
        <v>2.6763559172291029</v>
      </c>
      <c r="DK49" s="22">
        <v>109464</v>
      </c>
      <c r="DL49" s="22">
        <v>50066</v>
      </c>
      <c r="DM49" s="22">
        <v>172196</v>
      </c>
      <c r="DN49" s="138">
        <f t="shared" si="114"/>
        <v>0.46137881493209137</v>
      </c>
      <c r="DO49" s="99">
        <f t="shared" si="115"/>
        <v>0.98392697740514012</v>
      </c>
      <c r="DP49" s="22">
        <v>42630</v>
      </c>
      <c r="DQ49" s="8">
        <f t="shared" si="116"/>
        <v>27146</v>
      </c>
      <c r="DR49" s="138">
        <f t="shared" si="117"/>
        <v>-0.39845577114108233</v>
      </c>
      <c r="DS49" s="99">
        <f t="shared" si="118"/>
        <v>-1</v>
      </c>
      <c r="DT49" s="8">
        <f t="shared" si="119"/>
        <v>1885.52</v>
      </c>
      <c r="DU49" s="8">
        <f t="shared" si="120"/>
        <v>895.70232558139537</v>
      </c>
      <c r="DV49" s="235">
        <f t="shared" si="121"/>
        <v>454.84237726098189</v>
      </c>
      <c r="DW49" s="8">
        <f t="shared" si="122"/>
        <v>1618.0323514211884</v>
      </c>
      <c r="DX49" s="411">
        <f t="shared" si="123"/>
        <v>67</v>
      </c>
      <c r="DY49" s="1117">
        <v>55</v>
      </c>
      <c r="DZ49" s="857">
        <f t="shared" si="124"/>
        <v>2.1121351766513058E-2</v>
      </c>
      <c r="EA49" s="386">
        <v>0.28999999999999998</v>
      </c>
      <c r="EB49" s="504"/>
      <c r="EC49" s="510">
        <v>5240</v>
      </c>
      <c r="ED49" s="435">
        <v>277720</v>
      </c>
      <c r="EE49" s="510">
        <v>4960</v>
      </c>
      <c r="EF49" s="435">
        <v>396800</v>
      </c>
      <c r="EG49" s="510">
        <v>4400</v>
      </c>
      <c r="EH49" s="435">
        <v>475200</v>
      </c>
      <c r="EI49" s="510">
        <v>2579</v>
      </c>
      <c r="EJ49" s="435">
        <v>386850</v>
      </c>
      <c r="EK49" s="510">
        <v>2549</v>
      </c>
      <c r="EL49" s="1606">
        <v>493232</v>
      </c>
      <c r="EM49" s="1224">
        <v>2549</v>
      </c>
      <c r="EN49" s="834">
        <v>493232</v>
      </c>
      <c r="EO49" s="835">
        <f t="shared" si="63"/>
        <v>0.77600460895866341</v>
      </c>
      <c r="EP49" s="1648">
        <f t="shared" si="125"/>
        <v>23</v>
      </c>
      <c r="EQ49"/>
    </row>
    <row r="50" spans="1:155" ht="35" customHeight="1">
      <c r="A50" s="99">
        <f>_xlfn.XLOOKUP(R50,'MOPFRA Ranking'!$E$6:$E$55,'MOPFRA Ranking'!$AE$6:$AE$55)</f>
        <v>-22.462275219400578</v>
      </c>
      <c r="B50" s="99">
        <f t="shared" si="66"/>
        <v>-18.862275219400576</v>
      </c>
      <c r="C50" s="1585">
        <f t="shared" ca="1" si="67"/>
        <v>8.8991737064660861E-2</v>
      </c>
      <c r="D50" s="2378">
        <f t="shared" si="68"/>
        <v>0.95942452737950035</v>
      </c>
      <c r="E50" s="1414">
        <f t="shared" si="69"/>
        <v>7.8000000000000016</v>
      </c>
      <c r="F50" s="1415">
        <f t="shared" si="70"/>
        <v>-3.6000000000000005</v>
      </c>
      <c r="G50" s="2124" cm="1">
        <f t="array" ref="G50">IFERROR(_xlfn.XLOOKUP(R50,'Sales Rec'!$E$37:$E$91,'Sales Rec'!$CU$37:$CU$91*100,""),"")</f>
        <v>-2.0646163771013359</v>
      </c>
      <c r="H50" s="2313">
        <f>_xlfn.XLOOKUP(R50,'Sales Rec'!$E$37:$E$86,'Sales Rec'!$DQ$37:$DQ$86,"")</f>
        <v>0.78721409823772026</v>
      </c>
      <c r="I50" s="2312">
        <f>_xlfn.XLOOKUP(R50,'Sales History'!$C$4:$C$83,'Sales History'!$AS$4:$AS$83,"")</f>
        <v>5.9620596205962058E-2</v>
      </c>
      <c r="J50" s="2313">
        <f>_xlfn.XLOOKUP(R50,'Sales History'!$C$4:$C$83,'Sales History'!$AW$4:$AW$83,"")</f>
        <v>0.95775563258232232</v>
      </c>
      <c r="K50" s="1942">
        <f>_xlfn.XLOOKUP(R50,'Sales Rec'!$E$4:$E$91,'Sales Rec'!$CV$4:$CV$91,"")</f>
        <v>29</v>
      </c>
      <c r="L50" s="1587">
        <f>_xlfn.XLOOKUP(R50,'MOPFRA Ranking'!$E$6:$E$55,'MOPFRA Ranking'!$AG$6:$AG$55,"")</f>
        <v>43</v>
      </c>
      <c r="M50" s="1582" t="str">
        <f>_xlfn.XLOOKUP(R50,'Sales Rec'!$E$4:$E$105,'Sales Rec'!$DS$4:$DS$105,"")</f>
        <v>B</v>
      </c>
      <c r="N50" s="1582" t="str">
        <f>_xlfn.XLOOKUP(R50,'Sales Rec'!$E$4:$E$105,'Sales Rec'!$DZ$4:$DZ$105,"")</f>
        <v>B</v>
      </c>
      <c r="O50" s="2365" t="str">
        <f>_xlfn.XLOOKUP($R50,'History Records'!$B$7:$B$88,'History Records'!$G$7:$G$88,"")</f>
        <v/>
      </c>
      <c r="P50" s="856" t="s">
        <v>472</v>
      </c>
      <c r="Q50" s="2364" t="s">
        <v>128</v>
      </c>
      <c r="R50" s="1571" t="s">
        <v>129</v>
      </c>
      <c r="S50" s="1929">
        <v>12</v>
      </c>
      <c r="T50" s="66">
        <f t="shared" si="71"/>
        <v>26549.99856</v>
      </c>
      <c r="U50" s="2386">
        <f>_xlfn.XLOOKUP($R50,'Price Record'!$C$6:$C$100,'Price Record'!H$6:H$100,"")</f>
        <v>10800</v>
      </c>
      <c r="V50" s="338">
        <f>_xlfn.XLOOKUP(R50,'دیده بان بازار'!$A$3:$A$3542,'دیده بان بازار'!$M$3:$M$3542,"")</f>
        <v>2.96</v>
      </c>
      <c r="W50" s="2386">
        <f>_xlfn.XLOOKUP($R50,'Price Record'!$C$6:$C$100,'Price Record'!G$6:G$100,"")</f>
        <v>10800</v>
      </c>
      <c r="X50" s="337">
        <f>_xlfn.XLOOKUP(R50,'دیده بان بازار'!$A$3:$A$3542,'دیده بان بازار'!$J$3:$J$3542,"")</f>
        <v>2.96</v>
      </c>
      <c r="Y50" s="1708">
        <f t="shared" si="72"/>
        <v>44023.99856</v>
      </c>
      <c r="Z50" s="661" t="str">
        <f t="shared" si="73"/>
        <v/>
      </c>
      <c r="AA50" s="822">
        <f t="shared" si="74"/>
        <v>0.25877102977432204</v>
      </c>
      <c r="AB50" s="511">
        <f t="shared" ca="1" si="75"/>
        <v>3.9452054794520547E-2</v>
      </c>
      <c r="AC50" s="2194">
        <f t="shared" ca="1" si="76"/>
        <v>-137.07435936237593</v>
      </c>
      <c r="AD50" s="1150">
        <f t="shared" si="77"/>
        <v>0.25877102977432204</v>
      </c>
      <c r="AE50" s="1150">
        <f t="shared" si="78"/>
        <v>0.61309912874415218</v>
      </c>
      <c r="AF50" s="1150">
        <f t="shared" si="79"/>
        <v>1.6180848594813135</v>
      </c>
      <c r="AG50" s="1150">
        <f t="shared" si="80"/>
        <v>1.0148742930864385</v>
      </c>
      <c r="AH50" s="1150">
        <f t="shared" si="81"/>
        <v>2.6122447020408162</v>
      </c>
      <c r="AI50" s="275">
        <f t="shared" ca="1" si="82"/>
        <v>349</v>
      </c>
      <c r="AJ50" s="1121">
        <v>46223</v>
      </c>
      <c r="AK50" s="1116">
        <v>46346</v>
      </c>
      <c r="AL50" s="1345">
        <f t="shared" si="83"/>
        <v>24583332000</v>
      </c>
      <c r="AM50" s="29"/>
      <c r="AN50" s="29"/>
      <c r="AO50" s="685">
        <v>0.2258</v>
      </c>
      <c r="AP50" s="174"/>
      <c r="AQ50" s="1925">
        <v>21022</v>
      </c>
      <c r="AR50" s="1925">
        <v>3815</v>
      </c>
      <c r="AS50" s="766">
        <f>_xlfn.XLOOKUP(R50,'Sales Rec'!$E$4:$E$86,'Sales Rec'!$X$4:$X$86,"")</f>
        <v>32593.101678748571</v>
      </c>
      <c r="AT50" s="984">
        <f>_xlfn.XLOOKUP(R50,'Sales Rec'!$E$4:$E$86,'Sales Rec'!$K$4:$K$86,"")</f>
        <v>4</v>
      </c>
      <c r="AU50" s="376">
        <f t="shared" si="84"/>
        <v>0.81458950491082571</v>
      </c>
      <c r="AV50" s="99">
        <f t="shared" si="85"/>
        <v>10</v>
      </c>
      <c r="AW50" s="16">
        <v>7038</v>
      </c>
      <c r="AX50" s="16">
        <v>1927</v>
      </c>
      <c r="AY50" s="1421">
        <f t="shared" si="86"/>
        <v>0.27400000000000002</v>
      </c>
      <c r="AZ50" s="1419">
        <v>0.19600000000000001</v>
      </c>
      <c r="BA50" s="1689">
        <v>0.18099999999999999</v>
      </c>
      <c r="BB50" s="1690">
        <v>0.16800000000000001</v>
      </c>
      <c r="BC50" s="100">
        <f t="shared" si="65"/>
        <v>-3.6000000000000005</v>
      </c>
      <c r="BD50" s="1420">
        <f t="shared" si="87"/>
        <v>7.8E-2</v>
      </c>
      <c r="BE50" s="1419">
        <v>0.114</v>
      </c>
      <c r="BF50" s="1687">
        <v>9.2999999999999999E-2</v>
      </c>
      <c r="BG50" s="1688">
        <v>0.11799999999999999</v>
      </c>
      <c r="BH50" s="306">
        <f t="shared" si="88"/>
        <v>0.19600000000000001</v>
      </c>
      <c r="BI50" s="1861">
        <f t="shared" si="89"/>
        <v>5517.7920000000004</v>
      </c>
      <c r="BJ50" s="306">
        <f t="shared" si="90"/>
        <v>8.2000000000000003E-2</v>
      </c>
      <c r="BK50" s="99">
        <v>0</v>
      </c>
      <c r="BL50" s="306">
        <f>_xlfn.XLOOKUP(R50,'Sales Rec'!$E$4:$E$91,'Sales Rec'!$Y$4:$Y$91,"")</f>
        <v>0.55042820277559568</v>
      </c>
      <c r="BM50" s="99">
        <f t="shared" si="91"/>
        <v>8.7497151900382093</v>
      </c>
      <c r="BN50" s="15"/>
      <c r="BO50" s="1803">
        <v>3</v>
      </c>
      <c r="BP50" s="842">
        <f t="shared" si="92"/>
        <v>1</v>
      </c>
      <c r="BQ50" s="16">
        <v>283</v>
      </c>
      <c r="BR50" s="16"/>
      <c r="BS50" s="16"/>
      <c r="BT50" s="1253">
        <f>(_xlfn.XLOOKUP(R50,'Sales Rec'!$E$37:$E$91,'Sales Rec'!$X$37:$X$91)*BD50+CM50)*1000/CK50</f>
        <v>1232.2422082337694</v>
      </c>
      <c r="BU50" s="1246">
        <f t="shared" si="93"/>
        <v>1130.8475189612213</v>
      </c>
      <c r="BV50" s="406"/>
      <c r="BW50" s="407">
        <f t="shared" si="94"/>
        <v>9.1405754726204993</v>
      </c>
      <c r="BX50" s="99">
        <f t="shared" si="95"/>
        <v>-10</v>
      </c>
      <c r="BY50" s="18">
        <f t="shared" si="96"/>
        <v>2904.6309654711945</v>
      </c>
      <c r="BZ50" s="18">
        <f t="shared" si="97"/>
        <v>2628.7127287128715</v>
      </c>
      <c r="CA50" s="18">
        <f t="shared" si="98"/>
        <v>8930.50985997711</v>
      </c>
      <c r="CB50" s="1710">
        <f t="shared" si="99"/>
        <v>4.9296175974562821</v>
      </c>
      <c r="CC50" s="266">
        <f>_xlfn.XLOOKUP($R50,'Price Record'!$C$6:$C$100,'Price Record'!I$6:I$100,"")</f>
        <v>1069</v>
      </c>
      <c r="CD50" s="267">
        <f>_xlfn.XLOOKUP($R50,'Price Record'!$C$6:$C$100,'Price Record'!J$6:J$100,"")</f>
        <v>10.1</v>
      </c>
      <c r="CE50" s="99">
        <f t="shared" si="100"/>
        <v>-10</v>
      </c>
      <c r="CF50" s="17">
        <f t="shared" si="101"/>
        <v>6.2262642707405753</v>
      </c>
      <c r="CG50" s="99">
        <f t="shared" si="102"/>
        <v>-10</v>
      </c>
      <c r="CH50" s="494">
        <f t="shared" si="103"/>
        <v>0.11973415909440598</v>
      </c>
      <c r="CI50" s="99">
        <f t="shared" si="104"/>
        <v>-4.2039876135839105</v>
      </c>
      <c r="CJ50" s="20"/>
      <c r="CK50" s="691">
        <v>2458.3332</v>
      </c>
      <c r="CL50" s="419">
        <v>953</v>
      </c>
      <c r="CM50" s="468">
        <v>487</v>
      </c>
      <c r="CN50" s="843">
        <v>148</v>
      </c>
      <c r="CO50" s="21">
        <v>695</v>
      </c>
      <c r="CP50" s="21">
        <v>0</v>
      </c>
      <c r="CQ50" s="469">
        <f t="shared" si="105"/>
        <v>695</v>
      </c>
      <c r="CR50" s="1239">
        <f>(AS50*BD50)*(_xlfn.XLOOKUP($R50,'Sales Rec'!$E$37:$E$91,'Sales Rec'!$L$37:$L$91,"")/12)+CP50</f>
        <v>847.42064364746284</v>
      </c>
      <c r="CS50" s="21">
        <v>1648</v>
      </c>
      <c r="CT50" s="16">
        <v>0</v>
      </c>
      <c r="CU50" s="2240" t="str">
        <f t="shared" si="106"/>
        <v/>
      </c>
      <c r="CV50" s="693">
        <f t="shared" si="107"/>
        <v>4352</v>
      </c>
      <c r="CW50" s="49">
        <v>17721</v>
      </c>
      <c r="CX50" s="21">
        <v>3338</v>
      </c>
      <c r="CY50" s="49">
        <v>364</v>
      </c>
      <c r="CZ50" s="378">
        <f t="shared" si="108"/>
        <v>18085</v>
      </c>
      <c r="DA50" s="1058">
        <f t="shared" si="109"/>
        <v>1.1233564697251848</v>
      </c>
      <c r="DB50" s="99">
        <f t="shared" si="110"/>
        <v>-0.61314824219852149</v>
      </c>
      <c r="DC50" s="53">
        <f t="shared" si="111"/>
        <v>22437</v>
      </c>
      <c r="DD50" s="645">
        <f t="shared" si="112"/>
        <v>0.80603467486740654</v>
      </c>
      <c r="DE50" s="13">
        <v>2530</v>
      </c>
      <c r="DF50" s="24">
        <v>2492</v>
      </c>
      <c r="DG50" s="24">
        <v>27</v>
      </c>
      <c r="DH50" s="51">
        <v>19907</v>
      </c>
      <c r="DI50" s="8">
        <f t="shared" si="62"/>
        <v>2186</v>
      </c>
      <c r="DJ50" s="644">
        <f t="shared" si="113"/>
        <v>14.909927574907854</v>
      </c>
      <c r="DK50" s="22">
        <v>15139</v>
      </c>
      <c r="DL50" s="22">
        <v>611</v>
      </c>
      <c r="DM50" s="22">
        <v>3695</v>
      </c>
      <c r="DN50" s="138">
        <f t="shared" si="114"/>
        <v>0.80603467486740654</v>
      </c>
      <c r="DO50" s="99">
        <f t="shared" si="115"/>
        <v>-1.7948545536563532</v>
      </c>
      <c r="DP50" s="22">
        <v>0</v>
      </c>
      <c r="DQ50" s="8">
        <f t="shared" si="116"/>
        <v>462</v>
      </c>
      <c r="DR50" s="138">
        <f t="shared" si="117"/>
        <v>-0.37377485186591081</v>
      </c>
      <c r="DS50" s="99">
        <f t="shared" si="118"/>
        <v>-1</v>
      </c>
      <c r="DT50" s="8">
        <f t="shared" si="119"/>
        <v>3891.16</v>
      </c>
      <c r="DU50" s="8">
        <f t="shared" si="120"/>
        <v>4071.0510682603967</v>
      </c>
      <c r="DV50" s="235">
        <f t="shared" si="121"/>
        <v>387.66103797483595</v>
      </c>
      <c r="DW50" s="8">
        <f t="shared" si="122"/>
        <v>4174.9360531176162</v>
      </c>
      <c r="DX50" s="411">
        <f t="shared" si="123"/>
        <v>123</v>
      </c>
      <c r="DY50" s="1117">
        <v>720</v>
      </c>
      <c r="DZ50" s="857">
        <f t="shared" si="124"/>
        <v>7.7419354838709681E-2</v>
      </c>
      <c r="EA50" s="386">
        <v>8.3650000000000002</v>
      </c>
      <c r="EB50" s="504"/>
      <c r="EC50" s="510">
        <v>28000</v>
      </c>
      <c r="ED50" s="435">
        <v>7350</v>
      </c>
      <c r="EE50" s="510">
        <v>4755</v>
      </c>
      <c r="EF50" s="435">
        <v>13177</v>
      </c>
      <c r="EG50" s="510">
        <v>4126</v>
      </c>
      <c r="EH50" s="435">
        <v>10141</v>
      </c>
      <c r="EI50" s="510">
        <v>6695</v>
      </c>
      <c r="EJ50" s="435">
        <v>16459</v>
      </c>
      <c r="EK50" s="510">
        <v>8580</v>
      </c>
      <c r="EL50" s="1606">
        <v>21092</v>
      </c>
      <c r="EM50" s="1224">
        <v>8580</v>
      </c>
      <c r="EN50" s="834">
        <v>21092</v>
      </c>
      <c r="EO50" s="835">
        <f t="shared" si="63"/>
        <v>1.8696598639455781</v>
      </c>
      <c r="EP50" s="1648">
        <f t="shared" si="125"/>
        <v>15</v>
      </c>
      <c r="EQ50"/>
    </row>
    <row r="51" spans="1:155" ht="35" customHeight="1">
      <c r="A51" s="99">
        <f>_xlfn.XLOOKUP(R51,'MOPFRA Ranking'!$E$6:$E$55,'MOPFRA Ranking'!$AE$6:$AE$55)</f>
        <v>-24.01592737459827</v>
      </c>
      <c r="B51" s="99">
        <f t="shared" si="66"/>
        <v>-24.215927374598269</v>
      </c>
      <c r="C51" s="1585">
        <f t="shared" ca="1" si="67"/>
        <v>0.20787021191637431</v>
      </c>
      <c r="D51" s="2378">
        <f t="shared" si="68"/>
        <v>0.35121412803699315</v>
      </c>
      <c r="E51" s="1414">
        <f t="shared" si="69"/>
        <v>-3.2</v>
      </c>
      <c r="F51" s="1415">
        <f t="shared" si="70"/>
        <v>0.20000000000000018</v>
      </c>
      <c r="G51" s="2124" cm="1">
        <f t="array" ref="G51">IFERROR(_xlfn.XLOOKUP(R51,'Sales Rec'!$E$37:$E$91,'Sales Rec'!$CU$37:$CU$91*100,""),"")</f>
        <v>-19.832607764332401</v>
      </c>
      <c r="H51" s="2313">
        <f>_xlfn.XLOOKUP(R51,'Sales Rec'!$E$37:$E$86,'Sales Rec'!$DQ$37:$DQ$86,"")</f>
        <v>0.92467634366418205</v>
      </c>
      <c r="I51" s="2312">
        <f>_xlfn.XLOOKUP(R51,'Sales History'!$C$4:$C$83,'Sales History'!$AS$4:$AS$83,"")</f>
        <v>-0.24077046548956663</v>
      </c>
      <c r="J51" s="2313">
        <f>_xlfn.XLOOKUP(R51,'Sales History'!$C$4:$C$83,'Sales History'!$AW$4:$AW$83,"")</f>
        <v>0.17831449126413154</v>
      </c>
      <c r="K51" s="1942">
        <f>_xlfn.XLOOKUP(R51,'Sales Rec'!$E$4:$E$91,'Sales Rec'!$CV$4:$CV$91,"")</f>
        <v>24</v>
      </c>
      <c r="L51" s="1587">
        <f>_xlfn.XLOOKUP(R51,'MOPFRA Ranking'!$E$6:$E$55,'MOPFRA Ranking'!$AG$6:$AG$55,"")</f>
        <v>40</v>
      </c>
      <c r="M51" s="1582" t="str">
        <f>_xlfn.XLOOKUP(R51,'Sales Rec'!$E$4:$E$105,'Sales Rec'!$DS$4:$DS$105,"")</f>
        <v>N</v>
      </c>
      <c r="N51" s="1582" t="str">
        <f>_xlfn.XLOOKUP(R51,'Sales Rec'!$E$4:$E$105,'Sales Rec'!$DZ$4:$DZ$105,"")</f>
        <v>N</v>
      </c>
      <c r="O51" s="2365" t="str">
        <f>_xlfn.XLOOKUP($R51,'History Records'!$B$7:$B$88,'History Records'!$G$7:$G$88,"")</f>
        <v/>
      </c>
      <c r="P51" s="856" t="s">
        <v>473</v>
      </c>
      <c r="Q51" s="2364" t="s">
        <v>112</v>
      </c>
      <c r="R51" s="1571" t="s">
        <v>113</v>
      </c>
      <c r="S51" s="1929">
        <v>9</v>
      </c>
      <c r="T51" s="66">
        <f t="shared" si="71"/>
        <v>4464</v>
      </c>
      <c r="U51" s="2386">
        <f>_xlfn.XLOOKUP($R51,'Price Record'!$C$6:$C$100,'Price Record'!H$6:H$100,"")</f>
        <v>7440</v>
      </c>
      <c r="V51" s="338">
        <f>_xlfn.XLOOKUP(R51,'دیده بان بازار'!$A$3:$A$3542,'دیده بان بازار'!$M$3:$M$3542,"")</f>
        <v>2.9</v>
      </c>
      <c r="W51" s="2386">
        <f>_xlfn.XLOOKUP($R51,'Price Record'!$C$6:$C$100,'Price Record'!G$6:G$100,"")</f>
        <v>7440</v>
      </c>
      <c r="X51" s="337">
        <f>_xlfn.XLOOKUP(R51,'دیده بان بازار'!$A$3:$A$3542,'دیده بان بازار'!$J$3:$J$3542,"")</f>
        <v>2.9</v>
      </c>
      <c r="Y51" s="1708">
        <f t="shared" si="72"/>
        <v>8195</v>
      </c>
      <c r="Z51" s="661" t="str">
        <f t="shared" si="73"/>
        <v/>
      </c>
      <c r="AA51" s="822">
        <f t="shared" si="74"/>
        <v>2.4577846630518976</v>
      </c>
      <c r="AB51" s="511">
        <f t="shared" ca="1" si="75"/>
        <v>0.26630136986301373</v>
      </c>
      <c r="AC51" s="2194">
        <f t="shared" ca="1" si="76"/>
        <v>-202.91511973971143</v>
      </c>
      <c r="AD51" s="1150">
        <f t="shared" si="77"/>
        <v>2.4577846630518976</v>
      </c>
      <c r="AE51" s="1150">
        <f t="shared" si="78"/>
        <v>1.6826923076923077</v>
      </c>
      <c r="AF51" s="1150">
        <f t="shared" si="79"/>
        <v>1.4090663788451161</v>
      </c>
      <c r="AG51" s="1150" t="str">
        <f t="shared" si="80"/>
        <v/>
      </c>
      <c r="AH51" s="1150" t="str">
        <f t="shared" si="81"/>
        <v/>
      </c>
      <c r="AI51" s="275">
        <f t="shared" ca="1" si="82"/>
        <v>257</v>
      </c>
      <c r="AJ51" s="1121">
        <v>46131</v>
      </c>
      <c r="AK51" s="1116">
        <v>46251</v>
      </c>
      <c r="AL51" s="1345">
        <f t="shared" si="83"/>
        <v>6000000000</v>
      </c>
      <c r="AM51" s="29"/>
      <c r="AN51" s="29"/>
      <c r="AO51" s="685">
        <v>0.1</v>
      </c>
      <c r="AP51" s="174"/>
      <c r="AQ51" s="1925">
        <v>5066</v>
      </c>
      <c r="AR51" s="1925">
        <v>1028</v>
      </c>
      <c r="AS51" s="766">
        <f>_xlfn.XLOOKUP(R51,'Sales Rec'!$E$4:$E$86,'Sales Rec'!$X$4:$X$86,"")</f>
        <v>8833.5266070728012</v>
      </c>
      <c r="AT51" s="984">
        <f>_xlfn.XLOOKUP(R51,'Sales Rec'!$E$4:$E$86,'Sales Rec'!$K$4:$K$86,"")</f>
        <v>4</v>
      </c>
      <c r="AU51" s="376">
        <f t="shared" si="84"/>
        <v>0.50990280556732104</v>
      </c>
      <c r="AV51" s="99">
        <f t="shared" si="85"/>
        <v>0</v>
      </c>
      <c r="AW51" s="16">
        <v>4384</v>
      </c>
      <c r="AX51" s="16">
        <v>699</v>
      </c>
      <c r="AY51" s="1421">
        <f t="shared" si="86"/>
        <v>0.159</v>
      </c>
      <c r="AZ51" s="1419">
        <v>0.191</v>
      </c>
      <c r="BA51" s="1689">
        <v>0.20300000000000001</v>
      </c>
      <c r="BB51" s="1690">
        <v>0.14399999999999999</v>
      </c>
      <c r="BC51" s="100">
        <f t="shared" si="65"/>
        <v>0.20000000000000018</v>
      </c>
      <c r="BD51" s="1420">
        <f t="shared" si="87"/>
        <v>0.107</v>
      </c>
      <c r="BE51" s="1419">
        <v>0.105</v>
      </c>
      <c r="BF51" s="1687">
        <v>0.122</v>
      </c>
      <c r="BG51" s="1688">
        <v>7.8E-2</v>
      </c>
      <c r="BH51" s="306">
        <f t="shared" si="88"/>
        <v>5.2000000000000005E-2</v>
      </c>
      <c r="BI51" s="1861">
        <f t="shared" si="89"/>
        <v>455.93600000000004</v>
      </c>
      <c r="BJ51" s="306">
        <f t="shared" si="90"/>
        <v>8.6000000000000007E-2</v>
      </c>
      <c r="BK51" s="99">
        <v>0</v>
      </c>
      <c r="BL51" s="306">
        <f>_xlfn.XLOOKUP(R51,'Sales Rec'!$E$4:$E$91,'Sales Rec'!$Y$4:$Y$91,"")</f>
        <v>0.74368863147903697</v>
      </c>
      <c r="BM51" s="99">
        <f t="shared" si="91"/>
        <v>-10</v>
      </c>
      <c r="BN51" s="15"/>
      <c r="BO51" s="1803">
        <v>3</v>
      </c>
      <c r="BP51" s="842">
        <f t="shared" si="92"/>
        <v>2</v>
      </c>
      <c r="BQ51" s="16">
        <v>265</v>
      </c>
      <c r="BR51" s="16">
        <v>795</v>
      </c>
      <c r="BS51" s="16"/>
      <c r="BT51" s="1253">
        <f>(_xlfn.XLOOKUP(R51,'Sales Rec'!$E$37:$E$91,'Sales Rec'!$X$37:$X$91)*BD51+CM51)*1000/CK51</f>
        <v>1590.3122449279829</v>
      </c>
      <c r="BU51" s="1246">
        <f t="shared" si="93"/>
        <v>1590</v>
      </c>
      <c r="BV51" s="406"/>
      <c r="BW51" s="407">
        <f t="shared" si="94"/>
        <v>4.6787858719630071</v>
      </c>
      <c r="BX51" s="99">
        <f t="shared" si="95"/>
        <v>1.6060706401849645</v>
      </c>
      <c r="BY51" s="18">
        <f t="shared" si="96"/>
        <v>954.09367347839475</v>
      </c>
      <c r="BZ51" s="18">
        <f t="shared" si="97"/>
        <v>887.47514910536779</v>
      </c>
      <c r="CA51" s="18">
        <f t="shared" si="98"/>
        <v>1404.5307305245753</v>
      </c>
      <c r="CB51" s="1710">
        <f t="shared" si="99"/>
        <v>5.8346889974698284</v>
      </c>
      <c r="CC51" s="266">
        <f>_xlfn.XLOOKUP($R51,'Price Record'!$C$6:$C$100,'Price Record'!I$6:I$100,"")</f>
        <v>1478</v>
      </c>
      <c r="CD51" s="267">
        <f>_xlfn.XLOOKUP($R51,'Price Record'!$C$6:$C$100,'Price Record'!J$6:J$100,"")</f>
        <v>5.03</v>
      </c>
      <c r="CE51" s="99">
        <f t="shared" si="100"/>
        <v>-9.0000000000000746E-2</v>
      </c>
      <c r="CF51" s="17">
        <f t="shared" si="101"/>
        <v>4.5016544175808955</v>
      </c>
      <c r="CG51" s="99">
        <f t="shared" si="102"/>
        <v>-10</v>
      </c>
      <c r="CH51" s="494">
        <f t="shared" si="103"/>
        <v>0.16526826147209331</v>
      </c>
      <c r="CI51" s="99">
        <f t="shared" si="104"/>
        <v>-3.5209760779186006</v>
      </c>
      <c r="CJ51" s="20"/>
      <c r="CK51" s="691">
        <v>600</v>
      </c>
      <c r="CL51" s="419">
        <v>249</v>
      </c>
      <c r="CM51" s="468">
        <v>9</v>
      </c>
      <c r="CN51" s="843">
        <v>7</v>
      </c>
      <c r="CO51" s="21">
        <v>477</v>
      </c>
      <c r="CP51" s="21">
        <v>-8</v>
      </c>
      <c r="CQ51" s="469">
        <f t="shared" si="105"/>
        <v>477</v>
      </c>
      <c r="CR51" s="1239">
        <f>(AS51*BD51)*(_xlfn.XLOOKUP($R51,'Sales Rec'!$E$37:$E$91,'Sales Rec'!$L$37:$L$91,"")/12)+CP51</f>
        <v>543.35928572479406</v>
      </c>
      <c r="CS51" s="21">
        <v>726</v>
      </c>
      <c r="CT51" s="16">
        <v>0</v>
      </c>
      <c r="CU51" s="2240" t="str">
        <f t="shared" si="106"/>
        <v/>
      </c>
      <c r="CV51" s="693">
        <f t="shared" si="107"/>
        <v>1386</v>
      </c>
      <c r="CW51" s="49">
        <v>3738</v>
      </c>
      <c r="CX51" s="21">
        <v>958</v>
      </c>
      <c r="CY51" s="49">
        <v>557</v>
      </c>
      <c r="CZ51" s="378">
        <f t="shared" si="108"/>
        <v>4295</v>
      </c>
      <c r="DA51" s="1058">
        <f t="shared" si="109"/>
        <v>1.1736222578919209</v>
      </c>
      <c r="DB51" s="99">
        <f t="shared" si="110"/>
        <v>-0.21102193686463266</v>
      </c>
      <c r="DC51" s="53">
        <f t="shared" si="111"/>
        <v>5681</v>
      </c>
      <c r="DD51" s="645">
        <f t="shared" si="112"/>
        <v>0.75602886815701464</v>
      </c>
      <c r="DE51" s="13">
        <v>1294</v>
      </c>
      <c r="DF51" s="24">
        <v>587</v>
      </c>
      <c r="DG51" s="24">
        <v>119</v>
      </c>
      <c r="DH51" s="51">
        <v>4387</v>
      </c>
      <c r="DI51" s="8">
        <f t="shared" si="62"/>
        <v>649</v>
      </c>
      <c r="DJ51" s="644">
        <f t="shared" si="113"/>
        <v>13.610980904580588</v>
      </c>
      <c r="DK51" s="22">
        <v>2201</v>
      </c>
      <c r="DL51" s="22">
        <v>210</v>
      </c>
      <c r="DM51" s="22">
        <v>1046</v>
      </c>
      <c r="DN51" s="138">
        <f t="shared" si="114"/>
        <v>0.75602886815701464</v>
      </c>
      <c r="DO51" s="99">
        <f t="shared" si="115"/>
        <v>0</v>
      </c>
      <c r="DP51" s="22">
        <v>354</v>
      </c>
      <c r="DQ51" s="8">
        <f t="shared" si="116"/>
        <v>576</v>
      </c>
      <c r="DR51" s="138">
        <f t="shared" si="117"/>
        <v>-0.43003687058838025</v>
      </c>
      <c r="DS51" s="99">
        <f t="shared" si="118"/>
        <v>-2</v>
      </c>
      <c r="DT51" s="8">
        <f t="shared" si="119"/>
        <v>5557.28</v>
      </c>
      <c r="DU51" s="8">
        <f t="shared" si="120"/>
        <v>5914.8</v>
      </c>
      <c r="DV51" s="235">
        <f t="shared" si="121"/>
        <v>415</v>
      </c>
      <c r="DW51" s="8">
        <f t="shared" si="122"/>
        <v>5943.54</v>
      </c>
      <c r="DX51" s="411">
        <f t="shared" si="123"/>
        <v>120</v>
      </c>
      <c r="DY51" s="1117">
        <v>750</v>
      </c>
      <c r="DZ51" s="857">
        <f t="shared" si="124"/>
        <v>0.25844245348035838</v>
      </c>
      <c r="EA51" s="386">
        <v>0.5</v>
      </c>
      <c r="EB51" s="504"/>
      <c r="EC51" s="994"/>
      <c r="ED51" s="435"/>
      <c r="EE51" s="510"/>
      <c r="EF51" s="435"/>
      <c r="EG51" s="510">
        <v>12350</v>
      </c>
      <c r="EH51" s="435">
        <v>1853</v>
      </c>
      <c r="EI51" s="510">
        <v>4160</v>
      </c>
      <c r="EJ51" s="435">
        <v>1664</v>
      </c>
      <c r="EK51" s="510">
        <v>2152</v>
      </c>
      <c r="EL51" s="1606">
        <v>1291</v>
      </c>
      <c r="EM51" s="1224">
        <v>2152</v>
      </c>
      <c r="EN51" s="834">
        <v>1291</v>
      </c>
      <c r="EO51" s="835" t="str">
        <f t="shared" si="63"/>
        <v/>
      </c>
      <c r="EP51" s="1648" t="str">
        <f t="shared" si="125"/>
        <v>NEW</v>
      </c>
      <c r="EQ51"/>
    </row>
    <row r="52" spans="1:155" ht="35" customHeight="1">
      <c r="A52" s="99">
        <f>_xlfn.XLOOKUP(R52,'MOPFRA Ranking'!$E$6:$E$55,'MOPFRA Ranking'!$AE$6:$AE$55)</f>
        <v>-37.21765493050718</v>
      </c>
      <c r="B52" s="99">
        <f t="shared" si="66"/>
        <v>-32.817654930507182</v>
      </c>
      <c r="C52" s="1585">
        <f t="shared" ca="1" si="67"/>
        <v>2.4177504525161231</v>
      </c>
      <c r="D52" s="2378">
        <f t="shared" si="68"/>
        <v>-3.133633369709349</v>
      </c>
      <c r="E52" s="1414">
        <f t="shared" si="69"/>
        <v>2.0000000000000018</v>
      </c>
      <c r="F52" s="1415">
        <f t="shared" si="70"/>
        <v>-4.3999999999999995</v>
      </c>
      <c r="G52" s="2124" cm="1">
        <f t="array" ref="G52">IFERROR(_xlfn.XLOOKUP(R52,'Sales Rec'!$E$37:$E$91,'Sales Rec'!$CU$37:$CU$91*100,""),"")</f>
        <v>6.1209217497857686</v>
      </c>
      <c r="H52" s="2313">
        <f>_xlfn.XLOOKUP(R52,'Sales Rec'!$E$37:$E$86,'Sales Rec'!$DQ$37:$DQ$86,"")</f>
        <v>0.28640935672514622</v>
      </c>
      <c r="I52" s="2312">
        <f>_xlfn.XLOOKUP(R52,'Sales History'!$C$4:$C$83,'Sales History'!$AS$4:$AS$83,"")</f>
        <v>-0.48640825153884543</v>
      </c>
      <c r="J52" s="2313">
        <f>_xlfn.XLOOKUP(R52,'Sales History'!$C$4:$C$83,'Sales History'!$AW$4:$AW$83,"")</f>
        <v>-6.9855513934055077E-2</v>
      </c>
      <c r="K52" s="1942">
        <f>_xlfn.XLOOKUP(R52,'Sales Rec'!$E$4:$E$91,'Sales Rec'!$CV$4:$CV$91,"")</f>
        <v>45</v>
      </c>
      <c r="L52" s="1587">
        <f>_xlfn.XLOOKUP(R52,'MOPFRA Ranking'!$E$6:$E$55,'MOPFRA Ranking'!$AG$6:$AG$55,"")</f>
        <v>47</v>
      </c>
      <c r="M52" s="1582" t="str">
        <f>_xlfn.XLOOKUP(R52,'Sales Rec'!$E$4:$E$105,'Sales Rec'!$DS$4:$DS$105,"")</f>
        <v>S</v>
      </c>
      <c r="N52" s="1582" t="str">
        <f>_xlfn.XLOOKUP(R52,'Sales Rec'!$E$4:$E$105,'Sales Rec'!$DZ$4:$DZ$105,"")</f>
        <v>SS</v>
      </c>
      <c r="O52" s="2365" t="str">
        <f>_xlfn.XLOOKUP($R52,'History Records'!$B$7:$B$88,'History Records'!$G$7:$G$88,"")</f>
        <v/>
      </c>
      <c r="P52" s="856" t="s">
        <v>471</v>
      </c>
      <c r="Q52" s="2363" t="s">
        <v>150</v>
      </c>
      <c r="R52" s="1811" t="s">
        <v>151</v>
      </c>
      <c r="S52" s="66">
        <v>12</v>
      </c>
      <c r="T52" s="66">
        <f t="shared" si="71"/>
        <v>128409</v>
      </c>
      <c r="U52" s="2386">
        <f>_xlfn.XLOOKUP($R52,'Price Record'!$C$6:$C$100,'Price Record'!H$6:H$100,"")</f>
        <v>55820</v>
      </c>
      <c r="V52" s="338">
        <f>_xlfn.XLOOKUP(R52,'دیده بان بازار'!$A$3:$A$3542,'دیده بان بازار'!$M$3:$M$3542,"")</f>
        <v>2.97</v>
      </c>
      <c r="W52" s="2386">
        <f>_xlfn.XLOOKUP($R52,'Price Record'!$C$6:$C$100,'Price Record'!G$6:G$100,"")</f>
        <v>55830</v>
      </c>
      <c r="X52" s="337">
        <f>_xlfn.XLOOKUP(R52,'دیده بان بازار'!$A$3:$A$3542,'دیده بان بازار'!$J$3:$J$3542,"")</f>
        <v>2.99</v>
      </c>
      <c r="Y52" s="1708">
        <f t="shared" si="72"/>
        <v>201204</v>
      </c>
      <c r="Z52" s="661" t="str">
        <f t="shared" si="73"/>
        <v/>
      </c>
      <c r="AA52" s="822">
        <f t="shared" si="74"/>
        <v>2.2039159503342884E-2</v>
      </c>
      <c r="AB52" s="511">
        <f t="shared" ca="1" si="75"/>
        <v>0.86301369863013699</v>
      </c>
      <c r="AC52" s="2194">
        <f t="shared" ca="1" si="76"/>
        <v>24.027843975051262</v>
      </c>
      <c r="AD52" s="1150" t="str">
        <f t="shared" si="77"/>
        <v/>
      </c>
      <c r="AE52" s="1150">
        <f t="shared" si="78"/>
        <v>2.2039159503342884E-2</v>
      </c>
      <c r="AF52" s="1150">
        <f t="shared" si="79"/>
        <v>0.17161496350364963</v>
      </c>
      <c r="AG52" s="1150">
        <f t="shared" si="80"/>
        <v>-0.12120859567478784</v>
      </c>
      <c r="AH52" s="1150">
        <f t="shared" si="81"/>
        <v>-7.4863112391930831E-2</v>
      </c>
      <c r="AI52" s="275">
        <f t="shared" ca="1" si="82"/>
        <v>15</v>
      </c>
      <c r="AJ52" s="1120">
        <v>46254</v>
      </c>
      <c r="AK52" s="1693">
        <v>46295</v>
      </c>
      <c r="AL52" s="1345">
        <f t="shared" si="83"/>
        <v>23000000000</v>
      </c>
      <c r="AM52" s="29"/>
      <c r="AN52" s="29"/>
      <c r="AO52" s="685">
        <v>0.15</v>
      </c>
      <c r="AP52" s="174"/>
      <c r="AQ52" s="1925">
        <v>88332</v>
      </c>
      <c r="AR52" s="1925">
        <v>22584</v>
      </c>
      <c r="AS52" s="766">
        <f>_xlfn.XLOOKUP(R52,'Sales Rec'!$E$4:$E$86,'Sales Rec'!$X$4:$X$86,"")</f>
        <v>101051.80564912281</v>
      </c>
      <c r="AT52" s="984">
        <f>_xlfn.XLOOKUP(R52,'Sales Rec'!$E$4:$E$86,'Sales Rec'!$K$4:$K$86,"")</f>
        <v>4</v>
      </c>
      <c r="AU52" s="376">
        <f t="shared" si="84"/>
        <v>1.3732500781019403</v>
      </c>
      <c r="AV52" s="99">
        <f t="shared" si="85"/>
        <v>0.24110543699678466</v>
      </c>
      <c r="AW52" s="16">
        <v>17638</v>
      </c>
      <c r="AX52" s="16">
        <v>3554</v>
      </c>
      <c r="AY52" s="1421">
        <f t="shared" si="86"/>
        <v>0.20100000000000001</v>
      </c>
      <c r="AZ52" s="1419">
        <v>0.18099999999999999</v>
      </c>
      <c r="BA52" s="1689">
        <v>0.25600000000000001</v>
      </c>
      <c r="BB52" s="1690">
        <v>0.19700000000000001</v>
      </c>
      <c r="BC52" s="100">
        <f t="shared" si="65"/>
        <v>-4.3999999999999995</v>
      </c>
      <c r="BD52" s="1420">
        <f t="shared" si="87"/>
        <v>7.9000000000000001E-2</v>
      </c>
      <c r="BE52" s="1419">
        <v>0.123</v>
      </c>
      <c r="BF52" s="1687">
        <v>0.161</v>
      </c>
      <c r="BG52" s="1688">
        <v>0.13300000000000001</v>
      </c>
      <c r="BH52" s="306">
        <f t="shared" si="88"/>
        <v>0.12200000000000001</v>
      </c>
      <c r="BI52" s="1861">
        <f t="shared" si="89"/>
        <v>8607.344000000001</v>
      </c>
      <c r="BJ52" s="306">
        <f t="shared" si="90"/>
        <v>5.7999999999999996E-2</v>
      </c>
      <c r="BK52" s="99">
        <v>0</v>
      </c>
      <c r="BL52" s="306">
        <f>_xlfn.XLOOKUP(R52,'Sales Rec'!$E$4:$E$91,'Sales Rec'!$Y$4:$Y$91,"")</f>
        <v>0.14399997338589418</v>
      </c>
      <c r="BM52" s="99">
        <f t="shared" si="91"/>
        <v>3.6588244164765391</v>
      </c>
      <c r="BN52" s="15"/>
      <c r="BO52" s="1803">
        <v>3</v>
      </c>
      <c r="BP52" s="842">
        <f t="shared" si="92"/>
        <v>1</v>
      </c>
      <c r="BQ52" s="16">
        <v>832</v>
      </c>
      <c r="BR52" s="16"/>
      <c r="BS52" s="16"/>
      <c r="BT52" s="1253">
        <f>(_xlfn.XLOOKUP(R52,'Sales Rec'!$E$37:$E$91,'Sales Rec'!$X$37:$X$91)*BD52+CM52)*1000/CK52</f>
        <v>6708.7359331655225</v>
      </c>
      <c r="BU52" s="1246">
        <f t="shared" si="93"/>
        <v>5651.739130434783</v>
      </c>
      <c r="BV52" s="406"/>
      <c r="BW52" s="407">
        <f t="shared" si="94"/>
        <v>9.0336333697093494</v>
      </c>
      <c r="BX52" s="99">
        <f t="shared" si="95"/>
        <v>-10</v>
      </c>
      <c r="BY52" s="18">
        <f t="shared" si="96"/>
        <v>14214.54632314035</v>
      </c>
      <c r="BZ52" s="18">
        <f t="shared" si="97"/>
        <v>21764.237288135591</v>
      </c>
      <c r="CA52" s="18">
        <f t="shared" si="98"/>
        <v>20311.412935473683</v>
      </c>
      <c r="CB52" s="1710">
        <f t="shared" si="99"/>
        <v>9.9059578296790569</v>
      </c>
      <c r="CC52" s="266">
        <f>_xlfn.XLOOKUP($R52,'Price Record'!$C$6:$C$100,'Price Record'!I$6:I$100,"")</f>
        <v>9454</v>
      </c>
      <c r="CD52" s="267">
        <f>_xlfn.XLOOKUP($R52,'Price Record'!$C$6:$C$100,'Price Record'!J$6:J$100,"")</f>
        <v>5.9</v>
      </c>
      <c r="CE52" s="99">
        <f t="shared" si="100"/>
        <v>-2.7000000000000011</v>
      </c>
      <c r="CF52" s="17">
        <f t="shared" si="101"/>
        <v>6.3114219729933616</v>
      </c>
      <c r="CG52" s="99">
        <f t="shared" si="102"/>
        <v>-10</v>
      </c>
      <c r="CH52" s="494">
        <f t="shared" si="103"/>
        <v>0.15128939421793552</v>
      </c>
      <c r="CI52" s="99">
        <f t="shared" si="104"/>
        <v>-3.7306590867309675</v>
      </c>
      <c r="CJ52" s="20"/>
      <c r="CK52" s="691">
        <v>2300</v>
      </c>
      <c r="CL52" s="419">
        <v>30237</v>
      </c>
      <c r="CM52" s="468">
        <v>7447</v>
      </c>
      <c r="CN52" s="843">
        <v>527</v>
      </c>
      <c r="CO52" s="21">
        <v>1915</v>
      </c>
      <c r="CP52" s="21">
        <v>-1756</v>
      </c>
      <c r="CQ52" s="469">
        <f t="shared" si="105"/>
        <v>3249.75</v>
      </c>
      <c r="CR52" s="1239">
        <f>(AS52*BD52)*(_xlfn.XLOOKUP($R52,'Sales Rec'!$E$37:$E$91,'Sales Rec'!$L$37:$L$91,"")/12)+CP52</f>
        <v>905.03088209356702</v>
      </c>
      <c r="CS52" s="21">
        <v>32152</v>
      </c>
      <c r="CT52" s="16">
        <v>-56</v>
      </c>
      <c r="CU52" s="2240" t="str">
        <f t="shared" si="106"/>
        <v/>
      </c>
      <c r="CV52" s="693">
        <f t="shared" si="107"/>
        <v>34626</v>
      </c>
      <c r="CW52" s="49">
        <v>86979</v>
      </c>
      <c r="CX52" s="21">
        <v>38863</v>
      </c>
      <c r="CY52" s="49">
        <v>2735</v>
      </c>
      <c r="CZ52" s="378">
        <f t="shared" si="108"/>
        <v>89714</v>
      </c>
      <c r="DA52" s="1058">
        <f t="shared" si="109"/>
        <v>0.68211867232320444</v>
      </c>
      <c r="DB52" s="99">
        <f t="shared" si="110"/>
        <v>-4.1430506214143641</v>
      </c>
      <c r="DC52" s="53">
        <f t="shared" si="111"/>
        <v>124340</v>
      </c>
      <c r="DD52" s="645">
        <f t="shared" si="112"/>
        <v>0.72152163422872773</v>
      </c>
      <c r="DE52" s="13">
        <v>65010</v>
      </c>
      <c r="DF52" s="24">
        <v>22824</v>
      </c>
      <c r="DG52" s="24">
        <v>21845</v>
      </c>
      <c r="DH52" s="51">
        <v>59330</v>
      </c>
      <c r="DI52" s="8">
        <f t="shared" si="62"/>
        <v>-27649</v>
      </c>
      <c r="DJ52" s="644">
        <f t="shared" si="113"/>
        <v>-3.6548086964853268</v>
      </c>
      <c r="DK52" s="22">
        <v>13102</v>
      </c>
      <c r="DL52" s="22">
        <v>9240</v>
      </c>
      <c r="DM52" s="22">
        <v>24058</v>
      </c>
      <c r="DN52" s="138">
        <f t="shared" si="114"/>
        <v>0.72152163422872773</v>
      </c>
      <c r="DO52" s="99">
        <f t="shared" si="115"/>
        <v>0.85612492416482611</v>
      </c>
      <c r="DP52" s="22">
        <v>7679</v>
      </c>
      <c r="DQ52" s="8">
        <f t="shared" si="116"/>
        <v>5251</v>
      </c>
      <c r="DR52" s="138">
        <f t="shared" si="117"/>
        <v>-1.5352944720816271</v>
      </c>
      <c r="DS52" s="99">
        <f t="shared" si="118"/>
        <v>-7</v>
      </c>
      <c r="DT52" s="8">
        <f t="shared" si="119"/>
        <v>34412.559999999998</v>
      </c>
      <c r="DU52" s="8">
        <f t="shared" si="120"/>
        <v>20346.26086956522</v>
      </c>
      <c r="DV52" s="235">
        <f t="shared" si="121"/>
        <v>13146.521739130434</v>
      </c>
      <c r="DW52" s="8">
        <f t="shared" si="122"/>
        <v>33952.671304347823</v>
      </c>
      <c r="DX52" s="411">
        <f t="shared" si="123"/>
        <v>41</v>
      </c>
      <c r="DY52" s="1532">
        <v>8375</v>
      </c>
      <c r="DZ52" s="857">
        <f t="shared" si="124"/>
        <v>5.0627172434638053E-2</v>
      </c>
      <c r="EA52" s="386">
        <v>1.875</v>
      </c>
      <c r="EB52" s="504"/>
      <c r="EC52" s="510">
        <v>173500</v>
      </c>
      <c r="ED52" s="435">
        <v>138800</v>
      </c>
      <c r="EE52" s="510">
        <v>182650</v>
      </c>
      <c r="EF52" s="435">
        <v>146120</v>
      </c>
      <c r="EG52" s="510">
        <v>137000</v>
      </c>
      <c r="EH52" s="435">
        <v>109600</v>
      </c>
      <c r="EI52" s="510">
        <v>157050</v>
      </c>
      <c r="EJ52" s="435">
        <v>125640</v>
      </c>
      <c r="EK52" s="510"/>
      <c r="EL52" s="1606"/>
      <c r="EM52" s="1684">
        <v>157050</v>
      </c>
      <c r="EN52" s="1608">
        <v>125640</v>
      </c>
      <c r="EO52" s="1609">
        <f t="shared" si="63"/>
        <v>-9.4812680115273773E-2</v>
      </c>
      <c r="EP52" s="1648">
        <f t="shared" si="125"/>
        <v>37</v>
      </c>
      <c r="EQ52"/>
    </row>
    <row r="53" spans="1:155" ht="35" customHeight="1">
      <c r="A53" s="99">
        <f>_xlfn.XLOOKUP(R53,'MOPFRA Ranking'!$E$6:$E$55,'MOPFRA Ranking'!$AE$6:$AE$55)</f>
        <v>-38.669656839078094</v>
      </c>
      <c r="B53" s="99">
        <f t="shared" si="66"/>
        <v>-33.86965683907809</v>
      </c>
      <c r="C53" s="1585">
        <f t="shared" ca="1" si="67"/>
        <v>0.14757847012322717</v>
      </c>
      <c r="D53" s="2378">
        <f t="shared" si="68"/>
        <v>-248.47769673701751</v>
      </c>
      <c r="E53" s="1414">
        <f t="shared" si="69"/>
        <v>-5.6000000000000005</v>
      </c>
      <c r="F53" s="1415">
        <f t="shared" si="70"/>
        <v>-4.8</v>
      </c>
      <c r="G53" s="2124" cm="1">
        <f t="array" ref="G53">IFERROR(_xlfn.XLOOKUP(R53,'Sales Rec'!$E$37:$E$91,'Sales Rec'!$CU$37:$CU$91*100,""),"")</f>
        <v>-6.9237457377321716</v>
      </c>
      <c r="H53" s="2313">
        <f>_xlfn.XLOOKUP(R53,'Sales Rec'!$E$37:$E$86,'Sales Rec'!$DQ$37:$DQ$86,"")</f>
        <v>-0.12762910588024703</v>
      </c>
      <c r="I53" s="2312">
        <f>_xlfn.XLOOKUP(R53,'Sales History'!$C$4:$C$83,'Sales History'!$AS$4:$AS$83,"")</f>
        <v>-0.49028131404086195</v>
      </c>
      <c r="J53" s="2313">
        <f>_xlfn.XLOOKUP(R53,'Sales History'!$C$4:$C$83,'Sales History'!$AW$4:$AW$83,"")</f>
        <v>-0.50940427662161192</v>
      </c>
      <c r="K53" s="1942">
        <f>_xlfn.XLOOKUP(R53,'Sales Rec'!$E$4:$E$91,'Sales Rec'!$CV$4:$CV$91,"")</f>
        <v>48</v>
      </c>
      <c r="L53" s="1587">
        <f>_xlfn.XLOOKUP(R53,'MOPFRA Ranking'!$E$6:$E$55,'MOPFRA Ranking'!$AG$6:$AG$55,"")</f>
        <v>50</v>
      </c>
      <c r="M53" s="1582" t="str">
        <f>_xlfn.XLOOKUP(R53,'Sales Rec'!$E$4:$E$105,'Sales Rec'!$DS$4:$DS$105,"")</f>
        <v>SS</v>
      </c>
      <c r="N53" s="1582" t="str">
        <f>_xlfn.XLOOKUP(R53,'Sales Rec'!$E$4:$E$105,'Sales Rec'!$DZ$4:$DZ$105,"")</f>
        <v>SS</v>
      </c>
      <c r="O53" s="2365" t="str">
        <f>_xlfn.XLOOKUP($R53,'History Records'!$B$7:$B$88,'History Records'!$G$7:$G$88,"")</f>
        <v/>
      </c>
      <c r="P53" s="856" t="s">
        <v>476</v>
      </c>
      <c r="Q53" s="2364" t="s">
        <v>152</v>
      </c>
      <c r="R53" s="1571" t="s">
        <v>153</v>
      </c>
      <c r="S53" s="1929">
        <v>12</v>
      </c>
      <c r="T53" s="66">
        <f t="shared" si="71"/>
        <v>27370</v>
      </c>
      <c r="U53" s="2386">
        <f>_xlfn.XLOOKUP($R53,'Price Record'!$C$6:$C$100,'Price Record'!H$6:H$100,"")</f>
        <v>8020</v>
      </c>
      <c r="V53" s="338">
        <f>_xlfn.XLOOKUP(R53,'دیده بان بازار'!$A$3:$A$3542,'دیده بان بازار'!$M$3:$M$3542,"")</f>
        <v>2.56</v>
      </c>
      <c r="W53" s="2386">
        <f>_xlfn.XLOOKUP($R53,'Price Record'!$C$6:$C$100,'Price Record'!G$6:G$100,"")</f>
        <v>8050</v>
      </c>
      <c r="X53" s="337">
        <f>_xlfn.XLOOKUP(R53,'دیده بان بازار'!$A$3:$A$3542,'دیده بان بازار'!$J$3:$J$3542,"")</f>
        <v>2.94</v>
      </c>
      <c r="Y53" s="1708">
        <f t="shared" si="72"/>
        <v>52316</v>
      </c>
      <c r="Z53" s="661" t="str">
        <f t="shared" si="73"/>
        <v/>
      </c>
      <c r="AA53" s="822">
        <f t="shared" si="74"/>
        <v>-6.711203517502301E-2</v>
      </c>
      <c r="AB53" s="511">
        <f t="shared" ca="1" si="75"/>
        <v>9.3698630136986302E-2</v>
      </c>
      <c r="AC53" s="2194">
        <f t="shared" ca="1" si="76"/>
        <v>42.318596134739302</v>
      </c>
      <c r="AD53" s="1150">
        <f t="shared" si="77"/>
        <v>-6.711203517502301E-2</v>
      </c>
      <c r="AE53" s="1150">
        <f t="shared" si="78"/>
        <v>0.50120666959192628</v>
      </c>
      <c r="AF53" s="1150">
        <f t="shared" si="79"/>
        <v>-0.10114942528735632</v>
      </c>
      <c r="AG53" s="1150">
        <f t="shared" si="80"/>
        <v>-0.29129984464008285</v>
      </c>
      <c r="AH53" s="1150">
        <f t="shared" si="81"/>
        <v>-5.7034911178116031E-3</v>
      </c>
      <c r="AI53" s="275">
        <f t="shared" ca="1" si="82"/>
        <v>327</v>
      </c>
      <c r="AJ53" s="1121">
        <v>46201</v>
      </c>
      <c r="AK53" s="1116">
        <v>46270</v>
      </c>
      <c r="AL53" s="1345">
        <f t="shared" si="83"/>
        <v>34000000000</v>
      </c>
      <c r="AM53" s="29"/>
      <c r="AN53" s="29"/>
      <c r="AO53" s="685">
        <v>0.16250000000000001</v>
      </c>
      <c r="AP53" s="174"/>
      <c r="AQ53" s="1925">
        <v>48139</v>
      </c>
      <c r="AR53" s="1925">
        <v>4756</v>
      </c>
      <c r="AS53" s="766">
        <f>_xlfn.XLOOKUP(R53,'Sales Rec'!$E$4:$E$86,'Sales Rec'!$X$4:$X$86,"")</f>
        <v>39986.031236015391</v>
      </c>
      <c r="AT53" s="984">
        <f>_xlfn.XLOOKUP(R53,'Sales Rec'!$E$4:$E$86,'Sales Rec'!$K$4:$K$86,"")</f>
        <v>4</v>
      </c>
      <c r="AU53" s="376">
        <f t="shared" si="84"/>
        <v>0.68448903664507366</v>
      </c>
      <c r="AV53" s="99">
        <f t="shared" si="85"/>
        <v>0</v>
      </c>
      <c r="AW53" s="16">
        <v>8208</v>
      </c>
      <c r="AX53" s="16">
        <v>10</v>
      </c>
      <c r="AY53" s="1421">
        <f t="shared" si="86"/>
        <v>1E-3</v>
      </c>
      <c r="AZ53" s="1419">
        <v>5.7000000000000002E-2</v>
      </c>
      <c r="BA53" s="1689">
        <v>9.9000000000000005E-2</v>
      </c>
      <c r="BB53" s="1690">
        <v>6.6000000000000003E-2</v>
      </c>
      <c r="BC53" s="100">
        <f t="shared" si="65"/>
        <v>-4.8</v>
      </c>
      <c r="BD53" s="1420">
        <f t="shared" si="87"/>
        <v>-1E-3</v>
      </c>
      <c r="BE53" s="1419">
        <v>4.7E-2</v>
      </c>
      <c r="BF53" s="1687">
        <v>8.3000000000000004E-2</v>
      </c>
      <c r="BG53" s="1688">
        <v>4.7E-2</v>
      </c>
      <c r="BH53" s="306">
        <f t="shared" si="88"/>
        <v>2E-3</v>
      </c>
      <c r="BI53" s="1861">
        <f t="shared" si="89"/>
        <v>65.664000000000001</v>
      </c>
      <c r="BJ53" s="306">
        <f t="shared" si="90"/>
        <v>1.0000000000000002E-2</v>
      </c>
      <c r="BK53" s="99">
        <v>0</v>
      </c>
      <c r="BL53" s="306">
        <f>_xlfn.XLOOKUP(R53,'Sales Rec'!$E$4:$E$91,'Sales Rec'!$Y$4:$Y$91,"")</f>
        <v>-0.16936306869657883</v>
      </c>
      <c r="BM53" s="99">
        <f t="shared" si="91"/>
        <v>-3.0675310056466745</v>
      </c>
      <c r="BN53" s="15"/>
      <c r="BO53" s="1803">
        <v>3</v>
      </c>
      <c r="BP53" s="842">
        <f t="shared" si="92"/>
        <v>1</v>
      </c>
      <c r="BQ53" s="16">
        <v>10</v>
      </c>
      <c r="BR53" s="16"/>
      <c r="BS53" s="16"/>
      <c r="BT53" s="1253">
        <f>(_xlfn.XLOOKUP(R53,'Sales Rec'!$E$37:$E$91,'Sales Rec'!$X$37:$X$91)*BD53+CM53)*1000/CK53</f>
        <v>24.121755518819004</v>
      </c>
      <c r="BU53" s="1246">
        <f t="shared" si="93"/>
        <v>38.82352941176471</v>
      </c>
      <c r="BV53" s="406"/>
      <c r="BW53" s="407">
        <f t="shared" si="94"/>
        <v>255.77769673701752</v>
      </c>
      <c r="BX53" s="99">
        <f t="shared" si="95"/>
        <v>-10</v>
      </c>
      <c r="BY53" s="18">
        <f t="shared" si="96"/>
        <v>107.00698438199231</v>
      </c>
      <c r="BZ53" s="18">
        <f t="shared" si="97"/>
        <v>3749.3150684931506</v>
      </c>
      <c r="CA53" s="18">
        <f t="shared" si="98"/>
        <v>39.986031236015393</v>
      </c>
      <c r="CB53" s="1710">
        <f t="shared" si="99"/>
        <v>1308.3569032197177</v>
      </c>
      <c r="CC53" s="266">
        <f>_xlfn.XLOOKUP($R53,'Price Record'!$C$6:$C$100,'Price Record'!I$6:I$100,"")</f>
        <v>1099</v>
      </c>
      <c r="CD53" s="267">
        <f>_xlfn.XLOOKUP($R53,'Price Record'!$C$6:$C$100,'Price Record'!J$6:J$100,"")</f>
        <v>7.3</v>
      </c>
      <c r="CE53" s="99">
        <f t="shared" si="100"/>
        <v>-6.8999999999999995</v>
      </c>
      <c r="CF53" s="17">
        <f t="shared" si="101"/>
        <v>297.95251388623785</v>
      </c>
      <c r="CG53" s="99">
        <f t="shared" si="102"/>
        <v>-10</v>
      </c>
      <c r="CH53" s="494">
        <f t="shared" si="103"/>
        <v>3.3228886868301808E-3</v>
      </c>
      <c r="CI53" s="99">
        <f t="shared" si="104"/>
        <v>-5.9501566696975479</v>
      </c>
      <c r="CJ53" s="19"/>
      <c r="CK53" s="691">
        <v>3400</v>
      </c>
      <c r="CL53" s="419">
        <v>1393</v>
      </c>
      <c r="CM53" s="468">
        <v>122</v>
      </c>
      <c r="CN53" s="843">
        <v>45</v>
      </c>
      <c r="CO53" s="21">
        <v>33</v>
      </c>
      <c r="CP53" s="21"/>
      <c r="CQ53" s="469">
        <f t="shared" si="105"/>
        <v>33</v>
      </c>
      <c r="CR53" s="1239">
        <f>(AS53*BD53)*(_xlfn.XLOOKUP($R53,'Sales Rec'!$E$37:$E$91,'Sales Rec'!$L$37:$L$91,"")/12)+CP53</f>
        <v>-13.328677078671797</v>
      </c>
      <c r="CS53" s="21">
        <v>1426</v>
      </c>
      <c r="CT53" s="16">
        <v>-393</v>
      </c>
      <c r="CU53" s="2240" t="str">
        <f t="shared" si="106"/>
        <v/>
      </c>
      <c r="CV53" s="693">
        <f t="shared" si="107"/>
        <v>7410</v>
      </c>
      <c r="CW53" s="49">
        <v>29835</v>
      </c>
      <c r="CX53" s="21">
        <v>0</v>
      </c>
      <c r="CY53" s="49">
        <v>2048</v>
      </c>
      <c r="CZ53" s="378">
        <f t="shared" si="108"/>
        <v>31883</v>
      </c>
      <c r="DA53" s="1058">
        <f t="shared" si="109"/>
        <v>0.83100385453326631</v>
      </c>
      <c r="DB53" s="99">
        <f t="shared" si="110"/>
        <v>-2.9519691637338692</v>
      </c>
      <c r="DC53" s="53">
        <f t="shared" si="111"/>
        <v>39293</v>
      </c>
      <c r="DD53" s="645">
        <f t="shared" si="112"/>
        <v>0.81141679179497617</v>
      </c>
      <c r="DE53" s="13">
        <v>14500</v>
      </c>
      <c r="DF53" s="24">
        <v>5627</v>
      </c>
      <c r="DG53" s="24">
        <v>8015</v>
      </c>
      <c r="DH53" s="51">
        <v>24793</v>
      </c>
      <c r="DI53" s="8">
        <v>11</v>
      </c>
      <c r="DJ53" s="644">
        <f t="shared" si="113"/>
        <v>3635.0937487286719</v>
      </c>
      <c r="DK53" s="22">
        <v>6760</v>
      </c>
      <c r="DL53" s="22">
        <v>6481</v>
      </c>
      <c r="DM53" s="22">
        <v>8904</v>
      </c>
      <c r="DN53" s="138">
        <f t="shared" si="114"/>
        <v>0.81141679179497617</v>
      </c>
      <c r="DO53" s="99">
        <f t="shared" si="115"/>
        <v>0</v>
      </c>
      <c r="DP53" s="22">
        <v>456</v>
      </c>
      <c r="DQ53" s="8">
        <f t="shared" si="116"/>
        <v>2192</v>
      </c>
      <c r="DR53" s="138">
        <f t="shared" si="117"/>
        <v>11.403982488496661</v>
      </c>
      <c r="DS53" s="99">
        <f t="shared" si="118"/>
        <v>5</v>
      </c>
      <c r="DT53" s="8">
        <f t="shared" si="119"/>
        <v>4000.36</v>
      </c>
      <c r="DU53" s="8">
        <f t="shared" si="120"/>
        <v>139.76470588235296</v>
      </c>
      <c r="DV53" s="235">
        <f t="shared" si="121"/>
        <v>409.70588235294116</v>
      </c>
      <c r="DW53" s="8">
        <f t="shared" si="122"/>
        <v>2274.9152941176471</v>
      </c>
      <c r="DX53" s="411">
        <f t="shared" si="123"/>
        <v>69</v>
      </c>
      <c r="DY53" s="1117">
        <v>1561</v>
      </c>
      <c r="DZ53" s="857">
        <f t="shared" si="124"/>
        <v>0.15318940137389597</v>
      </c>
      <c r="EA53" s="386">
        <v>0.41899999999999998</v>
      </c>
      <c r="EB53" s="504"/>
      <c r="EC53" s="510">
        <v>11490</v>
      </c>
      <c r="ED53" s="435">
        <v>27527</v>
      </c>
      <c r="EE53" s="510">
        <v>16120</v>
      </c>
      <c r="EF53" s="435">
        <v>38620</v>
      </c>
      <c r="EG53" s="510">
        <v>12710</v>
      </c>
      <c r="EH53" s="435">
        <v>30450</v>
      </c>
      <c r="EI53" s="510">
        <v>7610</v>
      </c>
      <c r="EJ53" s="435">
        <v>18232</v>
      </c>
      <c r="EK53" s="510">
        <v>8629</v>
      </c>
      <c r="EL53" s="1606">
        <v>29339</v>
      </c>
      <c r="EM53" s="2067">
        <v>8629</v>
      </c>
      <c r="EN53" s="2068">
        <v>29339</v>
      </c>
      <c r="EO53" s="835">
        <f t="shared" si="63"/>
        <v>6.5826279652704614E-2</v>
      </c>
      <c r="EP53" s="1648">
        <f t="shared" si="125"/>
        <v>33</v>
      </c>
      <c r="EQ53"/>
    </row>
    <row r="54" spans="1:155" ht="35" customHeight="1">
      <c r="A54" s="99">
        <f>_xlfn.XLOOKUP(R54,'MOPFRA Ranking'!$E$6:$E$55,'MOPFRA Ranking'!$AE$6:$AE$55)</f>
        <v>-40.294632979004746</v>
      </c>
      <c r="B54" s="99">
        <f t="shared" si="66"/>
        <v>-30.294632979004746</v>
      </c>
      <c r="C54" s="1585">
        <f t="shared" ca="1" si="67"/>
        <v>0.74061423061694365</v>
      </c>
      <c r="D54" s="2378">
        <f t="shared" si="68"/>
        <v>-13.454830907467484</v>
      </c>
      <c r="E54" s="1414">
        <f t="shared" si="69"/>
        <v>0.20000000000000018</v>
      </c>
      <c r="F54" s="1415">
        <f t="shared" si="70"/>
        <v>-12</v>
      </c>
      <c r="G54" s="2124" cm="1">
        <f t="array" ref="G54">IFERROR(_xlfn.XLOOKUP(R54,'Sales Rec'!$E$37:$E$91,'Sales Rec'!$CU$37:$CU$91*100,""),"")</f>
        <v>12.920323524350369</v>
      </c>
      <c r="H54" s="2313">
        <f>_xlfn.XLOOKUP(R54,'Sales Rec'!$E$37:$E$86,'Sales Rec'!$DQ$37:$DQ$86,"")</f>
        <v>0.36410256410256409</v>
      </c>
      <c r="I54" s="2312">
        <f>_xlfn.XLOOKUP(R54,'Sales History'!$C$4:$C$83,'Sales History'!$AS$4:$AS$83,"")</f>
        <v>-0.76500638569604085</v>
      </c>
      <c r="J54" s="2313">
        <f>_xlfn.XLOOKUP(R54,'Sales History'!$C$4:$C$83,'Sales History'!$AW$4:$AW$83,"")</f>
        <v>-0.67654986522911054</v>
      </c>
      <c r="K54" s="1942">
        <f>_xlfn.XLOOKUP(R54,'Sales Rec'!$E$4:$E$91,'Sales Rec'!$CV$4:$CV$91,"")</f>
        <v>43</v>
      </c>
      <c r="L54" s="1587">
        <f>_xlfn.XLOOKUP(R54,'MOPFRA Ranking'!$E$6:$E$55,'MOPFRA Ranking'!$AG$6:$AG$55,"")</f>
        <v>46</v>
      </c>
      <c r="M54" s="1582" t="str">
        <f>_xlfn.XLOOKUP(R54,'Sales Rec'!$E$4:$E$105,'Sales Rec'!$DS$4:$DS$105,"")</f>
        <v>S</v>
      </c>
      <c r="N54" s="1582" t="str">
        <f>_xlfn.XLOOKUP(R54,'Sales Rec'!$E$4:$E$105,'Sales Rec'!$DZ$4:$DZ$105,"")</f>
        <v>SS</v>
      </c>
      <c r="O54" s="2365" t="str">
        <f>_xlfn.XLOOKUP($R54,'History Records'!$B$7:$B$88,'History Records'!$G$7:$G$88,"")</f>
        <v/>
      </c>
      <c r="P54" s="856" t="s">
        <v>468</v>
      </c>
      <c r="Q54" s="2390" t="s">
        <v>134</v>
      </c>
      <c r="R54" s="2391" t="s">
        <v>135</v>
      </c>
      <c r="S54" s="2055">
        <v>12</v>
      </c>
      <c r="T54" s="66">
        <f t="shared" si="71"/>
        <v>7873.6</v>
      </c>
      <c r="U54" s="2386">
        <f>_xlfn.XLOOKUP($R54,'Price Record'!$C$6:$C$100,'Price Record'!H$6:H$100,"")</f>
        <v>14050</v>
      </c>
      <c r="V54" s="338">
        <f>_xlfn.XLOOKUP(R54,'دیده بان بازار'!$A$3:$A$3542,'دیده بان بازار'!$M$3:$M$3542,"")</f>
        <v>2.7</v>
      </c>
      <c r="W54" s="2386">
        <f>_xlfn.XLOOKUP($R54,'Price Record'!$C$6:$C$100,'Price Record'!G$6:G$100,"")</f>
        <v>14060</v>
      </c>
      <c r="X54" s="337">
        <f>_xlfn.XLOOKUP(R54,'دیده بان بازار'!$A$3:$A$3542,'دیده بان بازار'!$J$3:$J$3542,"")</f>
        <v>2.78</v>
      </c>
      <c r="Y54" s="1708">
        <f t="shared" si="72"/>
        <v>8103.6</v>
      </c>
      <c r="Z54" s="661" t="str">
        <f t="shared" si="73"/>
        <v/>
      </c>
      <c r="AA54" s="822">
        <f t="shared" si="74"/>
        <v>0.28843069873997718</v>
      </c>
      <c r="AB54" s="511">
        <f t="shared" ca="1" si="75"/>
        <v>0.86794520547945209</v>
      </c>
      <c r="AC54" s="2194">
        <f t="shared" ca="1" si="76"/>
        <v>16.46348030509872</v>
      </c>
      <c r="AD54" s="1150" t="str">
        <f t="shared" si="77"/>
        <v/>
      </c>
      <c r="AE54" s="1150">
        <f t="shared" si="78"/>
        <v>0.28843069873997718</v>
      </c>
      <c r="AF54" s="1150" t="str">
        <f t="shared" si="79"/>
        <v/>
      </c>
      <c r="AG54" s="1150" t="str">
        <f t="shared" si="80"/>
        <v/>
      </c>
      <c r="AH54" s="1150" t="str">
        <f t="shared" si="81"/>
        <v/>
      </c>
      <c r="AI54" s="275">
        <f t="shared" ca="1" si="82"/>
        <v>13</v>
      </c>
      <c r="AJ54" s="2377">
        <v>46252</v>
      </c>
      <c r="AK54" s="1116">
        <v>46336</v>
      </c>
      <c r="AL54" s="1345">
        <f t="shared" si="83"/>
        <v>5600000000</v>
      </c>
      <c r="AM54" s="29"/>
      <c r="AN54" s="29"/>
      <c r="AO54" s="685">
        <v>0.05</v>
      </c>
      <c r="AP54" s="174"/>
      <c r="AQ54" s="1925">
        <v>1266</v>
      </c>
      <c r="AR54" s="1925">
        <v>833</v>
      </c>
      <c r="AS54" s="766">
        <f>_xlfn.XLOOKUP(R54,'Sales Rec'!$E$4:$E$86,'Sales Rec'!$X$4:$X$86,"")</f>
        <v>1397.226923076923</v>
      </c>
      <c r="AT54" s="984">
        <f>_xlfn.XLOOKUP(R54,'Sales Rec'!$E$4:$E$86,'Sales Rec'!$K$4:$K$86,"")</f>
        <v>4</v>
      </c>
      <c r="AU54" s="376">
        <f t="shared" si="84"/>
        <v>4.9874432598636318</v>
      </c>
      <c r="AV54" s="99">
        <f t="shared" si="85"/>
        <v>-10</v>
      </c>
      <c r="AW54" s="16">
        <v>184</v>
      </c>
      <c r="AX54" s="16">
        <v>77</v>
      </c>
      <c r="AY54" s="1421">
        <f t="shared" si="86"/>
        <v>0.41799999999999998</v>
      </c>
      <c r="AZ54" s="1419">
        <v>0.41599999999999998</v>
      </c>
      <c r="BA54" s="1689">
        <v>0.65800000000000003</v>
      </c>
      <c r="BB54" s="1690">
        <v>0.496</v>
      </c>
      <c r="BC54" s="100">
        <f t="shared" si="65"/>
        <v>-10</v>
      </c>
      <c r="BD54" s="1420">
        <f t="shared" si="87"/>
        <v>0.315</v>
      </c>
      <c r="BE54" s="1419">
        <v>0.315</v>
      </c>
      <c r="BF54" s="1687">
        <v>0.628</v>
      </c>
      <c r="BG54" s="1688">
        <v>0.435</v>
      </c>
      <c r="BH54" s="306">
        <f t="shared" si="88"/>
        <v>0.10299999999999998</v>
      </c>
      <c r="BI54" s="1861">
        <f t="shared" si="89"/>
        <v>75.807999999999993</v>
      </c>
      <c r="BJ54" s="306">
        <f t="shared" si="90"/>
        <v>0.10099999999999998</v>
      </c>
      <c r="BK54" s="99">
        <v>0</v>
      </c>
      <c r="BL54" s="306">
        <f>_xlfn.XLOOKUP(R54,'Sales Rec'!$E$4:$E$91,'Sales Rec'!$Y$4:$Y$91,"")</f>
        <v>0.10365475756471007</v>
      </c>
      <c r="BM54" s="99">
        <f t="shared" si="91"/>
        <v>-5.543278235258013</v>
      </c>
      <c r="BN54" s="15"/>
      <c r="BO54" s="1803">
        <v>3</v>
      </c>
      <c r="BP54" s="842">
        <f t="shared" si="92"/>
        <v>1</v>
      </c>
      <c r="BQ54" s="16">
        <v>111</v>
      </c>
      <c r="BR54" s="16"/>
      <c r="BS54" s="16"/>
      <c r="BT54" s="1253">
        <f>(_xlfn.XLOOKUP(R54,'Sales Rec'!$E$37:$E$91,'Sales Rec'!$X$37:$X$91)*BD54+CM54)*1000/CK54</f>
        <v>791.29728708791208</v>
      </c>
      <c r="BU54" s="1246">
        <f t="shared" si="93"/>
        <v>442.85714285714283</v>
      </c>
      <c r="BV54" s="406"/>
      <c r="BW54" s="407">
        <f t="shared" si="94"/>
        <v>22.784830907467484</v>
      </c>
      <c r="BX54" s="99">
        <f t="shared" si="95"/>
        <v>-10</v>
      </c>
      <c r="BY54" s="18">
        <f t="shared" si="96"/>
        <v>345.56324038461537</v>
      </c>
      <c r="BZ54" s="18">
        <f t="shared" si="97"/>
        <v>843.90139335476954</v>
      </c>
      <c r="CA54" s="18">
        <f t="shared" si="98"/>
        <v>584.04085384615382</v>
      </c>
      <c r="CB54" s="1710">
        <f t="shared" si="99"/>
        <v>13.875056764667058</v>
      </c>
      <c r="CC54" s="266">
        <f>_xlfn.XLOOKUP($R54,'Price Record'!$C$6:$C$100,'Price Record'!I$6:I$100,"")</f>
        <v>1506</v>
      </c>
      <c r="CD54" s="267">
        <f>_xlfn.XLOOKUP($R54,'Price Record'!$C$6:$C$100,'Price Record'!J$6:J$100,"")</f>
        <v>9.33</v>
      </c>
      <c r="CE54" s="99">
        <f t="shared" si="100"/>
        <v>-10</v>
      </c>
      <c r="CF54" s="17">
        <f t="shared" si="101"/>
        <v>1.2154070540967719</v>
      </c>
      <c r="CG54" s="99">
        <f t="shared" si="102"/>
        <v>3.1383717836129126</v>
      </c>
      <c r="CH54" s="494">
        <f t="shared" si="103"/>
        <v>0.11733896108136345</v>
      </c>
      <c r="CI54" s="99">
        <f t="shared" si="104"/>
        <v>-4.239915583779549</v>
      </c>
      <c r="CJ54" s="20"/>
      <c r="CK54" s="691">
        <v>560</v>
      </c>
      <c r="CL54" s="419">
        <v>875</v>
      </c>
      <c r="CM54" s="468">
        <v>3</v>
      </c>
      <c r="CN54" s="843">
        <v>4</v>
      </c>
      <c r="CO54" s="21">
        <v>62</v>
      </c>
      <c r="CP54" s="21">
        <v>97</v>
      </c>
      <c r="CQ54" s="469">
        <f t="shared" si="105"/>
        <v>62</v>
      </c>
      <c r="CR54" s="1239">
        <f>(AS54*BD54)*(_xlfn.XLOOKUP($R54,'Sales Rec'!$E$37:$E$91,'Sales Rec'!$L$37:$L$91,"")/12)+CP54</f>
        <v>243.70882692307691</v>
      </c>
      <c r="CS54" s="21">
        <v>937</v>
      </c>
      <c r="CT54" s="16">
        <v>0</v>
      </c>
      <c r="CU54" s="2240" t="str">
        <f t="shared" si="106"/>
        <v/>
      </c>
      <c r="CV54" s="693">
        <f t="shared" si="107"/>
        <v>1596</v>
      </c>
      <c r="CW54" s="49">
        <v>420</v>
      </c>
      <c r="CX54" s="21">
        <v>148</v>
      </c>
      <c r="CY54" s="49">
        <v>0</v>
      </c>
      <c r="CZ54" s="378">
        <f t="shared" si="108"/>
        <v>420</v>
      </c>
      <c r="DA54" s="1058">
        <f t="shared" si="109"/>
        <v>3.211904761904762</v>
      </c>
      <c r="DB54" s="99">
        <f t="shared" si="110"/>
        <v>6</v>
      </c>
      <c r="DC54" s="53">
        <f t="shared" si="111"/>
        <v>2016</v>
      </c>
      <c r="DD54" s="645">
        <f t="shared" si="112"/>
        <v>0.20833333333333334</v>
      </c>
      <c r="DE54" s="13">
        <v>667</v>
      </c>
      <c r="DF54" s="24">
        <v>580</v>
      </c>
      <c r="DG54" s="24">
        <v>45</v>
      </c>
      <c r="DH54" s="51">
        <v>1349</v>
      </c>
      <c r="DI54" s="8">
        <f>DH54-CW54</f>
        <v>929</v>
      </c>
      <c r="DJ54" s="644">
        <f t="shared" si="113"/>
        <v>1.5040117578868923</v>
      </c>
      <c r="DK54" s="22">
        <v>90</v>
      </c>
      <c r="DL54" s="22">
        <v>190</v>
      </c>
      <c r="DM54" s="22">
        <v>1047</v>
      </c>
      <c r="DN54" s="138">
        <f t="shared" si="114"/>
        <v>0.20833333333333334</v>
      </c>
      <c r="DO54" s="99">
        <f t="shared" si="115"/>
        <v>1.3501890564199091</v>
      </c>
      <c r="DP54" s="22">
        <v>0</v>
      </c>
      <c r="DQ54" s="8">
        <f t="shared" si="116"/>
        <v>22</v>
      </c>
      <c r="DR54" s="138">
        <f t="shared" si="117"/>
        <v>-0.25340693039769047</v>
      </c>
      <c r="DS54" s="99">
        <f t="shared" si="118"/>
        <v>-1</v>
      </c>
      <c r="DT54" s="8">
        <f t="shared" si="119"/>
        <v>5481.84</v>
      </c>
      <c r="DU54" s="8">
        <f t="shared" si="120"/>
        <v>1594.2857142857142</v>
      </c>
      <c r="DV54" s="235">
        <f t="shared" si="121"/>
        <v>1562.5</v>
      </c>
      <c r="DW54" s="8">
        <f t="shared" si="122"/>
        <v>4319.312857142857</v>
      </c>
      <c r="DX54" s="411">
        <f t="shared" si="123"/>
        <v>84</v>
      </c>
      <c r="DY54" s="1532">
        <v>1500</v>
      </c>
      <c r="DZ54" s="857">
        <f t="shared" si="124"/>
        <v>3.3222591362126248E-2</v>
      </c>
      <c r="EA54" s="386">
        <v>3</v>
      </c>
      <c r="EB54" s="504"/>
      <c r="EC54" s="510"/>
      <c r="ED54" s="435"/>
      <c r="EE54" s="510"/>
      <c r="EF54" s="435"/>
      <c r="EG54" s="510"/>
      <c r="EH54" s="435"/>
      <c r="EI54" s="510">
        <v>43650</v>
      </c>
      <c r="EJ54" s="435">
        <v>6111</v>
      </c>
      <c r="EK54" s="510"/>
      <c r="EL54" s="1606"/>
      <c r="EM54" s="1685">
        <v>43650</v>
      </c>
      <c r="EN54" s="1686">
        <v>6111</v>
      </c>
      <c r="EO54" s="1609" t="str">
        <f t="shared" si="63"/>
        <v/>
      </c>
      <c r="EP54" s="1648" t="str">
        <f t="shared" si="125"/>
        <v>NEW</v>
      </c>
      <c r="EQ54"/>
    </row>
    <row r="55" spans="1:155" ht="35" customHeight="1">
      <c r="A55" s="99">
        <f>_xlfn.XLOOKUP(R55,'MOPFRA Ranking'!$E$6:$E$55,'MOPFRA Ranking'!$AE$6:$AE$55)</f>
        <v>-54.028353963789172</v>
      </c>
      <c r="B55" s="99">
        <f t="shared" si="66"/>
        <v>-54.928353963789178</v>
      </c>
      <c r="C55" s="1585">
        <f t="shared" ca="1" si="67"/>
        <v>0.20364213845909584</v>
      </c>
      <c r="D55" s="2378">
        <f t="shared" si="68"/>
        <v>-10.456929686628261</v>
      </c>
      <c r="E55" s="1414">
        <f t="shared" si="69"/>
        <v>6.400000000000003</v>
      </c>
      <c r="F55" s="1415">
        <f t="shared" si="70"/>
        <v>0.9000000000000008</v>
      </c>
      <c r="G55" s="2124" cm="1">
        <f t="array" ref="G55">IFERROR(_xlfn.XLOOKUP(R55,'Sales Rec'!$E$37:$E$91,'Sales Rec'!$CU$37:$CU$91*100,""),"")</f>
        <v>12.044688031111178</v>
      </c>
      <c r="H55" s="2313">
        <f>_xlfn.XLOOKUP(R55,'Sales Rec'!$E$37:$E$86,'Sales Rec'!$DQ$37:$DQ$86,"")</f>
        <v>-0.48956629491945475</v>
      </c>
      <c r="I55" s="2312">
        <f>_xlfn.XLOOKUP(R55,'Sales History'!$C$4:$C$83,'Sales History'!$AS$4:$AS$83,"")</f>
        <v>-0.75260634320151321</v>
      </c>
      <c r="J55" s="2313">
        <f>_xlfn.XLOOKUP(R55,'Sales History'!$C$4:$C$83,'Sales History'!$AW$4:$AW$83,"")</f>
        <v>-0.53118473782243047</v>
      </c>
      <c r="K55" s="1942">
        <f>_xlfn.XLOOKUP(R55,'Sales Rec'!$E$4:$E$91,'Sales Rec'!$CV$4:$CV$91,"")</f>
        <v>50</v>
      </c>
      <c r="L55" s="1587">
        <f>_xlfn.XLOOKUP(R55,'MOPFRA Ranking'!$E$6:$E$55,'MOPFRA Ranking'!$AG$6:$AG$55,"")</f>
        <v>48</v>
      </c>
      <c r="M55" s="1582" t="str">
        <f>_xlfn.XLOOKUP(R55,'Sales Rec'!$E$4:$E$105,'Sales Rec'!$DS$4:$DS$105,"")</f>
        <v>SS</v>
      </c>
      <c r="N55" s="1582" t="str">
        <f>_xlfn.XLOOKUP(R55,'Sales Rec'!$E$4:$E$105,'Sales Rec'!$DZ$4:$DZ$105,"")</f>
        <v>SS</v>
      </c>
      <c r="O55" s="2365" t="str">
        <f>_xlfn.XLOOKUP($R55,'History Records'!$B$7:$B$88,'History Records'!$G$7:$G$88,"")</f>
        <v/>
      </c>
      <c r="P55" s="856" t="s">
        <v>471</v>
      </c>
      <c r="Q55" s="2364" t="s">
        <v>146</v>
      </c>
      <c r="R55" s="1571" t="s">
        <v>147</v>
      </c>
      <c r="S55" s="1929">
        <v>12</v>
      </c>
      <c r="T55" s="66">
        <f t="shared" si="71"/>
        <v>99732.898799999995</v>
      </c>
      <c r="U55" s="2386">
        <f>_xlfn.XLOOKUP($R55,'Price Record'!$C$6:$C$100,'Price Record'!H$6:H$100,"")</f>
        <v>29000</v>
      </c>
      <c r="V55" s="338">
        <f>_xlfn.XLOOKUP(R55,'دیده بان بازار'!$A$3:$A$3542,'دیده بان بازار'!$M$3:$M$3542,"")</f>
        <v>2.95</v>
      </c>
      <c r="W55" s="2386">
        <f>_xlfn.XLOOKUP($R55,'Price Record'!$C$6:$C$100,'Price Record'!G$6:G$100,"")</f>
        <v>29010</v>
      </c>
      <c r="X55" s="337">
        <f>_xlfn.XLOOKUP(R55,'دیده بان بازار'!$A$3:$A$3542,'دیده بان بازار'!$J$3:$J$3542,"")</f>
        <v>2.98</v>
      </c>
      <c r="Y55" s="1708">
        <f t="shared" si="72"/>
        <v>140823.8988</v>
      </c>
      <c r="Z55" s="661" t="str">
        <f t="shared" si="73"/>
        <v/>
      </c>
      <c r="AA55" s="822">
        <f t="shared" si="74"/>
        <v>-4.4154698102357719E-2</v>
      </c>
      <c r="AB55" s="511">
        <f t="shared" ca="1" si="75"/>
        <v>0.28109589041095889</v>
      </c>
      <c r="AC55" s="2194">
        <f t="shared" ca="1" si="76"/>
        <v>28.530753378361105</v>
      </c>
      <c r="AD55" s="1150">
        <f t="shared" si="77"/>
        <v>-4.4154698102357719E-2</v>
      </c>
      <c r="AE55" s="1150">
        <f t="shared" si="78"/>
        <v>-0.24067411682299919</v>
      </c>
      <c r="AF55" s="1150">
        <f t="shared" si="79"/>
        <v>-0.20038405144075819</v>
      </c>
      <c r="AG55" s="1150">
        <f t="shared" si="80"/>
        <v>-0.31320998512560605</v>
      </c>
      <c r="AH55" s="1150">
        <f t="shared" si="81"/>
        <v>2.2922509179675435E-2</v>
      </c>
      <c r="AI55" s="275">
        <f t="shared" ca="1" si="82"/>
        <v>251</v>
      </c>
      <c r="AJ55" s="1121">
        <v>46125</v>
      </c>
      <c r="AK55" s="1830">
        <v>46132</v>
      </c>
      <c r="AL55" s="1345">
        <f t="shared" si="83"/>
        <v>34378800000</v>
      </c>
      <c r="AM55" s="29"/>
      <c r="AN55" s="29"/>
      <c r="AO55" s="685">
        <v>5.62E-2</v>
      </c>
      <c r="AP55" s="174"/>
      <c r="AQ55" s="1925">
        <v>68119</v>
      </c>
      <c r="AR55" s="1925">
        <v>23628</v>
      </c>
      <c r="AS55" s="766">
        <f>_xlfn.XLOOKUP(R55,'Sales Rec'!$E$4:$E$86,'Sales Rec'!$X$4:$X$86,"")</f>
        <v>39669.11677819083</v>
      </c>
      <c r="AT55" s="586">
        <f>_xlfn.XLOOKUP(R55,'Sales Rec'!$E$4:$E$86,'Sales Rec'!$K$4:$K$86,"")</f>
        <v>4</v>
      </c>
      <c r="AU55" s="376">
        <f t="shared" si="84"/>
        <v>2.5141194687457942</v>
      </c>
      <c r="AV55" s="99">
        <f t="shared" si="85"/>
        <v>-10</v>
      </c>
      <c r="AW55" s="16">
        <v>5624</v>
      </c>
      <c r="AX55" s="16">
        <v>1552</v>
      </c>
      <c r="AY55" s="1421">
        <f t="shared" si="86"/>
        <v>0.27600000000000002</v>
      </c>
      <c r="AZ55" s="1419">
        <v>0.21199999999999999</v>
      </c>
      <c r="BA55" s="1689">
        <v>0.34699999999999998</v>
      </c>
      <c r="BB55" s="1690">
        <v>0.29699999999999999</v>
      </c>
      <c r="BC55" s="100">
        <f t="shared" si="65"/>
        <v>0.9000000000000008</v>
      </c>
      <c r="BD55" s="1420">
        <f t="shared" si="87"/>
        <v>0.16800000000000001</v>
      </c>
      <c r="BE55" s="1419">
        <v>0.159</v>
      </c>
      <c r="BF55" s="1687">
        <v>0.252</v>
      </c>
      <c r="BG55" s="1688">
        <v>0.26600000000000001</v>
      </c>
      <c r="BH55" s="306">
        <f t="shared" si="88"/>
        <v>0.10800000000000001</v>
      </c>
      <c r="BI55" s="1861">
        <f t="shared" si="89"/>
        <v>2429.5680000000002</v>
      </c>
      <c r="BJ55" s="306">
        <f t="shared" si="90"/>
        <v>5.2999999999999992E-2</v>
      </c>
      <c r="BK55" s="99">
        <v>0</v>
      </c>
      <c r="BL55" s="306">
        <f>_xlfn.XLOOKUP(R55,'Sales Rec'!$E$4:$E$91,'Sales Rec'!$Y$4:$Y$91,"")</f>
        <v>-0.41764974855486969</v>
      </c>
      <c r="BM55" s="99">
        <f t="shared" si="91"/>
        <v>-10</v>
      </c>
      <c r="BN55" s="15"/>
      <c r="BO55" s="1803">
        <v>3</v>
      </c>
      <c r="BP55" s="842">
        <f t="shared" si="92"/>
        <v>1</v>
      </c>
      <c r="BQ55" s="16">
        <v>350</v>
      </c>
      <c r="BR55" s="16"/>
      <c r="BS55" s="16"/>
      <c r="BT55" s="1253">
        <f>(_xlfn.XLOOKUP(R55,'Sales Rec'!$E$37:$E$91,'Sales Rec'!$X$37:$X$91)*BD55+CM55)*1000/CK55</f>
        <v>2136.6108237448834</v>
      </c>
      <c r="BU55" s="1246">
        <f t="shared" si="93"/>
        <v>1399.6998150022689</v>
      </c>
      <c r="BV55" s="406"/>
      <c r="BW55" s="407">
        <f t="shared" si="94"/>
        <v>16.40692968662826</v>
      </c>
      <c r="BX55" s="99">
        <f t="shared" si="95"/>
        <v>-10</v>
      </c>
      <c r="BY55" s="18">
        <f t="shared" si="96"/>
        <v>6078.7058093680298</v>
      </c>
      <c r="BZ55" s="18">
        <f t="shared" si="97"/>
        <v>16761.831731092436</v>
      </c>
      <c r="CA55" s="18">
        <f t="shared" si="98"/>
        <v>10948.676230780669</v>
      </c>
      <c r="CB55" s="1710">
        <f t="shared" si="99"/>
        <v>12.862184964799063</v>
      </c>
      <c r="CC55" s="266">
        <f>_xlfn.XLOOKUP($R55,'Price Record'!$C$6:$C$100,'Price Record'!I$6:I$100,"")</f>
        <v>4878</v>
      </c>
      <c r="CD55" s="267">
        <f>_xlfn.XLOOKUP($R55,'Price Record'!$C$6:$C$100,'Price Record'!J$6:J$100,"")</f>
        <v>5.95</v>
      </c>
      <c r="CE55" s="99">
        <f t="shared" si="100"/>
        <v>-2.8500000000000005</v>
      </c>
      <c r="CF55" s="17">
        <f t="shared" si="101"/>
        <v>8.2604754325527026</v>
      </c>
      <c r="CG55" s="99">
        <f t="shared" si="102"/>
        <v>-10</v>
      </c>
      <c r="CH55" s="494">
        <f t="shared" si="103"/>
        <v>0.14237178680363569</v>
      </c>
      <c r="CI55" s="99">
        <f t="shared" si="104"/>
        <v>-3.8644231979454648</v>
      </c>
      <c r="CJ55" s="20"/>
      <c r="CK55" s="691">
        <v>3437.88</v>
      </c>
      <c r="CL55" s="419">
        <v>940</v>
      </c>
      <c r="CM55" s="468">
        <v>681</v>
      </c>
      <c r="CN55" s="843">
        <v>260</v>
      </c>
      <c r="CO55" s="21">
        <v>1203</v>
      </c>
      <c r="CP55" s="21"/>
      <c r="CQ55" s="469">
        <f t="shared" si="105"/>
        <v>1203</v>
      </c>
      <c r="CR55" s="1239">
        <f>(AS55*BD55)*(_xlfn.XLOOKUP($R55,'Sales Rec'!$E$37:$E$91,'Sales Rec'!$L$37:$L$91,"")/12)+CP55</f>
        <v>2221.4705395786864</v>
      </c>
      <c r="CS55" s="21">
        <v>2143</v>
      </c>
      <c r="CT55" s="16">
        <v>0</v>
      </c>
      <c r="CU55" s="2240" t="str">
        <f t="shared" si="106"/>
        <v/>
      </c>
      <c r="CV55" s="693">
        <f t="shared" si="107"/>
        <v>5925</v>
      </c>
      <c r="CW55" s="49">
        <v>46997</v>
      </c>
      <c r="CX55" s="21">
        <v>10163</v>
      </c>
      <c r="CY55" s="49">
        <v>3216</v>
      </c>
      <c r="CZ55" s="378">
        <f t="shared" si="108"/>
        <v>50213</v>
      </c>
      <c r="DA55" s="1058">
        <f t="shared" si="109"/>
        <v>0.78241164329638058</v>
      </c>
      <c r="DB55" s="99">
        <f t="shared" si="110"/>
        <v>-3.340706853628955</v>
      </c>
      <c r="DC55" s="53">
        <f t="shared" si="111"/>
        <v>56138</v>
      </c>
      <c r="DD55" s="645">
        <f t="shared" si="112"/>
        <v>0.89445651786668567</v>
      </c>
      <c r="DE55" s="13">
        <v>19367</v>
      </c>
      <c r="DF55" s="24">
        <v>18611</v>
      </c>
      <c r="DG55" s="24">
        <v>77</v>
      </c>
      <c r="DH55" s="51">
        <v>36771</v>
      </c>
      <c r="DI55" s="8">
        <f>DH55-CW55</f>
        <v>-10226</v>
      </c>
      <c r="DJ55" s="644">
        <f t="shared" si="113"/>
        <v>-3.8792408349492304</v>
      </c>
      <c r="DK55" s="22">
        <v>13571</v>
      </c>
      <c r="DL55" s="22">
        <v>8636</v>
      </c>
      <c r="DM55" s="22">
        <v>6918</v>
      </c>
      <c r="DN55" s="138">
        <f t="shared" si="114"/>
        <v>0.89445651786668567</v>
      </c>
      <c r="DO55" s="99">
        <f t="shared" si="115"/>
        <v>-0.87322391221475337</v>
      </c>
      <c r="DP55" s="22">
        <v>486</v>
      </c>
      <c r="DQ55" s="8">
        <f t="shared" si="116"/>
        <v>7160</v>
      </c>
      <c r="DR55" s="138">
        <f t="shared" si="117"/>
        <v>-0.88385114291666333</v>
      </c>
      <c r="DS55" s="99">
        <f t="shared" si="118"/>
        <v>-4</v>
      </c>
      <c r="DT55" s="8">
        <f t="shared" si="119"/>
        <v>17755.919999999998</v>
      </c>
      <c r="DU55" s="8">
        <f t="shared" si="120"/>
        <v>5038.9193340081683</v>
      </c>
      <c r="DV55" s="235">
        <f t="shared" si="121"/>
        <v>273.42431963884718</v>
      </c>
      <c r="DW55" s="8">
        <f t="shared" si="122"/>
        <v>11534.131826823508</v>
      </c>
      <c r="DX55" s="411">
        <f t="shared" si="123"/>
        <v>7</v>
      </c>
      <c r="DY55" s="1117">
        <v>5000</v>
      </c>
      <c r="DZ55" s="857">
        <f t="shared" si="124"/>
        <v>0.14144271570014144</v>
      </c>
      <c r="EA55" s="386">
        <v>0.5</v>
      </c>
      <c r="EB55" s="504"/>
      <c r="EC55" s="510">
        <v>70900</v>
      </c>
      <c r="ED55" s="435">
        <v>97498</v>
      </c>
      <c r="EE55" s="510">
        <v>105603</v>
      </c>
      <c r="EF55" s="435">
        <v>145216</v>
      </c>
      <c r="EG55" s="510">
        <v>90700</v>
      </c>
      <c r="EH55" s="435">
        <v>124726</v>
      </c>
      <c r="EI55" s="510">
        <v>95512</v>
      </c>
      <c r="EJ55" s="435">
        <v>131344</v>
      </c>
      <c r="EK55" s="510">
        <v>30350</v>
      </c>
      <c r="EL55" s="1606">
        <v>104340</v>
      </c>
      <c r="EM55" s="1224">
        <v>30350</v>
      </c>
      <c r="EN55" s="834">
        <v>104340</v>
      </c>
      <c r="EO55" s="835">
        <f t="shared" si="63"/>
        <v>7.0175798477917495E-2</v>
      </c>
      <c r="EP55" s="1648">
        <f t="shared" si="125"/>
        <v>32</v>
      </c>
      <c r="EQ55"/>
    </row>
    <row r="56" spans="1:155" ht="35" customHeight="1">
      <c r="A56" s="99">
        <f>_xlfn.XLOOKUP(R56,'MOPFRA Ranking'!$E$6:$E$55,'MOPFRA Ranking'!$AE$6:$AE$55)</f>
        <v>-65.423574066630209</v>
      </c>
      <c r="B56" s="99">
        <f t="shared" si="66"/>
        <v>-55.423574066630202</v>
      </c>
      <c r="C56" s="1585">
        <f t="shared" ca="1" si="67"/>
        <v>7.8603888365971361E-2</v>
      </c>
      <c r="D56" s="2378">
        <f t="shared" si="68"/>
        <v>-18.539730044790549</v>
      </c>
      <c r="E56" s="1414">
        <f t="shared" si="69"/>
        <v>-37</v>
      </c>
      <c r="F56" s="1415">
        <f t="shared" si="70"/>
        <v>-31.599999999999994</v>
      </c>
      <c r="G56" s="2124" cm="1">
        <f t="array" ref="G56">IFERROR(_xlfn.XLOOKUP(R56,'Sales Rec'!$E$37:$E$91,'Sales Rec'!$CU$37:$CU$91*100,""),"")</f>
        <v>10.268798421660858</v>
      </c>
      <c r="H56" s="2313">
        <f>_xlfn.XLOOKUP(R56,'Sales Rec'!$E$37:$E$86,'Sales Rec'!$DQ$37:$DQ$86,"")</f>
        <v>-0.34496453900709217</v>
      </c>
      <c r="I56" s="2312">
        <f>_xlfn.XLOOKUP(R56,'Sales History'!$C$4:$C$83,'Sales History'!$AS$4:$AS$83,"")</f>
        <v>-0.48568088836937462</v>
      </c>
      <c r="J56" s="2313">
        <f>_xlfn.XLOOKUP(R56,'Sales History'!$C$4:$C$83,'Sales History'!$AW$4:$AW$83,"")</f>
        <v>0.19475998534261635</v>
      </c>
      <c r="K56" s="1942">
        <f>_xlfn.XLOOKUP(R56,'Sales Rec'!$E$4:$E$91,'Sales Rec'!$CV$4:$CV$91,"")</f>
        <v>49</v>
      </c>
      <c r="L56" s="1587">
        <f>_xlfn.XLOOKUP(R56,'MOPFRA Ranking'!$E$6:$E$55,'MOPFRA Ranking'!$AG$6:$AG$55,"")</f>
        <v>49</v>
      </c>
      <c r="M56" s="1582" t="str">
        <f>_xlfn.XLOOKUP(R56,'Sales Rec'!$E$4:$E$105,'Sales Rec'!$DS$4:$DS$105,"")</f>
        <v>S</v>
      </c>
      <c r="N56" s="1582" t="str">
        <f>_xlfn.XLOOKUP(R56,'Sales Rec'!$E$4:$E$105,'Sales Rec'!$DZ$4:$DZ$105,"")</f>
        <v>S</v>
      </c>
      <c r="O56" s="2365" t="str">
        <f>_xlfn.XLOOKUP($R56,'History Records'!$B$7:$B$88,'History Records'!$G$7:$G$88,"")</f>
        <v/>
      </c>
      <c r="P56" s="856" t="s">
        <v>475</v>
      </c>
      <c r="Q56" s="2364" t="s">
        <v>140</v>
      </c>
      <c r="R56" s="1571" t="s">
        <v>141</v>
      </c>
      <c r="S56" s="1929">
        <v>12</v>
      </c>
      <c r="T56" s="1641">
        <f t="shared" si="71"/>
        <v>55932</v>
      </c>
      <c r="U56" s="2386">
        <f>_xlfn.XLOOKUP($R56,'Price Record'!$C$6:$C$100,'Price Record'!H$6:H$100,"")</f>
        <v>46590</v>
      </c>
      <c r="V56" s="338">
        <f>_xlfn.XLOOKUP(R56,'دیده بان بازار'!$A$3:$A$3542,'دیده بان بازار'!$M$3:$M$3542,"")</f>
        <v>2.94</v>
      </c>
      <c r="W56" s="2386">
        <f>_xlfn.XLOOKUP($R56,'Price Record'!$C$6:$C$100,'Price Record'!G$6:G$100,"")</f>
        <v>46610</v>
      </c>
      <c r="X56" s="337">
        <f>_xlfn.XLOOKUP(R56,'دیده بان بازار'!$A$3:$A$3542,'دیده بان بازار'!$J$3:$J$3542,"")</f>
        <v>2.98</v>
      </c>
      <c r="Y56" s="1708">
        <f t="shared" si="72"/>
        <v>73039</v>
      </c>
      <c r="Z56" s="661" t="str">
        <f t="shared" si="73"/>
        <v/>
      </c>
      <c r="AA56" s="822">
        <f t="shared" si="74"/>
        <v>-3.6585365853658534E-2</v>
      </c>
      <c r="AB56" s="511">
        <f t="shared" ca="1" si="75"/>
        <v>5.4246575342465755E-2</v>
      </c>
      <c r="AC56" s="2194">
        <f t="shared" ca="1" si="76"/>
        <v>41.287245998238312</v>
      </c>
      <c r="AD56" s="1150">
        <f t="shared" si="77"/>
        <v>-3.6585365853658534E-2</v>
      </c>
      <c r="AE56" s="1150" t="str">
        <f t="shared" si="78"/>
        <v/>
      </c>
      <c r="AF56" s="1150" t="str">
        <f t="shared" si="79"/>
        <v/>
      </c>
      <c r="AG56" s="1150" t="str">
        <f t="shared" si="80"/>
        <v/>
      </c>
      <c r="AH56" s="1150" t="str">
        <f t="shared" si="81"/>
        <v/>
      </c>
      <c r="AI56" s="275">
        <f t="shared" ca="1" si="82"/>
        <v>343</v>
      </c>
      <c r="AJ56" s="1121">
        <v>46217</v>
      </c>
      <c r="AK56" s="1116">
        <v>46295</v>
      </c>
      <c r="AL56" s="1345">
        <f t="shared" si="83"/>
        <v>12000000000</v>
      </c>
      <c r="AM56" s="29"/>
      <c r="AN56" s="29"/>
      <c r="AO56" s="685">
        <v>0.05</v>
      </c>
      <c r="AP56" s="174"/>
      <c r="AQ56" s="1928">
        <v>35014</v>
      </c>
      <c r="AR56" s="1928">
        <v>8305</v>
      </c>
      <c r="AS56" s="766">
        <f>_xlfn.XLOOKUP(R56,'Sales Rec'!$E$4:$E$86,'Sales Rec'!$X$4:$X$86,"")</f>
        <v>24504.455815602836</v>
      </c>
      <c r="AT56" s="984">
        <f>_xlfn.XLOOKUP(R56,'Sales Rec'!$E$4:$E$86,'Sales Rec'!$K$4:$K$86,"")</f>
        <v>4</v>
      </c>
      <c r="AU56" s="376">
        <f t="shared" si="84"/>
        <v>2.2261947137493685</v>
      </c>
      <c r="AV56" s="99">
        <f t="shared" si="85"/>
        <v>0</v>
      </c>
      <c r="AW56" s="16">
        <v>4400</v>
      </c>
      <c r="AX56" s="16">
        <v>227</v>
      </c>
      <c r="AY56" s="1421">
        <f t="shared" si="86"/>
        <v>5.1999999999999998E-2</v>
      </c>
      <c r="AZ56" s="1419">
        <v>0.42199999999999999</v>
      </c>
      <c r="BA56" s="1689">
        <v>0.23699999999999999</v>
      </c>
      <c r="BB56" s="1690">
        <v>0.28199999999999997</v>
      </c>
      <c r="BC56" s="100">
        <f t="shared" si="65"/>
        <v>-10</v>
      </c>
      <c r="BD56" s="1420">
        <f t="shared" si="87"/>
        <v>3.1E-2</v>
      </c>
      <c r="BE56" s="1419">
        <v>0.34699999999999998</v>
      </c>
      <c r="BF56" s="1687">
        <v>0.16900000000000001</v>
      </c>
      <c r="BG56" s="1688">
        <v>0.221</v>
      </c>
      <c r="BH56" s="306">
        <f t="shared" si="88"/>
        <v>2.0999999999999998E-2</v>
      </c>
      <c r="BI56" s="1861">
        <f t="shared" si="89"/>
        <v>369.59999999999997</v>
      </c>
      <c r="BJ56" s="306">
        <f t="shared" si="90"/>
        <v>7.5000000000000011E-2</v>
      </c>
      <c r="BK56" s="99">
        <v>0</v>
      </c>
      <c r="BL56" s="306">
        <f>_xlfn.XLOOKUP(R56,'Sales Rec'!$E$4:$E$91,'Sales Rec'!$Y$4:$Y$91,"")</f>
        <v>-0.30015262993080377</v>
      </c>
      <c r="BM56" s="99">
        <f t="shared" si="91"/>
        <v>-7.907017922314358</v>
      </c>
      <c r="BN56" s="15"/>
      <c r="BO56" s="1803">
        <v>3</v>
      </c>
      <c r="BP56" s="842">
        <f t="shared" si="92"/>
        <v>1</v>
      </c>
      <c r="BQ56" s="16">
        <v>505</v>
      </c>
      <c r="BR56" s="16"/>
      <c r="BS56" s="16"/>
      <c r="BT56" s="1253">
        <f>(_xlfn.XLOOKUP(R56,'Sales Rec'!$E$37:$E$91,'Sales Rec'!$X$37:$X$91)*BD56+CM56)*1000/CK56</f>
        <v>824.69844190307333</v>
      </c>
      <c r="BU56" s="1246">
        <f t="shared" si="93"/>
        <v>2020</v>
      </c>
      <c r="BV56" s="406"/>
      <c r="BW56" s="407">
        <f t="shared" si="94"/>
        <v>32.769730044790549</v>
      </c>
      <c r="BX56" s="99">
        <f t="shared" si="95"/>
        <v>-10</v>
      </c>
      <c r="BY56" s="18">
        <f t="shared" si="96"/>
        <v>1706.819065141844</v>
      </c>
      <c r="BZ56" s="18">
        <f t="shared" si="97"/>
        <v>3930.5692199578352</v>
      </c>
      <c r="CA56" s="18">
        <f t="shared" si="98"/>
        <v>1274.2317024113474</v>
      </c>
      <c r="CB56" s="1710">
        <f t="shared" si="99"/>
        <v>57.32003046367587</v>
      </c>
      <c r="CC56" s="266">
        <f>_xlfn.XLOOKUP($R56,'Price Record'!$C$6:$C$100,'Price Record'!I$6:I$100,"")</f>
        <v>3275</v>
      </c>
      <c r="CD56" s="267">
        <f>_xlfn.XLOOKUP($R56,'Price Record'!$C$6:$C$100,'Price Record'!J$6:J$100,"")</f>
        <v>14.23</v>
      </c>
      <c r="CE56" s="99">
        <f t="shared" si="100"/>
        <v>-10</v>
      </c>
      <c r="CF56" s="17">
        <f t="shared" si="101"/>
        <v>13.924147254603664</v>
      </c>
      <c r="CG56" s="99">
        <f t="shared" si="102"/>
        <v>-10</v>
      </c>
      <c r="CH56" s="494">
        <f t="shared" si="103"/>
        <v>5.6648492039224826E-2</v>
      </c>
      <c r="CI56" s="99">
        <f t="shared" si="104"/>
        <v>-5.150272619411628</v>
      </c>
      <c r="CJ56" s="20"/>
      <c r="CK56" s="691">
        <v>1200</v>
      </c>
      <c r="CL56" s="419">
        <v>1927</v>
      </c>
      <c r="CM56" s="468">
        <v>230</v>
      </c>
      <c r="CN56" s="843">
        <v>469</v>
      </c>
      <c r="CO56" s="21">
        <v>606</v>
      </c>
      <c r="CP56" s="21">
        <v>97</v>
      </c>
      <c r="CQ56" s="469">
        <f t="shared" si="105"/>
        <v>606</v>
      </c>
      <c r="CR56" s="1239">
        <f>(AS56*BD56)*(_xlfn.XLOOKUP($R56,'Sales Rec'!$E$37:$E$91,'Sales Rec'!$L$37:$L$91,"")/12)+CP56</f>
        <v>350.21271009456262</v>
      </c>
      <c r="CS56" s="21">
        <v>2533</v>
      </c>
      <c r="CT56" s="16">
        <v>0</v>
      </c>
      <c r="CU56" s="2240" t="str">
        <f t="shared" si="106"/>
        <v/>
      </c>
      <c r="CV56" s="693">
        <f t="shared" si="107"/>
        <v>9126</v>
      </c>
      <c r="CW56" s="49">
        <v>23229</v>
      </c>
      <c r="CX56" s="21">
        <v>800</v>
      </c>
      <c r="CY56" s="49">
        <v>537</v>
      </c>
      <c r="CZ56" s="378">
        <f t="shared" si="108"/>
        <v>23766</v>
      </c>
      <c r="DA56" s="1058">
        <f t="shared" si="109"/>
        <v>0.90421455938697315</v>
      </c>
      <c r="DB56" s="99">
        <f t="shared" si="110"/>
        <v>-2.3662835249042145</v>
      </c>
      <c r="DC56" s="53">
        <f t="shared" si="111"/>
        <v>32892</v>
      </c>
      <c r="DD56" s="645">
        <f t="shared" si="112"/>
        <v>0.72254651587012042</v>
      </c>
      <c r="DE56" s="13">
        <v>11888</v>
      </c>
      <c r="DF56" s="24">
        <v>9690</v>
      </c>
      <c r="DG56" s="24">
        <v>1729</v>
      </c>
      <c r="DH56" s="51">
        <v>21004</v>
      </c>
      <c r="DI56" s="8">
        <f>DH56-CW56</f>
        <v>-2225</v>
      </c>
      <c r="DJ56" s="644">
        <f t="shared" si="113"/>
        <v>-11.013238568810264</v>
      </c>
      <c r="DK56" s="22">
        <v>6100</v>
      </c>
      <c r="DL56" s="22">
        <v>2998</v>
      </c>
      <c r="DM56" s="22">
        <v>6015</v>
      </c>
      <c r="DN56" s="138">
        <f t="shared" si="114"/>
        <v>0.72254651587012042</v>
      </c>
      <c r="DO56" s="99">
        <f t="shared" si="115"/>
        <v>0</v>
      </c>
      <c r="DP56" s="22">
        <v>3661</v>
      </c>
      <c r="DQ56" s="8">
        <f t="shared" si="116"/>
        <v>2230</v>
      </c>
      <c r="DR56" s="138">
        <f>(DP56-CX55)/CA56</f>
        <v>-5.1026826500201334</v>
      </c>
      <c r="DS56" s="99">
        <f t="shared" si="118"/>
        <v>-10</v>
      </c>
      <c r="DT56" s="8">
        <f t="shared" si="119"/>
        <v>11921</v>
      </c>
      <c r="DU56" s="8">
        <f t="shared" si="120"/>
        <v>7272</v>
      </c>
      <c r="DV56" s="235">
        <f t="shared" si="121"/>
        <v>1605.8333333333333</v>
      </c>
      <c r="DW56" s="8">
        <f t="shared" si="122"/>
        <v>10399.416666666666</v>
      </c>
      <c r="DX56" s="411">
        <f t="shared" si="123"/>
        <v>78</v>
      </c>
      <c r="DY56" s="1117">
        <v>6000</v>
      </c>
      <c r="DZ56" s="857">
        <f t="shared" si="124"/>
        <v>0.11033468186833395</v>
      </c>
      <c r="EA56" s="386"/>
      <c r="EB56" s="504"/>
      <c r="EC56" s="510"/>
      <c r="ED56" s="435"/>
      <c r="EE56" s="510"/>
      <c r="EF56" s="435"/>
      <c r="EG56" s="510"/>
      <c r="EH56" s="435"/>
      <c r="EI56" s="510"/>
      <c r="EJ56" s="435"/>
      <c r="EK56" s="510">
        <v>48380</v>
      </c>
      <c r="EL56" s="1606">
        <v>58056</v>
      </c>
      <c r="EM56" s="1224">
        <v>48380</v>
      </c>
      <c r="EN56" s="834">
        <v>58056</v>
      </c>
      <c r="EO56" s="835" t="str">
        <f t="shared" si="63"/>
        <v/>
      </c>
      <c r="EP56" s="1648" t="str">
        <f t="shared" si="125"/>
        <v>NEW</v>
      </c>
      <c r="EQ56"/>
    </row>
    <row r="57" spans="1:155" ht="9" customHeight="1">
      <c r="A57" s="99"/>
      <c r="B57" s="99"/>
      <c r="C57" s="309"/>
      <c r="D57" s="564"/>
      <c r="E57" s="1094"/>
      <c r="F57" s="1094"/>
      <c r="G57" s="1094"/>
      <c r="H57" s="1094"/>
      <c r="I57" s="1094"/>
      <c r="J57" s="1094"/>
      <c r="K57" s="1386"/>
      <c r="L57" s="390"/>
      <c r="M57" s="390"/>
      <c r="N57" s="390"/>
      <c r="O57" s="179"/>
      <c r="P57" s="23"/>
      <c r="Q57" s="784"/>
      <c r="R57" s="784"/>
      <c r="S57" s="59"/>
      <c r="T57" s="66"/>
      <c r="U57" s="258"/>
      <c r="V57" s="338"/>
      <c r="W57" s="263"/>
      <c r="X57" s="337"/>
      <c r="Y57" s="337"/>
      <c r="Z57" s="662"/>
      <c r="AA57" s="660"/>
      <c r="AB57" s="511"/>
      <c r="AC57" s="687"/>
      <c r="AD57" s="687"/>
      <c r="AE57" s="687"/>
      <c r="AF57" s="687"/>
      <c r="AG57" s="687"/>
      <c r="AH57" s="666"/>
      <c r="AI57" s="275"/>
      <c r="AJ57" s="665"/>
      <c r="AK57" s="379"/>
      <c r="AL57" s="29"/>
      <c r="AM57" s="29"/>
      <c r="AN57" s="29"/>
      <c r="AO57" s="685"/>
      <c r="AP57" s="174"/>
      <c r="AQ57" s="1416"/>
      <c r="AR57" s="1416"/>
      <c r="AS57" s="766"/>
      <c r="AT57" s="984"/>
      <c r="AU57" s="376"/>
      <c r="AV57" s="99"/>
      <c r="AW57" s="16"/>
      <c r="AX57" s="16"/>
      <c r="AY57" s="14"/>
      <c r="AZ57" s="14"/>
      <c r="BA57" s="1094"/>
      <c r="BB57" s="1094"/>
      <c r="BC57" s="1094"/>
      <c r="BD57" s="1094"/>
      <c r="BE57" s="1094"/>
      <c r="BF57" s="1094"/>
      <c r="BG57" s="1094"/>
      <c r="BH57" s="377"/>
      <c r="BI57" s="377"/>
      <c r="BJ57" s="377"/>
      <c r="BK57" s="99"/>
      <c r="BL57" s="377"/>
      <c r="BM57" s="377"/>
      <c r="BN57" s="15"/>
      <c r="BO57" s="418"/>
      <c r="BP57" s="842"/>
      <c r="BQ57" s="16"/>
      <c r="BR57" s="16"/>
      <c r="BS57" s="16"/>
      <c r="BT57" s="1253"/>
      <c r="BU57" s="1246"/>
      <c r="BV57" s="406"/>
      <c r="BW57" s="407"/>
      <c r="BX57" s="377"/>
      <c r="BY57" s="18"/>
      <c r="BZ57" s="18"/>
      <c r="CA57" s="20"/>
      <c r="CB57" s="20"/>
      <c r="CC57" s="266"/>
      <c r="CD57" s="267"/>
      <c r="CE57" s="99"/>
      <c r="CF57" s="17"/>
      <c r="CG57" s="377"/>
      <c r="CH57" s="103"/>
      <c r="CI57" s="99"/>
      <c r="CJ57" s="20"/>
      <c r="CK57" s="691"/>
      <c r="CL57" s="419"/>
      <c r="CM57" s="468"/>
      <c r="CN57" s="21"/>
      <c r="CO57" s="21"/>
      <c r="CP57" s="21"/>
      <c r="CQ57" s="53"/>
      <c r="CR57" s="378"/>
      <c r="CS57" s="21"/>
      <c r="CT57" s="16"/>
      <c r="CU57" s="154"/>
      <c r="CV57" s="693"/>
      <c r="CW57" s="49"/>
      <c r="CX57" s="49"/>
      <c r="CY57" s="49"/>
      <c r="CZ57" s="378"/>
      <c r="DA57" s="98"/>
      <c r="DB57" s="99"/>
      <c r="DC57" s="53"/>
      <c r="DD57" s="645"/>
      <c r="DE57" s="13"/>
      <c r="DF57" s="24"/>
      <c r="DG57" s="24"/>
      <c r="DH57" s="51"/>
      <c r="DI57" s="8"/>
      <c r="DJ57" s="644"/>
      <c r="DK57" s="22"/>
      <c r="DL57" s="22"/>
      <c r="DM57" s="22"/>
      <c r="DN57" s="138"/>
      <c r="DO57" s="99"/>
      <c r="DP57" s="22"/>
      <c r="DQ57" s="8"/>
      <c r="DR57" s="32"/>
      <c r="DS57" s="99"/>
      <c r="DT57" s="8"/>
      <c r="DU57" s="8"/>
      <c r="DV57" s="235"/>
      <c r="DW57" s="8"/>
      <c r="DX57" s="411"/>
      <c r="DY57" s="513"/>
      <c r="DZ57" s="513"/>
      <c r="EA57" s="386"/>
      <c r="EB57" s="504"/>
      <c r="EC57" s="425"/>
      <c r="ED57" s="425"/>
      <c r="EE57" s="425"/>
      <c r="EF57" s="425"/>
      <c r="EG57" s="425"/>
      <c r="EH57" s="425"/>
      <c r="EI57" s="425"/>
      <c r="EJ57" s="425"/>
      <c r="EK57" s="425"/>
      <c r="EL57" s="425"/>
      <c r="EM57" s="425"/>
      <c r="EN57" s="425"/>
      <c r="EO57" s="425"/>
      <c r="EP57" s="425"/>
      <c r="EQ57"/>
    </row>
    <row r="58" spans="1:155" ht="11" customHeight="1">
      <c r="A58" s="99"/>
      <c r="B58" s="99"/>
      <c r="C58" s="236"/>
      <c r="D58" s="401"/>
      <c r="E58" s="1094"/>
      <c r="F58" s="1094"/>
      <c r="G58" s="1094"/>
      <c r="H58" s="1094"/>
      <c r="I58" s="1094"/>
      <c r="J58" s="1094"/>
      <c r="K58" s="1386"/>
      <c r="L58" s="390"/>
      <c r="M58" s="390"/>
      <c r="N58" s="390"/>
      <c r="O58" s="390"/>
      <c r="P58" s="23"/>
      <c r="Q58" s="382"/>
      <c r="R58" s="382"/>
      <c r="S58" s="59"/>
      <c r="T58" s="66"/>
      <c r="U58" s="258"/>
      <c r="V58" s="338"/>
      <c r="W58" s="263"/>
      <c r="X58" s="337"/>
      <c r="Y58" s="337"/>
      <c r="Z58" s="387"/>
      <c r="AA58" s="512"/>
      <c r="AB58" s="512"/>
      <c r="AC58" s="512"/>
      <c r="AD58" s="512"/>
      <c r="AE58" s="512"/>
      <c r="AF58" s="512"/>
      <c r="AG58" s="512"/>
      <c r="AH58" s="512"/>
      <c r="AI58" s="275"/>
      <c r="AJ58" s="274"/>
      <c r="AK58" s="379"/>
      <c r="AL58" s="29"/>
      <c r="AM58" s="29"/>
      <c r="AN58" s="29"/>
      <c r="AO58" s="58"/>
      <c r="AP58" s="174"/>
      <c r="AQ58" s="1218"/>
      <c r="AR58" s="1218"/>
      <c r="AS58" s="556"/>
      <c r="AT58" s="125"/>
      <c r="AU58" s="376"/>
      <c r="AV58" s="377"/>
      <c r="AW58" s="16"/>
      <c r="AX58" s="16"/>
      <c r="AY58" s="14"/>
      <c r="AZ58" s="14"/>
      <c r="BA58" s="1094"/>
      <c r="BB58" s="1094"/>
      <c r="BC58" s="1094"/>
      <c r="BD58" s="1094"/>
      <c r="BE58" s="1094"/>
      <c r="BF58" s="1094"/>
      <c r="BG58" s="1094"/>
      <c r="BH58" s="377"/>
      <c r="BI58" s="377"/>
      <c r="BJ58" s="377"/>
      <c r="BK58" s="99"/>
      <c r="BL58" s="377"/>
      <c r="BM58" s="377"/>
      <c r="BN58" s="15"/>
      <c r="BO58" s="418"/>
      <c r="BP58" s="418"/>
      <c r="BQ58" s="16"/>
      <c r="BR58" s="16"/>
      <c r="BS58" s="16"/>
      <c r="BT58" s="16"/>
      <c r="BU58" s="408"/>
      <c r="BV58" s="406"/>
      <c r="BW58" s="407"/>
      <c r="BX58" s="377"/>
      <c r="BY58" s="18"/>
      <c r="BZ58" s="18"/>
      <c r="CA58" s="20"/>
      <c r="CB58" s="20"/>
      <c r="CC58" s="466"/>
      <c r="CD58" s="467"/>
      <c r="CE58" s="99"/>
      <c r="CF58" s="17"/>
      <c r="CG58" s="377"/>
      <c r="CH58" s="103"/>
      <c r="CI58" s="99"/>
      <c r="CJ58" s="20"/>
      <c r="CK58" s="419"/>
      <c r="CL58" s="419"/>
      <c r="CM58" s="468"/>
      <c r="CN58" s="21"/>
      <c r="CO58" s="21"/>
      <c r="CP58" s="21"/>
      <c r="CQ58" s="53"/>
      <c r="CR58" s="378"/>
      <c r="CS58" s="21"/>
      <c r="CT58" s="16"/>
      <c r="CU58" s="154"/>
      <c r="CV58" s="378"/>
      <c r="CW58" s="49"/>
      <c r="CX58" s="49"/>
      <c r="CY58" s="49"/>
      <c r="CZ58" s="378"/>
      <c r="DA58" s="98"/>
      <c r="DB58" s="99"/>
      <c r="DC58" s="53"/>
      <c r="DD58" s="378"/>
      <c r="DE58" s="13"/>
      <c r="DF58" s="24"/>
      <c r="DG58" s="24"/>
      <c r="DH58" s="51"/>
      <c r="DI58" s="8"/>
      <c r="DJ58" s="644"/>
      <c r="DK58" s="22"/>
      <c r="DL58" s="22"/>
      <c r="DM58" s="22"/>
      <c r="DN58" s="138"/>
      <c r="DO58" s="99"/>
      <c r="DP58" s="22"/>
      <c r="DQ58" s="8"/>
      <c r="DR58" s="32"/>
      <c r="DS58" s="99"/>
      <c r="DT58" s="8"/>
      <c r="DU58" s="8"/>
      <c r="DV58" s="235"/>
      <c r="DW58" s="8"/>
      <c r="DX58" s="411"/>
      <c r="DY58" s="380"/>
      <c r="DZ58" s="380"/>
      <c r="EA58" s="386"/>
      <c r="EB58" s="504"/>
      <c r="EC58" s="425"/>
      <c r="ED58" s="425"/>
      <c r="EE58" s="425"/>
      <c r="EF58" s="425"/>
      <c r="EG58" s="425"/>
      <c r="EH58" s="425"/>
      <c r="EI58" s="425"/>
      <c r="EJ58" s="425"/>
      <c r="EK58" s="425"/>
      <c r="EL58" s="425"/>
      <c r="EM58" s="425"/>
      <c r="EN58" s="425"/>
      <c r="EO58" s="425"/>
      <c r="EP58" s="425"/>
      <c r="EQ58"/>
    </row>
    <row r="59" spans="1:155" ht="38" customHeight="1" thickBot="1">
      <c r="A59" s="1"/>
      <c r="B59" s="1"/>
      <c r="C59" s="1"/>
      <c r="D59" s="1"/>
      <c r="E59" s="9"/>
      <c r="F59" s="9"/>
      <c r="G59" s="9"/>
      <c r="H59" s="9"/>
      <c r="I59" s="9"/>
      <c r="J59" s="9"/>
      <c r="K59" s="33"/>
      <c r="L59" s="1"/>
      <c r="M59" s="1"/>
      <c r="N59" s="1"/>
      <c r="O59" s="1"/>
      <c r="P59" s="62"/>
      <c r="Q59" s="1"/>
      <c r="R59" s="1"/>
      <c r="S59" s="1"/>
      <c r="T59" s="9"/>
      <c r="U59" s="9"/>
      <c r="V59" s="9"/>
      <c r="W59" s="1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187"/>
      <c r="AL59" s="9"/>
      <c r="AM59" s="9"/>
      <c r="AN59" s="9"/>
      <c r="AO59" s="9"/>
      <c r="AP59" s="9"/>
      <c r="AQ59" s="9"/>
      <c r="AR59" s="9"/>
      <c r="AS59" s="9"/>
      <c r="AT59" s="9"/>
      <c r="AU59" s="4"/>
      <c r="AV59" s="1"/>
      <c r="AW59" s="1"/>
      <c r="AX59" s="10"/>
      <c r="AY59" s="10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33"/>
      <c r="BL59" s="9"/>
      <c r="BM59" s="33"/>
      <c r="BN59" s="33"/>
      <c r="BO59" s="9"/>
      <c r="BP59" s="9"/>
      <c r="BQ59" s="9"/>
      <c r="BR59" s="10"/>
      <c r="BS59" s="10"/>
      <c r="BT59" s="10"/>
      <c r="BU59" s="10"/>
      <c r="BV59" s="9"/>
      <c r="BW59" s="9"/>
      <c r="BX59" s="9"/>
      <c r="BY59" s="9"/>
      <c r="BZ59" s="9"/>
      <c r="CA59" s="9"/>
      <c r="CB59" s="9"/>
      <c r="CC59" s="9"/>
      <c r="CD59" s="9"/>
      <c r="CE59" s="10"/>
      <c r="CF59" s="10"/>
      <c r="CG59" s="9"/>
      <c r="CH59" s="9"/>
      <c r="CI59" s="9"/>
      <c r="CJ59" s="9"/>
      <c r="CK59" s="9"/>
      <c r="CL59" s="9"/>
      <c r="CM59" s="10"/>
      <c r="CN59" s="10"/>
      <c r="CO59" s="10"/>
      <c r="CP59" s="10"/>
      <c r="CQ59" s="10"/>
      <c r="CR59" s="10"/>
      <c r="CS59" s="10"/>
      <c r="CT59" s="9"/>
      <c r="CU59" s="9"/>
      <c r="CV59" s="9"/>
      <c r="CW59" s="9"/>
      <c r="CX59" s="55"/>
      <c r="CY59" s="55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1"/>
      <c r="DW59" s="187"/>
      <c r="DX59" s="187"/>
      <c r="DY59" s="187"/>
      <c r="DZ59" s="187"/>
      <c r="EA59" s="187"/>
      <c r="EB59" s="187"/>
      <c r="EC59" s="187"/>
      <c r="ED59" s="187"/>
      <c r="EE59" s="187"/>
      <c r="EF59" s="187"/>
      <c r="EG59" s="187"/>
      <c r="EH59" s="187"/>
      <c r="EI59" s="187"/>
      <c r="EJ59" s="187"/>
      <c r="EK59" s="187"/>
      <c r="EL59" s="187"/>
      <c r="EM59" s="187"/>
      <c r="EN59" s="1034"/>
      <c r="EO59" s="1035"/>
      <c r="EP59" s="1035"/>
      <c r="EQ59"/>
    </row>
    <row r="60" spans="1:155">
      <c r="P60" s="1282"/>
      <c r="Q60" s="184" t="s">
        <v>416</v>
      </c>
      <c r="R60" s="1273">
        <v>189000</v>
      </c>
      <c r="S60" s="185"/>
      <c r="U60" s="412" t="s">
        <v>477</v>
      </c>
      <c r="V60" s="31" t="s">
        <v>478</v>
      </c>
      <c r="W60" s="412" t="s">
        <v>473</v>
      </c>
      <c r="X60" s="31" t="s">
        <v>479</v>
      </c>
      <c r="Y60" s="31" t="s">
        <v>480</v>
      </c>
      <c r="Z60" s="31" t="s">
        <v>481</v>
      </c>
      <c r="AA60" s="31" t="s">
        <v>482</v>
      </c>
      <c r="AB60" s="31" t="s">
        <v>483</v>
      </c>
      <c r="AC60" s="31" t="s">
        <v>484</v>
      </c>
      <c r="AD60" s="31" t="s">
        <v>485</v>
      </c>
      <c r="AE60" s="31" t="s">
        <v>486</v>
      </c>
      <c r="AF60" s="31" t="s">
        <v>487</v>
      </c>
      <c r="AG60" s="31" t="s">
        <v>488</v>
      </c>
      <c r="AH60" s="31" t="s">
        <v>489</v>
      </c>
      <c r="AI60" s="412" t="s">
        <v>490</v>
      </c>
      <c r="AJ60" s="412" t="s">
        <v>491</v>
      </c>
      <c r="AK60" s="412" t="s">
        <v>492</v>
      </c>
      <c r="AL60" s="412" t="s">
        <v>493</v>
      </c>
      <c r="AM60" s="412" t="s">
        <v>494</v>
      </c>
      <c r="AN60" s="412" t="s">
        <v>495</v>
      </c>
      <c r="AO60" s="412" t="s">
        <v>496</v>
      </c>
      <c r="AP60" s="412" t="s">
        <v>497</v>
      </c>
      <c r="AQ60" s="412" t="s">
        <v>495</v>
      </c>
      <c r="AR60" s="412"/>
      <c r="AS60" s="412"/>
      <c r="AV60" s="11"/>
      <c r="AW60" s="11"/>
      <c r="AX60" s="11"/>
      <c r="AY60" s="11"/>
      <c r="AZ60" s="11"/>
      <c r="BA60"/>
      <c r="BB60"/>
      <c r="BC60" s="11"/>
      <c r="BD60" s="11"/>
      <c r="BE60" s="5"/>
      <c r="BK60" s="12"/>
      <c r="BL60" s="12"/>
      <c r="BN60"/>
      <c r="BO60"/>
      <c r="BQ60"/>
      <c r="BR60"/>
      <c r="BS60"/>
      <c r="BT60" s="3"/>
      <c r="BU60" s="11"/>
      <c r="BV60" s="3"/>
      <c r="BW60" s="3"/>
      <c r="CA60" s="12"/>
      <c r="CB60" s="12"/>
      <c r="CC60" s="12"/>
      <c r="CD60" s="12"/>
      <c r="CE60" s="12"/>
      <c r="CF60" s="11"/>
      <c r="CG60" s="11"/>
      <c r="CP60" s="11"/>
      <c r="CQ60" s="11"/>
      <c r="CR60" s="11"/>
      <c r="CS60" s="11"/>
      <c r="CT60" s="11"/>
      <c r="CV60" s="12"/>
      <c r="CW60" s="12"/>
      <c r="CX60" s="12"/>
      <c r="CY60" s="12"/>
      <c r="CZ60" s="12"/>
      <c r="DA60" s="12"/>
      <c r="DB60" s="12"/>
      <c r="DH60" s="56"/>
      <c r="DY60" s="11"/>
      <c r="DZ60" s="11"/>
      <c r="EA60" s="11"/>
      <c r="EB60" s="11"/>
      <c r="EC60" s="11"/>
      <c r="ED60" s="11"/>
      <c r="EE60"/>
      <c r="EQ60"/>
      <c r="ES60" s="833"/>
      <c r="EV60" s="833"/>
      <c r="EY60" s="833"/>
    </row>
    <row r="61" spans="1:155" ht="40" customHeight="1">
      <c r="P61" s="1282"/>
      <c r="Q61" s="1269" t="s">
        <v>419</v>
      </c>
      <c r="R61" s="1276">
        <v>5</v>
      </c>
      <c r="S61" s="1270"/>
      <c r="U61" s="1265"/>
      <c r="V61" s="1265"/>
      <c r="W61" s="1265"/>
      <c r="X61" s="1265"/>
      <c r="Y61" s="1265"/>
      <c r="Z61" s="1265"/>
      <c r="AA61" s="1265"/>
      <c r="AB61" s="1265"/>
      <c r="AC61" s="1265"/>
      <c r="AD61" s="1265"/>
      <c r="AE61" s="1265"/>
      <c r="AF61" s="1265"/>
      <c r="AG61" s="1265"/>
      <c r="AH61" s="1265"/>
      <c r="AI61" s="1265"/>
      <c r="AJ61" s="1265"/>
      <c r="AK61" s="1265"/>
      <c r="AL61" s="1265"/>
      <c r="AM61" s="1265"/>
      <c r="AN61" s="1265"/>
      <c r="AO61" s="1265"/>
      <c r="AP61" s="1265"/>
      <c r="AQ61" s="1265"/>
      <c r="AR61" s="1265"/>
      <c r="AS61" s="1265"/>
      <c r="AV61" s="11"/>
      <c r="AW61" s="11"/>
      <c r="AX61" s="11"/>
      <c r="AY61" s="11"/>
      <c r="AZ61" s="11"/>
      <c r="BA61"/>
      <c r="BB61"/>
      <c r="BC61" s="11"/>
      <c r="BD61" s="11"/>
      <c r="BE61" s="5"/>
      <c r="BK61" s="12"/>
      <c r="BL61" s="12"/>
      <c r="BN61"/>
      <c r="BO61"/>
      <c r="BQ61"/>
      <c r="BR61"/>
      <c r="BS61"/>
      <c r="BT61" s="3"/>
      <c r="BU61" s="11"/>
      <c r="BV61" s="3"/>
      <c r="BW61" s="3"/>
      <c r="CA61" s="12"/>
      <c r="CB61" s="12"/>
      <c r="CC61" s="12"/>
      <c r="CD61" s="12"/>
      <c r="CE61" s="12"/>
      <c r="CF61" s="11"/>
      <c r="CG61" s="11"/>
      <c r="CP61" s="11"/>
      <c r="CQ61" s="11"/>
      <c r="CR61" s="11"/>
      <c r="CS61" s="11"/>
      <c r="CT61" s="11"/>
      <c r="CV61" s="12"/>
      <c r="CW61" s="12"/>
      <c r="CX61" s="12"/>
      <c r="CY61" s="12"/>
      <c r="CZ61" s="12"/>
      <c r="DA61" s="12"/>
      <c r="DB61" s="12"/>
      <c r="DH61" s="56"/>
      <c r="DY61" s="11"/>
      <c r="DZ61" s="11"/>
      <c r="EA61" s="11"/>
      <c r="EB61" s="11"/>
      <c r="EC61" s="11"/>
      <c r="ED61" s="11"/>
      <c r="EE61"/>
      <c r="EQ61"/>
      <c r="ES61" s="833"/>
      <c r="EV61" s="833"/>
      <c r="EY61" s="833"/>
    </row>
    <row r="62" spans="1:155" ht="32" customHeight="1">
      <c r="P62" s="1282"/>
      <c r="Q62" s="1269" t="s">
        <v>420</v>
      </c>
      <c r="R62" s="1274">
        <v>0.25</v>
      </c>
      <c r="S62" s="1270"/>
      <c r="U62" s="1264">
        <f t="shared" ref="U62:AQ62" si="126">COUNTIF($P$7:$P$56,U63)</f>
        <v>3</v>
      </c>
      <c r="V62" s="1264">
        <f t="shared" si="126"/>
        <v>6</v>
      </c>
      <c r="W62" s="1264">
        <f t="shared" si="126"/>
        <v>1</v>
      </c>
      <c r="X62" s="1264">
        <f t="shared" si="126"/>
        <v>2</v>
      </c>
      <c r="Y62" s="1264">
        <f t="shared" si="126"/>
        <v>1</v>
      </c>
      <c r="Z62" s="1264">
        <f t="shared" si="126"/>
        <v>1</v>
      </c>
      <c r="AA62" s="1264">
        <f t="shared" si="126"/>
        <v>1</v>
      </c>
      <c r="AB62" s="1264">
        <f t="shared" si="126"/>
        <v>0</v>
      </c>
      <c r="AC62" s="1264">
        <f t="shared" si="126"/>
        <v>2</v>
      </c>
      <c r="AD62" s="1264">
        <f t="shared" si="126"/>
        <v>2</v>
      </c>
      <c r="AE62" s="1264">
        <f t="shared" si="126"/>
        <v>1</v>
      </c>
      <c r="AF62" s="1264">
        <f t="shared" si="126"/>
        <v>3</v>
      </c>
      <c r="AG62" s="1264">
        <f t="shared" si="126"/>
        <v>4</v>
      </c>
      <c r="AH62" s="1264">
        <f t="shared" si="126"/>
        <v>3</v>
      </c>
      <c r="AI62" s="1264">
        <f t="shared" si="126"/>
        <v>7</v>
      </c>
      <c r="AJ62" s="1264">
        <f t="shared" si="126"/>
        <v>2</v>
      </c>
      <c r="AK62" s="1264">
        <f t="shared" si="126"/>
        <v>2</v>
      </c>
      <c r="AL62" s="1264">
        <f t="shared" si="126"/>
        <v>6</v>
      </c>
      <c r="AM62" s="1264">
        <f t="shared" si="126"/>
        <v>0</v>
      </c>
      <c r="AN62" s="1264">
        <f t="shared" si="126"/>
        <v>1</v>
      </c>
      <c r="AO62" s="1264">
        <f t="shared" si="126"/>
        <v>1</v>
      </c>
      <c r="AP62" s="1264">
        <f t="shared" si="126"/>
        <v>1</v>
      </c>
      <c r="AQ62" s="1264">
        <f t="shared" si="126"/>
        <v>1</v>
      </c>
      <c r="AR62" s="1264"/>
      <c r="AT62" s="1266">
        <f>SUM(U62:AQ62)</f>
        <v>51</v>
      </c>
      <c r="AV62" s="11"/>
      <c r="AW62" s="11"/>
      <c r="AX62" s="11"/>
      <c r="AY62" s="11"/>
      <c r="AZ62" s="11"/>
      <c r="BB62"/>
      <c r="BC62" s="11"/>
      <c r="BD62" s="11"/>
      <c r="BE62" s="5"/>
      <c r="BF62" s="5"/>
      <c r="BK62" s="12"/>
      <c r="BL62" s="12"/>
      <c r="BN62"/>
      <c r="BO62"/>
      <c r="BQ62"/>
      <c r="BR62"/>
      <c r="BS62"/>
      <c r="BT62" s="11"/>
      <c r="BU62"/>
      <c r="BV62" s="3"/>
      <c r="BW62" s="3"/>
      <c r="CB62" s="12"/>
      <c r="CC62" s="12"/>
      <c r="CD62" s="12"/>
      <c r="CE62" s="12"/>
      <c r="CF62" s="11"/>
      <c r="CG62" s="11"/>
      <c r="CP62" s="11"/>
      <c r="CQ62" s="11"/>
      <c r="CR62" s="11"/>
      <c r="CS62" s="11"/>
      <c r="CT62" s="11"/>
      <c r="CV62" s="12"/>
      <c r="CW62" s="12"/>
      <c r="CX62" s="12"/>
      <c r="CY62" s="12"/>
      <c r="CZ62" s="12"/>
      <c r="DA62" s="12"/>
      <c r="DB62" s="12"/>
      <c r="DG62" s="56"/>
      <c r="DH62" s="56"/>
      <c r="DY62" s="11"/>
      <c r="DZ62" s="11"/>
      <c r="EA62" s="11"/>
      <c r="EB62" s="11"/>
      <c r="EC62" s="11"/>
      <c r="ED62" s="11"/>
      <c r="EE62"/>
      <c r="EO62"/>
      <c r="EP62" s="833"/>
      <c r="EQ62"/>
      <c r="ES62" s="833"/>
      <c r="EV62" s="833"/>
    </row>
    <row r="63" spans="1:155" ht="28.5" customHeight="1" thickBot="1">
      <c r="P63" s="1282"/>
      <c r="Q63" s="1286"/>
      <c r="R63" s="1275"/>
      <c r="S63" s="1287"/>
      <c r="U63" s="1245" t="s">
        <v>465</v>
      </c>
      <c r="V63" s="1245" t="s">
        <v>458</v>
      </c>
      <c r="W63" s="1245" t="s">
        <v>473</v>
      </c>
      <c r="X63" s="1245" t="s">
        <v>472</v>
      </c>
      <c r="Y63" s="1245" t="s">
        <v>463</v>
      </c>
      <c r="Z63" s="1245" t="s">
        <v>469</v>
      </c>
      <c r="AA63" s="1245" t="s">
        <v>475</v>
      </c>
      <c r="AB63" s="1245" t="s">
        <v>474</v>
      </c>
      <c r="AC63" s="1245" t="s">
        <v>462</v>
      </c>
      <c r="AD63" s="1245" t="s">
        <v>467</v>
      </c>
      <c r="AE63" s="1245" t="s">
        <v>476</v>
      </c>
      <c r="AF63" s="1245" t="s">
        <v>471</v>
      </c>
      <c r="AG63" s="1245" t="s">
        <v>464</v>
      </c>
      <c r="AH63" s="1245" t="s">
        <v>459</v>
      </c>
      <c r="AI63" s="1245" t="s">
        <v>168</v>
      </c>
      <c r="AJ63" s="1245" t="s">
        <v>461</v>
      </c>
      <c r="AK63" s="1245" t="s">
        <v>468</v>
      </c>
      <c r="AL63" s="1245" t="s">
        <v>209</v>
      </c>
      <c r="AM63" s="1245" t="s">
        <v>498</v>
      </c>
      <c r="AN63" s="1245" t="s">
        <v>466</v>
      </c>
      <c r="AO63" s="1245" t="s">
        <v>460</v>
      </c>
      <c r="AP63" s="1245" t="s">
        <v>470</v>
      </c>
      <c r="AQ63" s="1245" t="s">
        <v>466</v>
      </c>
      <c r="AR63" s="1245"/>
      <c r="AV63" s="11"/>
      <c r="AW63" s="11"/>
      <c r="AX63" s="11"/>
      <c r="AY63" s="11"/>
      <c r="AZ63" s="271"/>
      <c r="BA63" s="271"/>
      <c r="BB63"/>
      <c r="BC63" s="271"/>
      <c r="BD63" s="11"/>
      <c r="BE63" s="5"/>
      <c r="BF63" s="5"/>
      <c r="BK63" s="12"/>
      <c r="BL63" s="12"/>
      <c r="BN63"/>
      <c r="BO63"/>
      <c r="BQ63"/>
      <c r="BR63"/>
      <c r="BS63"/>
      <c r="BT63" s="11"/>
      <c r="BU63"/>
      <c r="BV63" s="3"/>
      <c r="BW63" s="3"/>
      <c r="BZ63" s="441"/>
      <c r="CA63" s="441"/>
      <c r="CB63" s="12"/>
      <c r="CC63" s="12"/>
      <c r="CD63" s="12"/>
      <c r="CE63" s="12"/>
      <c r="CF63" s="11"/>
      <c r="CG63" s="11"/>
      <c r="CP63" s="11"/>
      <c r="CQ63" s="11"/>
      <c r="CR63" s="11"/>
      <c r="CS63" s="11"/>
      <c r="CT63" s="11"/>
      <c r="CV63" s="12"/>
      <c r="CW63" s="12"/>
      <c r="CX63" s="12"/>
      <c r="CY63" s="12"/>
      <c r="CZ63" s="12"/>
      <c r="DA63" s="12"/>
      <c r="DB63" s="12"/>
      <c r="DG63" s="56"/>
      <c r="DH63" s="56"/>
      <c r="DY63" s="11"/>
      <c r="DZ63" s="11"/>
      <c r="EA63" s="11"/>
      <c r="EB63" s="11"/>
      <c r="EC63" s="11"/>
      <c r="ED63" s="11"/>
      <c r="EE63"/>
      <c r="EO63"/>
      <c r="EP63" s="833"/>
      <c r="EQ63"/>
      <c r="ES63" s="833"/>
      <c r="EV63" s="833"/>
    </row>
    <row r="64" spans="1:155" ht="23" customHeight="1">
      <c r="P64" s="1281" t="s">
        <v>244</v>
      </c>
      <c r="Q64" s="1289" t="s">
        <v>499</v>
      </c>
      <c r="R64" s="1290" t="s">
        <v>500</v>
      </c>
      <c r="S64" s="1291">
        <v>10</v>
      </c>
      <c r="U64" s="1059">
        <f t="shared" ref="U64:AQ64" si="127">SUMIF($P$7:$P$56, U$63, $AU$7:$AU$56)/COUNTIF($P$7:$P$56, U$63)</f>
        <v>0.66106628611023088</v>
      </c>
      <c r="V64" s="1059">
        <f t="shared" si="127"/>
        <v>0.74054977230780972</v>
      </c>
      <c r="W64" s="1059">
        <f t="shared" si="127"/>
        <v>0.50990280556732104</v>
      </c>
      <c r="X64" s="1059">
        <f t="shared" si="127"/>
        <v>2.0140256441552924</v>
      </c>
      <c r="Y64" s="1059">
        <f t="shared" si="127"/>
        <v>0.97882279972525765</v>
      </c>
      <c r="Z64" s="1059">
        <f t="shared" si="127"/>
        <v>1.217816134700866</v>
      </c>
      <c r="AA64" s="1059">
        <f t="shared" si="127"/>
        <v>2.2261947137493685</v>
      </c>
      <c r="AB64" s="1059" t="e">
        <f t="shared" si="127"/>
        <v>#DIV/0!</v>
      </c>
      <c r="AC64" s="1059">
        <f t="shared" si="127"/>
        <v>2.2363543565974537</v>
      </c>
      <c r="AD64" s="1059">
        <f t="shared" si="127"/>
        <v>0.86252273059497564</v>
      </c>
      <c r="AE64" s="1059">
        <f t="shared" si="127"/>
        <v>0.68448903664507366</v>
      </c>
      <c r="AF64" s="1059">
        <f t="shared" si="127"/>
        <v>1.3973606218016188</v>
      </c>
      <c r="AG64" s="1059">
        <f t="shared" si="127"/>
        <v>0.70595954761062851</v>
      </c>
      <c r="AH64" s="1059">
        <f t="shared" si="127"/>
        <v>0.43759065493119031</v>
      </c>
      <c r="AI64" s="1059">
        <f t="shared" si="127"/>
        <v>1.8037950505023344</v>
      </c>
      <c r="AJ64" s="1059">
        <f t="shared" si="127"/>
        <v>1.3695577015450699</v>
      </c>
      <c r="AK64" s="1059">
        <f t="shared" si="127"/>
        <v>3.0131155150792361</v>
      </c>
      <c r="AL64" s="1059">
        <f t="shared" si="127"/>
        <v>0.86124528563710812</v>
      </c>
      <c r="AM64" s="1059" t="e">
        <f t="shared" si="127"/>
        <v>#DIV/0!</v>
      </c>
      <c r="AN64" s="1059">
        <f t="shared" si="127"/>
        <v>0.4992363028321245</v>
      </c>
      <c r="AO64" s="1059">
        <f t="shared" si="127"/>
        <v>0.37042177836366325</v>
      </c>
      <c r="AP64" s="1059">
        <f t="shared" si="127"/>
        <v>0.80855076225576938</v>
      </c>
      <c r="AQ64" s="1059">
        <f t="shared" si="127"/>
        <v>0.4992363028321245</v>
      </c>
      <c r="AR64" s="1059"/>
      <c r="AS64" s="188"/>
      <c r="AV64" s="11"/>
      <c r="AW64" s="11"/>
      <c r="AX64" s="11"/>
      <c r="AY64" s="11"/>
      <c r="AZ64" s="11"/>
      <c r="BB64"/>
      <c r="BC64" s="11"/>
      <c r="BD64" s="11"/>
      <c r="BE64" s="5"/>
      <c r="BF64" s="5"/>
      <c r="BK64" s="12"/>
      <c r="BL64" s="12"/>
      <c r="BN64"/>
      <c r="BO64"/>
      <c r="BQ64"/>
      <c r="BR64"/>
      <c r="BS64"/>
      <c r="BT64" s="11"/>
      <c r="BU64"/>
      <c r="BV64" s="3"/>
      <c r="BW64" s="3"/>
      <c r="BZ64" s="441"/>
      <c r="CA64" s="441"/>
      <c r="CB64" s="12"/>
      <c r="CC64" s="12"/>
      <c r="CD64" s="12"/>
      <c r="CE64" s="12"/>
      <c r="CF64" s="11"/>
      <c r="CG64" s="11"/>
      <c r="CP64" s="11"/>
      <c r="CQ64" s="11"/>
      <c r="CR64" s="11"/>
      <c r="CS64" s="11"/>
      <c r="CT64" s="11"/>
      <c r="CV64" s="12"/>
      <c r="CW64" s="12"/>
      <c r="CX64" s="12"/>
      <c r="CY64" s="12"/>
      <c r="CZ64" s="12"/>
      <c r="DA64" s="12"/>
      <c r="DB64" s="12"/>
      <c r="DG64" s="56"/>
      <c r="DH64" s="56"/>
      <c r="DY64" s="11"/>
      <c r="DZ64" s="11"/>
      <c r="EA64" s="11"/>
      <c r="EB64" s="11"/>
      <c r="EC64" s="11"/>
      <c r="ED64" s="11"/>
      <c r="EE64"/>
      <c r="EO64"/>
      <c r="EP64" s="833"/>
      <c r="EQ64"/>
      <c r="ES64" s="833"/>
      <c r="EV64" s="833"/>
    </row>
    <row r="65" spans="1:154" ht="23" customHeight="1">
      <c r="P65" s="1281" t="s">
        <v>245</v>
      </c>
      <c r="Q65" s="182" t="s">
        <v>422</v>
      </c>
      <c r="R65" s="1278"/>
      <c r="S65" s="1268">
        <v>100</v>
      </c>
      <c r="U65" s="1059"/>
      <c r="V65" s="1059"/>
      <c r="W65" s="1059"/>
      <c r="X65" s="1059"/>
      <c r="Y65" s="1059"/>
      <c r="Z65" s="1059"/>
      <c r="AA65" s="1059"/>
      <c r="AB65" s="1059"/>
      <c r="AC65" s="1059"/>
      <c r="AD65" s="1059"/>
      <c r="AE65" s="1059"/>
      <c r="AF65" s="1059"/>
      <c r="AG65" s="1059"/>
      <c r="AH65" s="1059"/>
      <c r="AI65" s="1059"/>
      <c r="AJ65" s="1059"/>
      <c r="AK65" s="1059"/>
      <c r="AL65" s="1059"/>
      <c r="AM65" s="1059"/>
      <c r="AN65" s="1059"/>
      <c r="AO65" s="1059"/>
      <c r="AP65" s="1059"/>
      <c r="AQ65" s="1059"/>
      <c r="AR65" s="1059"/>
      <c r="AS65" s="188"/>
      <c r="AV65" s="11"/>
      <c r="AW65" s="11"/>
      <c r="AX65" s="11"/>
      <c r="AY65" s="11"/>
      <c r="AZ65" s="11"/>
      <c r="BB65"/>
      <c r="BC65" s="11"/>
      <c r="BD65" s="11"/>
      <c r="BE65" s="5"/>
      <c r="BF65" s="5"/>
      <c r="BK65" s="12"/>
      <c r="BL65" s="12"/>
      <c r="BN65"/>
      <c r="BO65"/>
      <c r="BQ65"/>
      <c r="BR65"/>
      <c r="BS65"/>
      <c r="BT65" s="11"/>
      <c r="BU65"/>
      <c r="BV65" s="3"/>
      <c r="BW65" s="3"/>
      <c r="BZ65" s="441"/>
      <c r="CA65" s="441"/>
      <c r="CB65" s="12"/>
      <c r="CC65" s="12"/>
      <c r="CD65" s="12"/>
      <c r="CE65" s="12"/>
      <c r="CF65" s="11"/>
      <c r="CG65" s="11"/>
      <c r="CP65" s="11"/>
      <c r="CQ65" s="11"/>
      <c r="CR65" s="11"/>
      <c r="CS65" s="11"/>
      <c r="CT65" s="11"/>
      <c r="CV65" s="12"/>
      <c r="CW65" s="12"/>
      <c r="CX65" s="12"/>
      <c r="CY65" s="12"/>
      <c r="CZ65" s="12"/>
      <c r="DA65" s="12"/>
      <c r="DB65" s="12"/>
      <c r="DG65" s="56"/>
      <c r="DH65" s="56"/>
      <c r="DY65" s="11"/>
      <c r="DZ65" s="11"/>
      <c r="EA65" s="11"/>
      <c r="EB65" s="11"/>
      <c r="EC65" s="11"/>
      <c r="ED65" s="11"/>
      <c r="EE65"/>
      <c r="EO65"/>
      <c r="EP65" s="833"/>
      <c r="EQ65"/>
      <c r="ES65" s="833"/>
      <c r="EV65" s="833"/>
    </row>
    <row r="66" spans="1:154" ht="23" customHeight="1">
      <c r="P66" s="1281" t="s">
        <v>246</v>
      </c>
      <c r="Q66" s="182" t="s">
        <v>423</v>
      </c>
      <c r="R66" s="1278"/>
      <c r="S66" s="1268">
        <v>30</v>
      </c>
      <c r="U66" s="1059"/>
      <c r="V66" s="1059"/>
      <c r="W66" s="1059"/>
      <c r="X66" s="1059"/>
      <c r="Y66" s="1059"/>
      <c r="Z66" s="1059"/>
      <c r="AA66" s="1059"/>
      <c r="AB66" s="1059"/>
      <c r="AC66" s="1059"/>
      <c r="AD66" s="1059"/>
      <c r="AE66" s="1059"/>
      <c r="AF66" s="1059"/>
      <c r="AG66" s="1059"/>
      <c r="AH66" s="1059"/>
      <c r="AI66" s="1059"/>
      <c r="AJ66" s="1059"/>
      <c r="AK66" s="1059"/>
      <c r="AL66" s="1059"/>
      <c r="AM66" s="1059"/>
      <c r="AN66" s="1059"/>
      <c r="AO66" s="1059"/>
      <c r="AP66" s="1059"/>
      <c r="AQ66" s="1059"/>
      <c r="AR66" s="1059"/>
      <c r="AS66" s="188"/>
      <c r="AV66" s="11"/>
      <c r="AW66" s="11"/>
      <c r="AX66" s="11"/>
      <c r="AY66" s="11"/>
      <c r="AZ66" s="11"/>
      <c r="BB66"/>
      <c r="BC66" s="11"/>
      <c r="BD66" s="11"/>
      <c r="BE66" s="5"/>
      <c r="BF66" s="5"/>
      <c r="BK66" s="12"/>
      <c r="BL66" s="12"/>
      <c r="BN66"/>
      <c r="BO66"/>
      <c r="BQ66"/>
      <c r="BR66"/>
      <c r="BS66"/>
      <c r="BT66" s="11"/>
      <c r="BU66"/>
      <c r="BV66" s="3"/>
      <c r="BW66" s="3"/>
      <c r="BZ66" s="441"/>
      <c r="CA66" s="441"/>
      <c r="CB66" s="12"/>
      <c r="CC66" s="12"/>
      <c r="CD66" s="12"/>
      <c r="CE66" s="12"/>
      <c r="CF66" s="11"/>
      <c r="CG66" s="11"/>
      <c r="CP66" s="11"/>
      <c r="CQ66" s="11"/>
      <c r="CR66" s="11"/>
      <c r="CS66" s="11"/>
      <c r="CT66" s="11"/>
      <c r="CV66" s="12"/>
      <c r="CW66" s="12"/>
      <c r="CX66" s="12"/>
      <c r="CY66" s="12"/>
      <c r="CZ66" s="12"/>
      <c r="DA66" s="12"/>
      <c r="DB66" s="12"/>
      <c r="DG66" s="56"/>
      <c r="DH66" s="56"/>
      <c r="DY66" s="11"/>
      <c r="DZ66" s="11"/>
      <c r="EA66" s="11"/>
      <c r="EB66" s="11"/>
      <c r="EC66" s="11"/>
      <c r="ED66" s="11"/>
      <c r="EE66"/>
      <c r="EO66"/>
      <c r="EP66" s="833"/>
      <c r="EQ66"/>
      <c r="ES66" s="833"/>
      <c r="EV66" s="833"/>
    </row>
    <row r="67" spans="1:154" s="11" customFormat="1">
      <c r="A67"/>
      <c r="B67"/>
      <c r="C67"/>
      <c r="D67"/>
      <c r="E67"/>
      <c r="F67"/>
      <c r="G67"/>
      <c r="H67"/>
      <c r="I67"/>
      <c r="J67"/>
      <c r="K67" s="3"/>
      <c r="L67"/>
      <c r="M67"/>
      <c r="N67"/>
      <c r="O67"/>
      <c r="P67" s="1281" t="s">
        <v>247</v>
      </c>
      <c r="Q67" s="182" t="s">
        <v>424</v>
      </c>
      <c r="R67" s="1288">
        <v>5</v>
      </c>
      <c r="S67" s="1267">
        <v>5</v>
      </c>
      <c r="U67"/>
      <c r="V67" s="1059"/>
      <c r="W67"/>
      <c r="X67" s="1059"/>
      <c r="Y67" s="1059"/>
      <c r="Z67" s="1059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s="188"/>
      <c r="BB67"/>
      <c r="BE67" s="5"/>
      <c r="BF67" s="5"/>
      <c r="BG67"/>
      <c r="BH67"/>
      <c r="BI67"/>
      <c r="BJ67"/>
      <c r="BK67" s="12"/>
      <c r="BL67" s="12"/>
      <c r="BN67"/>
      <c r="BO67"/>
      <c r="BQ67"/>
      <c r="BR67"/>
      <c r="BS67"/>
      <c r="BU67"/>
      <c r="BV67" s="3"/>
      <c r="BW67" s="3"/>
      <c r="BZ67" s="441"/>
      <c r="CA67" s="441"/>
      <c r="CB67" s="12"/>
      <c r="CC67" s="12"/>
      <c r="CD67" s="12"/>
      <c r="CE67" s="12"/>
      <c r="CN67" s="12"/>
      <c r="CO67" s="12"/>
      <c r="CV67" s="12"/>
      <c r="CW67" s="12"/>
      <c r="CX67" s="12"/>
      <c r="CY67" s="12"/>
      <c r="CZ67" s="12"/>
      <c r="DA67" s="12"/>
      <c r="DB67" s="12"/>
      <c r="DG67" s="56"/>
      <c r="DH67" s="56"/>
      <c r="EE67"/>
      <c r="EF67" s="188"/>
      <c r="EG67" s="188"/>
      <c r="EH67" s="188"/>
      <c r="EI67" s="188"/>
      <c r="EJ67" s="188"/>
      <c r="EK67" s="188"/>
      <c r="EL67" s="188"/>
      <c r="EM67" s="188"/>
      <c r="EN67" s="188"/>
      <c r="EO67"/>
      <c r="EP67" s="833"/>
      <c r="ES67" s="833"/>
      <c r="EV67" s="833"/>
    </row>
    <row r="68" spans="1:154" s="11" customFormat="1" ht="27" customHeight="1">
      <c r="A68"/>
      <c r="B68"/>
      <c r="C68"/>
      <c r="D68"/>
      <c r="E68"/>
      <c r="F68"/>
      <c r="G68"/>
      <c r="H68"/>
      <c r="I68"/>
      <c r="J68"/>
      <c r="K68" s="3"/>
      <c r="L68"/>
      <c r="M68"/>
      <c r="N68"/>
      <c r="O68"/>
      <c r="P68" s="1281" t="s">
        <v>249</v>
      </c>
      <c r="Q68" s="182" t="s">
        <v>425</v>
      </c>
      <c r="R68" s="1288">
        <v>5</v>
      </c>
      <c r="S68" s="1267">
        <v>3</v>
      </c>
      <c r="AS68" s="63"/>
      <c r="AT68" s="188"/>
      <c r="BC68"/>
      <c r="BG68" s="5"/>
      <c r="BH68" s="5"/>
      <c r="BI68" s="5"/>
      <c r="BJ68"/>
      <c r="BK68"/>
      <c r="BL68" s="12"/>
      <c r="BM68" s="12"/>
      <c r="BO68"/>
      <c r="BP68"/>
      <c r="BR68"/>
      <c r="BS68"/>
      <c r="BU68"/>
      <c r="BV68"/>
      <c r="BW68" s="3"/>
      <c r="BX68" s="3"/>
      <c r="CB68" s="441"/>
      <c r="CC68" s="12"/>
      <c r="CD68" s="12"/>
      <c r="CE68" s="12"/>
      <c r="CF68" s="12"/>
      <c r="CO68" s="12"/>
      <c r="CP68" s="12"/>
      <c r="CW68" s="12"/>
      <c r="CX68" s="12"/>
      <c r="CY68" s="12"/>
      <c r="CZ68" s="12"/>
      <c r="DA68" s="12"/>
      <c r="DB68" s="12"/>
      <c r="DC68" s="12"/>
      <c r="DI68" s="56"/>
      <c r="EF68"/>
      <c r="EG68" s="188"/>
      <c r="EH68" s="188"/>
      <c r="EI68" s="188"/>
      <c r="EJ68" s="188"/>
      <c r="EK68" s="188"/>
      <c r="EL68" s="188"/>
      <c r="EM68" s="188"/>
      <c r="EN68" s="188"/>
      <c r="EO68"/>
      <c r="EP68" s="188"/>
      <c r="EQ68" s="833"/>
      <c r="ET68" s="833"/>
      <c r="EW68" s="833"/>
    </row>
    <row r="69" spans="1:154" s="11" customFormat="1" ht="27" customHeight="1">
      <c r="A69"/>
      <c r="B69"/>
      <c r="C69"/>
      <c r="D69"/>
      <c r="E69"/>
      <c r="F69"/>
      <c r="G69"/>
      <c r="H69"/>
      <c r="I69"/>
      <c r="J69"/>
      <c r="K69" s="3"/>
      <c r="L69"/>
      <c r="M69"/>
      <c r="N69"/>
      <c r="O69"/>
      <c r="P69" s="1281" t="s">
        <v>251</v>
      </c>
      <c r="Q69" s="182" t="s">
        <v>501</v>
      </c>
      <c r="R69" s="1288">
        <v>2</v>
      </c>
      <c r="S69" s="1267">
        <v>4</v>
      </c>
      <c r="AS69" s="63"/>
      <c r="AT69" s="188"/>
      <c r="BC69"/>
      <c r="BG69" s="5"/>
      <c r="BH69" s="5"/>
      <c r="BI69" s="5"/>
      <c r="BJ69"/>
      <c r="BK69"/>
      <c r="BL69" s="12"/>
      <c r="BM69" s="12"/>
      <c r="BO69"/>
      <c r="BP69"/>
      <c r="BR69"/>
      <c r="BS69"/>
      <c r="BU69"/>
      <c r="BV69"/>
      <c r="BW69" s="3"/>
      <c r="BX69" s="3"/>
      <c r="CB69" s="441"/>
      <c r="CC69" s="12"/>
      <c r="CD69" s="12"/>
      <c r="CE69" s="12"/>
      <c r="CF69" s="12"/>
      <c r="CO69" s="12"/>
      <c r="CP69" s="12"/>
      <c r="CW69" s="12"/>
      <c r="CX69" s="12"/>
      <c r="CY69" s="12"/>
      <c r="CZ69" s="12"/>
      <c r="DA69" s="12"/>
      <c r="DB69" s="12"/>
      <c r="DC69" s="12"/>
      <c r="DI69" s="56"/>
      <c r="EF69"/>
      <c r="EG69" s="188"/>
      <c r="EH69" s="188"/>
      <c r="EI69" s="188"/>
      <c r="EJ69" s="188"/>
      <c r="EK69" s="188"/>
      <c r="EL69" s="188"/>
      <c r="EM69" s="188"/>
      <c r="EN69" s="188"/>
      <c r="EO69"/>
      <c r="EP69" s="188"/>
      <c r="EQ69" s="833"/>
      <c r="ET69" s="833"/>
      <c r="EW69" s="833"/>
    </row>
    <row r="70" spans="1:154" s="11" customFormat="1" ht="27" customHeight="1">
      <c r="A70"/>
      <c r="B70"/>
      <c r="C70"/>
      <c r="D70"/>
      <c r="E70"/>
      <c r="F70"/>
      <c r="G70"/>
      <c r="H70"/>
      <c r="I70"/>
      <c r="J70"/>
      <c r="K70" s="3"/>
      <c r="L70"/>
      <c r="M70"/>
      <c r="N70"/>
      <c r="O70"/>
      <c r="P70" s="1281" t="s">
        <v>252</v>
      </c>
      <c r="Q70" s="182" t="s">
        <v>427</v>
      </c>
      <c r="R70" s="1296">
        <v>0.4</v>
      </c>
      <c r="S70" s="1268">
        <v>15</v>
      </c>
      <c r="AS70" s="63"/>
      <c r="AT70" s="188"/>
      <c r="BC70"/>
      <c r="BG70" s="5"/>
      <c r="BH70" s="5"/>
      <c r="BI70" s="5"/>
      <c r="BJ70"/>
      <c r="BK70"/>
      <c r="BL70" s="12"/>
      <c r="BM70" s="12"/>
      <c r="BO70"/>
      <c r="BP70"/>
      <c r="BR70"/>
      <c r="BS70"/>
      <c r="BU70"/>
      <c r="BV70"/>
      <c r="BW70" s="3"/>
      <c r="BX70" s="3"/>
      <c r="CB70" s="441"/>
      <c r="CC70" s="12"/>
      <c r="CD70" s="12"/>
      <c r="CE70" s="12"/>
      <c r="CF70" s="12"/>
      <c r="CO70" s="12"/>
      <c r="CP70" s="12"/>
      <c r="CW70" s="12"/>
      <c r="CX70" s="12"/>
      <c r="CY70" s="12"/>
      <c r="CZ70" s="12"/>
      <c r="DA70" s="12"/>
      <c r="DB70" s="12"/>
      <c r="DC70" s="12"/>
      <c r="DI70" s="56"/>
      <c r="EF70"/>
      <c r="EG70" s="188"/>
      <c r="EH70" s="188"/>
      <c r="EI70" s="188"/>
      <c r="EJ70" s="188"/>
      <c r="EK70" s="188"/>
      <c r="EL70" s="188"/>
      <c r="EM70" s="188"/>
      <c r="EN70" s="188"/>
      <c r="EO70"/>
      <c r="EP70" s="188"/>
      <c r="EQ70" s="833"/>
      <c r="ET70" s="833"/>
      <c r="EW70" s="833"/>
    </row>
    <row r="71" spans="1:154" s="11" customFormat="1" ht="27" customHeight="1">
      <c r="A71"/>
      <c r="B71"/>
      <c r="C71"/>
      <c r="D71"/>
      <c r="E71"/>
      <c r="F71"/>
      <c r="G71"/>
      <c r="H71"/>
      <c r="I71"/>
      <c r="J71"/>
      <c r="K71" s="3"/>
      <c r="L71"/>
      <c r="M71"/>
      <c r="N71"/>
      <c r="O71"/>
      <c r="P71" s="1281" t="s">
        <v>253</v>
      </c>
      <c r="Q71" s="182" t="s">
        <v>428</v>
      </c>
      <c r="R71" s="1319" t="s">
        <v>500</v>
      </c>
      <c r="S71" s="1268">
        <v>2</v>
      </c>
      <c r="U71" s="1320">
        <f t="shared" ref="U71:AQ71" si="128">SUMIF($P$7:$P$56, U$63, $BH$7:$BH$56)/COUNTIF($P$7:$P$56, U$63)</f>
        <v>7.8333333333333338E-2</v>
      </c>
      <c r="V71" s="1320">
        <f t="shared" si="128"/>
        <v>6.8000000000000005E-2</v>
      </c>
      <c r="W71" s="1320">
        <f t="shared" si="128"/>
        <v>5.2000000000000005E-2</v>
      </c>
      <c r="X71" s="1320">
        <f t="shared" si="128"/>
        <v>0.14949999999999999</v>
      </c>
      <c r="Y71" s="1320">
        <f t="shared" si="128"/>
        <v>0.16499999999999998</v>
      </c>
      <c r="Z71" s="1320">
        <f t="shared" si="128"/>
        <v>8.199999999999999E-2</v>
      </c>
      <c r="AA71" s="1320">
        <f t="shared" si="128"/>
        <v>2.0999999999999998E-2</v>
      </c>
      <c r="AB71" s="1320" t="e">
        <f t="shared" si="128"/>
        <v>#DIV/0!</v>
      </c>
      <c r="AC71" s="1320">
        <f t="shared" si="128"/>
        <v>9.6500000000000002E-2</v>
      </c>
      <c r="AD71" s="1320">
        <f t="shared" si="128"/>
        <v>5.9499999999999997E-2</v>
      </c>
      <c r="AE71" s="1320">
        <f t="shared" si="128"/>
        <v>2E-3</v>
      </c>
      <c r="AF71" s="1320">
        <f t="shared" si="128"/>
        <v>6.9666666666666668E-2</v>
      </c>
      <c r="AG71" s="1320">
        <f t="shared" si="128"/>
        <v>8.9249999999999996E-2</v>
      </c>
      <c r="AH71" s="1320">
        <f t="shared" si="128"/>
        <v>3.1333333333333331E-2</v>
      </c>
      <c r="AI71" s="1320">
        <f t="shared" si="128"/>
        <v>0.13457142857142856</v>
      </c>
      <c r="AJ71" s="1320">
        <f t="shared" si="128"/>
        <v>0.1255</v>
      </c>
      <c r="AK71" s="1320">
        <f t="shared" si="128"/>
        <v>6.649999999999999E-2</v>
      </c>
      <c r="AL71" s="1320">
        <f t="shared" si="128"/>
        <v>6.1666666666666668E-2</v>
      </c>
      <c r="AM71" s="1320" t="e">
        <f t="shared" si="128"/>
        <v>#DIV/0!</v>
      </c>
      <c r="AN71" s="1320">
        <f t="shared" si="128"/>
        <v>5.400000000000002E-2</v>
      </c>
      <c r="AO71" s="1320">
        <f t="shared" si="128"/>
        <v>0.15600000000000003</v>
      </c>
      <c r="AP71" s="1320">
        <f t="shared" si="128"/>
        <v>9.4999999999999973E-2</v>
      </c>
      <c r="AQ71" s="1320">
        <f t="shared" si="128"/>
        <v>5.400000000000002E-2</v>
      </c>
      <c r="AR71" s="1320"/>
      <c r="AS71" s="63"/>
      <c r="AT71" s="188"/>
      <c r="BC71"/>
      <c r="BG71" s="5"/>
      <c r="BH71" s="5"/>
      <c r="BI71" s="5"/>
      <c r="BJ71"/>
      <c r="BK71"/>
      <c r="BL71" s="12"/>
      <c r="BM71" s="12"/>
      <c r="BO71"/>
      <c r="BP71"/>
      <c r="BR71"/>
      <c r="BS71"/>
      <c r="BU71"/>
      <c r="BV71"/>
      <c r="BW71" s="3"/>
      <c r="BX71" s="3"/>
      <c r="CB71" s="441"/>
      <c r="CC71" s="12"/>
      <c r="CD71" s="12"/>
      <c r="CE71" s="12"/>
      <c r="CF71" s="12"/>
      <c r="CO71" s="12"/>
      <c r="CP71" s="12"/>
      <c r="CW71" s="12"/>
      <c r="CX71" s="12"/>
      <c r="CY71" s="12"/>
      <c r="CZ71" s="12"/>
      <c r="DA71" s="12"/>
      <c r="DB71" s="12"/>
      <c r="DC71" s="12"/>
      <c r="DI71" s="56"/>
      <c r="EF71"/>
      <c r="EG71" s="188"/>
      <c r="EH71" s="188"/>
      <c r="EI71" s="188"/>
      <c r="EJ71" s="188"/>
      <c r="EK71" s="188"/>
      <c r="EL71" s="188"/>
      <c r="EM71" s="188"/>
      <c r="EN71" s="188"/>
      <c r="EO71"/>
      <c r="EP71" s="188"/>
      <c r="EQ71" s="833"/>
      <c r="ET71" s="833"/>
      <c r="EW71" s="833"/>
    </row>
    <row r="72" spans="1:154" ht="32" customHeight="1">
      <c r="P72" s="1281" t="s">
        <v>254</v>
      </c>
      <c r="Q72" s="1297" t="s">
        <v>502</v>
      </c>
      <c r="R72" s="1300">
        <v>1.2</v>
      </c>
      <c r="S72" s="1299">
        <v>8</v>
      </c>
      <c r="U72" s="63"/>
      <c r="W72" s="63"/>
      <c r="X72" s="11"/>
      <c r="Y72" s="11"/>
      <c r="Z72" s="11"/>
      <c r="AA72" s="11"/>
      <c r="AB72" s="11"/>
      <c r="AC72" s="11"/>
      <c r="AD72" s="11"/>
      <c r="AE72" s="11"/>
      <c r="AF72" s="11"/>
      <c r="AG72"/>
      <c r="AL72" s="63"/>
      <c r="AM72" s="63"/>
      <c r="AN72" s="63"/>
      <c r="AO72" s="63"/>
      <c r="AP72" s="63"/>
      <c r="AQ72" s="63"/>
      <c r="AR72" s="63"/>
      <c r="AV72" s="11"/>
      <c r="AW72" s="11"/>
      <c r="AX72" s="11"/>
      <c r="AY72" s="11"/>
      <c r="AZ72"/>
      <c r="BA72"/>
      <c r="BC72" s="11"/>
      <c r="BD72" s="5"/>
      <c r="BE72"/>
      <c r="BJ72" s="12"/>
      <c r="BK72" s="12"/>
      <c r="BL72" s="11"/>
      <c r="BM72"/>
      <c r="BN72"/>
      <c r="BO72" s="11"/>
      <c r="BP72"/>
      <c r="BQ72"/>
      <c r="BR72"/>
      <c r="BS72" s="3"/>
      <c r="BT72" s="11"/>
      <c r="BU72" s="3"/>
      <c r="BV72" s="3"/>
      <c r="BY72" s="441"/>
      <c r="BZ72" s="12"/>
      <c r="CA72" s="12"/>
      <c r="CB72" s="12"/>
      <c r="CC72" s="12"/>
      <c r="CD72" s="12"/>
      <c r="CF72" s="11"/>
      <c r="CG72" s="11"/>
      <c r="CM72" s="12"/>
      <c r="CO72" s="11"/>
      <c r="CP72" s="11"/>
      <c r="CQ72" s="11"/>
      <c r="CR72" s="11"/>
      <c r="CS72" s="11"/>
      <c r="CT72" s="11"/>
      <c r="CU72" s="12"/>
      <c r="CV72" s="12"/>
      <c r="CW72" s="12"/>
      <c r="CX72" s="12"/>
      <c r="CY72" s="12"/>
      <c r="CZ72" s="12"/>
      <c r="DA72" s="12"/>
      <c r="DG72" s="56"/>
      <c r="DY72" s="11"/>
      <c r="DZ72" s="11"/>
      <c r="EA72" s="11"/>
      <c r="EB72" s="11"/>
      <c r="EC72" s="11"/>
      <c r="ED72" s="11"/>
      <c r="EE72" s="11"/>
      <c r="EF72"/>
      <c r="EO72"/>
      <c r="EQ72" s="188"/>
      <c r="ER72" s="833"/>
      <c r="ET72" s="188"/>
      <c r="EU72" s="833"/>
      <c r="EW72" s="188"/>
      <c r="EX72" s="833"/>
    </row>
    <row r="73" spans="1:154" ht="36" customHeight="1">
      <c r="P73" s="1281" t="s">
        <v>255</v>
      </c>
      <c r="Q73" s="1297" t="s">
        <v>503</v>
      </c>
      <c r="R73" s="1298" t="s">
        <v>500</v>
      </c>
      <c r="S73" s="1299">
        <v>10</v>
      </c>
      <c r="U73" s="1059">
        <f t="shared" ref="U73:AQ73" si="129">SUMIF($P$7:$P$56, U$63, $DN$7:$DN$56)/COUNTIF($P$7:$P$56, U$63)</f>
        <v>0.57822404001076932</v>
      </c>
      <c r="V73" s="1059">
        <f t="shared" si="129"/>
        <v>0.55977151267260539</v>
      </c>
      <c r="W73" s="1059">
        <f t="shared" si="129"/>
        <v>0.75602886815701464</v>
      </c>
      <c r="X73" s="1059">
        <f t="shared" si="129"/>
        <v>0.62654921950177123</v>
      </c>
      <c r="Y73" s="1059">
        <f t="shared" si="129"/>
        <v>0.64900224659706618</v>
      </c>
      <c r="Z73" s="1059">
        <f t="shared" si="129"/>
        <v>0.58742015248300017</v>
      </c>
      <c r="AA73" s="1059">
        <f t="shared" si="129"/>
        <v>0.72254651587012042</v>
      </c>
      <c r="AB73" s="1059" t="e">
        <f t="shared" si="129"/>
        <v>#DIV/0!</v>
      </c>
      <c r="AC73" s="1059">
        <f t="shared" si="129"/>
        <v>0.55777822907971897</v>
      </c>
      <c r="AD73" s="1059">
        <f t="shared" si="129"/>
        <v>0.71988250176013246</v>
      </c>
      <c r="AE73" s="1059">
        <f t="shared" si="129"/>
        <v>0.81141679179497617</v>
      </c>
      <c r="AF73" s="1059">
        <f t="shared" si="129"/>
        <v>0.80713412664521034</v>
      </c>
      <c r="AG73" s="1059">
        <f t="shared" si="129"/>
        <v>0.68666481735751128</v>
      </c>
      <c r="AH73" s="1059">
        <f t="shared" si="129"/>
        <v>0.32746597385610632</v>
      </c>
      <c r="AI73" s="1059">
        <f t="shared" si="129"/>
        <v>0.58886511020249854</v>
      </c>
      <c r="AJ73" s="1059">
        <f t="shared" si="129"/>
        <v>0.46134875795892744</v>
      </c>
      <c r="AK73" s="1059">
        <f t="shared" si="129"/>
        <v>0.34335223897532424</v>
      </c>
      <c r="AL73" s="1059">
        <f t="shared" si="129"/>
        <v>0.51495928859337914</v>
      </c>
      <c r="AM73" s="1059" t="e">
        <f t="shared" si="129"/>
        <v>#DIV/0!</v>
      </c>
      <c r="AN73" s="1059">
        <f t="shared" si="129"/>
        <v>0.48803827751196172</v>
      </c>
      <c r="AO73" s="1059">
        <f t="shared" si="129"/>
        <v>0.71286707334373667</v>
      </c>
      <c r="AP73" s="1059">
        <f t="shared" si="129"/>
        <v>0.38953488372093026</v>
      </c>
      <c r="AQ73" s="1059">
        <f t="shared" si="129"/>
        <v>0.48803827751196172</v>
      </c>
      <c r="AR73" s="1059"/>
      <c r="AV73" s="11"/>
      <c r="AW73" s="11"/>
      <c r="AX73" s="11"/>
      <c r="AY73" s="11"/>
      <c r="AZ73"/>
      <c r="BA73"/>
      <c r="BC73" s="11"/>
      <c r="BD73" s="5"/>
      <c r="BE73"/>
      <c r="BJ73" s="12"/>
      <c r="BK73" s="12"/>
      <c r="BL73" s="11"/>
      <c r="BM73"/>
      <c r="BN73"/>
      <c r="BO73" s="11"/>
      <c r="BP73"/>
      <c r="BQ73"/>
      <c r="BR73"/>
      <c r="BS73" s="3"/>
      <c r="BT73" s="11"/>
      <c r="BU73" s="3"/>
      <c r="BV73" s="3"/>
      <c r="BY73" s="441"/>
      <c r="BZ73" s="12"/>
      <c r="CA73" s="12"/>
      <c r="CB73" s="12"/>
      <c r="CC73" s="12"/>
      <c r="CD73" s="12"/>
      <c r="CF73" s="11"/>
      <c r="CG73" s="11"/>
      <c r="CM73" s="12"/>
      <c r="CO73" s="11"/>
      <c r="CP73" s="11"/>
      <c r="CQ73" s="11"/>
      <c r="CR73" s="11"/>
      <c r="CS73" s="11"/>
      <c r="CT73" s="11"/>
      <c r="CU73" s="12"/>
      <c r="CV73" s="12"/>
      <c r="CW73" s="12"/>
      <c r="CX73" s="12"/>
      <c r="CY73" s="12"/>
      <c r="CZ73" s="12"/>
      <c r="DA73" s="12"/>
      <c r="DG73" s="56"/>
      <c r="DY73" s="11"/>
      <c r="DZ73" s="11"/>
      <c r="EA73" s="11"/>
      <c r="EB73" s="11"/>
      <c r="EC73" s="11"/>
      <c r="ED73" s="11"/>
      <c r="EE73" s="11"/>
      <c r="EF73"/>
      <c r="EO73"/>
      <c r="EQ73" s="188"/>
      <c r="ER73" s="833"/>
      <c r="ET73" s="188"/>
      <c r="EU73" s="833"/>
      <c r="EW73" s="188"/>
      <c r="EX73" s="833"/>
    </row>
    <row r="74" spans="1:154" s="11" customFormat="1" ht="25" customHeight="1">
      <c r="A74"/>
      <c r="B74"/>
      <c r="C74"/>
      <c r="D74"/>
      <c r="E74"/>
      <c r="F74"/>
      <c r="G74"/>
      <c r="H74"/>
      <c r="I74"/>
      <c r="J74"/>
      <c r="K74" s="3"/>
      <c r="L74"/>
      <c r="M74"/>
      <c r="N74"/>
      <c r="O74"/>
      <c r="P74" s="1281" t="s">
        <v>256</v>
      </c>
      <c r="Q74" s="182" t="s">
        <v>504</v>
      </c>
      <c r="R74" s="1278" t="s">
        <v>500</v>
      </c>
      <c r="S74" s="1268">
        <v>10</v>
      </c>
      <c r="U74" s="1059">
        <f t="shared" ref="U74:AQ74" si="130">SUMIF($P$7:$P$56, U63, $DR$7:$DR$56)/COUNTIF($P$7:$P$56, U63)</f>
        <v>-0.52673413223885757</v>
      </c>
      <c r="V74" s="1059">
        <f t="shared" si="130"/>
        <v>-0.6594355792138803</v>
      </c>
      <c r="W74" s="1059">
        <f t="shared" si="130"/>
        <v>-0.43003687058838025</v>
      </c>
      <c r="X74" s="1059">
        <f t="shared" si="130"/>
        <v>-0.17007025114111582</v>
      </c>
      <c r="Y74" s="1059">
        <f t="shared" si="130"/>
        <v>-0.23975150466447376</v>
      </c>
      <c r="Z74" s="1059">
        <f t="shared" si="130"/>
        <v>-0.25620852144801359</v>
      </c>
      <c r="AA74" s="1059">
        <f t="shared" si="130"/>
        <v>-5.1026826500201334</v>
      </c>
      <c r="AB74" s="1059" t="e">
        <f t="shared" si="130"/>
        <v>#DIV/0!</v>
      </c>
      <c r="AC74" s="1059">
        <f t="shared" si="130"/>
        <v>-0.12349726736678035</v>
      </c>
      <c r="AD74" s="1059">
        <f t="shared" si="130"/>
        <v>-1.3686312072892282E-2</v>
      </c>
      <c r="AE74" s="1059">
        <f t="shared" si="130"/>
        <v>11.403982488496661</v>
      </c>
      <c r="AF74" s="1059">
        <f t="shared" si="130"/>
        <v>-0.77500775771263741</v>
      </c>
      <c r="AG74" s="1059">
        <f t="shared" si="130"/>
        <v>-0.69618329661785139</v>
      </c>
      <c r="AH74" s="1059">
        <f t="shared" si="130"/>
        <v>2.418942841954421E-3</v>
      </c>
      <c r="AI74" s="1059">
        <f t="shared" si="130"/>
        <v>-0.18973820434597791</v>
      </c>
      <c r="AJ74" s="1059">
        <f t="shared" si="130"/>
        <v>-0.20545329186357347</v>
      </c>
      <c r="AK74" s="1059">
        <f t="shared" si="130"/>
        <v>-0.33075288838900441</v>
      </c>
      <c r="AL74" s="1059">
        <f t="shared" si="130"/>
        <v>-0.15710152820728024</v>
      </c>
      <c r="AM74" s="1059" t="e">
        <f t="shared" si="130"/>
        <v>#DIV/0!</v>
      </c>
      <c r="AN74" s="1059">
        <f t="shared" si="130"/>
        <v>-5.4108531953141026E-2</v>
      </c>
      <c r="AO74" s="1059">
        <f t="shared" si="130"/>
        <v>-0.71837811941192187</v>
      </c>
      <c r="AP74" s="1059">
        <f t="shared" si="130"/>
        <v>6.9229344434035583E-2</v>
      </c>
      <c r="AQ74" s="1059">
        <f t="shared" si="130"/>
        <v>-5.4108531953141026E-2</v>
      </c>
      <c r="AR74" s="1059"/>
      <c r="AS74" s="63"/>
      <c r="AT74" s="188"/>
      <c r="BC74"/>
      <c r="BG74" s="5"/>
      <c r="BH74" s="5"/>
      <c r="BI74" s="5"/>
      <c r="BJ74"/>
      <c r="BK74"/>
      <c r="BL74" s="12"/>
      <c r="BM74" s="12"/>
      <c r="BO74"/>
      <c r="BP74"/>
      <c r="BR74"/>
      <c r="BS74"/>
      <c r="BU74"/>
      <c r="BV74"/>
      <c r="BW74" s="3"/>
      <c r="BX74" s="3"/>
      <c r="CB74" s="441"/>
      <c r="CC74" s="12"/>
      <c r="CD74" s="12"/>
      <c r="CE74" s="12"/>
      <c r="CF74" s="12"/>
      <c r="CO74" s="12"/>
      <c r="CP74" s="12"/>
      <c r="CW74" s="12"/>
      <c r="CX74" s="12"/>
      <c r="CY74" s="12"/>
      <c r="CZ74" s="12"/>
      <c r="DA74" s="12"/>
      <c r="DB74" s="12"/>
      <c r="DC74" s="12"/>
      <c r="DI74" s="56"/>
      <c r="EH74"/>
      <c r="EI74" s="188"/>
      <c r="EJ74" s="188"/>
      <c r="EK74" s="188"/>
      <c r="EL74" s="188"/>
      <c r="EM74" s="188"/>
      <c r="EN74" s="188"/>
      <c r="EO74"/>
      <c r="EP74" s="188"/>
      <c r="EQ74" s="833"/>
      <c r="ER74"/>
      <c r="ES74" s="188"/>
      <c r="ET74" s="833"/>
      <c r="EU74"/>
      <c r="EV74" s="188"/>
      <c r="EW74" s="833"/>
      <c r="EX74"/>
    </row>
    <row r="75" spans="1:154" s="11" customFormat="1" ht="25" customHeight="1">
      <c r="A75"/>
      <c r="B75"/>
      <c r="C75"/>
      <c r="D75"/>
      <c r="E75"/>
      <c r="F75"/>
      <c r="G75"/>
      <c r="H75"/>
      <c r="I75"/>
      <c r="J75"/>
      <c r="K75" s="3"/>
      <c r="L75"/>
      <c r="M75"/>
      <c r="N75"/>
      <c r="O75"/>
      <c r="P75" s="1281"/>
      <c r="Q75" s="1326" t="s">
        <v>505</v>
      </c>
      <c r="R75" s="1327"/>
      <c r="S75" s="1328"/>
      <c r="U75" s="1333">
        <f t="shared" ref="U75:AQ75" si="131" xml:space="preserve"> SUMIF($P$7:$P$56, U63, $AY$7:$AY$56)/COUNTIF($P$7:$P$56, U63)</f>
        <v>0.25033333333333335</v>
      </c>
      <c r="V75" s="1333">
        <f t="shared" si="131"/>
        <v>0.32883333333333337</v>
      </c>
      <c r="W75" s="1333">
        <f t="shared" si="131"/>
        <v>0.159</v>
      </c>
      <c r="X75" s="1333">
        <f t="shared" si="131"/>
        <v>0.46700000000000003</v>
      </c>
      <c r="Y75" s="1333">
        <f t="shared" si="131"/>
        <v>0.62</v>
      </c>
      <c r="Z75" s="1333">
        <f t="shared" si="131"/>
        <v>0.30499999999999999</v>
      </c>
      <c r="AA75" s="1333">
        <f t="shared" si="131"/>
        <v>5.1999999999999998E-2</v>
      </c>
      <c r="AB75" s="1333" t="e">
        <f t="shared" si="131"/>
        <v>#DIV/0!</v>
      </c>
      <c r="AC75" s="1333">
        <f t="shared" si="131"/>
        <v>0.504</v>
      </c>
      <c r="AD75" s="1333">
        <f t="shared" si="131"/>
        <v>0.23349999999999999</v>
      </c>
      <c r="AE75" s="1333">
        <f t="shared" si="131"/>
        <v>1E-3</v>
      </c>
      <c r="AF75" s="1333">
        <f t="shared" si="131"/>
        <v>0.17966666666666667</v>
      </c>
      <c r="AG75" s="1333">
        <f t="shared" si="131"/>
        <v>0.26524999999999999</v>
      </c>
      <c r="AH75" s="1333">
        <f t="shared" si="131"/>
        <v>0.15300000000000002</v>
      </c>
      <c r="AI75" s="1333">
        <f t="shared" si="131"/>
        <v>0.49342857142857144</v>
      </c>
      <c r="AJ75" s="1333">
        <f t="shared" si="131"/>
        <v>0.42449999999999999</v>
      </c>
      <c r="AK75" s="1333">
        <f t="shared" si="131"/>
        <v>0.28949999999999998</v>
      </c>
      <c r="AL75" s="1333">
        <f t="shared" si="131"/>
        <v>0.25116666666666665</v>
      </c>
      <c r="AM75" s="1333" t="e">
        <f t="shared" si="131"/>
        <v>#DIV/0!</v>
      </c>
      <c r="AN75" s="1333">
        <f t="shared" si="131"/>
        <v>0.23300000000000001</v>
      </c>
      <c r="AO75" s="1333">
        <f t="shared" si="131"/>
        <v>0.40200000000000002</v>
      </c>
      <c r="AP75" s="1333">
        <f t="shared" si="131"/>
        <v>0.35799999999999998</v>
      </c>
      <c r="AQ75" s="1333">
        <f t="shared" si="131"/>
        <v>0.23300000000000001</v>
      </c>
      <c r="AR75" s="1333"/>
      <c r="AS75" s="63"/>
      <c r="AT75" s="188"/>
      <c r="BC75"/>
      <c r="BG75" s="5"/>
      <c r="BH75" s="5"/>
      <c r="BI75" s="5"/>
      <c r="BJ75"/>
      <c r="BK75"/>
      <c r="BL75" s="12"/>
      <c r="BM75" s="12"/>
      <c r="BO75"/>
      <c r="BP75"/>
      <c r="BR75"/>
      <c r="BS75"/>
      <c r="BU75"/>
      <c r="BV75"/>
      <c r="BW75" s="3"/>
      <c r="BX75" s="3"/>
      <c r="CB75" s="441"/>
      <c r="CC75" s="12"/>
      <c r="CD75" s="12"/>
      <c r="CE75" s="12"/>
      <c r="CF75" s="12"/>
      <c r="CO75" s="12"/>
      <c r="CP75" s="12"/>
      <c r="CW75" s="12"/>
      <c r="CX75" s="12"/>
      <c r="CY75" s="12"/>
      <c r="CZ75" s="12"/>
      <c r="DA75" s="12"/>
      <c r="DB75" s="12"/>
      <c r="DC75" s="12"/>
      <c r="DI75" s="56"/>
      <c r="EH75"/>
      <c r="EI75" s="188"/>
      <c r="EJ75" s="188"/>
      <c r="EK75" s="188"/>
      <c r="EL75" s="188"/>
      <c r="EM75" s="188"/>
      <c r="EN75" s="188"/>
      <c r="EO75"/>
      <c r="EP75" s="188"/>
      <c r="EQ75" s="833"/>
      <c r="ER75"/>
      <c r="ES75" s="188"/>
      <c r="ET75" s="833"/>
      <c r="EU75"/>
      <c r="EV75" s="188"/>
      <c r="EW75" s="833"/>
      <c r="EX75"/>
    </row>
    <row r="76" spans="1:154" s="11" customFormat="1" ht="26" customHeight="1">
      <c r="A76"/>
      <c r="B76"/>
      <c r="C76"/>
      <c r="D76"/>
      <c r="E76"/>
      <c r="F76"/>
      <c r="G76"/>
      <c r="H76"/>
      <c r="I76"/>
      <c r="J76"/>
      <c r="K76" s="3"/>
      <c r="L76"/>
      <c r="M76"/>
      <c r="N76"/>
      <c r="O76"/>
      <c r="P76" s="1280"/>
      <c r="Q76" s="1330" t="s">
        <v>506</v>
      </c>
      <c r="R76" s="1331"/>
      <c r="S76" s="1332"/>
      <c r="T76"/>
      <c r="U76" s="1329">
        <f t="shared" ref="U76:AQ76" si="132" xml:space="preserve"> SUMIF($P$7:$P$56, U63, $BD$7:$BD$56)/COUNTIF($P$7:$P$56, U63)</f>
        <v>0.17200000000000001</v>
      </c>
      <c r="V76" s="1329">
        <f t="shared" si="132"/>
        <v>0.26083333333333336</v>
      </c>
      <c r="W76" s="1329">
        <f t="shared" si="132"/>
        <v>0.107</v>
      </c>
      <c r="X76" s="1329">
        <f t="shared" si="132"/>
        <v>0.3175</v>
      </c>
      <c r="Y76" s="1329">
        <f t="shared" si="132"/>
        <v>0.45500000000000002</v>
      </c>
      <c r="Z76" s="1329">
        <f t="shared" si="132"/>
        <v>0.223</v>
      </c>
      <c r="AA76" s="1329">
        <f t="shared" si="132"/>
        <v>3.1E-2</v>
      </c>
      <c r="AB76" s="1329" t="e">
        <f t="shared" si="132"/>
        <v>#DIV/0!</v>
      </c>
      <c r="AC76" s="1329">
        <f t="shared" si="132"/>
        <v>0.40749999999999997</v>
      </c>
      <c r="AD76" s="1329">
        <f t="shared" si="132"/>
        <v>0.17399999999999999</v>
      </c>
      <c r="AE76" s="1329">
        <f t="shared" si="132"/>
        <v>-1E-3</v>
      </c>
      <c r="AF76" s="1329">
        <f t="shared" si="132"/>
        <v>0.11</v>
      </c>
      <c r="AG76" s="1329">
        <f t="shared" si="132"/>
        <v>0.17599999999999999</v>
      </c>
      <c r="AH76" s="1329">
        <f t="shared" si="132"/>
        <v>0.12166666666666666</v>
      </c>
      <c r="AI76" s="1329">
        <f t="shared" si="132"/>
        <v>0.35885714285714282</v>
      </c>
      <c r="AJ76" s="1329">
        <f t="shared" si="132"/>
        <v>0.29900000000000004</v>
      </c>
      <c r="AK76" s="1329">
        <f t="shared" si="132"/>
        <v>0.223</v>
      </c>
      <c r="AL76" s="1329">
        <f t="shared" si="132"/>
        <v>0.1895</v>
      </c>
      <c r="AM76" s="1329" t="e">
        <f t="shared" si="132"/>
        <v>#DIV/0!</v>
      </c>
      <c r="AN76" s="1329">
        <f t="shared" si="132"/>
        <v>0.17899999999999999</v>
      </c>
      <c r="AO76" s="1329">
        <f t="shared" si="132"/>
        <v>0.246</v>
      </c>
      <c r="AP76" s="1329">
        <f t="shared" si="132"/>
        <v>0.26300000000000001</v>
      </c>
      <c r="AQ76" s="1329">
        <f t="shared" si="132"/>
        <v>0.17899999999999999</v>
      </c>
      <c r="AR76" s="1329"/>
      <c r="AS76"/>
      <c r="AT76" s="188"/>
      <c r="BC76"/>
      <c r="BG76" s="5"/>
      <c r="BH76" s="5"/>
      <c r="BI76" s="5"/>
      <c r="BJ76"/>
      <c r="BK76"/>
      <c r="BL76" s="12"/>
      <c r="BM76" s="12"/>
      <c r="BO76"/>
      <c r="BP76"/>
      <c r="BR76"/>
      <c r="BS76"/>
      <c r="BU76"/>
      <c r="BV76"/>
      <c r="BW76" s="3"/>
      <c r="BX76" s="3"/>
      <c r="CB76" s="441"/>
      <c r="CC76" s="12"/>
      <c r="CD76" s="12"/>
      <c r="CE76" s="12"/>
      <c r="CF76" s="12"/>
      <c r="CO76" s="12"/>
      <c r="CP76" s="12"/>
      <c r="CW76" s="12"/>
      <c r="CX76" s="12"/>
      <c r="CY76" s="12"/>
      <c r="CZ76" s="12"/>
      <c r="DA76" s="12"/>
      <c r="DB76" s="12"/>
      <c r="DC76" s="12"/>
      <c r="DI76" s="56"/>
      <c r="EF76"/>
      <c r="EG76" s="188"/>
      <c r="EH76" s="188"/>
      <c r="EI76" s="188"/>
      <c r="EJ76" s="188"/>
      <c r="EK76" s="188"/>
      <c r="EL76" s="188"/>
      <c r="EM76" s="188"/>
      <c r="EN76" s="188"/>
      <c r="EO76"/>
      <c r="EP76" s="188"/>
      <c r="EQ76" s="833"/>
      <c r="ET76" s="833"/>
      <c r="EW76" s="833"/>
    </row>
    <row r="77" spans="1:154" s="11" customFormat="1" ht="26" customHeight="1">
      <c r="A77"/>
      <c r="B77"/>
      <c r="C77"/>
      <c r="D77"/>
      <c r="E77"/>
      <c r="F77"/>
      <c r="G77"/>
      <c r="H77"/>
      <c r="I77"/>
      <c r="J77"/>
      <c r="K77" s="3"/>
      <c r="L77"/>
      <c r="M77"/>
      <c r="N77"/>
      <c r="O77"/>
      <c r="P77" s="1280"/>
      <c r="Q77" s="1334" t="s">
        <v>507</v>
      </c>
      <c r="R77" s="1335"/>
      <c r="S77" s="1336"/>
      <c r="T77"/>
      <c r="U77" s="1337">
        <f>U75-U76</f>
        <v>7.8333333333333338E-2</v>
      </c>
      <c r="V77" s="1337">
        <f t="shared" ref="V77:AP77" si="133">V75-V76</f>
        <v>6.8000000000000005E-2</v>
      </c>
      <c r="W77" s="1337">
        <f>W75-W76</f>
        <v>5.2000000000000005E-2</v>
      </c>
      <c r="X77" s="1337">
        <f t="shared" si="133"/>
        <v>0.14950000000000002</v>
      </c>
      <c r="Y77" s="1337">
        <f>Y75-Y76</f>
        <v>0.16499999999999998</v>
      </c>
      <c r="Z77" s="1337">
        <f t="shared" si="133"/>
        <v>8.199999999999999E-2</v>
      </c>
      <c r="AA77" s="1337">
        <f t="shared" si="133"/>
        <v>2.0999999999999998E-2</v>
      </c>
      <c r="AB77" s="1337" t="e">
        <f t="shared" si="133"/>
        <v>#DIV/0!</v>
      </c>
      <c r="AC77" s="1337">
        <f t="shared" si="133"/>
        <v>9.650000000000003E-2</v>
      </c>
      <c r="AD77" s="1337">
        <f t="shared" ref="AD77" si="134">AD75-AD76</f>
        <v>5.9499999999999997E-2</v>
      </c>
      <c r="AE77" s="1337">
        <f t="shared" si="133"/>
        <v>2E-3</v>
      </c>
      <c r="AF77" s="1337">
        <f t="shared" si="133"/>
        <v>6.9666666666666668E-2</v>
      </c>
      <c r="AG77" s="1337">
        <f t="shared" si="133"/>
        <v>8.9249999999999996E-2</v>
      </c>
      <c r="AH77" s="1337">
        <f t="shared" si="133"/>
        <v>3.1333333333333366E-2</v>
      </c>
      <c r="AI77" s="1337">
        <f t="shared" si="133"/>
        <v>0.13457142857142862</v>
      </c>
      <c r="AJ77" s="1337">
        <f t="shared" si="133"/>
        <v>0.12549999999999994</v>
      </c>
      <c r="AK77" s="1337">
        <f t="shared" ref="AK77" si="135">AK75-AK76</f>
        <v>6.6499999999999976E-2</v>
      </c>
      <c r="AL77" s="1337">
        <f t="shared" si="133"/>
        <v>6.1666666666666647E-2</v>
      </c>
      <c r="AM77" s="1337" t="e">
        <f>AM75-AM76</f>
        <v>#DIV/0!</v>
      </c>
      <c r="AN77" s="1337">
        <f>AN75-AN76</f>
        <v>5.400000000000002E-2</v>
      </c>
      <c r="AO77" s="1337">
        <f t="shared" si="133"/>
        <v>0.15600000000000003</v>
      </c>
      <c r="AP77" s="1337">
        <f t="shared" si="133"/>
        <v>9.4999999999999973E-2</v>
      </c>
      <c r="AQ77" s="1337">
        <f>AQ75-AQ76</f>
        <v>5.400000000000002E-2</v>
      </c>
      <c r="AR77" s="1337"/>
      <c r="AS77"/>
      <c r="AT77" s="188"/>
      <c r="BC77"/>
      <c r="BG77" s="5"/>
      <c r="BH77" s="5"/>
      <c r="BI77" s="5"/>
      <c r="BJ77"/>
      <c r="BK77"/>
      <c r="BL77" s="12"/>
      <c r="BM77" s="12"/>
      <c r="BO77"/>
      <c r="BP77"/>
      <c r="BR77"/>
      <c r="BS77"/>
      <c r="BU77"/>
      <c r="BV77"/>
      <c r="BW77" s="3"/>
      <c r="BX77" s="3"/>
      <c r="CB77" s="441"/>
      <c r="CC77" s="12"/>
      <c r="CD77" s="12"/>
      <c r="CE77" s="12"/>
      <c r="CF77" s="12"/>
      <c r="CO77" s="12"/>
      <c r="CP77" s="12"/>
      <c r="CW77" s="12"/>
      <c r="CX77" s="12"/>
      <c r="CY77" s="12"/>
      <c r="CZ77" s="12"/>
      <c r="DA77" s="12"/>
      <c r="DB77" s="12"/>
      <c r="DC77" s="12"/>
      <c r="DI77" s="56"/>
      <c r="EF77"/>
      <c r="EG77" s="188"/>
      <c r="EH77" s="188"/>
      <c r="EI77" s="188"/>
      <c r="EJ77" s="188"/>
      <c r="EK77" s="188"/>
      <c r="EL77" s="188"/>
      <c r="EM77" s="188"/>
      <c r="EN77" s="188"/>
      <c r="EO77"/>
      <c r="EP77" s="188"/>
      <c r="EQ77" s="833"/>
      <c r="ET77" s="833"/>
      <c r="EW77" s="833"/>
    </row>
    <row r="78" spans="1:154" s="11" customFormat="1" ht="26" customHeight="1" thickBot="1">
      <c r="A78"/>
      <c r="B78"/>
      <c r="C78"/>
      <c r="D78"/>
      <c r="E78"/>
      <c r="F78"/>
      <c r="G78"/>
      <c r="H78"/>
      <c r="I78"/>
      <c r="J78"/>
      <c r="K78" s="3"/>
      <c r="L78"/>
      <c r="M78"/>
      <c r="N78"/>
      <c r="O78"/>
      <c r="P78" s="1280"/>
      <c r="Q78" s="1292" t="s">
        <v>508</v>
      </c>
      <c r="R78" s="1301"/>
      <c r="S78" s="1302"/>
      <c r="T78"/>
      <c r="U78" s="1059"/>
      <c r="V78" s="1059"/>
      <c r="W78" s="1059"/>
      <c r="X78" s="1059"/>
      <c r="Y78" s="1059"/>
      <c r="Z78" s="1059"/>
      <c r="AA78" s="1059"/>
      <c r="AB78" s="1059"/>
      <c r="AC78" s="1059"/>
      <c r="AD78" s="1059"/>
      <c r="AE78" s="1059"/>
      <c r="AF78" s="1059"/>
      <c r="AG78" s="1059"/>
      <c r="AH78" s="1059"/>
      <c r="AI78" s="1059"/>
      <c r="AJ78" s="1059"/>
      <c r="AK78" s="63"/>
      <c r="AL78"/>
      <c r="AM78"/>
      <c r="AN78" s="188"/>
      <c r="AQ78" s="188"/>
      <c r="AR78" s="188"/>
      <c r="AT78"/>
      <c r="AW78" s="5"/>
      <c r="AX78"/>
      <c r="AY78"/>
      <c r="AZ78" s="12"/>
      <c r="BA78" s="12"/>
      <c r="BB78" s="12"/>
      <c r="BD78"/>
      <c r="BE78"/>
      <c r="BF78"/>
      <c r="BJ78"/>
      <c r="BK78"/>
      <c r="BM78"/>
      <c r="BN78"/>
      <c r="BO78" s="3"/>
      <c r="BP78" s="3"/>
      <c r="BS78" s="441"/>
      <c r="BT78" s="12"/>
      <c r="BU78" s="12"/>
      <c r="BV78" s="12"/>
      <c r="BW78" s="12"/>
      <c r="CG78" s="12"/>
      <c r="CH78" s="12"/>
      <c r="CO78" s="12"/>
      <c r="CP78" s="12"/>
      <c r="CQ78" s="12"/>
      <c r="CR78" s="12"/>
      <c r="CS78" s="12"/>
      <c r="CT78" s="12"/>
      <c r="CU78" s="12"/>
      <c r="DA78" s="56"/>
      <c r="DX78"/>
      <c r="DY78" s="188"/>
      <c r="DZ78" s="188"/>
      <c r="EA78" s="188"/>
      <c r="EB78" s="188"/>
      <c r="EC78" s="188"/>
      <c r="ED78" s="188"/>
      <c r="EE78" s="188"/>
      <c r="EF78" s="188"/>
      <c r="EG78" s="188"/>
      <c r="EH78" s="188"/>
      <c r="EI78" s="188"/>
      <c r="EJ78" s="188"/>
      <c r="EK78" s="188"/>
      <c r="EL78" s="188"/>
      <c r="EM78" s="188"/>
      <c r="EN78" s="188"/>
      <c r="EO78"/>
    </row>
  </sheetData>
  <autoFilter ref="A6:EY56" xr:uid="{594F5293-AA9C-874D-BB42-6C02CD70FDAE}">
    <sortState xmlns:xlrd2="http://schemas.microsoft.com/office/spreadsheetml/2017/richdata2" ref="A7:EY56">
      <sortCondition descending="1" ref="A6:A56"/>
    </sortState>
  </autoFilter>
  <phoneticPr fontId="39" type="noConversion"/>
  <conditionalFormatting sqref="C2 EO6 P56:P58">
    <cfRule type="expression" dxfId="150" priority="98">
      <formula>ROW()=EVEN(ROW())</formula>
    </cfRule>
  </conditionalFormatting>
  <conditionalFormatting sqref="C7:C56">
    <cfRule type="aboveAverage" dxfId="149" priority="1762"/>
  </conditionalFormatting>
  <conditionalFormatting sqref="G7:J56">
    <cfRule type="cellIs" dxfId="148" priority="5" operator="lessThan">
      <formula>0</formula>
    </cfRule>
    <cfRule type="cellIs" dxfId="147" priority="6" operator="greaterThan">
      <formula>0</formula>
    </cfRule>
    <cfRule type="expression" dxfId="146" priority="7" stopIfTrue="1">
      <formula>ROW()=EVEN(ROW())</formula>
    </cfRule>
  </conditionalFormatting>
  <conditionalFormatting sqref="K7:AI56 A7:G56 AL7:AT56 BT7:DX56 DZ7:EO57 AU8:BI56 BJ9:BS56 A57:F57 I57:AI57 AK57:DX57 E57:K58 A58:EP58">
    <cfRule type="expression" dxfId="145" priority="22">
      <formula>ROW()=EVEN(ROW())</formula>
    </cfRule>
  </conditionalFormatting>
  <conditionalFormatting sqref="M7:N56">
    <cfRule type="cellIs" dxfId="144" priority="43" operator="equal">
      <formula>"SS"</formula>
    </cfRule>
    <cfRule type="cellIs" dxfId="143" priority="44" operator="equal">
      <formula>"BB"</formula>
    </cfRule>
    <cfRule type="cellIs" dxfId="142" priority="45" operator="equal">
      <formula>"B"</formula>
    </cfRule>
    <cfRule type="cellIs" dxfId="141" priority="46" operator="equal">
      <formula>"S"</formula>
    </cfRule>
    <cfRule type="cellIs" dxfId="140" priority="47" operator="equal">
      <formula>"N"</formula>
    </cfRule>
  </conditionalFormatting>
  <conditionalFormatting sqref="O7:O56">
    <cfRule type="containsText" dxfId="139" priority="21" operator="containsText" text="Closed">
      <formula>NOT(ISERROR(SEARCH("Closed",O7)))</formula>
    </cfRule>
  </conditionalFormatting>
  <conditionalFormatting sqref="T2">
    <cfRule type="expression" dxfId="138" priority="97">
      <formula>ROW()=EVEN(ROW())</formula>
    </cfRule>
  </conditionalFormatting>
  <conditionalFormatting sqref="T16">
    <cfRule type="expression" dxfId="137" priority="158">
      <formula>ROW()=EVEN(ROW())</formula>
    </cfRule>
  </conditionalFormatting>
  <conditionalFormatting sqref="Z7:Z56">
    <cfRule type="containsText" dxfId="136" priority="38" operator="containsText" text="B">
      <formula>NOT(ISERROR(SEARCH("B",Z7)))</formula>
    </cfRule>
    <cfRule type="containsText" dxfId="135" priority="39" operator="containsText" text="S">
      <formula>NOT(ISERROR(SEARCH("S",Z7)))</formula>
    </cfRule>
  </conditionalFormatting>
  <conditionalFormatting sqref="Z57:Z58">
    <cfRule type="dataBar" priority="1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{375769D5-2D91-4943-9723-4C5BF30DF6A7}</x14:id>
        </ext>
      </extLst>
    </cfRule>
  </conditionalFormatting>
  <conditionalFormatting sqref="AG2:AH2">
    <cfRule type="expression" dxfId="134" priority="78">
      <formula>ROW()=EVEN(ROW())</formula>
    </cfRule>
  </conditionalFormatting>
  <conditionalFormatting sqref="AU7:BS7 BJ8:BT8 EP57">
    <cfRule type="expression" dxfId="133" priority="50">
      <formula>ROW()=EVEN(ROW())</formula>
    </cfRule>
  </conditionalFormatting>
  <conditionalFormatting sqref="EO59:EP59">
    <cfRule type="expression" dxfId="132" priority="73">
      <formula>ROW()=EVEN(ROW())</formula>
    </cfRule>
  </conditionalFormatting>
  <pageMargins left="0.7" right="0.7" top="0.75" bottom="0.75" header="0.3" footer="0.3"/>
  <pageSetup paperSize="9" scale="10" fitToHeight="2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769D5-2D91-4943-9723-4C5BF30DF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Z57:Z58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AE2D-7E8C-DD45-841E-CFDCF3945E9D}">
  <sheetPr codeName="Sheet12">
    <tabColor theme="4"/>
  </sheetPr>
  <dimension ref="B1:EA100"/>
  <sheetViews>
    <sheetView showRuler="0" showWhiteSpace="0" zoomScale="70" zoomScaleNormal="70" workbookViewId="0">
      <pane xSplit="17" ySplit="3" topLeftCell="DR69" activePane="bottomRight" state="frozen"/>
      <selection pane="topRight" activeCell="R1" sqref="R1"/>
      <selection pane="bottomLeft" activeCell="A4" sqref="A4"/>
      <selection pane="bottomRight" activeCell="DZ86" sqref="DZ86"/>
    </sheetView>
  </sheetViews>
  <sheetFormatPr baseColWidth="10" defaultColWidth="11" defaultRowHeight="16"/>
  <cols>
    <col min="1" max="1" width="4.5" customWidth="1"/>
    <col min="2" max="2" width="10.83203125" bestFit="1" customWidth="1"/>
    <col min="3" max="3" width="12.83203125" bestFit="1" customWidth="1"/>
    <col min="4" max="4" width="24.33203125" customWidth="1"/>
    <col min="5" max="5" width="12.33203125" customWidth="1"/>
    <col min="6" max="6" width="8.5" customWidth="1"/>
    <col min="7" max="7" width="13" customWidth="1"/>
    <col min="8" max="8" width="10.1640625" customWidth="1"/>
    <col min="9" max="9" width="12.33203125" customWidth="1"/>
    <col min="10" max="10" width="11" customWidth="1"/>
    <col min="11" max="11" width="8.83203125" customWidth="1"/>
    <col min="12" max="12" width="6.33203125" customWidth="1"/>
    <col min="13" max="13" width="12.33203125" customWidth="1"/>
    <col min="14" max="14" width="12.6640625" customWidth="1"/>
    <col min="15" max="15" width="10.83203125" customWidth="1"/>
    <col min="16" max="16" width="11.5" bestFit="1" customWidth="1"/>
    <col min="17" max="17" width="12.1640625" customWidth="1"/>
    <col min="18" max="18" width="12.83203125" bestFit="1" customWidth="1"/>
    <col min="19" max="19" width="13" customWidth="1"/>
    <col min="20" max="20" width="12.83203125" customWidth="1"/>
    <col min="21" max="21" width="13" bestFit="1" customWidth="1"/>
    <col min="22" max="22" width="12.33203125" customWidth="1"/>
    <col min="23" max="23" width="13.5" customWidth="1"/>
    <col min="24" max="24" width="14.83203125" bestFit="1" customWidth="1"/>
    <col min="25" max="25" width="9.1640625" customWidth="1"/>
    <col min="26" max="26" width="1.6640625" customWidth="1"/>
    <col min="27" max="27" width="11.5" bestFit="1" customWidth="1"/>
    <col min="28" max="28" width="15.1640625" bestFit="1" customWidth="1"/>
    <col min="29" max="29" width="11.33203125" customWidth="1"/>
    <col min="30" max="37" width="11.33203125" hidden="1" customWidth="1"/>
    <col min="38" max="38" width="0" hidden="1" customWidth="1"/>
    <col min="40" max="40" width="13.1640625" bestFit="1" customWidth="1"/>
    <col min="41" max="41" width="13.1640625" customWidth="1"/>
    <col min="42" max="42" width="15.1640625" bestFit="1" customWidth="1"/>
    <col min="43" max="43" width="2" style="1495" customWidth="1"/>
    <col min="44" max="48" width="11" hidden="1" customWidth="1"/>
    <col min="49" max="49" width="9.33203125" hidden="1" customWidth="1"/>
    <col min="50" max="51" width="11.6640625" hidden="1" customWidth="1"/>
    <col min="52" max="52" width="9.33203125" hidden="1" customWidth="1"/>
    <col min="53" max="53" width="10.33203125" style="102" hidden="1" customWidth="1"/>
    <col min="54" max="54" width="11.33203125" bestFit="1" customWidth="1"/>
    <col min="55" max="55" width="9.83203125" customWidth="1"/>
    <col min="56" max="56" width="10.33203125" style="102" customWidth="1"/>
    <col min="57" max="57" width="11.33203125" hidden="1" customWidth="1"/>
    <col min="58" max="58" width="9.83203125" hidden="1" customWidth="1"/>
    <col min="59" max="59" width="11" style="102" hidden="1" customWidth="1"/>
    <col min="60" max="60" width="10.83203125" hidden="1" customWidth="1"/>
    <col min="61" max="61" width="9.83203125" hidden="1" customWidth="1"/>
    <col min="62" max="62" width="11" style="102" hidden="1" customWidth="1"/>
    <col min="63" max="63" width="10.83203125" hidden="1" customWidth="1"/>
    <col min="64" max="64" width="9.83203125" hidden="1" customWidth="1"/>
    <col min="65" max="65" width="11" style="102" hidden="1" customWidth="1"/>
    <col min="66" max="66" width="10.83203125" hidden="1" customWidth="1"/>
    <col min="67" max="67" width="9.83203125" hidden="1" customWidth="1"/>
    <col min="68" max="68" width="11" style="102" hidden="1" customWidth="1"/>
    <col min="69" max="69" width="10.83203125" hidden="1" customWidth="1"/>
    <col min="70" max="70" width="9.83203125" hidden="1" customWidth="1"/>
    <col min="71" max="71" width="11" style="102" hidden="1" customWidth="1"/>
    <col min="72" max="72" width="10.83203125" hidden="1" customWidth="1"/>
    <col min="73" max="73" width="9.83203125" hidden="1" customWidth="1"/>
    <col min="74" max="74" width="11" style="102" hidden="1" customWidth="1"/>
    <col min="75" max="75" width="11.33203125" hidden="1" customWidth="1"/>
    <col min="76" max="76" width="9.83203125" hidden="1" customWidth="1"/>
    <col min="77" max="77" width="11" style="102" customWidth="1"/>
    <col min="78" max="78" width="12.5" customWidth="1"/>
    <col min="79" max="79" width="9.83203125" customWidth="1"/>
    <col min="80" max="80" width="11" style="102"/>
    <col min="81" max="81" width="13.33203125" customWidth="1"/>
    <col min="85" max="85" width="5.33203125" customWidth="1"/>
    <col min="86" max="86" width="11" customWidth="1"/>
    <col min="89" max="89" width="11" customWidth="1"/>
    <col min="90" max="91" width="11" bestFit="1" customWidth="1"/>
    <col min="92" max="92" width="11" customWidth="1"/>
    <col min="93" max="94" width="11" bestFit="1" customWidth="1"/>
    <col min="95" max="95" width="11" customWidth="1"/>
    <col min="96" max="97" width="11" bestFit="1" customWidth="1"/>
    <col min="98" max="98" width="3.33203125" customWidth="1"/>
    <col min="99" max="99" width="12" bestFit="1" customWidth="1"/>
    <col min="100" max="100" width="9.83203125" customWidth="1"/>
    <col min="101" max="101" width="10.1640625" bestFit="1" customWidth="1"/>
    <col min="102" max="102" width="12.33203125" bestFit="1" customWidth="1"/>
    <col min="103" max="103" width="14.1640625" customWidth="1"/>
    <col min="107" max="107" width="11.33203125" customWidth="1"/>
    <col min="108" max="121" width="11" customWidth="1"/>
    <col min="122" max="122" width="62.83203125" customWidth="1"/>
    <col min="124" max="124" width="3.6640625" customWidth="1"/>
    <col min="125" max="126" width="12" customWidth="1"/>
    <col min="127" max="127" width="11.83203125" customWidth="1"/>
    <col min="128" max="128" width="12" customWidth="1"/>
    <col min="129" max="129" width="11.5" customWidth="1"/>
  </cols>
  <sheetData>
    <row r="1" spans="2:130" ht="26" customHeight="1">
      <c r="G1" s="1208">
        <f>SUM(G4:G32)</f>
        <v>89772</v>
      </c>
      <c r="H1" s="1208">
        <f>SUM(H4:H32)</f>
        <v>14283</v>
      </c>
      <c r="I1" s="1208">
        <f>SUM(I4:I32)</f>
        <v>75489</v>
      </c>
      <c r="J1" s="1208"/>
      <c r="M1" s="1208">
        <f>SUM(M4:M32)</f>
        <v>36649</v>
      </c>
      <c r="N1" s="1208">
        <f>SUM(N4:N32)</f>
        <v>55686</v>
      </c>
      <c r="O1" s="1208">
        <f>SUM(O4:O32)</f>
        <v>9922</v>
      </c>
      <c r="P1" s="1208">
        <f>SUM(P4:P32)</f>
        <v>45764</v>
      </c>
      <c r="Q1" s="1208"/>
      <c r="S1" s="1209">
        <f>AVERAGE(S4:S32)</f>
        <v>0.59090366318341492</v>
      </c>
      <c r="T1" s="1209">
        <f>AVERAGE(T4:T32)</f>
        <v>0.42042067147745449</v>
      </c>
      <c r="X1" s="1208">
        <f t="shared" ref="X1:Z1" si="0">SUM(X4:X32)</f>
        <v>129053.14037514341</v>
      </c>
      <c r="Z1" s="1208">
        <f t="shared" si="0"/>
        <v>0</v>
      </c>
      <c r="AA1" s="1208">
        <v>0</v>
      </c>
      <c r="AB1" s="1208">
        <v>0</v>
      </c>
      <c r="AC1" s="1208">
        <v>0</v>
      </c>
      <c r="AD1" s="1208">
        <v>0</v>
      </c>
      <c r="AE1" s="1208">
        <f t="shared" ref="AE1" si="1">SUM(AE4:AE32)</f>
        <v>17031</v>
      </c>
      <c r="AF1" s="1208">
        <f t="shared" ref="AF1:AP1" si="2">SUM(AF4:AF32)</f>
        <v>20760</v>
      </c>
      <c r="AG1" s="1208">
        <f t="shared" si="2"/>
        <v>25130</v>
      </c>
      <c r="AH1" s="1208">
        <f t="shared" si="2"/>
        <v>30320</v>
      </c>
      <c r="AI1" s="1208">
        <f t="shared" si="2"/>
        <v>31065</v>
      </c>
      <c r="AJ1" s="1208">
        <f t="shared" si="2"/>
        <v>37021</v>
      </c>
      <c r="AK1" s="1208">
        <f t="shared" si="2"/>
        <v>42152</v>
      </c>
      <c r="AL1" s="1208">
        <f t="shared" si="2"/>
        <v>35388</v>
      </c>
      <c r="AM1" s="1208">
        <f t="shared" si="2"/>
        <v>38634</v>
      </c>
      <c r="AN1" s="1208">
        <f t="shared" si="2"/>
        <v>45086</v>
      </c>
      <c r="AO1" s="1208"/>
      <c r="AP1" s="1208">
        <f t="shared" si="2"/>
        <v>56333</v>
      </c>
      <c r="AQ1" s="1491"/>
      <c r="AR1" s="1208"/>
      <c r="AS1" s="1208">
        <f>SUM(AS4:AS32)</f>
        <v>12517</v>
      </c>
      <c r="AT1" s="1141">
        <f>AVERAGE(AT4:AT32)</f>
        <v>0.76713837925793726</v>
      </c>
      <c r="AU1" s="1352">
        <f>AVERAGE(AU4:AU32)</f>
        <v>0.72481819092315347</v>
      </c>
      <c r="AV1" s="1208">
        <f>SUM(AV4:AV32)</f>
        <v>20102</v>
      </c>
      <c r="AW1" s="1141">
        <f>AVERAGE(AW4:AW32)</f>
        <v>0.86669507158034398</v>
      </c>
      <c r="AX1" s="1352">
        <f>AVERAGE(AX4:AX32)</f>
        <v>0.69704433142464051</v>
      </c>
      <c r="AY1" s="1208"/>
      <c r="AZ1" s="1141">
        <f>AVERAGE(AZ4:AZ32)</f>
        <v>1.1773367610345815</v>
      </c>
      <c r="BA1" s="1352">
        <f>AVERAGE(BA4:BA32)</f>
        <v>0.78389934855007559</v>
      </c>
      <c r="BB1" s="1208"/>
      <c r="BC1" s="1141">
        <f>AVERAGE(BC4:BC32)</f>
        <v>1.1320747972740728</v>
      </c>
      <c r="BD1" s="1352">
        <f>IFERROR(AVERAGE(BD4:BD32),"")</f>
        <v>0.83226413587699011</v>
      </c>
      <c r="BE1" s="1208"/>
      <c r="BF1" s="1141">
        <f>IFERROR(AVERAGE(BF4:BF32),"")</f>
        <v>0.75922560711092979</v>
      </c>
      <c r="BG1" s="1352">
        <f>AVERAGE(BG4:BG32)</f>
        <v>0.80240494597457213</v>
      </c>
      <c r="BH1" s="1208"/>
      <c r="BI1" s="1141">
        <f>IFERROR(AVERAGE(BI4:BI32),"")</f>
        <v>0.64734842345765253</v>
      </c>
      <c r="BJ1" s="1352">
        <f>AVERAGE(BJ4:BJ32)</f>
        <v>0.74970062160984685</v>
      </c>
      <c r="BK1" s="1208"/>
      <c r="BL1" s="1141">
        <f>IFERROR(AVERAGE(BL4:BL32),"")</f>
        <v>0.73162344286405523</v>
      </c>
      <c r="BM1" s="1352">
        <f>AVERAGE(BM4:BM32)</f>
        <v>0.73855698240060108</v>
      </c>
      <c r="BN1" s="1208"/>
      <c r="BO1" s="1141">
        <f>IFERROR(AVERAGE(BO4:BO32),"")</f>
        <v>0.58758737760074231</v>
      </c>
      <c r="BP1" s="1352">
        <f>AVERAGE(BP4:BP32)</f>
        <v>0.68560335243877879</v>
      </c>
      <c r="BQ1" s="1208"/>
      <c r="BR1" s="1141">
        <f>IFERROR(AVERAGE(BR4:BR32),"")</f>
        <v>0.67290600228948749</v>
      </c>
      <c r="BS1" s="1352">
        <f>AVERAGE(BS4:BS32)</f>
        <v>0.673657463674877</v>
      </c>
      <c r="BT1" s="1208"/>
      <c r="BU1" s="1141">
        <f>IFERROR(AVERAGE(BU4:BU32),"")</f>
        <v>0.57745432264890006</v>
      </c>
      <c r="BV1" s="1352">
        <f>AVERAGE(BV4:BV32)</f>
        <v>0.68486882698298102</v>
      </c>
      <c r="BW1" s="1208"/>
      <c r="BX1" s="1141">
        <f>IFERROR(AVERAGE(BX4:BX32),"")</f>
        <v>0.70685777202555489</v>
      </c>
      <c r="BY1" s="1352">
        <f>AVERAGE(BY4:BY32)</f>
        <v>0.69590316108748485</v>
      </c>
      <c r="BZ1" s="1208"/>
      <c r="CA1" s="1141">
        <f>IFERROR(AVERAGE(CA4:CA32),"")</f>
        <v>0.3576419196390424</v>
      </c>
      <c r="CB1" s="1352">
        <f>AVERAGE(CB4:CB32)</f>
        <v>0.60785465524042437</v>
      </c>
      <c r="CC1" s="1208"/>
      <c r="CG1" s="1892"/>
      <c r="CH1" s="1208">
        <f>SUM(CH4:CH32)</f>
        <v>18459</v>
      </c>
      <c r="CI1" s="2047">
        <f>AVERAGE(CI4:CI32)</f>
        <v>0.56701597993780561</v>
      </c>
      <c r="CJ1" s="2046">
        <f>AVERAGE(CJ4:CJ32)</f>
        <v>0.56928845813376916</v>
      </c>
      <c r="CK1" s="1208">
        <f>SUM(CK4:CK32)</f>
        <v>31673</v>
      </c>
      <c r="CL1" s="2047">
        <f>AVERAGE(CL4:CL32)</f>
        <v>0.82019834846159401</v>
      </c>
      <c r="CM1" s="2046">
        <f>AVERAGE(CM4:CM32)</f>
        <v>0.6687255946318823</v>
      </c>
      <c r="CN1" s="1208">
        <f>SUM(CN4:CN32)</f>
        <v>43952</v>
      </c>
      <c r="CO1" s="2047">
        <f>AVERAGE(CO4:CO32)</f>
        <v>0.5286837454569554</v>
      </c>
      <c r="CP1" s="2046">
        <f>AVERAGE(CP4:CP32)</f>
        <v>0.60835667977686858</v>
      </c>
      <c r="CQ1" s="1208">
        <f>SUM(CQ4:CQ32)</f>
        <v>55484</v>
      </c>
      <c r="CR1" s="2047">
        <f>AVERAGE(CR4:CR32)</f>
        <v>0.60360696896243571</v>
      </c>
      <c r="CS1" s="2046">
        <f>AVERAGE(CS4:CS32)</f>
        <v>0.59698440207643433</v>
      </c>
      <c r="CX1" s="1578">
        <f>SUM(CX4:CX32)</f>
        <v>187167.94897200001</v>
      </c>
      <c r="CY1" s="1794">
        <f>SUM(CY4:CY32)</f>
        <v>329404.23839199997</v>
      </c>
      <c r="CZ1" s="1580">
        <f>(CY1-CX1)/CX1</f>
        <v>0.75993934966546139</v>
      </c>
      <c r="DU1" s="1531"/>
      <c r="DV1" s="1531"/>
      <c r="DW1" s="1734">
        <f>(CY1-CX1)/CX1</f>
        <v>0.75993934966546139</v>
      </c>
      <c r="DX1" s="1531"/>
      <c r="DY1" s="1531"/>
    </row>
    <row r="2" spans="2:130" s="552" customFormat="1" ht="91" customHeight="1" thickBot="1">
      <c r="B2" s="555" t="s">
        <v>509</v>
      </c>
      <c r="C2" s="555" t="s">
        <v>510</v>
      </c>
      <c r="D2" s="555" t="s">
        <v>511</v>
      </c>
      <c r="E2" s="555" t="s">
        <v>11</v>
      </c>
      <c r="F2" s="555" t="s">
        <v>512</v>
      </c>
      <c r="G2" s="555" t="s">
        <v>513</v>
      </c>
      <c r="H2" s="555" t="s">
        <v>514</v>
      </c>
      <c r="I2" s="555" t="s">
        <v>515</v>
      </c>
      <c r="J2" s="555" t="s">
        <v>516</v>
      </c>
      <c r="K2" s="555" t="s">
        <v>517</v>
      </c>
      <c r="L2" s="555" t="s">
        <v>518</v>
      </c>
      <c r="M2" s="555" t="s">
        <v>519</v>
      </c>
      <c r="N2" s="555" t="s">
        <v>520</v>
      </c>
      <c r="O2" s="555" t="s">
        <v>521</v>
      </c>
      <c r="P2" s="555" t="s">
        <v>522</v>
      </c>
      <c r="Q2" s="555" t="s">
        <v>523</v>
      </c>
      <c r="R2" s="1165" t="s">
        <v>524</v>
      </c>
      <c r="S2" s="555" t="s">
        <v>525</v>
      </c>
      <c r="T2" s="555" t="s">
        <v>526</v>
      </c>
      <c r="U2" s="1166" t="s">
        <v>527</v>
      </c>
      <c r="V2" s="555" t="s">
        <v>528</v>
      </c>
      <c r="W2" s="1167" t="s">
        <v>529</v>
      </c>
      <c r="X2" s="1168" t="s">
        <v>530</v>
      </c>
      <c r="Y2" s="1242" t="s">
        <v>531</v>
      </c>
      <c r="Z2" s="1169"/>
      <c r="AA2" s="552" t="s">
        <v>532</v>
      </c>
      <c r="AB2" s="1146" t="s">
        <v>533</v>
      </c>
      <c r="AC2" s="552" t="s">
        <v>534</v>
      </c>
      <c r="AD2" s="552" t="s">
        <v>535</v>
      </c>
      <c r="AE2" s="552" t="s">
        <v>536</v>
      </c>
      <c r="AF2" s="552" t="s">
        <v>537</v>
      </c>
      <c r="AG2" s="552" t="s">
        <v>538</v>
      </c>
      <c r="AH2" s="552" t="s">
        <v>539</v>
      </c>
      <c r="AI2" s="552" t="s">
        <v>540</v>
      </c>
      <c r="AJ2" s="552" t="s">
        <v>541</v>
      </c>
      <c r="AK2" s="552" t="s">
        <v>542</v>
      </c>
      <c r="AL2" s="552" t="s">
        <v>543</v>
      </c>
      <c r="AM2" s="552" t="s">
        <v>544</v>
      </c>
      <c r="AN2" s="552" t="s">
        <v>545</v>
      </c>
      <c r="AO2" s="552" t="s">
        <v>546</v>
      </c>
      <c r="AP2" s="1146" t="s">
        <v>547</v>
      </c>
      <c r="AQ2" s="1492"/>
      <c r="AR2" s="552" t="s">
        <v>548</v>
      </c>
      <c r="AS2" s="552" t="s">
        <v>549</v>
      </c>
      <c r="AT2" s="1143" t="s">
        <v>550</v>
      </c>
      <c r="AU2" s="1143" t="s">
        <v>551</v>
      </c>
      <c r="AV2" s="552" t="s">
        <v>552</v>
      </c>
      <c r="AW2" s="1143" t="s">
        <v>553</v>
      </c>
      <c r="AX2" s="1143" t="s">
        <v>554</v>
      </c>
      <c r="AY2" s="552" t="s">
        <v>555</v>
      </c>
      <c r="AZ2" s="1143" t="s">
        <v>556</v>
      </c>
      <c r="BA2" s="1143" t="s">
        <v>557</v>
      </c>
      <c r="BB2" s="552" t="s">
        <v>558</v>
      </c>
      <c r="BC2" s="1143" t="s">
        <v>559</v>
      </c>
      <c r="BD2" s="1143" t="s">
        <v>560</v>
      </c>
      <c r="BE2" s="552" t="s">
        <v>561</v>
      </c>
      <c r="BF2" s="1143" t="s">
        <v>562</v>
      </c>
      <c r="BG2" s="1143" t="s">
        <v>563</v>
      </c>
      <c r="BH2" s="552" t="s">
        <v>564</v>
      </c>
      <c r="BI2" s="1143" t="s">
        <v>565</v>
      </c>
      <c r="BJ2" s="1143" t="s">
        <v>563</v>
      </c>
      <c r="BK2" s="552" t="s">
        <v>566</v>
      </c>
      <c r="BL2" s="1143" t="s">
        <v>567</v>
      </c>
      <c r="BM2" s="1143" t="s">
        <v>563</v>
      </c>
      <c r="BN2" s="552" t="s">
        <v>568</v>
      </c>
      <c r="BO2" s="1143" t="s">
        <v>569</v>
      </c>
      <c r="BP2" s="1143" t="s">
        <v>563</v>
      </c>
      <c r="BQ2" s="552" t="s">
        <v>570</v>
      </c>
      <c r="BR2" s="1143" t="s">
        <v>571</v>
      </c>
      <c r="BS2" s="1143" t="s">
        <v>563</v>
      </c>
      <c r="BT2" s="552" t="s">
        <v>572</v>
      </c>
      <c r="BU2" s="1143" t="s">
        <v>573</v>
      </c>
      <c r="BV2" s="1143" t="s">
        <v>563</v>
      </c>
      <c r="BW2" s="552" t="s">
        <v>574</v>
      </c>
      <c r="BX2" s="1143" t="s">
        <v>575</v>
      </c>
      <c r="BY2" s="1143" t="s">
        <v>563</v>
      </c>
      <c r="BZ2" s="552" t="s">
        <v>576</v>
      </c>
      <c r="CA2" s="1143" t="s">
        <v>577</v>
      </c>
      <c r="CB2" s="1143" t="s">
        <v>563</v>
      </c>
      <c r="CC2" s="1941" t="s">
        <v>578</v>
      </c>
      <c r="CD2" s="1941" t="s">
        <v>579</v>
      </c>
      <c r="CE2" s="1941" t="s">
        <v>580</v>
      </c>
      <c r="CF2" s="1941" t="s">
        <v>581</v>
      </c>
      <c r="CG2" s="1893"/>
      <c r="CH2" s="552" t="s">
        <v>582</v>
      </c>
      <c r="CI2" s="1143" t="s">
        <v>550</v>
      </c>
      <c r="CJ2" s="1143" t="s">
        <v>551</v>
      </c>
      <c r="CK2" s="552" t="s">
        <v>583</v>
      </c>
      <c r="CL2" s="1143" t="s">
        <v>553</v>
      </c>
      <c r="CM2" s="1143" t="s">
        <v>584</v>
      </c>
      <c r="CN2" s="552" t="s">
        <v>585</v>
      </c>
      <c r="CO2" s="1143" t="s">
        <v>556</v>
      </c>
      <c r="CP2" s="1143" t="s">
        <v>586</v>
      </c>
      <c r="CQ2" s="552" t="s">
        <v>7811</v>
      </c>
      <c r="CR2" s="1143" t="s">
        <v>559</v>
      </c>
      <c r="CS2" s="1143" t="s">
        <v>7812</v>
      </c>
      <c r="CU2" s="1551" t="s">
        <v>587</v>
      </c>
      <c r="CV2" s="1551" t="s">
        <v>588</v>
      </c>
      <c r="CW2" s="552" t="s">
        <v>589</v>
      </c>
      <c r="CX2" s="552" t="s">
        <v>590</v>
      </c>
      <c r="CY2" s="552" t="s">
        <v>591</v>
      </c>
      <c r="CZ2" s="552" t="s">
        <v>592</v>
      </c>
      <c r="DA2" s="552" t="s">
        <v>593</v>
      </c>
      <c r="DB2" s="552">
        <v>1</v>
      </c>
      <c r="DC2" s="552">
        <v>2</v>
      </c>
      <c r="DD2" s="552">
        <v>3</v>
      </c>
      <c r="DE2" s="552">
        <v>4</v>
      </c>
      <c r="DF2" s="552">
        <v>5</v>
      </c>
      <c r="DG2" s="552">
        <v>6</v>
      </c>
      <c r="DH2" s="552">
        <v>7</v>
      </c>
      <c r="DI2" s="552">
        <v>8</v>
      </c>
      <c r="DJ2" s="552">
        <v>9</v>
      </c>
      <c r="DK2" s="552">
        <v>10</v>
      </c>
      <c r="DL2" s="552">
        <v>11</v>
      </c>
      <c r="DM2" s="552">
        <v>12</v>
      </c>
      <c r="DN2" s="552">
        <v>1</v>
      </c>
      <c r="DO2" s="552">
        <v>2</v>
      </c>
      <c r="DP2" s="552">
        <v>3</v>
      </c>
      <c r="DQ2" s="552">
        <v>4</v>
      </c>
      <c r="DR2" s="1810" t="s">
        <v>594</v>
      </c>
      <c r="DS2" s="1573" t="s">
        <v>595</v>
      </c>
      <c r="DT2" s="1735"/>
      <c r="DU2" s="1581" t="s">
        <v>596</v>
      </c>
      <c r="DV2" s="1581" t="s">
        <v>597</v>
      </c>
      <c r="DW2" s="1731" t="s">
        <v>598</v>
      </c>
      <c r="DX2" s="1579" t="s">
        <v>599</v>
      </c>
      <c r="DY2" s="1581" t="s">
        <v>269</v>
      </c>
      <c r="DZ2" s="1589" t="s">
        <v>600</v>
      </c>
    </row>
    <row r="3" spans="2:130" s="552" customFormat="1" ht="23" customHeight="1" thickBot="1">
      <c r="B3" s="1171"/>
      <c r="C3" s="1172"/>
      <c r="D3" s="1172"/>
      <c r="E3" s="1172"/>
      <c r="F3" s="1172"/>
      <c r="G3" s="1172"/>
      <c r="H3" s="1172"/>
      <c r="I3" s="1172"/>
      <c r="J3" s="1172"/>
      <c r="K3" s="1172"/>
      <c r="L3" s="1172"/>
      <c r="M3" s="1172"/>
      <c r="N3" s="1172"/>
      <c r="O3" s="1172"/>
      <c r="P3" s="1172"/>
      <c r="Q3" s="1172"/>
      <c r="R3" s="1173"/>
      <c r="S3" s="1172"/>
      <c r="T3" s="1172"/>
      <c r="U3" s="1174"/>
      <c r="V3" s="1172"/>
      <c r="W3" s="1175"/>
      <c r="X3" s="1176"/>
      <c r="Y3" s="1243"/>
      <c r="Z3" s="1177"/>
      <c r="AA3" s="1180"/>
      <c r="AB3" s="1179"/>
      <c r="AC3" s="1177">
        <v>1</v>
      </c>
      <c r="AD3" s="1177">
        <v>2</v>
      </c>
      <c r="AE3" s="1177">
        <v>3</v>
      </c>
      <c r="AF3" s="1177">
        <v>4</v>
      </c>
      <c r="AG3" s="1177">
        <v>5</v>
      </c>
      <c r="AH3" s="1177">
        <v>6</v>
      </c>
      <c r="AI3" s="1177">
        <v>7</v>
      </c>
      <c r="AJ3" s="1177">
        <v>8</v>
      </c>
      <c r="AK3" s="1177">
        <v>9</v>
      </c>
      <c r="AL3" s="1177">
        <v>10</v>
      </c>
      <c r="AM3" s="1177">
        <v>11</v>
      </c>
      <c r="AN3" s="1177">
        <v>12</v>
      </c>
      <c r="AO3" s="1592">
        <v>1403</v>
      </c>
      <c r="AP3" s="1179"/>
      <c r="AQ3" s="1493"/>
      <c r="AR3" s="1177"/>
      <c r="AS3" s="1177">
        <v>1</v>
      </c>
      <c r="AT3" s="1177">
        <v>1</v>
      </c>
      <c r="AU3" s="1177">
        <v>1</v>
      </c>
      <c r="AV3" s="1177">
        <v>2</v>
      </c>
      <c r="AW3" s="1177">
        <v>2</v>
      </c>
      <c r="AX3" s="1177">
        <v>2</v>
      </c>
      <c r="AY3" s="1177">
        <v>3</v>
      </c>
      <c r="AZ3" s="1177">
        <v>3</v>
      </c>
      <c r="BA3" s="1178">
        <v>3</v>
      </c>
      <c r="BB3" s="1177">
        <v>4</v>
      </c>
      <c r="BC3" s="1177">
        <v>4</v>
      </c>
      <c r="BD3" s="1178">
        <v>4</v>
      </c>
      <c r="BE3" s="1177">
        <v>5</v>
      </c>
      <c r="BF3" s="1177">
        <v>5</v>
      </c>
      <c r="BG3" s="1178">
        <v>5</v>
      </c>
      <c r="BH3" s="1177">
        <v>6</v>
      </c>
      <c r="BI3" s="1177">
        <v>6</v>
      </c>
      <c r="BJ3" s="1178">
        <v>6</v>
      </c>
      <c r="BK3" s="1177">
        <v>7</v>
      </c>
      <c r="BL3" s="1177">
        <v>7</v>
      </c>
      <c r="BM3" s="1178">
        <v>7</v>
      </c>
      <c r="BN3" s="1177">
        <v>8</v>
      </c>
      <c r="BO3" s="1177">
        <v>8</v>
      </c>
      <c r="BP3" s="1178">
        <v>8</v>
      </c>
      <c r="BQ3" s="1177">
        <v>9</v>
      </c>
      <c r="BR3" s="1177">
        <v>9</v>
      </c>
      <c r="BS3" s="1177">
        <v>9</v>
      </c>
      <c r="BT3" s="1177">
        <v>10</v>
      </c>
      <c r="BU3" s="1177">
        <v>10</v>
      </c>
      <c r="BV3" s="1177">
        <v>10</v>
      </c>
      <c r="BW3" s="1177">
        <v>11</v>
      </c>
      <c r="BX3" s="1177">
        <v>11</v>
      </c>
      <c r="BY3" s="1177">
        <v>11</v>
      </c>
      <c r="BZ3" s="1177">
        <v>12</v>
      </c>
      <c r="CA3" s="1177">
        <v>12</v>
      </c>
      <c r="CB3" s="1177">
        <v>12</v>
      </c>
      <c r="CC3" s="1903">
        <v>1404</v>
      </c>
      <c r="CD3" s="1903">
        <v>1404</v>
      </c>
      <c r="CE3" s="1592"/>
      <c r="CF3" s="1592"/>
      <c r="CG3" s="1894"/>
      <c r="CH3" s="1177">
        <v>1</v>
      </c>
      <c r="CI3" s="1177">
        <v>1</v>
      </c>
      <c r="CJ3" s="1177">
        <v>1</v>
      </c>
      <c r="CK3" s="1177">
        <v>2</v>
      </c>
      <c r="CL3" s="1177">
        <v>2</v>
      </c>
      <c r="CM3" s="1177">
        <v>2</v>
      </c>
      <c r="CN3" s="1177">
        <v>3</v>
      </c>
      <c r="CO3" s="1177">
        <v>3</v>
      </c>
      <c r="CP3" s="1177">
        <v>3</v>
      </c>
      <c r="CQ3" s="1177">
        <v>4</v>
      </c>
      <c r="CR3" s="1177">
        <v>4</v>
      </c>
      <c r="CS3" s="1177">
        <v>4</v>
      </c>
      <c r="DW3" s="1732"/>
      <c r="DX3" s="552" t="s">
        <v>234</v>
      </c>
    </row>
    <row r="4" spans="2:130" ht="68" customHeight="1">
      <c r="B4" s="1119">
        <f>_xlfn.XLOOKUP(E4,Cement!$Q$7:$Q$35,Cement!$A$7:$A$35,"")</f>
        <v>44.669651090194165</v>
      </c>
      <c r="C4" s="394">
        <f>_xlfn.XLOOKUP(E4,Cement!$Q$7:$Q$35,Cement!$S$7:$S$35,"")</f>
        <v>14568</v>
      </c>
      <c r="D4" s="1322" t="s">
        <v>46</v>
      </c>
      <c r="E4" s="1950" t="s">
        <v>47</v>
      </c>
      <c r="F4" s="982">
        <f>_xlfn.XLOOKUP(E4,Cement!$Q$7:$Q$35,Cement!$R$7:$R$35,"")</f>
        <v>12</v>
      </c>
      <c r="G4" s="1203">
        <f>_xlfn.XLOOKUP(E4,Cement!$Q$7:$Q$35,Cement!$AP$7:$AP$35,"")</f>
        <v>2832</v>
      </c>
      <c r="H4" s="1210">
        <v>2063</v>
      </c>
      <c r="I4" s="1713">
        <f t="shared" ref="I4:I32" si="3">G4-H4</f>
        <v>769</v>
      </c>
      <c r="J4" s="1712">
        <f t="shared" ref="J4:J32" si="4">H4/G4</f>
        <v>0.72846045197740117</v>
      </c>
      <c r="K4" s="1761">
        <v>4</v>
      </c>
      <c r="L4" s="1727">
        <f t="shared" ref="L4:L32" si="5">IF(K4&gt;F4,(K4-F4),((12-F4)+K4))</f>
        <v>4</v>
      </c>
      <c r="M4" s="690">
        <v>793</v>
      </c>
      <c r="N4" s="690">
        <v>1609</v>
      </c>
      <c r="O4" s="1717">
        <v>1372</v>
      </c>
      <c r="P4" s="1713">
        <f t="shared" ref="P4:P32" si="6">N4-O4</f>
        <v>237</v>
      </c>
      <c r="Q4" s="1712">
        <f t="shared" ref="Q4:Q32" si="7">O4/N4</f>
        <v>0.85270354257302672</v>
      </c>
      <c r="R4" s="587">
        <f t="shared" ref="R4:R32" si="8">N4*(12/L4)</f>
        <v>4827</v>
      </c>
      <c r="S4" s="588">
        <f t="shared" ref="S4:S32" si="9">(N4-M4)/M4</f>
        <v>1.0290037831021437</v>
      </c>
      <c r="T4" s="588">
        <f t="shared" ref="T4:T32" si="10">M4/G4</f>
        <v>0.2800141242937853</v>
      </c>
      <c r="U4" s="589">
        <f t="shared" ref="U4:U32" si="11">G4*(1+S4)</f>
        <v>5746.1387137452703</v>
      </c>
      <c r="V4" s="710">
        <f t="shared" ref="V4:V32" si="12">N4-M4</f>
        <v>816</v>
      </c>
      <c r="W4" s="590">
        <f t="shared" ref="W4:W32" si="13">G4+V4</f>
        <v>3648</v>
      </c>
      <c r="X4" s="1170">
        <f t="shared" ref="X4:X32" si="14">IF(AND(N4&gt;=M4,(R4+U4+U4+W4)/4&lt;G4),W4,(R4+U4+U4+W4)/4)</f>
        <v>4991.8193568726347</v>
      </c>
      <c r="Y4" s="1244">
        <f t="shared" ref="Y4:Y32" si="15">(X4-G4)/G4</f>
        <v>0.7626480779917495</v>
      </c>
      <c r="Z4" s="668"/>
      <c r="AA4" s="63">
        <v>591</v>
      </c>
      <c r="AB4" s="1147">
        <v>591</v>
      </c>
      <c r="AC4" s="63">
        <v>40</v>
      </c>
      <c r="AD4" s="63">
        <v>110</v>
      </c>
      <c r="AE4" s="63">
        <v>189</v>
      </c>
      <c r="AF4" s="63">
        <v>298</v>
      </c>
      <c r="AG4" s="63">
        <v>438</v>
      </c>
      <c r="AH4" s="63">
        <v>560</v>
      </c>
      <c r="AI4" s="63">
        <v>696</v>
      </c>
      <c r="AJ4" s="63">
        <v>810</v>
      </c>
      <c r="AK4" s="63">
        <v>908</v>
      </c>
      <c r="AL4" s="63">
        <v>1066</v>
      </c>
      <c r="AM4" s="63">
        <v>1224</v>
      </c>
      <c r="AN4" s="1140">
        <v>1391</v>
      </c>
      <c r="AO4" s="1594">
        <f t="shared" ref="AO4:AO12" si="16">AN4+AB4-AA4</f>
        <v>1391</v>
      </c>
      <c r="AP4" s="1147">
        <v>1391</v>
      </c>
      <c r="AQ4" s="1494"/>
      <c r="AR4" s="1901">
        <v>0</v>
      </c>
      <c r="AS4" s="63">
        <v>162</v>
      </c>
      <c r="AT4" s="1427">
        <f t="shared" ref="AT4:AT32" si="17">IFERROR(IF(OR(AT$3-$F4=1,AT$3-$F4=-11),(AS4-AC4)/AC4,((AS4-AR4)-(AC4-AA4))/(AC4-AA4)),"")</f>
        <v>3.05</v>
      </c>
      <c r="AU4" s="1351">
        <f t="shared" ref="AU4:AU32" si="18">IFERROR((AS4-AC4)/AC4,"")</f>
        <v>3.05</v>
      </c>
      <c r="AV4" s="63">
        <v>362</v>
      </c>
      <c r="AW4" s="1427">
        <f t="shared" ref="AW4:AW32" si="19">IFERROR(IF(OR(AW$3-$F4=1,AW$3-$F4=-11),(AV4-AD4)/AD4,((AV4-AS4)-(AD4-AC4))/(AD4-AC4)),"")</f>
        <v>1.8571428571428572</v>
      </c>
      <c r="AX4" s="1351">
        <f t="shared" ref="AX4:AX32" si="20">IFERROR((AV4-AD4)/AD4,"")</f>
        <v>2.290909090909091</v>
      </c>
      <c r="AY4" s="63">
        <v>573</v>
      </c>
      <c r="AZ4" s="1427">
        <f t="shared" ref="AZ4:AZ32" si="21">IFERROR(IF(OR(AZ$3-$F4=1,AZ$3-$F4=-11),(AY4-AE4)/AE4,((AY4-AV4)-(AE4-AD4))/(AE4-AD4)),"")</f>
        <v>1.6708860759493671</v>
      </c>
      <c r="BA4" s="1351">
        <f t="shared" ref="BA4:BA32" si="22">IFERROR((AY4-AE4)/AE4,"")</f>
        <v>2.0317460317460316</v>
      </c>
      <c r="BB4" s="63">
        <v>793</v>
      </c>
      <c r="BC4" s="1427">
        <f t="shared" ref="BC4:BC32" si="23">IFERROR(IF(OR(BC$3-$F4=1,BC$3-$F4=-11),(BB4-AF4)/AF4,((BB4-AY4)-(AF4-AE4))/(AF4-AE4)),"")</f>
        <v>1.0183486238532109</v>
      </c>
      <c r="BD4" s="1351">
        <f t="shared" ref="BD4:BD32" si="24">IFERROR((BB4-AF4)/AF4,"")</f>
        <v>1.6610738255033557</v>
      </c>
      <c r="BE4" s="63">
        <v>953</v>
      </c>
      <c r="BF4" s="1427">
        <f t="shared" ref="BF4:BF32" si="25">IFERROR(IF(OR(BF$3-$F4=1,BF$3-$F4=-11),(BE4-AG4)/AG4,((BE4-BB4)-(AG4-AF4))/(AG4-AF4)),"")</f>
        <v>0.14285714285714285</v>
      </c>
      <c r="BG4" s="1351">
        <f t="shared" ref="BG4:BG32" si="26">IFERROR((BE4-AG4)/AG4,"")</f>
        <v>1.1757990867579908</v>
      </c>
      <c r="BH4" s="63">
        <v>1215</v>
      </c>
      <c r="BI4" s="1427">
        <f t="shared" ref="BI4:BI32" si="27">IFERROR(IF(OR(BI$3-$F4=1,BI$3-$F4=-11),(BH4-AH4)/AH4,((BH4-BE4)-(AH4-AG4))/(AH4-AG4)),"")</f>
        <v>1.1475409836065573</v>
      </c>
      <c r="BJ4" s="1351">
        <f t="shared" ref="BJ4:BJ32" si="28">IFERROR((BH4-AH4)/AH4,"")</f>
        <v>1.1696428571428572</v>
      </c>
      <c r="BK4" s="63">
        <v>1487</v>
      </c>
      <c r="BL4" s="1427">
        <f t="shared" ref="BL4:BL32" si="29">IFERROR(IF(OR(BL$3-$F4=1,BL$3-$F4=-11),(BK4-AI4)/AI4,((BK4-BH4)-(AI4-AH4))/(AI4-AH4)),"")</f>
        <v>1</v>
      </c>
      <c r="BM4" s="1351">
        <f t="shared" ref="BM4:BM32" si="30">IFERROR((BK4-AI4)/AI4,"")</f>
        <v>1.1364942528735633</v>
      </c>
      <c r="BN4" s="63">
        <v>1823</v>
      </c>
      <c r="BO4" s="1427">
        <f t="shared" ref="BO4:BO32" si="31">IFERROR(IF(OR(BO$3-$F4=1,BO$3-$F4=-11),(BN4-AJ4)/AJ4,((BN4-BK4)-(AJ4-AI4))/(AJ4-AI4)),"")</f>
        <v>1.9473684210526316</v>
      </c>
      <c r="BP4" s="1351">
        <f t="shared" ref="BP4:BP32" si="32">IFERROR((BN4-AJ4)/AJ4,"")</f>
        <v>1.2506172839506173</v>
      </c>
      <c r="BQ4" s="63">
        <v>2062</v>
      </c>
      <c r="BR4" s="1427">
        <f t="shared" ref="BR4:BR32" si="33">IFERROR(IF(OR(BR$3-$F4=1,BR$3-$F4=-11),(BQ4-AK4)/AK4,((BQ4-BN4)-(AK4-AJ4))/(AK4-AJ4)),"")</f>
        <v>1.4387755102040816</v>
      </c>
      <c r="BS4" s="1351">
        <f t="shared" ref="BS4:BS32" si="34">IFERROR((BQ4-AK4)/AK4,"")</f>
        <v>1.2709251101321586</v>
      </c>
      <c r="BT4" s="63">
        <v>2300</v>
      </c>
      <c r="BU4" s="1427">
        <f t="shared" ref="BU4:BU32" si="35">IFERROR(IF(OR(BU$3-$F4=1,BU$3-$F4=-11),(BT4-AL4)/AL4,((BT4-BQ4)-(AL4-AK4))/(AL4-AK4)),"")</f>
        <v>0.50632911392405067</v>
      </c>
      <c r="BV4" s="1351">
        <f t="shared" ref="BV4:BV32" si="36">IF(BT4&gt;0,((BT4-AL4)/AL4),"")</f>
        <v>1.1575984990619137</v>
      </c>
      <c r="BW4" s="63">
        <v>2504</v>
      </c>
      <c r="BX4" s="1427">
        <f t="shared" ref="BX4:BX32" si="37">IFERROR(IF(OR(BX$3-$F4=1,BX$3-$F4=-11),(BW4-AM4)/AM4,((BW4-BT4)-(AM4-AL4))/(AM4-AL4)),"")</f>
        <v>0.29113924050632911</v>
      </c>
      <c r="BY4" s="1351">
        <f t="shared" ref="BY4:BY32" si="38">IF(BW4&gt;0,((BW4-AM4)/AM4),"")</f>
        <v>1.0457516339869282</v>
      </c>
      <c r="BZ4" s="1140">
        <v>2832</v>
      </c>
      <c r="CA4" s="1427">
        <f t="shared" ref="CA4:CA32" si="39">IFERROR(IF(OR(CA$3-$F4=1,CA$3-$F4=-11),(BZ4-AN4)/AN4,((BZ4-BW4)-(AN4-AM4))/(AN4-AM4)),"")</f>
        <v>0.9640718562874252</v>
      </c>
      <c r="CB4" s="1351">
        <f t="shared" ref="CB4:CB32" si="40">IF(BZ4&gt;0,((BZ4-AN4)/AN4),"")</f>
        <v>1.0359453630481668</v>
      </c>
      <c r="CC4" s="1901">
        <v>0</v>
      </c>
      <c r="CD4" s="1594">
        <f t="shared" ref="CD4:CD12" si="41">BZ4</f>
        <v>2832</v>
      </c>
      <c r="CE4" s="1939">
        <f t="shared" ref="CE4:CE32" si="42">IFERROR((CD4-AO4)/AO4,"")</f>
        <v>1.0359453630481668</v>
      </c>
      <c r="CF4" s="1940">
        <f t="shared" ref="CF4:CF32" si="43">RANK(CE4,$CE$4:$CE$32)</f>
        <v>3</v>
      </c>
      <c r="CG4" s="1895"/>
      <c r="CH4" s="1815">
        <v>426</v>
      </c>
      <c r="CI4" s="2039">
        <f t="shared" ref="CI4:CI32" si="44">IFERROR(IF(OR(CI$3-$F4=1,CI$3-$F4=-11),(CH4-AS4)/AS4,((CH4-BZ4)-(AS4-AN4))/(AS4-AN4)),"")</f>
        <v>1.6296296296296295</v>
      </c>
      <c r="CJ4" s="2041">
        <f t="shared" ref="CJ4:CJ32" si="45">IF(CH4&gt;0,((CH4-AS4)/AS4),"")</f>
        <v>1.6296296296296295</v>
      </c>
      <c r="CK4" s="1815">
        <v>881</v>
      </c>
      <c r="CL4" s="2039">
        <f t="shared" ref="CL4:CL32" si="46">IFERROR(IF(OR(CL$3-$F4=1,CL$3-$F4=-11),(CK4-AV4)/AV4,((CK4-CH4)-(AV4-AS4))/(AV4-AS4)),"")</f>
        <v>1.2749999999999999</v>
      </c>
      <c r="CM4" s="2041">
        <f t="shared" ref="CM4:CM32" si="47">IF(CK4&gt;0,((CK4-AV4)/AV4),"")</f>
        <v>1.4337016574585635</v>
      </c>
      <c r="CN4" s="1815">
        <v>1221</v>
      </c>
      <c r="CO4" s="2039">
        <f t="shared" ref="CO4:CO32" si="48">IFERROR(IF(OR(CO$3-$F4=1,CO$3-$F4=-11),(CN4-AY4)/AY4,((CN4-CK4)-(AY4-AV4))/(AY4-AV4)),"")</f>
        <v>0.61137440758293837</v>
      </c>
      <c r="CP4" s="2041">
        <f t="shared" ref="CP4:CP32" si="49">IF(CN4&gt;0,((CN4-AY4)/AY4),"")</f>
        <v>1.130890052356021</v>
      </c>
      <c r="CQ4" s="1815">
        <v>1609</v>
      </c>
      <c r="CR4" s="2039">
        <f t="shared" ref="CR4:CR32" si="50">IFERROR(IF(OR(CR$3-$F4=1,CR$3-$F4=-11),(CQ4-BB4)/BB4,((CQ4-CN4)-(BB4-AY4))/(BB4-AY4)),"")</f>
        <v>0.76363636363636367</v>
      </c>
      <c r="CS4" s="2041">
        <f t="shared" ref="CS4:CS32" si="51">IF(CQ4&gt;0,((CQ4-BB4)/BB4),"")</f>
        <v>1.0290037831021437</v>
      </c>
      <c r="CU4" s="1948">
        <f t="shared" ref="CU4:CU32" si="52">IFERROR(IF(CS4&gt;-100,CS4-CP4,""),"")</f>
        <v>-0.10188626925387734</v>
      </c>
      <c r="CV4" s="1940">
        <f t="shared" ref="CV4:CV32" si="53">IFERROR(RANK(CS4, $CS$4:$CS$32),"")</f>
        <v>3</v>
      </c>
      <c r="CW4" s="1580">
        <f t="shared" ref="CW4:CW32" si="54">IFERROR((SUMIF($CZ$4:$CZ$93,CZ4,$CY$4:$CY$93)-SUMIF($CZ$4:$CZ$93,CZ4,$CX$4:$CX$93))/SUMIF($CZ$4:$CZ$93,CZ4,$CX$4:$CX$93),"")</f>
        <v>1.8531990160103571</v>
      </c>
      <c r="CX4" s="1799">
        <v>2217</v>
      </c>
      <c r="CY4" s="1794">
        <f>_xlfn.XLOOKUP(E4,Cement!$Q$7:$Q$35,Cement!$S$7:$S$35)</f>
        <v>14568</v>
      </c>
      <c r="CZ4" s="1245" t="s">
        <v>604</v>
      </c>
      <c r="DA4" s="1802">
        <v>0.9</v>
      </c>
      <c r="DB4" s="1529">
        <f t="shared" ref="DB4:DB32" si="55">AU4</f>
        <v>3.05</v>
      </c>
      <c r="DC4" s="1529">
        <f t="shared" ref="DC4:DC32" si="56">AX4</f>
        <v>2.290909090909091</v>
      </c>
      <c r="DD4" s="1529">
        <f t="shared" ref="DD4:DD32" si="57">BA4</f>
        <v>2.0317460317460316</v>
      </c>
      <c r="DE4" s="1529">
        <f t="shared" ref="DE4:DE32" si="58">BD4</f>
        <v>1.6610738255033557</v>
      </c>
      <c r="DF4" s="1529">
        <f t="shared" ref="DF4:DF32" si="59">BG4</f>
        <v>1.1757990867579908</v>
      </c>
      <c r="DG4" s="1529">
        <f t="shared" ref="DG4:DG32" si="60">BJ4</f>
        <v>1.1696428571428572</v>
      </c>
      <c r="DH4" s="1529">
        <f t="shared" ref="DH4:DH32" si="61">BM4</f>
        <v>1.1364942528735633</v>
      </c>
      <c r="DI4" s="1529">
        <f t="shared" ref="DI4:DI32" si="62">BP4</f>
        <v>1.2506172839506173</v>
      </c>
      <c r="DJ4" s="1529">
        <f t="shared" ref="DJ4:DJ32" si="63">BS4</f>
        <v>1.2709251101321586</v>
      </c>
      <c r="DK4" s="1529">
        <f t="shared" ref="DK4:DK32" si="64">BV4</f>
        <v>1.1575984990619137</v>
      </c>
      <c r="DL4" s="1529">
        <f t="shared" ref="DL4:DL32" si="65">BY4</f>
        <v>1.0457516339869282</v>
      </c>
      <c r="DM4" s="1529">
        <f t="shared" ref="DM4:DM32" si="66">CB4</f>
        <v>1.0359453630481668</v>
      </c>
      <c r="DN4" s="1529">
        <f t="shared" ref="DN4:DN32" si="67">CJ4</f>
        <v>1.6296296296296295</v>
      </c>
      <c r="DO4" s="1529">
        <f t="shared" ref="DO4:DO32" si="68">CM4</f>
        <v>1.4337016574585635</v>
      </c>
      <c r="DP4" s="1529">
        <f t="shared" ref="DP4:DP32" si="69">CP4</f>
        <v>1.130890052356021</v>
      </c>
      <c r="DQ4" s="1529">
        <f t="shared" ref="DQ4:DQ32" si="70">CS4</f>
        <v>1.0290037831021437</v>
      </c>
      <c r="DS4" s="1583" t="s">
        <v>605</v>
      </c>
      <c r="DT4" s="1736"/>
      <c r="DU4" s="1580">
        <f>_xlfn.XLOOKUP(E4,E4:E93,CW4:CW93,"")</f>
        <v>1.8531990160103571</v>
      </c>
      <c r="DV4" s="1943">
        <f t="shared" ref="DV4:DV32" si="71">CV4</f>
        <v>3</v>
      </c>
      <c r="DW4" s="1730">
        <f t="shared" ref="DW4:DW32" si="72">IFERROR((CY4-CX4)/CX4, "NEW")</f>
        <v>5.5710419485791611</v>
      </c>
      <c r="DX4" s="1860">
        <f t="shared" ref="DX4:DX32" si="73">(Q4-J4)*100</f>
        <v>12.424309059562555</v>
      </c>
      <c r="DY4" s="1683">
        <f>_xlfn.XLOOKUP(E4,Cement!$Q$7:$Q$35,Cement!$D$7:$D$35,"")</f>
        <v>1.3975739604619584</v>
      </c>
      <c r="DZ4" s="1583" t="s">
        <v>605</v>
      </c>
    </row>
    <row r="5" spans="2:130" ht="68" customHeight="1">
      <c r="B5" s="1118">
        <f>_xlfn.XLOOKUP(E5,Cement!$Q$7:$Q$35,Cement!$A$7:$A$35,"")</f>
        <v>36.791772247933693</v>
      </c>
      <c r="C5" s="394">
        <f>_xlfn.XLOOKUP(E5,Cement!$Q$7:$Q$35,Cement!$S$7:$S$35,"")</f>
        <v>8528</v>
      </c>
      <c r="D5" s="223" t="s">
        <v>62</v>
      </c>
      <c r="E5" s="1949" t="s">
        <v>63</v>
      </c>
      <c r="F5" s="982">
        <f>_xlfn.XLOOKUP(E5,Cement!$Q$7:$Q$35,Cement!$R$7:$R$35,"")</f>
        <v>12</v>
      </c>
      <c r="G5" s="1204">
        <f>_xlfn.XLOOKUP(E5,Cement!$Q$7:$Q$35,Cement!$AP$7:$AP$35,"")</f>
        <v>2268</v>
      </c>
      <c r="H5" s="1211">
        <v>269</v>
      </c>
      <c r="I5" s="1713">
        <f t="shared" si="3"/>
        <v>1999</v>
      </c>
      <c r="J5" s="1712">
        <f t="shared" si="4"/>
        <v>0.11860670194003527</v>
      </c>
      <c r="K5" s="1761">
        <v>4</v>
      </c>
      <c r="L5" s="1728">
        <f t="shared" si="5"/>
        <v>4</v>
      </c>
      <c r="M5" s="689">
        <v>640</v>
      </c>
      <c r="N5" s="689">
        <v>1219</v>
      </c>
      <c r="O5" s="1718">
        <v>0</v>
      </c>
      <c r="P5" s="1713">
        <f t="shared" si="6"/>
        <v>1219</v>
      </c>
      <c r="Q5" s="1712">
        <f t="shared" si="7"/>
        <v>0</v>
      </c>
      <c r="R5" s="557">
        <f t="shared" si="8"/>
        <v>3657</v>
      </c>
      <c r="S5" s="553">
        <f t="shared" si="9"/>
        <v>0.90468749999999998</v>
      </c>
      <c r="T5" s="553">
        <f t="shared" si="10"/>
        <v>0.2821869488536155</v>
      </c>
      <c r="U5" s="558">
        <f t="shared" si="11"/>
        <v>4319.8312500000002</v>
      </c>
      <c r="V5" s="591">
        <f t="shared" si="12"/>
        <v>579</v>
      </c>
      <c r="W5" s="559">
        <f t="shared" si="13"/>
        <v>2847</v>
      </c>
      <c r="X5" s="1170">
        <f t="shared" si="14"/>
        <v>3785.9156250000001</v>
      </c>
      <c r="Y5" s="1244">
        <f t="shared" si="15"/>
        <v>0.66927496693121702</v>
      </c>
      <c r="Z5" s="658"/>
      <c r="AA5" s="63">
        <v>1376</v>
      </c>
      <c r="AB5" s="1147">
        <v>1376</v>
      </c>
      <c r="AC5" s="63">
        <v>106</v>
      </c>
      <c r="AD5" s="63">
        <v>301</v>
      </c>
      <c r="AE5" s="63">
        <v>339</v>
      </c>
      <c r="AF5" s="63">
        <v>421</v>
      </c>
      <c r="AG5" s="63">
        <v>501</v>
      </c>
      <c r="AH5" s="63">
        <v>645</v>
      </c>
      <c r="AI5" s="63">
        <v>812</v>
      </c>
      <c r="AJ5" s="63">
        <v>976</v>
      </c>
      <c r="AK5" s="1791">
        <v>1106</v>
      </c>
      <c r="AL5" s="63">
        <v>1294</v>
      </c>
      <c r="AM5" s="63">
        <v>1430</v>
      </c>
      <c r="AN5" s="1140">
        <v>1611</v>
      </c>
      <c r="AO5" s="1594">
        <f t="shared" si="16"/>
        <v>1611</v>
      </c>
      <c r="AP5" s="1147">
        <v>1611</v>
      </c>
      <c r="AQ5" s="1494"/>
      <c r="AR5" s="1901">
        <v>0</v>
      </c>
      <c r="AS5" s="63">
        <v>105</v>
      </c>
      <c r="AT5" s="1427">
        <f t="shared" si="17"/>
        <v>-9.433962264150943E-3</v>
      </c>
      <c r="AU5" s="1351">
        <f t="shared" si="18"/>
        <v>-9.433962264150943E-3</v>
      </c>
      <c r="AV5" s="63">
        <v>238</v>
      </c>
      <c r="AW5" s="1427">
        <f t="shared" si="19"/>
        <v>-0.31794871794871793</v>
      </c>
      <c r="AX5" s="1351">
        <f t="shared" si="20"/>
        <v>-0.20930232558139536</v>
      </c>
      <c r="AY5" s="63">
        <v>482</v>
      </c>
      <c r="AZ5" s="1427">
        <f t="shared" si="21"/>
        <v>5.4210526315789478</v>
      </c>
      <c r="BA5" s="1351">
        <f t="shared" si="22"/>
        <v>0.42182890855457228</v>
      </c>
      <c r="BB5" s="63">
        <v>640</v>
      </c>
      <c r="BC5" s="1427">
        <f t="shared" si="23"/>
        <v>0.92682926829268297</v>
      </c>
      <c r="BD5" s="1351">
        <f t="shared" si="24"/>
        <v>0.52019002375296908</v>
      </c>
      <c r="BE5" s="63">
        <v>809</v>
      </c>
      <c r="BF5" s="1427">
        <f t="shared" si="25"/>
        <v>1.1125</v>
      </c>
      <c r="BG5" s="1351">
        <f t="shared" si="26"/>
        <v>0.61477045908183636</v>
      </c>
      <c r="BH5" s="63">
        <v>988</v>
      </c>
      <c r="BI5" s="1427">
        <f t="shared" si="27"/>
        <v>0.24305555555555555</v>
      </c>
      <c r="BJ5" s="1351">
        <f t="shared" si="28"/>
        <v>0.53178294573643414</v>
      </c>
      <c r="BK5" s="63">
        <v>1163</v>
      </c>
      <c r="BL5" s="1427">
        <f t="shared" si="29"/>
        <v>4.790419161676647E-2</v>
      </c>
      <c r="BM5" s="1351">
        <f t="shared" si="30"/>
        <v>0.43226600985221675</v>
      </c>
      <c r="BN5" s="63">
        <v>1375</v>
      </c>
      <c r="BO5" s="1427">
        <f t="shared" si="31"/>
        <v>0.29268292682926828</v>
      </c>
      <c r="BP5" s="1351">
        <f t="shared" si="32"/>
        <v>0.40881147540983609</v>
      </c>
      <c r="BQ5" s="63">
        <v>1519</v>
      </c>
      <c r="BR5" s="1427">
        <f t="shared" si="33"/>
        <v>0.1076923076923077</v>
      </c>
      <c r="BS5" s="1351">
        <f t="shared" si="34"/>
        <v>0.37341772151898733</v>
      </c>
      <c r="BT5" s="63">
        <v>1740</v>
      </c>
      <c r="BU5" s="1427">
        <f t="shared" si="35"/>
        <v>0.17553191489361702</v>
      </c>
      <c r="BV5" s="1351">
        <f t="shared" si="36"/>
        <v>0.34466769706336942</v>
      </c>
      <c r="BW5" s="63">
        <v>2079</v>
      </c>
      <c r="BX5" s="1427">
        <f t="shared" si="37"/>
        <v>1.4926470588235294</v>
      </c>
      <c r="BY5" s="1351">
        <f t="shared" si="38"/>
        <v>0.45384615384615384</v>
      </c>
      <c r="BZ5" s="1140">
        <v>2268</v>
      </c>
      <c r="CA5" s="1427">
        <f t="shared" si="39"/>
        <v>4.4198895027624308E-2</v>
      </c>
      <c r="CB5" s="1351">
        <f t="shared" si="40"/>
        <v>0.40782122905027934</v>
      </c>
      <c r="CC5" s="1901">
        <v>0</v>
      </c>
      <c r="CD5" s="1594">
        <f t="shared" si="41"/>
        <v>2268</v>
      </c>
      <c r="CE5" s="1939">
        <f t="shared" si="42"/>
        <v>0.40782122905027934</v>
      </c>
      <c r="CF5" s="1940">
        <f t="shared" si="43"/>
        <v>25</v>
      </c>
      <c r="CG5" s="1895"/>
      <c r="CH5" s="1815">
        <v>171</v>
      </c>
      <c r="CI5" s="2039">
        <f t="shared" si="44"/>
        <v>0.62857142857142856</v>
      </c>
      <c r="CJ5" s="2041">
        <f t="shared" si="45"/>
        <v>0.62857142857142856</v>
      </c>
      <c r="CK5" s="1815">
        <v>523</v>
      </c>
      <c r="CL5" s="2039">
        <f t="shared" si="46"/>
        <v>1.6466165413533835</v>
      </c>
      <c r="CM5" s="2041">
        <f t="shared" si="47"/>
        <v>1.1974789915966386</v>
      </c>
      <c r="CN5" s="1815">
        <v>892</v>
      </c>
      <c r="CO5" s="2039">
        <f t="shared" si="48"/>
        <v>0.51229508196721307</v>
      </c>
      <c r="CP5" s="2041">
        <f t="shared" si="49"/>
        <v>0.85062240663900412</v>
      </c>
      <c r="CQ5" s="1815">
        <v>1219</v>
      </c>
      <c r="CR5" s="2039">
        <f t="shared" si="50"/>
        <v>1.0696202531645569</v>
      </c>
      <c r="CS5" s="2041">
        <f t="shared" si="51"/>
        <v>0.90468749999999998</v>
      </c>
      <c r="CU5" s="1948">
        <f t="shared" si="52"/>
        <v>5.4065093360995853E-2</v>
      </c>
      <c r="CV5" s="1940">
        <f t="shared" si="53"/>
        <v>6</v>
      </c>
      <c r="CW5" s="1580">
        <f t="shared" si="54"/>
        <v>0.47139288993066586</v>
      </c>
      <c r="CX5" s="1799">
        <v>5276.8</v>
      </c>
      <c r="CY5" s="1794">
        <f>_xlfn.XLOOKUP(E5,Cement!$Q$7:$Q$35,Cement!$S$7:$S$35)</f>
        <v>8528</v>
      </c>
      <c r="CZ5" s="1245" t="s">
        <v>602</v>
      </c>
      <c r="DA5" s="1802">
        <v>0.9</v>
      </c>
      <c r="DB5" s="1529">
        <f t="shared" si="55"/>
        <v>-9.433962264150943E-3</v>
      </c>
      <c r="DC5" s="1529">
        <f t="shared" si="56"/>
        <v>-0.20930232558139536</v>
      </c>
      <c r="DD5" s="1529">
        <f t="shared" si="57"/>
        <v>0.42182890855457228</v>
      </c>
      <c r="DE5" s="1529">
        <f t="shared" si="58"/>
        <v>0.52019002375296908</v>
      </c>
      <c r="DF5" s="1529">
        <f t="shared" si="59"/>
        <v>0.61477045908183636</v>
      </c>
      <c r="DG5" s="1529">
        <f t="shared" si="60"/>
        <v>0.53178294573643414</v>
      </c>
      <c r="DH5" s="1529">
        <f t="shared" si="61"/>
        <v>0.43226600985221675</v>
      </c>
      <c r="DI5" s="1529">
        <f t="shared" si="62"/>
        <v>0.40881147540983609</v>
      </c>
      <c r="DJ5" s="1529">
        <f t="shared" si="63"/>
        <v>0.37341772151898733</v>
      </c>
      <c r="DK5" s="1529">
        <f t="shared" si="64"/>
        <v>0.34466769706336942</v>
      </c>
      <c r="DL5" s="1529">
        <f t="shared" si="65"/>
        <v>0.45384615384615384</v>
      </c>
      <c r="DM5" s="1529">
        <f t="shared" si="66"/>
        <v>0.40782122905027934</v>
      </c>
      <c r="DN5" s="1529">
        <f t="shared" si="67"/>
        <v>0.62857142857142856</v>
      </c>
      <c r="DO5" s="1529">
        <f t="shared" si="68"/>
        <v>1.1974789915966386</v>
      </c>
      <c r="DP5" s="1529">
        <f t="shared" si="69"/>
        <v>0.85062240663900412</v>
      </c>
      <c r="DQ5" s="1529">
        <f t="shared" si="70"/>
        <v>0.90468749999999998</v>
      </c>
      <c r="DS5" s="1583" t="s">
        <v>197</v>
      </c>
      <c r="DT5" s="1736"/>
      <c r="DU5" s="1580">
        <f t="shared" ref="DU5:DU26" si="74">_xlfn.XLOOKUP(E5,E5:E95,CW5:CW95,"")</f>
        <v>0.47139288993066586</v>
      </c>
      <c r="DV5" s="1943">
        <f t="shared" si="71"/>
        <v>6</v>
      </c>
      <c r="DW5" s="1730">
        <f t="shared" si="72"/>
        <v>0.61613098847786529</v>
      </c>
      <c r="DX5" s="1860">
        <f t="shared" si="73"/>
        <v>-11.860670194003527</v>
      </c>
      <c r="DY5" s="1683">
        <f>_xlfn.XLOOKUP(E5,Cement!$Q$7:$Q$35,Cement!$D$7:$D$35,"")</f>
        <v>2.069338865715685</v>
      </c>
      <c r="DZ5" s="1583" t="s">
        <v>605</v>
      </c>
    </row>
    <row r="6" spans="2:130" ht="68" customHeight="1">
      <c r="B6" s="1118">
        <f>_xlfn.XLOOKUP(E6,Cement!$Q$7:$Q$35,Cement!$A$7:$A$35,"")</f>
        <v>35.869705787560406</v>
      </c>
      <c r="C6" s="394">
        <f>_xlfn.XLOOKUP(E6,Cement!$Q$7:$Q$35,Cement!$S$7:$S$35,"")</f>
        <v>4040.4</v>
      </c>
      <c r="D6" s="223" t="s">
        <v>34</v>
      </c>
      <c r="E6" s="1949" t="s">
        <v>35</v>
      </c>
      <c r="F6" s="982">
        <f>_xlfn.XLOOKUP(E6,Cement!$Q$7:$Q$35,Cement!$R$7:$R$35,"")</f>
        <v>12</v>
      </c>
      <c r="G6" s="1204">
        <f>_xlfn.XLOOKUP(E6,Cement!$Q$7:$Q$35,Cement!$AP$7:$AP$35,"")</f>
        <v>1870</v>
      </c>
      <c r="H6" s="1211">
        <v>853</v>
      </c>
      <c r="I6" s="1713">
        <f t="shared" si="3"/>
        <v>1017</v>
      </c>
      <c r="J6" s="1712">
        <f t="shared" si="4"/>
        <v>0.45614973262032088</v>
      </c>
      <c r="K6" s="1761">
        <v>4</v>
      </c>
      <c r="L6" s="1728">
        <f t="shared" si="5"/>
        <v>4</v>
      </c>
      <c r="M6" s="689">
        <v>494</v>
      </c>
      <c r="N6" s="689">
        <v>778</v>
      </c>
      <c r="O6" s="1718">
        <v>381</v>
      </c>
      <c r="P6" s="1713">
        <f t="shared" si="6"/>
        <v>397</v>
      </c>
      <c r="Q6" s="1712">
        <f t="shared" si="7"/>
        <v>0.48971722365038561</v>
      </c>
      <c r="R6" s="557">
        <f t="shared" si="8"/>
        <v>2334</v>
      </c>
      <c r="S6" s="553">
        <f t="shared" si="9"/>
        <v>0.5748987854251012</v>
      </c>
      <c r="T6" s="553">
        <f t="shared" si="10"/>
        <v>0.2641711229946524</v>
      </c>
      <c r="U6" s="558">
        <f t="shared" si="11"/>
        <v>2945.0607287449388</v>
      </c>
      <c r="V6" s="591">
        <f t="shared" si="12"/>
        <v>284</v>
      </c>
      <c r="W6" s="559">
        <f t="shared" si="13"/>
        <v>2154</v>
      </c>
      <c r="X6" s="1170">
        <f t="shared" si="14"/>
        <v>2594.5303643724692</v>
      </c>
      <c r="Y6" s="1244">
        <f t="shared" si="15"/>
        <v>0.38744939271255036</v>
      </c>
      <c r="Z6" s="658"/>
      <c r="AA6" s="63">
        <v>1012</v>
      </c>
      <c r="AB6" s="1147">
        <v>1012</v>
      </c>
      <c r="AC6" s="63">
        <v>78</v>
      </c>
      <c r="AD6" s="63">
        <v>179</v>
      </c>
      <c r="AE6" s="63">
        <v>321</v>
      </c>
      <c r="AF6" s="63">
        <v>377</v>
      </c>
      <c r="AG6" s="63">
        <v>444</v>
      </c>
      <c r="AH6" s="63">
        <v>543</v>
      </c>
      <c r="AI6" s="63">
        <v>633</v>
      </c>
      <c r="AJ6" s="63">
        <v>739</v>
      </c>
      <c r="AK6" s="63">
        <v>850</v>
      </c>
      <c r="AL6" s="63">
        <v>941</v>
      </c>
      <c r="AM6" s="63">
        <v>1044</v>
      </c>
      <c r="AN6" s="1140">
        <v>1202</v>
      </c>
      <c r="AO6" s="1594">
        <f t="shared" si="16"/>
        <v>1202</v>
      </c>
      <c r="AP6" s="1147">
        <v>1202</v>
      </c>
      <c r="AQ6" s="1494"/>
      <c r="AR6" s="1901">
        <v>0</v>
      </c>
      <c r="AS6" s="63">
        <v>117</v>
      </c>
      <c r="AT6" s="1427">
        <f t="shared" si="17"/>
        <v>0.5</v>
      </c>
      <c r="AU6" s="1351">
        <f t="shared" si="18"/>
        <v>0.5</v>
      </c>
      <c r="AV6" s="63">
        <v>259</v>
      </c>
      <c r="AW6" s="1427">
        <f t="shared" si="19"/>
        <v>0.40594059405940597</v>
      </c>
      <c r="AX6" s="1351">
        <f t="shared" si="20"/>
        <v>0.44692737430167595</v>
      </c>
      <c r="AY6" s="63">
        <v>395</v>
      </c>
      <c r="AZ6" s="1427">
        <f t="shared" si="21"/>
        <v>-4.2253521126760563E-2</v>
      </c>
      <c r="BA6" s="1351">
        <f t="shared" si="22"/>
        <v>0.23052959501557632</v>
      </c>
      <c r="BB6" s="63">
        <v>494</v>
      </c>
      <c r="BC6" s="1427">
        <f t="shared" si="23"/>
        <v>0.7678571428571429</v>
      </c>
      <c r="BD6" s="1351">
        <f t="shared" si="24"/>
        <v>0.31034482758620691</v>
      </c>
      <c r="BE6" s="63">
        <v>599</v>
      </c>
      <c r="BF6" s="1427">
        <f t="shared" si="25"/>
        <v>0.56716417910447758</v>
      </c>
      <c r="BG6" s="1351">
        <f t="shared" si="26"/>
        <v>0.34909909909909909</v>
      </c>
      <c r="BH6" s="63">
        <v>810</v>
      </c>
      <c r="BI6" s="1427">
        <f t="shared" si="27"/>
        <v>1.1313131313131313</v>
      </c>
      <c r="BJ6" s="1351">
        <f t="shared" si="28"/>
        <v>0.49171270718232046</v>
      </c>
      <c r="BK6" s="63">
        <v>974</v>
      </c>
      <c r="BL6" s="1427">
        <f t="shared" si="29"/>
        <v>0.82222222222222219</v>
      </c>
      <c r="BM6" s="1351">
        <f t="shared" si="30"/>
        <v>0.53870458135860977</v>
      </c>
      <c r="BN6" s="63">
        <v>1144</v>
      </c>
      <c r="BO6" s="1427">
        <f t="shared" si="31"/>
        <v>0.60377358490566035</v>
      </c>
      <c r="BP6" s="1351">
        <f t="shared" si="32"/>
        <v>0.54803788903924222</v>
      </c>
      <c r="BQ6" s="63">
        <v>1333</v>
      </c>
      <c r="BR6" s="1427">
        <f t="shared" si="33"/>
        <v>0.70270270270270274</v>
      </c>
      <c r="BS6" s="1351">
        <f t="shared" si="34"/>
        <v>0.56823529411764706</v>
      </c>
      <c r="BT6" s="63">
        <v>1483</v>
      </c>
      <c r="BU6" s="1427">
        <f t="shared" si="35"/>
        <v>0.64835164835164838</v>
      </c>
      <c r="BV6" s="1351">
        <f t="shared" si="36"/>
        <v>0.57598299681190224</v>
      </c>
      <c r="BW6" s="63">
        <v>1672</v>
      </c>
      <c r="BX6" s="1427">
        <f t="shared" si="37"/>
        <v>0.83495145631067957</v>
      </c>
      <c r="BY6" s="1351">
        <f t="shared" si="38"/>
        <v>0.6015325670498084</v>
      </c>
      <c r="BZ6" s="1140">
        <v>1844</v>
      </c>
      <c r="CA6" s="1427">
        <f t="shared" si="39"/>
        <v>8.8607594936708861E-2</v>
      </c>
      <c r="CB6" s="1351">
        <f t="shared" si="40"/>
        <v>0.53410981697171378</v>
      </c>
      <c r="CC6" s="1901">
        <v>0</v>
      </c>
      <c r="CD6" s="1594">
        <f t="shared" si="41"/>
        <v>1844</v>
      </c>
      <c r="CE6" s="1939">
        <f t="shared" si="42"/>
        <v>0.53410981697171378</v>
      </c>
      <c r="CF6" s="1940">
        <f t="shared" si="43"/>
        <v>19</v>
      </c>
      <c r="CG6" s="1895"/>
      <c r="CH6" s="1815">
        <v>143</v>
      </c>
      <c r="CI6" s="2039">
        <f t="shared" si="44"/>
        <v>0.22222222222222221</v>
      </c>
      <c r="CJ6" s="2041">
        <f t="shared" si="45"/>
        <v>0.22222222222222221</v>
      </c>
      <c r="CK6" s="1815">
        <v>396</v>
      </c>
      <c r="CL6" s="2039">
        <f t="shared" si="46"/>
        <v>0.78169014084507038</v>
      </c>
      <c r="CM6" s="2041">
        <f t="shared" si="47"/>
        <v>0.52895752895752901</v>
      </c>
      <c r="CN6" s="1815">
        <v>656</v>
      </c>
      <c r="CO6" s="2039">
        <f t="shared" si="48"/>
        <v>0.91176470588235292</v>
      </c>
      <c r="CP6" s="2041">
        <f t="shared" si="49"/>
        <v>0.66075949367088604</v>
      </c>
      <c r="CQ6" s="1815">
        <v>778</v>
      </c>
      <c r="CR6" s="2039">
        <f t="shared" si="50"/>
        <v>0.23232323232323232</v>
      </c>
      <c r="CS6" s="2041">
        <f t="shared" si="51"/>
        <v>0.5748987854251012</v>
      </c>
      <c r="CU6" s="1948">
        <f t="shared" si="52"/>
        <v>-8.5860708245784845E-2</v>
      </c>
      <c r="CV6" s="1940">
        <f t="shared" si="53"/>
        <v>17</v>
      </c>
      <c r="CW6" s="1580">
        <f t="shared" si="54"/>
        <v>1.8531990160103571</v>
      </c>
      <c r="CX6" s="1799">
        <v>2526.36</v>
      </c>
      <c r="CY6" s="1794">
        <f>_xlfn.XLOOKUP(E6,Cement!$Q$7:$Q$35,Cement!$S$7:$S$35)</f>
        <v>4040.4</v>
      </c>
      <c r="CZ6" s="1245" t="s">
        <v>604</v>
      </c>
      <c r="DA6" s="1802">
        <v>0.9</v>
      </c>
      <c r="DB6" s="1529">
        <f t="shared" si="55"/>
        <v>0.5</v>
      </c>
      <c r="DC6" s="1529">
        <f t="shared" si="56"/>
        <v>0.44692737430167595</v>
      </c>
      <c r="DD6" s="1529">
        <f t="shared" si="57"/>
        <v>0.23052959501557632</v>
      </c>
      <c r="DE6" s="1529">
        <f t="shared" si="58"/>
        <v>0.31034482758620691</v>
      </c>
      <c r="DF6" s="1529">
        <f t="shared" si="59"/>
        <v>0.34909909909909909</v>
      </c>
      <c r="DG6" s="1529">
        <f t="shared" si="60"/>
        <v>0.49171270718232046</v>
      </c>
      <c r="DH6" s="1529">
        <f t="shared" si="61"/>
        <v>0.53870458135860977</v>
      </c>
      <c r="DI6" s="1529">
        <f t="shared" si="62"/>
        <v>0.54803788903924222</v>
      </c>
      <c r="DJ6" s="1529">
        <f t="shared" si="63"/>
        <v>0.56823529411764706</v>
      </c>
      <c r="DK6" s="1529">
        <f t="shared" si="64"/>
        <v>0.57598299681190224</v>
      </c>
      <c r="DL6" s="1529">
        <f t="shared" si="65"/>
        <v>0.6015325670498084</v>
      </c>
      <c r="DM6" s="1529">
        <f t="shared" si="66"/>
        <v>0.53410981697171378</v>
      </c>
      <c r="DN6" s="1529">
        <f t="shared" si="67"/>
        <v>0.22222222222222221</v>
      </c>
      <c r="DO6" s="1529">
        <f t="shared" si="68"/>
        <v>0.52895752895752901</v>
      </c>
      <c r="DP6" s="1529">
        <f t="shared" si="69"/>
        <v>0.66075949367088604</v>
      </c>
      <c r="DQ6" s="1529">
        <f t="shared" si="70"/>
        <v>0.5748987854251012</v>
      </c>
      <c r="DS6" s="1583" t="s">
        <v>606</v>
      </c>
      <c r="DT6" s="1736"/>
      <c r="DU6" s="1580">
        <f t="shared" si="74"/>
        <v>1.8531990160103571</v>
      </c>
      <c r="DV6" s="1943">
        <f t="shared" si="71"/>
        <v>17</v>
      </c>
      <c r="DW6" s="1730">
        <f t="shared" si="72"/>
        <v>0.59929701230228472</v>
      </c>
      <c r="DX6" s="1860">
        <f t="shared" si="73"/>
        <v>3.3567491030064733</v>
      </c>
      <c r="DY6" s="1683">
        <f>_xlfn.XLOOKUP(E6,Cement!$Q$7:$Q$35,Cement!$D$7:$D$35,"")</f>
        <v>0.91259939392789491</v>
      </c>
      <c r="DZ6" s="1583" t="s">
        <v>197</v>
      </c>
    </row>
    <row r="7" spans="2:130" ht="68" customHeight="1">
      <c r="B7" s="1118">
        <f>_xlfn.XLOOKUP(E7,Cement!$Q$7:$Q$35,Cement!$A$7:$A$35,"")</f>
        <v>36.336966923937055</v>
      </c>
      <c r="C7" s="394">
        <f>_xlfn.XLOOKUP(E7,Cement!$Q$7:$Q$35,Cement!$S$7:$S$35,"")</f>
        <v>7705</v>
      </c>
      <c r="D7" s="1322" t="s">
        <v>60</v>
      </c>
      <c r="E7" s="1950" t="s">
        <v>61</v>
      </c>
      <c r="F7" s="982">
        <f>_xlfn.XLOOKUP(E7,Cement!$Q$7:$Q$35,Cement!$R$7:$R$35,"")</f>
        <v>12</v>
      </c>
      <c r="G7" s="1204">
        <f>_xlfn.XLOOKUP(E7,Cement!$Q$7:$Q$35,Cement!$AP$7:$AP$35,"")</f>
        <v>1751</v>
      </c>
      <c r="H7" s="1211">
        <v>37</v>
      </c>
      <c r="I7" s="1713">
        <f t="shared" si="3"/>
        <v>1714</v>
      </c>
      <c r="J7" s="1712">
        <f t="shared" si="4"/>
        <v>2.11307824100514E-2</v>
      </c>
      <c r="K7" s="1761">
        <v>4</v>
      </c>
      <c r="L7" s="1728">
        <f t="shared" si="5"/>
        <v>4</v>
      </c>
      <c r="M7" s="689">
        <v>560</v>
      </c>
      <c r="N7" s="689">
        <v>962</v>
      </c>
      <c r="O7" s="1718">
        <v>42</v>
      </c>
      <c r="P7" s="1713">
        <f t="shared" si="6"/>
        <v>920</v>
      </c>
      <c r="Q7" s="1712">
        <f t="shared" si="7"/>
        <v>4.3659043659043661E-2</v>
      </c>
      <c r="R7" s="557">
        <f t="shared" si="8"/>
        <v>2886</v>
      </c>
      <c r="S7" s="553">
        <f t="shared" si="9"/>
        <v>0.71785714285714286</v>
      </c>
      <c r="T7" s="553">
        <f t="shared" si="10"/>
        <v>0.31981724728726441</v>
      </c>
      <c r="U7" s="558">
        <f t="shared" si="11"/>
        <v>3007.9678571428572</v>
      </c>
      <c r="V7" s="591">
        <f t="shared" si="12"/>
        <v>402</v>
      </c>
      <c r="W7" s="559">
        <f t="shared" si="13"/>
        <v>2153</v>
      </c>
      <c r="X7" s="1170">
        <f t="shared" si="14"/>
        <v>2763.7339285714288</v>
      </c>
      <c r="Y7" s="1244">
        <f t="shared" si="15"/>
        <v>0.57837460226809179</v>
      </c>
      <c r="Z7" s="658"/>
      <c r="AA7" s="63">
        <v>886</v>
      </c>
      <c r="AB7" s="1147">
        <v>886</v>
      </c>
      <c r="AC7" s="63">
        <v>98</v>
      </c>
      <c r="AD7" s="63">
        <v>162</v>
      </c>
      <c r="AE7" s="63">
        <v>242</v>
      </c>
      <c r="AF7" s="63">
        <v>322</v>
      </c>
      <c r="AG7" s="63">
        <v>389</v>
      </c>
      <c r="AH7" s="63">
        <v>467</v>
      </c>
      <c r="AI7" s="63">
        <v>540</v>
      </c>
      <c r="AJ7" s="63">
        <v>635</v>
      </c>
      <c r="AK7" s="63">
        <v>768</v>
      </c>
      <c r="AL7" s="63">
        <v>932</v>
      </c>
      <c r="AM7" s="63">
        <v>1124</v>
      </c>
      <c r="AN7" s="1140">
        <v>1268</v>
      </c>
      <c r="AO7" s="1594">
        <f t="shared" si="16"/>
        <v>1268</v>
      </c>
      <c r="AP7" s="1147">
        <v>1268</v>
      </c>
      <c r="AQ7" s="1494"/>
      <c r="AR7" s="1901">
        <v>0</v>
      </c>
      <c r="AS7" s="63">
        <v>109</v>
      </c>
      <c r="AT7" s="1427">
        <f t="shared" si="17"/>
        <v>0.11224489795918367</v>
      </c>
      <c r="AU7" s="1351">
        <f t="shared" si="18"/>
        <v>0.11224489795918367</v>
      </c>
      <c r="AV7" s="63">
        <v>293</v>
      </c>
      <c r="AW7" s="1427">
        <f t="shared" si="19"/>
        <v>1.875</v>
      </c>
      <c r="AX7" s="1351">
        <f t="shared" si="20"/>
        <v>0.80864197530864201</v>
      </c>
      <c r="AY7" s="63">
        <v>425</v>
      </c>
      <c r="AZ7" s="1427">
        <f t="shared" si="21"/>
        <v>0.65</v>
      </c>
      <c r="BA7" s="1351">
        <f t="shared" si="22"/>
        <v>0.75619834710743805</v>
      </c>
      <c r="BB7" s="63">
        <v>560</v>
      </c>
      <c r="BC7" s="1427">
        <f t="shared" si="23"/>
        <v>0.6875</v>
      </c>
      <c r="BD7" s="1351">
        <f t="shared" si="24"/>
        <v>0.73913043478260865</v>
      </c>
      <c r="BE7" s="63">
        <v>673</v>
      </c>
      <c r="BF7" s="1427">
        <f t="shared" si="25"/>
        <v>0.68656716417910446</v>
      </c>
      <c r="BG7" s="1351">
        <f t="shared" si="26"/>
        <v>0.73007712082262211</v>
      </c>
      <c r="BH7" s="63">
        <v>796</v>
      </c>
      <c r="BI7" s="1427">
        <f t="shared" si="27"/>
        <v>0.57692307692307687</v>
      </c>
      <c r="BJ7" s="1351">
        <f t="shared" si="28"/>
        <v>0.7044967880085653</v>
      </c>
      <c r="BK7" s="63">
        <v>925</v>
      </c>
      <c r="BL7" s="1427">
        <f t="shared" si="29"/>
        <v>0.76712328767123283</v>
      </c>
      <c r="BM7" s="1351">
        <f t="shared" si="30"/>
        <v>0.71296296296296291</v>
      </c>
      <c r="BN7" s="63">
        <v>1047</v>
      </c>
      <c r="BO7" s="1427">
        <f t="shared" si="31"/>
        <v>0.28421052631578947</v>
      </c>
      <c r="BP7" s="1351">
        <f t="shared" si="32"/>
        <v>0.64881889763779532</v>
      </c>
      <c r="BQ7" s="63">
        <v>1176</v>
      </c>
      <c r="BR7" s="1427">
        <f t="shared" si="33"/>
        <v>-3.007518796992481E-2</v>
      </c>
      <c r="BS7" s="1351">
        <f t="shared" si="34"/>
        <v>0.53125</v>
      </c>
      <c r="BT7" s="63">
        <v>1359</v>
      </c>
      <c r="BU7" s="1427">
        <f t="shared" si="35"/>
        <v>0.11585365853658537</v>
      </c>
      <c r="BV7" s="1351">
        <f t="shared" si="36"/>
        <v>0.45815450643776823</v>
      </c>
      <c r="BW7" s="63">
        <v>1593</v>
      </c>
      <c r="BX7" s="1427">
        <f t="shared" si="37"/>
        <v>0.21875</v>
      </c>
      <c r="BY7" s="1351">
        <f t="shared" si="38"/>
        <v>0.41725978647686834</v>
      </c>
      <c r="BZ7" s="63">
        <v>1751</v>
      </c>
      <c r="CA7" s="1427">
        <f t="shared" si="39"/>
        <v>9.7222222222222224E-2</v>
      </c>
      <c r="CB7" s="1351">
        <f t="shared" si="40"/>
        <v>0.38091482649842273</v>
      </c>
      <c r="CC7" s="1901">
        <v>0</v>
      </c>
      <c r="CD7" s="1594">
        <f t="shared" si="41"/>
        <v>1751</v>
      </c>
      <c r="CE7" s="1939">
        <f t="shared" si="42"/>
        <v>0.38091482649842273</v>
      </c>
      <c r="CF7" s="1940">
        <f t="shared" si="43"/>
        <v>27</v>
      </c>
      <c r="CG7" s="1895"/>
      <c r="CH7" s="1815">
        <v>138</v>
      </c>
      <c r="CI7" s="2039">
        <f t="shared" si="44"/>
        <v>0.26605504587155965</v>
      </c>
      <c r="CJ7" s="2041">
        <f t="shared" si="45"/>
        <v>0.26605504587155965</v>
      </c>
      <c r="CK7" s="1815">
        <v>392</v>
      </c>
      <c r="CL7" s="2039">
        <f t="shared" si="46"/>
        <v>0.38043478260869568</v>
      </c>
      <c r="CM7" s="2041">
        <f t="shared" si="47"/>
        <v>0.33788395904436858</v>
      </c>
      <c r="CN7" s="1815">
        <v>716</v>
      </c>
      <c r="CO7" s="2039">
        <f t="shared" si="48"/>
        <v>1.4545454545454546</v>
      </c>
      <c r="CP7" s="2041">
        <f t="shared" si="49"/>
        <v>0.68470588235294116</v>
      </c>
      <c r="CQ7" s="1815">
        <v>962</v>
      </c>
      <c r="CR7" s="2039">
        <f t="shared" si="50"/>
        <v>0.82222222222222219</v>
      </c>
      <c r="CS7" s="2041">
        <f t="shared" si="51"/>
        <v>0.71785714285714286</v>
      </c>
      <c r="CU7" s="1948">
        <f t="shared" si="52"/>
        <v>3.3151260504201696E-2</v>
      </c>
      <c r="CV7" s="1940">
        <f t="shared" si="53"/>
        <v>10</v>
      </c>
      <c r="CW7" s="1580">
        <f t="shared" si="54"/>
        <v>0.47139288993066586</v>
      </c>
      <c r="CX7" s="1799">
        <v>4848.4799999999996</v>
      </c>
      <c r="CY7" s="1794">
        <f>_xlfn.XLOOKUP(E7,Cement!$Q$7:$Q$35,Cement!$S$7:$S$35)</f>
        <v>7705</v>
      </c>
      <c r="CZ7" s="1245" t="s">
        <v>602</v>
      </c>
      <c r="DA7" s="1802">
        <v>0.9</v>
      </c>
      <c r="DB7" s="1529">
        <f t="shared" si="55"/>
        <v>0.11224489795918367</v>
      </c>
      <c r="DC7" s="1529">
        <f t="shared" si="56"/>
        <v>0.80864197530864201</v>
      </c>
      <c r="DD7" s="1529">
        <f t="shared" si="57"/>
        <v>0.75619834710743805</v>
      </c>
      <c r="DE7" s="1529">
        <f t="shared" si="58"/>
        <v>0.73913043478260865</v>
      </c>
      <c r="DF7" s="1529">
        <f t="shared" si="59"/>
        <v>0.73007712082262211</v>
      </c>
      <c r="DG7" s="1529">
        <f t="shared" si="60"/>
        <v>0.7044967880085653</v>
      </c>
      <c r="DH7" s="1529">
        <f t="shared" si="61"/>
        <v>0.71296296296296291</v>
      </c>
      <c r="DI7" s="1529">
        <f t="shared" si="62"/>
        <v>0.64881889763779532</v>
      </c>
      <c r="DJ7" s="1529">
        <f t="shared" si="63"/>
        <v>0.53125</v>
      </c>
      <c r="DK7" s="1529">
        <f t="shared" si="64"/>
        <v>0.45815450643776823</v>
      </c>
      <c r="DL7" s="1529">
        <f t="shared" si="65"/>
        <v>0.41725978647686834</v>
      </c>
      <c r="DM7" s="1529">
        <f t="shared" si="66"/>
        <v>0.38091482649842273</v>
      </c>
      <c r="DN7" s="1529">
        <f t="shared" si="67"/>
        <v>0.26605504587155965</v>
      </c>
      <c r="DO7" s="1529">
        <f t="shared" si="68"/>
        <v>0.33788395904436858</v>
      </c>
      <c r="DP7" s="1529">
        <f t="shared" si="69"/>
        <v>0.68470588235294116</v>
      </c>
      <c r="DQ7" s="1529">
        <f t="shared" si="70"/>
        <v>0.71785714285714286</v>
      </c>
      <c r="DS7" s="1583" t="s">
        <v>197</v>
      </c>
      <c r="DT7" s="1736"/>
      <c r="DU7" s="1580">
        <f t="shared" si="74"/>
        <v>0.47139288993066586</v>
      </c>
      <c r="DV7" s="1943">
        <f t="shared" si="71"/>
        <v>10</v>
      </c>
      <c r="DW7" s="1730">
        <f t="shared" si="72"/>
        <v>0.58915783915783926</v>
      </c>
      <c r="DX7" s="1860">
        <f t="shared" si="73"/>
        <v>2.2528261248992263</v>
      </c>
      <c r="DY7" s="1683">
        <f>_xlfn.XLOOKUP(E7,Cement!$Q$7:$Q$35,Cement!$D$7:$D$35,"")</f>
        <v>2.1238767733406547</v>
      </c>
      <c r="DZ7" s="1583" t="s">
        <v>197</v>
      </c>
    </row>
    <row r="8" spans="2:130" ht="68" customHeight="1">
      <c r="B8" s="1118">
        <f>_xlfn.XLOOKUP(E8,Cement!$Q$7:$Q$35,Cement!$A$7:$A$35,"")</f>
        <v>26.677279402578577</v>
      </c>
      <c r="C8" s="394">
        <f>_xlfn.XLOOKUP(E8,Cement!$Q$7:$Q$35,Cement!$S$7:$S$35,"")</f>
        <v>9712</v>
      </c>
      <c r="D8" s="1322" t="s">
        <v>76</v>
      </c>
      <c r="E8" s="1950" t="s">
        <v>77</v>
      </c>
      <c r="F8" s="982">
        <f>_xlfn.XLOOKUP(E8,Cement!$Q$7:$Q$35,Cement!$R$7:$R$35,"")</f>
        <v>12</v>
      </c>
      <c r="G8" s="1204">
        <f>_xlfn.XLOOKUP(E8,Cement!$Q$7:$Q$35,Cement!$AP$7:$AP$35,"")</f>
        <v>1524</v>
      </c>
      <c r="H8" s="1211">
        <v>333</v>
      </c>
      <c r="I8" s="1713">
        <f t="shared" si="3"/>
        <v>1191</v>
      </c>
      <c r="J8" s="1712">
        <f t="shared" si="4"/>
        <v>0.21850393700787402</v>
      </c>
      <c r="K8" s="1761">
        <v>4</v>
      </c>
      <c r="L8" s="1728">
        <f t="shared" si="5"/>
        <v>4</v>
      </c>
      <c r="M8" s="689">
        <v>370</v>
      </c>
      <c r="N8" s="689">
        <v>799</v>
      </c>
      <c r="O8" s="1718">
        <v>217</v>
      </c>
      <c r="P8" s="1713">
        <f t="shared" si="6"/>
        <v>582</v>
      </c>
      <c r="Q8" s="1712">
        <f t="shared" si="7"/>
        <v>0.2715894868585732</v>
      </c>
      <c r="R8" s="557">
        <f t="shared" si="8"/>
        <v>2397</v>
      </c>
      <c r="S8" s="553">
        <f t="shared" si="9"/>
        <v>1.1594594594594594</v>
      </c>
      <c r="T8" s="553">
        <f t="shared" si="10"/>
        <v>0.24278215223097113</v>
      </c>
      <c r="U8" s="558">
        <f t="shared" si="11"/>
        <v>3291.016216216216</v>
      </c>
      <c r="V8" s="591">
        <f t="shared" si="12"/>
        <v>429</v>
      </c>
      <c r="W8" s="559">
        <f t="shared" si="13"/>
        <v>1953</v>
      </c>
      <c r="X8" s="1170">
        <f t="shared" si="14"/>
        <v>2733.008108108108</v>
      </c>
      <c r="Y8" s="1244">
        <f t="shared" si="15"/>
        <v>0.79331240689508398</v>
      </c>
      <c r="Z8" s="658"/>
      <c r="AA8" s="63">
        <v>572</v>
      </c>
      <c r="AB8" s="1147">
        <v>572</v>
      </c>
      <c r="AC8" s="63">
        <v>48</v>
      </c>
      <c r="AD8" s="63">
        <v>124</v>
      </c>
      <c r="AE8" s="63">
        <v>194</v>
      </c>
      <c r="AF8" s="63">
        <v>241</v>
      </c>
      <c r="AG8" s="63">
        <v>279</v>
      </c>
      <c r="AH8" s="63">
        <v>341</v>
      </c>
      <c r="AI8" s="63">
        <v>425</v>
      </c>
      <c r="AJ8" s="63">
        <v>505</v>
      </c>
      <c r="AK8" s="63">
        <v>550</v>
      </c>
      <c r="AL8" s="63">
        <v>588</v>
      </c>
      <c r="AM8" s="63">
        <v>653</v>
      </c>
      <c r="AN8" s="1140">
        <v>728</v>
      </c>
      <c r="AO8" s="1594">
        <f t="shared" si="16"/>
        <v>728</v>
      </c>
      <c r="AP8" s="1147">
        <v>728</v>
      </c>
      <c r="AQ8" s="1494"/>
      <c r="AR8" s="1901">
        <v>0</v>
      </c>
      <c r="AS8" s="63">
        <v>72</v>
      </c>
      <c r="AT8" s="1427">
        <f t="shared" si="17"/>
        <v>0.5</v>
      </c>
      <c r="AU8" s="1351">
        <f t="shared" si="18"/>
        <v>0.5</v>
      </c>
      <c r="AV8" s="63">
        <v>190</v>
      </c>
      <c r="AW8" s="1427">
        <f t="shared" si="19"/>
        <v>0.55263157894736847</v>
      </c>
      <c r="AX8" s="1351">
        <f t="shared" si="20"/>
        <v>0.532258064516129</v>
      </c>
      <c r="AY8" s="63">
        <v>279</v>
      </c>
      <c r="AZ8" s="1427">
        <f t="shared" si="21"/>
        <v>0.27142857142857141</v>
      </c>
      <c r="BA8" s="1351">
        <f t="shared" si="22"/>
        <v>0.43814432989690721</v>
      </c>
      <c r="BB8" s="63">
        <v>370</v>
      </c>
      <c r="BC8" s="1427">
        <f t="shared" si="23"/>
        <v>0.93617021276595747</v>
      </c>
      <c r="BD8" s="1351">
        <f t="shared" si="24"/>
        <v>0.53526970954356845</v>
      </c>
      <c r="BE8" s="63">
        <v>505</v>
      </c>
      <c r="BF8" s="1427">
        <f t="shared" si="25"/>
        <v>2.5526315789473686</v>
      </c>
      <c r="BG8" s="1351">
        <f t="shared" si="26"/>
        <v>0.81003584229390679</v>
      </c>
      <c r="BH8" s="63">
        <v>650</v>
      </c>
      <c r="BI8" s="1427">
        <f t="shared" si="27"/>
        <v>1.3387096774193548</v>
      </c>
      <c r="BJ8" s="1351">
        <f t="shared" si="28"/>
        <v>0.90615835777126097</v>
      </c>
      <c r="BK8" s="63">
        <v>804</v>
      </c>
      <c r="BL8" s="1427">
        <f t="shared" si="29"/>
        <v>0.83333333333333337</v>
      </c>
      <c r="BM8" s="1351">
        <f t="shared" si="30"/>
        <v>0.8917647058823529</v>
      </c>
      <c r="BN8" s="63">
        <v>986</v>
      </c>
      <c r="BO8" s="1427">
        <f t="shared" si="31"/>
        <v>1.2749999999999999</v>
      </c>
      <c r="BP8" s="1351">
        <f t="shared" si="32"/>
        <v>0.95247524752475243</v>
      </c>
      <c r="BQ8" s="63">
        <v>1125</v>
      </c>
      <c r="BR8" s="1427">
        <f t="shared" si="33"/>
        <v>2.088888888888889</v>
      </c>
      <c r="BS8" s="1351">
        <f t="shared" si="34"/>
        <v>1.0454545454545454</v>
      </c>
      <c r="BT8" s="63">
        <v>1251</v>
      </c>
      <c r="BU8" s="1427">
        <f t="shared" si="35"/>
        <v>2.3157894736842106</v>
      </c>
      <c r="BV8" s="1351">
        <f t="shared" si="36"/>
        <v>1.1275510204081634</v>
      </c>
      <c r="BW8" s="63">
        <v>1391</v>
      </c>
      <c r="BX8" s="1427">
        <f t="shared" si="37"/>
        <v>1.1538461538461537</v>
      </c>
      <c r="BY8" s="1351">
        <f t="shared" si="38"/>
        <v>1.1301684532924963</v>
      </c>
      <c r="BZ8" s="1140">
        <v>1524</v>
      </c>
      <c r="CA8" s="1427">
        <f t="shared" si="39"/>
        <v>0.77333333333333332</v>
      </c>
      <c r="CB8" s="1351">
        <f t="shared" si="40"/>
        <v>1.0934065934065933</v>
      </c>
      <c r="CC8" s="1901">
        <v>0</v>
      </c>
      <c r="CD8" s="1594">
        <f t="shared" si="41"/>
        <v>1524</v>
      </c>
      <c r="CE8" s="1939">
        <f t="shared" si="42"/>
        <v>1.0934065934065933</v>
      </c>
      <c r="CF8" s="1940">
        <f t="shared" si="43"/>
        <v>2</v>
      </c>
      <c r="CG8" s="1895"/>
      <c r="CH8" s="1815">
        <v>134</v>
      </c>
      <c r="CI8" s="2039">
        <f t="shared" si="44"/>
        <v>0.86111111111111116</v>
      </c>
      <c r="CJ8" s="2041">
        <f t="shared" si="45"/>
        <v>0.86111111111111116</v>
      </c>
      <c r="CK8" s="1815">
        <v>340</v>
      </c>
      <c r="CL8" s="2039">
        <f t="shared" si="46"/>
        <v>0.74576271186440679</v>
      </c>
      <c r="CM8" s="2041">
        <f t="shared" si="47"/>
        <v>0.78947368421052633</v>
      </c>
      <c r="CN8" s="1815">
        <v>565</v>
      </c>
      <c r="CO8" s="2039">
        <f t="shared" si="48"/>
        <v>1.5280898876404494</v>
      </c>
      <c r="CP8" s="2041">
        <f t="shared" si="49"/>
        <v>1.0250896057347669</v>
      </c>
      <c r="CQ8" s="1815">
        <v>799</v>
      </c>
      <c r="CR8" s="2039">
        <f t="shared" si="50"/>
        <v>1.5714285714285714</v>
      </c>
      <c r="CS8" s="2041">
        <f t="shared" si="51"/>
        <v>1.1594594594594594</v>
      </c>
      <c r="CU8" s="1948">
        <f t="shared" si="52"/>
        <v>0.13436985372469246</v>
      </c>
      <c r="CV8" s="1940">
        <f t="shared" si="53"/>
        <v>1</v>
      </c>
      <c r="CW8" s="1580">
        <f t="shared" si="54"/>
        <v>0.90908566642565003</v>
      </c>
      <c r="CX8" s="1799">
        <v>2074.8000000000002</v>
      </c>
      <c r="CY8" s="1794">
        <f>_xlfn.XLOOKUP(E8,Cement!$Q$7:$Q$35,Cement!$S$7:$S$35)</f>
        <v>9712</v>
      </c>
      <c r="CZ8" s="1245" t="s">
        <v>608</v>
      </c>
      <c r="DA8" s="1802">
        <v>0.9</v>
      </c>
      <c r="DB8" s="1529">
        <f t="shared" si="55"/>
        <v>0.5</v>
      </c>
      <c r="DC8" s="1529">
        <f t="shared" si="56"/>
        <v>0.532258064516129</v>
      </c>
      <c r="DD8" s="1529">
        <f t="shared" si="57"/>
        <v>0.43814432989690721</v>
      </c>
      <c r="DE8" s="1529">
        <f t="shared" si="58"/>
        <v>0.53526970954356845</v>
      </c>
      <c r="DF8" s="1529">
        <f t="shared" si="59"/>
        <v>0.81003584229390679</v>
      </c>
      <c r="DG8" s="1529">
        <f t="shared" si="60"/>
        <v>0.90615835777126097</v>
      </c>
      <c r="DH8" s="1529">
        <f t="shared" si="61"/>
        <v>0.8917647058823529</v>
      </c>
      <c r="DI8" s="1529">
        <f t="shared" si="62"/>
        <v>0.95247524752475243</v>
      </c>
      <c r="DJ8" s="1529">
        <f t="shared" si="63"/>
        <v>1.0454545454545454</v>
      </c>
      <c r="DK8" s="1529">
        <f t="shared" si="64"/>
        <v>1.1275510204081634</v>
      </c>
      <c r="DL8" s="1529">
        <f t="shared" si="65"/>
        <v>1.1301684532924963</v>
      </c>
      <c r="DM8" s="1529">
        <f t="shared" si="66"/>
        <v>1.0934065934065933</v>
      </c>
      <c r="DN8" s="1529">
        <f t="shared" si="67"/>
        <v>0.86111111111111116</v>
      </c>
      <c r="DO8" s="1529">
        <f t="shared" si="68"/>
        <v>0.78947368421052633</v>
      </c>
      <c r="DP8" s="1529">
        <f t="shared" si="69"/>
        <v>1.0250896057347669</v>
      </c>
      <c r="DQ8" s="1529">
        <f t="shared" si="70"/>
        <v>1.1594594594594594</v>
      </c>
      <c r="DS8" s="1583" t="s">
        <v>605</v>
      </c>
      <c r="DT8" s="1736"/>
      <c r="DU8" s="1580">
        <f t="shared" si="74"/>
        <v>0.90908566642565003</v>
      </c>
      <c r="DV8" s="1943">
        <f t="shared" si="71"/>
        <v>1</v>
      </c>
      <c r="DW8" s="1730">
        <f t="shared" si="72"/>
        <v>3.6809331019857332</v>
      </c>
      <c r="DX8" s="1860">
        <f t="shared" si="73"/>
        <v>5.308554985069919</v>
      </c>
      <c r="DY8" s="1683">
        <f>_xlfn.XLOOKUP(E8,Cement!$Q$7:$Q$35,Cement!$D$7:$D$35,"")</f>
        <v>1.6808505941693221</v>
      </c>
      <c r="DZ8" s="1583" t="s">
        <v>605</v>
      </c>
    </row>
    <row r="9" spans="2:130" ht="68" customHeight="1">
      <c r="B9" s="1118">
        <f>_xlfn.XLOOKUP(E9,Cement!$Q$7:$Q$35,Cement!$A$7:$A$35,"")</f>
        <v>24.771966889234456</v>
      </c>
      <c r="C9" s="394">
        <f>_xlfn.XLOOKUP(E9,Cement!$Q$7:$Q$35,Cement!$S$7:$S$35,"")</f>
        <v>9838</v>
      </c>
      <c r="D9" s="223" t="s">
        <v>80</v>
      </c>
      <c r="E9" s="1949" t="s">
        <v>81</v>
      </c>
      <c r="F9" s="982">
        <f>_xlfn.XLOOKUP(E9,Cement!$Q$7:$Q$35,Cement!$R$7:$R$35,"")</f>
        <v>12</v>
      </c>
      <c r="G9" s="1204">
        <f>_xlfn.XLOOKUP(E9,Cement!$Q$7:$Q$35,Cement!$AP$7:$AP$35,"")</f>
        <v>3291</v>
      </c>
      <c r="H9" s="1211">
        <v>299</v>
      </c>
      <c r="I9" s="1713">
        <f t="shared" si="3"/>
        <v>2992</v>
      </c>
      <c r="J9" s="1712">
        <f t="shared" si="4"/>
        <v>9.085384381646916E-2</v>
      </c>
      <c r="K9" s="1761">
        <v>4</v>
      </c>
      <c r="L9" s="1728">
        <f t="shared" si="5"/>
        <v>4</v>
      </c>
      <c r="M9" s="689">
        <v>973</v>
      </c>
      <c r="N9" s="689">
        <v>1327</v>
      </c>
      <c r="O9" s="1718">
        <v>158</v>
      </c>
      <c r="P9" s="1713">
        <f t="shared" si="6"/>
        <v>1169</v>
      </c>
      <c r="Q9" s="1712">
        <f t="shared" si="7"/>
        <v>0.11906556141672947</v>
      </c>
      <c r="R9" s="557">
        <f t="shared" si="8"/>
        <v>3981</v>
      </c>
      <c r="S9" s="553">
        <f t="shared" si="9"/>
        <v>0.36382322713257964</v>
      </c>
      <c r="T9" s="553">
        <f t="shared" si="10"/>
        <v>0.29565481616529932</v>
      </c>
      <c r="U9" s="558">
        <f t="shared" si="11"/>
        <v>4488.3422404933199</v>
      </c>
      <c r="V9" s="591">
        <f t="shared" si="12"/>
        <v>354</v>
      </c>
      <c r="W9" s="559">
        <f t="shared" si="13"/>
        <v>3645</v>
      </c>
      <c r="X9" s="1170">
        <f t="shared" si="14"/>
        <v>4150.6711202466595</v>
      </c>
      <c r="Y9" s="1244">
        <f t="shared" si="15"/>
        <v>0.26121881502481298</v>
      </c>
      <c r="Z9" s="658"/>
      <c r="AA9" s="63">
        <v>1196</v>
      </c>
      <c r="AB9" s="1147">
        <v>1196</v>
      </c>
      <c r="AC9" s="63">
        <v>88</v>
      </c>
      <c r="AD9" s="63">
        <v>206</v>
      </c>
      <c r="AE9" s="63">
        <v>342</v>
      </c>
      <c r="AF9" s="63">
        <v>481</v>
      </c>
      <c r="AG9" s="63">
        <v>620</v>
      </c>
      <c r="AH9" s="63">
        <v>795</v>
      </c>
      <c r="AI9" s="63">
        <v>957</v>
      </c>
      <c r="AJ9" s="63">
        <v>1108</v>
      </c>
      <c r="AK9" s="63">
        <v>1221</v>
      </c>
      <c r="AL9" s="63">
        <v>1352</v>
      </c>
      <c r="AM9" s="63">
        <v>1500</v>
      </c>
      <c r="AN9" s="1140">
        <v>1663</v>
      </c>
      <c r="AO9" s="1594">
        <f t="shared" si="16"/>
        <v>1663</v>
      </c>
      <c r="AP9" s="1147">
        <v>1663</v>
      </c>
      <c r="AQ9" s="1494"/>
      <c r="AR9" s="1901">
        <v>0</v>
      </c>
      <c r="AS9" s="63">
        <v>138</v>
      </c>
      <c r="AT9" s="1427">
        <f t="shared" si="17"/>
        <v>0.56818181818181823</v>
      </c>
      <c r="AU9" s="1351">
        <f t="shared" si="18"/>
        <v>0.56818181818181823</v>
      </c>
      <c r="AV9" s="63">
        <v>366</v>
      </c>
      <c r="AW9" s="1427">
        <f t="shared" si="19"/>
        <v>0.93220338983050843</v>
      </c>
      <c r="AX9" s="1351">
        <f t="shared" si="20"/>
        <v>0.77669902912621358</v>
      </c>
      <c r="AY9" s="63">
        <v>650</v>
      </c>
      <c r="AZ9" s="1427">
        <f t="shared" si="21"/>
        <v>1.088235294117647</v>
      </c>
      <c r="BA9" s="1351">
        <f t="shared" si="22"/>
        <v>0.90058479532163738</v>
      </c>
      <c r="BB9" s="63">
        <v>973</v>
      </c>
      <c r="BC9" s="1427">
        <f t="shared" si="23"/>
        <v>1.3237410071942446</v>
      </c>
      <c r="BD9" s="1351">
        <f t="shared" si="24"/>
        <v>1.0228690228690229</v>
      </c>
      <c r="BE9" s="63">
        <v>1331</v>
      </c>
      <c r="BF9" s="1427">
        <f t="shared" si="25"/>
        <v>1.5755395683453237</v>
      </c>
      <c r="BG9" s="1351">
        <f t="shared" si="26"/>
        <v>1.1467741935483871</v>
      </c>
      <c r="BH9" s="63">
        <v>1670</v>
      </c>
      <c r="BI9" s="1427">
        <f t="shared" si="27"/>
        <v>0.93714285714285717</v>
      </c>
      <c r="BJ9" s="1351">
        <f t="shared" si="28"/>
        <v>1.10062893081761</v>
      </c>
      <c r="BK9" s="63">
        <v>1961</v>
      </c>
      <c r="BL9" s="1427">
        <f t="shared" si="29"/>
        <v>0.79629629629629628</v>
      </c>
      <c r="BM9" s="1351">
        <f t="shared" si="30"/>
        <v>1.0491118077324975</v>
      </c>
      <c r="BN9" s="63">
        <v>2221</v>
      </c>
      <c r="BO9" s="1427">
        <f t="shared" si="31"/>
        <v>0.72185430463576161</v>
      </c>
      <c r="BP9" s="1351">
        <f t="shared" si="32"/>
        <v>1.0045126353790614</v>
      </c>
      <c r="BQ9" s="63">
        <v>2454</v>
      </c>
      <c r="BR9" s="1427">
        <f t="shared" si="33"/>
        <v>1.0619469026548674</v>
      </c>
      <c r="BS9" s="1351">
        <f t="shared" si="34"/>
        <v>1.0098280098280099</v>
      </c>
      <c r="BT9" s="63">
        <v>2669</v>
      </c>
      <c r="BU9" s="1427">
        <f t="shared" si="35"/>
        <v>0.64122137404580148</v>
      </c>
      <c r="BV9" s="1351">
        <f t="shared" si="36"/>
        <v>0.97411242603550297</v>
      </c>
      <c r="BW9" s="63">
        <v>2896</v>
      </c>
      <c r="BX9" s="1427">
        <f t="shared" si="37"/>
        <v>0.53378378378378377</v>
      </c>
      <c r="BY9" s="1351">
        <f t="shared" si="38"/>
        <v>0.93066666666666664</v>
      </c>
      <c r="BZ9" s="1140">
        <v>3291</v>
      </c>
      <c r="CA9" s="1427">
        <f t="shared" si="39"/>
        <v>1.4233128834355828</v>
      </c>
      <c r="CB9" s="1351">
        <f t="shared" si="40"/>
        <v>0.97895369813589894</v>
      </c>
      <c r="CC9" s="1901">
        <v>0</v>
      </c>
      <c r="CD9" s="1594">
        <f t="shared" si="41"/>
        <v>3291</v>
      </c>
      <c r="CE9" s="1939">
        <f t="shared" si="42"/>
        <v>0.97895369813589894</v>
      </c>
      <c r="CF9" s="1940">
        <f t="shared" si="43"/>
        <v>4</v>
      </c>
      <c r="CG9" s="1895"/>
      <c r="CH9" s="1815">
        <v>238</v>
      </c>
      <c r="CI9" s="2039">
        <f t="shared" si="44"/>
        <v>0.72463768115942029</v>
      </c>
      <c r="CJ9" s="2041">
        <f t="shared" si="45"/>
        <v>0.72463768115942029</v>
      </c>
      <c r="CK9" s="1815">
        <v>635</v>
      </c>
      <c r="CL9" s="2039">
        <f t="shared" si="46"/>
        <v>0.74122807017543857</v>
      </c>
      <c r="CM9" s="2041">
        <f t="shared" si="47"/>
        <v>0.73497267759562845</v>
      </c>
      <c r="CN9" s="1815">
        <v>999</v>
      </c>
      <c r="CO9" s="2039">
        <f t="shared" si="48"/>
        <v>0.28169014084507044</v>
      </c>
      <c r="CP9" s="2041">
        <f t="shared" si="49"/>
        <v>0.53692307692307695</v>
      </c>
      <c r="CQ9" s="1815">
        <v>1327</v>
      </c>
      <c r="CR9" s="2039">
        <f t="shared" si="50"/>
        <v>1.5479876160990712E-2</v>
      </c>
      <c r="CS9" s="2041">
        <f t="shared" si="51"/>
        <v>0.36382322713257964</v>
      </c>
      <c r="CU9" s="1948">
        <f t="shared" si="52"/>
        <v>-0.17309984979049731</v>
      </c>
      <c r="CV9" s="1940">
        <f t="shared" si="53"/>
        <v>24</v>
      </c>
      <c r="CW9" s="1580">
        <f t="shared" si="54"/>
        <v>0.90908566642565003</v>
      </c>
      <c r="CX9" s="1799">
        <v>5290</v>
      </c>
      <c r="CY9" s="1794">
        <f>_xlfn.XLOOKUP(E9,Cement!$Q$7:$Q$35,Cement!$S$7:$S$35)</f>
        <v>9838</v>
      </c>
      <c r="CZ9" s="1245" t="s">
        <v>608</v>
      </c>
      <c r="DA9" s="1802">
        <v>0.9</v>
      </c>
      <c r="DB9" s="1529">
        <f t="shared" si="55"/>
        <v>0.56818181818181823</v>
      </c>
      <c r="DC9" s="1529">
        <f t="shared" si="56"/>
        <v>0.77669902912621358</v>
      </c>
      <c r="DD9" s="1529">
        <f t="shared" si="57"/>
        <v>0.90058479532163738</v>
      </c>
      <c r="DE9" s="1529">
        <f t="shared" si="58"/>
        <v>1.0228690228690229</v>
      </c>
      <c r="DF9" s="1529">
        <f t="shared" si="59"/>
        <v>1.1467741935483871</v>
      </c>
      <c r="DG9" s="1529">
        <f t="shared" si="60"/>
        <v>1.10062893081761</v>
      </c>
      <c r="DH9" s="1529">
        <f t="shared" si="61"/>
        <v>1.0491118077324975</v>
      </c>
      <c r="DI9" s="1529">
        <f t="shared" si="62"/>
        <v>1.0045126353790614</v>
      </c>
      <c r="DJ9" s="1529">
        <f t="shared" si="63"/>
        <v>1.0098280098280099</v>
      </c>
      <c r="DK9" s="1529">
        <f t="shared" si="64"/>
        <v>0.97411242603550297</v>
      </c>
      <c r="DL9" s="1529">
        <f t="shared" si="65"/>
        <v>0.93066666666666664</v>
      </c>
      <c r="DM9" s="1529">
        <f t="shared" si="66"/>
        <v>0.97895369813589894</v>
      </c>
      <c r="DN9" s="1529">
        <f t="shared" si="67"/>
        <v>0.72463768115942029</v>
      </c>
      <c r="DO9" s="1529">
        <f t="shared" si="68"/>
        <v>0.73497267759562845</v>
      </c>
      <c r="DP9" s="1529">
        <f t="shared" si="69"/>
        <v>0.53692307692307695</v>
      </c>
      <c r="DQ9" s="1529">
        <f t="shared" si="70"/>
        <v>0.36382322713257964</v>
      </c>
      <c r="DS9" s="1583" t="s">
        <v>606</v>
      </c>
      <c r="DT9" s="1736"/>
      <c r="DU9" s="1580">
        <f t="shared" si="74"/>
        <v>0.90908566642565003</v>
      </c>
      <c r="DV9" s="1943">
        <f t="shared" si="71"/>
        <v>24</v>
      </c>
      <c r="DW9" s="1730">
        <f t="shared" si="72"/>
        <v>0.85973534971644616</v>
      </c>
      <c r="DX9" s="1860">
        <f t="shared" si="73"/>
        <v>2.8211717600260311</v>
      </c>
      <c r="DY9" s="1683">
        <f>_xlfn.XLOOKUP(E9,Cement!$Q$7:$Q$35,Cement!$D$7:$D$35,"")</f>
        <v>1.0442858719541785</v>
      </c>
      <c r="DZ9" s="1583" t="s">
        <v>197</v>
      </c>
    </row>
    <row r="10" spans="2:130" ht="68" customHeight="1">
      <c r="B10" s="1118">
        <f>_xlfn.XLOOKUP(E10,Cement!$Q$7:$Q$35,Cement!$A$7:$A$35,"")</f>
        <v>23.654691596536299</v>
      </c>
      <c r="C10" s="394">
        <f>_xlfn.XLOOKUP(E10,Cement!$Q$7:$Q$35,Cement!$S$7:$S$35,"")</f>
        <v>6126.8</v>
      </c>
      <c r="D10" s="223" t="s">
        <v>32</v>
      </c>
      <c r="E10" s="1949" t="s">
        <v>33</v>
      </c>
      <c r="F10" s="982">
        <f>_xlfn.XLOOKUP(E10,Cement!$Q$7:$Q$35,Cement!$R$7:$R$35,"")</f>
        <v>12</v>
      </c>
      <c r="G10" s="1204">
        <f>_xlfn.XLOOKUP(E10,Cement!$Q$7:$Q$35,Cement!$AP$7:$AP$35,"")</f>
        <v>1971</v>
      </c>
      <c r="H10" s="1211">
        <v>74</v>
      </c>
      <c r="I10" s="1713">
        <f t="shared" si="3"/>
        <v>1897</v>
      </c>
      <c r="J10" s="1712">
        <f t="shared" si="4"/>
        <v>3.7544393708777268E-2</v>
      </c>
      <c r="K10" s="1761">
        <v>4</v>
      </c>
      <c r="L10" s="1728">
        <f t="shared" si="5"/>
        <v>4</v>
      </c>
      <c r="M10" s="689">
        <v>443</v>
      </c>
      <c r="N10" s="689">
        <v>913</v>
      </c>
      <c r="O10" s="1718">
        <v>209</v>
      </c>
      <c r="P10" s="1713">
        <f t="shared" si="6"/>
        <v>704</v>
      </c>
      <c r="Q10" s="1712">
        <f t="shared" si="7"/>
        <v>0.2289156626506024</v>
      </c>
      <c r="R10" s="557">
        <f t="shared" si="8"/>
        <v>2739</v>
      </c>
      <c r="S10" s="553">
        <f t="shared" si="9"/>
        <v>1.0609480812641083</v>
      </c>
      <c r="T10" s="553">
        <f t="shared" si="10"/>
        <v>0.22475900558092338</v>
      </c>
      <c r="U10" s="558">
        <f t="shared" si="11"/>
        <v>4062.1286681715569</v>
      </c>
      <c r="V10" s="591">
        <f t="shared" si="12"/>
        <v>470</v>
      </c>
      <c r="W10" s="559">
        <f t="shared" si="13"/>
        <v>2441</v>
      </c>
      <c r="X10" s="1170">
        <f t="shared" si="14"/>
        <v>3326.0643340857787</v>
      </c>
      <c r="Y10" s="1244">
        <f t="shared" si="15"/>
        <v>0.68750093053565631</v>
      </c>
      <c r="Z10" s="658"/>
      <c r="AA10" s="63">
        <v>782</v>
      </c>
      <c r="AB10" s="1147">
        <v>782</v>
      </c>
      <c r="AC10" s="63">
        <v>34</v>
      </c>
      <c r="AD10" s="63">
        <v>116</v>
      </c>
      <c r="AE10" s="63">
        <v>193</v>
      </c>
      <c r="AF10" s="63">
        <v>266</v>
      </c>
      <c r="AG10" s="63">
        <v>347</v>
      </c>
      <c r="AH10" s="63">
        <v>442</v>
      </c>
      <c r="AI10" s="63">
        <v>557</v>
      </c>
      <c r="AJ10" s="63">
        <v>690</v>
      </c>
      <c r="AK10" s="1791">
        <v>805</v>
      </c>
      <c r="AL10" s="63">
        <v>905</v>
      </c>
      <c r="AM10" s="63">
        <v>1026</v>
      </c>
      <c r="AN10" s="1140">
        <v>1155</v>
      </c>
      <c r="AO10" s="1594">
        <f t="shared" si="16"/>
        <v>1155</v>
      </c>
      <c r="AP10" s="1147">
        <v>1155</v>
      </c>
      <c r="AQ10" s="1494"/>
      <c r="AR10" s="1901">
        <v>0</v>
      </c>
      <c r="AS10" s="63">
        <v>85</v>
      </c>
      <c r="AT10" s="1427">
        <f t="shared" si="17"/>
        <v>1.5</v>
      </c>
      <c r="AU10" s="1351">
        <f t="shared" si="18"/>
        <v>1.5</v>
      </c>
      <c r="AV10" s="63">
        <v>206</v>
      </c>
      <c r="AW10" s="1427">
        <f t="shared" si="19"/>
        <v>0.47560975609756095</v>
      </c>
      <c r="AX10" s="1351">
        <f t="shared" si="20"/>
        <v>0.77586206896551724</v>
      </c>
      <c r="AY10" s="63">
        <v>325</v>
      </c>
      <c r="AZ10" s="1427">
        <f t="shared" si="21"/>
        <v>0.54545454545454541</v>
      </c>
      <c r="BA10" s="1351">
        <f t="shared" si="22"/>
        <v>0.68393782383419688</v>
      </c>
      <c r="BB10" s="63">
        <v>443</v>
      </c>
      <c r="BC10" s="1427">
        <f t="shared" si="23"/>
        <v>0.61643835616438358</v>
      </c>
      <c r="BD10" s="1351">
        <f t="shared" si="24"/>
        <v>0.66541353383458646</v>
      </c>
      <c r="BE10" s="63">
        <v>582</v>
      </c>
      <c r="BF10" s="1427">
        <f t="shared" si="25"/>
        <v>0.71604938271604934</v>
      </c>
      <c r="BG10" s="1351">
        <f t="shared" si="26"/>
        <v>0.67723342939481268</v>
      </c>
      <c r="BH10" s="63">
        <v>723</v>
      </c>
      <c r="BI10" s="1427">
        <f t="shared" si="27"/>
        <v>0.48421052631578948</v>
      </c>
      <c r="BJ10" s="1351">
        <f t="shared" si="28"/>
        <v>0.63574660633484159</v>
      </c>
      <c r="BK10" s="63">
        <v>901</v>
      </c>
      <c r="BL10" s="1427">
        <f t="shared" si="29"/>
        <v>0.54782608695652169</v>
      </c>
      <c r="BM10" s="1351">
        <f t="shared" si="30"/>
        <v>0.61759425493716336</v>
      </c>
      <c r="BN10" s="63">
        <v>1085</v>
      </c>
      <c r="BO10" s="1427">
        <f t="shared" si="31"/>
        <v>0.38345864661654133</v>
      </c>
      <c r="BP10" s="1351">
        <f t="shared" si="32"/>
        <v>0.57246376811594202</v>
      </c>
      <c r="BQ10" s="63">
        <v>1294</v>
      </c>
      <c r="BR10" s="1427">
        <f t="shared" si="33"/>
        <v>0.81739130434782614</v>
      </c>
      <c r="BS10" s="1351">
        <f t="shared" si="34"/>
        <v>0.60745341614906834</v>
      </c>
      <c r="BT10" s="63">
        <v>1533</v>
      </c>
      <c r="BU10" s="1427">
        <f t="shared" si="35"/>
        <v>1.39</v>
      </c>
      <c r="BV10" s="1351">
        <f t="shared" si="36"/>
        <v>0.69392265193370162</v>
      </c>
      <c r="BW10" s="63">
        <v>1799</v>
      </c>
      <c r="BX10" s="1427">
        <f t="shared" si="37"/>
        <v>1.1983471074380165</v>
      </c>
      <c r="BY10" s="1351">
        <f t="shared" si="38"/>
        <v>0.75341130604288498</v>
      </c>
      <c r="BZ10" s="1140">
        <v>1971</v>
      </c>
      <c r="CA10" s="1427">
        <f t="shared" si="39"/>
        <v>0.33333333333333331</v>
      </c>
      <c r="CB10" s="1351">
        <f t="shared" si="40"/>
        <v>0.70649350649350651</v>
      </c>
      <c r="CC10" s="1901">
        <v>0</v>
      </c>
      <c r="CD10" s="1594">
        <f t="shared" si="41"/>
        <v>1971</v>
      </c>
      <c r="CE10" s="1939">
        <f t="shared" si="42"/>
        <v>0.70649350649350651</v>
      </c>
      <c r="CF10" s="1940">
        <f t="shared" si="43"/>
        <v>8</v>
      </c>
      <c r="CG10" s="1895"/>
      <c r="CH10" s="1815">
        <v>193</v>
      </c>
      <c r="CI10" s="2039">
        <f t="shared" si="44"/>
        <v>1.2705882352941176</v>
      </c>
      <c r="CJ10" s="2041">
        <f t="shared" si="45"/>
        <v>1.2705882352941176</v>
      </c>
      <c r="CK10" s="1815">
        <v>511</v>
      </c>
      <c r="CL10" s="2039">
        <f t="shared" si="46"/>
        <v>1.6280991735537189</v>
      </c>
      <c r="CM10" s="2041">
        <f t="shared" si="47"/>
        <v>1.4805825242718447</v>
      </c>
      <c r="CN10" s="1815">
        <v>747</v>
      </c>
      <c r="CO10" s="2039">
        <f t="shared" si="48"/>
        <v>0.98319327731092432</v>
      </c>
      <c r="CP10" s="2041">
        <f t="shared" si="49"/>
        <v>1.2984615384615386</v>
      </c>
      <c r="CQ10" s="1815">
        <v>913</v>
      </c>
      <c r="CR10" s="2039">
        <f t="shared" si="50"/>
        <v>0.40677966101694918</v>
      </c>
      <c r="CS10" s="2041">
        <f t="shared" si="51"/>
        <v>1.0609480812641083</v>
      </c>
      <c r="CU10" s="1948">
        <f t="shared" si="52"/>
        <v>-0.23751345719743022</v>
      </c>
      <c r="CV10" s="1940">
        <f t="shared" si="53"/>
        <v>2</v>
      </c>
      <c r="CW10" s="1580">
        <f t="shared" si="54"/>
        <v>0.90908566642565003</v>
      </c>
      <c r="CX10" s="1799">
        <v>2872.6</v>
      </c>
      <c r="CY10" s="1794">
        <f>_xlfn.XLOOKUP(E10,Cement!$Q$7:$Q$35,Cement!$S$7:$S$35)</f>
        <v>6126.8</v>
      </c>
      <c r="CZ10" s="1245" t="s">
        <v>608</v>
      </c>
      <c r="DA10" s="1802">
        <v>0.9</v>
      </c>
      <c r="DB10" s="1529">
        <f t="shared" si="55"/>
        <v>1.5</v>
      </c>
      <c r="DC10" s="1529">
        <f t="shared" si="56"/>
        <v>0.77586206896551724</v>
      </c>
      <c r="DD10" s="1529">
        <f t="shared" si="57"/>
        <v>0.68393782383419688</v>
      </c>
      <c r="DE10" s="1529">
        <f t="shared" si="58"/>
        <v>0.66541353383458646</v>
      </c>
      <c r="DF10" s="1529">
        <f t="shared" si="59"/>
        <v>0.67723342939481268</v>
      </c>
      <c r="DG10" s="1529">
        <f t="shared" si="60"/>
        <v>0.63574660633484159</v>
      </c>
      <c r="DH10" s="1529">
        <f t="shared" si="61"/>
        <v>0.61759425493716336</v>
      </c>
      <c r="DI10" s="1529">
        <f t="shared" si="62"/>
        <v>0.57246376811594202</v>
      </c>
      <c r="DJ10" s="1529">
        <f t="shared" si="63"/>
        <v>0.60745341614906834</v>
      </c>
      <c r="DK10" s="1529">
        <f t="shared" si="64"/>
        <v>0.69392265193370162</v>
      </c>
      <c r="DL10" s="1529">
        <f t="shared" si="65"/>
        <v>0.75341130604288498</v>
      </c>
      <c r="DM10" s="1529">
        <f t="shared" si="66"/>
        <v>0.70649350649350651</v>
      </c>
      <c r="DN10" s="1529">
        <f t="shared" si="67"/>
        <v>1.2705882352941176</v>
      </c>
      <c r="DO10" s="1529">
        <f t="shared" si="68"/>
        <v>1.4805825242718447</v>
      </c>
      <c r="DP10" s="1529">
        <f t="shared" si="69"/>
        <v>1.2984615384615386</v>
      </c>
      <c r="DQ10" s="1529">
        <f t="shared" si="70"/>
        <v>1.0609480812641083</v>
      </c>
      <c r="DS10" s="1583" t="s">
        <v>197</v>
      </c>
      <c r="DT10" s="1736"/>
      <c r="DU10" s="1580">
        <f t="shared" si="74"/>
        <v>0.90908566642565003</v>
      </c>
      <c r="DV10" s="1943">
        <f t="shared" si="71"/>
        <v>2</v>
      </c>
      <c r="DW10" s="1730">
        <f t="shared" si="72"/>
        <v>1.1328413284132843</v>
      </c>
      <c r="DX10" s="1860">
        <f t="shared" si="73"/>
        <v>19.137126894182511</v>
      </c>
      <c r="DY10" s="1683">
        <f>_xlfn.XLOOKUP(E10,Cement!$Q$7:$Q$35,Cement!$D$7:$D$35,"")</f>
        <v>1.048300759421319</v>
      </c>
      <c r="DZ10" s="1583" t="s">
        <v>197</v>
      </c>
    </row>
    <row r="11" spans="2:130" ht="68" customHeight="1">
      <c r="B11" s="1118">
        <f>_xlfn.XLOOKUP(E11,Cement!$Q$7:$Q$35,Cement!$A$7:$A$35,"")</f>
        <v>25.396087084183005</v>
      </c>
      <c r="C11" s="394">
        <f>_xlfn.XLOOKUP(E11,Cement!$Q$7:$Q$35,Cement!$S$7:$S$35,"")</f>
        <v>15993.698294</v>
      </c>
      <c r="D11" s="1322" t="s">
        <v>38</v>
      </c>
      <c r="E11" s="1950" t="s">
        <v>39</v>
      </c>
      <c r="F11" s="982">
        <f>_xlfn.XLOOKUP(E11,Cement!$Q$7:$Q$35,Cement!$R$7:$R$35,"")</f>
        <v>12</v>
      </c>
      <c r="G11" s="1204">
        <f>_xlfn.XLOOKUP(E11,Cement!$Q$7:$Q$35,Cement!$AP$7:$AP$35,"")</f>
        <v>4210</v>
      </c>
      <c r="H11" s="1211">
        <v>2260</v>
      </c>
      <c r="I11" s="1713">
        <f t="shared" si="3"/>
        <v>1950</v>
      </c>
      <c r="J11" s="1712">
        <f t="shared" si="4"/>
        <v>0.53681710213776723</v>
      </c>
      <c r="K11" s="1761">
        <v>4</v>
      </c>
      <c r="L11" s="1728">
        <f t="shared" si="5"/>
        <v>4</v>
      </c>
      <c r="M11" s="689">
        <v>1398</v>
      </c>
      <c r="N11" s="689">
        <v>2790</v>
      </c>
      <c r="O11" s="1718">
        <v>1881</v>
      </c>
      <c r="P11" s="1713">
        <f t="shared" si="6"/>
        <v>909</v>
      </c>
      <c r="Q11" s="1712">
        <f t="shared" si="7"/>
        <v>0.67419354838709677</v>
      </c>
      <c r="R11" s="557">
        <f t="shared" si="8"/>
        <v>8370</v>
      </c>
      <c r="S11" s="553">
        <f t="shared" si="9"/>
        <v>0.99570815450643779</v>
      </c>
      <c r="T11" s="553">
        <f t="shared" si="10"/>
        <v>0.33206650831353918</v>
      </c>
      <c r="U11" s="558">
        <f t="shared" si="11"/>
        <v>8401.9313304721036</v>
      </c>
      <c r="V11" s="591">
        <f t="shared" si="12"/>
        <v>1392</v>
      </c>
      <c r="W11" s="559">
        <f t="shared" si="13"/>
        <v>5602</v>
      </c>
      <c r="X11" s="1170">
        <f t="shared" si="14"/>
        <v>7693.9656652360518</v>
      </c>
      <c r="Y11" s="1244">
        <f t="shared" si="15"/>
        <v>0.82754528865464416</v>
      </c>
      <c r="Z11" s="658"/>
      <c r="AA11" s="63">
        <v>1751</v>
      </c>
      <c r="AB11" s="1147">
        <v>1751</v>
      </c>
      <c r="AC11" s="63">
        <v>142</v>
      </c>
      <c r="AD11" s="63">
        <v>326</v>
      </c>
      <c r="AE11" s="63">
        <v>506</v>
      </c>
      <c r="AF11" s="63">
        <v>677</v>
      </c>
      <c r="AG11" s="63">
        <v>877</v>
      </c>
      <c r="AH11" s="63">
        <v>1046</v>
      </c>
      <c r="AI11" s="63">
        <v>1320</v>
      </c>
      <c r="AJ11" s="63">
        <v>1536</v>
      </c>
      <c r="AK11" s="63">
        <v>1696</v>
      </c>
      <c r="AL11" s="63">
        <v>1884</v>
      </c>
      <c r="AM11" s="63">
        <v>2123</v>
      </c>
      <c r="AN11" s="1140">
        <v>2381</v>
      </c>
      <c r="AO11" s="1594">
        <f t="shared" si="16"/>
        <v>2381</v>
      </c>
      <c r="AP11" s="1147">
        <v>2381</v>
      </c>
      <c r="AQ11" s="1494"/>
      <c r="AR11" s="1901">
        <v>0</v>
      </c>
      <c r="AS11" s="63">
        <v>244</v>
      </c>
      <c r="AT11" s="1427">
        <f t="shared" si="17"/>
        <v>0.71830985915492962</v>
      </c>
      <c r="AU11" s="1351">
        <f t="shared" si="18"/>
        <v>0.71830985915492962</v>
      </c>
      <c r="AV11" s="63">
        <v>590</v>
      </c>
      <c r="AW11" s="1427">
        <f t="shared" si="19"/>
        <v>0.88043478260869568</v>
      </c>
      <c r="AX11" s="1351">
        <f t="shared" si="20"/>
        <v>0.80981595092024539</v>
      </c>
      <c r="AY11" s="63">
        <v>984</v>
      </c>
      <c r="AZ11" s="1427">
        <f t="shared" si="21"/>
        <v>1.1888888888888889</v>
      </c>
      <c r="BA11" s="1351">
        <f t="shared" si="22"/>
        <v>0.94466403162055335</v>
      </c>
      <c r="BB11" s="63">
        <v>1398</v>
      </c>
      <c r="BC11" s="1427">
        <f t="shared" si="23"/>
        <v>1.4210526315789473</v>
      </c>
      <c r="BD11" s="1351">
        <f t="shared" si="24"/>
        <v>1.0649926144756279</v>
      </c>
      <c r="BE11" s="63">
        <v>1707</v>
      </c>
      <c r="BF11" s="1427">
        <f t="shared" si="25"/>
        <v>0.54500000000000004</v>
      </c>
      <c r="BG11" s="1351">
        <f t="shared" si="26"/>
        <v>0.94640820980615736</v>
      </c>
      <c r="BH11" s="63">
        <v>2102</v>
      </c>
      <c r="BI11" s="1427">
        <f t="shared" si="27"/>
        <v>1.3372781065088757</v>
      </c>
      <c r="BJ11" s="1351">
        <f t="shared" si="28"/>
        <v>1.0095602294455066</v>
      </c>
      <c r="BK11" s="63">
        <v>2425</v>
      </c>
      <c r="BL11" s="1427">
        <f t="shared" si="29"/>
        <v>0.17883211678832117</v>
      </c>
      <c r="BM11" s="1351">
        <f t="shared" si="30"/>
        <v>0.83712121212121215</v>
      </c>
      <c r="BN11" s="63">
        <v>2765</v>
      </c>
      <c r="BO11" s="1427">
        <f t="shared" si="31"/>
        <v>0.57407407407407407</v>
      </c>
      <c r="BP11" s="1351">
        <f t="shared" si="32"/>
        <v>0.80013020833333337</v>
      </c>
      <c r="BQ11" s="63">
        <v>3173</v>
      </c>
      <c r="BR11" s="1427">
        <f t="shared" si="33"/>
        <v>1.55</v>
      </c>
      <c r="BS11" s="1351">
        <f t="shared" si="34"/>
        <v>0.870872641509434</v>
      </c>
      <c r="BT11" s="63">
        <v>3482</v>
      </c>
      <c r="BU11" s="1427">
        <f t="shared" si="35"/>
        <v>0.6436170212765957</v>
      </c>
      <c r="BV11" s="1351">
        <f t="shared" si="36"/>
        <v>0.84819532908704887</v>
      </c>
      <c r="BW11" s="63">
        <v>3808</v>
      </c>
      <c r="BX11" s="1427">
        <f t="shared" si="37"/>
        <v>0.36401673640167365</v>
      </c>
      <c r="BY11" s="1351">
        <f t="shared" si="38"/>
        <v>0.79368817710786621</v>
      </c>
      <c r="BZ11" s="1140">
        <v>4210</v>
      </c>
      <c r="CA11" s="1427">
        <f t="shared" si="39"/>
        <v>0.55813953488372092</v>
      </c>
      <c r="CB11" s="1351">
        <f t="shared" si="40"/>
        <v>0.76816463670726587</v>
      </c>
      <c r="CC11" s="1901">
        <v>0</v>
      </c>
      <c r="CD11" s="1594">
        <f t="shared" si="41"/>
        <v>4210</v>
      </c>
      <c r="CE11" s="1939">
        <f t="shared" si="42"/>
        <v>0.76816463670726587</v>
      </c>
      <c r="CF11" s="1940">
        <f t="shared" si="43"/>
        <v>7</v>
      </c>
      <c r="CG11" s="1895"/>
      <c r="CH11" s="1815">
        <v>583</v>
      </c>
      <c r="CI11" s="2039">
        <f t="shared" si="44"/>
        <v>1.389344262295082</v>
      </c>
      <c r="CJ11" s="2041">
        <f t="shared" si="45"/>
        <v>1.389344262295082</v>
      </c>
      <c r="CK11" s="1815">
        <v>1476</v>
      </c>
      <c r="CL11" s="2039">
        <f t="shared" si="46"/>
        <v>1.5809248554913296</v>
      </c>
      <c r="CM11" s="2041">
        <f t="shared" si="47"/>
        <v>1.5016949152542374</v>
      </c>
      <c r="CN11" s="1815">
        <v>2130</v>
      </c>
      <c r="CO11" s="2039">
        <f t="shared" si="48"/>
        <v>0.65989847715736039</v>
      </c>
      <c r="CP11" s="2041">
        <f t="shared" si="49"/>
        <v>1.1646341463414633</v>
      </c>
      <c r="CQ11" s="1815">
        <v>2790</v>
      </c>
      <c r="CR11" s="2039">
        <f t="shared" si="50"/>
        <v>0.59420289855072461</v>
      </c>
      <c r="CS11" s="2041">
        <f t="shared" si="51"/>
        <v>0.99570815450643779</v>
      </c>
      <c r="CU11" s="1948">
        <f t="shared" si="52"/>
        <v>-0.16892599183502555</v>
      </c>
      <c r="CV11" s="1940">
        <f t="shared" si="53"/>
        <v>4</v>
      </c>
      <c r="CW11" s="1580">
        <f t="shared" si="54"/>
        <v>1.8531990160103571</v>
      </c>
      <c r="CX11" s="1799">
        <v>5462.4</v>
      </c>
      <c r="CY11" s="1794">
        <f>_xlfn.XLOOKUP(E11,Cement!$Q$7:$Q$35,Cement!$S$7:$S$35)</f>
        <v>15993.698294</v>
      </c>
      <c r="CZ11" s="1245" t="s">
        <v>604</v>
      </c>
      <c r="DA11" s="1802">
        <v>0.9</v>
      </c>
      <c r="DB11" s="1529">
        <f t="shared" si="55"/>
        <v>0.71830985915492962</v>
      </c>
      <c r="DC11" s="1529">
        <f t="shared" si="56"/>
        <v>0.80981595092024539</v>
      </c>
      <c r="DD11" s="1529">
        <f t="shared" si="57"/>
        <v>0.94466403162055335</v>
      </c>
      <c r="DE11" s="1529">
        <f t="shared" si="58"/>
        <v>1.0649926144756279</v>
      </c>
      <c r="DF11" s="1529">
        <f t="shared" si="59"/>
        <v>0.94640820980615736</v>
      </c>
      <c r="DG11" s="1529">
        <f t="shared" si="60"/>
        <v>1.0095602294455066</v>
      </c>
      <c r="DH11" s="1529">
        <f t="shared" si="61"/>
        <v>0.83712121212121215</v>
      </c>
      <c r="DI11" s="1529">
        <f t="shared" si="62"/>
        <v>0.80013020833333337</v>
      </c>
      <c r="DJ11" s="1529">
        <f t="shared" si="63"/>
        <v>0.870872641509434</v>
      </c>
      <c r="DK11" s="1529">
        <f t="shared" si="64"/>
        <v>0.84819532908704887</v>
      </c>
      <c r="DL11" s="1529">
        <f t="shared" si="65"/>
        <v>0.79368817710786621</v>
      </c>
      <c r="DM11" s="1529">
        <f t="shared" si="66"/>
        <v>0.76816463670726587</v>
      </c>
      <c r="DN11" s="1529">
        <f t="shared" si="67"/>
        <v>1.389344262295082</v>
      </c>
      <c r="DO11" s="1529">
        <f t="shared" si="68"/>
        <v>1.5016949152542374</v>
      </c>
      <c r="DP11" s="1529">
        <f t="shared" si="69"/>
        <v>1.1646341463414633</v>
      </c>
      <c r="DQ11" s="1529">
        <f t="shared" si="70"/>
        <v>0.99570815450643779</v>
      </c>
      <c r="DS11" s="1583" t="s">
        <v>197</v>
      </c>
      <c r="DT11" s="1736"/>
      <c r="DU11" s="1580">
        <f t="shared" si="74"/>
        <v>1.8531990160103571</v>
      </c>
      <c r="DV11" s="1943">
        <f t="shared" si="71"/>
        <v>4</v>
      </c>
      <c r="DW11" s="1730">
        <f t="shared" si="72"/>
        <v>1.9279617556385473</v>
      </c>
      <c r="DX11" s="1860">
        <f t="shared" si="73"/>
        <v>13.737644624932955</v>
      </c>
      <c r="DY11" s="1683">
        <f>_xlfn.XLOOKUP(E11,Cement!$Q$7:$Q$35,Cement!$D$7:$D$35,"")</f>
        <v>2.3289770418750795</v>
      </c>
      <c r="DZ11" s="1583" t="s">
        <v>605</v>
      </c>
    </row>
    <row r="12" spans="2:130" ht="68" customHeight="1">
      <c r="B12" s="1118">
        <f>_xlfn.XLOOKUP(E12,Cement!$Q$7:$Q$35,Cement!$A$7:$A$35,"")</f>
        <v>21.208110025072855</v>
      </c>
      <c r="C12" s="394">
        <f>_xlfn.XLOOKUP(E12,Cement!$Q$7:$Q$35,Cement!$S$7:$S$35,"")</f>
        <v>20530</v>
      </c>
      <c r="D12" s="223" t="s">
        <v>42</v>
      </c>
      <c r="E12" s="1949" t="s">
        <v>43</v>
      </c>
      <c r="F12" s="982">
        <f>_xlfn.XLOOKUP(E12,Cement!$Q$7:$Q$35,Cement!$R$7:$R$35,"")</f>
        <v>12</v>
      </c>
      <c r="G12" s="1204">
        <f>_xlfn.XLOOKUP(E12,Cement!$Q$7:$Q$35,Cement!$AP$7:$AP$35,"")</f>
        <v>4048</v>
      </c>
      <c r="H12" s="1211">
        <v>747</v>
      </c>
      <c r="I12" s="1713">
        <f t="shared" si="3"/>
        <v>3301</v>
      </c>
      <c r="J12" s="1712">
        <f t="shared" si="4"/>
        <v>0.18453557312252963</v>
      </c>
      <c r="K12" s="1761">
        <v>4</v>
      </c>
      <c r="L12" s="1728">
        <f t="shared" si="5"/>
        <v>4</v>
      </c>
      <c r="M12" s="689">
        <v>1477</v>
      </c>
      <c r="N12" s="689">
        <v>2438</v>
      </c>
      <c r="O12" s="1718">
        <v>619</v>
      </c>
      <c r="P12" s="1713">
        <f t="shared" si="6"/>
        <v>1819</v>
      </c>
      <c r="Q12" s="1712">
        <f t="shared" si="7"/>
        <v>0.25389663658736672</v>
      </c>
      <c r="R12" s="557">
        <f t="shared" si="8"/>
        <v>7314</v>
      </c>
      <c r="S12" s="553">
        <f t="shared" si="9"/>
        <v>0.65064319566689233</v>
      </c>
      <c r="T12" s="553">
        <f t="shared" si="10"/>
        <v>0.36487154150197626</v>
      </c>
      <c r="U12" s="558">
        <f t="shared" si="11"/>
        <v>6681.8036560595801</v>
      </c>
      <c r="V12" s="591">
        <f t="shared" si="12"/>
        <v>961</v>
      </c>
      <c r="W12" s="559">
        <f t="shared" si="13"/>
        <v>5009</v>
      </c>
      <c r="X12" s="1170">
        <f t="shared" si="14"/>
        <v>6421.6518280297896</v>
      </c>
      <c r="Y12" s="1244">
        <f t="shared" si="15"/>
        <v>0.58637643973067921</v>
      </c>
      <c r="Z12" s="658"/>
      <c r="AA12" s="63">
        <v>1799</v>
      </c>
      <c r="AB12" s="1147">
        <v>1799</v>
      </c>
      <c r="AC12" s="63">
        <v>159</v>
      </c>
      <c r="AD12" s="63">
        <v>396</v>
      </c>
      <c r="AE12" s="63">
        <v>638</v>
      </c>
      <c r="AF12" s="63">
        <v>858</v>
      </c>
      <c r="AG12" s="63">
        <v>1063</v>
      </c>
      <c r="AH12" s="63">
        <v>1364</v>
      </c>
      <c r="AI12" s="63">
        <v>1644</v>
      </c>
      <c r="AJ12" s="63">
        <v>1937</v>
      </c>
      <c r="AK12" s="1791">
        <v>2162</v>
      </c>
      <c r="AL12" s="63">
        <v>2290</v>
      </c>
      <c r="AM12" s="63">
        <v>2407</v>
      </c>
      <c r="AN12" s="1140">
        <v>2603</v>
      </c>
      <c r="AO12" s="1594">
        <f t="shared" si="16"/>
        <v>2603</v>
      </c>
      <c r="AP12" s="1147">
        <v>2603</v>
      </c>
      <c r="AQ12" s="1494"/>
      <c r="AR12" s="1901">
        <v>0</v>
      </c>
      <c r="AS12" s="63">
        <v>294</v>
      </c>
      <c r="AT12" s="1427">
        <f t="shared" si="17"/>
        <v>0.84905660377358494</v>
      </c>
      <c r="AU12" s="1351">
        <f t="shared" si="18"/>
        <v>0.84905660377358494</v>
      </c>
      <c r="AV12" s="63">
        <v>689</v>
      </c>
      <c r="AW12" s="1427">
        <f t="shared" si="19"/>
        <v>0.66666666666666663</v>
      </c>
      <c r="AX12" s="1351">
        <f t="shared" si="20"/>
        <v>0.73989898989898994</v>
      </c>
      <c r="AY12" s="63">
        <v>1128</v>
      </c>
      <c r="AZ12" s="1427">
        <f t="shared" si="21"/>
        <v>0.81404958677685946</v>
      </c>
      <c r="BA12" s="1351">
        <f t="shared" si="22"/>
        <v>0.76802507836990597</v>
      </c>
      <c r="BB12" s="63">
        <v>1477</v>
      </c>
      <c r="BC12" s="1427">
        <f t="shared" si="23"/>
        <v>0.58636363636363631</v>
      </c>
      <c r="BD12" s="1351">
        <f t="shared" si="24"/>
        <v>0.7214452214452215</v>
      </c>
      <c r="BE12" s="63">
        <v>1862</v>
      </c>
      <c r="BF12" s="1427">
        <f t="shared" si="25"/>
        <v>0.87804878048780488</v>
      </c>
      <c r="BG12" s="1351">
        <f t="shared" si="26"/>
        <v>0.75164628410159928</v>
      </c>
      <c r="BH12" s="63">
        <v>2277</v>
      </c>
      <c r="BI12" s="1427">
        <f t="shared" si="27"/>
        <v>0.37873754152823919</v>
      </c>
      <c r="BJ12" s="1351">
        <f t="shared" si="28"/>
        <v>0.66935483870967738</v>
      </c>
      <c r="BK12" s="63">
        <v>2671</v>
      </c>
      <c r="BL12" s="1427">
        <f t="shared" si="29"/>
        <v>0.40714285714285714</v>
      </c>
      <c r="BM12" s="1351">
        <f t="shared" si="30"/>
        <v>0.62469586374695862</v>
      </c>
      <c r="BN12" s="63">
        <v>3039</v>
      </c>
      <c r="BO12" s="1427">
        <f t="shared" si="31"/>
        <v>0.25597269624573377</v>
      </c>
      <c r="BP12" s="1351">
        <f t="shared" si="32"/>
        <v>0.56892101187403199</v>
      </c>
      <c r="BQ12" s="63">
        <v>3324</v>
      </c>
      <c r="BR12" s="1427">
        <f t="shared" si="33"/>
        <v>0.26666666666666666</v>
      </c>
      <c r="BS12" s="1351">
        <f t="shared" si="34"/>
        <v>0.53746530989824237</v>
      </c>
      <c r="BT12" s="63">
        <v>3494</v>
      </c>
      <c r="BU12" s="1427">
        <f t="shared" si="35"/>
        <v>0.328125</v>
      </c>
      <c r="BV12" s="1351">
        <f t="shared" si="36"/>
        <v>0.52576419213973802</v>
      </c>
      <c r="BW12" s="63">
        <v>3724</v>
      </c>
      <c r="BX12" s="1427">
        <f t="shared" si="37"/>
        <v>0.96581196581196582</v>
      </c>
      <c r="BY12" s="1351">
        <f t="shared" si="38"/>
        <v>0.54715413377648525</v>
      </c>
      <c r="BZ12" s="1140">
        <v>4048</v>
      </c>
      <c r="CA12" s="1427">
        <f t="shared" si="39"/>
        <v>0.65306122448979587</v>
      </c>
      <c r="CB12" s="1351">
        <f t="shared" si="40"/>
        <v>0.55512869765655015</v>
      </c>
      <c r="CC12" s="1901">
        <v>0</v>
      </c>
      <c r="CD12" s="1594">
        <f t="shared" si="41"/>
        <v>4048</v>
      </c>
      <c r="CE12" s="1939">
        <f t="shared" si="42"/>
        <v>0.55512869765655015</v>
      </c>
      <c r="CF12" s="1940">
        <f t="shared" si="43"/>
        <v>18</v>
      </c>
      <c r="CG12" s="1895"/>
      <c r="CH12" s="1815">
        <v>462</v>
      </c>
      <c r="CI12" s="2039">
        <f t="shared" si="44"/>
        <v>0.5714285714285714</v>
      </c>
      <c r="CJ12" s="2041">
        <f t="shared" si="45"/>
        <v>0.5714285714285714</v>
      </c>
      <c r="CK12" s="1815">
        <v>1041</v>
      </c>
      <c r="CL12" s="2039">
        <f t="shared" si="46"/>
        <v>0.46582278481012657</v>
      </c>
      <c r="CM12" s="2041">
        <f t="shared" si="47"/>
        <v>0.51088534107402028</v>
      </c>
      <c r="CN12" s="1815">
        <v>1740</v>
      </c>
      <c r="CO12" s="2039">
        <f t="shared" si="48"/>
        <v>0.592255125284738</v>
      </c>
      <c r="CP12" s="2041">
        <f t="shared" si="49"/>
        <v>0.54255319148936165</v>
      </c>
      <c r="CQ12" s="1815">
        <v>2438</v>
      </c>
      <c r="CR12" s="2039">
        <f t="shared" si="50"/>
        <v>1</v>
      </c>
      <c r="CS12" s="2041">
        <f t="shared" si="51"/>
        <v>0.65064319566689233</v>
      </c>
      <c r="CU12" s="1948">
        <f t="shared" si="52"/>
        <v>0.10809000417753067</v>
      </c>
      <c r="CV12" s="1940">
        <f t="shared" si="53"/>
        <v>14</v>
      </c>
      <c r="CW12" s="1580">
        <f t="shared" si="54"/>
        <v>0.90908566642565003</v>
      </c>
      <c r="CX12" s="1799">
        <v>9125</v>
      </c>
      <c r="CY12" s="1794">
        <f>_xlfn.XLOOKUP(E12,Cement!$Q$7:$Q$35,Cement!$S$7:$S$35)</f>
        <v>20530</v>
      </c>
      <c r="CZ12" s="1245" t="s">
        <v>608</v>
      </c>
      <c r="DA12" s="1802">
        <v>0.9</v>
      </c>
      <c r="DB12" s="1529">
        <f t="shared" si="55"/>
        <v>0.84905660377358494</v>
      </c>
      <c r="DC12" s="1529">
        <f t="shared" si="56"/>
        <v>0.73989898989898994</v>
      </c>
      <c r="DD12" s="1529">
        <f t="shared" si="57"/>
        <v>0.76802507836990597</v>
      </c>
      <c r="DE12" s="1529">
        <f t="shared" si="58"/>
        <v>0.7214452214452215</v>
      </c>
      <c r="DF12" s="1529">
        <f t="shared" si="59"/>
        <v>0.75164628410159928</v>
      </c>
      <c r="DG12" s="1529">
        <f t="shared" si="60"/>
        <v>0.66935483870967738</v>
      </c>
      <c r="DH12" s="1529">
        <f t="shared" si="61"/>
        <v>0.62469586374695862</v>
      </c>
      <c r="DI12" s="1529">
        <f t="shared" si="62"/>
        <v>0.56892101187403199</v>
      </c>
      <c r="DJ12" s="1529">
        <f t="shared" si="63"/>
        <v>0.53746530989824237</v>
      </c>
      <c r="DK12" s="1529">
        <f t="shared" si="64"/>
        <v>0.52576419213973802</v>
      </c>
      <c r="DL12" s="1529">
        <f t="shared" si="65"/>
        <v>0.54715413377648525</v>
      </c>
      <c r="DM12" s="1529">
        <f t="shared" si="66"/>
        <v>0.55512869765655015</v>
      </c>
      <c r="DN12" s="1529">
        <f t="shared" si="67"/>
        <v>0.5714285714285714</v>
      </c>
      <c r="DO12" s="1529">
        <f t="shared" si="68"/>
        <v>0.51088534107402028</v>
      </c>
      <c r="DP12" s="1529">
        <f t="shared" si="69"/>
        <v>0.54255319148936165</v>
      </c>
      <c r="DQ12" s="1529">
        <f t="shared" si="70"/>
        <v>0.65064319566689233</v>
      </c>
      <c r="DS12" s="1583" t="s">
        <v>197</v>
      </c>
      <c r="DT12" s="1736"/>
      <c r="DU12" s="1580">
        <f t="shared" si="74"/>
        <v>0.90908566642565003</v>
      </c>
      <c r="DV12" s="1943">
        <f t="shared" si="71"/>
        <v>14</v>
      </c>
      <c r="DW12" s="1730">
        <f t="shared" si="72"/>
        <v>1.2498630136986302</v>
      </c>
      <c r="DX12" s="1860">
        <f t="shared" si="73"/>
        <v>6.9361063464837089</v>
      </c>
      <c r="DY12" s="1683">
        <f>_xlfn.XLOOKUP(E12,Cement!$Q$7:$Q$35,Cement!$D$7:$D$35,"")</f>
        <v>1.2220808717509213</v>
      </c>
      <c r="DZ12" s="1583" t="s">
        <v>605</v>
      </c>
    </row>
    <row r="13" spans="2:130" ht="68" customHeight="1">
      <c r="B13" s="1118">
        <f>_xlfn.XLOOKUP(E13,Cement!$Q$7:$Q$35,Cement!$A$7:$A$35,"")</f>
        <v>21.545827737635289</v>
      </c>
      <c r="C13" s="394">
        <f>_xlfn.XLOOKUP(E13,Cement!$Q$7:$Q$35,Cement!$S$7:$S$35,"")</f>
        <v>8820</v>
      </c>
      <c r="D13" s="223" t="s">
        <v>78</v>
      </c>
      <c r="E13" s="1949" t="s">
        <v>79</v>
      </c>
      <c r="F13" s="982">
        <f>_xlfn.XLOOKUP(E13,Cement!$Q$7:$Q$35,Cement!$R$7:$R$35,"")</f>
        <v>9</v>
      </c>
      <c r="G13" s="1204">
        <f>_xlfn.XLOOKUP(E13,Cement!$Q$7:$Q$35,Cement!$AP$7:$AP$35,"")</f>
        <v>1690</v>
      </c>
      <c r="H13" s="1211">
        <v>569</v>
      </c>
      <c r="I13" s="1713">
        <f t="shared" si="3"/>
        <v>1121</v>
      </c>
      <c r="J13" s="1712">
        <f t="shared" si="4"/>
        <v>0.3366863905325444</v>
      </c>
      <c r="K13" s="1761">
        <v>4</v>
      </c>
      <c r="L13" s="1728">
        <f t="shared" si="5"/>
        <v>7</v>
      </c>
      <c r="M13" s="689">
        <v>738</v>
      </c>
      <c r="N13" s="689">
        <v>1296</v>
      </c>
      <c r="O13" s="1718">
        <v>512</v>
      </c>
      <c r="P13" s="1713">
        <f t="shared" si="6"/>
        <v>784</v>
      </c>
      <c r="Q13" s="1712">
        <f t="shared" si="7"/>
        <v>0.39506172839506171</v>
      </c>
      <c r="R13" s="557">
        <f t="shared" si="8"/>
        <v>2221.7142857142858</v>
      </c>
      <c r="S13" s="553">
        <f t="shared" si="9"/>
        <v>0.75609756097560976</v>
      </c>
      <c r="T13" s="553">
        <f t="shared" si="10"/>
        <v>0.43668639053254438</v>
      </c>
      <c r="U13" s="558">
        <f t="shared" si="11"/>
        <v>2967.8048780487807</v>
      </c>
      <c r="V13" s="591">
        <f t="shared" si="12"/>
        <v>558</v>
      </c>
      <c r="W13" s="559">
        <f t="shared" si="13"/>
        <v>2248</v>
      </c>
      <c r="X13" s="1170">
        <f t="shared" si="14"/>
        <v>2601.3310104529619</v>
      </c>
      <c r="Y13" s="1244">
        <f t="shared" si="15"/>
        <v>0.53924911861122005</v>
      </c>
      <c r="Z13" s="658"/>
      <c r="AA13" s="63">
        <v>155</v>
      </c>
      <c r="AB13" s="1147">
        <v>613</v>
      </c>
      <c r="AC13" s="63">
        <v>199</v>
      </c>
      <c r="AD13" s="63">
        <v>266</v>
      </c>
      <c r="AE13" s="63">
        <v>344</v>
      </c>
      <c r="AF13" s="63">
        <v>412</v>
      </c>
      <c r="AG13" s="63">
        <v>531</v>
      </c>
      <c r="AH13" s="63">
        <v>615</v>
      </c>
      <c r="AI13" s="63">
        <v>696</v>
      </c>
      <c r="AJ13" s="63">
        <v>766</v>
      </c>
      <c r="AK13" s="1792">
        <v>829</v>
      </c>
      <c r="AL13" s="63">
        <v>42</v>
      </c>
      <c r="AM13" s="63">
        <v>97</v>
      </c>
      <c r="AN13" s="63">
        <v>191</v>
      </c>
      <c r="AO13" s="1594">
        <f>AK13-AA13+AN13</f>
        <v>865</v>
      </c>
      <c r="AP13" s="1147">
        <v>829</v>
      </c>
      <c r="AQ13" s="1494"/>
      <c r="AR13" s="1901">
        <v>191</v>
      </c>
      <c r="AS13" s="63">
        <v>290</v>
      </c>
      <c r="AT13" s="1427">
        <f t="shared" si="17"/>
        <v>1.25</v>
      </c>
      <c r="AU13" s="1351">
        <f t="shared" si="18"/>
        <v>0.457286432160804</v>
      </c>
      <c r="AV13" s="63">
        <v>432</v>
      </c>
      <c r="AW13" s="1427">
        <f t="shared" si="19"/>
        <v>1.1194029850746268</v>
      </c>
      <c r="AX13" s="1351">
        <f t="shared" si="20"/>
        <v>0.62406015037593987</v>
      </c>
      <c r="AY13" s="63">
        <v>595</v>
      </c>
      <c r="AZ13" s="1427">
        <f t="shared" si="21"/>
        <v>1.0897435897435896</v>
      </c>
      <c r="BA13" s="1351">
        <f t="shared" si="22"/>
        <v>0.72965116279069764</v>
      </c>
      <c r="BB13" s="63">
        <v>738</v>
      </c>
      <c r="BC13" s="1427">
        <f t="shared" si="23"/>
        <v>1.1029411764705883</v>
      </c>
      <c r="BD13" s="1351">
        <f t="shared" si="24"/>
        <v>0.79126213592233008</v>
      </c>
      <c r="BE13" s="63">
        <v>904</v>
      </c>
      <c r="BF13" s="1427">
        <f t="shared" si="25"/>
        <v>0.3949579831932773</v>
      </c>
      <c r="BG13" s="1351">
        <f t="shared" si="26"/>
        <v>0.7024482109227872</v>
      </c>
      <c r="BH13" s="63">
        <v>1112</v>
      </c>
      <c r="BI13" s="1427">
        <f t="shared" si="27"/>
        <v>1.4761904761904763</v>
      </c>
      <c r="BJ13" s="1351">
        <f t="shared" si="28"/>
        <v>0.80813008130081299</v>
      </c>
      <c r="BK13" s="63">
        <v>1319</v>
      </c>
      <c r="BL13" s="1427">
        <f t="shared" si="29"/>
        <v>1.5555555555555556</v>
      </c>
      <c r="BM13" s="1351">
        <f t="shared" si="30"/>
        <v>0.89511494252873558</v>
      </c>
      <c r="BN13" s="63">
        <v>1511</v>
      </c>
      <c r="BO13" s="1427">
        <f t="shared" si="31"/>
        <v>1.7428571428571429</v>
      </c>
      <c r="BP13" s="1351">
        <f t="shared" si="32"/>
        <v>0.97258485639686687</v>
      </c>
      <c r="BQ13" s="1140">
        <v>1690</v>
      </c>
      <c r="BR13" s="1427">
        <f t="shared" si="33"/>
        <v>1.8412698412698412</v>
      </c>
      <c r="BS13" s="1351">
        <f t="shared" si="34"/>
        <v>1.0386007237635706</v>
      </c>
      <c r="BT13" s="63">
        <v>152</v>
      </c>
      <c r="BU13" s="1427">
        <f t="shared" si="35"/>
        <v>2.6190476190476191</v>
      </c>
      <c r="BV13" s="1351">
        <f t="shared" si="36"/>
        <v>2.6190476190476191</v>
      </c>
      <c r="BW13" s="63">
        <v>327</v>
      </c>
      <c r="BX13" s="1427">
        <f t="shared" si="37"/>
        <v>2.1818181818181817</v>
      </c>
      <c r="BY13" s="1351">
        <f t="shared" si="38"/>
        <v>2.3711340206185567</v>
      </c>
      <c r="BZ13" s="63">
        <v>460</v>
      </c>
      <c r="CA13" s="1427">
        <f t="shared" si="39"/>
        <v>0.41489361702127658</v>
      </c>
      <c r="CB13" s="1351">
        <f t="shared" si="40"/>
        <v>1.4083769633507854</v>
      </c>
      <c r="CC13" s="1901">
        <v>460</v>
      </c>
      <c r="CD13" s="1594">
        <f>BQ13+BZ13-AR13</f>
        <v>1959</v>
      </c>
      <c r="CE13" s="1939">
        <f t="shared" si="42"/>
        <v>1.2647398843930635</v>
      </c>
      <c r="CF13" s="1940">
        <f t="shared" si="43"/>
        <v>1</v>
      </c>
      <c r="CG13" s="1895"/>
      <c r="CH13" s="1815">
        <v>653</v>
      </c>
      <c r="CI13" s="2039">
        <f t="shared" si="44"/>
        <v>0.9494949494949495</v>
      </c>
      <c r="CJ13" s="2041">
        <f t="shared" si="45"/>
        <v>1.2517241379310344</v>
      </c>
      <c r="CK13" s="1815">
        <v>893</v>
      </c>
      <c r="CL13" s="2039">
        <f t="shared" si="46"/>
        <v>0.6901408450704225</v>
      </c>
      <c r="CM13" s="2041">
        <f t="shared" si="47"/>
        <v>1.0671296296296295</v>
      </c>
      <c r="CN13" s="1815">
        <v>1140</v>
      </c>
      <c r="CO13" s="2039">
        <f t="shared" si="48"/>
        <v>0.51533742331288346</v>
      </c>
      <c r="CP13" s="2041">
        <f t="shared" si="49"/>
        <v>0.91596638655462181</v>
      </c>
      <c r="CQ13" s="1815">
        <v>1296</v>
      </c>
      <c r="CR13" s="2039">
        <f t="shared" si="50"/>
        <v>9.0909090909090912E-2</v>
      </c>
      <c r="CS13" s="2041">
        <f t="shared" si="51"/>
        <v>0.75609756097560976</v>
      </c>
      <c r="CU13" s="1948">
        <f t="shared" si="52"/>
        <v>-0.15986882557901205</v>
      </c>
      <c r="CV13" s="1940">
        <f t="shared" si="53"/>
        <v>9</v>
      </c>
      <c r="CW13" s="1580">
        <f t="shared" si="54"/>
        <v>1.8531990160103571</v>
      </c>
      <c r="CX13" s="1799">
        <v>1823</v>
      </c>
      <c r="CY13" s="1794">
        <f>_xlfn.XLOOKUP(E13,Cement!$Q$7:$Q$35,Cement!$S$7:$S$35)</f>
        <v>8820</v>
      </c>
      <c r="CZ13" s="1245" t="s">
        <v>604</v>
      </c>
      <c r="DA13" s="1802">
        <v>0.9</v>
      </c>
      <c r="DB13" s="1529">
        <f t="shared" si="55"/>
        <v>0.457286432160804</v>
      </c>
      <c r="DC13" s="1529">
        <f t="shared" si="56"/>
        <v>0.62406015037593987</v>
      </c>
      <c r="DD13" s="1529">
        <f t="shared" si="57"/>
        <v>0.72965116279069764</v>
      </c>
      <c r="DE13" s="1529">
        <f t="shared" si="58"/>
        <v>0.79126213592233008</v>
      </c>
      <c r="DF13" s="1529">
        <f t="shared" si="59"/>
        <v>0.7024482109227872</v>
      </c>
      <c r="DG13" s="1529">
        <f t="shared" si="60"/>
        <v>0.80813008130081299</v>
      </c>
      <c r="DH13" s="1529">
        <f t="shared" si="61"/>
        <v>0.89511494252873558</v>
      </c>
      <c r="DI13" s="1529">
        <f t="shared" si="62"/>
        <v>0.97258485639686687</v>
      </c>
      <c r="DJ13" s="1529">
        <f t="shared" si="63"/>
        <v>1.0386007237635706</v>
      </c>
      <c r="DK13" s="1529">
        <f t="shared" si="64"/>
        <v>2.6190476190476191</v>
      </c>
      <c r="DL13" s="1529">
        <f t="shared" si="65"/>
        <v>2.3711340206185567</v>
      </c>
      <c r="DM13" s="1529">
        <f t="shared" si="66"/>
        <v>1.4083769633507854</v>
      </c>
      <c r="DN13" s="1529">
        <f t="shared" si="67"/>
        <v>1.2517241379310344</v>
      </c>
      <c r="DO13" s="1529">
        <f t="shared" si="68"/>
        <v>1.0671296296296295</v>
      </c>
      <c r="DP13" s="1529">
        <f t="shared" si="69"/>
        <v>0.91596638655462181</v>
      </c>
      <c r="DQ13" s="1529">
        <f t="shared" si="70"/>
        <v>0.75609756097560976</v>
      </c>
      <c r="DS13" s="1583" t="s">
        <v>197</v>
      </c>
      <c r="DT13" s="1736"/>
      <c r="DU13" s="1580">
        <f t="shared" si="74"/>
        <v>1.8531990160103571</v>
      </c>
      <c r="DV13" s="1943">
        <f t="shared" si="71"/>
        <v>9</v>
      </c>
      <c r="DW13" s="1730">
        <f t="shared" si="72"/>
        <v>3.8381788261108065</v>
      </c>
      <c r="DX13" s="1860">
        <f t="shared" si="73"/>
        <v>5.8375337862517309</v>
      </c>
      <c r="DY13" s="1683">
        <f>_xlfn.XLOOKUP(E13,Cement!$Q$7:$Q$35,Cement!$D$7:$D$35,"")</f>
        <v>0.37352305254327156</v>
      </c>
      <c r="DZ13" s="1583" t="s">
        <v>197</v>
      </c>
    </row>
    <row r="14" spans="2:130" ht="68" customHeight="1">
      <c r="B14" s="1118">
        <f>_xlfn.XLOOKUP(E14,Cement!$Q$7:$Q$35,Cement!$A$7:$A$35,"")</f>
        <v>21.12491215339011</v>
      </c>
      <c r="C14" s="394">
        <f>_xlfn.XLOOKUP(E14,Cement!$Q$7:$Q$35,Cement!$S$7:$S$35,"")</f>
        <v>7663.46</v>
      </c>
      <c r="D14" s="223" t="s">
        <v>27</v>
      </c>
      <c r="E14" s="1949" t="s">
        <v>28</v>
      </c>
      <c r="F14" s="982">
        <f>_xlfn.XLOOKUP(E14,Cement!$Q$7:$Q$35,Cement!$R$7:$R$35,"")</f>
        <v>9</v>
      </c>
      <c r="G14" s="1204">
        <f>_xlfn.XLOOKUP(E14,Cement!$Q$7:$Q$35,Cement!$AP$7:$AP$35,"")</f>
        <v>3079</v>
      </c>
      <c r="H14" s="1211">
        <v>2371</v>
      </c>
      <c r="I14" s="1713">
        <f t="shared" si="3"/>
        <v>708</v>
      </c>
      <c r="J14" s="1712">
        <f t="shared" si="4"/>
        <v>0.77005521273140631</v>
      </c>
      <c r="K14" s="1761">
        <v>4</v>
      </c>
      <c r="L14" s="1728">
        <f t="shared" si="5"/>
        <v>7</v>
      </c>
      <c r="M14" s="689">
        <v>1907</v>
      </c>
      <c r="N14" s="689">
        <v>1667</v>
      </c>
      <c r="O14" s="1718">
        <v>982</v>
      </c>
      <c r="P14" s="1713">
        <f t="shared" si="6"/>
        <v>685</v>
      </c>
      <c r="Q14" s="1712">
        <f t="shared" si="7"/>
        <v>0.58908218356328734</v>
      </c>
      <c r="R14" s="557">
        <f t="shared" si="8"/>
        <v>2857.7142857142858</v>
      </c>
      <c r="S14" s="553">
        <f t="shared" si="9"/>
        <v>-0.12585212375458835</v>
      </c>
      <c r="T14" s="553">
        <f t="shared" si="10"/>
        <v>0.6193569340695031</v>
      </c>
      <c r="U14" s="558">
        <f t="shared" si="11"/>
        <v>2691.5013109596225</v>
      </c>
      <c r="V14" s="591">
        <f t="shared" si="12"/>
        <v>-240</v>
      </c>
      <c r="W14" s="559">
        <f t="shared" si="13"/>
        <v>2839</v>
      </c>
      <c r="X14" s="1170">
        <f t="shared" si="14"/>
        <v>2769.9292269083826</v>
      </c>
      <c r="Y14" s="1244">
        <f t="shared" si="15"/>
        <v>-0.10038024458967762</v>
      </c>
      <c r="Z14" s="658"/>
      <c r="AA14" s="63">
        <v>482</v>
      </c>
      <c r="AB14" s="1147">
        <v>1491</v>
      </c>
      <c r="AC14" s="63">
        <v>765</v>
      </c>
      <c r="AD14" s="63">
        <v>834</v>
      </c>
      <c r="AE14" s="63">
        <v>975</v>
      </c>
      <c r="AF14" s="63">
        <v>1069</v>
      </c>
      <c r="AG14" s="63">
        <v>1212</v>
      </c>
      <c r="AH14" s="63">
        <v>1383</v>
      </c>
      <c r="AI14" s="63">
        <v>1504</v>
      </c>
      <c r="AJ14" s="63">
        <v>1680</v>
      </c>
      <c r="AK14" s="1792">
        <v>1938</v>
      </c>
      <c r="AL14" s="63">
        <v>232</v>
      </c>
      <c r="AM14" s="63">
        <v>532</v>
      </c>
      <c r="AN14" s="63">
        <v>718</v>
      </c>
      <c r="AO14" s="1594">
        <f>AK14-AA14+AN14</f>
        <v>2174</v>
      </c>
      <c r="AP14" s="1147">
        <v>1938</v>
      </c>
      <c r="AQ14" s="1494"/>
      <c r="AR14" s="1901">
        <v>718</v>
      </c>
      <c r="AS14" s="63">
        <v>1025</v>
      </c>
      <c r="AT14" s="1427">
        <f t="shared" si="17"/>
        <v>8.4805653710247356E-2</v>
      </c>
      <c r="AU14" s="1351">
        <f t="shared" si="18"/>
        <v>0.33986928104575165</v>
      </c>
      <c r="AV14" s="63">
        <v>1369</v>
      </c>
      <c r="AW14" s="1427">
        <f t="shared" si="19"/>
        <v>3.9855072463768115</v>
      </c>
      <c r="AX14" s="1351">
        <f t="shared" si="20"/>
        <v>0.64148681055155876</v>
      </c>
      <c r="AY14" s="63">
        <v>1612</v>
      </c>
      <c r="AZ14" s="1427">
        <f t="shared" si="21"/>
        <v>0.72340425531914898</v>
      </c>
      <c r="BA14" s="1351">
        <f t="shared" si="22"/>
        <v>0.65333333333333332</v>
      </c>
      <c r="BB14" s="63">
        <v>1907</v>
      </c>
      <c r="BC14" s="1427">
        <f t="shared" si="23"/>
        <v>2.1382978723404253</v>
      </c>
      <c r="BD14" s="1351">
        <f t="shared" si="24"/>
        <v>0.78391019644527593</v>
      </c>
      <c r="BE14" s="63">
        <v>2018</v>
      </c>
      <c r="BF14" s="1427">
        <f t="shared" si="25"/>
        <v>-0.22377622377622378</v>
      </c>
      <c r="BG14" s="1351">
        <f t="shared" si="26"/>
        <v>0.66501650165016502</v>
      </c>
      <c r="BH14" s="63">
        <v>2270</v>
      </c>
      <c r="BI14" s="1427">
        <f t="shared" si="27"/>
        <v>0.47368421052631576</v>
      </c>
      <c r="BJ14" s="1351">
        <f t="shared" si="28"/>
        <v>0.6413593637020969</v>
      </c>
      <c r="BK14" s="63">
        <v>2564</v>
      </c>
      <c r="BL14" s="1427">
        <f t="shared" si="29"/>
        <v>1.4297520661157024</v>
      </c>
      <c r="BM14" s="1351">
        <f t="shared" si="30"/>
        <v>0.70478723404255317</v>
      </c>
      <c r="BN14" s="63">
        <v>2849</v>
      </c>
      <c r="BO14" s="1427">
        <f t="shared" si="31"/>
        <v>0.61931818181818177</v>
      </c>
      <c r="BP14" s="1351">
        <f t="shared" si="32"/>
        <v>0.6958333333333333</v>
      </c>
      <c r="BQ14" s="1140">
        <v>3079</v>
      </c>
      <c r="BR14" s="1427">
        <f t="shared" si="33"/>
        <v>-0.10852713178294573</v>
      </c>
      <c r="BS14" s="1351">
        <f t="shared" si="34"/>
        <v>0.58875128998968007</v>
      </c>
      <c r="BT14" s="63">
        <v>301</v>
      </c>
      <c r="BU14" s="1427">
        <f t="shared" si="35"/>
        <v>0.29741379310344829</v>
      </c>
      <c r="BV14" s="1351">
        <f t="shared" si="36"/>
        <v>0.29741379310344829</v>
      </c>
      <c r="BW14" s="63">
        <v>993</v>
      </c>
      <c r="BX14" s="1427">
        <f t="shared" si="37"/>
        <v>1.3066666666666666</v>
      </c>
      <c r="BY14" s="1351">
        <f t="shared" si="38"/>
        <v>0.86654135338345861</v>
      </c>
      <c r="BZ14" s="63">
        <v>1066</v>
      </c>
      <c r="CA14" s="1427">
        <f t="shared" si="39"/>
        <v>-0.60752688172043012</v>
      </c>
      <c r="CB14" s="1351">
        <f t="shared" si="40"/>
        <v>0.48467966573816157</v>
      </c>
      <c r="CC14" s="1901">
        <v>1066</v>
      </c>
      <c r="CD14" s="1594">
        <f>BQ14+BZ14-AR14</f>
        <v>3427</v>
      </c>
      <c r="CE14" s="1939">
        <f t="shared" si="42"/>
        <v>0.57635694572217111</v>
      </c>
      <c r="CF14" s="1940">
        <f t="shared" si="43"/>
        <v>17</v>
      </c>
      <c r="CG14" s="1895"/>
      <c r="CH14" s="1815">
        <v>1127</v>
      </c>
      <c r="CI14" s="2039">
        <f t="shared" si="44"/>
        <v>-0.80130293159609123</v>
      </c>
      <c r="CJ14" s="2041">
        <f t="shared" si="45"/>
        <v>9.9512195121951225E-2</v>
      </c>
      <c r="CK14" s="1815">
        <v>1417</v>
      </c>
      <c r="CL14" s="2039">
        <f t="shared" si="46"/>
        <v>-0.15697674418604651</v>
      </c>
      <c r="CM14" s="2041">
        <f t="shared" si="47"/>
        <v>3.5062089116143169E-2</v>
      </c>
      <c r="CN14" s="1815">
        <v>1541</v>
      </c>
      <c r="CO14" s="2039">
        <f t="shared" si="48"/>
        <v>-0.48971193415637859</v>
      </c>
      <c r="CP14" s="2041">
        <f t="shared" si="49"/>
        <v>-4.4044665012406947E-2</v>
      </c>
      <c r="CQ14" s="1815">
        <v>1667</v>
      </c>
      <c r="CR14" s="2039">
        <f t="shared" si="50"/>
        <v>-0.57288135593220335</v>
      </c>
      <c r="CS14" s="2041">
        <f t="shared" si="51"/>
        <v>-0.12585212375458835</v>
      </c>
      <c r="CU14" s="1948">
        <f t="shared" si="52"/>
        <v>-8.1807458742181399E-2</v>
      </c>
      <c r="CV14" s="1940">
        <f t="shared" si="53"/>
        <v>29</v>
      </c>
      <c r="CW14" s="1580">
        <f t="shared" si="54"/>
        <v>1.8531990160103571</v>
      </c>
      <c r="CX14" s="1799">
        <v>5875.9</v>
      </c>
      <c r="CY14" s="1794">
        <f>_xlfn.XLOOKUP(E14,Cement!$Q$7:$Q$35,Cement!$S$7:$S$35)</f>
        <v>7663.46</v>
      </c>
      <c r="CZ14" s="1245" t="s">
        <v>604</v>
      </c>
      <c r="DA14" s="1802">
        <v>0.9</v>
      </c>
      <c r="DB14" s="1529">
        <f t="shared" si="55"/>
        <v>0.33986928104575165</v>
      </c>
      <c r="DC14" s="1529">
        <f t="shared" si="56"/>
        <v>0.64148681055155876</v>
      </c>
      <c r="DD14" s="1529">
        <f t="shared" si="57"/>
        <v>0.65333333333333332</v>
      </c>
      <c r="DE14" s="1529">
        <f t="shared" si="58"/>
        <v>0.78391019644527593</v>
      </c>
      <c r="DF14" s="1529">
        <f t="shared" si="59"/>
        <v>0.66501650165016502</v>
      </c>
      <c r="DG14" s="1529">
        <f t="shared" si="60"/>
        <v>0.6413593637020969</v>
      </c>
      <c r="DH14" s="1529">
        <f t="shared" si="61"/>
        <v>0.70478723404255317</v>
      </c>
      <c r="DI14" s="1529">
        <f t="shared" si="62"/>
        <v>0.6958333333333333</v>
      </c>
      <c r="DJ14" s="1529">
        <f t="shared" si="63"/>
        <v>0.58875128998968007</v>
      </c>
      <c r="DK14" s="1529">
        <f t="shared" si="64"/>
        <v>0.29741379310344829</v>
      </c>
      <c r="DL14" s="1529">
        <f t="shared" si="65"/>
        <v>0.86654135338345861</v>
      </c>
      <c r="DM14" s="1529">
        <f t="shared" si="66"/>
        <v>0.48467966573816157</v>
      </c>
      <c r="DN14" s="1529">
        <f t="shared" si="67"/>
        <v>9.9512195121951225E-2</v>
      </c>
      <c r="DO14" s="1529">
        <f t="shared" si="68"/>
        <v>3.5062089116143169E-2</v>
      </c>
      <c r="DP14" s="1529">
        <f t="shared" si="69"/>
        <v>-4.4044665012406947E-2</v>
      </c>
      <c r="DQ14" s="1529">
        <f t="shared" si="70"/>
        <v>-0.12585212375458835</v>
      </c>
      <c r="DS14" s="1583" t="s">
        <v>607</v>
      </c>
      <c r="DT14" s="1736"/>
      <c r="DU14" s="1580">
        <f t="shared" si="74"/>
        <v>1.8531990160103571</v>
      </c>
      <c r="DV14" s="1943">
        <f t="shared" si="71"/>
        <v>29</v>
      </c>
      <c r="DW14" s="1730">
        <f t="shared" si="72"/>
        <v>0.30421892816419621</v>
      </c>
      <c r="DX14" s="1860">
        <f t="shared" si="73"/>
        <v>-18.097302916811898</v>
      </c>
      <c r="DY14" s="1683">
        <f>_xlfn.XLOOKUP(E14,Cement!$Q$7:$Q$35,Cement!$D$7:$D$35,"")</f>
        <v>0.34741797534997865</v>
      </c>
      <c r="DZ14" s="1583" t="s">
        <v>606</v>
      </c>
    </row>
    <row r="15" spans="2:130" ht="68" customHeight="1">
      <c r="B15" s="1118">
        <f>_xlfn.XLOOKUP(E15,Cement!$Q$7:$Q$35,Cement!$A$7:$A$35,"")</f>
        <v>14.380222800984832</v>
      </c>
      <c r="C15" s="394">
        <f>_xlfn.XLOOKUP(E15,Cement!$Q$7:$Q$35,Cement!$S$7:$S$35,"")</f>
        <v>10186.5</v>
      </c>
      <c r="D15" s="223" t="s">
        <v>66</v>
      </c>
      <c r="E15" s="1949" t="s">
        <v>67</v>
      </c>
      <c r="F15" s="982">
        <f>_xlfn.XLOOKUP(E15,Cement!$Q$7:$Q$35,Cement!$R$7:$R$35,"")</f>
        <v>9</v>
      </c>
      <c r="G15" s="1204">
        <f>_xlfn.XLOOKUP(E15,Cement!$Q$7:$Q$35,Cement!$AP$7:$AP$35,"")</f>
        <v>1852</v>
      </c>
      <c r="H15" s="1211">
        <v>0</v>
      </c>
      <c r="I15" s="1713">
        <f t="shared" si="3"/>
        <v>1852</v>
      </c>
      <c r="J15" s="1712">
        <f t="shared" si="4"/>
        <v>0</v>
      </c>
      <c r="K15" s="1761">
        <v>4</v>
      </c>
      <c r="L15" s="1728">
        <f t="shared" si="5"/>
        <v>7</v>
      </c>
      <c r="M15" s="689">
        <v>1037</v>
      </c>
      <c r="N15" s="689">
        <v>1741</v>
      </c>
      <c r="O15" s="1718">
        <v>5</v>
      </c>
      <c r="P15" s="1713">
        <f t="shared" si="6"/>
        <v>1736</v>
      </c>
      <c r="Q15" s="1712">
        <f t="shared" si="7"/>
        <v>2.8719126938541069E-3</v>
      </c>
      <c r="R15" s="557">
        <f t="shared" si="8"/>
        <v>2984.5714285714284</v>
      </c>
      <c r="S15" s="553">
        <f t="shared" si="9"/>
        <v>0.67888138862102221</v>
      </c>
      <c r="T15" s="553">
        <f t="shared" si="10"/>
        <v>0.55993520518358531</v>
      </c>
      <c r="U15" s="558">
        <f t="shared" si="11"/>
        <v>3109.288331726133</v>
      </c>
      <c r="V15" s="591">
        <f t="shared" si="12"/>
        <v>704</v>
      </c>
      <c r="W15" s="559">
        <f t="shared" si="13"/>
        <v>2556</v>
      </c>
      <c r="X15" s="1170">
        <f t="shared" si="14"/>
        <v>2939.7870230059234</v>
      </c>
      <c r="Y15" s="1244">
        <f t="shared" si="15"/>
        <v>0.58735800378289604</v>
      </c>
      <c r="Z15" s="658"/>
      <c r="AA15" s="63">
        <v>268</v>
      </c>
      <c r="AB15" s="1147">
        <v>989</v>
      </c>
      <c r="AC15" s="63">
        <v>334</v>
      </c>
      <c r="AD15" s="63">
        <v>438</v>
      </c>
      <c r="AE15" s="63">
        <v>541</v>
      </c>
      <c r="AF15" s="63">
        <v>626</v>
      </c>
      <c r="AG15" s="63">
        <v>720</v>
      </c>
      <c r="AH15" s="63">
        <v>814</v>
      </c>
      <c r="AI15" s="63">
        <v>930</v>
      </c>
      <c r="AJ15" s="63">
        <v>1069</v>
      </c>
      <c r="AK15" s="1792">
        <v>1213</v>
      </c>
      <c r="AL15" s="63">
        <v>127</v>
      </c>
      <c r="AM15" s="63">
        <v>258</v>
      </c>
      <c r="AN15" s="63">
        <v>408</v>
      </c>
      <c r="AO15" s="1594">
        <f>AK15-AA15+AN15</f>
        <v>1353</v>
      </c>
      <c r="AP15" s="1147">
        <v>1213</v>
      </c>
      <c r="AQ15" s="1494"/>
      <c r="AR15" s="1901">
        <v>408</v>
      </c>
      <c r="AS15" s="63">
        <v>537</v>
      </c>
      <c r="AT15" s="1427">
        <f t="shared" si="17"/>
        <v>0.95454545454545459</v>
      </c>
      <c r="AU15" s="1351">
        <f t="shared" si="18"/>
        <v>0.60778443113772451</v>
      </c>
      <c r="AV15" s="63">
        <v>692</v>
      </c>
      <c r="AW15" s="1427">
        <f t="shared" si="19"/>
        <v>0.49038461538461536</v>
      </c>
      <c r="AX15" s="1351">
        <f t="shared" si="20"/>
        <v>0.57990867579908678</v>
      </c>
      <c r="AY15" s="63">
        <v>863</v>
      </c>
      <c r="AZ15" s="1427">
        <f t="shared" si="21"/>
        <v>0.66019417475728159</v>
      </c>
      <c r="BA15" s="1351">
        <f t="shared" si="22"/>
        <v>0.59519408502772642</v>
      </c>
      <c r="BB15" s="63">
        <v>1037</v>
      </c>
      <c r="BC15" s="1427">
        <f t="shared" si="23"/>
        <v>1.0470588235294118</v>
      </c>
      <c r="BD15" s="1351">
        <f t="shared" si="24"/>
        <v>0.6565495207667732</v>
      </c>
      <c r="BE15" s="63">
        <v>1182</v>
      </c>
      <c r="BF15" s="1427">
        <f t="shared" si="25"/>
        <v>0.54255319148936165</v>
      </c>
      <c r="BG15" s="1351">
        <f t="shared" si="26"/>
        <v>0.64166666666666672</v>
      </c>
      <c r="BH15" s="63">
        <v>1339</v>
      </c>
      <c r="BI15" s="1427">
        <f t="shared" si="27"/>
        <v>0.67021276595744683</v>
      </c>
      <c r="BJ15" s="1351">
        <f t="shared" si="28"/>
        <v>0.644963144963145</v>
      </c>
      <c r="BK15" s="63">
        <v>1514</v>
      </c>
      <c r="BL15" s="1427">
        <f t="shared" si="29"/>
        <v>0.50862068965517238</v>
      </c>
      <c r="BM15" s="1351">
        <f t="shared" si="30"/>
        <v>0.6279569892473118</v>
      </c>
      <c r="BN15" s="63">
        <v>1689</v>
      </c>
      <c r="BO15" s="1427">
        <f t="shared" si="31"/>
        <v>0.25899280575539568</v>
      </c>
      <c r="BP15" s="1351">
        <f t="shared" si="32"/>
        <v>0.57998129092609918</v>
      </c>
      <c r="BQ15" s="63">
        <v>1852</v>
      </c>
      <c r="BR15" s="1427">
        <f t="shared" si="33"/>
        <v>0.13194444444444445</v>
      </c>
      <c r="BS15" s="1351">
        <f t="shared" si="34"/>
        <v>0.52679307502061001</v>
      </c>
      <c r="BT15" s="63">
        <v>220</v>
      </c>
      <c r="BU15" s="1427">
        <f t="shared" si="35"/>
        <v>0.73228346456692917</v>
      </c>
      <c r="BV15" s="1351">
        <f t="shared" si="36"/>
        <v>0.73228346456692917</v>
      </c>
      <c r="BW15" s="63">
        <v>404</v>
      </c>
      <c r="BX15" s="1427">
        <f t="shared" si="37"/>
        <v>0.40458015267175573</v>
      </c>
      <c r="BY15" s="1351">
        <f t="shared" si="38"/>
        <v>0.56589147286821706</v>
      </c>
      <c r="BZ15" s="63">
        <v>618</v>
      </c>
      <c r="CA15" s="1427">
        <f t="shared" si="39"/>
        <v>0.42666666666666669</v>
      </c>
      <c r="CB15" s="1351">
        <f t="shared" si="40"/>
        <v>0.51470588235294112</v>
      </c>
      <c r="CC15" s="1901">
        <v>618</v>
      </c>
      <c r="CD15" s="1594">
        <f>BQ15+BZ15-AR15</f>
        <v>2062</v>
      </c>
      <c r="CE15" s="1939">
        <f t="shared" si="42"/>
        <v>0.52402069475240209</v>
      </c>
      <c r="CF15" s="1940">
        <f t="shared" si="43"/>
        <v>20</v>
      </c>
      <c r="CG15" s="1895"/>
      <c r="CH15" s="1815">
        <v>825</v>
      </c>
      <c r="CI15" s="2039">
        <f t="shared" si="44"/>
        <v>0.60465116279069764</v>
      </c>
      <c r="CJ15" s="2041">
        <f t="shared" si="45"/>
        <v>0.53631284916201116</v>
      </c>
      <c r="CK15" s="1815">
        <v>1142</v>
      </c>
      <c r="CL15" s="2039">
        <f t="shared" si="46"/>
        <v>1.0451612903225806</v>
      </c>
      <c r="CM15" s="2041">
        <f t="shared" si="47"/>
        <v>0.6502890173410405</v>
      </c>
      <c r="CN15" s="1815">
        <v>1467</v>
      </c>
      <c r="CO15" s="2039">
        <f t="shared" si="48"/>
        <v>0.90058479532163738</v>
      </c>
      <c r="CP15" s="2041">
        <f t="shared" si="49"/>
        <v>0.69988412514484355</v>
      </c>
      <c r="CQ15" s="1815">
        <v>1741</v>
      </c>
      <c r="CR15" s="2039">
        <f t="shared" si="50"/>
        <v>0.57471264367816088</v>
      </c>
      <c r="CS15" s="2041">
        <f t="shared" si="51"/>
        <v>0.67888138862102221</v>
      </c>
      <c r="CU15" s="1948">
        <f t="shared" si="52"/>
        <v>-2.1002736523821341E-2</v>
      </c>
      <c r="CV15" s="1940">
        <f t="shared" si="53"/>
        <v>13</v>
      </c>
      <c r="CW15" s="1580">
        <f t="shared" si="54"/>
        <v>0.47139288993066586</v>
      </c>
      <c r="CX15" s="1799">
        <v>5856</v>
      </c>
      <c r="CY15" s="1794">
        <f>_xlfn.XLOOKUP(E15,Cement!$Q$7:$Q$35,Cement!$S$7:$S$35)</f>
        <v>10186.5</v>
      </c>
      <c r="CZ15" s="1245" t="s">
        <v>602</v>
      </c>
      <c r="DA15" s="1802">
        <v>0.9</v>
      </c>
      <c r="DB15" s="1529">
        <f t="shared" si="55"/>
        <v>0.60778443113772451</v>
      </c>
      <c r="DC15" s="1529">
        <f t="shared" si="56"/>
        <v>0.57990867579908678</v>
      </c>
      <c r="DD15" s="1529">
        <f t="shared" si="57"/>
        <v>0.59519408502772642</v>
      </c>
      <c r="DE15" s="1529">
        <f t="shared" si="58"/>
        <v>0.6565495207667732</v>
      </c>
      <c r="DF15" s="1529">
        <f t="shared" si="59"/>
        <v>0.64166666666666672</v>
      </c>
      <c r="DG15" s="1529">
        <f t="shared" si="60"/>
        <v>0.644963144963145</v>
      </c>
      <c r="DH15" s="1529">
        <f t="shared" si="61"/>
        <v>0.6279569892473118</v>
      </c>
      <c r="DI15" s="1529">
        <f t="shared" si="62"/>
        <v>0.57998129092609918</v>
      </c>
      <c r="DJ15" s="1529">
        <f t="shared" si="63"/>
        <v>0.52679307502061001</v>
      </c>
      <c r="DK15" s="1529">
        <f t="shared" si="64"/>
        <v>0.73228346456692917</v>
      </c>
      <c r="DL15" s="1529">
        <f t="shared" si="65"/>
        <v>0.56589147286821706</v>
      </c>
      <c r="DM15" s="1529">
        <f t="shared" si="66"/>
        <v>0.51470588235294112</v>
      </c>
      <c r="DN15" s="1529">
        <f t="shared" si="67"/>
        <v>0.53631284916201116</v>
      </c>
      <c r="DO15" s="1529">
        <f t="shared" si="68"/>
        <v>0.6502890173410405</v>
      </c>
      <c r="DP15" s="1529">
        <f t="shared" si="69"/>
        <v>0.69988412514484355</v>
      </c>
      <c r="DQ15" s="1529">
        <f t="shared" si="70"/>
        <v>0.67888138862102221</v>
      </c>
      <c r="DS15" s="1583" t="s">
        <v>606</v>
      </c>
      <c r="DT15" s="1736"/>
      <c r="DU15" s="1580">
        <f t="shared" si="74"/>
        <v>0.47139288993066586</v>
      </c>
      <c r="DV15" s="1943">
        <f t="shared" si="71"/>
        <v>13</v>
      </c>
      <c r="DW15" s="1730">
        <f t="shared" si="72"/>
        <v>0.73949795081967218</v>
      </c>
      <c r="DX15" s="1860">
        <f t="shared" si="73"/>
        <v>0.28719126938541067</v>
      </c>
      <c r="DY15" s="1683">
        <f>_xlfn.XLOOKUP(E15,Cement!$Q$7:$Q$35,Cement!$D$7:$D$35,"")</f>
        <v>0.37509689028339377</v>
      </c>
      <c r="DZ15" s="1583" t="s">
        <v>606</v>
      </c>
    </row>
    <row r="16" spans="2:130" ht="68" customHeight="1">
      <c r="B16" s="1118">
        <f>_xlfn.XLOOKUP(E16,Cement!$Q$7:$Q$35,Cement!$A$7:$A$35,"")</f>
        <v>16.477230296443544</v>
      </c>
      <c r="C16" s="394">
        <f>_xlfn.XLOOKUP(E16,Cement!$Q$7:$Q$35,Cement!$S$7:$S$35,"")</f>
        <v>9889.6667300000008</v>
      </c>
      <c r="D16" s="223" t="s">
        <v>601</v>
      </c>
      <c r="E16" s="1949" t="s">
        <v>71</v>
      </c>
      <c r="F16" s="982">
        <f>_xlfn.XLOOKUP(E16,Cement!$Q$7:$Q$35,Cement!$R$7:$R$35,"")</f>
        <v>10</v>
      </c>
      <c r="G16" s="1204">
        <f>_xlfn.XLOOKUP(E16,Cement!$Q$7:$Q$35,Cement!$AP$7:$AP$35,"")</f>
        <v>3363</v>
      </c>
      <c r="H16" s="1211">
        <v>91</v>
      </c>
      <c r="I16" s="1713">
        <f t="shared" si="3"/>
        <v>3272</v>
      </c>
      <c r="J16" s="1712">
        <f t="shared" si="4"/>
        <v>2.7059173357121619E-2</v>
      </c>
      <c r="K16" s="1761">
        <v>4</v>
      </c>
      <c r="L16" s="1728">
        <f t="shared" si="5"/>
        <v>6</v>
      </c>
      <c r="M16" s="689">
        <v>1737</v>
      </c>
      <c r="N16" s="689">
        <v>2086</v>
      </c>
      <c r="O16" s="1718">
        <v>0</v>
      </c>
      <c r="P16" s="1713">
        <f t="shared" si="6"/>
        <v>2086</v>
      </c>
      <c r="Q16" s="1712">
        <f t="shared" si="7"/>
        <v>0</v>
      </c>
      <c r="R16" s="557">
        <f t="shared" si="8"/>
        <v>4172</v>
      </c>
      <c r="S16" s="553">
        <f t="shared" si="9"/>
        <v>0.20092112838226828</v>
      </c>
      <c r="T16" s="553">
        <f t="shared" si="10"/>
        <v>0.51650312221231043</v>
      </c>
      <c r="U16" s="558">
        <f t="shared" si="11"/>
        <v>4038.697754749568</v>
      </c>
      <c r="V16" s="591">
        <f t="shared" si="12"/>
        <v>349</v>
      </c>
      <c r="W16" s="559">
        <f t="shared" si="13"/>
        <v>3712</v>
      </c>
      <c r="X16" s="1170">
        <f t="shared" si="14"/>
        <v>3990.348877374784</v>
      </c>
      <c r="Y16" s="1244">
        <f t="shared" si="15"/>
        <v>0.18654441789318585</v>
      </c>
      <c r="Z16" s="658"/>
      <c r="AA16" s="63">
        <v>228</v>
      </c>
      <c r="AB16" s="1147">
        <v>1655</v>
      </c>
      <c r="AC16" s="63">
        <v>406</v>
      </c>
      <c r="AD16" s="63">
        <v>553</v>
      </c>
      <c r="AE16" s="63">
        <v>702</v>
      </c>
      <c r="AF16" s="63">
        <v>843</v>
      </c>
      <c r="AG16" s="63">
        <v>1021</v>
      </c>
      <c r="AH16" s="63">
        <v>1240</v>
      </c>
      <c r="AI16" s="63">
        <v>1448</v>
      </c>
      <c r="AJ16" s="63">
        <v>1680</v>
      </c>
      <c r="AK16" s="1791">
        <v>1864</v>
      </c>
      <c r="AL16" s="1140">
        <v>2081</v>
      </c>
      <c r="AM16" s="63">
        <v>152</v>
      </c>
      <c r="AN16" s="63">
        <v>361</v>
      </c>
      <c r="AO16" s="1594">
        <f>AL16-AA16+AN16</f>
        <v>2214</v>
      </c>
      <c r="AP16" s="1147">
        <v>2081</v>
      </c>
      <c r="AQ16" s="1494"/>
      <c r="AR16" s="1901">
        <v>361</v>
      </c>
      <c r="AS16" s="63">
        <v>543</v>
      </c>
      <c r="AT16" s="1427">
        <f t="shared" si="17"/>
        <v>2.247191011235955E-2</v>
      </c>
      <c r="AU16" s="1351">
        <f t="shared" si="18"/>
        <v>0.33743842364532017</v>
      </c>
      <c r="AV16" s="63">
        <v>939</v>
      </c>
      <c r="AW16" s="1427">
        <f t="shared" si="19"/>
        <v>1.6938775510204083</v>
      </c>
      <c r="AX16" s="1351">
        <f t="shared" si="20"/>
        <v>0.69801084990958406</v>
      </c>
      <c r="AY16" s="63">
        <v>1443</v>
      </c>
      <c r="AZ16" s="1427">
        <f t="shared" si="21"/>
        <v>2.3825503355704698</v>
      </c>
      <c r="BA16" s="1351">
        <f t="shared" si="22"/>
        <v>1.0555555555555556</v>
      </c>
      <c r="BB16" s="63">
        <v>1737</v>
      </c>
      <c r="BC16" s="1427">
        <f t="shared" si="23"/>
        <v>1.0851063829787233</v>
      </c>
      <c r="BD16" s="1351">
        <f t="shared" si="24"/>
        <v>1.0604982206405693</v>
      </c>
      <c r="BE16" s="63">
        <v>1977</v>
      </c>
      <c r="BF16" s="1427">
        <f t="shared" si="25"/>
        <v>0.34831460674157305</v>
      </c>
      <c r="BG16" s="1351">
        <f t="shared" si="26"/>
        <v>0.9363369245837414</v>
      </c>
      <c r="BH16" s="63">
        <v>2278</v>
      </c>
      <c r="BI16" s="1427">
        <f t="shared" si="27"/>
        <v>0.37442922374429222</v>
      </c>
      <c r="BJ16" s="1351">
        <f t="shared" si="28"/>
        <v>0.83709677419354833</v>
      </c>
      <c r="BK16" s="63">
        <v>2587</v>
      </c>
      <c r="BL16" s="1427">
        <f t="shared" si="29"/>
        <v>0.48557692307692307</v>
      </c>
      <c r="BM16" s="1351">
        <f t="shared" si="30"/>
        <v>0.78660220994475138</v>
      </c>
      <c r="BN16" s="63">
        <v>2880</v>
      </c>
      <c r="BO16" s="1427">
        <f t="shared" si="31"/>
        <v>0.26293103448275862</v>
      </c>
      <c r="BP16" s="1351">
        <f t="shared" si="32"/>
        <v>0.7142857142857143</v>
      </c>
      <c r="BQ16" s="63">
        <v>3142</v>
      </c>
      <c r="BR16" s="1427">
        <f t="shared" si="33"/>
        <v>0.42391304347826086</v>
      </c>
      <c r="BS16" s="1351">
        <f t="shared" si="34"/>
        <v>0.68562231759656656</v>
      </c>
      <c r="BT16" s="1140">
        <v>3363</v>
      </c>
      <c r="BU16" s="1427">
        <f t="shared" si="35"/>
        <v>1.8433179723502304E-2</v>
      </c>
      <c r="BV16" s="1351">
        <f t="shared" si="36"/>
        <v>0.61604997597308986</v>
      </c>
      <c r="BW16" s="63">
        <v>240</v>
      </c>
      <c r="BX16" s="1427">
        <f t="shared" si="37"/>
        <v>0.57894736842105265</v>
      </c>
      <c r="BY16" s="1351">
        <f t="shared" si="38"/>
        <v>0.57894736842105265</v>
      </c>
      <c r="BZ16" s="63">
        <v>517</v>
      </c>
      <c r="CA16" s="1427">
        <f t="shared" si="39"/>
        <v>0.32535885167464113</v>
      </c>
      <c r="CB16" s="1351">
        <f t="shared" si="40"/>
        <v>0.43213296398891965</v>
      </c>
      <c r="CC16" s="1901">
        <v>517</v>
      </c>
      <c r="CD16" s="1594">
        <f>BT16+BZ16-AR16</f>
        <v>3519</v>
      </c>
      <c r="CE16" s="1939">
        <f t="shared" si="42"/>
        <v>0.58943089430894313</v>
      </c>
      <c r="CF16" s="1940">
        <f t="shared" si="43"/>
        <v>15</v>
      </c>
      <c r="CG16" s="1895"/>
      <c r="CH16" s="1815">
        <v>754</v>
      </c>
      <c r="CI16" s="2039">
        <f t="shared" si="44"/>
        <v>0.30219780219780218</v>
      </c>
      <c r="CJ16" s="2041">
        <f t="shared" si="45"/>
        <v>0.38858195211786373</v>
      </c>
      <c r="CK16" s="1815">
        <v>1223</v>
      </c>
      <c r="CL16" s="2039">
        <f t="shared" si="46"/>
        <v>0.18434343434343434</v>
      </c>
      <c r="CM16" s="2041">
        <f t="shared" si="47"/>
        <v>0.30244941427050054</v>
      </c>
      <c r="CN16" s="1815">
        <v>1679</v>
      </c>
      <c r="CO16" s="2039">
        <f t="shared" si="48"/>
        <v>-9.5238095238095233E-2</v>
      </c>
      <c r="CP16" s="2041">
        <f t="shared" si="49"/>
        <v>0.16354816354816354</v>
      </c>
      <c r="CQ16" s="1815">
        <v>2086</v>
      </c>
      <c r="CR16" s="2039">
        <f t="shared" si="50"/>
        <v>0.38435374149659862</v>
      </c>
      <c r="CS16" s="2041">
        <f t="shared" si="51"/>
        <v>0.20092112838226828</v>
      </c>
      <c r="CU16" s="1948">
        <f t="shared" si="52"/>
        <v>3.7372964834104738E-2</v>
      </c>
      <c r="CV16" s="1940">
        <f t="shared" si="53"/>
        <v>27</v>
      </c>
      <c r="CW16" s="1580">
        <f t="shared" si="54"/>
        <v>0.47139288993066586</v>
      </c>
      <c r="CX16" s="1799">
        <v>6771.1785989999998</v>
      </c>
      <c r="CY16" s="1794">
        <f>_xlfn.XLOOKUP(E16,Cement!$Q$7:$Q$35,Cement!$S$7:$S$35)</f>
        <v>9889.6667300000008</v>
      </c>
      <c r="CZ16" s="1245" t="s">
        <v>602</v>
      </c>
      <c r="DA16" s="1802">
        <v>0.9</v>
      </c>
      <c r="DB16" s="1529">
        <f t="shared" si="55"/>
        <v>0.33743842364532017</v>
      </c>
      <c r="DC16" s="1529">
        <f t="shared" si="56"/>
        <v>0.69801084990958406</v>
      </c>
      <c r="DD16" s="1529">
        <f t="shared" si="57"/>
        <v>1.0555555555555556</v>
      </c>
      <c r="DE16" s="1529">
        <f t="shared" si="58"/>
        <v>1.0604982206405693</v>
      </c>
      <c r="DF16" s="1529">
        <f t="shared" si="59"/>
        <v>0.9363369245837414</v>
      </c>
      <c r="DG16" s="1529">
        <f t="shared" si="60"/>
        <v>0.83709677419354833</v>
      </c>
      <c r="DH16" s="1529">
        <f t="shared" si="61"/>
        <v>0.78660220994475138</v>
      </c>
      <c r="DI16" s="1529">
        <f t="shared" si="62"/>
        <v>0.7142857142857143</v>
      </c>
      <c r="DJ16" s="1529">
        <f t="shared" si="63"/>
        <v>0.68562231759656656</v>
      </c>
      <c r="DK16" s="1529">
        <f t="shared" si="64"/>
        <v>0.61604997597308986</v>
      </c>
      <c r="DL16" s="1529">
        <f t="shared" si="65"/>
        <v>0.57894736842105265</v>
      </c>
      <c r="DM16" s="1529">
        <f t="shared" si="66"/>
        <v>0.43213296398891965</v>
      </c>
      <c r="DN16" s="1529">
        <f t="shared" si="67"/>
        <v>0.38858195211786373</v>
      </c>
      <c r="DO16" s="1529">
        <f t="shared" si="68"/>
        <v>0.30244941427050054</v>
      </c>
      <c r="DP16" s="1529">
        <f t="shared" si="69"/>
        <v>0.16354816354816354</v>
      </c>
      <c r="DQ16" s="1529">
        <f t="shared" si="70"/>
        <v>0.20092112838226828</v>
      </c>
      <c r="DS16" s="1583" t="s">
        <v>603</v>
      </c>
      <c r="DT16" s="1736"/>
      <c r="DU16" s="1580">
        <f t="shared" si="74"/>
        <v>0.47139288993066586</v>
      </c>
      <c r="DV16" s="1943">
        <f t="shared" si="71"/>
        <v>27</v>
      </c>
      <c r="DW16" s="1730">
        <f t="shared" si="72"/>
        <v>0.46055322354967188</v>
      </c>
      <c r="DX16" s="1860">
        <f t="shared" si="73"/>
        <v>-2.705917335712162</v>
      </c>
      <c r="DY16" s="1683">
        <f>_xlfn.XLOOKUP(E16,Cement!$Q$7:$Q$35,Cement!$D$7:$D$35,"")</f>
        <v>-1.513668354090318</v>
      </c>
      <c r="DZ16" s="1583" t="s">
        <v>606</v>
      </c>
    </row>
    <row r="17" spans="2:130" ht="68" customHeight="1">
      <c r="B17" s="1118">
        <f>_xlfn.XLOOKUP(E17,Cement!$Q$7:$Q$35,Cement!$A$7:$A$35,"")</f>
        <v>15.202117459117378</v>
      </c>
      <c r="C17" s="394">
        <f>_xlfn.XLOOKUP(E17,Cement!$Q$7:$Q$35,Cement!$S$7:$S$35,"")</f>
        <v>18403</v>
      </c>
      <c r="D17" s="223" t="s">
        <v>56</v>
      </c>
      <c r="E17" s="1949" t="s">
        <v>57</v>
      </c>
      <c r="F17" s="982">
        <f>_xlfn.XLOOKUP(E17,Cement!$Q$7:$Q$35,Cement!$R$7:$R$35,"")</f>
        <v>12</v>
      </c>
      <c r="G17" s="1204">
        <f>_xlfn.XLOOKUP(E17,Cement!$Q$7:$Q$35,Cement!$AP$7:$AP$35,"")</f>
        <v>5049</v>
      </c>
      <c r="H17" s="1211">
        <v>476</v>
      </c>
      <c r="I17" s="1713">
        <f t="shared" si="3"/>
        <v>4573</v>
      </c>
      <c r="J17" s="1712">
        <f t="shared" si="4"/>
        <v>9.4276094276094277E-2</v>
      </c>
      <c r="K17" s="1761">
        <v>4</v>
      </c>
      <c r="L17" s="1728">
        <f t="shared" si="5"/>
        <v>4</v>
      </c>
      <c r="M17" s="689">
        <v>1763</v>
      </c>
      <c r="N17" s="689">
        <v>2335</v>
      </c>
      <c r="O17" s="1718">
        <v>153</v>
      </c>
      <c r="P17" s="1713">
        <f t="shared" si="6"/>
        <v>2182</v>
      </c>
      <c r="Q17" s="1712">
        <f t="shared" si="7"/>
        <v>6.5524625267665948E-2</v>
      </c>
      <c r="R17" s="557">
        <f t="shared" si="8"/>
        <v>7005</v>
      </c>
      <c r="S17" s="553">
        <f t="shared" si="9"/>
        <v>0.32444696539988654</v>
      </c>
      <c r="T17" s="553">
        <f t="shared" si="10"/>
        <v>0.349178055060408</v>
      </c>
      <c r="U17" s="558">
        <f t="shared" si="11"/>
        <v>6687.1327283040273</v>
      </c>
      <c r="V17" s="591">
        <f t="shared" si="12"/>
        <v>572</v>
      </c>
      <c r="W17" s="559">
        <f t="shared" si="13"/>
        <v>5621</v>
      </c>
      <c r="X17" s="1170">
        <f t="shared" si="14"/>
        <v>6500.0663641520132</v>
      </c>
      <c r="Y17" s="1244">
        <f t="shared" si="15"/>
        <v>0.28739678434383309</v>
      </c>
      <c r="Z17" s="658"/>
      <c r="AA17" s="63">
        <v>1863</v>
      </c>
      <c r="AB17" s="1147">
        <v>1863</v>
      </c>
      <c r="AC17" s="63">
        <v>169</v>
      </c>
      <c r="AD17" s="63">
        <v>405</v>
      </c>
      <c r="AE17" s="63">
        <v>644</v>
      </c>
      <c r="AF17" s="63">
        <v>864</v>
      </c>
      <c r="AG17" s="63">
        <v>1088</v>
      </c>
      <c r="AH17" s="63">
        <v>1334</v>
      </c>
      <c r="AI17" s="63">
        <v>1682</v>
      </c>
      <c r="AJ17" s="63">
        <v>1933</v>
      </c>
      <c r="AK17" s="1791">
        <v>2190</v>
      </c>
      <c r="AL17" s="63">
        <v>2399</v>
      </c>
      <c r="AM17" s="63">
        <v>2655</v>
      </c>
      <c r="AN17" s="1140">
        <v>2964</v>
      </c>
      <c r="AO17" s="1594">
        <f>AN17+AB17-AA17</f>
        <v>2964</v>
      </c>
      <c r="AP17" s="1147">
        <v>2964</v>
      </c>
      <c r="AQ17" s="1494"/>
      <c r="AR17" s="1901">
        <v>0</v>
      </c>
      <c r="AS17" s="63">
        <v>342</v>
      </c>
      <c r="AT17" s="1427">
        <f t="shared" si="17"/>
        <v>1.0236686390532543</v>
      </c>
      <c r="AU17" s="1351">
        <f t="shared" si="18"/>
        <v>1.0236686390532543</v>
      </c>
      <c r="AV17" s="63">
        <v>799</v>
      </c>
      <c r="AW17" s="1427">
        <f t="shared" si="19"/>
        <v>0.93644067796610164</v>
      </c>
      <c r="AX17" s="1351">
        <f t="shared" si="20"/>
        <v>0.97283950617283954</v>
      </c>
      <c r="AY17" s="63">
        <v>1366</v>
      </c>
      <c r="AZ17" s="1427">
        <f t="shared" si="21"/>
        <v>1.3723849372384938</v>
      </c>
      <c r="BA17" s="1351">
        <f t="shared" si="22"/>
        <v>1.1211180124223603</v>
      </c>
      <c r="BB17" s="63">
        <v>1763</v>
      </c>
      <c r="BC17" s="1427">
        <f t="shared" si="23"/>
        <v>0.80454545454545456</v>
      </c>
      <c r="BD17" s="1351">
        <f t="shared" si="24"/>
        <v>1.0405092592592593</v>
      </c>
      <c r="BE17" s="63">
        <v>2216</v>
      </c>
      <c r="BF17" s="1427">
        <f t="shared" si="25"/>
        <v>1.0223214285714286</v>
      </c>
      <c r="BG17" s="1351">
        <f t="shared" si="26"/>
        <v>1.036764705882353</v>
      </c>
      <c r="BH17" s="63">
        <v>2716</v>
      </c>
      <c r="BI17" s="1427">
        <f t="shared" si="27"/>
        <v>1.032520325203252</v>
      </c>
      <c r="BJ17" s="1351">
        <f t="shared" si="28"/>
        <v>1.0359820089955023</v>
      </c>
      <c r="BK17" s="63">
        <v>3206</v>
      </c>
      <c r="BL17" s="1427">
        <f t="shared" si="29"/>
        <v>0.40804597701149425</v>
      </c>
      <c r="BM17" s="1351">
        <f t="shared" si="30"/>
        <v>0.90606420927467302</v>
      </c>
      <c r="BN17" s="63">
        <v>3687</v>
      </c>
      <c r="BO17" s="1427">
        <f t="shared" si="31"/>
        <v>0.91633466135458164</v>
      </c>
      <c r="BP17" s="1351">
        <f t="shared" si="32"/>
        <v>0.90739782721158824</v>
      </c>
      <c r="BQ17" s="63">
        <v>4055</v>
      </c>
      <c r="BR17" s="1427">
        <f t="shared" si="33"/>
        <v>0.43190661478599224</v>
      </c>
      <c r="BS17" s="1351">
        <f t="shared" si="34"/>
        <v>0.85159817351598177</v>
      </c>
      <c r="BT17" s="63">
        <v>4310</v>
      </c>
      <c r="BU17" s="1427">
        <f t="shared" si="35"/>
        <v>0.22009569377990432</v>
      </c>
      <c r="BV17" s="1351">
        <f t="shared" si="36"/>
        <v>0.79658190912880367</v>
      </c>
      <c r="BW17" s="63">
        <v>4643</v>
      </c>
      <c r="BX17" s="1427">
        <f t="shared" si="37"/>
        <v>0.30078125</v>
      </c>
      <c r="BY17" s="1351">
        <f t="shared" si="38"/>
        <v>0.74877589453860638</v>
      </c>
      <c r="BZ17" s="1140">
        <v>5049</v>
      </c>
      <c r="CA17" s="1427">
        <f t="shared" si="39"/>
        <v>0.31391585760517798</v>
      </c>
      <c r="CB17" s="1351">
        <f t="shared" si="40"/>
        <v>0.70344129554655865</v>
      </c>
      <c r="CC17" s="1901">
        <v>0</v>
      </c>
      <c r="CD17" s="1594">
        <f>BZ17</f>
        <v>5049</v>
      </c>
      <c r="CE17" s="1939">
        <f t="shared" si="42"/>
        <v>0.70344129554655865</v>
      </c>
      <c r="CF17" s="1940">
        <f t="shared" si="43"/>
        <v>9</v>
      </c>
      <c r="CG17" s="1895"/>
      <c r="CH17" s="1815">
        <v>488</v>
      </c>
      <c r="CI17" s="2039">
        <f t="shared" si="44"/>
        <v>0.42690058479532161</v>
      </c>
      <c r="CJ17" s="2041">
        <f t="shared" si="45"/>
        <v>0.42690058479532161</v>
      </c>
      <c r="CK17" s="1815">
        <v>1162</v>
      </c>
      <c r="CL17" s="2039">
        <f t="shared" si="46"/>
        <v>0.474835886214442</v>
      </c>
      <c r="CM17" s="2041">
        <f t="shared" si="47"/>
        <v>0.45431789737171463</v>
      </c>
      <c r="CN17" s="1815">
        <v>1775</v>
      </c>
      <c r="CO17" s="2039">
        <f t="shared" si="48"/>
        <v>8.1128747795414458E-2</v>
      </c>
      <c r="CP17" s="2041">
        <f t="shared" si="49"/>
        <v>0.29941434846266474</v>
      </c>
      <c r="CQ17" s="1815">
        <v>2335</v>
      </c>
      <c r="CR17" s="2039">
        <f t="shared" si="50"/>
        <v>0.41057934508816119</v>
      </c>
      <c r="CS17" s="2041">
        <f t="shared" si="51"/>
        <v>0.32444696539988654</v>
      </c>
      <c r="CU17" s="1948">
        <f t="shared" si="52"/>
        <v>2.5032616937221808E-2</v>
      </c>
      <c r="CV17" s="1940">
        <f t="shared" si="53"/>
        <v>25</v>
      </c>
      <c r="CW17" s="1580">
        <f t="shared" si="54"/>
        <v>0.47139288993066586</v>
      </c>
      <c r="CX17" s="1799">
        <v>9425.9</v>
      </c>
      <c r="CY17" s="1794">
        <f>_xlfn.XLOOKUP(E17,Cement!$Q$7:$Q$35,Cement!$S$7:$S$35)</f>
        <v>18403</v>
      </c>
      <c r="CZ17" s="1245" t="s">
        <v>602</v>
      </c>
      <c r="DA17" s="1802">
        <v>0.9</v>
      </c>
      <c r="DB17" s="1529">
        <f t="shared" si="55"/>
        <v>1.0236686390532543</v>
      </c>
      <c r="DC17" s="1529">
        <f t="shared" si="56"/>
        <v>0.97283950617283954</v>
      </c>
      <c r="DD17" s="1529">
        <f t="shared" si="57"/>
        <v>1.1211180124223603</v>
      </c>
      <c r="DE17" s="1529">
        <f t="shared" si="58"/>
        <v>1.0405092592592593</v>
      </c>
      <c r="DF17" s="1529">
        <f t="shared" si="59"/>
        <v>1.036764705882353</v>
      </c>
      <c r="DG17" s="1529">
        <f t="shared" si="60"/>
        <v>1.0359820089955023</v>
      </c>
      <c r="DH17" s="1529">
        <f t="shared" si="61"/>
        <v>0.90606420927467302</v>
      </c>
      <c r="DI17" s="1529">
        <f t="shared" si="62"/>
        <v>0.90739782721158824</v>
      </c>
      <c r="DJ17" s="1529">
        <f t="shared" si="63"/>
        <v>0.85159817351598177</v>
      </c>
      <c r="DK17" s="1529">
        <f t="shared" si="64"/>
        <v>0.79658190912880367</v>
      </c>
      <c r="DL17" s="1529">
        <f t="shared" si="65"/>
        <v>0.74877589453860638</v>
      </c>
      <c r="DM17" s="1529">
        <f t="shared" si="66"/>
        <v>0.70344129554655865</v>
      </c>
      <c r="DN17" s="1529">
        <f t="shared" si="67"/>
        <v>0.42690058479532161</v>
      </c>
      <c r="DO17" s="1529">
        <f t="shared" si="68"/>
        <v>0.45431789737171463</v>
      </c>
      <c r="DP17" s="1529">
        <f t="shared" si="69"/>
        <v>0.29941434846266474</v>
      </c>
      <c r="DQ17" s="1529">
        <f t="shared" si="70"/>
        <v>0.32444696539988654</v>
      </c>
      <c r="DS17" s="1583" t="s">
        <v>606</v>
      </c>
      <c r="DT17" s="1736"/>
      <c r="DU17" s="1580">
        <f t="shared" si="74"/>
        <v>0.47139288993066586</v>
      </c>
      <c r="DV17" s="1943">
        <f t="shared" si="71"/>
        <v>25</v>
      </c>
      <c r="DW17" s="1730">
        <f t="shared" si="72"/>
        <v>0.95238650951102821</v>
      </c>
      <c r="DX17" s="1860">
        <f t="shared" si="73"/>
        <v>-2.8751469008428328</v>
      </c>
      <c r="DY17" s="1683">
        <f>_xlfn.XLOOKUP(E17,Cement!$Q$7:$Q$35,Cement!$D$7:$D$35,"")</f>
        <v>0.81415005617275593</v>
      </c>
      <c r="DZ17" s="1583" t="s">
        <v>606</v>
      </c>
    </row>
    <row r="18" spans="2:130" ht="68" customHeight="1">
      <c r="B18" s="1118">
        <f>_xlfn.XLOOKUP(E18,Cement!$Q$7:$Q$35,Cement!$A$7:$A$35,"")</f>
        <v>14.841666562736975</v>
      </c>
      <c r="C18" s="394">
        <f>_xlfn.XLOOKUP(E18,Cement!$Q$7:$Q$35,Cement!$S$7:$S$35,"")</f>
        <v>11280</v>
      </c>
      <c r="D18" s="223" t="s">
        <v>54</v>
      </c>
      <c r="E18" s="1949" t="s">
        <v>55</v>
      </c>
      <c r="F18" s="982">
        <f>_xlfn.XLOOKUP(E18,Cement!$Q$7:$Q$35,Cement!$R$7:$R$35,"")</f>
        <v>12</v>
      </c>
      <c r="G18" s="1204">
        <f>_xlfn.XLOOKUP(E18,Cement!$Q$7:$Q$35,Cement!$AP$7:$AP$35,"")</f>
        <v>2496</v>
      </c>
      <c r="H18" s="1211">
        <v>6</v>
      </c>
      <c r="I18" s="1713">
        <f t="shared" si="3"/>
        <v>2490</v>
      </c>
      <c r="J18" s="1712">
        <f t="shared" si="4"/>
        <v>2.403846153846154E-3</v>
      </c>
      <c r="K18" s="1761">
        <v>4</v>
      </c>
      <c r="L18" s="1728">
        <f t="shared" si="5"/>
        <v>4</v>
      </c>
      <c r="M18" s="689">
        <v>641</v>
      </c>
      <c r="N18" s="689">
        <v>1246</v>
      </c>
      <c r="O18" s="1718">
        <v>189</v>
      </c>
      <c r="P18" s="1713">
        <f t="shared" si="6"/>
        <v>1057</v>
      </c>
      <c r="Q18" s="1712">
        <f t="shared" si="7"/>
        <v>0.15168539325842698</v>
      </c>
      <c r="R18" s="557">
        <f t="shared" si="8"/>
        <v>3738</v>
      </c>
      <c r="S18" s="553">
        <f t="shared" si="9"/>
        <v>0.94383775351014043</v>
      </c>
      <c r="T18" s="553">
        <f t="shared" si="10"/>
        <v>0.25681089743589741</v>
      </c>
      <c r="U18" s="558">
        <f t="shared" si="11"/>
        <v>4851.8190327613102</v>
      </c>
      <c r="V18" s="591">
        <f t="shared" si="12"/>
        <v>605</v>
      </c>
      <c r="W18" s="559">
        <f t="shared" si="13"/>
        <v>3101</v>
      </c>
      <c r="X18" s="1170">
        <f t="shared" si="14"/>
        <v>4135.6595163806551</v>
      </c>
      <c r="Y18" s="1244">
        <f t="shared" si="15"/>
        <v>0.65691487034481377</v>
      </c>
      <c r="Z18" s="658"/>
      <c r="AA18" s="63">
        <v>1169</v>
      </c>
      <c r="AB18" s="1147">
        <v>1169</v>
      </c>
      <c r="AC18" s="63">
        <v>63</v>
      </c>
      <c r="AD18" s="63">
        <v>177</v>
      </c>
      <c r="AE18" s="63">
        <v>296</v>
      </c>
      <c r="AF18" s="63">
        <v>394</v>
      </c>
      <c r="AG18" s="63">
        <v>499</v>
      </c>
      <c r="AH18" s="63">
        <v>638</v>
      </c>
      <c r="AI18" s="63">
        <v>760</v>
      </c>
      <c r="AJ18" s="63">
        <v>879</v>
      </c>
      <c r="AK18" s="63">
        <v>991</v>
      </c>
      <c r="AL18" s="63">
        <v>1105</v>
      </c>
      <c r="AM18" s="63">
        <v>1239</v>
      </c>
      <c r="AN18" s="1140">
        <v>1394</v>
      </c>
      <c r="AO18" s="1594">
        <f>AN18+AB18-AA18</f>
        <v>1394</v>
      </c>
      <c r="AP18" s="1147">
        <v>1394</v>
      </c>
      <c r="AQ18" s="1494"/>
      <c r="AR18" s="1901">
        <v>0</v>
      </c>
      <c r="AS18" s="63">
        <v>106</v>
      </c>
      <c r="AT18" s="1427">
        <f t="shared" si="17"/>
        <v>0.68253968253968256</v>
      </c>
      <c r="AU18" s="1351">
        <f t="shared" si="18"/>
        <v>0.68253968253968256</v>
      </c>
      <c r="AV18" s="63">
        <v>275</v>
      </c>
      <c r="AW18" s="1427">
        <f t="shared" si="19"/>
        <v>0.48245614035087719</v>
      </c>
      <c r="AX18" s="1351">
        <f t="shared" si="20"/>
        <v>0.5536723163841808</v>
      </c>
      <c r="AY18" s="63">
        <v>475</v>
      </c>
      <c r="AZ18" s="1427">
        <f t="shared" si="21"/>
        <v>0.68067226890756305</v>
      </c>
      <c r="BA18" s="1351">
        <f t="shared" si="22"/>
        <v>0.60472972972972971</v>
      </c>
      <c r="BB18" s="63">
        <v>641</v>
      </c>
      <c r="BC18" s="1427">
        <f t="shared" si="23"/>
        <v>0.69387755102040816</v>
      </c>
      <c r="BD18" s="1351">
        <f t="shared" si="24"/>
        <v>0.62690355329949243</v>
      </c>
      <c r="BE18" s="63">
        <v>829</v>
      </c>
      <c r="BF18" s="1427">
        <f t="shared" si="25"/>
        <v>0.79047619047619044</v>
      </c>
      <c r="BG18" s="1351">
        <f t="shared" si="26"/>
        <v>0.66132264529058116</v>
      </c>
      <c r="BH18" s="63">
        <v>1028</v>
      </c>
      <c r="BI18" s="1427">
        <f t="shared" si="27"/>
        <v>0.43165467625899279</v>
      </c>
      <c r="BJ18" s="1351">
        <f t="shared" si="28"/>
        <v>0.61128526645768022</v>
      </c>
      <c r="BK18" s="63">
        <v>1216</v>
      </c>
      <c r="BL18" s="1427">
        <f t="shared" si="29"/>
        <v>0.54098360655737709</v>
      </c>
      <c r="BM18" s="1351">
        <f t="shared" si="30"/>
        <v>0.6</v>
      </c>
      <c r="BN18" s="63">
        <v>1437</v>
      </c>
      <c r="BO18" s="1427">
        <f t="shared" si="31"/>
        <v>0.8571428571428571</v>
      </c>
      <c r="BP18" s="1351">
        <f t="shared" si="32"/>
        <v>0.6348122866894198</v>
      </c>
      <c r="BQ18" s="63">
        <v>1648</v>
      </c>
      <c r="BR18" s="1427">
        <f t="shared" si="33"/>
        <v>0.8839285714285714</v>
      </c>
      <c r="BS18" s="1351">
        <f t="shared" si="34"/>
        <v>0.66296670030272453</v>
      </c>
      <c r="BT18" s="63">
        <v>1890</v>
      </c>
      <c r="BU18" s="1427">
        <f t="shared" si="35"/>
        <v>1.1228070175438596</v>
      </c>
      <c r="BV18" s="1351">
        <f t="shared" si="36"/>
        <v>0.71040723981900455</v>
      </c>
      <c r="BW18" s="63">
        <v>2181</v>
      </c>
      <c r="BX18" s="1427">
        <f t="shared" si="37"/>
        <v>1.1716417910447761</v>
      </c>
      <c r="BY18" s="1351">
        <f t="shared" si="38"/>
        <v>0.76029055690072644</v>
      </c>
      <c r="BZ18" s="1140">
        <v>2495</v>
      </c>
      <c r="CA18" s="1427">
        <f t="shared" si="39"/>
        <v>1.0258064516129033</v>
      </c>
      <c r="CB18" s="1351">
        <f t="shared" si="40"/>
        <v>0.7898134863701578</v>
      </c>
      <c r="CC18" s="1901">
        <v>0</v>
      </c>
      <c r="CD18" s="1594">
        <f>BZ18</f>
        <v>2495</v>
      </c>
      <c r="CE18" s="1939">
        <f t="shared" si="42"/>
        <v>0.7898134863701578</v>
      </c>
      <c r="CF18" s="1940">
        <f t="shared" si="43"/>
        <v>6</v>
      </c>
      <c r="CG18" s="1895"/>
      <c r="CH18" s="1815">
        <v>227</v>
      </c>
      <c r="CI18" s="2039">
        <f t="shared" si="44"/>
        <v>1.1415094339622642</v>
      </c>
      <c r="CJ18" s="2041">
        <f t="shared" si="45"/>
        <v>1.1415094339622642</v>
      </c>
      <c r="CK18" s="1815">
        <v>524</v>
      </c>
      <c r="CL18" s="2039">
        <f t="shared" si="46"/>
        <v>0.75739644970414199</v>
      </c>
      <c r="CM18" s="2041">
        <f t="shared" si="47"/>
        <v>0.9054545454545454</v>
      </c>
      <c r="CN18" s="1815">
        <v>865</v>
      </c>
      <c r="CO18" s="2039">
        <f t="shared" si="48"/>
        <v>0.70499999999999996</v>
      </c>
      <c r="CP18" s="2041">
        <f t="shared" si="49"/>
        <v>0.82105263157894737</v>
      </c>
      <c r="CQ18" s="1815">
        <v>1246</v>
      </c>
      <c r="CR18" s="2039">
        <f t="shared" si="50"/>
        <v>1.2951807228915662</v>
      </c>
      <c r="CS18" s="2041">
        <f t="shared" si="51"/>
        <v>0.94383775351014043</v>
      </c>
      <c r="CU18" s="1948">
        <f t="shared" si="52"/>
        <v>0.12278512193119306</v>
      </c>
      <c r="CV18" s="1940">
        <f t="shared" si="53"/>
        <v>5</v>
      </c>
      <c r="CW18" s="1580">
        <f t="shared" si="54"/>
        <v>0.90908566642565003</v>
      </c>
      <c r="CX18" s="1799">
        <v>4955</v>
      </c>
      <c r="CY18" s="1794">
        <f>_xlfn.XLOOKUP(E18,Cement!$Q$7:$Q$35,Cement!$S$7:$S$35)</f>
        <v>11280</v>
      </c>
      <c r="CZ18" s="1245" t="s">
        <v>608</v>
      </c>
      <c r="DA18" s="1802">
        <v>0.9</v>
      </c>
      <c r="DB18" s="1529">
        <f t="shared" si="55"/>
        <v>0.68253968253968256</v>
      </c>
      <c r="DC18" s="1529">
        <f t="shared" si="56"/>
        <v>0.5536723163841808</v>
      </c>
      <c r="DD18" s="1529">
        <f t="shared" si="57"/>
        <v>0.60472972972972971</v>
      </c>
      <c r="DE18" s="1529">
        <f t="shared" si="58"/>
        <v>0.62690355329949243</v>
      </c>
      <c r="DF18" s="1529">
        <f t="shared" si="59"/>
        <v>0.66132264529058116</v>
      </c>
      <c r="DG18" s="1529">
        <f t="shared" si="60"/>
        <v>0.61128526645768022</v>
      </c>
      <c r="DH18" s="1529">
        <f t="shared" si="61"/>
        <v>0.6</v>
      </c>
      <c r="DI18" s="1529">
        <f t="shared" si="62"/>
        <v>0.6348122866894198</v>
      </c>
      <c r="DJ18" s="1529">
        <f t="shared" si="63"/>
        <v>0.66296670030272453</v>
      </c>
      <c r="DK18" s="1529">
        <f t="shared" si="64"/>
        <v>0.71040723981900455</v>
      </c>
      <c r="DL18" s="1529">
        <f t="shared" si="65"/>
        <v>0.76029055690072644</v>
      </c>
      <c r="DM18" s="1529">
        <f t="shared" si="66"/>
        <v>0.7898134863701578</v>
      </c>
      <c r="DN18" s="1529">
        <f t="shared" si="67"/>
        <v>1.1415094339622642</v>
      </c>
      <c r="DO18" s="1529">
        <f t="shared" si="68"/>
        <v>0.9054545454545454</v>
      </c>
      <c r="DP18" s="1529">
        <f t="shared" si="69"/>
        <v>0.82105263157894737</v>
      </c>
      <c r="DQ18" s="1529">
        <f t="shared" si="70"/>
        <v>0.94383775351014043</v>
      </c>
      <c r="DS18" s="1583" t="s">
        <v>197</v>
      </c>
      <c r="DT18" s="1736"/>
      <c r="DU18" s="1580">
        <f t="shared" si="74"/>
        <v>0.90908566642565003</v>
      </c>
      <c r="DV18" s="1943">
        <f t="shared" si="71"/>
        <v>5</v>
      </c>
      <c r="DW18" s="1730">
        <f t="shared" si="72"/>
        <v>1.2764883955600403</v>
      </c>
      <c r="DX18" s="1860">
        <f t="shared" si="73"/>
        <v>14.928154710458083</v>
      </c>
      <c r="DY18" s="1683">
        <f>_xlfn.XLOOKUP(E18,Cement!$Q$7:$Q$35,Cement!$D$7:$D$35,"")</f>
        <v>1.2981300700156284</v>
      </c>
      <c r="DZ18" s="1583" t="s">
        <v>197</v>
      </c>
    </row>
    <row r="19" spans="2:130" ht="68" customHeight="1">
      <c r="B19" s="1118">
        <f>_xlfn.XLOOKUP(E19,Cement!$Q$7:$Q$35,Cement!$A$7:$A$35,"")</f>
        <v>9.2730653097207458</v>
      </c>
      <c r="C19" s="394">
        <f>_xlfn.XLOOKUP(E19,Cement!$Q$7:$Q$35,Cement!$S$7:$S$35,"")</f>
        <v>17782.426080000001</v>
      </c>
      <c r="D19" s="223" t="s">
        <v>52</v>
      </c>
      <c r="E19" s="1949" t="s">
        <v>53</v>
      </c>
      <c r="F19" s="982">
        <f>_xlfn.XLOOKUP(E19,Cement!$Q$7:$Q$35,Cement!$R$7:$R$35,"")</f>
        <v>12</v>
      </c>
      <c r="G19" s="1204">
        <f>_xlfn.XLOOKUP(E19,Cement!$Q$7:$Q$35,Cement!$AP$7:$AP$35,"")</f>
        <v>5941</v>
      </c>
      <c r="H19" s="1212">
        <v>364</v>
      </c>
      <c r="I19" s="1713">
        <f t="shared" si="3"/>
        <v>5577</v>
      </c>
      <c r="J19" s="1712">
        <f t="shared" si="4"/>
        <v>6.1269146608315096E-2</v>
      </c>
      <c r="K19" s="1761">
        <v>4</v>
      </c>
      <c r="L19" s="1728">
        <f t="shared" si="5"/>
        <v>4</v>
      </c>
      <c r="M19" s="689">
        <v>1645</v>
      </c>
      <c r="N19" s="689">
        <v>2652</v>
      </c>
      <c r="O19" s="1718">
        <v>140</v>
      </c>
      <c r="P19" s="1713">
        <f t="shared" si="6"/>
        <v>2512</v>
      </c>
      <c r="Q19" s="1712">
        <f t="shared" si="7"/>
        <v>5.2790346907993967E-2</v>
      </c>
      <c r="R19" s="557">
        <f t="shared" si="8"/>
        <v>7956</v>
      </c>
      <c r="S19" s="553">
        <f t="shared" si="9"/>
        <v>0.61215805471124618</v>
      </c>
      <c r="T19" s="553">
        <f t="shared" si="10"/>
        <v>0.2768894125568086</v>
      </c>
      <c r="U19" s="558">
        <f t="shared" si="11"/>
        <v>9577.8310030395132</v>
      </c>
      <c r="V19" s="591">
        <f t="shared" si="12"/>
        <v>1007</v>
      </c>
      <c r="W19" s="559">
        <f t="shared" si="13"/>
        <v>6948</v>
      </c>
      <c r="X19" s="1170">
        <f t="shared" si="14"/>
        <v>8514.9155015197575</v>
      </c>
      <c r="Y19" s="1244">
        <f t="shared" si="15"/>
        <v>0.43324617093414536</v>
      </c>
      <c r="Z19" s="658"/>
      <c r="AA19" s="63">
        <v>3207</v>
      </c>
      <c r="AB19" s="1147">
        <v>3207</v>
      </c>
      <c r="AC19" s="63">
        <v>189</v>
      </c>
      <c r="AD19" s="63">
        <v>493</v>
      </c>
      <c r="AE19" s="63">
        <v>815</v>
      </c>
      <c r="AF19" s="63">
        <v>1023</v>
      </c>
      <c r="AG19" s="63">
        <v>1362</v>
      </c>
      <c r="AH19" s="63">
        <v>1736</v>
      </c>
      <c r="AI19" s="63">
        <v>2119</v>
      </c>
      <c r="AJ19" s="63">
        <v>2491</v>
      </c>
      <c r="AK19" s="1791">
        <v>2834</v>
      </c>
      <c r="AL19" s="63">
        <v>3179</v>
      </c>
      <c r="AM19" s="63">
        <v>3535</v>
      </c>
      <c r="AN19" s="1140">
        <v>3948</v>
      </c>
      <c r="AO19" s="1594">
        <f>AN19+AB19-AA19</f>
        <v>3948</v>
      </c>
      <c r="AP19" s="1147">
        <v>3948</v>
      </c>
      <c r="AQ19" s="1494"/>
      <c r="AR19" s="1901">
        <v>0</v>
      </c>
      <c r="AS19" s="63">
        <v>265</v>
      </c>
      <c r="AT19" s="1427">
        <f t="shared" si="17"/>
        <v>0.40211640211640209</v>
      </c>
      <c r="AU19" s="1351">
        <f t="shared" si="18"/>
        <v>0.40211640211640209</v>
      </c>
      <c r="AV19" s="63">
        <v>618</v>
      </c>
      <c r="AW19" s="1427">
        <f t="shared" si="19"/>
        <v>0.16118421052631579</v>
      </c>
      <c r="AX19" s="1351">
        <f t="shared" si="20"/>
        <v>0.25354969574036512</v>
      </c>
      <c r="AY19" s="63">
        <v>1137</v>
      </c>
      <c r="AZ19" s="1427">
        <f t="shared" si="21"/>
        <v>0.61180124223602483</v>
      </c>
      <c r="BA19" s="1351">
        <f t="shared" si="22"/>
        <v>0.3950920245398773</v>
      </c>
      <c r="BB19" s="63">
        <v>1645</v>
      </c>
      <c r="BC19" s="1427">
        <f t="shared" si="23"/>
        <v>1.4423076923076923</v>
      </c>
      <c r="BD19" s="1351">
        <f t="shared" si="24"/>
        <v>0.6080156402737048</v>
      </c>
      <c r="BE19" s="63">
        <v>2205</v>
      </c>
      <c r="BF19" s="1427">
        <f t="shared" si="25"/>
        <v>0.65191740412979349</v>
      </c>
      <c r="BG19" s="1351">
        <f t="shared" si="26"/>
        <v>0.61894273127753308</v>
      </c>
      <c r="BH19" s="63">
        <v>2775</v>
      </c>
      <c r="BI19" s="1427">
        <f t="shared" si="27"/>
        <v>0.52406417112299464</v>
      </c>
      <c r="BJ19" s="1351">
        <f t="shared" si="28"/>
        <v>0.59850230414746541</v>
      </c>
      <c r="BK19" s="63">
        <v>3354</v>
      </c>
      <c r="BL19" s="1427">
        <f t="shared" si="29"/>
        <v>0.51174934725848564</v>
      </c>
      <c r="BM19" s="1351">
        <f t="shared" si="30"/>
        <v>0.58282208588957052</v>
      </c>
      <c r="BN19" s="63">
        <v>3915</v>
      </c>
      <c r="BO19" s="1427">
        <f t="shared" si="31"/>
        <v>0.50806451612903225</v>
      </c>
      <c r="BP19" s="1351">
        <f t="shared" si="32"/>
        <v>0.57165796868727414</v>
      </c>
      <c r="BQ19" s="63">
        <v>4468</v>
      </c>
      <c r="BR19" s="1427">
        <f t="shared" si="33"/>
        <v>0.61224489795918369</v>
      </c>
      <c r="BS19" s="1351">
        <f t="shared" si="34"/>
        <v>0.57657021877205361</v>
      </c>
      <c r="BT19" s="63">
        <v>4957</v>
      </c>
      <c r="BU19" s="1427">
        <f t="shared" si="35"/>
        <v>0.41739130434782606</v>
      </c>
      <c r="BV19" s="1351">
        <f t="shared" si="36"/>
        <v>0.55929537590437239</v>
      </c>
      <c r="BW19" s="63">
        <v>5470</v>
      </c>
      <c r="BX19" s="1427">
        <f t="shared" si="37"/>
        <v>0.4410112359550562</v>
      </c>
      <c r="BY19" s="1351">
        <f t="shared" si="38"/>
        <v>0.54738330975954741</v>
      </c>
      <c r="BZ19" s="1140">
        <v>5941</v>
      </c>
      <c r="CA19" s="1427">
        <f t="shared" si="39"/>
        <v>0.14043583535108958</v>
      </c>
      <c r="CB19" s="1351">
        <f t="shared" si="40"/>
        <v>0.50481256332320157</v>
      </c>
      <c r="CC19" s="1901">
        <v>0</v>
      </c>
      <c r="CD19" s="1594">
        <f>BZ19</f>
        <v>5941</v>
      </c>
      <c r="CE19" s="1939">
        <f t="shared" si="42"/>
        <v>0.50481256332320157</v>
      </c>
      <c r="CF19" s="1940">
        <f t="shared" si="43"/>
        <v>21</v>
      </c>
      <c r="CG19" s="1895"/>
      <c r="CH19" s="1815">
        <v>439</v>
      </c>
      <c r="CI19" s="2039">
        <f t="shared" si="44"/>
        <v>0.65660377358490563</v>
      </c>
      <c r="CJ19" s="2041">
        <f t="shared" si="45"/>
        <v>0.65660377358490563</v>
      </c>
      <c r="CK19" s="1815">
        <v>1242</v>
      </c>
      <c r="CL19" s="2039">
        <f t="shared" si="46"/>
        <v>1.2747875354107649</v>
      </c>
      <c r="CM19" s="2041">
        <f t="shared" si="47"/>
        <v>1.0097087378640777</v>
      </c>
      <c r="CN19" s="1815">
        <v>2011</v>
      </c>
      <c r="CO19" s="2039">
        <f t="shared" si="48"/>
        <v>0.48169556840077071</v>
      </c>
      <c r="CP19" s="2041">
        <f t="shared" si="49"/>
        <v>0.76868953386103778</v>
      </c>
      <c r="CQ19" s="1815">
        <v>2652</v>
      </c>
      <c r="CR19" s="2039">
        <f t="shared" si="50"/>
        <v>0.26181102362204722</v>
      </c>
      <c r="CS19" s="2041">
        <f t="shared" si="51"/>
        <v>0.61215805471124618</v>
      </c>
      <c r="CU19" s="1948">
        <f t="shared" si="52"/>
        <v>-0.1565314791497916</v>
      </c>
      <c r="CV19" s="1940">
        <f t="shared" si="53"/>
        <v>15</v>
      </c>
      <c r="CW19" s="1580">
        <f t="shared" si="54"/>
        <v>0.47139288993066586</v>
      </c>
      <c r="CX19" s="1799">
        <v>14500.838272000001</v>
      </c>
      <c r="CY19" s="1794">
        <f>_xlfn.XLOOKUP(E19,Cement!$Q$7:$Q$35,Cement!$S$7:$S$35)</f>
        <v>17782.426080000001</v>
      </c>
      <c r="CZ19" s="1245" t="s">
        <v>602</v>
      </c>
      <c r="DA19" s="1802">
        <v>0.9</v>
      </c>
      <c r="DB19" s="1529">
        <f t="shared" si="55"/>
        <v>0.40211640211640209</v>
      </c>
      <c r="DC19" s="1529">
        <f t="shared" si="56"/>
        <v>0.25354969574036512</v>
      </c>
      <c r="DD19" s="1529">
        <f t="shared" si="57"/>
        <v>0.3950920245398773</v>
      </c>
      <c r="DE19" s="1529">
        <f t="shared" si="58"/>
        <v>0.6080156402737048</v>
      </c>
      <c r="DF19" s="1529">
        <f t="shared" si="59"/>
        <v>0.61894273127753308</v>
      </c>
      <c r="DG19" s="1529">
        <f t="shared" si="60"/>
        <v>0.59850230414746541</v>
      </c>
      <c r="DH19" s="1529">
        <f t="shared" si="61"/>
        <v>0.58282208588957052</v>
      </c>
      <c r="DI19" s="1529">
        <f t="shared" si="62"/>
        <v>0.57165796868727414</v>
      </c>
      <c r="DJ19" s="1529">
        <f t="shared" si="63"/>
        <v>0.57657021877205361</v>
      </c>
      <c r="DK19" s="1529">
        <f t="shared" si="64"/>
        <v>0.55929537590437239</v>
      </c>
      <c r="DL19" s="1529">
        <f t="shared" si="65"/>
        <v>0.54738330975954741</v>
      </c>
      <c r="DM19" s="1529">
        <f t="shared" si="66"/>
        <v>0.50481256332320157</v>
      </c>
      <c r="DN19" s="1529">
        <f t="shared" si="67"/>
        <v>0.65660377358490563</v>
      </c>
      <c r="DO19" s="1529">
        <f t="shared" si="68"/>
        <v>1.0097087378640777</v>
      </c>
      <c r="DP19" s="1529">
        <f t="shared" si="69"/>
        <v>0.76868953386103778</v>
      </c>
      <c r="DQ19" s="1529">
        <f t="shared" si="70"/>
        <v>0.61215805471124618</v>
      </c>
      <c r="DS19" s="1583" t="s">
        <v>606</v>
      </c>
      <c r="DT19" s="1736"/>
      <c r="DU19" s="1580">
        <f t="shared" si="74"/>
        <v>0.47139288993066586</v>
      </c>
      <c r="DV19" s="1943">
        <f t="shared" si="71"/>
        <v>15</v>
      </c>
      <c r="DW19" s="1730">
        <f t="shared" si="72"/>
        <v>0.22630331753554503</v>
      </c>
      <c r="DX19" s="1860">
        <f t="shared" si="73"/>
        <v>-0.84787997003211291</v>
      </c>
      <c r="DY19" s="1683">
        <f>_xlfn.XLOOKUP(E19,Cement!$Q$7:$Q$35,Cement!$D$7:$D$35,"")</f>
        <v>1.6754968860582222</v>
      </c>
      <c r="DZ19" s="1583" t="s">
        <v>197</v>
      </c>
    </row>
    <row r="20" spans="2:130" ht="68" customHeight="1">
      <c r="B20" s="1118">
        <f>_xlfn.XLOOKUP(E20,Cement!$Q$7:$Q$35,Cement!$A$7:$A$35,"")</f>
        <v>8.9839762773261249</v>
      </c>
      <c r="C20" s="394">
        <f>_xlfn.XLOOKUP(E20,Cement!$Q$7:$Q$35,Cement!$S$7:$S$35,"")</f>
        <v>18635.562000000002</v>
      </c>
      <c r="D20" s="223" t="s">
        <v>64</v>
      </c>
      <c r="E20" s="1949" t="s">
        <v>65</v>
      </c>
      <c r="F20" s="982">
        <f>_xlfn.XLOOKUP(E20,Cement!$Q$7:$Q$35,Cement!$R$7:$R$35,"")</f>
        <v>9</v>
      </c>
      <c r="G20" s="1204">
        <f>_xlfn.XLOOKUP(E20,Cement!$Q$7:$Q$35,Cement!$AP$7:$AP$35,"")</f>
        <v>4210</v>
      </c>
      <c r="H20" s="1212">
        <v>447</v>
      </c>
      <c r="I20" s="1713">
        <f t="shared" si="3"/>
        <v>3763</v>
      </c>
      <c r="J20" s="1712">
        <f t="shared" si="4"/>
        <v>0.10617577197149644</v>
      </c>
      <c r="K20" s="1761">
        <v>4</v>
      </c>
      <c r="L20" s="1728">
        <f t="shared" si="5"/>
        <v>7</v>
      </c>
      <c r="M20" s="689">
        <v>2187</v>
      </c>
      <c r="N20" s="689">
        <v>3998</v>
      </c>
      <c r="O20" s="1718">
        <v>486</v>
      </c>
      <c r="P20" s="1713">
        <f t="shared" si="6"/>
        <v>3512</v>
      </c>
      <c r="Q20" s="1712">
        <f t="shared" si="7"/>
        <v>0.12156078039019509</v>
      </c>
      <c r="R20" s="557">
        <f t="shared" si="8"/>
        <v>6853.7142857142853</v>
      </c>
      <c r="S20" s="553">
        <f t="shared" si="9"/>
        <v>0.82807498856881578</v>
      </c>
      <c r="T20" s="553">
        <f t="shared" si="10"/>
        <v>0.51947743467933494</v>
      </c>
      <c r="U20" s="558">
        <f t="shared" si="11"/>
        <v>7696.1957018747144</v>
      </c>
      <c r="V20" s="591">
        <f t="shared" si="12"/>
        <v>1811</v>
      </c>
      <c r="W20" s="559">
        <f t="shared" si="13"/>
        <v>6021</v>
      </c>
      <c r="X20" s="1170">
        <f t="shared" si="14"/>
        <v>7066.7764223659287</v>
      </c>
      <c r="Y20" s="1244">
        <f t="shared" si="15"/>
        <v>0.6785692214645912</v>
      </c>
      <c r="Z20" s="658"/>
      <c r="AA20" s="63">
        <v>530</v>
      </c>
      <c r="AB20" s="1147">
        <v>1933</v>
      </c>
      <c r="AC20" s="63">
        <v>671</v>
      </c>
      <c r="AD20" s="63">
        <v>927</v>
      </c>
      <c r="AE20" s="63">
        <v>1169</v>
      </c>
      <c r="AF20" s="63">
        <v>1390</v>
      </c>
      <c r="AG20" s="63">
        <v>1650</v>
      </c>
      <c r="AH20" s="63">
        <v>1909</v>
      </c>
      <c r="AI20" s="63">
        <v>2210</v>
      </c>
      <c r="AJ20" s="63">
        <v>2508</v>
      </c>
      <c r="AK20" s="1792">
        <v>2731</v>
      </c>
      <c r="AL20" s="63">
        <v>244</v>
      </c>
      <c r="AM20" s="63">
        <v>498</v>
      </c>
      <c r="AN20" s="63">
        <v>796</v>
      </c>
      <c r="AO20" s="1594">
        <f>AK20-AA20+AN20</f>
        <v>2997</v>
      </c>
      <c r="AP20" s="1147">
        <v>2731</v>
      </c>
      <c r="AQ20" s="1494"/>
      <c r="AR20" s="1901">
        <v>796</v>
      </c>
      <c r="AS20" s="63">
        <v>1049</v>
      </c>
      <c r="AT20" s="1427">
        <f t="shared" si="17"/>
        <v>0.79432624113475181</v>
      </c>
      <c r="AU20" s="1351">
        <f t="shared" si="18"/>
        <v>0.56333830104321903</v>
      </c>
      <c r="AV20" s="63">
        <v>1329</v>
      </c>
      <c r="AW20" s="1427">
        <f t="shared" si="19"/>
        <v>9.375E-2</v>
      </c>
      <c r="AX20" s="1351">
        <f t="shared" si="20"/>
        <v>0.4336569579288026</v>
      </c>
      <c r="AY20" s="63">
        <v>1796</v>
      </c>
      <c r="AZ20" s="1427">
        <f t="shared" si="21"/>
        <v>0.92975206611570249</v>
      </c>
      <c r="BA20" s="1351">
        <f t="shared" si="22"/>
        <v>0.53635585970915312</v>
      </c>
      <c r="BB20" s="63">
        <v>2187</v>
      </c>
      <c r="BC20" s="1427">
        <f t="shared" si="23"/>
        <v>0.76923076923076927</v>
      </c>
      <c r="BD20" s="1351">
        <f t="shared" si="24"/>
        <v>0.57338129496402879</v>
      </c>
      <c r="BE20" s="63">
        <v>2555</v>
      </c>
      <c r="BF20" s="1427">
        <f t="shared" si="25"/>
        <v>0.41538461538461541</v>
      </c>
      <c r="BG20" s="1351">
        <f t="shared" si="26"/>
        <v>0.54848484848484846</v>
      </c>
      <c r="BH20" s="63">
        <v>2968</v>
      </c>
      <c r="BI20" s="1427">
        <f t="shared" si="27"/>
        <v>0.59459459459459463</v>
      </c>
      <c r="BJ20" s="1351">
        <f t="shared" si="28"/>
        <v>0.55474070193818759</v>
      </c>
      <c r="BK20" s="63">
        <v>3364</v>
      </c>
      <c r="BL20" s="1427">
        <f t="shared" si="29"/>
        <v>0.31561461794019935</v>
      </c>
      <c r="BM20" s="1351">
        <f t="shared" si="30"/>
        <v>0.5221719457013575</v>
      </c>
      <c r="BN20" s="63">
        <v>3796</v>
      </c>
      <c r="BO20" s="1427">
        <f t="shared" si="31"/>
        <v>0.44966442953020136</v>
      </c>
      <c r="BP20" s="1351">
        <f t="shared" si="32"/>
        <v>0.51355661881977677</v>
      </c>
      <c r="BQ20" s="1140">
        <v>4256</v>
      </c>
      <c r="BR20" s="1427">
        <f t="shared" si="33"/>
        <v>1.0627802690582959</v>
      </c>
      <c r="BS20" s="1351">
        <f t="shared" si="34"/>
        <v>0.55840351519589893</v>
      </c>
      <c r="BT20" s="63">
        <v>449</v>
      </c>
      <c r="BU20" s="1427">
        <f t="shared" si="35"/>
        <v>0.8401639344262295</v>
      </c>
      <c r="BV20" s="1351">
        <f t="shared" si="36"/>
        <v>0.8401639344262295</v>
      </c>
      <c r="BW20" s="63">
        <v>847</v>
      </c>
      <c r="BX20" s="1427">
        <f t="shared" si="37"/>
        <v>0.56692913385826771</v>
      </c>
      <c r="BY20" s="1351">
        <f t="shared" si="38"/>
        <v>0.70080321285140568</v>
      </c>
      <c r="BZ20" s="63">
        <v>1284</v>
      </c>
      <c r="CA20" s="1427">
        <f t="shared" si="39"/>
        <v>0.46644295302013422</v>
      </c>
      <c r="CB20" s="1351">
        <f t="shared" si="40"/>
        <v>0.61306532663316582</v>
      </c>
      <c r="CC20" s="1901">
        <v>1284</v>
      </c>
      <c r="CD20" s="1594">
        <f>BQ20+BZ20-AR20</f>
        <v>4744</v>
      </c>
      <c r="CE20" s="1939">
        <f t="shared" si="42"/>
        <v>0.58291624958291621</v>
      </c>
      <c r="CF20" s="1940">
        <f t="shared" si="43"/>
        <v>16</v>
      </c>
      <c r="CG20" s="1895"/>
      <c r="CH20" s="1815">
        <v>1777</v>
      </c>
      <c r="CI20" s="2039">
        <f t="shared" si="44"/>
        <v>0.9486166007905138</v>
      </c>
      <c r="CJ20" s="2041">
        <f t="shared" si="45"/>
        <v>0.69399428026692089</v>
      </c>
      <c r="CK20" s="1815">
        <v>2562</v>
      </c>
      <c r="CL20" s="2039">
        <f t="shared" si="46"/>
        <v>1.8035714285714286</v>
      </c>
      <c r="CM20" s="2041">
        <f t="shared" si="47"/>
        <v>0.92776523702031599</v>
      </c>
      <c r="CN20" s="1815">
        <v>3269</v>
      </c>
      <c r="CO20" s="2039">
        <f t="shared" si="48"/>
        <v>0.51391862955032119</v>
      </c>
      <c r="CP20" s="2041">
        <f t="shared" si="49"/>
        <v>0.82015590200445432</v>
      </c>
      <c r="CQ20" s="1815">
        <v>3998</v>
      </c>
      <c r="CR20" s="2039">
        <f t="shared" si="50"/>
        <v>0.86445012787723785</v>
      </c>
      <c r="CS20" s="2041">
        <f t="shared" si="51"/>
        <v>0.82807498856881578</v>
      </c>
      <c r="CU20" s="1948">
        <f t="shared" si="52"/>
        <v>7.9190865643614661E-3</v>
      </c>
      <c r="CV20" s="1940">
        <f t="shared" si="53"/>
        <v>7</v>
      </c>
      <c r="CW20" s="1580">
        <f t="shared" si="54"/>
        <v>0.90908566642565003</v>
      </c>
      <c r="CX20" s="1799">
        <v>10339.938</v>
      </c>
      <c r="CY20" s="1794">
        <f>_xlfn.XLOOKUP(E20,Cement!$Q$7:$Q$35,Cement!$S$7:$S$35)</f>
        <v>18635.562000000002</v>
      </c>
      <c r="CZ20" s="1245" t="s">
        <v>608</v>
      </c>
      <c r="DA20" s="1802">
        <v>0.9</v>
      </c>
      <c r="DB20" s="1529">
        <f t="shared" si="55"/>
        <v>0.56333830104321903</v>
      </c>
      <c r="DC20" s="1529">
        <f t="shared" si="56"/>
        <v>0.4336569579288026</v>
      </c>
      <c r="DD20" s="1529">
        <f t="shared" si="57"/>
        <v>0.53635585970915312</v>
      </c>
      <c r="DE20" s="1529">
        <f t="shared" si="58"/>
        <v>0.57338129496402879</v>
      </c>
      <c r="DF20" s="1529">
        <f t="shared" si="59"/>
        <v>0.54848484848484846</v>
      </c>
      <c r="DG20" s="1529">
        <f t="shared" si="60"/>
        <v>0.55474070193818759</v>
      </c>
      <c r="DH20" s="1529">
        <f t="shared" si="61"/>
        <v>0.5221719457013575</v>
      </c>
      <c r="DI20" s="1529">
        <f t="shared" si="62"/>
        <v>0.51355661881977677</v>
      </c>
      <c r="DJ20" s="1529">
        <f t="shared" si="63"/>
        <v>0.55840351519589893</v>
      </c>
      <c r="DK20" s="1529">
        <f t="shared" si="64"/>
        <v>0.8401639344262295</v>
      </c>
      <c r="DL20" s="1529">
        <f t="shared" si="65"/>
        <v>0.70080321285140568</v>
      </c>
      <c r="DM20" s="1529">
        <f t="shared" si="66"/>
        <v>0.61306532663316582</v>
      </c>
      <c r="DN20" s="1529">
        <f t="shared" si="67"/>
        <v>0.69399428026692089</v>
      </c>
      <c r="DO20" s="1529">
        <f t="shared" si="68"/>
        <v>0.92776523702031599</v>
      </c>
      <c r="DP20" s="1529">
        <f t="shared" si="69"/>
        <v>0.82015590200445432</v>
      </c>
      <c r="DQ20" s="1529">
        <f t="shared" si="70"/>
        <v>0.82807498856881578</v>
      </c>
      <c r="DS20" s="1583" t="s">
        <v>197</v>
      </c>
      <c r="DT20" s="1736"/>
      <c r="DU20" s="1580">
        <f t="shared" si="74"/>
        <v>0.90908566642565003</v>
      </c>
      <c r="DV20" s="1943">
        <f t="shared" si="71"/>
        <v>7</v>
      </c>
      <c r="DW20" s="1730">
        <f t="shared" si="72"/>
        <v>0.80228953016933002</v>
      </c>
      <c r="DX20" s="1860">
        <f t="shared" si="73"/>
        <v>1.5385008418698651</v>
      </c>
      <c r="DY20" s="1683">
        <f>_xlfn.XLOOKUP(E20,Cement!$Q$7:$Q$35,Cement!$D$7:$D$35,"")</f>
        <v>0.98954066987665801</v>
      </c>
      <c r="DZ20" s="1583" t="s">
        <v>197</v>
      </c>
    </row>
    <row r="21" spans="2:130" ht="68" customHeight="1">
      <c r="B21" s="1118">
        <f>_xlfn.XLOOKUP(E21,Cement!$Q$7:$Q$35,Cement!$A$7:$A$35,"")</f>
        <v>4.272015472959688</v>
      </c>
      <c r="C21" s="394">
        <f>_xlfn.XLOOKUP(E21,Cement!$Q$7:$Q$35,Cement!$S$7:$S$35,"")</f>
        <v>6010.96</v>
      </c>
      <c r="D21" s="223" t="s">
        <v>48</v>
      </c>
      <c r="E21" s="1949" t="s">
        <v>49</v>
      </c>
      <c r="F21" s="982">
        <f>_xlfn.XLOOKUP(E21,Cement!$Q$7:$Q$35,Cement!$R$7:$R$35,"")</f>
        <v>12</v>
      </c>
      <c r="G21" s="1204">
        <f>_xlfn.XLOOKUP(E21,Cement!$Q$7:$Q$35,Cement!$AP$7:$AP$35,"")</f>
        <v>1894</v>
      </c>
      <c r="H21" s="1211">
        <v>0</v>
      </c>
      <c r="I21" s="1713">
        <f t="shared" si="3"/>
        <v>1894</v>
      </c>
      <c r="J21" s="1712">
        <f t="shared" si="4"/>
        <v>0</v>
      </c>
      <c r="K21" s="1761">
        <v>4</v>
      </c>
      <c r="L21" s="1728">
        <f t="shared" si="5"/>
        <v>4</v>
      </c>
      <c r="M21" s="689">
        <v>626</v>
      </c>
      <c r="N21" s="689">
        <v>902</v>
      </c>
      <c r="O21" s="1718">
        <v>45</v>
      </c>
      <c r="P21" s="1713">
        <f t="shared" si="6"/>
        <v>857</v>
      </c>
      <c r="Q21" s="1712">
        <f t="shared" si="7"/>
        <v>4.9889135254988913E-2</v>
      </c>
      <c r="R21" s="557">
        <f t="shared" si="8"/>
        <v>2706</v>
      </c>
      <c r="S21" s="553">
        <f t="shared" si="9"/>
        <v>0.44089456869009586</v>
      </c>
      <c r="T21" s="553">
        <f t="shared" si="10"/>
        <v>0.33051742344244983</v>
      </c>
      <c r="U21" s="558">
        <f t="shared" si="11"/>
        <v>2729.0543130990413</v>
      </c>
      <c r="V21" s="591">
        <f t="shared" si="12"/>
        <v>276</v>
      </c>
      <c r="W21" s="559">
        <f t="shared" si="13"/>
        <v>2170</v>
      </c>
      <c r="X21" s="1170">
        <f t="shared" si="14"/>
        <v>2583.5271565495204</v>
      </c>
      <c r="Y21" s="1244">
        <f t="shared" si="15"/>
        <v>0.36405868878010583</v>
      </c>
      <c r="Z21" s="658"/>
      <c r="AA21" s="63">
        <v>1086</v>
      </c>
      <c r="AB21" s="1147">
        <v>1086</v>
      </c>
      <c r="AC21" s="63">
        <v>104</v>
      </c>
      <c r="AD21" s="63">
        <v>202</v>
      </c>
      <c r="AE21" s="63">
        <v>301</v>
      </c>
      <c r="AF21" s="63">
        <v>387</v>
      </c>
      <c r="AG21" s="63">
        <v>489</v>
      </c>
      <c r="AH21" s="63">
        <v>594</v>
      </c>
      <c r="AI21" s="63">
        <v>725</v>
      </c>
      <c r="AJ21" s="63">
        <v>859</v>
      </c>
      <c r="AK21" s="1791">
        <v>981</v>
      </c>
      <c r="AL21" s="63">
        <v>1116</v>
      </c>
      <c r="AM21" s="63">
        <v>1260</v>
      </c>
      <c r="AN21" s="1140">
        <v>1437</v>
      </c>
      <c r="AO21" s="1594">
        <f>AN21+AB21-AA21</f>
        <v>1437</v>
      </c>
      <c r="AP21" s="1147">
        <v>1437</v>
      </c>
      <c r="AQ21" s="1494"/>
      <c r="AR21" s="1901">
        <v>0</v>
      </c>
      <c r="AS21" s="63">
        <v>108</v>
      </c>
      <c r="AT21" s="1427">
        <f t="shared" si="17"/>
        <v>3.8461538461538464E-2</v>
      </c>
      <c r="AU21" s="1351">
        <f t="shared" si="18"/>
        <v>3.8461538461538464E-2</v>
      </c>
      <c r="AV21" s="63">
        <v>314</v>
      </c>
      <c r="AW21" s="1427">
        <f t="shared" si="19"/>
        <v>1.1020408163265305</v>
      </c>
      <c r="AX21" s="1351">
        <f t="shared" si="20"/>
        <v>0.5544554455445545</v>
      </c>
      <c r="AY21" s="63">
        <v>477</v>
      </c>
      <c r="AZ21" s="1427">
        <f t="shared" si="21"/>
        <v>0.64646464646464652</v>
      </c>
      <c r="BA21" s="1351">
        <f t="shared" si="22"/>
        <v>0.58471760797342198</v>
      </c>
      <c r="BB21" s="63">
        <v>626</v>
      </c>
      <c r="BC21" s="1427">
        <f t="shared" si="23"/>
        <v>0.73255813953488369</v>
      </c>
      <c r="BD21" s="1351">
        <f t="shared" si="24"/>
        <v>0.61757105943152457</v>
      </c>
      <c r="BE21" s="63">
        <v>765</v>
      </c>
      <c r="BF21" s="1427">
        <f t="shared" si="25"/>
        <v>0.36274509803921567</v>
      </c>
      <c r="BG21" s="1351">
        <f t="shared" si="26"/>
        <v>0.56441717791411039</v>
      </c>
      <c r="BH21" s="63">
        <v>904</v>
      </c>
      <c r="BI21" s="1427">
        <f t="shared" si="27"/>
        <v>0.32380952380952382</v>
      </c>
      <c r="BJ21" s="1351">
        <f t="shared" si="28"/>
        <v>0.52188552188552184</v>
      </c>
      <c r="BK21" s="63">
        <v>1079</v>
      </c>
      <c r="BL21" s="1427">
        <f t="shared" si="29"/>
        <v>0.33587786259541985</v>
      </c>
      <c r="BM21" s="1351">
        <f t="shared" si="30"/>
        <v>0.4882758620689655</v>
      </c>
      <c r="BN21" s="63">
        <v>1245</v>
      </c>
      <c r="BO21" s="1427">
        <f t="shared" si="31"/>
        <v>0.23880597014925373</v>
      </c>
      <c r="BP21" s="1351">
        <f t="shared" si="32"/>
        <v>0.44935972060535506</v>
      </c>
      <c r="BQ21" s="63">
        <v>1405</v>
      </c>
      <c r="BR21" s="1427">
        <f t="shared" si="33"/>
        <v>0.31147540983606559</v>
      </c>
      <c r="BS21" s="1351">
        <f t="shared" si="34"/>
        <v>0.43221202854230378</v>
      </c>
      <c r="BT21" s="63">
        <v>1566</v>
      </c>
      <c r="BU21" s="1427">
        <f t="shared" si="35"/>
        <v>0.19259259259259259</v>
      </c>
      <c r="BV21" s="1351">
        <f t="shared" si="36"/>
        <v>0.40322580645161288</v>
      </c>
      <c r="BW21" s="63">
        <v>1731</v>
      </c>
      <c r="BX21" s="1427">
        <f t="shared" si="37"/>
        <v>0.14583333333333334</v>
      </c>
      <c r="BY21" s="1351">
        <f t="shared" si="38"/>
        <v>0.37380952380952381</v>
      </c>
      <c r="BZ21" s="1140">
        <v>1894</v>
      </c>
      <c r="CA21" s="1427">
        <f t="shared" si="39"/>
        <v>-7.909604519774012E-2</v>
      </c>
      <c r="CB21" s="1351">
        <f t="shared" si="40"/>
        <v>0.31802366040361862</v>
      </c>
      <c r="CC21" s="1901">
        <v>0</v>
      </c>
      <c r="CD21" s="1594">
        <f>BZ21</f>
        <v>1894</v>
      </c>
      <c r="CE21" s="1939">
        <f t="shared" si="42"/>
        <v>0.31802366040361862</v>
      </c>
      <c r="CF21" s="1940">
        <f t="shared" si="43"/>
        <v>29</v>
      </c>
      <c r="CG21" s="1895"/>
      <c r="CH21" s="1815">
        <v>128</v>
      </c>
      <c r="CI21" s="2039">
        <f t="shared" si="44"/>
        <v>0.18518518518518517</v>
      </c>
      <c r="CJ21" s="2041">
        <f t="shared" si="45"/>
        <v>0.18518518518518517</v>
      </c>
      <c r="CK21" s="1815">
        <v>372</v>
      </c>
      <c r="CL21" s="2039">
        <f t="shared" si="46"/>
        <v>0.18446601941747573</v>
      </c>
      <c r="CM21" s="2041">
        <f t="shared" si="47"/>
        <v>0.18471337579617833</v>
      </c>
      <c r="CN21" s="1815">
        <v>643</v>
      </c>
      <c r="CO21" s="2039">
        <f t="shared" si="48"/>
        <v>0.66257668711656437</v>
      </c>
      <c r="CP21" s="2041">
        <f t="shared" si="49"/>
        <v>0.34800838574423482</v>
      </c>
      <c r="CQ21" s="1815">
        <v>902</v>
      </c>
      <c r="CR21" s="2039">
        <f t="shared" si="50"/>
        <v>0.73825503355704702</v>
      </c>
      <c r="CS21" s="2041">
        <f t="shared" si="51"/>
        <v>0.44089456869009586</v>
      </c>
      <c r="CU21" s="1948">
        <f t="shared" si="52"/>
        <v>9.288618294586104E-2</v>
      </c>
      <c r="CV21" s="1940">
        <f t="shared" si="53"/>
        <v>21</v>
      </c>
      <c r="CW21" s="1580">
        <f t="shared" si="54"/>
        <v>0.47139288993066586</v>
      </c>
      <c r="CX21" s="1799">
        <v>4603.5600000000004</v>
      </c>
      <c r="CY21" s="1794">
        <f>_xlfn.XLOOKUP(E21,Cement!$Q$7:$Q$35,Cement!$S$7:$S$35)</f>
        <v>6010.96</v>
      </c>
      <c r="CZ21" s="1245" t="s">
        <v>602</v>
      </c>
      <c r="DA21" s="1802">
        <v>0.9</v>
      </c>
      <c r="DB21" s="1529">
        <f t="shared" si="55"/>
        <v>3.8461538461538464E-2</v>
      </c>
      <c r="DC21" s="1529">
        <f t="shared" si="56"/>
        <v>0.5544554455445545</v>
      </c>
      <c r="DD21" s="1529">
        <f t="shared" si="57"/>
        <v>0.58471760797342198</v>
      </c>
      <c r="DE21" s="1529">
        <f t="shared" si="58"/>
        <v>0.61757105943152457</v>
      </c>
      <c r="DF21" s="1529">
        <f t="shared" si="59"/>
        <v>0.56441717791411039</v>
      </c>
      <c r="DG21" s="1529">
        <f t="shared" si="60"/>
        <v>0.52188552188552184</v>
      </c>
      <c r="DH21" s="1529">
        <f t="shared" si="61"/>
        <v>0.4882758620689655</v>
      </c>
      <c r="DI21" s="1529">
        <f t="shared" si="62"/>
        <v>0.44935972060535506</v>
      </c>
      <c r="DJ21" s="1529">
        <f t="shared" si="63"/>
        <v>0.43221202854230378</v>
      </c>
      <c r="DK21" s="1529">
        <f t="shared" si="64"/>
        <v>0.40322580645161288</v>
      </c>
      <c r="DL21" s="1529">
        <f t="shared" si="65"/>
        <v>0.37380952380952381</v>
      </c>
      <c r="DM21" s="1529">
        <f t="shared" si="66"/>
        <v>0.31802366040361862</v>
      </c>
      <c r="DN21" s="1529">
        <f t="shared" si="67"/>
        <v>0.18518518518518517</v>
      </c>
      <c r="DO21" s="1529">
        <f t="shared" si="68"/>
        <v>0.18471337579617833</v>
      </c>
      <c r="DP21" s="1529">
        <f t="shared" si="69"/>
        <v>0.34800838574423482</v>
      </c>
      <c r="DQ21" s="1529">
        <f t="shared" si="70"/>
        <v>0.44089456869009586</v>
      </c>
      <c r="DS21" s="1583" t="s">
        <v>606</v>
      </c>
      <c r="DT21" s="1736"/>
      <c r="DU21" s="1580">
        <f t="shared" si="74"/>
        <v>0.47139288993066586</v>
      </c>
      <c r="DV21" s="1943">
        <f t="shared" si="71"/>
        <v>21</v>
      </c>
      <c r="DW21" s="1730">
        <f t="shared" si="72"/>
        <v>0.30571992110453639</v>
      </c>
      <c r="DX21" s="1860">
        <f t="shared" si="73"/>
        <v>4.9889135254988917</v>
      </c>
      <c r="DY21" s="1683">
        <f>_xlfn.XLOOKUP(E21,Cement!$Q$7:$Q$35,Cement!$D$7:$D$35,"")</f>
        <v>0.39333218675961756</v>
      </c>
      <c r="DZ21" s="1583" t="s">
        <v>606</v>
      </c>
    </row>
    <row r="22" spans="2:130" ht="68" customHeight="1">
      <c r="B22" s="1118">
        <f>_xlfn.XLOOKUP(E22,Cement!$Q$7:$Q$35,Cement!$A$7:$A$35,"")</f>
        <v>0.28480263281042628</v>
      </c>
      <c r="C22" s="394">
        <f>_xlfn.XLOOKUP(E22,Cement!$Q$7:$Q$35,Cement!$S$7:$S$35,"")</f>
        <v>5142.8999999999996</v>
      </c>
      <c r="D22" s="223" t="s">
        <v>44</v>
      </c>
      <c r="E22" s="1949" t="s">
        <v>45</v>
      </c>
      <c r="F22" s="982">
        <f>_xlfn.XLOOKUP(E22,Cement!$Q$7:$Q$35,Cement!$R$7:$R$35,"")</f>
        <v>12</v>
      </c>
      <c r="G22" s="1204">
        <f>_xlfn.XLOOKUP(E22,Cement!$Q$7:$Q$35,Cement!$AP$7:$AP$35,"")</f>
        <v>2306</v>
      </c>
      <c r="H22" s="1212">
        <v>8</v>
      </c>
      <c r="I22" s="1713">
        <f t="shared" si="3"/>
        <v>2298</v>
      </c>
      <c r="J22" s="1712">
        <f t="shared" si="4"/>
        <v>3.469210754553339E-3</v>
      </c>
      <c r="K22" s="1761">
        <v>4</v>
      </c>
      <c r="L22" s="1728">
        <f t="shared" si="5"/>
        <v>4</v>
      </c>
      <c r="M22" s="689">
        <v>766</v>
      </c>
      <c r="N22" s="689">
        <v>1160</v>
      </c>
      <c r="O22" s="1718">
        <v>0</v>
      </c>
      <c r="P22" s="1713">
        <f t="shared" si="6"/>
        <v>1160</v>
      </c>
      <c r="Q22" s="1712">
        <f t="shared" si="7"/>
        <v>0</v>
      </c>
      <c r="R22" s="557">
        <f t="shared" si="8"/>
        <v>3480</v>
      </c>
      <c r="S22" s="553">
        <f t="shared" si="9"/>
        <v>0.51436031331592691</v>
      </c>
      <c r="T22" s="553">
        <f t="shared" si="10"/>
        <v>0.33217692974848223</v>
      </c>
      <c r="U22" s="558">
        <f t="shared" si="11"/>
        <v>3492.1148825065275</v>
      </c>
      <c r="V22" s="591">
        <f t="shared" si="12"/>
        <v>394</v>
      </c>
      <c r="W22" s="559">
        <f t="shared" si="13"/>
        <v>2700</v>
      </c>
      <c r="X22" s="1170">
        <f t="shared" si="14"/>
        <v>3291.0574412532637</v>
      </c>
      <c r="Y22" s="1244">
        <f t="shared" si="15"/>
        <v>0.4271714836310771</v>
      </c>
      <c r="Z22" s="658"/>
      <c r="AA22" s="63">
        <v>945</v>
      </c>
      <c r="AB22" s="1147">
        <v>945</v>
      </c>
      <c r="AC22" s="63">
        <v>67</v>
      </c>
      <c r="AD22" s="63">
        <v>141</v>
      </c>
      <c r="AE22" s="63">
        <v>229</v>
      </c>
      <c r="AF22" s="63">
        <v>285</v>
      </c>
      <c r="AG22" s="63">
        <v>370</v>
      </c>
      <c r="AH22" s="63">
        <v>524</v>
      </c>
      <c r="AI22" s="63">
        <v>661</v>
      </c>
      <c r="AJ22" s="63">
        <v>785</v>
      </c>
      <c r="AK22" s="1791">
        <v>913</v>
      </c>
      <c r="AL22" s="63">
        <v>1065</v>
      </c>
      <c r="AM22" s="63">
        <v>1221</v>
      </c>
      <c r="AN22" s="1140">
        <v>1414</v>
      </c>
      <c r="AO22" s="1594">
        <f>AN22+AB22-AA22</f>
        <v>1414</v>
      </c>
      <c r="AP22" s="1147">
        <v>1414</v>
      </c>
      <c r="AQ22" s="1494"/>
      <c r="AR22" s="1901">
        <v>0</v>
      </c>
      <c r="AS22" s="63">
        <v>115</v>
      </c>
      <c r="AT22" s="1427">
        <f t="shared" si="17"/>
        <v>0.71641791044776115</v>
      </c>
      <c r="AU22" s="1351">
        <f t="shared" si="18"/>
        <v>0.71641791044776115</v>
      </c>
      <c r="AV22" s="63">
        <v>287</v>
      </c>
      <c r="AW22" s="1427">
        <f t="shared" si="19"/>
        <v>1.3243243243243243</v>
      </c>
      <c r="AX22" s="1351">
        <f t="shared" si="20"/>
        <v>1.0354609929078014</v>
      </c>
      <c r="AY22" s="63">
        <v>552</v>
      </c>
      <c r="AZ22" s="1427">
        <f t="shared" si="21"/>
        <v>2.0113636363636362</v>
      </c>
      <c r="BA22" s="1351">
        <f t="shared" si="22"/>
        <v>1.4104803493449782</v>
      </c>
      <c r="BB22" s="63">
        <v>766</v>
      </c>
      <c r="BC22" s="1427">
        <f t="shared" si="23"/>
        <v>2.8214285714285716</v>
      </c>
      <c r="BD22" s="1351">
        <f t="shared" si="24"/>
        <v>1.687719298245614</v>
      </c>
      <c r="BE22" s="63">
        <v>964</v>
      </c>
      <c r="BF22" s="1427">
        <f t="shared" si="25"/>
        <v>1.3294117647058823</v>
      </c>
      <c r="BG22" s="1351">
        <f t="shared" si="26"/>
        <v>1.6054054054054054</v>
      </c>
      <c r="BH22" s="63">
        <v>1142</v>
      </c>
      <c r="BI22" s="1427">
        <f t="shared" si="27"/>
        <v>0.15584415584415584</v>
      </c>
      <c r="BJ22" s="1351">
        <f t="shared" si="28"/>
        <v>1.1793893129770991</v>
      </c>
      <c r="BK22" s="63">
        <v>1342</v>
      </c>
      <c r="BL22" s="1427">
        <f t="shared" si="29"/>
        <v>0.45985401459854014</v>
      </c>
      <c r="BM22" s="1351">
        <f t="shared" si="30"/>
        <v>1.0302571860816945</v>
      </c>
      <c r="BN22" s="63">
        <v>1561</v>
      </c>
      <c r="BO22" s="1427">
        <f t="shared" si="31"/>
        <v>0.7661290322580645</v>
      </c>
      <c r="BP22" s="1351">
        <f t="shared" si="32"/>
        <v>0.98853503184713376</v>
      </c>
      <c r="BQ22" s="63">
        <v>1758</v>
      </c>
      <c r="BR22" s="1427">
        <f t="shared" si="33"/>
        <v>0.5390625</v>
      </c>
      <c r="BS22" s="1351">
        <f t="shared" si="34"/>
        <v>0.92552026286966049</v>
      </c>
      <c r="BT22" s="63">
        <v>1961</v>
      </c>
      <c r="BU22" s="1427">
        <f t="shared" si="35"/>
        <v>0.33552631578947367</v>
      </c>
      <c r="BV22" s="1351">
        <f t="shared" si="36"/>
        <v>0.84131455399061028</v>
      </c>
      <c r="BW22" s="63">
        <v>2133</v>
      </c>
      <c r="BX22" s="1427">
        <f t="shared" si="37"/>
        <v>0.10256410256410256</v>
      </c>
      <c r="BY22" s="1351">
        <f t="shared" si="38"/>
        <v>0.74692874692874689</v>
      </c>
      <c r="BZ22" s="1140">
        <v>2306</v>
      </c>
      <c r="CA22" s="1427">
        <f t="shared" si="39"/>
        <v>-0.10362694300518134</v>
      </c>
      <c r="CB22" s="1351">
        <f t="shared" si="40"/>
        <v>0.63083451202263086</v>
      </c>
      <c r="CC22" s="1901">
        <v>0</v>
      </c>
      <c r="CD22" s="1594">
        <f>BZ22</f>
        <v>2306</v>
      </c>
      <c r="CE22" s="1939">
        <f t="shared" si="42"/>
        <v>0.63083451202263086</v>
      </c>
      <c r="CF22" s="1940">
        <f t="shared" si="43"/>
        <v>11</v>
      </c>
      <c r="CG22" s="1895"/>
      <c r="CH22" s="1815">
        <v>191</v>
      </c>
      <c r="CI22" s="2039">
        <f t="shared" si="44"/>
        <v>0.66086956521739126</v>
      </c>
      <c r="CJ22" s="2041">
        <f t="shared" si="45"/>
        <v>0.66086956521739126</v>
      </c>
      <c r="CK22" s="1815">
        <v>506</v>
      </c>
      <c r="CL22" s="2039">
        <f t="shared" si="46"/>
        <v>0.83139534883720934</v>
      </c>
      <c r="CM22" s="2041">
        <f t="shared" si="47"/>
        <v>0.76306620209059228</v>
      </c>
      <c r="CN22" s="1815">
        <v>830</v>
      </c>
      <c r="CO22" s="2039">
        <f t="shared" si="48"/>
        <v>0.22264150943396227</v>
      </c>
      <c r="CP22" s="2041">
        <f t="shared" si="49"/>
        <v>0.50362318840579712</v>
      </c>
      <c r="CQ22" s="1815">
        <v>1160</v>
      </c>
      <c r="CR22" s="2039">
        <f t="shared" si="50"/>
        <v>0.54205607476635509</v>
      </c>
      <c r="CS22" s="2041">
        <f t="shared" si="51"/>
        <v>0.51436031331592691</v>
      </c>
      <c r="CU22" s="1948">
        <f t="shared" si="52"/>
        <v>1.0737124910129792E-2</v>
      </c>
      <c r="CV22" s="1940">
        <f t="shared" si="53"/>
        <v>19</v>
      </c>
      <c r="CW22" s="1580">
        <f t="shared" si="54"/>
        <v>0.47139288993066586</v>
      </c>
      <c r="CX22" s="1799">
        <v>2924.85</v>
      </c>
      <c r="CY22" s="1794">
        <f>_xlfn.XLOOKUP(E22,Cement!$Q$7:$Q$35,Cement!$S$7:$S$35)</f>
        <v>5142.8999999999996</v>
      </c>
      <c r="CZ22" s="1245" t="s">
        <v>602</v>
      </c>
      <c r="DA22" s="1802">
        <v>0.9</v>
      </c>
      <c r="DB22" s="1529">
        <f t="shared" si="55"/>
        <v>0.71641791044776115</v>
      </c>
      <c r="DC22" s="1529">
        <f t="shared" si="56"/>
        <v>1.0354609929078014</v>
      </c>
      <c r="DD22" s="1529">
        <f t="shared" si="57"/>
        <v>1.4104803493449782</v>
      </c>
      <c r="DE22" s="1529">
        <f t="shared" si="58"/>
        <v>1.687719298245614</v>
      </c>
      <c r="DF22" s="1529">
        <f t="shared" si="59"/>
        <v>1.6054054054054054</v>
      </c>
      <c r="DG22" s="1529">
        <f t="shared" si="60"/>
        <v>1.1793893129770991</v>
      </c>
      <c r="DH22" s="1529">
        <f t="shared" si="61"/>
        <v>1.0302571860816945</v>
      </c>
      <c r="DI22" s="1529">
        <f t="shared" si="62"/>
        <v>0.98853503184713376</v>
      </c>
      <c r="DJ22" s="1529">
        <f t="shared" si="63"/>
        <v>0.92552026286966049</v>
      </c>
      <c r="DK22" s="1529">
        <f t="shared" si="64"/>
        <v>0.84131455399061028</v>
      </c>
      <c r="DL22" s="1529">
        <f t="shared" si="65"/>
        <v>0.74692874692874689</v>
      </c>
      <c r="DM22" s="1529">
        <f t="shared" si="66"/>
        <v>0.63083451202263086</v>
      </c>
      <c r="DN22" s="1529">
        <f t="shared" si="67"/>
        <v>0.66086956521739126</v>
      </c>
      <c r="DO22" s="1529">
        <f t="shared" si="68"/>
        <v>0.76306620209059228</v>
      </c>
      <c r="DP22" s="1529">
        <f t="shared" si="69"/>
        <v>0.50362318840579712</v>
      </c>
      <c r="DQ22" s="1529">
        <f t="shared" si="70"/>
        <v>0.51436031331592691</v>
      </c>
      <c r="DS22" s="1583" t="s">
        <v>606</v>
      </c>
      <c r="DT22" s="1736"/>
      <c r="DU22" s="1580">
        <f t="shared" si="74"/>
        <v>0.47139288993066586</v>
      </c>
      <c r="DV22" s="1943">
        <f t="shared" si="71"/>
        <v>19</v>
      </c>
      <c r="DW22" s="1730">
        <f t="shared" si="72"/>
        <v>0.75834658187599358</v>
      </c>
      <c r="DX22" s="1860">
        <f t="shared" si="73"/>
        <v>-0.3469210754553339</v>
      </c>
      <c r="DY22" s="1683">
        <f>_xlfn.XLOOKUP(E22,Cement!$Q$7:$Q$35,Cement!$D$7:$D$35,"")</f>
        <v>1.8823795718449121</v>
      </c>
      <c r="DZ22" s="1583" t="s">
        <v>197</v>
      </c>
    </row>
    <row r="23" spans="2:130" ht="68" customHeight="1">
      <c r="B23" s="1118">
        <f>_xlfn.XLOOKUP(E23,Cement!$Q$7:$Q$35,Cement!$A$7:$A$35,"")</f>
        <v>-0.73633515948652661</v>
      </c>
      <c r="C23" s="394">
        <f>_xlfn.XLOOKUP(E23,Cement!$Q$7:$Q$35,Cement!$S$7:$S$35,"")</f>
        <v>4452.2</v>
      </c>
      <c r="D23" s="223" t="s">
        <v>72</v>
      </c>
      <c r="E23" s="1949" t="s">
        <v>73</v>
      </c>
      <c r="F23" s="982">
        <f>_xlfn.XLOOKUP(E23,Cement!$Q$7:$Q$35,Cement!$R$7:$R$35,"")</f>
        <v>12</v>
      </c>
      <c r="G23" s="1204">
        <f>_xlfn.XLOOKUP(E23,Cement!$Q$7:$Q$35,Cement!$AP$7:$AP$35,"")</f>
        <v>1957</v>
      </c>
      <c r="H23" s="1212">
        <v>71</v>
      </c>
      <c r="I23" s="1713">
        <f t="shared" si="3"/>
        <v>1886</v>
      </c>
      <c r="J23" s="1712">
        <f t="shared" si="4"/>
        <v>3.6280020439448134E-2</v>
      </c>
      <c r="K23" s="1761">
        <v>4</v>
      </c>
      <c r="L23" s="1728">
        <f t="shared" si="5"/>
        <v>4</v>
      </c>
      <c r="M23" s="689">
        <v>686</v>
      </c>
      <c r="N23" s="689">
        <v>832</v>
      </c>
      <c r="O23" s="1718">
        <v>0</v>
      </c>
      <c r="P23" s="1713">
        <f t="shared" si="6"/>
        <v>832</v>
      </c>
      <c r="Q23" s="1712">
        <f t="shared" si="7"/>
        <v>0</v>
      </c>
      <c r="R23" s="557">
        <f t="shared" si="8"/>
        <v>2496</v>
      </c>
      <c r="S23" s="553">
        <f t="shared" si="9"/>
        <v>0.21282798833819241</v>
      </c>
      <c r="T23" s="553">
        <f t="shared" si="10"/>
        <v>0.35053653551354114</v>
      </c>
      <c r="U23" s="558">
        <f t="shared" si="11"/>
        <v>2373.5043731778428</v>
      </c>
      <c r="V23" s="591">
        <f t="shared" si="12"/>
        <v>146</v>
      </c>
      <c r="W23" s="559">
        <f t="shared" si="13"/>
        <v>2103</v>
      </c>
      <c r="X23" s="1170">
        <f t="shared" si="14"/>
        <v>2336.5021865889212</v>
      </c>
      <c r="Y23" s="1244">
        <f t="shared" si="15"/>
        <v>0.19392038149663832</v>
      </c>
      <c r="Z23" s="658"/>
      <c r="AA23" s="63">
        <v>997</v>
      </c>
      <c r="AB23" s="1147">
        <v>997</v>
      </c>
      <c r="AC23" s="63">
        <v>71</v>
      </c>
      <c r="AD23" s="63">
        <v>172</v>
      </c>
      <c r="AE23" s="63">
        <v>228</v>
      </c>
      <c r="AF23" s="63">
        <v>269</v>
      </c>
      <c r="AG23" s="63">
        <v>336</v>
      </c>
      <c r="AH23" s="63">
        <v>573</v>
      </c>
      <c r="AI23" s="63">
        <v>684</v>
      </c>
      <c r="AJ23" s="63">
        <v>777</v>
      </c>
      <c r="AK23" s="63">
        <v>856</v>
      </c>
      <c r="AL23" s="63">
        <v>951</v>
      </c>
      <c r="AM23" s="63">
        <v>1066</v>
      </c>
      <c r="AN23" s="1140">
        <v>1206</v>
      </c>
      <c r="AO23" s="1594">
        <f>AN23+AB23-AA23</f>
        <v>1206</v>
      </c>
      <c r="AP23" s="1147">
        <v>1206</v>
      </c>
      <c r="AQ23" s="1494"/>
      <c r="AR23" s="1901">
        <v>0</v>
      </c>
      <c r="AS23" s="63">
        <v>126</v>
      </c>
      <c r="AT23" s="1427">
        <f t="shared" si="17"/>
        <v>0.77464788732394363</v>
      </c>
      <c r="AU23" s="1351">
        <f t="shared" si="18"/>
        <v>0.77464788732394363</v>
      </c>
      <c r="AV23" s="63">
        <v>328</v>
      </c>
      <c r="AW23" s="1427">
        <f t="shared" si="19"/>
        <v>1</v>
      </c>
      <c r="AX23" s="1351">
        <f t="shared" si="20"/>
        <v>0.90697674418604646</v>
      </c>
      <c r="AY23" s="63">
        <v>511</v>
      </c>
      <c r="AZ23" s="1427">
        <f t="shared" si="21"/>
        <v>2.2678571428571428</v>
      </c>
      <c r="BA23" s="1351">
        <f t="shared" si="22"/>
        <v>1.2412280701754386</v>
      </c>
      <c r="BB23" s="63">
        <v>686</v>
      </c>
      <c r="BC23" s="1427">
        <f t="shared" si="23"/>
        <v>3.2682926829268291</v>
      </c>
      <c r="BD23" s="1351">
        <f t="shared" si="24"/>
        <v>1.550185873605948</v>
      </c>
      <c r="BE23" s="63">
        <v>830</v>
      </c>
      <c r="BF23" s="1427">
        <f t="shared" si="25"/>
        <v>1.1492537313432836</v>
      </c>
      <c r="BG23" s="1351">
        <f t="shared" si="26"/>
        <v>1.4702380952380953</v>
      </c>
      <c r="BH23" s="63">
        <v>1001</v>
      </c>
      <c r="BI23" s="1427">
        <f t="shared" si="27"/>
        <v>-0.27848101265822783</v>
      </c>
      <c r="BJ23" s="1351">
        <f t="shared" si="28"/>
        <v>0.74694589877835948</v>
      </c>
      <c r="BK23" s="63">
        <v>1181</v>
      </c>
      <c r="BL23" s="1427">
        <f t="shared" si="29"/>
        <v>0.6216216216216216</v>
      </c>
      <c r="BM23" s="1351">
        <f t="shared" si="30"/>
        <v>0.72660818713450293</v>
      </c>
      <c r="BN23" s="63">
        <v>1359</v>
      </c>
      <c r="BO23" s="1427">
        <f t="shared" si="31"/>
        <v>0.91397849462365588</v>
      </c>
      <c r="BP23" s="1351">
        <f t="shared" si="32"/>
        <v>0.74903474903474898</v>
      </c>
      <c r="BQ23" s="63">
        <v>1513</v>
      </c>
      <c r="BR23" s="1427">
        <f t="shared" si="33"/>
        <v>0.94936708860759489</v>
      </c>
      <c r="BS23" s="1351">
        <f t="shared" si="34"/>
        <v>0.76752336448598135</v>
      </c>
      <c r="BT23" s="63">
        <v>1644</v>
      </c>
      <c r="BU23" s="1427">
        <f t="shared" si="35"/>
        <v>0.37894736842105264</v>
      </c>
      <c r="BV23" s="1351">
        <f t="shared" si="36"/>
        <v>0.72870662460567825</v>
      </c>
      <c r="BW23" s="63">
        <v>1794</v>
      </c>
      <c r="BX23" s="1427">
        <f t="shared" si="37"/>
        <v>0.30434782608695654</v>
      </c>
      <c r="BY23" s="1351">
        <f t="shared" si="38"/>
        <v>0.68292682926829273</v>
      </c>
      <c r="BZ23" s="1140">
        <v>1957</v>
      </c>
      <c r="CA23" s="1427">
        <f t="shared" si="39"/>
        <v>0.16428571428571428</v>
      </c>
      <c r="CB23" s="1351">
        <f t="shared" si="40"/>
        <v>0.62271973466003316</v>
      </c>
      <c r="CC23" s="1901">
        <v>0</v>
      </c>
      <c r="CD23" s="1594">
        <f>BZ23</f>
        <v>1957</v>
      </c>
      <c r="CE23" s="1939">
        <f t="shared" si="42"/>
        <v>0.62271973466003316</v>
      </c>
      <c r="CF23" s="1940">
        <f t="shared" si="43"/>
        <v>12</v>
      </c>
      <c r="CG23" s="1895"/>
      <c r="CH23" s="1815">
        <v>140</v>
      </c>
      <c r="CI23" s="2039">
        <f t="shared" si="44"/>
        <v>0.1111111111111111</v>
      </c>
      <c r="CJ23" s="2041">
        <f t="shared" si="45"/>
        <v>0.1111111111111111</v>
      </c>
      <c r="CK23" s="1815">
        <v>378</v>
      </c>
      <c r="CL23" s="2039">
        <f t="shared" si="46"/>
        <v>0.17821782178217821</v>
      </c>
      <c r="CM23" s="2041">
        <f t="shared" si="47"/>
        <v>0.1524390243902439</v>
      </c>
      <c r="CN23" s="1815">
        <v>608</v>
      </c>
      <c r="CO23" s="2039">
        <f t="shared" si="48"/>
        <v>0.25683060109289618</v>
      </c>
      <c r="CP23" s="2041">
        <f t="shared" si="49"/>
        <v>0.18982387475538159</v>
      </c>
      <c r="CQ23" s="1815">
        <v>832</v>
      </c>
      <c r="CR23" s="2039">
        <f t="shared" si="50"/>
        <v>0.28000000000000003</v>
      </c>
      <c r="CS23" s="2041">
        <f t="shared" si="51"/>
        <v>0.21282798833819241</v>
      </c>
      <c r="CU23" s="1948">
        <f t="shared" si="52"/>
        <v>2.300411358281082E-2</v>
      </c>
      <c r="CV23" s="1940">
        <f t="shared" si="53"/>
        <v>26</v>
      </c>
      <c r="CW23" s="1580">
        <f t="shared" si="54"/>
        <v>0.47139288993066586</v>
      </c>
      <c r="CX23" s="1799">
        <v>4294</v>
      </c>
      <c r="CY23" s="1794">
        <f>_xlfn.XLOOKUP(E23,Cement!$Q$7:$Q$35,Cement!$S$7:$S$35)</f>
        <v>4452.2</v>
      </c>
      <c r="CZ23" s="1245" t="s">
        <v>602</v>
      </c>
      <c r="DA23" s="1802">
        <v>0.9</v>
      </c>
      <c r="DB23" s="1529">
        <f t="shared" si="55"/>
        <v>0.77464788732394363</v>
      </c>
      <c r="DC23" s="1529">
        <f t="shared" si="56"/>
        <v>0.90697674418604646</v>
      </c>
      <c r="DD23" s="1529">
        <f t="shared" si="57"/>
        <v>1.2412280701754386</v>
      </c>
      <c r="DE23" s="1529">
        <f t="shared" si="58"/>
        <v>1.550185873605948</v>
      </c>
      <c r="DF23" s="1529">
        <f t="shared" si="59"/>
        <v>1.4702380952380953</v>
      </c>
      <c r="DG23" s="1529">
        <f t="shared" si="60"/>
        <v>0.74694589877835948</v>
      </c>
      <c r="DH23" s="1529">
        <f t="shared" si="61"/>
        <v>0.72660818713450293</v>
      </c>
      <c r="DI23" s="1529">
        <f t="shared" si="62"/>
        <v>0.74903474903474898</v>
      </c>
      <c r="DJ23" s="1529">
        <f t="shared" si="63"/>
        <v>0.76752336448598135</v>
      </c>
      <c r="DK23" s="1529">
        <f t="shared" si="64"/>
        <v>0.72870662460567825</v>
      </c>
      <c r="DL23" s="1529">
        <f t="shared" si="65"/>
        <v>0.68292682926829273</v>
      </c>
      <c r="DM23" s="1529">
        <f t="shared" si="66"/>
        <v>0.62271973466003316</v>
      </c>
      <c r="DN23" s="1529">
        <f t="shared" si="67"/>
        <v>0.1111111111111111</v>
      </c>
      <c r="DO23" s="1529">
        <f t="shared" si="68"/>
        <v>0.1524390243902439</v>
      </c>
      <c r="DP23" s="1529">
        <f t="shared" si="69"/>
        <v>0.18982387475538159</v>
      </c>
      <c r="DQ23" s="1529">
        <f t="shared" si="70"/>
        <v>0.21282798833819241</v>
      </c>
      <c r="DS23" s="1583" t="s">
        <v>603</v>
      </c>
      <c r="DT23" s="1736"/>
      <c r="DU23" s="1580">
        <f t="shared" si="74"/>
        <v>0.47139288993066586</v>
      </c>
      <c r="DV23" s="1943">
        <f t="shared" si="71"/>
        <v>26</v>
      </c>
      <c r="DW23" s="1730">
        <f t="shared" si="72"/>
        <v>3.684210526315785E-2</v>
      </c>
      <c r="DX23" s="1860">
        <f t="shared" si="73"/>
        <v>-3.6280020439448135</v>
      </c>
      <c r="DY23" s="1683">
        <f>_xlfn.XLOOKUP(E23,Cement!$Q$7:$Q$35,Cement!$D$7:$D$35,"")</f>
        <v>2.4925158637289426</v>
      </c>
      <c r="DZ23" s="1583" t="s">
        <v>197</v>
      </c>
    </row>
    <row r="24" spans="2:130" ht="68" customHeight="1">
      <c r="B24" s="1118">
        <f>_xlfn.XLOOKUP(E24,Cement!$Q$7:$Q$35,Cement!$A$7:$A$35,"")</f>
        <v>-0.3801749626398081</v>
      </c>
      <c r="C24" s="394">
        <f>_xlfn.XLOOKUP(E24,Cement!$Q$7:$Q$35,Cement!$S$7:$S$35,"")</f>
        <v>20383.665288</v>
      </c>
      <c r="D24" s="223" t="s">
        <v>68</v>
      </c>
      <c r="E24" s="1949" t="s">
        <v>69</v>
      </c>
      <c r="F24" s="982">
        <f>_xlfn.XLOOKUP(E24,Cement!$Q$7:$Q$35,Cement!$R$7:$R$35,"")</f>
        <v>12</v>
      </c>
      <c r="G24" s="1204">
        <f>_xlfn.XLOOKUP(E24,Cement!$Q$7:$Q$35,Cement!$AP$7:$AP$35,"")</f>
        <v>6056</v>
      </c>
      <c r="H24" s="1212">
        <v>39</v>
      </c>
      <c r="I24" s="1713">
        <f t="shared" si="3"/>
        <v>6017</v>
      </c>
      <c r="J24" s="1712">
        <f t="shared" si="4"/>
        <v>6.4398943196829588E-3</v>
      </c>
      <c r="K24" s="1761">
        <v>4</v>
      </c>
      <c r="L24" s="1728">
        <f t="shared" si="5"/>
        <v>4</v>
      </c>
      <c r="M24" s="689">
        <v>2104</v>
      </c>
      <c r="N24" s="689">
        <v>3063</v>
      </c>
      <c r="O24" s="1718">
        <v>69</v>
      </c>
      <c r="P24" s="1713">
        <f t="shared" si="6"/>
        <v>2994</v>
      </c>
      <c r="Q24" s="1712">
        <f t="shared" si="7"/>
        <v>2.2526934378060724E-2</v>
      </c>
      <c r="R24" s="557">
        <f t="shared" si="8"/>
        <v>9189</v>
      </c>
      <c r="S24" s="553">
        <f t="shared" si="9"/>
        <v>0.45579847908745247</v>
      </c>
      <c r="T24" s="553">
        <f t="shared" si="10"/>
        <v>0.34742404227212681</v>
      </c>
      <c r="U24" s="558">
        <f t="shared" si="11"/>
        <v>8816.3155893536132</v>
      </c>
      <c r="V24" s="591">
        <f t="shared" si="12"/>
        <v>959</v>
      </c>
      <c r="W24" s="559">
        <f t="shared" si="13"/>
        <v>7015</v>
      </c>
      <c r="X24" s="1170">
        <f t="shared" si="14"/>
        <v>8459.1577946768066</v>
      </c>
      <c r="Y24" s="1244">
        <f t="shared" si="15"/>
        <v>0.39682262131387164</v>
      </c>
      <c r="Z24" s="658"/>
      <c r="AA24" s="63">
        <v>2995</v>
      </c>
      <c r="AB24" s="1147">
        <v>2995</v>
      </c>
      <c r="AC24" s="63">
        <v>216</v>
      </c>
      <c r="AD24" s="63">
        <v>536</v>
      </c>
      <c r="AE24" s="63">
        <v>807</v>
      </c>
      <c r="AF24" s="63">
        <v>1078</v>
      </c>
      <c r="AG24" s="63">
        <v>1463</v>
      </c>
      <c r="AH24" s="63">
        <v>1848</v>
      </c>
      <c r="AI24" s="63">
        <v>2230</v>
      </c>
      <c r="AJ24" s="63">
        <v>2599</v>
      </c>
      <c r="AK24" s="63">
        <v>2932</v>
      </c>
      <c r="AL24" s="63">
        <v>3300</v>
      </c>
      <c r="AM24" s="63">
        <v>3643</v>
      </c>
      <c r="AN24" s="1140">
        <v>4061</v>
      </c>
      <c r="AO24" s="1594">
        <f>AN24+AB24-AA24</f>
        <v>4061</v>
      </c>
      <c r="AP24" s="1147">
        <v>4061</v>
      </c>
      <c r="AQ24" s="1494"/>
      <c r="AR24" s="1901">
        <v>0</v>
      </c>
      <c r="AS24" s="63">
        <v>388</v>
      </c>
      <c r="AT24" s="1427">
        <f t="shared" si="17"/>
        <v>0.79629629629629628</v>
      </c>
      <c r="AU24" s="1351">
        <f t="shared" si="18"/>
        <v>0.79629629629629628</v>
      </c>
      <c r="AV24" s="63">
        <v>885</v>
      </c>
      <c r="AW24" s="1427">
        <f t="shared" si="19"/>
        <v>0.55312499999999998</v>
      </c>
      <c r="AX24" s="1351">
        <f t="shared" si="20"/>
        <v>0.65111940298507465</v>
      </c>
      <c r="AY24" s="63">
        <v>1574</v>
      </c>
      <c r="AZ24" s="1427">
        <f t="shared" si="21"/>
        <v>1.5424354243542435</v>
      </c>
      <c r="BA24" s="1351">
        <f t="shared" si="22"/>
        <v>0.95043370508054525</v>
      </c>
      <c r="BB24" s="63">
        <v>2104</v>
      </c>
      <c r="BC24" s="1427">
        <f t="shared" si="23"/>
        <v>0.955719557195572</v>
      </c>
      <c r="BD24" s="1351">
        <f t="shared" si="24"/>
        <v>0.95176252319109467</v>
      </c>
      <c r="BE24" s="63">
        <v>2597</v>
      </c>
      <c r="BF24" s="1427">
        <f t="shared" si="25"/>
        <v>0.2805194805194805</v>
      </c>
      <c r="BG24" s="1351">
        <f t="shared" si="26"/>
        <v>0.77511961722488043</v>
      </c>
      <c r="BH24" s="63">
        <v>3086</v>
      </c>
      <c r="BI24" s="1427">
        <f t="shared" si="27"/>
        <v>0.27012987012987011</v>
      </c>
      <c r="BJ24" s="1351">
        <f t="shared" si="28"/>
        <v>0.66991341991341991</v>
      </c>
      <c r="BK24" s="63">
        <v>3621</v>
      </c>
      <c r="BL24" s="1427">
        <f t="shared" si="29"/>
        <v>0.40052356020942409</v>
      </c>
      <c r="BM24" s="1351">
        <f t="shared" si="30"/>
        <v>0.62376681614349772</v>
      </c>
      <c r="BN24" s="63">
        <v>4133</v>
      </c>
      <c r="BO24" s="1427">
        <f t="shared" si="31"/>
        <v>0.38753387533875339</v>
      </c>
      <c r="BP24" s="1351">
        <f t="shared" si="32"/>
        <v>0.59022701038861103</v>
      </c>
      <c r="BQ24" s="63">
        <v>4609</v>
      </c>
      <c r="BR24" s="1427">
        <f t="shared" si="33"/>
        <v>0.42942942942942941</v>
      </c>
      <c r="BS24" s="1351">
        <f t="shared" si="34"/>
        <v>0.57196452933151432</v>
      </c>
      <c r="BT24" s="63">
        <v>5066</v>
      </c>
      <c r="BU24" s="1427">
        <f t="shared" si="35"/>
        <v>0.24184782608695651</v>
      </c>
      <c r="BV24" s="1351">
        <f t="shared" si="36"/>
        <v>0.53515151515151516</v>
      </c>
      <c r="BW24" s="63">
        <v>5554</v>
      </c>
      <c r="BX24" s="1427">
        <f t="shared" si="37"/>
        <v>0.42274052478134111</v>
      </c>
      <c r="BY24" s="1351">
        <f t="shared" si="38"/>
        <v>0.524567664013176</v>
      </c>
      <c r="BZ24" s="1140">
        <v>6056</v>
      </c>
      <c r="CA24" s="1427">
        <f t="shared" si="39"/>
        <v>0.20095693779904306</v>
      </c>
      <c r="CB24" s="1351">
        <f t="shared" si="40"/>
        <v>0.49125831076089632</v>
      </c>
      <c r="CC24" s="1901">
        <v>0</v>
      </c>
      <c r="CD24" s="1594">
        <f>BZ24</f>
        <v>6056</v>
      </c>
      <c r="CE24" s="1939">
        <f t="shared" si="42"/>
        <v>0.49125831076089632</v>
      </c>
      <c r="CF24" s="1940">
        <f t="shared" si="43"/>
        <v>22</v>
      </c>
      <c r="CG24" s="1895"/>
      <c r="CH24" s="1815">
        <v>402</v>
      </c>
      <c r="CI24" s="2039">
        <f t="shared" si="44"/>
        <v>3.608247422680412E-2</v>
      </c>
      <c r="CJ24" s="2041">
        <f t="shared" si="45"/>
        <v>3.608247422680412E-2</v>
      </c>
      <c r="CK24" s="1815">
        <v>1409</v>
      </c>
      <c r="CL24" s="2039">
        <f t="shared" si="46"/>
        <v>1.0261569416498995</v>
      </c>
      <c r="CM24" s="2041">
        <f t="shared" si="47"/>
        <v>0.59209039548022602</v>
      </c>
      <c r="CN24" s="1815">
        <v>2250</v>
      </c>
      <c r="CO24" s="2039">
        <f t="shared" si="48"/>
        <v>0.22060957910014514</v>
      </c>
      <c r="CP24" s="2041">
        <f t="shared" si="49"/>
        <v>0.42947903430749684</v>
      </c>
      <c r="CQ24" s="1815">
        <v>3063</v>
      </c>
      <c r="CR24" s="2039">
        <f t="shared" si="50"/>
        <v>0.53396226415094339</v>
      </c>
      <c r="CS24" s="2041">
        <f t="shared" si="51"/>
        <v>0.45579847908745247</v>
      </c>
      <c r="CU24" s="1948">
        <f t="shared" si="52"/>
        <v>2.6319444779955625E-2</v>
      </c>
      <c r="CV24" s="1940">
        <f t="shared" si="53"/>
        <v>20</v>
      </c>
      <c r="CW24" s="1580">
        <f t="shared" si="54"/>
        <v>0.47139288993066586</v>
      </c>
      <c r="CX24" s="1799">
        <v>14207.604101000001</v>
      </c>
      <c r="CY24" s="1794">
        <f>_xlfn.XLOOKUP(E24,Cement!$Q$7:$Q$35,Cement!$S$7:$S$35)</f>
        <v>20383.665288</v>
      </c>
      <c r="CZ24" s="1245" t="s">
        <v>602</v>
      </c>
      <c r="DA24" s="1802">
        <v>0.9</v>
      </c>
      <c r="DB24" s="1529">
        <f t="shared" si="55"/>
        <v>0.79629629629629628</v>
      </c>
      <c r="DC24" s="1529">
        <f t="shared" si="56"/>
        <v>0.65111940298507465</v>
      </c>
      <c r="DD24" s="1529">
        <f t="shared" si="57"/>
        <v>0.95043370508054525</v>
      </c>
      <c r="DE24" s="1529">
        <f t="shared" si="58"/>
        <v>0.95176252319109467</v>
      </c>
      <c r="DF24" s="1529">
        <f t="shared" si="59"/>
        <v>0.77511961722488043</v>
      </c>
      <c r="DG24" s="1529">
        <f t="shared" si="60"/>
        <v>0.66991341991341991</v>
      </c>
      <c r="DH24" s="1529">
        <f t="shared" si="61"/>
        <v>0.62376681614349772</v>
      </c>
      <c r="DI24" s="1529">
        <f t="shared" si="62"/>
        <v>0.59022701038861103</v>
      </c>
      <c r="DJ24" s="1529">
        <f t="shared" si="63"/>
        <v>0.57196452933151432</v>
      </c>
      <c r="DK24" s="1529">
        <f t="shared" si="64"/>
        <v>0.53515151515151516</v>
      </c>
      <c r="DL24" s="1529">
        <f t="shared" si="65"/>
        <v>0.524567664013176</v>
      </c>
      <c r="DM24" s="1529">
        <f t="shared" si="66"/>
        <v>0.49125831076089632</v>
      </c>
      <c r="DN24" s="1529">
        <f t="shared" si="67"/>
        <v>3.608247422680412E-2</v>
      </c>
      <c r="DO24" s="1529">
        <f t="shared" si="68"/>
        <v>0.59209039548022602</v>
      </c>
      <c r="DP24" s="1529">
        <f t="shared" si="69"/>
        <v>0.42947903430749684</v>
      </c>
      <c r="DQ24" s="1529">
        <f t="shared" si="70"/>
        <v>0.45579847908745247</v>
      </c>
      <c r="DS24" s="1583" t="s">
        <v>606</v>
      </c>
      <c r="DT24" s="1736"/>
      <c r="DU24" s="1580">
        <f t="shared" si="74"/>
        <v>0.47139288993066586</v>
      </c>
      <c r="DV24" s="1943">
        <f t="shared" si="71"/>
        <v>20</v>
      </c>
      <c r="DW24" s="1730">
        <f t="shared" si="72"/>
        <v>0.43470110393667977</v>
      </c>
      <c r="DX24" s="1860">
        <f t="shared" si="73"/>
        <v>1.6087040058377764</v>
      </c>
      <c r="DY24" s="1683">
        <f>_xlfn.XLOOKUP(E24,Cement!$Q$7:$Q$35,Cement!$D$7:$D$35,"")</f>
        <v>1.8721796046337422</v>
      </c>
      <c r="DZ24" s="1583" t="s">
        <v>606</v>
      </c>
    </row>
    <row r="25" spans="2:130" ht="68" customHeight="1">
      <c r="B25" s="1118">
        <f>_xlfn.XLOOKUP(E25,Cement!$Q$7:$Q$35,Cement!$A$7:$A$35,"")</f>
        <v>-2.4994308049222735</v>
      </c>
      <c r="C25" s="394">
        <f>_xlfn.XLOOKUP(E25,Cement!$Q$7:$Q$35,Cement!$S$7:$S$35,"")</f>
        <v>14227.2</v>
      </c>
      <c r="D25" s="223" t="s">
        <v>58</v>
      </c>
      <c r="E25" s="1949" t="s">
        <v>59</v>
      </c>
      <c r="F25" s="982">
        <f>_xlfn.XLOOKUP(E25,Cement!$Q$7:$Q$35,Cement!$R$7:$R$35,"")</f>
        <v>9</v>
      </c>
      <c r="G25" s="1204">
        <f>_xlfn.XLOOKUP(E25,Cement!$Q$7:$Q$35,Cement!$AP$7:$AP$35,"")</f>
        <v>3939</v>
      </c>
      <c r="H25" s="1212">
        <v>526</v>
      </c>
      <c r="I25" s="1713">
        <f t="shared" si="3"/>
        <v>3413</v>
      </c>
      <c r="J25" s="1712">
        <f t="shared" si="4"/>
        <v>0.13353643056613354</v>
      </c>
      <c r="K25" s="1762">
        <v>4</v>
      </c>
      <c r="L25" s="1728">
        <f t="shared" si="5"/>
        <v>7</v>
      </c>
      <c r="M25" s="689">
        <v>2418</v>
      </c>
      <c r="N25" s="689">
        <v>3086</v>
      </c>
      <c r="O25" s="1718">
        <v>572</v>
      </c>
      <c r="P25" s="1713">
        <f t="shared" si="6"/>
        <v>2514</v>
      </c>
      <c r="Q25" s="1712">
        <f t="shared" si="7"/>
        <v>0.18535320803629293</v>
      </c>
      <c r="R25" s="557">
        <f t="shared" si="8"/>
        <v>5290.2857142857138</v>
      </c>
      <c r="S25" s="553">
        <f t="shared" si="9"/>
        <v>0.27626137303556658</v>
      </c>
      <c r="T25" s="553">
        <f t="shared" si="10"/>
        <v>0.61386138613861385</v>
      </c>
      <c r="U25" s="558">
        <f t="shared" si="11"/>
        <v>5027.1935483870966</v>
      </c>
      <c r="V25" s="591">
        <f t="shared" si="12"/>
        <v>668</v>
      </c>
      <c r="W25" s="559">
        <f t="shared" si="13"/>
        <v>4607</v>
      </c>
      <c r="X25" s="1170">
        <f t="shared" si="14"/>
        <v>4987.9182027649767</v>
      </c>
      <c r="Y25" s="1244">
        <f t="shared" si="15"/>
        <v>0.26629048051916138</v>
      </c>
      <c r="Z25" s="658"/>
      <c r="AA25" s="63">
        <v>702</v>
      </c>
      <c r="AB25" s="1147">
        <v>1786</v>
      </c>
      <c r="AC25" s="63">
        <v>856</v>
      </c>
      <c r="AD25" s="63">
        <v>1169</v>
      </c>
      <c r="AE25" s="63">
        <v>1366</v>
      </c>
      <c r="AF25" s="63">
        <v>1522</v>
      </c>
      <c r="AG25" s="63">
        <v>1686</v>
      </c>
      <c r="AH25" s="63">
        <v>1917</v>
      </c>
      <c r="AI25" s="63">
        <v>1981</v>
      </c>
      <c r="AJ25" s="63">
        <v>2459</v>
      </c>
      <c r="AK25" s="1140">
        <v>2726</v>
      </c>
      <c r="AL25" s="1613">
        <v>347</v>
      </c>
      <c r="AM25" s="1613">
        <v>687</v>
      </c>
      <c r="AN25" s="1613">
        <v>1018</v>
      </c>
      <c r="AO25" s="1594">
        <f>AJ25-AA25+AN25</f>
        <v>2775</v>
      </c>
      <c r="AP25" s="1147">
        <v>2661</v>
      </c>
      <c r="AQ25" s="1494"/>
      <c r="AR25" s="1902">
        <v>1018</v>
      </c>
      <c r="AS25" s="1613">
        <v>1232</v>
      </c>
      <c r="AT25" s="1427">
        <f t="shared" si="17"/>
        <v>0.38961038961038963</v>
      </c>
      <c r="AU25" s="1351">
        <f t="shared" si="18"/>
        <v>0.43925233644859812</v>
      </c>
      <c r="AV25" s="1613">
        <v>1577</v>
      </c>
      <c r="AW25" s="1427">
        <f t="shared" si="19"/>
        <v>0.10223642172523961</v>
      </c>
      <c r="AX25" s="1351">
        <f t="shared" si="20"/>
        <v>0.34901625320787</v>
      </c>
      <c r="AY25" s="1613">
        <v>1907</v>
      </c>
      <c r="AZ25" s="1427">
        <f t="shared" si="21"/>
        <v>0.67512690355329952</v>
      </c>
      <c r="BA25" s="1351">
        <f t="shared" si="22"/>
        <v>0.39604685212298685</v>
      </c>
      <c r="BB25" s="1613">
        <v>2151</v>
      </c>
      <c r="BC25" s="1427">
        <f t="shared" si="23"/>
        <v>0.5641025641025641</v>
      </c>
      <c r="BD25" s="1351">
        <f t="shared" si="24"/>
        <v>0.41327201051248358</v>
      </c>
      <c r="BE25" s="1613">
        <v>2412</v>
      </c>
      <c r="BF25" s="1427">
        <f t="shared" si="25"/>
        <v>0.59146341463414631</v>
      </c>
      <c r="BG25" s="1351">
        <f t="shared" si="26"/>
        <v>0.4306049822064057</v>
      </c>
      <c r="BH25" s="1613">
        <v>2729</v>
      </c>
      <c r="BI25" s="1427">
        <f t="shared" si="27"/>
        <v>0.37229437229437229</v>
      </c>
      <c r="BJ25" s="1351">
        <f t="shared" si="28"/>
        <v>0.42357850808555036</v>
      </c>
      <c r="BK25" s="1613">
        <v>3081</v>
      </c>
      <c r="BL25" s="1427">
        <f t="shared" si="29"/>
        <v>4.5</v>
      </c>
      <c r="BM25" s="1351">
        <f t="shared" si="30"/>
        <v>0.5552751135790005</v>
      </c>
      <c r="BN25" s="1613">
        <v>3566</v>
      </c>
      <c r="BO25" s="1427">
        <f t="shared" si="31"/>
        <v>1.4644351464435146E-2</v>
      </c>
      <c r="BP25" s="1351">
        <f t="shared" si="32"/>
        <v>0.45018300122000815</v>
      </c>
      <c r="BQ25" s="1140">
        <v>3939</v>
      </c>
      <c r="BR25" s="1427">
        <f t="shared" si="33"/>
        <v>0.39700374531835209</v>
      </c>
      <c r="BS25" s="1351">
        <f t="shared" si="34"/>
        <v>0.44497432134996334</v>
      </c>
      <c r="BT25" s="63">
        <v>617</v>
      </c>
      <c r="BU25" s="1427">
        <f t="shared" si="35"/>
        <v>0.77809798270893371</v>
      </c>
      <c r="BV25" s="1351">
        <f t="shared" si="36"/>
        <v>0.77809798270893371</v>
      </c>
      <c r="BW25" s="63">
        <v>1312</v>
      </c>
      <c r="BX25" s="1427">
        <f t="shared" si="37"/>
        <v>1.0441176470588236</v>
      </c>
      <c r="BY25" s="1351">
        <f t="shared" si="38"/>
        <v>0.90975254730713251</v>
      </c>
      <c r="BZ25" s="63">
        <v>1555</v>
      </c>
      <c r="CA25" s="1427">
        <f t="shared" si="39"/>
        <v>-0.26586102719033233</v>
      </c>
      <c r="CB25" s="1351">
        <f t="shared" si="40"/>
        <v>0.5275049115913556</v>
      </c>
      <c r="CC25" s="1901">
        <v>1555</v>
      </c>
      <c r="CD25" s="1594">
        <f>BQ25+BZ25-AR25</f>
        <v>4476</v>
      </c>
      <c r="CE25" s="1939">
        <f t="shared" si="42"/>
        <v>0.61297297297297293</v>
      </c>
      <c r="CF25" s="1940">
        <f t="shared" si="43"/>
        <v>14</v>
      </c>
      <c r="CG25" s="1896"/>
      <c r="CH25" s="1815">
        <v>1844</v>
      </c>
      <c r="CI25" s="2039">
        <f t="shared" si="44"/>
        <v>0.35046728971962615</v>
      </c>
      <c r="CJ25" s="2041">
        <f t="shared" si="45"/>
        <v>0.49675324675324678</v>
      </c>
      <c r="CK25" s="1815">
        <v>2289</v>
      </c>
      <c r="CL25" s="2039">
        <f t="shared" si="46"/>
        <v>0.28985507246376813</v>
      </c>
      <c r="CM25" s="2041">
        <f t="shared" si="47"/>
        <v>0.45149017121116042</v>
      </c>
      <c r="CN25" s="1815">
        <v>2683</v>
      </c>
      <c r="CO25" s="2039">
        <f t="shared" si="48"/>
        <v>0.19393939393939394</v>
      </c>
      <c r="CP25" s="2041">
        <f t="shared" si="49"/>
        <v>0.40692186680650239</v>
      </c>
      <c r="CQ25" s="1815">
        <v>3086</v>
      </c>
      <c r="CR25" s="2039">
        <f t="shared" si="50"/>
        <v>0.65163934426229508</v>
      </c>
      <c r="CS25" s="2041">
        <f t="shared" si="51"/>
        <v>0.43468154346815435</v>
      </c>
      <c r="CU25" s="1948">
        <f t="shared" si="52"/>
        <v>2.7759676661651966E-2</v>
      </c>
      <c r="CV25" s="1940">
        <f t="shared" si="53"/>
        <v>22</v>
      </c>
      <c r="CW25" s="1580">
        <f t="shared" si="54"/>
        <v>0.90908566642565003</v>
      </c>
      <c r="CX25" s="1799">
        <v>12923.04</v>
      </c>
      <c r="CY25" s="1794">
        <f>_xlfn.XLOOKUP(E25,Cement!$Q$7:$Q$35,Cement!$S$7:$S$35)</f>
        <v>14227.2</v>
      </c>
      <c r="CZ25" s="1245" t="s">
        <v>608</v>
      </c>
      <c r="DA25" s="1802">
        <v>0.9</v>
      </c>
      <c r="DB25" s="1529">
        <f t="shared" si="55"/>
        <v>0.43925233644859812</v>
      </c>
      <c r="DC25" s="1529">
        <f t="shared" si="56"/>
        <v>0.34901625320787</v>
      </c>
      <c r="DD25" s="1529">
        <f t="shared" si="57"/>
        <v>0.39604685212298685</v>
      </c>
      <c r="DE25" s="1529">
        <f t="shared" si="58"/>
        <v>0.41327201051248358</v>
      </c>
      <c r="DF25" s="1529">
        <f t="shared" si="59"/>
        <v>0.4306049822064057</v>
      </c>
      <c r="DG25" s="1529">
        <f t="shared" si="60"/>
        <v>0.42357850808555036</v>
      </c>
      <c r="DH25" s="1529">
        <f t="shared" si="61"/>
        <v>0.5552751135790005</v>
      </c>
      <c r="DI25" s="1529">
        <f t="shared" si="62"/>
        <v>0.45018300122000815</v>
      </c>
      <c r="DJ25" s="1529">
        <f t="shared" si="63"/>
        <v>0.44497432134996334</v>
      </c>
      <c r="DK25" s="1529">
        <f t="shared" si="64"/>
        <v>0.77809798270893371</v>
      </c>
      <c r="DL25" s="1529">
        <f t="shared" si="65"/>
        <v>0.90975254730713251</v>
      </c>
      <c r="DM25" s="1529">
        <f t="shared" si="66"/>
        <v>0.5275049115913556</v>
      </c>
      <c r="DN25" s="1529">
        <f t="shared" si="67"/>
        <v>0.49675324675324678</v>
      </c>
      <c r="DO25" s="1529">
        <f t="shared" si="68"/>
        <v>0.45149017121116042</v>
      </c>
      <c r="DP25" s="1529">
        <f t="shared" si="69"/>
        <v>0.40692186680650239</v>
      </c>
      <c r="DQ25" s="1529">
        <f t="shared" si="70"/>
        <v>0.43468154346815435</v>
      </c>
      <c r="DS25" s="1583" t="s">
        <v>606</v>
      </c>
      <c r="DT25" s="1736"/>
      <c r="DU25" s="1580">
        <f t="shared" si="74"/>
        <v>0.90908566642565003</v>
      </c>
      <c r="DV25" s="1943">
        <f t="shared" si="71"/>
        <v>22</v>
      </c>
      <c r="DW25" s="1730">
        <f t="shared" si="72"/>
        <v>0.10091743119266053</v>
      </c>
      <c r="DX25" s="1860">
        <f t="shared" si="73"/>
        <v>5.1816777470159394</v>
      </c>
      <c r="DY25" s="1683">
        <f>_xlfn.XLOOKUP(E25,Cement!$Q$7:$Q$35,Cement!$D$7:$D$35,"")</f>
        <v>11.760964923877896</v>
      </c>
      <c r="DZ25" s="1583" t="s">
        <v>606</v>
      </c>
    </row>
    <row r="26" spans="2:130" ht="68" customHeight="1">
      <c r="B26" s="1118">
        <f>_xlfn.XLOOKUP(E26,Cement!$Q$7:$Q$35,Cement!$A$7:$A$35,"")</f>
        <v>-5.0680802798950131</v>
      </c>
      <c r="C26" s="394">
        <f>_xlfn.XLOOKUP(E26,Cement!$Q$7:$Q$35,Cement!$S$7:$S$35,"")</f>
        <v>12226.4</v>
      </c>
      <c r="D26" s="223" t="s">
        <v>30</v>
      </c>
      <c r="E26" s="1949" t="s">
        <v>31</v>
      </c>
      <c r="F26" s="982">
        <f>_xlfn.XLOOKUP(E26,Cement!$Q$7:$Q$35,Cement!$R$7:$R$35,"")</f>
        <v>6</v>
      </c>
      <c r="G26" s="1204">
        <f>_xlfn.XLOOKUP(E26,Cement!$Q$7:$Q$35,Cement!$AP$7:$AP$35,"")</f>
        <v>2170</v>
      </c>
      <c r="H26" s="1211">
        <v>43</v>
      </c>
      <c r="I26" s="1713">
        <f t="shared" si="3"/>
        <v>2127</v>
      </c>
      <c r="J26" s="1712">
        <f t="shared" si="4"/>
        <v>1.9815668202764977E-2</v>
      </c>
      <c r="K26" s="1762">
        <v>4</v>
      </c>
      <c r="L26" s="1728">
        <f t="shared" si="5"/>
        <v>10</v>
      </c>
      <c r="M26" s="689">
        <v>1779</v>
      </c>
      <c r="N26" s="689">
        <v>3164</v>
      </c>
      <c r="O26" s="1718">
        <v>381</v>
      </c>
      <c r="P26" s="1713">
        <f t="shared" si="6"/>
        <v>2783</v>
      </c>
      <c r="Q26" s="1712">
        <f t="shared" si="7"/>
        <v>0.12041719342604298</v>
      </c>
      <c r="R26" s="557">
        <f t="shared" si="8"/>
        <v>3796.7999999999997</v>
      </c>
      <c r="S26" s="553">
        <f t="shared" si="9"/>
        <v>0.77852726250702642</v>
      </c>
      <c r="T26" s="553">
        <f t="shared" si="10"/>
        <v>0.81981566820276497</v>
      </c>
      <c r="U26" s="558">
        <f t="shared" si="11"/>
        <v>3859.4041596402471</v>
      </c>
      <c r="V26" s="591">
        <f t="shared" si="12"/>
        <v>1385</v>
      </c>
      <c r="W26" s="559">
        <f t="shared" si="13"/>
        <v>3555</v>
      </c>
      <c r="X26" s="1170">
        <f t="shared" si="14"/>
        <v>3767.6520798201236</v>
      </c>
      <c r="Y26" s="1244">
        <f t="shared" si="15"/>
        <v>0.73624519807378963</v>
      </c>
      <c r="Z26" s="658"/>
      <c r="AA26" s="63">
        <v>700</v>
      </c>
      <c r="AB26" s="1147">
        <v>1337</v>
      </c>
      <c r="AC26" s="63">
        <v>796</v>
      </c>
      <c r="AD26" s="63">
        <v>909</v>
      </c>
      <c r="AE26" s="63">
        <v>1030</v>
      </c>
      <c r="AF26" s="63">
        <v>1124</v>
      </c>
      <c r="AG26" s="63">
        <v>1228</v>
      </c>
      <c r="AH26" s="1140">
        <v>1337</v>
      </c>
      <c r="AI26" s="63">
        <v>158</v>
      </c>
      <c r="AJ26" s="63">
        <v>311</v>
      </c>
      <c r="AK26" s="63">
        <v>441</v>
      </c>
      <c r="AL26" s="63">
        <v>589</v>
      </c>
      <c r="AM26" s="63">
        <v>734</v>
      </c>
      <c r="AN26" s="63">
        <v>905</v>
      </c>
      <c r="AO26" s="1594">
        <f>AH26-AA26+AN26</f>
        <v>1542</v>
      </c>
      <c r="AP26" s="1147">
        <v>1337</v>
      </c>
      <c r="AQ26" s="1494"/>
      <c r="AR26" s="1901">
        <v>905</v>
      </c>
      <c r="AS26" s="63">
        <v>1046</v>
      </c>
      <c r="AT26" s="1427">
        <f t="shared" si="17"/>
        <v>0.46875</v>
      </c>
      <c r="AU26" s="1351">
        <f t="shared" si="18"/>
        <v>0.314070351758794</v>
      </c>
      <c r="AV26" s="63">
        <v>1225</v>
      </c>
      <c r="AW26" s="1427">
        <f t="shared" si="19"/>
        <v>0.58407079646017701</v>
      </c>
      <c r="AX26" s="1351">
        <f t="shared" si="20"/>
        <v>0.34763476347634764</v>
      </c>
      <c r="AY26" s="63">
        <v>1533</v>
      </c>
      <c r="AZ26" s="1427">
        <f t="shared" si="21"/>
        <v>1.5454545454545454</v>
      </c>
      <c r="BA26" s="1351">
        <f t="shared" si="22"/>
        <v>0.48834951456310682</v>
      </c>
      <c r="BB26" s="63">
        <v>1779</v>
      </c>
      <c r="BC26" s="1427">
        <f t="shared" si="23"/>
        <v>1.6170212765957446</v>
      </c>
      <c r="BD26" s="1351">
        <f t="shared" si="24"/>
        <v>0.58274021352313166</v>
      </c>
      <c r="BE26" s="63">
        <v>1952</v>
      </c>
      <c r="BF26" s="1427">
        <f t="shared" si="25"/>
        <v>0.66346153846153844</v>
      </c>
      <c r="BG26" s="1351">
        <f t="shared" si="26"/>
        <v>0.5895765472312704</v>
      </c>
      <c r="BH26" s="1140">
        <v>2170</v>
      </c>
      <c r="BI26" s="1427">
        <f t="shared" si="27"/>
        <v>1</v>
      </c>
      <c r="BJ26" s="1351">
        <f t="shared" si="28"/>
        <v>0.62303664921465973</v>
      </c>
      <c r="BK26" s="63">
        <v>313</v>
      </c>
      <c r="BL26" s="1427">
        <f t="shared" si="29"/>
        <v>0.98101265822784811</v>
      </c>
      <c r="BM26" s="1351">
        <f t="shared" si="30"/>
        <v>0.98101265822784811</v>
      </c>
      <c r="BN26" s="63">
        <v>619</v>
      </c>
      <c r="BO26" s="1427">
        <f t="shared" si="31"/>
        <v>1</v>
      </c>
      <c r="BP26" s="1351">
        <f t="shared" si="32"/>
        <v>0.99035369774919613</v>
      </c>
      <c r="BQ26" s="63">
        <v>895</v>
      </c>
      <c r="BR26" s="1427">
        <f t="shared" si="33"/>
        <v>1.1230769230769231</v>
      </c>
      <c r="BS26" s="1351">
        <f t="shared" si="34"/>
        <v>1.0294784580498866</v>
      </c>
      <c r="BT26" s="63">
        <v>1106</v>
      </c>
      <c r="BU26" s="1427">
        <f t="shared" si="35"/>
        <v>0.42567567567567566</v>
      </c>
      <c r="BV26" s="1351">
        <f t="shared" si="36"/>
        <v>0.87775891341256362</v>
      </c>
      <c r="BW26" s="63">
        <v>1358</v>
      </c>
      <c r="BX26" s="1427">
        <f t="shared" si="37"/>
        <v>0.73793103448275865</v>
      </c>
      <c r="BY26" s="1351">
        <f t="shared" si="38"/>
        <v>0.85013623978201636</v>
      </c>
      <c r="BZ26" s="63">
        <v>1671</v>
      </c>
      <c r="CA26" s="1427">
        <f t="shared" si="39"/>
        <v>0.83040935672514615</v>
      </c>
      <c r="CB26" s="1351">
        <f t="shared" si="40"/>
        <v>0.8464088397790055</v>
      </c>
      <c r="CC26" s="1901">
        <v>1671</v>
      </c>
      <c r="CD26" s="1594">
        <f>BZ26+BH26-AR26</f>
        <v>2936</v>
      </c>
      <c r="CE26" s="1939">
        <f t="shared" si="42"/>
        <v>0.90402075226977952</v>
      </c>
      <c r="CF26" s="1940">
        <f t="shared" si="43"/>
        <v>5</v>
      </c>
      <c r="CG26" s="1895"/>
      <c r="CH26" s="1815">
        <v>1919</v>
      </c>
      <c r="CI26" s="2039">
        <f t="shared" si="44"/>
        <v>0.75886524822695034</v>
      </c>
      <c r="CJ26" s="2041">
        <f t="shared" si="45"/>
        <v>0.83460803059273425</v>
      </c>
      <c r="CK26" s="1815">
        <v>2353</v>
      </c>
      <c r="CL26" s="2039">
        <f t="shared" si="46"/>
        <v>1.4245810055865922</v>
      </c>
      <c r="CM26" s="2041">
        <f t="shared" si="47"/>
        <v>0.92081632653061229</v>
      </c>
      <c r="CN26" s="1815">
        <v>2751</v>
      </c>
      <c r="CO26" s="2039">
        <f t="shared" si="48"/>
        <v>0.29220779220779219</v>
      </c>
      <c r="CP26" s="2041">
        <f t="shared" si="49"/>
        <v>0.79452054794520544</v>
      </c>
      <c r="CQ26" s="1815">
        <v>3164</v>
      </c>
      <c r="CR26" s="2039">
        <f t="shared" si="50"/>
        <v>0.67886178861788615</v>
      </c>
      <c r="CS26" s="2041">
        <f t="shared" si="51"/>
        <v>0.77852726250702642</v>
      </c>
      <c r="CU26" s="1948">
        <f t="shared" si="52"/>
        <v>-1.5993285438179017E-2</v>
      </c>
      <c r="CV26" s="1940">
        <f t="shared" si="53"/>
        <v>8</v>
      </c>
      <c r="CW26" s="1580">
        <f t="shared" si="54"/>
        <v>0.90908566642565003</v>
      </c>
      <c r="CX26" s="1799">
        <v>5350</v>
      </c>
      <c r="CY26" s="1794">
        <f>_xlfn.XLOOKUP(E26,Cement!$Q$7:$Q$35,Cement!$S$7:$S$35)</f>
        <v>12226.4</v>
      </c>
      <c r="CZ26" s="1245" t="s">
        <v>608</v>
      </c>
      <c r="DA26" s="1802">
        <v>0.9</v>
      </c>
      <c r="DB26" s="1529">
        <f t="shared" si="55"/>
        <v>0.314070351758794</v>
      </c>
      <c r="DC26" s="1529">
        <f t="shared" si="56"/>
        <v>0.34763476347634764</v>
      </c>
      <c r="DD26" s="1529">
        <f t="shared" si="57"/>
        <v>0.48834951456310682</v>
      </c>
      <c r="DE26" s="1529">
        <f t="shared" si="58"/>
        <v>0.58274021352313166</v>
      </c>
      <c r="DF26" s="1529">
        <f t="shared" si="59"/>
        <v>0.5895765472312704</v>
      </c>
      <c r="DG26" s="1529">
        <f t="shared" si="60"/>
        <v>0.62303664921465973</v>
      </c>
      <c r="DH26" s="1529">
        <f t="shared" si="61"/>
        <v>0.98101265822784811</v>
      </c>
      <c r="DI26" s="1529">
        <f t="shared" si="62"/>
        <v>0.99035369774919613</v>
      </c>
      <c r="DJ26" s="1529">
        <f t="shared" si="63"/>
        <v>1.0294784580498866</v>
      </c>
      <c r="DK26" s="1529">
        <f t="shared" si="64"/>
        <v>0.87775891341256362</v>
      </c>
      <c r="DL26" s="1529">
        <f t="shared" si="65"/>
        <v>0.85013623978201636</v>
      </c>
      <c r="DM26" s="1529">
        <f t="shared" si="66"/>
        <v>0.8464088397790055</v>
      </c>
      <c r="DN26" s="1529">
        <f t="shared" si="67"/>
        <v>0.83460803059273425</v>
      </c>
      <c r="DO26" s="1529">
        <f t="shared" si="68"/>
        <v>0.92081632653061229</v>
      </c>
      <c r="DP26" s="1529">
        <f t="shared" si="69"/>
        <v>0.79452054794520544</v>
      </c>
      <c r="DQ26" s="1529">
        <f t="shared" si="70"/>
        <v>0.77852726250702642</v>
      </c>
      <c r="DS26" s="1583" t="s">
        <v>606</v>
      </c>
      <c r="DT26" s="1736"/>
      <c r="DU26" s="1580">
        <f t="shared" si="74"/>
        <v>0.90908566642565003</v>
      </c>
      <c r="DV26" s="1943">
        <f t="shared" si="71"/>
        <v>8</v>
      </c>
      <c r="DW26" s="1730">
        <f t="shared" si="72"/>
        <v>1.2853084112149531</v>
      </c>
      <c r="DX26" s="1860">
        <f t="shared" si="73"/>
        <v>10.060152522327801</v>
      </c>
      <c r="DY26" s="1683">
        <f>_xlfn.XLOOKUP(E26,Cement!$Q$7:$Q$35,Cement!$D$7:$D$35,"")</f>
        <v>-0.65627738272852021</v>
      </c>
      <c r="DZ26" s="1583" t="s">
        <v>603</v>
      </c>
    </row>
    <row r="27" spans="2:130" ht="68" customHeight="1">
      <c r="B27" s="1118">
        <f>_xlfn.XLOOKUP(E27,Cement!$Q$7:$Q$35,Cement!$A$7:$A$35,"")</f>
        <v>-5.1465409578434347</v>
      </c>
      <c r="C27" s="394">
        <f>_xlfn.XLOOKUP(E27,Cement!$Q$7:$Q$35,Cement!$S$7:$S$35,"")</f>
        <v>7305</v>
      </c>
      <c r="D27" s="223" t="s">
        <v>50</v>
      </c>
      <c r="E27" s="1949" t="s">
        <v>51</v>
      </c>
      <c r="F27" s="982">
        <f>_xlfn.XLOOKUP(E27,Cement!$Q$7:$Q$35,Cement!$R$7:$R$35,"")</f>
        <v>9</v>
      </c>
      <c r="G27" s="1204">
        <f>_xlfn.XLOOKUP(E27,Cement!$Q$7:$Q$35,Cement!$AP$7:$AP$35,"")</f>
        <v>1727</v>
      </c>
      <c r="H27" s="1211">
        <v>0</v>
      </c>
      <c r="I27" s="1713">
        <f t="shared" si="3"/>
        <v>1727</v>
      </c>
      <c r="J27" s="1712">
        <f t="shared" si="4"/>
        <v>0</v>
      </c>
      <c r="K27" s="1761">
        <v>4</v>
      </c>
      <c r="L27" s="1728">
        <f t="shared" si="5"/>
        <v>7</v>
      </c>
      <c r="M27" s="689">
        <v>883</v>
      </c>
      <c r="N27" s="689">
        <v>1400</v>
      </c>
      <c r="O27" s="1718">
        <v>0</v>
      </c>
      <c r="P27" s="1713">
        <f t="shared" si="6"/>
        <v>1400</v>
      </c>
      <c r="Q27" s="1712">
        <f t="shared" si="7"/>
        <v>0</v>
      </c>
      <c r="R27" s="557">
        <f t="shared" si="8"/>
        <v>2400</v>
      </c>
      <c r="S27" s="553">
        <f t="shared" si="9"/>
        <v>0.58550396375990943</v>
      </c>
      <c r="T27" s="553">
        <f t="shared" si="10"/>
        <v>0.5112912565141865</v>
      </c>
      <c r="U27" s="558">
        <f t="shared" si="11"/>
        <v>2738.1653454133634</v>
      </c>
      <c r="V27" s="591">
        <f t="shared" si="12"/>
        <v>517</v>
      </c>
      <c r="W27" s="559">
        <f t="shared" si="13"/>
        <v>2244</v>
      </c>
      <c r="X27" s="1170">
        <f t="shared" si="14"/>
        <v>2530.0826727066815</v>
      </c>
      <c r="Y27" s="1244">
        <f t="shared" si="15"/>
        <v>0.46501602357074784</v>
      </c>
      <c r="Z27" s="658"/>
      <c r="AA27" s="63">
        <v>178</v>
      </c>
      <c r="AB27" s="1147">
        <v>794</v>
      </c>
      <c r="AC27" s="63">
        <v>230</v>
      </c>
      <c r="AD27" s="63">
        <v>308</v>
      </c>
      <c r="AE27" s="63">
        <v>381</v>
      </c>
      <c r="AF27" s="63">
        <v>435</v>
      </c>
      <c r="AG27" s="63">
        <v>520</v>
      </c>
      <c r="AH27" s="63">
        <v>622</v>
      </c>
      <c r="AI27" s="63">
        <v>742</v>
      </c>
      <c r="AJ27" s="63">
        <v>859</v>
      </c>
      <c r="AK27" s="1792">
        <v>974</v>
      </c>
      <c r="AL27" s="63">
        <v>115</v>
      </c>
      <c r="AM27" s="63">
        <v>229</v>
      </c>
      <c r="AN27" s="63">
        <v>362</v>
      </c>
      <c r="AO27" s="1594">
        <f>AK27-AA27+AN27</f>
        <v>1158</v>
      </c>
      <c r="AP27" s="1147">
        <v>974</v>
      </c>
      <c r="AQ27" s="1494"/>
      <c r="AR27" s="1901">
        <v>362</v>
      </c>
      <c r="AS27" s="63">
        <v>454</v>
      </c>
      <c r="AT27" s="1427">
        <f t="shared" si="17"/>
        <v>0.76923076923076927</v>
      </c>
      <c r="AU27" s="1351">
        <f t="shared" si="18"/>
        <v>0.97391304347826091</v>
      </c>
      <c r="AV27" s="63">
        <v>597</v>
      </c>
      <c r="AW27" s="1427">
        <f t="shared" si="19"/>
        <v>0.83333333333333337</v>
      </c>
      <c r="AX27" s="1351">
        <f t="shared" si="20"/>
        <v>0.93831168831168832</v>
      </c>
      <c r="AY27" s="63">
        <v>746</v>
      </c>
      <c r="AZ27" s="1427">
        <f t="shared" si="21"/>
        <v>1.0410958904109588</v>
      </c>
      <c r="BA27" s="1351">
        <f t="shared" si="22"/>
        <v>0.95800524934383202</v>
      </c>
      <c r="BB27" s="63">
        <v>883</v>
      </c>
      <c r="BC27" s="1427">
        <f t="shared" si="23"/>
        <v>1.537037037037037</v>
      </c>
      <c r="BD27" s="1351">
        <f t="shared" si="24"/>
        <v>1.0298850574712644</v>
      </c>
      <c r="BE27" s="63">
        <v>1035</v>
      </c>
      <c r="BF27" s="1427">
        <f t="shared" si="25"/>
        <v>0.78823529411764703</v>
      </c>
      <c r="BG27" s="1351">
        <f t="shared" si="26"/>
        <v>0.99038461538461542</v>
      </c>
      <c r="BH27" s="63">
        <v>1164</v>
      </c>
      <c r="BI27" s="1427">
        <f t="shared" si="27"/>
        <v>0.26470588235294118</v>
      </c>
      <c r="BJ27" s="1351">
        <f t="shared" si="28"/>
        <v>0.87138263665594851</v>
      </c>
      <c r="BK27" s="63">
        <v>1331</v>
      </c>
      <c r="BL27" s="1427">
        <f t="shared" si="29"/>
        <v>0.39166666666666666</v>
      </c>
      <c r="BM27" s="1351">
        <f t="shared" si="30"/>
        <v>0.79380053908355797</v>
      </c>
      <c r="BN27" s="63">
        <v>1523</v>
      </c>
      <c r="BO27" s="1427">
        <f t="shared" si="31"/>
        <v>0.64102564102564108</v>
      </c>
      <c r="BP27" s="1351">
        <f t="shared" si="32"/>
        <v>0.77299185098952272</v>
      </c>
      <c r="BQ27" s="1140">
        <v>1727</v>
      </c>
      <c r="BR27" s="1427">
        <f t="shared" si="33"/>
        <v>0.77391304347826084</v>
      </c>
      <c r="BS27" s="1351">
        <f t="shared" si="34"/>
        <v>0.7731006160164271</v>
      </c>
      <c r="BT27" s="63">
        <v>169</v>
      </c>
      <c r="BU27" s="1427">
        <f t="shared" si="35"/>
        <v>0.46956521739130436</v>
      </c>
      <c r="BV27" s="1351">
        <f t="shared" si="36"/>
        <v>0.46956521739130436</v>
      </c>
      <c r="BW27" s="63">
        <v>348</v>
      </c>
      <c r="BX27" s="1427">
        <f t="shared" si="37"/>
        <v>0.57017543859649122</v>
      </c>
      <c r="BY27" s="1351">
        <f t="shared" si="38"/>
        <v>0.51965065502183405</v>
      </c>
      <c r="BZ27" s="63">
        <v>503</v>
      </c>
      <c r="CA27" s="1427">
        <f t="shared" si="39"/>
        <v>0.16541353383458646</v>
      </c>
      <c r="CB27" s="1351">
        <f t="shared" si="40"/>
        <v>0.38950276243093923</v>
      </c>
      <c r="CC27" s="1901">
        <v>503</v>
      </c>
      <c r="CD27" s="1594">
        <f>BQ27+BZ27-AR27</f>
        <v>1868</v>
      </c>
      <c r="CE27" s="1939">
        <f t="shared" si="42"/>
        <v>0.613126079447323</v>
      </c>
      <c r="CF27" s="1940">
        <f t="shared" si="43"/>
        <v>13</v>
      </c>
      <c r="CG27" s="1895"/>
      <c r="CH27" s="1815">
        <v>620</v>
      </c>
      <c r="CI27" s="2039">
        <f t="shared" si="44"/>
        <v>0.27173913043478259</v>
      </c>
      <c r="CJ27" s="2041">
        <f t="shared" si="45"/>
        <v>0.3656387665198238</v>
      </c>
      <c r="CK27" s="1815">
        <v>914</v>
      </c>
      <c r="CL27" s="2039">
        <f t="shared" si="46"/>
        <v>1.055944055944056</v>
      </c>
      <c r="CM27" s="2041">
        <f t="shared" si="47"/>
        <v>0.53098827470686771</v>
      </c>
      <c r="CN27" s="1815">
        <v>1182</v>
      </c>
      <c r="CO27" s="2039">
        <f t="shared" si="48"/>
        <v>0.79865771812080533</v>
      </c>
      <c r="CP27" s="2041">
        <f t="shared" si="49"/>
        <v>0.58445040214477206</v>
      </c>
      <c r="CQ27" s="1815">
        <v>1400</v>
      </c>
      <c r="CR27" s="2039">
        <f t="shared" si="50"/>
        <v>0.59124087591240881</v>
      </c>
      <c r="CS27" s="2041">
        <f t="shared" si="51"/>
        <v>0.58550396375990943</v>
      </c>
      <c r="CU27" s="1948">
        <f t="shared" si="52"/>
        <v>1.0535616151373661E-3</v>
      </c>
      <c r="CV27" s="1940">
        <f t="shared" si="53"/>
        <v>16</v>
      </c>
      <c r="CW27" s="1580">
        <f t="shared" si="54"/>
        <v>0.47139288993066586</v>
      </c>
      <c r="CX27" s="1799">
        <v>4057.9</v>
      </c>
      <c r="CY27" s="1794">
        <f>_xlfn.XLOOKUP(E27,Cement!$Q$7:$Q$35,Cement!$S$7:$S$35)</f>
        <v>7305</v>
      </c>
      <c r="CZ27" s="1245" t="s">
        <v>602</v>
      </c>
      <c r="DA27" s="1802">
        <v>0.9</v>
      </c>
      <c r="DB27" s="1529">
        <f t="shared" si="55"/>
        <v>0.97391304347826091</v>
      </c>
      <c r="DC27" s="1529">
        <f t="shared" si="56"/>
        <v>0.93831168831168832</v>
      </c>
      <c r="DD27" s="1529">
        <f t="shared" si="57"/>
        <v>0.95800524934383202</v>
      </c>
      <c r="DE27" s="1529">
        <f t="shared" si="58"/>
        <v>1.0298850574712644</v>
      </c>
      <c r="DF27" s="1529">
        <f t="shared" si="59"/>
        <v>0.99038461538461542</v>
      </c>
      <c r="DG27" s="1529">
        <f t="shared" si="60"/>
        <v>0.87138263665594851</v>
      </c>
      <c r="DH27" s="1529">
        <f t="shared" si="61"/>
        <v>0.79380053908355797</v>
      </c>
      <c r="DI27" s="1529">
        <f t="shared" si="62"/>
        <v>0.77299185098952272</v>
      </c>
      <c r="DJ27" s="1529">
        <f t="shared" si="63"/>
        <v>0.7731006160164271</v>
      </c>
      <c r="DK27" s="1529">
        <f t="shared" si="64"/>
        <v>0.46956521739130436</v>
      </c>
      <c r="DL27" s="1529">
        <f t="shared" si="65"/>
        <v>0.51965065502183405</v>
      </c>
      <c r="DM27" s="1529">
        <f t="shared" si="66"/>
        <v>0.38950276243093923</v>
      </c>
      <c r="DN27" s="1529">
        <f t="shared" si="67"/>
        <v>0.3656387665198238</v>
      </c>
      <c r="DO27" s="1529">
        <f t="shared" si="68"/>
        <v>0.53098827470686771</v>
      </c>
      <c r="DP27" s="1529">
        <f t="shared" si="69"/>
        <v>0.58445040214477206</v>
      </c>
      <c r="DQ27" s="1529">
        <f t="shared" si="70"/>
        <v>0.58550396375990943</v>
      </c>
      <c r="DS27" s="1583" t="s">
        <v>606</v>
      </c>
      <c r="DT27" s="1736"/>
      <c r="DU27" s="1580">
        <f>_xlfn.XLOOKUP(E27,E27:E116,CW27:CW116,"")</f>
        <v>0.47139288993066586</v>
      </c>
      <c r="DV27" s="1943">
        <f t="shared" si="71"/>
        <v>16</v>
      </c>
      <c r="DW27" s="1730">
        <f t="shared" si="72"/>
        <v>0.80019221764952309</v>
      </c>
      <c r="DX27" s="1860">
        <f t="shared" si="73"/>
        <v>0</v>
      </c>
      <c r="DY27" s="1683">
        <f>_xlfn.XLOOKUP(E27,Cement!$Q$7:$Q$35,Cement!$D$7:$D$35,"")</f>
        <v>-1.2697453871869344</v>
      </c>
      <c r="DZ27" s="1583" t="s">
        <v>606</v>
      </c>
    </row>
    <row r="28" spans="2:130" ht="68" customHeight="1">
      <c r="B28" s="1118">
        <f>_xlfn.XLOOKUP(E28,Cement!$Q$7:$Q$35,Cement!$A$7:$A$35,"")</f>
        <v>-6.5171615294243201</v>
      </c>
      <c r="C28" s="394">
        <f>_xlfn.XLOOKUP(E28,Cement!$Q$7:$Q$35,Cement!$S$7:$S$35,"")</f>
        <v>4016.5</v>
      </c>
      <c r="D28" s="60" t="s">
        <v>82</v>
      </c>
      <c r="E28" s="124" t="s">
        <v>83</v>
      </c>
      <c r="F28" s="982">
        <f>_xlfn.XLOOKUP(E28,Cement!$Q$7:$Q$35,Cement!$R$7:$R$35,"")</f>
        <v>6</v>
      </c>
      <c r="G28" s="1204">
        <f>_xlfn.XLOOKUP(E28,Cement!$Q$7:$Q$35,Cement!$AP$7:$AP$35,"")</f>
        <v>1201</v>
      </c>
      <c r="H28" s="1211">
        <v>113</v>
      </c>
      <c r="I28" s="1713">
        <f t="shared" si="3"/>
        <v>1088</v>
      </c>
      <c r="J28" s="1712">
        <f t="shared" si="4"/>
        <v>9.4088259783513734E-2</v>
      </c>
      <c r="K28" s="1762">
        <v>4</v>
      </c>
      <c r="L28" s="1728">
        <f t="shared" si="5"/>
        <v>10</v>
      </c>
      <c r="M28" s="689">
        <v>1037</v>
      </c>
      <c r="N28" s="689">
        <v>1741</v>
      </c>
      <c r="O28" s="1718">
        <v>62</v>
      </c>
      <c r="P28" s="1713">
        <f t="shared" si="6"/>
        <v>1679</v>
      </c>
      <c r="Q28" s="1712">
        <f t="shared" si="7"/>
        <v>3.5611717403790925E-2</v>
      </c>
      <c r="R28" s="557">
        <f t="shared" si="8"/>
        <v>2089.1999999999998</v>
      </c>
      <c r="S28" s="553">
        <f t="shared" si="9"/>
        <v>0.67888138862102221</v>
      </c>
      <c r="T28" s="553">
        <f t="shared" si="10"/>
        <v>0.86344712739383844</v>
      </c>
      <c r="U28" s="558">
        <f t="shared" si="11"/>
        <v>2016.3365477338475</v>
      </c>
      <c r="V28" s="591">
        <f t="shared" si="12"/>
        <v>704</v>
      </c>
      <c r="W28" s="559">
        <f t="shared" si="13"/>
        <v>1905</v>
      </c>
      <c r="X28" s="1170">
        <f t="shared" si="14"/>
        <v>2006.7182738669237</v>
      </c>
      <c r="Y28" s="1244">
        <f t="shared" si="15"/>
        <v>0.6708728341939415</v>
      </c>
      <c r="Z28" s="658"/>
      <c r="AA28" s="63">
        <v>275</v>
      </c>
      <c r="AB28" s="1147">
        <v>747</v>
      </c>
      <c r="AC28" s="63">
        <v>324</v>
      </c>
      <c r="AD28" s="63">
        <v>467</v>
      </c>
      <c r="AE28" s="63">
        <v>555</v>
      </c>
      <c r="AF28" s="63">
        <v>655</v>
      </c>
      <c r="AG28" s="63">
        <v>760</v>
      </c>
      <c r="AH28" s="1140">
        <v>879</v>
      </c>
      <c r="AI28" s="63">
        <v>90</v>
      </c>
      <c r="AJ28" s="63">
        <v>244</v>
      </c>
      <c r="AK28" s="63">
        <v>324</v>
      </c>
      <c r="AL28" s="63">
        <v>380</v>
      </c>
      <c r="AM28" s="63">
        <v>420</v>
      </c>
      <c r="AN28" s="63">
        <v>474</v>
      </c>
      <c r="AO28" s="1594">
        <f>AH28-AA28+AN28</f>
        <v>1078</v>
      </c>
      <c r="AP28" s="1147">
        <v>879</v>
      </c>
      <c r="AQ28" s="1494"/>
      <c r="AR28" s="1901">
        <v>474</v>
      </c>
      <c r="AS28" s="63">
        <v>561</v>
      </c>
      <c r="AT28" s="1427">
        <f t="shared" si="17"/>
        <v>0.77551020408163263</v>
      </c>
      <c r="AU28" s="1351">
        <f t="shared" si="18"/>
        <v>0.73148148148148151</v>
      </c>
      <c r="AV28" s="63">
        <v>683</v>
      </c>
      <c r="AW28" s="1427">
        <f t="shared" si="19"/>
        <v>-0.14685314685314685</v>
      </c>
      <c r="AX28" s="1351">
        <f t="shared" si="20"/>
        <v>0.46252676659528907</v>
      </c>
      <c r="AY28" s="63">
        <v>810</v>
      </c>
      <c r="AZ28" s="1427">
        <f t="shared" si="21"/>
        <v>0.44318181818181818</v>
      </c>
      <c r="BA28" s="1351">
        <f t="shared" si="22"/>
        <v>0.45945945945945948</v>
      </c>
      <c r="BB28" s="63">
        <v>907</v>
      </c>
      <c r="BC28" s="1427">
        <f t="shared" si="23"/>
        <v>-0.03</v>
      </c>
      <c r="BD28" s="1351">
        <f t="shared" si="24"/>
        <v>0.38473282442748091</v>
      </c>
      <c r="BE28" s="63">
        <v>1051</v>
      </c>
      <c r="BF28" s="1427">
        <f t="shared" si="25"/>
        <v>0.37142857142857144</v>
      </c>
      <c r="BG28" s="1351">
        <f t="shared" si="26"/>
        <v>0.38289473684210529</v>
      </c>
      <c r="BH28" s="1140">
        <v>1201</v>
      </c>
      <c r="BI28" s="1427">
        <f t="shared" si="27"/>
        <v>0.26050420168067229</v>
      </c>
      <c r="BJ28" s="1351">
        <f t="shared" si="28"/>
        <v>0.36632536973833901</v>
      </c>
      <c r="BK28" s="63">
        <v>157</v>
      </c>
      <c r="BL28" s="1427">
        <f t="shared" si="29"/>
        <v>0.74444444444444446</v>
      </c>
      <c r="BM28" s="1351">
        <f t="shared" si="30"/>
        <v>0.74444444444444446</v>
      </c>
      <c r="BN28" s="63">
        <v>295</v>
      </c>
      <c r="BO28" s="1427">
        <f t="shared" si="31"/>
        <v>-0.1038961038961039</v>
      </c>
      <c r="BP28" s="1351">
        <f t="shared" si="32"/>
        <v>0.20901639344262296</v>
      </c>
      <c r="BQ28" s="63">
        <v>400</v>
      </c>
      <c r="BR28" s="1427">
        <f t="shared" si="33"/>
        <v>0.3125</v>
      </c>
      <c r="BS28" s="1351">
        <f t="shared" si="34"/>
        <v>0.23456790123456789</v>
      </c>
      <c r="BT28" s="63">
        <v>450</v>
      </c>
      <c r="BU28" s="1427">
        <f t="shared" si="35"/>
        <v>-0.10714285714285714</v>
      </c>
      <c r="BV28" s="1351">
        <f t="shared" si="36"/>
        <v>0.18421052631578946</v>
      </c>
      <c r="BW28" s="63">
        <v>545</v>
      </c>
      <c r="BX28" s="1427">
        <f t="shared" si="37"/>
        <v>1.375</v>
      </c>
      <c r="BY28" s="1351">
        <f t="shared" si="38"/>
        <v>0.29761904761904762</v>
      </c>
      <c r="BZ28" s="63">
        <v>694</v>
      </c>
      <c r="CA28" s="1427">
        <f t="shared" si="39"/>
        <v>1.7592592592592593</v>
      </c>
      <c r="CB28" s="1351">
        <f t="shared" si="40"/>
        <v>0.46413502109704641</v>
      </c>
      <c r="CC28" s="1901">
        <v>694</v>
      </c>
      <c r="CD28" s="1594">
        <f>BZ28+BH28-AR28</f>
        <v>1421</v>
      </c>
      <c r="CE28" s="1939">
        <f t="shared" si="42"/>
        <v>0.31818181818181818</v>
      </c>
      <c r="CF28" s="1940">
        <f t="shared" si="43"/>
        <v>28</v>
      </c>
      <c r="CG28" s="1895"/>
      <c r="CH28" s="1815">
        <v>860</v>
      </c>
      <c r="CI28" s="2039">
        <f t="shared" si="44"/>
        <v>0.90804597701149425</v>
      </c>
      <c r="CJ28" s="2041">
        <f t="shared" si="45"/>
        <v>0.53297682709447414</v>
      </c>
      <c r="CK28" s="1815">
        <v>1123</v>
      </c>
      <c r="CL28" s="2039">
        <f t="shared" si="46"/>
        <v>1.1557377049180328</v>
      </c>
      <c r="CM28" s="2041">
        <f t="shared" si="47"/>
        <v>0.64421669106881407</v>
      </c>
      <c r="CN28" s="1815">
        <v>1315</v>
      </c>
      <c r="CO28" s="2039">
        <f t="shared" si="48"/>
        <v>0.51181102362204722</v>
      </c>
      <c r="CP28" s="2041">
        <f t="shared" si="49"/>
        <v>0.62345679012345678</v>
      </c>
      <c r="CQ28" s="1815">
        <v>1539</v>
      </c>
      <c r="CR28" s="2039">
        <f t="shared" si="50"/>
        <v>1.3092783505154639</v>
      </c>
      <c r="CS28" s="2041">
        <f t="shared" si="51"/>
        <v>0.69680264608599785</v>
      </c>
      <c r="CU28" s="1948">
        <f t="shared" si="52"/>
        <v>7.3345855962541062E-2</v>
      </c>
      <c r="CV28" s="1940">
        <f t="shared" si="53"/>
        <v>11</v>
      </c>
      <c r="CW28" s="1580">
        <f t="shared" si="54"/>
        <v>0.47139288993066586</v>
      </c>
      <c r="CX28" s="1799">
        <v>2119</v>
      </c>
      <c r="CY28" s="1794">
        <f>_xlfn.XLOOKUP(E28,Cement!$Q$7:$Q$35,Cement!$S$7:$S$35)</f>
        <v>4016.5</v>
      </c>
      <c r="CZ28" s="1245" t="s">
        <v>602</v>
      </c>
      <c r="DA28" s="1802">
        <v>0.9</v>
      </c>
      <c r="DB28" s="1529">
        <f t="shared" si="55"/>
        <v>0.73148148148148151</v>
      </c>
      <c r="DC28" s="1529">
        <f t="shared" si="56"/>
        <v>0.46252676659528907</v>
      </c>
      <c r="DD28" s="1529">
        <f t="shared" si="57"/>
        <v>0.45945945945945948</v>
      </c>
      <c r="DE28" s="1529">
        <f t="shared" si="58"/>
        <v>0.38473282442748091</v>
      </c>
      <c r="DF28" s="1529">
        <f t="shared" si="59"/>
        <v>0.38289473684210529</v>
      </c>
      <c r="DG28" s="1529">
        <f t="shared" si="60"/>
        <v>0.36632536973833901</v>
      </c>
      <c r="DH28" s="1529">
        <f t="shared" si="61"/>
        <v>0.74444444444444446</v>
      </c>
      <c r="DI28" s="1529">
        <f t="shared" si="62"/>
        <v>0.20901639344262296</v>
      </c>
      <c r="DJ28" s="1529">
        <f t="shared" si="63"/>
        <v>0.23456790123456789</v>
      </c>
      <c r="DK28" s="1529">
        <f t="shared" si="64"/>
        <v>0.18421052631578946</v>
      </c>
      <c r="DL28" s="1529">
        <f t="shared" si="65"/>
        <v>0.29761904761904762</v>
      </c>
      <c r="DM28" s="1529">
        <f t="shared" si="66"/>
        <v>0.46413502109704641</v>
      </c>
      <c r="DN28" s="1529">
        <f t="shared" si="67"/>
        <v>0.53297682709447414</v>
      </c>
      <c r="DO28" s="1529">
        <f t="shared" si="68"/>
        <v>0.64421669106881407</v>
      </c>
      <c r="DP28" s="1529">
        <f t="shared" si="69"/>
        <v>0.62345679012345678</v>
      </c>
      <c r="DQ28" s="1529">
        <f t="shared" si="70"/>
        <v>0.69680264608599785</v>
      </c>
      <c r="DS28" s="1583" t="s">
        <v>197</v>
      </c>
      <c r="DT28" s="1736"/>
      <c r="DU28" s="1580">
        <f>_xlfn.XLOOKUP(E28,E28:E118,CW28:CW118,"")</f>
        <v>0.47139288993066586</v>
      </c>
      <c r="DV28" s="1943">
        <f t="shared" si="71"/>
        <v>11</v>
      </c>
      <c r="DW28" s="1730">
        <f t="shared" si="72"/>
        <v>0.89546956111373288</v>
      </c>
      <c r="DX28" s="1860">
        <f t="shared" si="73"/>
        <v>-5.8476542379722805</v>
      </c>
      <c r="DY28" s="1683">
        <f>_xlfn.XLOOKUP(E28,Cement!$Q$7:$Q$35,Cement!$D$7:$D$35,"")</f>
        <v>0.50512373363874108</v>
      </c>
      <c r="DZ28" s="1583" t="s">
        <v>197</v>
      </c>
    </row>
    <row r="29" spans="2:130" ht="68" customHeight="1">
      <c r="B29" s="1118">
        <f>_xlfn.XLOOKUP(E29,Cement!$Q$7:$Q$35,Cement!$A$7:$A$35,"")</f>
        <v>-12.195856599294064</v>
      </c>
      <c r="C29" s="394">
        <f>_xlfn.XLOOKUP(E29,Cement!$Q$7:$Q$35,Cement!$S$7:$S$35,"")</f>
        <v>12045.6</v>
      </c>
      <c r="D29" s="223" t="s">
        <v>84</v>
      </c>
      <c r="E29" s="1949" t="s">
        <v>85</v>
      </c>
      <c r="F29" s="982">
        <f>_xlfn.XLOOKUP(E29,Cement!$Q$7:$Q$35,Cement!$R$7:$R$35,"")</f>
        <v>9</v>
      </c>
      <c r="G29" s="1204">
        <f>_xlfn.XLOOKUP(E29,Cement!$Q$7:$Q$35,Cement!$AP$7:$AP$35,"")</f>
        <v>2711</v>
      </c>
      <c r="H29" s="1211">
        <v>22</v>
      </c>
      <c r="I29" s="1713">
        <f t="shared" si="3"/>
        <v>2689</v>
      </c>
      <c r="J29" s="1712">
        <f t="shared" si="4"/>
        <v>8.1150866838804875E-3</v>
      </c>
      <c r="K29" s="1761">
        <v>4</v>
      </c>
      <c r="L29" s="1728">
        <f t="shared" si="5"/>
        <v>7</v>
      </c>
      <c r="M29" s="689">
        <v>1265</v>
      </c>
      <c r="N29" s="689">
        <v>2129</v>
      </c>
      <c r="O29" s="1718">
        <v>510</v>
      </c>
      <c r="P29" s="1713">
        <f t="shared" si="6"/>
        <v>1619</v>
      </c>
      <c r="Q29" s="1712">
        <f t="shared" si="7"/>
        <v>0.23954908407703146</v>
      </c>
      <c r="R29" s="557">
        <f t="shared" si="8"/>
        <v>3649.7142857142853</v>
      </c>
      <c r="S29" s="553">
        <f t="shared" si="9"/>
        <v>0.68300395256917001</v>
      </c>
      <c r="T29" s="553">
        <f t="shared" si="10"/>
        <v>0.466617484323128</v>
      </c>
      <c r="U29" s="558">
        <f t="shared" si="11"/>
        <v>4562.6237154150203</v>
      </c>
      <c r="V29" s="591">
        <f t="shared" si="12"/>
        <v>864</v>
      </c>
      <c r="W29" s="559">
        <f t="shared" si="13"/>
        <v>3575</v>
      </c>
      <c r="X29" s="1170">
        <f t="shared" si="14"/>
        <v>4087.4904291360813</v>
      </c>
      <c r="Y29" s="1244">
        <f t="shared" si="15"/>
        <v>0.5077426887259614</v>
      </c>
      <c r="Z29" s="658"/>
      <c r="AA29" s="63">
        <v>205</v>
      </c>
      <c r="AB29" s="1147">
        <v>1093</v>
      </c>
      <c r="AC29" s="63">
        <v>296</v>
      </c>
      <c r="AD29" s="63">
        <v>443</v>
      </c>
      <c r="AE29" s="63">
        <v>577</v>
      </c>
      <c r="AF29" s="63">
        <v>719</v>
      </c>
      <c r="AG29" s="63">
        <v>873</v>
      </c>
      <c r="AH29" s="63">
        <v>1065</v>
      </c>
      <c r="AI29" s="63">
        <v>1276</v>
      </c>
      <c r="AJ29" s="63">
        <v>1432</v>
      </c>
      <c r="AK29" s="1792">
        <v>1562</v>
      </c>
      <c r="AL29" s="63">
        <v>139</v>
      </c>
      <c r="AM29" s="63">
        <v>251</v>
      </c>
      <c r="AN29" s="63">
        <v>378</v>
      </c>
      <c r="AO29" s="1594">
        <f>AK29-AA29+AN29</f>
        <v>1735</v>
      </c>
      <c r="AP29" s="1147">
        <v>1562</v>
      </c>
      <c r="AQ29" s="1494"/>
      <c r="AR29" s="1901">
        <v>378</v>
      </c>
      <c r="AS29" s="63">
        <v>515</v>
      </c>
      <c r="AT29" s="1427">
        <f t="shared" si="17"/>
        <v>0.50549450549450547</v>
      </c>
      <c r="AU29" s="1351">
        <f t="shared" si="18"/>
        <v>0.73986486486486491</v>
      </c>
      <c r="AV29" s="63">
        <v>750</v>
      </c>
      <c r="AW29" s="1427">
        <f t="shared" si="19"/>
        <v>0.59863945578231292</v>
      </c>
      <c r="AX29" s="1351">
        <f t="shared" si="20"/>
        <v>0.69300225733634313</v>
      </c>
      <c r="AY29" s="63">
        <v>1002</v>
      </c>
      <c r="AZ29" s="1427">
        <f t="shared" si="21"/>
        <v>0.88059701492537312</v>
      </c>
      <c r="BA29" s="1351">
        <f t="shared" si="22"/>
        <v>0.7365684575389948</v>
      </c>
      <c r="BB29" s="63">
        <v>1265</v>
      </c>
      <c r="BC29" s="1427">
        <f t="shared" si="23"/>
        <v>0.852112676056338</v>
      </c>
      <c r="BD29" s="1351">
        <f t="shared" si="24"/>
        <v>0.75938803894297635</v>
      </c>
      <c r="BE29" s="63">
        <v>1551</v>
      </c>
      <c r="BF29" s="1427">
        <f t="shared" si="25"/>
        <v>0.8571428571428571</v>
      </c>
      <c r="BG29" s="1351">
        <f t="shared" si="26"/>
        <v>0.7766323024054983</v>
      </c>
      <c r="BH29" s="63">
        <v>1868</v>
      </c>
      <c r="BI29" s="1427">
        <f t="shared" si="27"/>
        <v>0.65104166666666663</v>
      </c>
      <c r="BJ29" s="1351">
        <f t="shared" si="28"/>
        <v>0.75399061032863846</v>
      </c>
      <c r="BK29" s="63">
        <v>2165</v>
      </c>
      <c r="BL29" s="1427">
        <f t="shared" si="29"/>
        <v>0.40758293838862558</v>
      </c>
      <c r="BM29" s="1351">
        <f t="shared" si="30"/>
        <v>0.69670846394984332</v>
      </c>
      <c r="BN29" s="63">
        <v>2474</v>
      </c>
      <c r="BO29" s="1427">
        <f t="shared" si="31"/>
        <v>0.98076923076923073</v>
      </c>
      <c r="BP29" s="1351">
        <f t="shared" si="32"/>
        <v>0.72765363128491622</v>
      </c>
      <c r="BQ29" s="1140">
        <v>2711</v>
      </c>
      <c r="BR29" s="1427">
        <f t="shared" si="33"/>
        <v>0.82307692307692304</v>
      </c>
      <c r="BS29" s="1351">
        <f t="shared" si="34"/>
        <v>0.73559539052496803</v>
      </c>
      <c r="BT29" s="63">
        <v>122</v>
      </c>
      <c r="BU29" s="1427">
        <f t="shared" si="35"/>
        <v>-0.1223021582733813</v>
      </c>
      <c r="BV29" s="1351">
        <f t="shared" si="36"/>
        <v>-0.1223021582733813</v>
      </c>
      <c r="BW29" s="63">
        <v>279</v>
      </c>
      <c r="BX29" s="1427">
        <f t="shared" si="37"/>
        <v>0.4017857142857143</v>
      </c>
      <c r="BY29" s="1351">
        <f t="shared" si="38"/>
        <v>0.11155378486055777</v>
      </c>
      <c r="BZ29" s="63">
        <v>518</v>
      </c>
      <c r="CA29" s="1427">
        <f t="shared" si="39"/>
        <v>0.88188976377952755</v>
      </c>
      <c r="CB29" s="1351">
        <f t="shared" si="40"/>
        <v>0.37037037037037035</v>
      </c>
      <c r="CC29" s="1901">
        <v>518</v>
      </c>
      <c r="CD29" s="1594">
        <f>BQ29+BZ29-AR29</f>
        <v>2851</v>
      </c>
      <c r="CE29" s="1939">
        <f t="shared" si="42"/>
        <v>0.64322766570605183</v>
      </c>
      <c r="CF29" s="1940">
        <f t="shared" si="43"/>
        <v>10</v>
      </c>
      <c r="CG29" s="1895"/>
      <c r="CH29" s="1815">
        <v>796</v>
      </c>
      <c r="CI29" s="2039">
        <f t="shared" si="44"/>
        <v>1.0291970802919708</v>
      </c>
      <c r="CJ29" s="2041">
        <f t="shared" si="45"/>
        <v>0.54563106796116501</v>
      </c>
      <c r="CK29" s="1815">
        <v>1299</v>
      </c>
      <c r="CL29" s="2039">
        <f t="shared" si="46"/>
        <v>1.1404255319148937</v>
      </c>
      <c r="CM29" s="2041">
        <f t="shared" si="47"/>
        <v>0.73199999999999998</v>
      </c>
      <c r="CN29" s="1815">
        <v>1720</v>
      </c>
      <c r="CO29" s="2039">
        <f t="shared" si="48"/>
        <v>0.67063492063492058</v>
      </c>
      <c r="CP29" s="2041">
        <f t="shared" si="49"/>
        <v>0.71656686626746502</v>
      </c>
      <c r="CQ29" s="1815">
        <v>2129</v>
      </c>
      <c r="CR29" s="2039">
        <f t="shared" si="50"/>
        <v>0.55513307984790872</v>
      </c>
      <c r="CS29" s="2041">
        <f t="shared" si="51"/>
        <v>0.68300395256917001</v>
      </c>
      <c r="CU29" s="1948">
        <f t="shared" si="52"/>
        <v>-3.3562913698295005E-2</v>
      </c>
      <c r="CV29" s="1940">
        <f t="shared" si="53"/>
        <v>12</v>
      </c>
      <c r="CW29" s="1580">
        <f t="shared" si="54"/>
        <v>0.90908566642565003</v>
      </c>
      <c r="CX29" s="1799">
        <v>7833.6</v>
      </c>
      <c r="CY29" s="1794">
        <f>_xlfn.XLOOKUP(E29,Cement!$Q$7:$Q$35,Cement!$S$7:$S$35)</f>
        <v>12045.6</v>
      </c>
      <c r="CZ29" s="1245" t="s">
        <v>608</v>
      </c>
      <c r="DA29" s="1802">
        <v>0.9</v>
      </c>
      <c r="DB29" s="1529">
        <f t="shared" si="55"/>
        <v>0.73986486486486491</v>
      </c>
      <c r="DC29" s="1529">
        <f t="shared" si="56"/>
        <v>0.69300225733634313</v>
      </c>
      <c r="DD29" s="1529">
        <f t="shared" si="57"/>
        <v>0.7365684575389948</v>
      </c>
      <c r="DE29" s="1529">
        <f t="shared" si="58"/>
        <v>0.75938803894297635</v>
      </c>
      <c r="DF29" s="1529">
        <f t="shared" si="59"/>
        <v>0.7766323024054983</v>
      </c>
      <c r="DG29" s="1529">
        <f t="shared" si="60"/>
        <v>0.75399061032863846</v>
      </c>
      <c r="DH29" s="1529">
        <f t="shared" si="61"/>
        <v>0.69670846394984332</v>
      </c>
      <c r="DI29" s="1529">
        <f t="shared" si="62"/>
        <v>0.72765363128491622</v>
      </c>
      <c r="DJ29" s="1529">
        <f t="shared" si="63"/>
        <v>0.73559539052496803</v>
      </c>
      <c r="DK29" s="1529">
        <f t="shared" si="64"/>
        <v>-0.1223021582733813</v>
      </c>
      <c r="DL29" s="1529">
        <f t="shared" si="65"/>
        <v>0.11155378486055777</v>
      </c>
      <c r="DM29" s="1529">
        <f t="shared" si="66"/>
        <v>0.37037037037037035</v>
      </c>
      <c r="DN29" s="1529">
        <f t="shared" si="67"/>
        <v>0.54563106796116501</v>
      </c>
      <c r="DO29" s="1529">
        <f t="shared" si="68"/>
        <v>0.73199999999999998</v>
      </c>
      <c r="DP29" s="1529">
        <f t="shared" si="69"/>
        <v>0.71656686626746502</v>
      </c>
      <c r="DQ29" s="1529">
        <f t="shared" si="70"/>
        <v>0.68300395256917001</v>
      </c>
      <c r="DS29" s="1583" t="s">
        <v>606</v>
      </c>
      <c r="DT29" s="1736"/>
      <c r="DU29" s="1580">
        <f>_xlfn.XLOOKUP(E29,E29:E119,CW29:CW119,"")</f>
        <v>0.90908566642565003</v>
      </c>
      <c r="DV29" s="1943">
        <f t="shared" si="71"/>
        <v>12</v>
      </c>
      <c r="DW29" s="1730">
        <f t="shared" si="72"/>
        <v>0.53768382352941169</v>
      </c>
      <c r="DX29" s="1860">
        <f t="shared" si="73"/>
        <v>23.143399739315097</v>
      </c>
      <c r="DY29" s="1683">
        <f>_xlfn.XLOOKUP(E29,Cement!$Q$7:$Q$35,Cement!$D$7:$D$35,"")</f>
        <v>-6.4558680653686196E-2</v>
      </c>
      <c r="DZ29" s="1583" t="s">
        <v>603</v>
      </c>
    </row>
    <row r="30" spans="2:130" ht="68" customHeight="1">
      <c r="B30" s="1118">
        <f>_xlfn.XLOOKUP(E30,Cement!$Q$7:$Q$35,Cement!$A$7:$A$35,"")</f>
        <v>-20.805999036870038</v>
      </c>
      <c r="C30" s="394">
        <f>_xlfn.XLOOKUP(E30,Cement!$Q$7:$Q$35,Cement!$S$7:$S$35,"")</f>
        <v>13027.5</v>
      </c>
      <c r="D30" s="223" t="s">
        <v>36</v>
      </c>
      <c r="E30" s="1949" t="s">
        <v>37</v>
      </c>
      <c r="F30" s="982">
        <f>_xlfn.XLOOKUP(E30,Cement!$Q$7:$Q$35,Cement!$R$7:$R$35,"")</f>
        <v>6</v>
      </c>
      <c r="G30" s="1204">
        <f>_xlfn.XLOOKUP(E30,Cement!$Q$7:$Q$35,Cement!$AP$7:$AP$35,"")</f>
        <v>3658</v>
      </c>
      <c r="H30" s="1212">
        <v>679</v>
      </c>
      <c r="I30" s="1713">
        <f t="shared" si="3"/>
        <v>2979</v>
      </c>
      <c r="J30" s="1712">
        <f t="shared" si="4"/>
        <v>0.18562055768179334</v>
      </c>
      <c r="K30" s="1761">
        <v>4</v>
      </c>
      <c r="L30" s="1728">
        <f t="shared" si="5"/>
        <v>10</v>
      </c>
      <c r="M30" s="826">
        <v>2814</v>
      </c>
      <c r="N30" s="826">
        <v>3886</v>
      </c>
      <c r="O30" s="1719">
        <v>861</v>
      </c>
      <c r="P30" s="1713">
        <f t="shared" si="6"/>
        <v>3025</v>
      </c>
      <c r="Q30" s="1712">
        <f t="shared" si="7"/>
        <v>0.22156459083890889</v>
      </c>
      <c r="R30" s="827">
        <f t="shared" si="8"/>
        <v>4663.2</v>
      </c>
      <c r="S30" s="828">
        <f t="shared" si="9"/>
        <v>0.38095238095238093</v>
      </c>
      <c r="T30" s="828">
        <f t="shared" si="10"/>
        <v>0.76927282668124664</v>
      </c>
      <c r="U30" s="829">
        <f t="shared" si="11"/>
        <v>5051.5238095238092</v>
      </c>
      <c r="V30" s="830">
        <f t="shared" si="12"/>
        <v>1072</v>
      </c>
      <c r="W30" s="831">
        <f t="shared" si="13"/>
        <v>4730</v>
      </c>
      <c r="X30" s="1170">
        <f t="shared" si="14"/>
        <v>4874.0619047619048</v>
      </c>
      <c r="Y30" s="1244">
        <f t="shared" si="15"/>
        <v>0.33243901168996848</v>
      </c>
      <c r="Z30" s="658"/>
      <c r="AA30" s="63">
        <v>1395</v>
      </c>
      <c r="AB30" s="1147">
        <v>2003</v>
      </c>
      <c r="AC30" s="63">
        <v>1498</v>
      </c>
      <c r="AD30" s="63">
        <v>1681</v>
      </c>
      <c r="AE30" s="63">
        <v>1869</v>
      </c>
      <c r="AF30" s="63">
        <v>2078</v>
      </c>
      <c r="AG30" s="63">
        <v>2257</v>
      </c>
      <c r="AH30" s="1140">
        <v>2515</v>
      </c>
      <c r="AI30" s="63">
        <v>261</v>
      </c>
      <c r="AJ30" s="63">
        <v>536</v>
      </c>
      <c r="AK30" s="1791">
        <v>848</v>
      </c>
      <c r="AL30" s="63">
        <v>1085</v>
      </c>
      <c r="AM30" s="63">
        <v>1330</v>
      </c>
      <c r="AN30" s="63">
        <v>1662</v>
      </c>
      <c r="AO30" s="1594">
        <f>AH30-AA30+AN30</f>
        <v>2782</v>
      </c>
      <c r="AP30" s="1147">
        <v>2515</v>
      </c>
      <c r="AQ30" s="1494"/>
      <c r="AR30" s="1901">
        <v>1662</v>
      </c>
      <c r="AS30" s="63">
        <v>1864</v>
      </c>
      <c r="AT30" s="1427">
        <f t="shared" si="17"/>
        <v>0.96116504854368934</v>
      </c>
      <c r="AU30" s="1351">
        <f t="shared" si="18"/>
        <v>0.24432576769025366</v>
      </c>
      <c r="AV30" s="63">
        <v>2254</v>
      </c>
      <c r="AW30" s="1427">
        <f t="shared" si="19"/>
        <v>1.1311475409836065</v>
      </c>
      <c r="AX30" s="1351">
        <f t="shared" si="20"/>
        <v>0.34086853063652589</v>
      </c>
      <c r="AY30" s="63">
        <v>2546</v>
      </c>
      <c r="AZ30" s="1427">
        <f t="shared" si="21"/>
        <v>0.55319148936170215</v>
      </c>
      <c r="BA30" s="1351">
        <f t="shared" si="22"/>
        <v>0.36222578919208132</v>
      </c>
      <c r="BB30" s="63">
        <v>2814</v>
      </c>
      <c r="BC30" s="1427">
        <f t="shared" si="23"/>
        <v>0.28229665071770332</v>
      </c>
      <c r="BD30" s="1351">
        <f t="shared" si="24"/>
        <v>0.35418671799807505</v>
      </c>
      <c r="BE30" s="63">
        <v>3217</v>
      </c>
      <c r="BF30" s="1427">
        <f t="shared" si="25"/>
        <v>1.2513966480446927</v>
      </c>
      <c r="BG30" s="1351">
        <f t="shared" si="26"/>
        <v>0.42534337616304829</v>
      </c>
      <c r="BH30" s="1140">
        <v>3658</v>
      </c>
      <c r="BI30" s="1427">
        <f t="shared" si="27"/>
        <v>0.70930232558139539</v>
      </c>
      <c r="BJ30" s="1351">
        <f t="shared" si="28"/>
        <v>0.4544731610337972</v>
      </c>
      <c r="BK30" s="63">
        <v>388</v>
      </c>
      <c r="BL30" s="1427">
        <f t="shared" si="29"/>
        <v>0.48659003831417624</v>
      </c>
      <c r="BM30" s="1351">
        <f t="shared" si="30"/>
        <v>0.48659003831417624</v>
      </c>
      <c r="BN30" s="63">
        <v>630</v>
      </c>
      <c r="BO30" s="1427">
        <f t="shared" si="31"/>
        <v>-0.12</v>
      </c>
      <c r="BP30" s="1351">
        <f t="shared" si="32"/>
        <v>0.17537313432835822</v>
      </c>
      <c r="BQ30" s="63">
        <v>846</v>
      </c>
      <c r="BR30" s="1427">
        <f t="shared" si="33"/>
        <v>-0.30769230769230771</v>
      </c>
      <c r="BS30" s="1351">
        <f t="shared" si="34"/>
        <v>-2.3584905660377358E-3</v>
      </c>
      <c r="BT30" s="63">
        <v>1135</v>
      </c>
      <c r="BU30" s="1427">
        <f t="shared" si="35"/>
        <v>0.21940928270042195</v>
      </c>
      <c r="BV30" s="1351">
        <f t="shared" si="36"/>
        <v>4.6082949308755762E-2</v>
      </c>
      <c r="BW30" s="63">
        <v>1556</v>
      </c>
      <c r="BX30" s="1427">
        <f t="shared" si="37"/>
        <v>0.71836734693877546</v>
      </c>
      <c r="BY30" s="1351">
        <f t="shared" si="38"/>
        <v>0.1699248120300752</v>
      </c>
      <c r="BZ30" s="63">
        <v>1900</v>
      </c>
      <c r="CA30" s="1427">
        <f t="shared" si="39"/>
        <v>3.614457831325301E-2</v>
      </c>
      <c r="CB30" s="1351">
        <f t="shared" si="40"/>
        <v>0.14320096269554752</v>
      </c>
      <c r="CC30" s="1901">
        <v>1900</v>
      </c>
      <c r="CD30" s="1594">
        <f>BZ30+BH30-AR30</f>
        <v>3896</v>
      </c>
      <c r="CE30" s="1939">
        <f t="shared" si="42"/>
        <v>0.40043134435657801</v>
      </c>
      <c r="CF30" s="1940">
        <f t="shared" si="43"/>
        <v>26</v>
      </c>
      <c r="CG30" s="1895"/>
      <c r="CH30" s="1815">
        <v>2212</v>
      </c>
      <c r="CI30" s="2039">
        <f t="shared" si="44"/>
        <v>0.54455445544554459</v>
      </c>
      <c r="CJ30" s="2041">
        <f t="shared" si="45"/>
        <v>0.18669527896995708</v>
      </c>
      <c r="CK30" s="1815">
        <v>2779</v>
      </c>
      <c r="CL30" s="2039">
        <f t="shared" si="46"/>
        <v>0.45384615384615384</v>
      </c>
      <c r="CM30" s="2041">
        <f t="shared" si="47"/>
        <v>0.23291925465838509</v>
      </c>
      <c r="CN30" s="1815">
        <v>3301</v>
      </c>
      <c r="CO30" s="2039">
        <f t="shared" si="48"/>
        <v>0.78767123287671237</v>
      </c>
      <c r="CP30" s="2041">
        <f t="shared" si="49"/>
        <v>0.29654359780047135</v>
      </c>
      <c r="CQ30" s="1815">
        <v>3886</v>
      </c>
      <c r="CR30" s="2039">
        <f t="shared" si="50"/>
        <v>1.1828358208955223</v>
      </c>
      <c r="CS30" s="2041">
        <f t="shared" si="51"/>
        <v>0.38095238095238093</v>
      </c>
      <c r="CU30" s="1948">
        <f t="shared" si="52"/>
        <v>8.4408783151909583E-2</v>
      </c>
      <c r="CV30" s="1940">
        <f t="shared" si="53"/>
        <v>23</v>
      </c>
      <c r="CW30" s="1580">
        <f t="shared" si="54"/>
        <v>0.90908566642565003</v>
      </c>
      <c r="CX30" s="1799">
        <v>6100</v>
      </c>
      <c r="CY30" s="1794">
        <f>_xlfn.XLOOKUP(E30,Cement!$Q$7:$Q$35,Cement!$S$7:$S$35)</f>
        <v>13027.5</v>
      </c>
      <c r="CZ30" s="1245" t="s">
        <v>608</v>
      </c>
      <c r="DA30" s="1802">
        <v>0.9</v>
      </c>
      <c r="DB30" s="1529">
        <f t="shared" si="55"/>
        <v>0.24432576769025366</v>
      </c>
      <c r="DC30" s="1529">
        <f t="shared" si="56"/>
        <v>0.34086853063652589</v>
      </c>
      <c r="DD30" s="1529">
        <f t="shared" si="57"/>
        <v>0.36222578919208132</v>
      </c>
      <c r="DE30" s="1529">
        <f t="shared" si="58"/>
        <v>0.35418671799807505</v>
      </c>
      <c r="DF30" s="1529">
        <f t="shared" si="59"/>
        <v>0.42534337616304829</v>
      </c>
      <c r="DG30" s="1529">
        <f t="shared" si="60"/>
        <v>0.4544731610337972</v>
      </c>
      <c r="DH30" s="1529">
        <f t="shared" si="61"/>
        <v>0.48659003831417624</v>
      </c>
      <c r="DI30" s="1529">
        <f t="shared" si="62"/>
        <v>0.17537313432835822</v>
      </c>
      <c r="DJ30" s="1529">
        <f t="shared" si="63"/>
        <v>-2.3584905660377358E-3</v>
      </c>
      <c r="DK30" s="1529">
        <f t="shared" si="64"/>
        <v>4.6082949308755762E-2</v>
      </c>
      <c r="DL30" s="1529">
        <f t="shared" si="65"/>
        <v>0.1699248120300752</v>
      </c>
      <c r="DM30" s="1529">
        <f t="shared" si="66"/>
        <v>0.14320096269554752</v>
      </c>
      <c r="DN30" s="1529">
        <f t="shared" si="67"/>
        <v>0.18669527896995708</v>
      </c>
      <c r="DO30" s="1529">
        <f t="shared" si="68"/>
        <v>0.23291925465838509</v>
      </c>
      <c r="DP30" s="1529">
        <f t="shared" si="69"/>
        <v>0.29654359780047135</v>
      </c>
      <c r="DQ30" s="1529">
        <f t="shared" si="70"/>
        <v>0.38095238095238093</v>
      </c>
      <c r="DS30" s="1583" t="s">
        <v>606</v>
      </c>
      <c r="DT30" s="1736"/>
      <c r="DU30" s="1580">
        <f>_xlfn.XLOOKUP(E30,E30:E120,CW30:CW120,"")</f>
        <v>0.90908566642565003</v>
      </c>
      <c r="DV30" s="1943">
        <f t="shared" si="71"/>
        <v>23</v>
      </c>
      <c r="DW30" s="1730">
        <f t="shared" si="72"/>
        <v>1.1356557377049181</v>
      </c>
      <c r="DX30" s="1860">
        <f t="shared" si="73"/>
        <v>3.5944033157115558</v>
      </c>
      <c r="DY30" s="1683">
        <f>_xlfn.XLOOKUP(E30,Cement!$Q$7:$Q$35,Cement!$D$7:$D$35,"")</f>
        <v>1.6766711742795284</v>
      </c>
      <c r="DZ30" s="1583" t="s">
        <v>606</v>
      </c>
    </row>
    <row r="31" spans="2:130" ht="68" customHeight="1">
      <c r="B31" s="1118">
        <f>_xlfn.XLOOKUP(E31,Cement!$Q$7:$Q$35,Cement!$A$7:$A$35,"")</f>
        <v>-24.973469046703357</v>
      </c>
      <c r="C31" s="394">
        <f>_xlfn.XLOOKUP(E31,Cement!$Q$7:$Q$35,Cement!$S$7:$S$35,"")</f>
        <v>20536</v>
      </c>
      <c r="D31" s="223" t="s">
        <v>74</v>
      </c>
      <c r="E31" s="1949" t="s">
        <v>75</v>
      </c>
      <c r="F31" s="982">
        <f>_xlfn.XLOOKUP(E31,Cement!$Q$7:$Q$35,Cement!$R$7:$R$35,"")</f>
        <v>12</v>
      </c>
      <c r="G31" s="1204">
        <f>_xlfn.XLOOKUP(E31,Cement!$Q$7:$Q$35,Cement!$AP$7:$AP$35,"")</f>
        <v>6294</v>
      </c>
      <c r="H31" s="1212">
        <v>21</v>
      </c>
      <c r="I31" s="1713">
        <f t="shared" si="3"/>
        <v>6273</v>
      </c>
      <c r="J31" s="1712">
        <f t="shared" si="4"/>
        <v>3.3365109628217351E-3</v>
      </c>
      <c r="K31" s="1761">
        <v>4</v>
      </c>
      <c r="L31" s="1728">
        <f t="shared" si="5"/>
        <v>4</v>
      </c>
      <c r="M31" s="826">
        <v>2063</v>
      </c>
      <c r="N31" s="826">
        <v>3197</v>
      </c>
      <c r="O31" s="1719">
        <v>0</v>
      </c>
      <c r="P31" s="1713">
        <f t="shared" si="6"/>
        <v>3197</v>
      </c>
      <c r="Q31" s="1712">
        <f t="shared" si="7"/>
        <v>0</v>
      </c>
      <c r="R31" s="827">
        <f t="shared" si="8"/>
        <v>9591</v>
      </c>
      <c r="S31" s="828">
        <f t="shared" si="9"/>
        <v>0.54968492486669895</v>
      </c>
      <c r="T31" s="828">
        <f t="shared" si="10"/>
        <v>0.32777248172863044</v>
      </c>
      <c r="U31" s="829">
        <f t="shared" si="11"/>
        <v>9753.7169171110017</v>
      </c>
      <c r="V31" s="830">
        <f t="shared" si="12"/>
        <v>1134</v>
      </c>
      <c r="W31" s="831">
        <f t="shared" si="13"/>
        <v>7428</v>
      </c>
      <c r="X31" s="1170">
        <f t="shared" si="14"/>
        <v>9131.6084585555</v>
      </c>
      <c r="Y31" s="1244">
        <f t="shared" si="15"/>
        <v>0.45084341572219572</v>
      </c>
      <c r="Z31" s="658"/>
      <c r="AA31" s="63">
        <v>3302</v>
      </c>
      <c r="AB31" s="1147">
        <v>3302</v>
      </c>
      <c r="AC31" s="63">
        <v>199</v>
      </c>
      <c r="AD31" s="63">
        <v>539</v>
      </c>
      <c r="AE31" s="63">
        <v>820</v>
      </c>
      <c r="AF31" s="63">
        <v>1091</v>
      </c>
      <c r="AG31" s="63">
        <v>1439</v>
      </c>
      <c r="AH31" s="63">
        <v>1776</v>
      </c>
      <c r="AI31" s="63">
        <v>2240</v>
      </c>
      <c r="AJ31" s="63">
        <v>2686</v>
      </c>
      <c r="AK31" s="1791">
        <v>3038</v>
      </c>
      <c r="AL31" s="63">
        <v>3368</v>
      </c>
      <c r="AM31" s="63">
        <v>3752</v>
      </c>
      <c r="AN31" s="1140">
        <v>4421</v>
      </c>
      <c r="AO31" s="1594">
        <f>AN31+AB31-AA31</f>
        <v>4421</v>
      </c>
      <c r="AP31" s="1147">
        <v>4221</v>
      </c>
      <c r="AQ31" s="1494"/>
      <c r="AR31" s="1901">
        <v>0</v>
      </c>
      <c r="AS31" s="63">
        <v>324</v>
      </c>
      <c r="AT31" s="1427">
        <f t="shared" si="17"/>
        <v>0.62814070351758799</v>
      </c>
      <c r="AU31" s="1351">
        <f t="shared" si="18"/>
        <v>0.62814070351758799</v>
      </c>
      <c r="AV31" s="63">
        <v>927</v>
      </c>
      <c r="AW31" s="1427">
        <f t="shared" si="19"/>
        <v>0.77352941176470591</v>
      </c>
      <c r="AX31" s="1351">
        <f t="shared" si="20"/>
        <v>0.71985157699443414</v>
      </c>
      <c r="AY31" s="63">
        <v>1596</v>
      </c>
      <c r="AZ31" s="1427">
        <f t="shared" si="21"/>
        <v>1.3807829181494662</v>
      </c>
      <c r="BA31" s="1351">
        <f t="shared" si="22"/>
        <v>0.9463414634146341</v>
      </c>
      <c r="BB31" s="63">
        <v>2063</v>
      </c>
      <c r="BC31" s="1427">
        <f t="shared" si="23"/>
        <v>0.7232472324723247</v>
      </c>
      <c r="BD31" s="1351">
        <f t="shared" si="24"/>
        <v>0.89092575618698444</v>
      </c>
      <c r="BE31" s="63">
        <v>2500</v>
      </c>
      <c r="BF31" s="1427">
        <f t="shared" si="25"/>
        <v>0.2557471264367816</v>
      </c>
      <c r="BG31" s="1351">
        <f t="shared" si="26"/>
        <v>0.73731758165392636</v>
      </c>
      <c r="BH31" s="63">
        <v>2969</v>
      </c>
      <c r="BI31" s="1427">
        <f t="shared" si="27"/>
        <v>0.39169139465875369</v>
      </c>
      <c r="BJ31" s="1351">
        <f t="shared" si="28"/>
        <v>0.67173423423423428</v>
      </c>
      <c r="BK31" s="63">
        <v>3516</v>
      </c>
      <c r="BL31" s="1427">
        <f t="shared" si="29"/>
        <v>0.1788793103448276</v>
      </c>
      <c r="BM31" s="1351">
        <f t="shared" si="30"/>
        <v>0.56964285714285712</v>
      </c>
      <c r="BN31" s="63">
        <v>4089</v>
      </c>
      <c r="BO31" s="1427">
        <f t="shared" si="31"/>
        <v>0.28475336322869954</v>
      </c>
      <c r="BP31" s="1351">
        <f t="shared" si="32"/>
        <v>0.52233804914370807</v>
      </c>
      <c r="BQ31" s="63">
        <v>4660</v>
      </c>
      <c r="BR31" s="1427">
        <f t="shared" si="33"/>
        <v>0.62215909090909094</v>
      </c>
      <c r="BS31" s="1351">
        <f t="shared" si="34"/>
        <v>0.5339038841342989</v>
      </c>
      <c r="BT31" s="63">
        <v>5211</v>
      </c>
      <c r="BU31" s="1427">
        <f t="shared" si="35"/>
        <v>0.66969696969696968</v>
      </c>
      <c r="BV31" s="1351">
        <f t="shared" si="36"/>
        <v>0.54720902612826605</v>
      </c>
      <c r="BW31" s="63">
        <v>5803</v>
      </c>
      <c r="BX31" s="1427">
        <f t="shared" si="37"/>
        <v>0.54166666666666663</v>
      </c>
      <c r="BY31" s="1351">
        <f t="shared" si="38"/>
        <v>0.54664179104477617</v>
      </c>
      <c r="BZ31" s="1140">
        <v>6294</v>
      </c>
      <c r="CA31" s="1427">
        <f t="shared" si="39"/>
        <v>-0.26606875934230195</v>
      </c>
      <c r="CB31" s="1351">
        <f t="shared" si="40"/>
        <v>0.42365980547387466</v>
      </c>
      <c r="CC31" s="1901">
        <v>0</v>
      </c>
      <c r="CD31" s="1594">
        <f>BZ31</f>
        <v>6294</v>
      </c>
      <c r="CE31" s="1939">
        <f t="shared" si="42"/>
        <v>0.42365980547387466</v>
      </c>
      <c r="CF31" s="1940">
        <f t="shared" si="43"/>
        <v>24</v>
      </c>
      <c r="CG31" s="1895"/>
      <c r="CH31" s="1815">
        <v>404</v>
      </c>
      <c r="CI31" s="2039">
        <f t="shared" si="44"/>
        <v>0.24691358024691357</v>
      </c>
      <c r="CJ31" s="2041">
        <f t="shared" si="45"/>
        <v>0.24691358024691357</v>
      </c>
      <c r="CK31" s="1815">
        <v>1342</v>
      </c>
      <c r="CL31" s="2039">
        <f t="shared" si="46"/>
        <v>0.55555555555555558</v>
      </c>
      <c r="CM31" s="2041">
        <f t="shared" si="47"/>
        <v>0.44768069039913699</v>
      </c>
      <c r="CN31" s="1815">
        <v>2330</v>
      </c>
      <c r="CO31" s="2039">
        <f t="shared" si="48"/>
        <v>0.47683109118086697</v>
      </c>
      <c r="CP31" s="2041">
        <f t="shared" si="49"/>
        <v>0.45989974937343359</v>
      </c>
      <c r="CQ31" s="1815">
        <v>3197</v>
      </c>
      <c r="CR31" s="2039">
        <f t="shared" si="50"/>
        <v>0.85653104925053536</v>
      </c>
      <c r="CS31" s="2041">
        <f t="shared" si="51"/>
        <v>0.54968492486669895</v>
      </c>
      <c r="CU31" s="1948">
        <f t="shared" si="52"/>
        <v>8.9785175493265368E-2</v>
      </c>
      <c r="CV31" s="1940">
        <f t="shared" si="53"/>
        <v>18</v>
      </c>
      <c r="CW31" s="1580">
        <f t="shared" si="54"/>
        <v>0.47139288993066586</v>
      </c>
      <c r="CX31" s="1799">
        <v>14416</v>
      </c>
      <c r="CY31" s="1794">
        <f>_xlfn.XLOOKUP(E31,Cement!$Q$7:$Q$35,Cement!$S$7:$S$35)</f>
        <v>20536</v>
      </c>
      <c r="CZ31" s="1245" t="s">
        <v>602</v>
      </c>
      <c r="DA31" s="1802">
        <v>0.9</v>
      </c>
      <c r="DB31" s="1529">
        <f t="shared" si="55"/>
        <v>0.62814070351758799</v>
      </c>
      <c r="DC31" s="1529">
        <f t="shared" si="56"/>
        <v>0.71985157699443414</v>
      </c>
      <c r="DD31" s="1529">
        <f t="shared" si="57"/>
        <v>0.9463414634146341</v>
      </c>
      <c r="DE31" s="1529">
        <f t="shared" si="58"/>
        <v>0.89092575618698444</v>
      </c>
      <c r="DF31" s="1529">
        <f t="shared" si="59"/>
        <v>0.73731758165392636</v>
      </c>
      <c r="DG31" s="1529">
        <f t="shared" si="60"/>
        <v>0.67173423423423428</v>
      </c>
      <c r="DH31" s="1529">
        <f t="shared" si="61"/>
        <v>0.56964285714285712</v>
      </c>
      <c r="DI31" s="1529">
        <f t="shared" si="62"/>
        <v>0.52233804914370807</v>
      </c>
      <c r="DJ31" s="1529">
        <f t="shared" si="63"/>
        <v>0.5339038841342989</v>
      </c>
      <c r="DK31" s="1529">
        <f t="shared" si="64"/>
        <v>0.54720902612826605</v>
      </c>
      <c r="DL31" s="1529">
        <f t="shared" si="65"/>
        <v>0.54664179104477617</v>
      </c>
      <c r="DM31" s="1529">
        <f t="shared" si="66"/>
        <v>0.42365980547387466</v>
      </c>
      <c r="DN31" s="1529">
        <f t="shared" si="67"/>
        <v>0.24691358024691357</v>
      </c>
      <c r="DO31" s="1529">
        <f t="shared" si="68"/>
        <v>0.44768069039913699</v>
      </c>
      <c r="DP31" s="1529">
        <f t="shared" si="69"/>
        <v>0.45989974937343359</v>
      </c>
      <c r="DQ31" s="1529">
        <f t="shared" si="70"/>
        <v>0.54968492486669895</v>
      </c>
      <c r="DS31" s="1583" t="s">
        <v>606</v>
      </c>
      <c r="DT31" s="1736"/>
      <c r="DU31" s="1580">
        <f>_xlfn.XLOOKUP(E31,E31:E121,CW31:CW121,"")</f>
        <v>0.47139288993066586</v>
      </c>
      <c r="DV31" s="1943">
        <f t="shared" si="71"/>
        <v>18</v>
      </c>
      <c r="DW31" s="1730">
        <f t="shared" si="72"/>
        <v>0.42452830188679247</v>
      </c>
      <c r="DX31" s="1860">
        <f t="shared" si="73"/>
        <v>-0.33365109628217349</v>
      </c>
      <c r="DY31" s="1683">
        <f>_xlfn.XLOOKUP(E31,Cement!$Q$7:$Q$35,Cement!$D$7:$D$35,"")</f>
        <v>-3.2819244544254023</v>
      </c>
      <c r="DZ31" s="1583" t="s">
        <v>603</v>
      </c>
    </row>
    <row r="32" spans="2:130" ht="68" customHeight="1">
      <c r="B32" s="1118">
        <f>_xlfn.XLOOKUP(E32,Cement!$Q$7:$Q$35,Cement!$A$7:$A$35,"")</f>
        <v>-29.487824380399573</v>
      </c>
      <c r="C32" s="394">
        <f>_xlfn.XLOOKUP(E32,Cement!$Q$7:$Q$35,Cement!$S$7:$S$35,"")</f>
        <v>10327.799999999999</v>
      </c>
      <c r="D32" s="223" t="s">
        <v>40</v>
      </c>
      <c r="E32" s="1949" t="s">
        <v>41</v>
      </c>
      <c r="F32" s="982">
        <f>_xlfn.XLOOKUP(E32,Cement!$Q$7:$Q$35,Cement!$R$7:$R$35,"")</f>
        <v>12</v>
      </c>
      <c r="G32" s="1204">
        <f>_xlfn.XLOOKUP(E32,Cement!$Q$7:$Q$35,Cement!$AP$7:$AP$35,"")</f>
        <v>4414</v>
      </c>
      <c r="H32" s="1211">
        <v>1502</v>
      </c>
      <c r="I32" s="1714">
        <f t="shared" si="3"/>
        <v>2912</v>
      </c>
      <c r="J32" s="1712">
        <f t="shared" si="4"/>
        <v>0.34028092433167195</v>
      </c>
      <c r="K32" s="1761">
        <v>4</v>
      </c>
      <c r="L32" s="1728">
        <f t="shared" si="5"/>
        <v>4</v>
      </c>
      <c r="M32" s="689">
        <v>1405</v>
      </c>
      <c r="N32" s="689">
        <v>1270</v>
      </c>
      <c r="O32" s="1718">
        <v>76</v>
      </c>
      <c r="P32" s="1714">
        <f t="shared" si="6"/>
        <v>1194</v>
      </c>
      <c r="Q32" s="1712">
        <f t="shared" si="7"/>
        <v>5.9842519685039369E-2</v>
      </c>
      <c r="R32" s="557">
        <f t="shared" si="8"/>
        <v>3810</v>
      </c>
      <c r="S32" s="553">
        <f t="shared" si="9"/>
        <v>-9.6085409252669035E-2</v>
      </c>
      <c r="T32" s="553">
        <f t="shared" si="10"/>
        <v>0.31830539193475305</v>
      </c>
      <c r="U32" s="558">
        <f t="shared" si="11"/>
        <v>3989.879003558719</v>
      </c>
      <c r="V32" s="591">
        <f t="shared" si="12"/>
        <v>-135</v>
      </c>
      <c r="W32" s="559">
        <f t="shared" si="13"/>
        <v>4279</v>
      </c>
      <c r="X32" s="1170">
        <f t="shared" si="14"/>
        <v>4017.1895017793595</v>
      </c>
      <c r="Y32" s="1244">
        <f t="shared" si="15"/>
        <v>-8.9898164526651683E-2</v>
      </c>
      <c r="Z32" s="658"/>
      <c r="AA32" s="63">
        <v>2482</v>
      </c>
      <c r="AB32" s="1147">
        <v>2482</v>
      </c>
      <c r="AC32" s="63">
        <v>88</v>
      </c>
      <c r="AD32" s="63">
        <v>253</v>
      </c>
      <c r="AE32" s="63">
        <v>418</v>
      </c>
      <c r="AF32" s="63">
        <v>555</v>
      </c>
      <c r="AG32" s="63">
        <v>668</v>
      </c>
      <c r="AH32" s="63">
        <v>798</v>
      </c>
      <c r="AI32" s="63">
        <v>1084</v>
      </c>
      <c r="AJ32" s="63">
        <v>1532</v>
      </c>
      <c r="AK32" s="63">
        <v>1901</v>
      </c>
      <c r="AL32" s="63">
        <v>2272</v>
      </c>
      <c r="AM32" s="63">
        <v>2544</v>
      </c>
      <c r="AN32" s="1140">
        <v>2966</v>
      </c>
      <c r="AO32" s="1594">
        <f>AN32+AB32-AA32</f>
        <v>2966</v>
      </c>
      <c r="AP32" s="1147">
        <v>2966</v>
      </c>
      <c r="AQ32" s="1494"/>
      <c r="AR32" s="1901">
        <v>0</v>
      </c>
      <c r="AS32" s="63">
        <v>301</v>
      </c>
      <c r="AT32" s="1427">
        <f t="shared" si="17"/>
        <v>2.4204545454545454</v>
      </c>
      <c r="AU32" s="1351">
        <f t="shared" si="18"/>
        <v>2.4204545454545454</v>
      </c>
      <c r="AV32" s="63">
        <v>629</v>
      </c>
      <c r="AW32" s="1427">
        <f t="shared" si="19"/>
        <v>0.98787878787878791</v>
      </c>
      <c r="AX32" s="1351">
        <f t="shared" si="20"/>
        <v>1.4861660079051384</v>
      </c>
      <c r="AY32" s="63">
        <v>975</v>
      </c>
      <c r="AZ32" s="1427">
        <f t="shared" si="21"/>
        <v>1.0969696969696969</v>
      </c>
      <c r="BA32" s="1351">
        <f t="shared" si="22"/>
        <v>1.332535885167464</v>
      </c>
      <c r="BB32" s="63">
        <v>1405</v>
      </c>
      <c r="BC32" s="1427">
        <f t="shared" si="23"/>
        <v>2.1386861313868613</v>
      </c>
      <c r="BD32" s="1351">
        <f t="shared" si="24"/>
        <v>1.5315315315315314</v>
      </c>
      <c r="BE32" s="63">
        <v>1676</v>
      </c>
      <c r="BF32" s="1427">
        <f t="shared" si="25"/>
        <v>1.3982300884955752</v>
      </c>
      <c r="BG32" s="1351">
        <f t="shared" si="26"/>
        <v>1.5089820359281436</v>
      </c>
      <c r="BH32" s="63">
        <v>2001</v>
      </c>
      <c r="BI32" s="1427">
        <f t="shared" si="27"/>
        <v>1.5</v>
      </c>
      <c r="BJ32" s="1351">
        <f t="shared" si="28"/>
        <v>1.5075187969924813</v>
      </c>
      <c r="BK32" s="63">
        <v>2445</v>
      </c>
      <c r="BL32" s="1427">
        <f t="shared" si="29"/>
        <v>0.55244755244755239</v>
      </c>
      <c r="BM32" s="1351">
        <f t="shared" si="30"/>
        <v>1.2555350553505535</v>
      </c>
      <c r="BN32" s="63">
        <v>2930</v>
      </c>
      <c r="BO32" s="1427">
        <f t="shared" si="31"/>
        <v>8.2589285714285712E-2</v>
      </c>
      <c r="BP32" s="1351">
        <f t="shared" si="32"/>
        <v>0.91253263707571797</v>
      </c>
      <c r="BQ32" s="63">
        <v>3394</v>
      </c>
      <c r="BR32" s="1427">
        <f t="shared" si="33"/>
        <v>0.25745257452574527</v>
      </c>
      <c r="BS32" s="1351">
        <f t="shared" si="34"/>
        <v>0.78537611783271966</v>
      </c>
      <c r="BT32" s="63">
        <v>3851</v>
      </c>
      <c r="BU32" s="1427">
        <f t="shared" si="35"/>
        <v>0.23180592991913745</v>
      </c>
      <c r="BV32" s="1351">
        <f t="shared" si="36"/>
        <v>0.69498239436619713</v>
      </c>
      <c r="BW32" s="63">
        <v>4158</v>
      </c>
      <c r="BX32" s="1427">
        <f t="shared" si="37"/>
        <v>0.12867647058823528</v>
      </c>
      <c r="BY32" s="1351">
        <f t="shared" si="38"/>
        <v>0.63443396226415094</v>
      </c>
      <c r="BZ32" s="1140">
        <v>4414</v>
      </c>
      <c r="CA32" s="1427">
        <f t="shared" si="39"/>
        <v>-0.39336492890995262</v>
      </c>
      <c r="CB32" s="1351">
        <f t="shared" si="40"/>
        <v>0.48819959541469993</v>
      </c>
      <c r="CC32" s="1901">
        <v>0</v>
      </c>
      <c r="CD32" s="1594">
        <f>BZ32</f>
        <v>4414</v>
      </c>
      <c r="CE32" s="1939">
        <f t="shared" si="42"/>
        <v>0.48819959541469993</v>
      </c>
      <c r="CF32" s="1940">
        <f t="shared" si="43"/>
        <v>23</v>
      </c>
      <c r="CG32" s="1895"/>
      <c r="CH32" s="1815">
        <v>165</v>
      </c>
      <c r="CI32" s="2039">
        <f t="shared" si="44"/>
        <v>-0.45182724252491696</v>
      </c>
      <c r="CJ32" s="2041">
        <f t="shared" si="45"/>
        <v>-0.45182724252491696</v>
      </c>
      <c r="CK32" s="1815">
        <v>549</v>
      </c>
      <c r="CL32" s="2039">
        <f t="shared" si="46"/>
        <v>0.17073170731707318</v>
      </c>
      <c r="CM32" s="2041">
        <f t="shared" si="47"/>
        <v>-0.12718600953895071</v>
      </c>
      <c r="CN32" s="1815">
        <v>926</v>
      </c>
      <c r="CO32" s="2039">
        <f t="shared" si="48"/>
        <v>8.9595375722543349E-2</v>
      </c>
      <c r="CP32" s="2041">
        <f t="shared" si="49"/>
        <v>-5.0256410256410255E-2</v>
      </c>
      <c r="CQ32" s="1815">
        <v>1270</v>
      </c>
      <c r="CR32" s="2039">
        <f t="shared" si="50"/>
        <v>-0.2</v>
      </c>
      <c r="CS32" s="2041">
        <f t="shared" si="51"/>
        <v>-9.6085409252669035E-2</v>
      </c>
      <c r="CU32" s="1948">
        <f t="shared" si="52"/>
        <v>-4.582899899625878E-2</v>
      </c>
      <c r="CV32" s="1940">
        <f t="shared" si="53"/>
        <v>28</v>
      </c>
      <c r="CW32" s="1580">
        <f t="shared" si="54"/>
        <v>0.47139288993066586</v>
      </c>
      <c r="CX32" s="1799">
        <v>9097.2000000000007</v>
      </c>
      <c r="CY32" s="1794">
        <f>_xlfn.XLOOKUP(E32,Cement!$Q$7:$Q$35,Cement!$S$7:$S$35)</f>
        <v>10327.799999999999</v>
      </c>
      <c r="CZ32" s="1245" t="s">
        <v>602</v>
      </c>
      <c r="DA32" s="1802">
        <v>0.9</v>
      </c>
      <c r="DB32" s="1529">
        <f t="shared" si="55"/>
        <v>2.4204545454545454</v>
      </c>
      <c r="DC32" s="1529">
        <f t="shared" si="56"/>
        <v>1.4861660079051384</v>
      </c>
      <c r="DD32" s="1529">
        <f t="shared" si="57"/>
        <v>1.332535885167464</v>
      </c>
      <c r="DE32" s="1529">
        <f t="shared" si="58"/>
        <v>1.5315315315315314</v>
      </c>
      <c r="DF32" s="1529">
        <f t="shared" si="59"/>
        <v>1.5089820359281436</v>
      </c>
      <c r="DG32" s="1529">
        <f t="shared" si="60"/>
        <v>1.5075187969924813</v>
      </c>
      <c r="DH32" s="1529">
        <f t="shared" si="61"/>
        <v>1.2555350553505535</v>
      </c>
      <c r="DI32" s="1529">
        <f t="shared" si="62"/>
        <v>0.91253263707571797</v>
      </c>
      <c r="DJ32" s="1529">
        <f t="shared" si="63"/>
        <v>0.78537611783271966</v>
      </c>
      <c r="DK32" s="1529">
        <f t="shared" si="64"/>
        <v>0.69498239436619713</v>
      </c>
      <c r="DL32" s="1529">
        <f t="shared" si="65"/>
        <v>0.63443396226415094</v>
      </c>
      <c r="DM32" s="1529">
        <f t="shared" si="66"/>
        <v>0.48819959541469993</v>
      </c>
      <c r="DN32" s="1529">
        <f t="shared" si="67"/>
        <v>-0.45182724252491696</v>
      </c>
      <c r="DO32" s="1529">
        <f t="shared" si="68"/>
        <v>-0.12718600953895071</v>
      </c>
      <c r="DP32" s="1529">
        <f t="shared" si="69"/>
        <v>-5.0256410256410255E-2</v>
      </c>
      <c r="DQ32" s="1529">
        <f t="shared" si="70"/>
        <v>-9.6085409252669035E-2</v>
      </c>
      <c r="DS32" s="1583" t="s">
        <v>607</v>
      </c>
      <c r="DT32" s="1736"/>
      <c r="DU32" s="1580">
        <f>_xlfn.XLOOKUP(E32,E32:E122,CW32:CW122,"")</f>
        <v>0.47139288993066586</v>
      </c>
      <c r="DV32" s="1943">
        <f t="shared" si="71"/>
        <v>28</v>
      </c>
      <c r="DW32" s="1730">
        <f t="shared" si="72"/>
        <v>0.1352723915050783</v>
      </c>
      <c r="DX32" s="1860">
        <f t="shared" si="73"/>
        <v>-28.043840464663262</v>
      </c>
      <c r="DY32" s="1683">
        <f>_xlfn.XLOOKUP(E32,Cement!$Q$7:$Q$35,Cement!$D$7:$D$35,"")</f>
        <v>-3.0234762822811794</v>
      </c>
      <c r="DZ32" s="1583" t="s">
        <v>607</v>
      </c>
    </row>
    <row r="33" spans="2:130" ht="23" customHeight="1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789"/>
      <c r="M33" s="63"/>
      <c r="N33" s="63"/>
      <c r="O33" s="1720"/>
      <c r="P33" s="1715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1791"/>
      <c r="AL33" s="63"/>
      <c r="AM33" s="63"/>
      <c r="AN33" s="63"/>
      <c r="AO33" s="1595"/>
      <c r="AP33" s="63"/>
      <c r="AQ33" s="63"/>
      <c r="AR33" s="63"/>
      <c r="AS33" s="63"/>
      <c r="AT33" s="63" t="str">
        <f t="shared" ref="AT33:AT34" si="75">IFERROR(IF(OR(AT$3-$F33=1,AT$3-$F33=-11),(AS33-AC33)/AC33,((AS33-AR33)-(AC33-AA33))/(AC33-AA33)),"")</f>
        <v/>
      </c>
      <c r="AU33" s="63"/>
      <c r="AV33" s="63"/>
      <c r="AW33" s="63" t="str">
        <f t="shared" ref="AW33:AW34" si="76">IFERROR(IF(OR(AW$3-$F33=1,AW$3-$F33=-11),(AV33-AD33)/AD33,((AV33-AS33)-(AD33-AC33))/(AD33-AC33)),"")</f>
        <v/>
      </c>
      <c r="AX33" s="63"/>
      <c r="AY33" s="63"/>
      <c r="AZ33" s="63" t="str">
        <f t="shared" ref="AZ33:AZ34" si="77">IFERROR(IF(OR(AZ$3-$F33=1,AZ$3-$F33=-11),(AY33-AE33)/AE33,((AY33-AV33)-(AE33-AD33))/(AE33-AD33)),"")</f>
        <v/>
      </c>
      <c r="BA33" s="63"/>
      <c r="BB33" s="63"/>
      <c r="BC33" s="63" t="str">
        <f t="shared" ref="BC33:BC34" si="78">IFERROR(IF(OR(BC$3-$F33=1,BC$3-$F33=-11),(BB33-AF33)/AF33,((BB33-AY33)-(AF33-AE33))/(AF33-AE33)),"")</f>
        <v/>
      </c>
      <c r="BD33" s="63"/>
      <c r="BE33" s="63"/>
      <c r="BF33" s="63" t="str">
        <f t="shared" ref="BF33:BF34" si="79">IFERROR(IF(OR(BF$3-$F33=1,BF$3-$F33=-11),(BE33-AG33)/AG33,((BE33-BB33)-(AG33-AF33))/(AG33-AF33)),"")</f>
        <v/>
      </c>
      <c r="BG33" s="63"/>
      <c r="BH33" s="63"/>
      <c r="BI33" s="63" t="str">
        <f t="shared" ref="BI33:BI34" si="80">IFERROR(IF(OR(BI$3-$F33=1,BI$3-$F33=-11),(BH33-AH33)/AH33,((BH33-BE33)-(AH33-AG33))/(AH33-AG33)),"")</f>
        <v/>
      </c>
      <c r="BJ33" s="63"/>
      <c r="BK33" s="63"/>
      <c r="BL33" s="63" t="str">
        <f t="shared" ref="BL33:BL34" si="81">IFERROR(IF(OR(BL$3-$F33=1,BL$3-$F33=-11),(BK33-AI33)/AI33,((BK33-BH33)-(AI33-AH33))/(AI33-AH33)),"")</f>
        <v/>
      </c>
      <c r="BM33" s="63"/>
      <c r="BN33" s="63"/>
      <c r="BO33" s="63" t="str">
        <f t="shared" ref="BO33" si="82">IFERROR(IF(OR(BO$3-$F33=1,BO$3-$F33=-11),(BN33-AJ33)/AJ33,((BN33-BK33)-(AJ33-AI33))/(AJ33-AI33)),"")</f>
        <v/>
      </c>
      <c r="BP33" s="63"/>
      <c r="BQ33" s="63"/>
      <c r="BR33" s="63" t="str">
        <f t="shared" ref="BR33:BR34" si="83">IFERROR(IF(OR(BR$3-$F33=1,BR$3-$F33=-11),(BQ33-AK33)/AK33,((BQ33-BN33)-(AK33-AJ33))/(AK33-AJ33)),"")</f>
        <v/>
      </c>
      <c r="BS33" s="63"/>
      <c r="BT33" s="63"/>
      <c r="BU33" s="63" t="str">
        <f t="shared" ref="BU33:BU34" si="84">IFERROR(IF(OR(BU$3-$F33=1,BU$3-$F33=-11),(BT33-AL33)/AL33,((BT33-BQ33)-(AL33-AK33))/(AL33-AK33)),"")</f>
        <v/>
      </c>
      <c r="BV33" s="63"/>
      <c r="BW33" s="63"/>
      <c r="BX33" s="63"/>
      <c r="BY33" s="63"/>
      <c r="BZ33" s="63"/>
      <c r="CA33" s="63"/>
      <c r="CB33" s="63"/>
      <c r="CC33" s="63"/>
      <c r="CD33" s="1939" t="str">
        <f>IFERROR((CC33-AN33)/AN33,"")</f>
        <v/>
      </c>
      <c r="CE33" s="1939" t="str">
        <f t="shared" ref="CE33" si="85">IFERROR((CD33-AO33)/AO33,"")</f>
        <v/>
      </c>
      <c r="CF33" s="1939"/>
      <c r="CG33" s="1895"/>
      <c r="CH33" s="1815"/>
      <c r="CI33" s="2039" t="str">
        <f>IFERROR(IF(OR(CI$3-$F33=1,CI$3-$F33=-11),(CH33-AS33)/AS33,((CH33-A33)-(AS33-AN33))/(AS33-AN33)),"")</f>
        <v/>
      </c>
      <c r="CJ33" s="2041" t="str">
        <f t="shared" ref="CJ33" si="86">IF(CH33&gt;0,((CH33-AS33)/AS33),"")</f>
        <v/>
      </c>
      <c r="CK33" s="1815"/>
      <c r="CL33" s="2039" t="str">
        <f t="shared" ref="CL33" si="87">IFERROR(IF(OR(CL$3-$F33=1,CL$3-$F33=-11),(CK33-AV33)/AV33,((CK33-CH33)-(AV33-AS33))/(AV33-AS33)),"")</f>
        <v/>
      </c>
      <c r="CM33" s="2041" t="str">
        <f t="shared" ref="CM33" si="88">IF(CK33&gt;0,((CK33-AV33)/AV33),"")</f>
        <v/>
      </c>
      <c r="CN33" s="1815"/>
      <c r="CO33" s="2039" t="str">
        <f t="shared" ref="CO33" si="89">IFERROR(IF(OR(CO$3-$F33=1,CO$3-$F33=-11),(CN33-AY33)/AY33,((CN33-CK33)-(AY33-AV33))/(AY33-AV33)),"")</f>
        <v/>
      </c>
      <c r="CP33" s="2041" t="str">
        <f t="shared" ref="CP33" si="90">IF(CN33&gt;0,((CN33-AY33)/AY33),"")</f>
        <v/>
      </c>
      <c r="CQ33" s="1815"/>
      <c r="CR33" s="2039" t="str">
        <f t="shared" ref="CR33" si="91">IFERROR(IF(OR(CR$3-$F33=1,CR$3-$F33=-11),(CQ33-BB33)/BB33,((CQ33-CN33)-(BB33-AY33))/(BB33-AY33)),"")</f>
        <v/>
      </c>
      <c r="CS33" s="2041" t="str">
        <f t="shared" ref="CS33" si="92">IF(CQ33&gt;0,((CQ33-BB33)/BB33),"")</f>
        <v/>
      </c>
      <c r="CT33" s="63"/>
      <c r="CU33" s="1948" t="str">
        <f t="shared" ref="CU33" si="93">IFERROR(IF(CS33&gt;-100,CS33-CP33,""),"")</f>
        <v/>
      </c>
      <c r="CV33" s="1940" t="str">
        <f t="shared" ref="CV33" si="94">IFERROR(RANK(CS33, $CS$4:$CS$32),"")</f>
        <v/>
      </c>
      <c r="CW33" s="1720"/>
      <c r="CX33" s="1720"/>
      <c r="CY33" s="1795"/>
      <c r="CZ33" s="63"/>
      <c r="DA33" s="63"/>
      <c r="DB33" s="63"/>
      <c r="DC33" s="1529"/>
      <c r="DD33" s="1529"/>
      <c r="DE33" s="1529"/>
      <c r="DF33" s="1529"/>
      <c r="DG33" s="1529"/>
      <c r="DH33" s="1529"/>
      <c r="DI33" s="1529"/>
      <c r="DJ33" s="1529"/>
      <c r="DK33" s="1529"/>
      <c r="DL33" s="1529"/>
      <c r="DM33" s="1529"/>
      <c r="DN33" s="1529" t="str">
        <f t="shared" ref="DN33" si="95">CJ33</f>
        <v/>
      </c>
      <c r="DO33" s="1529" t="str">
        <f t="shared" ref="DO33" si="96">CM33</f>
        <v/>
      </c>
      <c r="DP33" s="1529" t="str">
        <f t="shared" ref="DP33" si="97">CP33</f>
        <v/>
      </c>
      <c r="DQ33" s="1529" t="str">
        <f t="shared" ref="DQ33" si="98">CS33</f>
        <v/>
      </c>
      <c r="DS33" s="1583"/>
      <c r="DT33" s="1736"/>
      <c r="DU33" s="1580">
        <f>_xlfn.XLOOKUP(E33,E33:E122,CW33:CW122,"")</f>
        <v>0</v>
      </c>
      <c r="DV33" s="1943"/>
      <c r="DW33" s="1730"/>
      <c r="DX33" s="1816"/>
      <c r="DY33" s="1580"/>
      <c r="DZ33" s="1583"/>
    </row>
    <row r="34" spans="2:130" s="1241" customFormat="1" ht="68" customHeight="1">
      <c r="B34" s="1515"/>
      <c r="C34" s="1515"/>
      <c r="D34" s="1552"/>
      <c r="E34" s="1552"/>
      <c r="F34" s="1515"/>
      <c r="G34" s="1515">
        <f>SUM(G4:G32)</f>
        <v>89772</v>
      </c>
      <c r="H34" s="1515">
        <f>SUM(H4:H32)</f>
        <v>14283</v>
      </c>
      <c r="I34" s="1515">
        <f>SUM(I4:I32)</f>
        <v>75489</v>
      </c>
      <c r="J34" s="1722">
        <f t="shared" ref="J34" si="99">H34/G34</f>
        <v>0.15910306108808983</v>
      </c>
      <c r="K34" s="1516"/>
      <c r="L34" s="1515"/>
      <c r="M34" s="1515">
        <f>SUM(M4:M32)</f>
        <v>36649</v>
      </c>
      <c r="N34" s="1515">
        <f>SUM(N4:N32)</f>
        <v>55686</v>
      </c>
      <c r="O34" s="1515">
        <f>SUM(O4:O32)</f>
        <v>9922</v>
      </c>
      <c r="P34" s="1515">
        <f>SUM(P4:P32)</f>
        <v>45764</v>
      </c>
      <c r="Q34" s="1515">
        <f t="shared" ref="Q34" si="100">O34/N34</f>
        <v>0.17817763890385374</v>
      </c>
      <c r="R34" s="1515">
        <f>SUM(R4:R32)</f>
        <v>129454.91428571429</v>
      </c>
      <c r="S34" s="1515"/>
      <c r="T34" s="1515"/>
      <c r="U34" s="1515">
        <f>SUM(U4:U32)</f>
        <v>138974.32360742966</v>
      </c>
      <c r="V34" s="1515">
        <f>SUM(V4:V32)</f>
        <v>19037</v>
      </c>
      <c r="W34" s="1515">
        <f>SUM(W4:W32)</f>
        <v>108809</v>
      </c>
      <c r="X34" s="1515">
        <f>SUM(X4:X32)</f>
        <v>129053.14037514341</v>
      </c>
      <c r="Y34" s="1517">
        <f>(X34-G34)/G34</f>
        <v>0.43756561483695822</v>
      </c>
      <c r="Z34" s="1518">
        <f>SUM(Z4:Z32)</f>
        <v>0</v>
      </c>
      <c r="AA34" s="1515">
        <f>SUM(AA4:AA32)</f>
        <v>33129</v>
      </c>
      <c r="AB34" s="1515">
        <f>SUM(AB4:AB32)</f>
        <v>42452</v>
      </c>
      <c r="AC34" s="1515">
        <f>SUM(AC4:AC32)</f>
        <v>8334</v>
      </c>
      <c r="AD34" s="1515">
        <f>SUM(AD4:AD32)</f>
        <v>12833</v>
      </c>
      <c r="AE34" s="1515">
        <f t="shared" ref="AE34" si="101">SUM(AE4:AE32)</f>
        <v>17031</v>
      </c>
      <c r="AF34" s="1515">
        <f t="shared" ref="AF34:AP34" si="102">SUM(AF4:AF32)</f>
        <v>20760</v>
      </c>
      <c r="AG34" s="1515">
        <f t="shared" si="102"/>
        <v>25130</v>
      </c>
      <c r="AH34" s="1515">
        <f t="shared" si="102"/>
        <v>30320</v>
      </c>
      <c r="AI34" s="1515">
        <f t="shared" si="102"/>
        <v>31065</v>
      </c>
      <c r="AJ34" s="1515">
        <f t="shared" si="102"/>
        <v>37021</v>
      </c>
      <c r="AK34" s="1515">
        <f t="shared" si="102"/>
        <v>42152</v>
      </c>
      <c r="AL34" s="1515">
        <f t="shared" si="102"/>
        <v>35388</v>
      </c>
      <c r="AM34" s="1515">
        <f t="shared" si="102"/>
        <v>38634</v>
      </c>
      <c r="AN34" s="1515">
        <f t="shared" si="102"/>
        <v>45086</v>
      </c>
      <c r="AO34" s="1593"/>
      <c r="AP34" s="1515">
        <f t="shared" si="102"/>
        <v>56333</v>
      </c>
      <c r="AQ34" s="1520"/>
      <c r="AR34" s="1515"/>
      <c r="AS34" s="1515">
        <f>SUM(AS4:AS32)</f>
        <v>12517</v>
      </c>
      <c r="AT34" s="1519">
        <f t="shared" si="75"/>
        <v>0.50191984641228704</v>
      </c>
      <c r="AU34" s="1519">
        <f>IFERROR((AS34-AC34)/AC34,"")</f>
        <v>0.50191984641228704</v>
      </c>
      <c r="AV34" s="1515">
        <f>SUM(AV4:AV32)</f>
        <v>20102</v>
      </c>
      <c r="AW34" s="1519">
        <f t="shared" si="76"/>
        <v>0.68593020671260285</v>
      </c>
      <c r="AX34" s="1519">
        <f>IFERROR((AV34-AD34)/AD34,"")</f>
        <v>0.56643029689082836</v>
      </c>
      <c r="AY34" s="1515">
        <f>SUM(AY4:AY32)</f>
        <v>28757</v>
      </c>
      <c r="AZ34" s="1519">
        <f t="shared" si="77"/>
        <v>1.0616960457360647</v>
      </c>
      <c r="BA34" s="1519">
        <f>(AY34-AE34)/AE34</f>
        <v>0.68850918912571191</v>
      </c>
      <c r="BB34" s="1515">
        <f>SUM(BB4:BB32)</f>
        <v>36252</v>
      </c>
      <c r="BC34" s="1519">
        <f t="shared" si="78"/>
        <v>1.0099222311611693</v>
      </c>
      <c r="BD34" s="1519">
        <f>IFERROR((BB34-AF34)/AF34,"")</f>
        <v>0.74624277456647403</v>
      </c>
      <c r="BE34" s="1515">
        <f>SUM(BE4:BE32)</f>
        <v>43457</v>
      </c>
      <c r="BF34" s="1519">
        <f t="shared" si="79"/>
        <v>0.64874141876430202</v>
      </c>
      <c r="BG34" s="1519">
        <f>IFERROR((BE34-AG34)/AG34,"")</f>
        <v>0.72928770393951448</v>
      </c>
      <c r="BH34" s="1515">
        <f>SUM(BH4:BH32)</f>
        <v>51610</v>
      </c>
      <c r="BI34" s="1519">
        <f t="shared" si="80"/>
        <v>0.57090558766859345</v>
      </c>
      <c r="BJ34" s="1519">
        <f>IFERROR((BH34-AH34)/AH34,"")</f>
        <v>0.70217678100263847</v>
      </c>
      <c r="BK34" s="1515">
        <f>SUM(BK4:BK32)</f>
        <v>53054</v>
      </c>
      <c r="BL34" s="1519">
        <f t="shared" si="81"/>
        <v>0.93825503355704698</v>
      </c>
      <c r="BM34" s="1519">
        <f>IFERROR((BK34-AK34)/AK34,"")</f>
        <v>0.25863541468969442</v>
      </c>
      <c r="BN34" s="1515">
        <f>SUM(BN4:BN32)</f>
        <v>61673</v>
      </c>
      <c r="BO34" s="1519"/>
      <c r="BP34" s="1515"/>
      <c r="BQ34" s="1515">
        <f>SUM(BQ4:BQ32)</f>
        <v>69507</v>
      </c>
      <c r="BR34" s="1519">
        <f t="shared" si="83"/>
        <v>0.52679789514714481</v>
      </c>
      <c r="BS34" s="1515"/>
      <c r="BT34" s="1515">
        <f>SUM(BT4:BT32)</f>
        <v>57851</v>
      </c>
      <c r="BU34" s="1519">
        <f t="shared" si="84"/>
        <v>0.72324068598462443</v>
      </c>
      <c r="BV34" s="1515"/>
      <c r="BW34" s="1515">
        <f>SUM(BW4:BW32)</f>
        <v>63142</v>
      </c>
      <c r="BX34" s="1515"/>
      <c r="BY34" s="1515"/>
      <c r="BZ34" s="1515">
        <f>SUM(BZ4:BZ32)</f>
        <v>70931</v>
      </c>
      <c r="CA34" s="1515"/>
      <c r="CB34" s="1515"/>
      <c r="CC34" s="1515"/>
      <c r="CD34" s="1593"/>
      <c r="CE34" s="1593"/>
      <c r="CF34" s="1593"/>
      <c r="CG34" s="1897"/>
      <c r="CH34" s="1530"/>
      <c r="CI34" s="1521"/>
      <c r="CJ34" s="1521"/>
      <c r="CK34" s="1530"/>
      <c r="CL34" s="1521"/>
      <c r="CM34" s="1521"/>
      <c r="CN34" s="1530"/>
      <c r="CO34" s="1521"/>
      <c r="CP34" s="1521"/>
      <c r="CQ34" s="1530"/>
      <c r="CR34" s="1521"/>
      <c r="CS34" s="1521"/>
      <c r="CT34" s="1521"/>
      <c r="CU34" s="1521"/>
      <c r="CV34" s="1521"/>
      <c r="CW34" s="1521"/>
      <c r="CX34" s="1793"/>
      <c r="CY34" s="1796"/>
      <c r="CZ34" s="1521"/>
      <c r="DA34" s="1530"/>
      <c r="DB34" s="1530"/>
      <c r="DC34" s="1530"/>
      <c r="DD34" s="1530"/>
      <c r="DE34" s="1530"/>
      <c r="DF34" s="1530"/>
      <c r="DG34" s="1530"/>
      <c r="DH34" s="1530"/>
      <c r="DI34" s="1530"/>
      <c r="DJ34" s="1530"/>
      <c r="DK34" s="1530"/>
      <c r="DL34" s="1530"/>
      <c r="DM34" s="1530"/>
      <c r="DN34" s="1530"/>
      <c r="DO34" s="1530"/>
      <c r="DP34" s="1530"/>
      <c r="DQ34" s="1530"/>
      <c r="DR34"/>
      <c r="DS34" s="1584"/>
      <c r="DT34" s="1584"/>
      <c r="DU34" s="1531"/>
      <c r="DV34" s="1943"/>
      <c r="DW34" s="1730"/>
      <c r="DX34" s="1816"/>
      <c r="DY34" s="1531"/>
      <c r="DZ34" s="1531"/>
    </row>
    <row r="35" spans="2:130" s="1241" customFormat="1" ht="52" customHeight="1">
      <c r="B35" s="1876"/>
      <c r="C35" s="1877"/>
      <c r="D35" s="1878"/>
      <c r="E35" s="1878"/>
      <c r="F35" s="1877"/>
      <c r="G35" s="1877"/>
      <c r="H35" s="1877"/>
      <c r="I35" s="1877"/>
      <c r="J35" s="1879"/>
      <c r="K35" s="1877"/>
      <c r="L35" s="1877"/>
      <c r="M35" s="1877"/>
      <c r="N35" s="1877"/>
      <c r="O35" s="1877"/>
      <c r="P35" s="1877"/>
      <c r="Q35" s="1880"/>
      <c r="R35" s="1881"/>
      <c r="S35" s="1877"/>
      <c r="T35" s="1877"/>
      <c r="U35" s="1877"/>
      <c r="V35" s="1877"/>
      <c r="W35" s="1877"/>
      <c r="X35" s="1877"/>
      <c r="Y35" s="1877"/>
      <c r="Z35" s="1877"/>
      <c r="AA35" s="1877"/>
      <c r="AB35" s="1882"/>
      <c r="AC35" s="1877"/>
      <c r="AD35" s="1877"/>
      <c r="AE35" s="1877"/>
      <c r="AF35" s="1877"/>
      <c r="AG35" s="1877"/>
      <c r="AH35" s="1877"/>
      <c r="AI35" s="1877"/>
      <c r="AJ35" s="1877"/>
      <c r="AK35" s="1877"/>
      <c r="AL35" s="1877"/>
      <c r="AM35" s="1877"/>
      <c r="AN35" s="1877"/>
      <c r="AO35" s="1877"/>
      <c r="AP35" s="1882"/>
      <c r="AQ35" s="1877"/>
      <c r="AR35" s="1883"/>
      <c r="AS35" s="1883">
        <f>(AS34-AC34)/AC34</f>
        <v>0.50191984641228704</v>
      </c>
      <c r="AT35" s="1877"/>
      <c r="AU35" s="1877"/>
      <c r="AV35" s="1883">
        <f>(AV34-AD34)/AD34</f>
        <v>0.56643029689082836</v>
      </c>
      <c r="AW35" s="1877"/>
      <c r="AX35" s="1877"/>
      <c r="AY35" s="1883">
        <f>(AY34-AE34)/AE34</f>
        <v>0.68850918912571191</v>
      </c>
      <c r="AZ35" s="1877"/>
      <c r="BA35" s="1877"/>
      <c r="BB35" s="1883">
        <f>(BB34-AF34)/AF34</f>
        <v>0.74624277456647403</v>
      </c>
      <c r="BC35" s="1877"/>
      <c r="BD35" s="1877"/>
      <c r="BE35" s="1883">
        <f>(BE34-AG34)/AG34</f>
        <v>0.72928770393951448</v>
      </c>
      <c r="BF35" s="1877"/>
      <c r="BG35" s="1877"/>
      <c r="BH35" s="1883">
        <f>(BH34-AH34)/AH34</f>
        <v>0.70217678100263847</v>
      </c>
      <c r="BI35" s="1877"/>
      <c r="BJ35" s="1877"/>
      <c r="BK35" s="1883">
        <f>(BK34-AI34)/AI34</f>
        <v>0.70783840334781911</v>
      </c>
      <c r="BL35" s="1877"/>
      <c r="BM35" s="1877"/>
      <c r="BN35" s="1883">
        <f>(BN34-AJ34)/AJ34</f>
        <v>0.66589233137948733</v>
      </c>
      <c r="BO35" s="1877"/>
      <c r="BP35" s="1877"/>
      <c r="BQ35" s="1883">
        <f>(BQ34-AK34)/AK34</f>
        <v>0.64896090339722912</v>
      </c>
      <c r="BR35" s="1877"/>
      <c r="BS35" s="1877"/>
      <c r="BT35" s="1883">
        <f>(BT34-AL34)/AL34</f>
        <v>0.63476319656380698</v>
      </c>
      <c r="BU35" s="1877"/>
      <c r="BV35" s="1877"/>
      <c r="BW35" s="1883">
        <f>(BW34-AM34)/AM34</f>
        <v>0.63436351400320956</v>
      </c>
      <c r="BX35" s="1877"/>
      <c r="BY35" s="1877"/>
      <c r="BZ35" s="1883">
        <f>(BZ34-AP34)/AP34</f>
        <v>0.25913762803330198</v>
      </c>
      <c r="CA35" s="1877"/>
      <c r="CB35" s="1877"/>
      <c r="CC35" s="1883"/>
      <c r="CD35" s="1904"/>
      <c r="CE35" s="1904"/>
      <c r="CF35" s="1904"/>
      <c r="CG35" s="1898"/>
      <c r="CH35" s="1863"/>
      <c r="CI35" s="1862"/>
      <c r="CJ35" s="1862"/>
      <c r="CK35" s="1863"/>
      <c r="CL35" s="1862"/>
      <c r="CM35" s="1862"/>
      <c r="CN35" s="1863"/>
      <c r="CO35" s="1862"/>
      <c r="CP35" s="1862"/>
      <c r="CQ35" s="1863"/>
      <c r="CR35" s="1862"/>
      <c r="CS35" s="1862"/>
      <c r="CT35" s="1862"/>
      <c r="CU35" s="1862"/>
      <c r="CV35" s="1862"/>
      <c r="CW35" s="1862"/>
      <c r="CX35" s="1862"/>
      <c r="CY35" s="1862"/>
      <c r="CZ35" s="1862"/>
      <c r="DA35" s="1863"/>
      <c r="DB35" s="1863"/>
      <c r="DC35" s="1863"/>
      <c r="DD35" s="1863"/>
      <c r="DE35" s="1863"/>
      <c r="DF35" s="1863"/>
      <c r="DG35" s="1863"/>
      <c r="DH35" s="1863"/>
      <c r="DI35" s="1863"/>
      <c r="DJ35" s="1863"/>
      <c r="DK35" s="1863"/>
      <c r="DL35" s="1863"/>
      <c r="DM35" s="1863"/>
      <c r="DN35" s="1863"/>
      <c r="DO35" s="1863"/>
      <c r="DP35" s="1863"/>
      <c r="DQ35" s="1863"/>
      <c r="DR35"/>
      <c r="DS35" s="1583"/>
      <c r="DT35" s="1736"/>
      <c r="DU35" s="1531"/>
      <c r="DV35" s="1943"/>
      <c r="DW35" s="1730"/>
      <c r="DX35" s="1860"/>
      <c r="DY35" s="1683"/>
      <c r="DZ35" s="1583"/>
    </row>
    <row r="36" spans="2:130" ht="20" customHeight="1"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1729"/>
      <c r="M36" s="497"/>
      <c r="N36" s="497"/>
      <c r="O36" s="782"/>
      <c r="P36" s="1721"/>
      <c r="Q36" s="497"/>
      <c r="R36" s="497"/>
      <c r="S36" s="497"/>
      <c r="T36" s="497"/>
      <c r="U36" s="497"/>
      <c r="V36" s="497"/>
      <c r="W36" s="497"/>
      <c r="X36" s="497"/>
      <c r="Y36" s="497"/>
      <c r="Z36" s="497"/>
      <c r="AA36" s="497"/>
      <c r="AB36" s="497"/>
      <c r="AC36" s="497"/>
      <c r="AD36" s="497"/>
      <c r="AE36" s="497"/>
      <c r="AF36" s="497"/>
      <c r="AG36" s="497"/>
      <c r="AH36" s="497"/>
      <c r="AI36" s="497"/>
      <c r="AJ36" s="497"/>
      <c r="AK36" s="155"/>
      <c r="AL36" s="497"/>
      <c r="AM36" s="497"/>
      <c r="AN36" s="497"/>
      <c r="AO36" s="1724"/>
      <c r="AP36" s="497"/>
      <c r="AQ36" s="497"/>
      <c r="AR36" s="497"/>
      <c r="AS36" s="497"/>
      <c r="AT36" s="497" t="str">
        <f t="shared" ref="AT36" si="103">IFERROR(IF(OR(AT$3-$F36=1,AT$3-$F36=-11),(AS36-AC36)/AC36,((AS36-AR36)-(AC36-AA36))/(AC36-AA36)),"")</f>
        <v/>
      </c>
      <c r="AU36" s="497"/>
      <c r="AV36" s="497"/>
      <c r="AW36" s="497" t="str">
        <f t="shared" ref="AW36" si="104">IFERROR(IF(OR(AW$3-$F36=1,AW$3-$F36=-11),(AV36-AD36)/AD36,((AV36-AS36)-(AD36-AC36))/(AD36-AC36)),"")</f>
        <v/>
      </c>
      <c r="AX36" s="497"/>
      <c r="AY36" s="497"/>
      <c r="AZ36" s="497" t="str">
        <f t="shared" ref="AZ36" si="105">IFERROR(IF(OR(AZ$3-$F36=1,AZ$3-$F36=-11),(AY36-AE36)/AE36,((AY36-AV36)-(AE36-AD36))/(AE36-AD36)),"")</f>
        <v/>
      </c>
      <c r="BA36" s="497"/>
      <c r="BB36" s="497"/>
      <c r="BC36" s="497" t="str">
        <f t="shared" ref="BC36" si="106">IFERROR(IF(OR(BC$3-$F36=1,BC$3-$F36=-11),(BB36-AF36)/AF36,((BB36-AY36)-(AF36-AE36))/(AF36-AE36)),"")</f>
        <v/>
      </c>
      <c r="BD36" s="497"/>
      <c r="BE36" s="497"/>
      <c r="BF36" s="497" t="str">
        <f t="shared" ref="BF36" si="107">IFERROR(IF(OR(BF$3-$F36=1,BF$3-$F36=-11),(BE36-AG36)/AG36,((BE36-BB36)-(AG36-AF36))/(AG36-AF36)),"")</f>
        <v/>
      </c>
      <c r="BG36" s="497"/>
      <c r="BH36" s="497"/>
      <c r="BI36" s="497" t="str">
        <f t="shared" ref="BI36" si="108">IFERROR(IF(OR(BI$3-$F36=1,BI$3-$F36=-11),(BH36-AH36)/AH36,((BH36-BE36)-(AH36-AG36))/(AH36-AG36)),"")</f>
        <v/>
      </c>
      <c r="BJ36" s="497"/>
      <c r="BK36" s="497"/>
      <c r="BL36" s="497" t="str">
        <f t="shared" ref="BL36" si="109">IFERROR(IF(OR(BL$3-$F36=1,BL$3-$F36=-11),(BK36-AI36)/AI36,((BK36-BH36)-(AI36-AH36))/(AI36-AH36)),"")</f>
        <v/>
      </c>
      <c r="BM36" s="497"/>
      <c r="BN36" s="497"/>
      <c r="BO36" s="497" t="str">
        <f t="shared" ref="BO36" si="110">IFERROR(IF(OR(BO$3-$F36=1,BO$3-$F36=-11),(BN36-AJ36)/AJ36,((BN36-BK36)-(AJ36-AI36))/(AJ36-AI36)),"")</f>
        <v/>
      </c>
      <c r="BP36" s="497"/>
      <c r="BQ36" s="497"/>
      <c r="BR36" s="497" t="str">
        <f t="shared" ref="BR36" si="111">IFERROR(IF(OR(BR$3-$F36=1,BR$3-$F36=-11),(BQ36-AK36)/AK36,((BQ36-BN36)-(AK36-AJ36))/(AK36-AJ36)),"")</f>
        <v/>
      </c>
      <c r="BS36" s="497"/>
      <c r="BT36" s="497"/>
      <c r="BU36" s="497" t="str">
        <f t="shared" ref="BU36" si="112">IFERROR(IF(OR(BU$3-$F36=1,BU$3-$F36=-11),(BT36-AL36)/AL36,((BT36-BQ36)-(AL36-AK36))/(AL36-AK36)),"")</f>
        <v/>
      </c>
      <c r="BV36" s="497"/>
      <c r="BW36" s="497"/>
      <c r="BX36" s="497"/>
      <c r="BY36" s="497"/>
      <c r="BZ36" s="497"/>
      <c r="CA36" s="497"/>
      <c r="CB36" s="497"/>
      <c r="CC36" s="497"/>
      <c r="CD36" s="1905"/>
      <c r="CE36" s="1905"/>
      <c r="CF36" s="1905"/>
      <c r="CG36" s="1899"/>
      <c r="CH36" s="2052"/>
      <c r="CI36" s="2040"/>
      <c r="CJ36" s="2042"/>
      <c r="CK36" s="2052"/>
      <c r="CL36" s="2040"/>
      <c r="CM36" s="2042"/>
      <c r="CN36" s="2052"/>
      <c r="CO36" s="2040"/>
      <c r="CP36" s="2042"/>
      <c r="CQ36" s="2052"/>
      <c r="CR36" s="2040"/>
      <c r="CS36" s="2042"/>
      <c r="CT36" s="497"/>
      <c r="CU36" s="497"/>
      <c r="CV36" s="1940" t="str">
        <f t="shared" ref="CV36" si="113">IFERROR(RANK(CS36, $CS$4:$CS$32),"")</f>
        <v/>
      </c>
      <c r="CW36" s="497"/>
      <c r="CX36" s="782"/>
      <c r="CY36" s="1797"/>
      <c r="CZ36" s="497"/>
      <c r="DA36" s="497"/>
      <c r="DB36" s="497"/>
      <c r="DC36" s="497"/>
      <c r="DD36" s="497"/>
      <c r="DE36" s="497"/>
      <c r="DF36" s="497"/>
      <c r="DG36" s="497"/>
      <c r="DH36" s="497"/>
      <c r="DI36" s="497"/>
      <c r="DJ36" s="497"/>
      <c r="DK36" s="497"/>
      <c r="DL36" s="497"/>
      <c r="DM36" s="497"/>
      <c r="DN36" s="497"/>
      <c r="DO36" s="497"/>
      <c r="DP36" s="497"/>
      <c r="DQ36" s="497"/>
      <c r="DS36" s="1726"/>
      <c r="DT36" s="1726"/>
      <c r="DU36" s="1725">
        <f>_xlfn.XLOOKUP(E36,E36:E124,CW36:CW124,"")</f>
        <v>0</v>
      </c>
      <c r="DV36" s="1725"/>
      <c r="DW36" s="1733"/>
      <c r="DX36" s="1817"/>
      <c r="DY36" s="1733"/>
      <c r="DZ36" s="1583"/>
    </row>
    <row r="37" spans="2:130" ht="68" customHeight="1">
      <c r="B37" s="1119">
        <f>_xlfn.XLOOKUP(E37,MOPFRA!$R$7:$R$56,MOPFRA!$A$7:$A$56,"")</f>
        <v>48.716544797266323</v>
      </c>
      <c r="C37" s="394">
        <f>_xlfn.XLOOKUP(E37,MOPFRA!$R$7:$R$56,MOPFRA!$T$7:$T$56,"")</f>
        <v>5800</v>
      </c>
      <c r="D37" s="1322" t="s">
        <v>114</v>
      </c>
      <c r="E37" s="1950" t="s">
        <v>115</v>
      </c>
      <c r="F37" s="982">
        <f>_xlfn.XLOOKUP(E37,MOPFRA!$R$7:$R$56,MOPFRA!$S$7:$S$56,"")</f>
        <v>12</v>
      </c>
      <c r="G37" s="1203">
        <f>_xlfn.XLOOKUP(E37,MOPFRA!$R$7:$R$56,MOPFRA!$AQ$7:$AQ$56,"")</f>
        <v>4747</v>
      </c>
      <c r="H37" s="1210">
        <v>312</v>
      </c>
      <c r="I37" s="1713">
        <f t="shared" ref="I37:I68" si="114">G37-H37</f>
        <v>4435</v>
      </c>
      <c r="J37" s="1712">
        <f t="shared" ref="J37:J68" si="115">H37/G37</f>
        <v>6.5725721508321039E-2</v>
      </c>
      <c r="K37" s="2034">
        <v>4</v>
      </c>
      <c r="L37" s="1727">
        <f t="shared" ref="L37:L68" si="116">IF(K37&gt;F37,(K37-F37),((12-F37)+K37))</f>
        <v>4</v>
      </c>
      <c r="M37" s="690">
        <v>921</v>
      </c>
      <c r="N37" s="690">
        <v>1923</v>
      </c>
      <c r="O37" s="1717">
        <v>87</v>
      </c>
      <c r="P37" s="1713">
        <f t="shared" ref="P37:P68" si="117">N37-O37</f>
        <v>1836</v>
      </c>
      <c r="Q37" s="1712">
        <f t="shared" ref="Q37:Q68" si="118">O37/N37</f>
        <v>4.5241809672386897E-2</v>
      </c>
      <c r="R37" s="587">
        <f>N37*(12/L37)</f>
        <v>5769</v>
      </c>
      <c r="S37" s="588">
        <f t="shared" ref="S37:S68" si="119">(N37-M37)/M37</f>
        <v>1.0879478827361564</v>
      </c>
      <c r="T37" s="588">
        <f t="shared" ref="T37:T68" si="120">M37/G37</f>
        <v>0.19401727406783231</v>
      </c>
      <c r="U37" s="589">
        <f t="shared" ref="U37:U68" si="121">G37*(1+S37)</f>
        <v>9911.488599348535</v>
      </c>
      <c r="V37" s="710">
        <f t="shared" ref="V37:V68" si="122">N37-M37</f>
        <v>1002</v>
      </c>
      <c r="W37" s="590">
        <f t="shared" ref="W37:W68" si="123">G37+V37</f>
        <v>5749</v>
      </c>
      <c r="X37" s="1170">
        <f t="shared" ref="X37:X68" si="124">IF(AND(N37&gt;=M37,(R37+U37+U37+W37)/4&lt;G37),W37,(R37+U37+U37+W37)/4)</f>
        <v>7835.2442996742675</v>
      </c>
      <c r="Y37" s="1244">
        <f t="shared" ref="Y37:Y68" si="125">(X37-G37)/G37</f>
        <v>0.6505675794552912</v>
      </c>
      <c r="Z37" s="668"/>
      <c r="AA37" s="63">
        <v>4459</v>
      </c>
      <c r="AB37" s="1147">
        <v>4459</v>
      </c>
      <c r="AC37" s="63">
        <v>166</v>
      </c>
      <c r="AD37" s="63">
        <v>551</v>
      </c>
      <c r="AE37" s="63">
        <v>940</v>
      </c>
      <c r="AF37" s="63">
        <v>1321</v>
      </c>
      <c r="AG37" s="63">
        <v>1689</v>
      </c>
      <c r="AH37" s="63">
        <v>1979</v>
      </c>
      <c r="AI37" s="63">
        <v>2448</v>
      </c>
      <c r="AJ37" s="63">
        <v>2821</v>
      </c>
      <c r="AK37" s="1791">
        <v>3134</v>
      </c>
      <c r="AL37" s="63">
        <v>3534</v>
      </c>
      <c r="AM37" s="63">
        <v>3929</v>
      </c>
      <c r="AN37" s="1140">
        <v>4305</v>
      </c>
      <c r="AO37" s="1594">
        <f t="shared" ref="AO37:AO58" si="126">AN37+AB37-AA37</f>
        <v>4305</v>
      </c>
      <c r="AP37" s="1147">
        <v>4305</v>
      </c>
      <c r="AQ37" s="1494"/>
      <c r="AR37" s="63">
        <v>0</v>
      </c>
      <c r="AS37" s="63">
        <v>114</v>
      </c>
      <c r="AT37" s="1427">
        <f t="shared" ref="AT37:AT68" si="127">IFERROR(IF(OR(AT$3-$F37=1,AT$3-$F37=-11),(AS37-AC37)/AC37,((AS37-AR37)-(AC37-AA37))/(AC37-AA37)),"")</f>
        <v>-0.31325301204819278</v>
      </c>
      <c r="AU37" s="1351">
        <f t="shared" ref="AU37:AU68" si="128">IFERROR((AS37-AC37)/AC37,"")</f>
        <v>-0.31325301204819278</v>
      </c>
      <c r="AV37" s="63">
        <v>403</v>
      </c>
      <c r="AW37" s="1427">
        <f t="shared" ref="AW37:AW68" si="129">IFERROR(IF(OR(AW$3-$F37=1,AW$3-$F37=-11),(AV37-AD37)/AD37,((AV37-AS37)-(AD37-AC37))/(AD37-AC37)),"")</f>
        <v>-0.24935064935064935</v>
      </c>
      <c r="AX37" s="1351">
        <f t="shared" ref="AX37:AX68" si="130">IFERROR((AV37-AD37)/AD37,"")</f>
        <v>-0.26860254083484575</v>
      </c>
      <c r="AY37" s="63">
        <v>702</v>
      </c>
      <c r="AZ37" s="1427">
        <f t="shared" ref="AZ37:AZ68" si="131">IFERROR(IF(OR(AZ$3-$F37=1,AZ$3-$F37=-11),(AY37-AE37)/AE37,((AY37-AV37)-(AE37-AD37))/(AE37-AD37)),"")</f>
        <v>-0.23136246786632392</v>
      </c>
      <c r="BA37" s="1351">
        <f t="shared" ref="BA37:BA68" si="132">IFERROR((AY37-AE37)/AE37,"")</f>
        <v>-0.2531914893617021</v>
      </c>
      <c r="BB37" s="63">
        <v>921</v>
      </c>
      <c r="BC37" s="1427">
        <f t="shared" ref="BC37:BC68" si="133">IFERROR(IF(OR(BC$3-$F37=1,BC$3-$F37=-11),(BB37-AF37)/AF37,((BB37-AY37)-(AF37-AE37))/(AF37-AE37)),"")</f>
        <v>-0.42519685039370081</v>
      </c>
      <c r="BD37" s="1351">
        <f t="shared" ref="BD37:BD68" si="134">IFERROR((BB37-AF37)/AF37,"")</f>
        <v>-0.30280090840272522</v>
      </c>
      <c r="BE37" s="63">
        <v>1235</v>
      </c>
      <c r="BF37" s="1427">
        <f t="shared" ref="BF37:BF68" si="135">IFERROR(IF(OR(BF$3-$F37=1,BF$3-$F37=-11),(BE37-AG37)/AG37,((BE37-BB37)-(AG37-AF37))/(AG37-AF37)),"")</f>
        <v>-0.14673913043478262</v>
      </c>
      <c r="BG37" s="1351">
        <f t="shared" ref="BG37:BG68" si="136">IFERROR((BE37-AG37)/AG37,"")</f>
        <v>-0.26879810538780341</v>
      </c>
      <c r="BH37" s="63">
        <v>1618</v>
      </c>
      <c r="BI37" s="1427">
        <f t="shared" ref="BI37:BI68" si="137">IFERROR(IF(OR(BI$3-$F37=1,BI$3-$F37=-11),(BH37-AH37)/AH37,((BH37-BE37)-(AH37-AG37))/(AH37-AG37)),"")</f>
        <v>0.32068965517241377</v>
      </c>
      <c r="BJ37" s="1351">
        <f t="shared" ref="BJ37:BJ68" si="138">IFERROR((BH37-AH37)/AH37,"")</f>
        <v>-0.18241536129358263</v>
      </c>
      <c r="BK37" s="63">
        <v>2090</v>
      </c>
      <c r="BL37" s="1427">
        <f t="shared" ref="BL37:BL68" si="139">IFERROR(IF(OR(BL$3-$F37=1,BL$3-$F37=-11),(BK37-AI37)/AI37,((BK37-BH37)-(AI37-AH37))/(AI37-AH37)),"")</f>
        <v>6.3965884861407248E-3</v>
      </c>
      <c r="BM37" s="1351">
        <f t="shared" ref="BM37:BM68" si="140">IFERROR((BK37-AI37)/AI37,"")</f>
        <v>-0.14624183006535948</v>
      </c>
      <c r="BN37" s="63">
        <v>2566</v>
      </c>
      <c r="BO37" s="1427">
        <f t="shared" ref="BO37:BO68" si="141">IFERROR(IF(OR(BO$3-$F37=1,BO$3-$F37=-11),(BN37-AJ37)/AJ37,((BN37-BK37)-(AJ37-AI37))/(AJ37-AI37)),"")</f>
        <v>0.27613941018766758</v>
      </c>
      <c r="BP37" s="1351">
        <f t="shared" ref="BP37:BP68" si="142">IFERROR((BN37-AJ37)/AJ37,"")</f>
        <v>-9.0393477490251686E-2</v>
      </c>
      <c r="BQ37" s="63">
        <v>3118</v>
      </c>
      <c r="BR37" s="1427">
        <f t="shared" ref="BR37:BR68" si="143">IFERROR(IF(OR(BR$3-$F37=1,BR$3-$F37=-11),(BQ37-AK37)/AK37,((BQ37-BN37)-(AK37-AJ37))/(AK37-AJ37)),"")</f>
        <v>0.76357827476038342</v>
      </c>
      <c r="BS37" s="1351">
        <f t="shared" ref="BS37:BS68" si="144">IFERROR((BQ37-AK37)/AK37,"")</f>
        <v>-5.1052967453733252E-3</v>
      </c>
      <c r="BT37" s="63">
        <v>3628</v>
      </c>
      <c r="BU37" s="1427">
        <f t="shared" ref="BU37:BU68" si="145">IFERROR(IF(OR(BU$3-$F37=1,BU$3-$F37=-11),(BT37-AL37)/AL37,((BT37-BQ37)-(AL37-AK37))/(AL37-AK37)),"")</f>
        <v>0.27500000000000002</v>
      </c>
      <c r="BV37" s="1351">
        <f t="shared" ref="BV37:BV68" si="146">IF(BT37&gt;0,((BT37-AL37)/AL37),"")</f>
        <v>2.659875495189587E-2</v>
      </c>
      <c r="BW37" s="63">
        <v>4180</v>
      </c>
      <c r="BX37" s="1427">
        <f t="shared" ref="BX37:BX68" si="147">IFERROR(IF(OR(BX$3-$F37=1,BX$3-$F37=-11),(BW37-AM37)/AM37,((BW37-BT37)-(AM37-AL37))/(AM37-AL37)),"")</f>
        <v>0.39746835443037976</v>
      </c>
      <c r="BY37" s="1351">
        <f t="shared" ref="BY37:BY68" si="148">IF(BW37&gt;0,((BW37-AM37)/AM37),"")</f>
        <v>6.3883939933825407E-2</v>
      </c>
      <c r="BZ37" s="1140">
        <v>4747</v>
      </c>
      <c r="CA37" s="1427">
        <f t="shared" ref="CA37:CA68" si="149">IFERROR(IF(OR(CA$3-$F37=1,CA$3-$F37=-11),(BZ37-AN37)/AN37,((BZ37-BW37)-(AN37-AM37))/(AN37-AM37)),"")</f>
        <v>0.50797872340425532</v>
      </c>
      <c r="CB37" s="1351">
        <f t="shared" ref="CB37:CB68" si="150">IF(BZ37&gt;0,((BZ37-AN37)/AN37),"")</f>
        <v>0.10267131242740998</v>
      </c>
      <c r="CC37" s="1901">
        <v>0</v>
      </c>
      <c r="CD37" s="1594">
        <f t="shared" ref="CD37:CD58" si="151">BZ37</f>
        <v>4747</v>
      </c>
      <c r="CE37" s="1939">
        <f t="shared" ref="CE37:CE68" si="152">IFERROR((CD37-AO37)/AO37,"")</f>
        <v>0.10267131242740998</v>
      </c>
      <c r="CF37" s="1940">
        <f t="shared" ref="CF37:CF68" si="153">RANK(CE37,$CE$37:$CE$86)</f>
        <v>49</v>
      </c>
      <c r="CG37" s="1895"/>
      <c r="CH37" s="1815">
        <v>238</v>
      </c>
      <c r="CI37" s="2039">
        <f t="shared" ref="CI37:CI68" si="154">IFERROR(IF(OR(CI$3-$F37=1,CI$3-$F37=-11),(CH37-AS37)/AS37,((CH37-BZ37)-(AS37-AN37))/(AS37-AN37)),"")</f>
        <v>1.0877192982456141</v>
      </c>
      <c r="CJ37" s="2041">
        <f t="shared" ref="CJ37:CJ68" si="155">IF(CH37&gt;0,((CH37-AS37)/AS37),"")</f>
        <v>1.0877192982456141</v>
      </c>
      <c r="CK37" s="1815">
        <v>924</v>
      </c>
      <c r="CL37" s="2039">
        <f t="shared" ref="CL37:CL68" si="156">IFERROR(IF(OR(CL$3-$F37=1,CL$3-$F37=-11),(CK37-AV37)/AV37,((CK37-CH37)-(AV37-AS37))/(AV37-AS37)),"")</f>
        <v>1.3737024221453287</v>
      </c>
      <c r="CM37" s="2041">
        <f t="shared" ref="CM37:CM68" si="157">IF(CK37&gt;0,((CK37-AV37)/AV37),"")</f>
        <v>1.2928039702233252</v>
      </c>
      <c r="CN37" s="1815">
        <v>1366</v>
      </c>
      <c r="CO37" s="2039">
        <f t="shared" ref="CO37:CO68" si="158">IFERROR(IF(OR(CO$3-$F37=1,CO$3-$F37=-11),(CN37-AY37)/AY37,((CN37-CK37)-(AY37-AV37))/(AY37-AV37)),"")</f>
        <v>0.47826086956521741</v>
      </c>
      <c r="CP37" s="2041">
        <f t="shared" ref="CP37:CP68" si="159">IF(CN37&gt;0,((CN37-AY37)/AY37),"")</f>
        <v>0.94586894586894588</v>
      </c>
      <c r="CQ37" s="1815">
        <v>1923</v>
      </c>
      <c r="CR37" s="2039">
        <f t="shared" ref="CR37:CR68" si="160">IFERROR(IF(OR(CR$3-$F37=1,CR$3-$F37=-11),(CQ37-BB37)/BB37,((CQ37-CN37)-(BB37-AY37))/(BB37-AY37)),"")</f>
        <v>1.54337899543379</v>
      </c>
      <c r="CS37" s="2041">
        <f t="shared" ref="CS37:CS68" si="161">IF(CQ37&gt;0,((CQ37-BB37)/BB37),"")</f>
        <v>1.0879478827361564</v>
      </c>
      <c r="CU37" s="1948">
        <f t="shared" ref="CU37:CU68" si="162">IFERROR(IF(CS37&gt;-100,CS37-CP37,""),"")</f>
        <v>0.14207893686721051</v>
      </c>
      <c r="CV37" s="1940">
        <f t="shared" ref="CV37:CV68" si="163">IFERROR(RANK(CS37, $CS$37:$CS$86),"")</f>
        <v>20</v>
      </c>
      <c r="CW37" s="1580">
        <f t="shared" ref="CW37:CW68" si="164">IFERROR((SUMIF($CZ$4:$CZ$93,CZ37,$CY$4:$CY$93)-SUMIF($CZ$4:$CZ$93,CZ37,$CX$4:$CX$93))/SUMIF($CZ$4:$CZ$93,CZ37,$CX$4:$CX$93),"")</f>
        <v>-9.1469711678294471E-2</v>
      </c>
      <c r="CX37" s="1799">
        <v>3627</v>
      </c>
      <c r="CY37" s="1794">
        <f>_xlfn.XLOOKUP(E37,MOPFRA!$R$7:$R$56,MOPFRA!$T$7:$T$56,"")</f>
        <v>5800</v>
      </c>
      <c r="CZ37" s="1245" t="str">
        <f>_xlfn.XLOOKUP(E37,MOPFRA!$R$7:$R$56,MOPFRA!$P$7:$P$56,"")</f>
        <v>M</v>
      </c>
      <c r="DA37" s="1802">
        <v>0.9</v>
      </c>
      <c r="DB37" s="1529">
        <f t="shared" ref="DB37:DB68" si="165">AU37</f>
        <v>-0.31325301204819278</v>
      </c>
      <c r="DC37" s="1529">
        <f t="shared" ref="DC37:DC68" si="166">AX37</f>
        <v>-0.26860254083484575</v>
      </c>
      <c r="DD37" s="1529">
        <f t="shared" ref="DD37:DD68" si="167">BA37</f>
        <v>-0.2531914893617021</v>
      </c>
      <c r="DE37" s="1529">
        <f t="shared" ref="DE37:DE68" si="168">BD37</f>
        <v>-0.30280090840272522</v>
      </c>
      <c r="DF37" s="1529">
        <f t="shared" ref="DF37:DF68" si="169">BG37</f>
        <v>-0.26879810538780341</v>
      </c>
      <c r="DG37" s="1529">
        <f t="shared" ref="DG37:DG68" si="170">BJ37</f>
        <v>-0.18241536129358263</v>
      </c>
      <c r="DH37" s="1529">
        <f t="shared" ref="DH37:DH68" si="171">BM37</f>
        <v>-0.14624183006535948</v>
      </c>
      <c r="DI37" s="1529">
        <f t="shared" ref="DI37:DI68" si="172">BP37</f>
        <v>-9.0393477490251686E-2</v>
      </c>
      <c r="DJ37" s="1529">
        <f t="shared" ref="DJ37:DJ46" si="173">BS37</f>
        <v>-5.1052967453733252E-3</v>
      </c>
      <c r="DK37" s="1529">
        <f t="shared" ref="DK37:DK68" si="174">BV37</f>
        <v>2.659875495189587E-2</v>
      </c>
      <c r="DL37" s="1529">
        <f t="shared" ref="DL37:DL68" si="175">BY37</f>
        <v>6.3883939933825407E-2</v>
      </c>
      <c r="DM37" s="1529">
        <f t="shared" ref="DM37:DM68" si="176">CB37</f>
        <v>0.10267131242740998</v>
      </c>
      <c r="DN37" s="1529">
        <f t="shared" ref="DN37:DN68" si="177">CJ37</f>
        <v>1.0877192982456141</v>
      </c>
      <c r="DO37" s="1529">
        <f t="shared" ref="DO37:DO68" si="178">CM37</f>
        <v>1.2928039702233252</v>
      </c>
      <c r="DP37" s="1529">
        <f t="shared" ref="DP37:DP68" si="179">CP37</f>
        <v>0.94586894586894588</v>
      </c>
      <c r="DQ37" s="1529">
        <f t="shared" ref="DQ37:DQ68" si="180">CS37</f>
        <v>1.0879478827361564</v>
      </c>
      <c r="DS37" s="1723" t="s">
        <v>605</v>
      </c>
      <c r="DT37" s="1736"/>
      <c r="DU37" s="1580">
        <f>_xlfn.XLOOKUP(E37,E37:E124,CW37:CW124,"")</f>
        <v>-9.1469711678294471E-2</v>
      </c>
      <c r="DV37" s="1943">
        <f t="shared" ref="DV37:DV68" si="181">CV37</f>
        <v>20</v>
      </c>
      <c r="DW37" s="1730">
        <f t="shared" ref="DW37:DW68" si="182">IFERROR((CY37-CX37)/CX37, "NEW")</f>
        <v>0.59911772814998621</v>
      </c>
      <c r="DX37" s="1860">
        <f t="shared" ref="DX37:DX68" si="183">(Q37-J37)*100</f>
        <v>-2.0483911835934143</v>
      </c>
      <c r="DY37" s="1683">
        <f>_xlfn.XLOOKUP(E37,MOPFRA!$R$7:$R$56,MOPFRA!$D$7:$D$56,"")</f>
        <v>1.9271081268398715</v>
      </c>
      <c r="DZ37" s="1723" t="s">
        <v>605</v>
      </c>
    </row>
    <row r="38" spans="2:130" ht="68" customHeight="1">
      <c r="B38" s="1119">
        <f>_xlfn.XLOOKUP(E38,MOPFRA!$R$7:$R$56,MOPFRA!$A$7:$A$56,"")</f>
        <v>40.089609914804811</v>
      </c>
      <c r="C38" s="394">
        <f>_xlfn.XLOOKUP(E38,MOPFRA!$R$7:$R$56,MOPFRA!$T$7:$T$56,"")</f>
        <v>11010</v>
      </c>
      <c r="D38" s="223" t="s">
        <v>138</v>
      </c>
      <c r="E38" s="1949" t="s">
        <v>139</v>
      </c>
      <c r="F38" s="982">
        <f>_xlfn.XLOOKUP(E38,MOPFRA!$R$7:$R$56,MOPFRA!$S$7:$S$56,"")</f>
        <v>12</v>
      </c>
      <c r="G38" s="1203">
        <f>_xlfn.XLOOKUP(E38,MOPFRA!$R$7:$R$56,MOPFRA!$AQ$7:$AQ$56,"")</f>
        <v>6843</v>
      </c>
      <c r="H38" s="1210">
        <v>167</v>
      </c>
      <c r="I38" s="1713">
        <f t="shared" si="114"/>
        <v>6676</v>
      </c>
      <c r="J38" s="1712">
        <f t="shared" si="115"/>
        <v>2.4404500949875785E-2</v>
      </c>
      <c r="K38" s="1761">
        <v>4</v>
      </c>
      <c r="L38" s="1728">
        <f t="shared" si="116"/>
        <v>4</v>
      </c>
      <c r="M38" s="689">
        <v>1618</v>
      </c>
      <c r="N38" s="689">
        <v>3192</v>
      </c>
      <c r="O38" s="1718">
        <v>5</v>
      </c>
      <c r="P38" s="1713">
        <f t="shared" si="117"/>
        <v>3187</v>
      </c>
      <c r="Q38" s="1712">
        <f t="shared" si="118"/>
        <v>1.5664160401002505E-3</v>
      </c>
      <c r="R38" s="557">
        <f>N38*(12/K38)</f>
        <v>9576</v>
      </c>
      <c r="S38" s="553">
        <f t="shared" si="119"/>
        <v>0.97280593325092712</v>
      </c>
      <c r="T38" s="553">
        <f t="shared" si="120"/>
        <v>0.2364460032149642</v>
      </c>
      <c r="U38" s="558">
        <f t="shared" si="121"/>
        <v>13499.911001236094</v>
      </c>
      <c r="V38" s="591">
        <f t="shared" si="122"/>
        <v>1574</v>
      </c>
      <c r="W38" s="559">
        <f t="shared" si="123"/>
        <v>8417</v>
      </c>
      <c r="X38" s="560">
        <f t="shared" si="124"/>
        <v>11248.205500618047</v>
      </c>
      <c r="Y38" s="1244">
        <f t="shared" si="125"/>
        <v>0.6437535438576717</v>
      </c>
      <c r="Z38" s="658"/>
      <c r="AA38" s="63">
        <v>3645</v>
      </c>
      <c r="AB38" s="1147">
        <v>3645</v>
      </c>
      <c r="AC38" s="63">
        <v>123</v>
      </c>
      <c r="AD38" s="63">
        <v>530</v>
      </c>
      <c r="AE38" s="63">
        <v>912</v>
      </c>
      <c r="AF38" s="63">
        <v>1294</v>
      </c>
      <c r="AG38" s="63">
        <v>1731</v>
      </c>
      <c r="AH38" s="63">
        <v>2086</v>
      </c>
      <c r="AI38" s="63">
        <v>2468</v>
      </c>
      <c r="AJ38" s="63">
        <v>2953</v>
      </c>
      <c r="AK38" s="1791">
        <v>3349</v>
      </c>
      <c r="AL38" s="63">
        <v>3884</v>
      </c>
      <c r="AM38" s="63">
        <v>4443</v>
      </c>
      <c r="AN38" s="1140">
        <v>5079</v>
      </c>
      <c r="AO38" s="1594">
        <f t="shared" si="126"/>
        <v>5079</v>
      </c>
      <c r="AP38" s="1147">
        <v>5079</v>
      </c>
      <c r="AQ38" s="1494"/>
      <c r="AR38" s="63">
        <v>0</v>
      </c>
      <c r="AS38" s="63">
        <v>293</v>
      </c>
      <c r="AT38" s="1427">
        <f t="shared" si="127"/>
        <v>1.3821138211382114</v>
      </c>
      <c r="AU38" s="1351">
        <f t="shared" si="128"/>
        <v>1.3821138211382114</v>
      </c>
      <c r="AV38" s="63">
        <v>830</v>
      </c>
      <c r="AW38" s="1427">
        <f t="shared" si="129"/>
        <v>0.31941031941031939</v>
      </c>
      <c r="AX38" s="1351">
        <f t="shared" si="130"/>
        <v>0.56603773584905659</v>
      </c>
      <c r="AY38" s="63">
        <v>1252</v>
      </c>
      <c r="AZ38" s="1427">
        <f t="shared" si="131"/>
        <v>0.10471204188481675</v>
      </c>
      <c r="BA38" s="1351">
        <f t="shared" si="132"/>
        <v>0.37280701754385964</v>
      </c>
      <c r="BB38" s="63">
        <v>1618</v>
      </c>
      <c r="BC38" s="1427">
        <f t="shared" si="133"/>
        <v>-4.1884816753926704E-2</v>
      </c>
      <c r="BD38" s="1351">
        <f t="shared" si="134"/>
        <v>0.25038639876352398</v>
      </c>
      <c r="BE38" s="63">
        <v>1968</v>
      </c>
      <c r="BF38" s="1427">
        <f t="shared" si="135"/>
        <v>-0.19908466819221968</v>
      </c>
      <c r="BG38" s="1351">
        <f t="shared" si="136"/>
        <v>0.1369150779896014</v>
      </c>
      <c r="BH38" s="63">
        <v>2460</v>
      </c>
      <c r="BI38" s="1427">
        <f t="shared" si="137"/>
        <v>0.38591549295774646</v>
      </c>
      <c r="BJ38" s="1351">
        <f t="shared" si="138"/>
        <v>0.17929050814956854</v>
      </c>
      <c r="BK38" s="63">
        <v>3244</v>
      </c>
      <c r="BL38" s="1427">
        <f t="shared" si="139"/>
        <v>1.0523560209424083</v>
      </c>
      <c r="BM38" s="1351">
        <f t="shared" si="140"/>
        <v>0.31442463533225284</v>
      </c>
      <c r="BN38" s="63">
        <v>3923</v>
      </c>
      <c r="BO38" s="1427">
        <f t="shared" si="141"/>
        <v>0.4</v>
      </c>
      <c r="BP38" s="1351">
        <f t="shared" si="142"/>
        <v>0.32847951236031153</v>
      </c>
      <c r="BQ38" s="63">
        <v>4724</v>
      </c>
      <c r="BR38" s="1427">
        <f t="shared" si="143"/>
        <v>1.0227272727272727</v>
      </c>
      <c r="BS38" s="1351">
        <f t="shared" si="144"/>
        <v>0.41057031949835771</v>
      </c>
      <c r="BT38" s="63">
        <v>5668</v>
      </c>
      <c r="BU38" s="1427">
        <f t="shared" si="145"/>
        <v>0.76448598130841117</v>
      </c>
      <c r="BV38" s="1351">
        <f t="shared" si="146"/>
        <v>0.45932028836251287</v>
      </c>
      <c r="BW38" s="63">
        <v>6603</v>
      </c>
      <c r="BX38" s="1427">
        <f t="shared" si="147"/>
        <v>0.6726296958855098</v>
      </c>
      <c r="BY38" s="1351">
        <f t="shared" si="148"/>
        <v>0.48615800135043891</v>
      </c>
      <c r="BZ38" s="1140">
        <v>6843</v>
      </c>
      <c r="CA38" s="1427">
        <f t="shared" si="149"/>
        <v>-0.62264150943396224</v>
      </c>
      <c r="CB38" s="1351">
        <f t="shared" si="150"/>
        <v>0.34731246308328412</v>
      </c>
      <c r="CC38" s="1901">
        <v>0</v>
      </c>
      <c r="CD38" s="1594">
        <f t="shared" si="151"/>
        <v>6843</v>
      </c>
      <c r="CE38" s="1939">
        <f t="shared" si="152"/>
        <v>0.34731246308328412</v>
      </c>
      <c r="CF38" s="1940">
        <f t="shared" si="153"/>
        <v>39</v>
      </c>
      <c r="CG38" s="1895"/>
      <c r="CH38" s="1815">
        <v>418</v>
      </c>
      <c r="CI38" s="2039">
        <f t="shared" si="154"/>
        <v>0.42662116040955633</v>
      </c>
      <c r="CJ38" s="2041">
        <f t="shared" si="155"/>
        <v>0.42662116040955633</v>
      </c>
      <c r="CK38" s="1815">
        <v>1594</v>
      </c>
      <c r="CL38" s="2039">
        <f t="shared" si="156"/>
        <v>1.1899441340782122</v>
      </c>
      <c r="CM38" s="2041">
        <f t="shared" si="157"/>
        <v>0.92048192771084336</v>
      </c>
      <c r="CN38" s="1815">
        <v>2426</v>
      </c>
      <c r="CO38" s="2039">
        <f t="shared" si="158"/>
        <v>0.97156398104265407</v>
      </c>
      <c r="CP38" s="2041">
        <f t="shared" si="159"/>
        <v>0.93769968051118213</v>
      </c>
      <c r="CQ38" s="1815">
        <v>3192</v>
      </c>
      <c r="CR38" s="2039">
        <f t="shared" si="160"/>
        <v>1.0928961748633881</v>
      </c>
      <c r="CS38" s="2041">
        <f t="shared" si="161"/>
        <v>0.97280593325092712</v>
      </c>
      <c r="CU38" s="1948">
        <f t="shared" si="162"/>
        <v>3.5106252739744992E-2</v>
      </c>
      <c r="CV38" s="1940">
        <f t="shared" si="163"/>
        <v>23</v>
      </c>
      <c r="CW38" s="1580">
        <f t="shared" si="164"/>
        <v>0.49106175514626221</v>
      </c>
      <c r="CX38" s="1799">
        <v>7384</v>
      </c>
      <c r="CY38" s="1794">
        <f>_xlfn.XLOOKUP(E38,MOPFRA!$R$7:$R$56,MOPFRA!$T$7:$T$56,"")</f>
        <v>11010</v>
      </c>
      <c r="CZ38" s="1245" t="str">
        <f>_xlfn.XLOOKUP(E38,MOPFRA!$R$7:$R$56,MOPFRA!$P$7:$P$56,"")</f>
        <v>PAB</v>
      </c>
      <c r="DA38" s="1802">
        <v>0.9</v>
      </c>
      <c r="DB38" s="1529">
        <f t="shared" si="165"/>
        <v>1.3821138211382114</v>
      </c>
      <c r="DC38" s="1529">
        <f t="shared" si="166"/>
        <v>0.56603773584905659</v>
      </c>
      <c r="DD38" s="1529">
        <f t="shared" si="167"/>
        <v>0.37280701754385964</v>
      </c>
      <c r="DE38" s="1529">
        <f t="shared" si="168"/>
        <v>0.25038639876352398</v>
      </c>
      <c r="DF38" s="1529">
        <f t="shared" si="169"/>
        <v>0.1369150779896014</v>
      </c>
      <c r="DG38" s="1529">
        <f t="shared" si="170"/>
        <v>0.17929050814956854</v>
      </c>
      <c r="DH38" s="1529">
        <f t="shared" si="171"/>
        <v>0.31442463533225284</v>
      </c>
      <c r="DI38" s="1529">
        <f t="shared" si="172"/>
        <v>0.32847951236031153</v>
      </c>
      <c r="DJ38" s="1529">
        <f t="shared" si="173"/>
        <v>0.41057031949835771</v>
      </c>
      <c r="DK38" s="1529">
        <f t="shared" si="174"/>
        <v>0.45932028836251287</v>
      </c>
      <c r="DL38" s="1529">
        <f t="shared" si="175"/>
        <v>0.48615800135043891</v>
      </c>
      <c r="DM38" s="1529">
        <f t="shared" si="176"/>
        <v>0.34731246308328412</v>
      </c>
      <c r="DN38" s="1529">
        <f t="shared" si="177"/>
        <v>0.42662116040955633</v>
      </c>
      <c r="DO38" s="1529">
        <f t="shared" si="178"/>
        <v>0.92048192771084336</v>
      </c>
      <c r="DP38" s="1529">
        <f t="shared" si="179"/>
        <v>0.93769968051118213</v>
      </c>
      <c r="DQ38" s="1529">
        <f t="shared" si="180"/>
        <v>0.97280593325092712</v>
      </c>
      <c r="DS38" s="1583" t="s">
        <v>605</v>
      </c>
      <c r="DT38" s="1736"/>
      <c r="DU38" s="1580">
        <f>_xlfn.XLOOKUP(E38,E38:E126,CW38:CW126,"")</f>
        <v>0.49106175514626221</v>
      </c>
      <c r="DV38" s="1943">
        <f t="shared" si="181"/>
        <v>23</v>
      </c>
      <c r="DW38" s="1730">
        <f t="shared" si="182"/>
        <v>0.49106175514626221</v>
      </c>
      <c r="DX38" s="1860">
        <f t="shared" si="183"/>
        <v>-2.2838084909775533</v>
      </c>
      <c r="DY38" s="1683">
        <f>_xlfn.XLOOKUP(E38,MOPFRA!$R$7:$R$56,MOPFRA!$D$7:$D$56,"")</f>
        <v>1.5725873191781234</v>
      </c>
      <c r="DZ38" s="1583" t="s">
        <v>605</v>
      </c>
    </row>
    <row r="39" spans="2:130" ht="68" customHeight="1">
      <c r="B39" s="1119">
        <f>_xlfn.XLOOKUP(E39,MOPFRA!$R$7:$R$56,MOPFRA!$A$7:$A$56,"")</f>
        <v>34.139725881635457</v>
      </c>
      <c r="C39" s="394">
        <f>_xlfn.XLOOKUP(E39,MOPFRA!$R$7:$R$56,MOPFRA!$T$7:$T$56,"")</f>
        <v>33354</v>
      </c>
      <c r="D39" s="223" t="s">
        <v>148</v>
      </c>
      <c r="E39" s="1949" t="s">
        <v>149</v>
      </c>
      <c r="F39" s="982">
        <f>_xlfn.XLOOKUP(E39,MOPFRA!$R$7:$R$56,MOPFRA!$S$7:$S$56,"")</f>
        <v>12</v>
      </c>
      <c r="G39" s="1203">
        <f>_xlfn.XLOOKUP(E39,MOPFRA!$R$7:$R$56,MOPFRA!$AQ$7:$AQ$56,"")</f>
        <v>48825</v>
      </c>
      <c r="H39" s="1210">
        <v>8839</v>
      </c>
      <c r="I39" s="1713">
        <f t="shared" si="114"/>
        <v>39986</v>
      </c>
      <c r="J39" s="1712">
        <f t="shared" si="115"/>
        <v>0.18103430619559652</v>
      </c>
      <c r="K39" s="1761">
        <v>4</v>
      </c>
      <c r="L39" s="1728">
        <f t="shared" si="116"/>
        <v>4</v>
      </c>
      <c r="M39" s="689">
        <v>11696</v>
      </c>
      <c r="N39" s="689">
        <v>32573</v>
      </c>
      <c r="O39" s="1718">
        <v>2712</v>
      </c>
      <c r="P39" s="1713">
        <f t="shared" si="117"/>
        <v>29861</v>
      </c>
      <c r="Q39" s="1712">
        <f t="shared" si="118"/>
        <v>8.3259141006354953E-2</v>
      </c>
      <c r="R39" s="557">
        <f t="shared" ref="R39:R86" si="184">N39*(12/L39)</f>
        <v>97719</v>
      </c>
      <c r="S39" s="553">
        <f t="shared" si="119"/>
        <v>1.7849692202462379</v>
      </c>
      <c r="T39" s="553">
        <f t="shared" si="120"/>
        <v>0.2395494111623144</v>
      </c>
      <c r="U39" s="558">
        <f t="shared" si="121"/>
        <v>135976.12217852258</v>
      </c>
      <c r="V39" s="591">
        <f t="shared" si="122"/>
        <v>20877</v>
      </c>
      <c r="W39" s="559">
        <f t="shared" si="123"/>
        <v>69702</v>
      </c>
      <c r="X39" s="560">
        <f t="shared" si="124"/>
        <v>109843.31108926129</v>
      </c>
      <c r="Y39" s="1244">
        <f t="shared" si="125"/>
        <v>1.2497349941476967</v>
      </c>
      <c r="Z39" s="658"/>
      <c r="AA39" s="63">
        <v>29856</v>
      </c>
      <c r="AB39" s="1147">
        <v>29856</v>
      </c>
      <c r="AC39" s="63">
        <v>2023</v>
      </c>
      <c r="AD39" s="63">
        <v>5553</v>
      </c>
      <c r="AE39" s="63">
        <v>8588</v>
      </c>
      <c r="AF39" s="63">
        <v>11129</v>
      </c>
      <c r="AG39" s="63">
        <v>14254</v>
      </c>
      <c r="AH39" s="63">
        <v>17911</v>
      </c>
      <c r="AI39" s="63">
        <v>21491</v>
      </c>
      <c r="AJ39" s="63">
        <v>24939</v>
      </c>
      <c r="AK39" s="1791">
        <v>27953</v>
      </c>
      <c r="AL39" s="63">
        <v>31406</v>
      </c>
      <c r="AM39" s="63">
        <v>35351</v>
      </c>
      <c r="AN39" s="1140">
        <v>40004</v>
      </c>
      <c r="AO39" s="1594">
        <f t="shared" si="126"/>
        <v>40004</v>
      </c>
      <c r="AP39" s="1147">
        <v>40004</v>
      </c>
      <c r="AQ39" s="1494"/>
      <c r="AR39" s="63">
        <v>0</v>
      </c>
      <c r="AS39" s="63">
        <v>3344</v>
      </c>
      <c r="AT39" s="1427">
        <f t="shared" si="127"/>
        <v>0.65299060800790909</v>
      </c>
      <c r="AU39" s="1351">
        <f t="shared" si="128"/>
        <v>0.65299060800790909</v>
      </c>
      <c r="AV39" s="63">
        <v>5553</v>
      </c>
      <c r="AW39" s="1427">
        <f t="shared" si="129"/>
        <v>-0.37422096317280451</v>
      </c>
      <c r="AX39" s="1351">
        <f t="shared" si="130"/>
        <v>0</v>
      </c>
      <c r="AY39" s="63">
        <v>9940</v>
      </c>
      <c r="AZ39" s="1427">
        <f t="shared" si="131"/>
        <v>0.44546952224052716</v>
      </c>
      <c r="BA39" s="1351">
        <f t="shared" si="132"/>
        <v>0.15742897065673031</v>
      </c>
      <c r="BB39" s="63">
        <v>11696</v>
      </c>
      <c r="BC39" s="1427">
        <f t="shared" si="133"/>
        <v>-0.30893349075167259</v>
      </c>
      <c r="BD39" s="1351">
        <f t="shared" si="134"/>
        <v>5.094797376224279E-2</v>
      </c>
      <c r="BE39" s="63">
        <v>15046</v>
      </c>
      <c r="BF39" s="1427">
        <f t="shared" si="135"/>
        <v>7.1999999999999995E-2</v>
      </c>
      <c r="BG39" s="1351">
        <f t="shared" si="136"/>
        <v>5.5563350638417289E-2</v>
      </c>
      <c r="BH39" s="63">
        <v>18770</v>
      </c>
      <c r="BI39" s="1427">
        <f t="shared" si="137"/>
        <v>1.8321028165162703E-2</v>
      </c>
      <c r="BJ39" s="1351">
        <f t="shared" si="138"/>
        <v>4.7959354586566916E-2</v>
      </c>
      <c r="BK39" s="63">
        <v>23220</v>
      </c>
      <c r="BL39" s="1427">
        <f t="shared" si="139"/>
        <v>0.24301675977653631</v>
      </c>
      <c r="BM39" s="1351">
        <f t="shared" si="140"/>
        <v>8.0452282350751483E-2</v>
      </c>
      <c r="BN39" s="63">
        <v>27621</v>
      </c>
      <c r="BO39" s="1427">
        <f t="shared" si="141"/>
        <v>0.27639211136890951</v>
      </c>
      <c r="BP39" s="1351">
        <f t="shared" si="142"/>
        <v>0.10754240346445326</v>
      </c>
      <c r="BQ39" s="63">
        <v>32740</v>
      </c>
      <c r="BR39" s="1427">
        <f t="shared" si="143"/>
        <v>0.69840743198407429</v>
      </c>
      <c r="BS39" s="1351">
        <f t="shared" si="144"/>
        <v>0.17125174399885523</v>
      </c>
      <c r="BT39" s="63">
        <v>37340</v>
      </c>
      <c r="BU39" s="1427">
        <f t="shared" si="145"/>
        <v>0.33217492035910801</v>
      </c>
      <c r="BV39" s="1351">
        <f t="shared" si="146"/>
        <v>0.18894478762019995</v>
      </c>
      <c r="BW39" s="63">
        <v>43578</v>
      </c>
      <c r="BX39" s="1427">
        <f t="shared" si="147"/>
        <v>0.5812420785804816</v>
      </c>
      <c r="BY39" s="1351">
        <f t="shared" si="148"/>
        <v>0.23272326101100393</v>
      </c>
      <c r="BZ39" s="1140">
        <v>48809</v>
      </c>
      <c r="CA39" s="1427">
        <f t="shared" si="149"/>
        <v>0.12422093273157103</v>
      </c>
      <c r="CB39" s="1351">
        <f t="shared" si="150"/>
        <v>0.2201029897010299</v>
      </c>
      <c r="CC39" s="1901">
        <v>0</v>
      </c>
      <c r="CD39" s="1594">
        <f t="shared" si="151"/>
        <v>48809</v>
      </c>
      <c r="CE39" s="1939">
        <f t="shared" si="152"/>
        <v>0.2201029897010299</v>
      </c>
      <c r="CF39" s="1940">
        <f t="shared" si="153"/>
        <v>46</v>
      </c>
      <c r="CG39" s="1895"/>
      <c r="CH39" s="1815">
        <v>3207</v>
      </c>
      <c r="CI39" s="2039">
        <f t="shared" si="154"/>
        <v>-4.0968899521531099E-2</v>
      </c>
      <c r="CJ39" s="2041">
        <f t="shared" si="155"/>
        <v>-4.0968899521531099E-2</v>
      </c>
      <c r="CK39" s="1815">
        <v>12597</v>
      </c>
      <c r="CL39" s="2039">
        <f t="shared" si="156"/>
        <v>3.2507922136713443</v>
      </c>
      <c r="CM39" s="2041">
        <f t="shared" si="157"/>
        <v>1.2685035116153431</v>
      </c>
      <c r="CN39" s="1815">
        <v>22585</v>
      </c>
      <c r="CO39" s="2039">
        <f t="shared" si="158"/>
        <v>1.2767266925005698</v>
      </c>
      <c r="CP39" s="2041">
        <f t="shared" si="159"/>
        <v>1.2721327967806841</v>
      </c>
      <c r="CQ39" s="1815">
        <v>32573</v>
      </c>
      <c r="CR39" s="2039">
        <f t="shared" si="160"/>
        <v>4.6879271070615038</v>
      </c>
      <c r="CS39" s="2041">
        <f t="shared" si="161"/>
        <v>1.7849692202462379</v>
      </c>
      <c r="CU39" s="1948">
        <f t="shared" si="162"/>
        <v>0.5128364234655538</v>
      </c>
      <c r="CV39" s="1940">
        <f t="shared" si="163"/>
        <v>8</v>
      </c>
      <c r="CW39" s="1580">
        <f t="shared" si="164"/>
        <v>-4.982324676536732E-2</v>
      </c>
      <c r="CX39" s="1799">
        <v>16450.560000000001</v>
      </c>
      <c r="CY39" s="1794">
        <f>_xlfn.XLOOKUP(E39,MOPFRA!$R$7:$R$56,MOPFRA!$T$7:$T$56,"")</f>
        <v>33354</v>
      </c>
      <c r="CZ39" s="1245" t="str">
        <f>_xlfn.XLOOKUP(E39,MOPFRA!$R$7:$R$56,MOPFRA!$P$7:$P$56,"")</f>
        <v>PEP</v>
      </c>
      <c r="DA39" s="1802">
        <v>0.9</v>
      </c>
      <c r="DB39" s="1529">
        <f t="shared" si="165"/>
        <v>0.65299060800790909</v>
      </c>
      <c r="DC39" s="1529">
        <f t="shared" si="166"/>
        <v>0</v>
      </c>
      <c r="DD39" s="1529">
        <f t="shared" si="167"/>
        <v>0.15742897065673031</v>
      </c>
      <c r="DE39" s="1529">
        <f t="shared" si="168"/>
        <v>5.094797376224279E-2</v>
      </c>
      <c r="DF39" s="1529">
        <f t="shared" si="169"/>
        <v>5.5563350638417289E-2</v>
      </c>
      <c r="DG39" s="1529">
        <f t="shared" si="170"/>
        <v>4.7959354586566916E-2</v>
      </c>
      <c r="DH39" s="1529">
        <f t="shared" si="171"/>
        <v>8.0452282350751483E-2</v>
      </c>
      <c r="DI39" s="1529">
        <f t="shared" si="172"/>
        <v>0.10754240346445326</v>
      </c>
      <c r="DJ39" s="1529">
        <f t="shared" si="173"/>
        <v>0.17125174399885523</v>
      </c>
      <c r="DK39" s="1529">
        <f t="shared" si="174"/>
        <v>0.18894478762019995</v>
      </c>
      <c r="DL39" s="1529">
        <f t="shared" si="175"/>
        <v>0.23272326101100393</v>
      </c>
      <c r="DM39" s="1529">
        <f t="shared" si="176"/>
        <v>0.2201029897010299</v>
      </c>
      <c r="DN39" s="1529">
        <f t="shared" si="177"/>
        <v>-4.0968899521531099E-2</v>
      </c>
      <c r="DO39" s="1529">
        <f t="shared" si="178"/>
        <v>1.2685035116153431</v>
      </c>
      <c r="DP39" s="1529">
        <f t="shared" si="179"/>
        <v>1.2721327967806841</v>
      </c>
      <c r="DQ39" s="1529">
        <f t="shared" si="180"/>
        <v>1.7849692202462379</v>
      </c>
      <c r="DS39" s="1583" t="s">
        <v>605</v>
      </c>
      <c r="DT39" s="1736"/>
      <c r="DU39" s="1580">
        <f>_xlfn.XLOOKUP(E39,E39:E127,CW39:CW127,"")</f>
        <v>-4.982324676536732E-2</v>
      </c>
      <c r="DV39" s="1943">
        <f t="shared" si="181"/>
        <v>8</v>
      </c>
      <c r="DW39" s="1730">
        <f t="shared" si="182"/>
        <v>1.0275297619047616</v>
      </c>
      <c r="DX39" s="1860">
        <f t="shared" si="183"/>
        <v>-9.7775165189241555</v>
      </c>
      <c r="DY39" s="1683">
        <f>_xlfn.XLOOKUP(E39,MOPFRA!$R$7:$R$56,MOPFRA!$D$7:$D$56,"")</f>
        <v>2.3135843858887504</v>
      </c>
      <c r="DZ39" s="1583" t="s">
        <v>605</v>
      </c>
    </row>
    <row r="40" spans="2:130" ht="68" customHeight="1">
      <c r="B40" s="1119">
        <f>_xlfn.XLOOKUP(E40,MOPFRA!$R$7:$R$56,MOPFRA!$A$7:$A$56,"")</f>
        <v>28.21227651390776</v>
      </c>
      <c r="C40" s="394">
        <f>_xlfn.XLOOKUP(E40,MOPFRA!$R$7:$R$56,MOPFRA!$T$7:$T$56,"")</f>
        <v>3258</v>
      </c>
      <c r="D40" s="223" t="s">
        <v>108</v>
      </c>
      <c r="E40" s="1949" t="s">
        <v>109</v>
      </c>
      <c r="F40" s="982">
        <f>_xlfn.XLOOKUP(E40,MOPFRA!$R$7:$R$56,MOPFRA!$S$7:$S$56,"")</f>
        <v>12</v>
      </c>
      <c r="G40" s="1203">
        <f>_xlfn.XLOOKUP(E40,MOPFRA!$R$7:$R$56,MOPFRA!$AQ$7:$AQ$56,"")</f>
        <v>5461</v>
      </c>
      <c r="H40" s="1210">
        <v>22</v>
      </c>
      <c r="I40" s="1713">
        <f t="shared" si="114"/>
        <v>5439</v>
      </c>
      <c r="J40" s="1712">
        <f t="shared" si="115"/>
        <v>4.028566196667277E-3</v>
      </c>
      <c r="K40" s="1761">
        <v>4</v>
      </c>
      <c r="L40" s="1728">
        <f t="shared" si="116"/>
        <v>4</v>
      </c>
      <c r="M40" s="689">
        <v>1403</v>
      </c>
      <c r="N40" s="689">
        <v>2641</v>
      </c>
      <c r="O40" s="1718">
        <v>0</v>
      </c>
      <c r="P40" s="1713">
        <f t="shared" si="117"/>
        <v>2641</v>
      </c>
      <c r="Q40" s="1712">
        <f t="shared" si="118"/>
        <v>0</v>
      </c>
      <c r="R40" s="557">
        <f t="shared" si="184"/>
        <v>7923</v>
      </c>
      <c r="S40" s="553">
        <f t="shared" si="119"/>
        <v>0.88239486813970069</v>
      </c>
      <c r="T40" s="553">
        <f t="shared" si="120"/>
        <v>0.25691265336019042</v>
      </c>
      <c r="U40" s="558">
        <f t="shared" si="121"/>
        <v>10279.758374910905</v>
      </c>
      <c r="V40" s="591">
        <f t="shared" si="122"/>
        <v>1238</v>
      </c>
      <c r="W40" s="559">
        <f t="shared" si="123"/>
        <v>6699</v>
      </c>
      <c r="X40" s="560">
        <f t="shared" si="124"/>
        <v>8795.3791874554518</v>
      </c>
      <c r="Y40" s="1244">
        <f t="shared" si="125"/>
        <v>0.61058033097517883</v>
      </c>
      <c r="Z40" s="658"/>
      <c r="AA40" s="63">
        <v>4193</v>
      </c>
      <c r="AB40" s="1147">
        <v>4193</v>
      </c>
      <c r="AC40" s="63">
        <v>191</v>
      </c>
      <c r="AD40" s="63">
        <v>543</v>
      </c>
      <c r="AE40" s="63">
        <v>990</v>
      </c>
      <c r="AF40" s="63">
        <v>1312</v>
      </c>
      <c r="AG40" s="63">
        <v>1808</v>
      </c>
      <c r="AH40" s="63">
        <v>2189</v>
      </c>
      <c r="AI40" s="63">
        <v>2512</v>
      </c>
      <c r="AJ40" s="63">
        <v>2898</v>
      </c>
      <c r="AK40" s="1791">
        <v>3333</v>
      </c>
      <c r="AL40" s="63">
        <v>3729</v>
      </c>
      <c r="AM40" s="63">
        <v>4247</v>
      </c>
      <c r="AN40" s="1140">
        <v>4604</v>
      </c>
      <c r="AO40" s="1594">
        <f t="shared" si="126"/>
        <v>4604</v>
      </c>
      <c r="AP40" s="1147">
        <v>4604</v>
      </c>
      <c r="AQ40" s="1494"/>
      <c r="AR40" s="63">
        <v>0</v>
      </c>
      <c r="AS40" s="63">
        <v>242</v>
      </c>
      <c r="AT40" s="1427">
        <f t="shared" si="127"/>
        <v>0.26701570680628273</v>
      </c>
      <c r="AU40" s="1351">
        <f t="shared" si="128"/>
        <v>0.26701570680628273</v>
      </c>
      <c r="AV40" s="63">
        <v>746</v>
      </c>
      <c r="AW40" s="1427">
        <f t="shared" si="129"/>
        <v>0.43181818181818182</v>
      </c>
      <c r="AX40" s="1351">
        <f t="shared" si="130"/>
        <v>0.37384898710865561</v>
      </c>
      <c r="AY40" s="63">
        <v>1003</v>
      </c>
      <c r="AZ40" s="1427">
        <f t="shared" si="131"/>
        <v>-0.42505592841163309</v>
      </c>
      <c r="BA40" s="1351">
        <f t="shared" si="132"/>
        <v>1.3131313131313131E-2</v>
      </c>
      <c r="BB40" s="63">
        <v>1403</v>
      </c>
      <c r="BC40" s="1427">
        <f t="shared" si="133"/>
        <v>0.24223602484472051</v>
      </c>
      <c r="BD40" s="1351">
        <f t="shared" si="134"/>
        <v>6.9359756097560982E-2</v>
      </c>
      <c r="BE40" s="63">
        <v>1926</v>
      </c>
      <c r="BF40" s="1427">
        <f t="shared" si="135"/>
        <v>5.4435483870967742E-2</v>
      </c>
      <c r="BG40" s="1351">
        <f t="shared" si="136"/>
        <v>6.5265486725663721E-2</v>
      </c>
      <c r="BH40" s="63">
        <v>2530</v>
      </c>
      <c r="BI40" s="1427">
        <f t="shared" si="137"/>
        <v>0.58530183727034124</v>
      </c>
      <c r="BJ40" s="1351">
        <f t="shared" si="138"/>
        <v>0.15577889447236182</v>
      </c>
      <c r="BK40" s="63">
        <v>3018</v>
      </c>
      <c r="BL40" s="1427">
        <f t="shared" si="139"/>
        <v>0.51083591331269351</v>
      </c>
      <c r="BM40" s="1351">
        <f t="shared" si="140"/>
        <v>0.20143312101910829</v>
      </c>
      <c r="BN40" s="63">
        <v>3448</v>
      </c>
      <c r="BO40" s="1427">
        <f t="shared" si="141"/>
        <v>0.11398963730569948</v>
      </c>
      <c r="BP40" s="1351">
        <f t="shared" si="142"/>
        <v>0.18978605935127674</v>
      </c>
      <c r="BQ40" s="63">
        <v>4023</v>
      </c>
      <c r="BR40" s="1427">
        <f t="shared" si="143"/>
        <v>0.32183908045977011</v>
      </c>
      <c r="BS40" s="1351">
        <f t="shared" si="144"/>
        <v>0.20702070207020701</v>
      </c>
      <c r="BT40" s="63">
        <v>4668</v>
      </c>
      <c r="BU40" s="1427">
        <f t="shared" si="145"/>
        <v>0.62878787878787878</v>
      </c>
      <c r="BV40" s="1351">
        <f t="shared" si="146"/>
        <v>0.25181013676588898</v>
      </c>
      <c r="BW40" s="63">
        <v>5359</v>
      </c>
      <c r="BX40" s="1427">
        <f t="shared" si="147"/>
        <v>0.33397683397683398</v>
      </c>
      <c r="BY40" s="1351">
        <f t="shared" si="148"/>
        <v>0.26183188132799623</v>
      </c>
      <c r="BZ40" s="1140">
        <v>5461</v>
      </c>
      <c r="CA40" s="1427">
        <f t="shared" si="149"/>
        <v>-0.7142857142857143</v>
      </c>
      <c r="CB40" s="1351">
        <f t="shared" si="150"/>
        <v>0.1861424847958297</v>
      </c>
      <c r="CC40" s="1901">
        <v>0</v>
      </c>
      <c r="CD40" s="1594">
        <f t="shared" si="151"/>
        <v>5461</v>
      </c>
      <c r="CE40" s="1939">
        <f t="shared" si="152"/>
        <v>0.1861424847958297</v>
      </c>
      <c r="CF40" s="1940">
        <f t="shared" si="153"/>
        <v>48</v>
      </c>
      <c r="CG40" s="1895"/>
      <c r="CH40" s="1815">
        <v>383</v>
      </c>
      <c r="CI40" s="2039">
        <f t="shared" si="154"/>
        <v>0.5826446280991735</v>
      </c>
      <c r="CJ40" s="2041">
        <f t="shared" si="155"/>
        <v>0.5826446280991735</v>
      </c>
      <c r="CK40" s="1815">
        <v>1328</v>
      </c>
      <c r="CL40" s="2039">
        <f t="shared" si="156"/>
        <v>0.875</v>
      </c>
      <c r="CM40" s="2041">
        <f t="shared" si="157"/>
        <v>0.78016085790884715</v>
      </c>
      <c r="CN40" s="1815">
        <v>1992</v>
      </c>
      <c r="CO40" s="2039">
        <f t="shared" si="158"/>
        <v>1.5836575875486381</v>
      </c>
      <c r="CP40" s="2041">
        <f t="shared" si="159"/>
        <v>0.98604187437686941</v>
      </c>
      <c r="CQ40" s="1815">
        <v>2641</v>
      </c>
      <c r="CR40" s="2039">
        <f t="shared" si="160"/>
        <v>0.62250000000000005</v>
      </c>
      <c r="CS40" s="2041">
        <f t="shared" si="161"/>
        <v>0.88239486813970069</v>
      </c>
      <c r="CU40" s="1948">
        <f t="shared" si="162"/>
        <v>-0.10364700623716872</v>
      </c>
      <c r="CV40" s="1940">
        <f t="shared" si="163"/>
        <v>27</v>
      </c>
      <c r="CW40" s="1580">
        <f t="shared" si="164"/>
        <v>0.49052978314575885</v>
      </c>
      <c r="CX40" s="1799">
        <v>2185.8000000000002</v>
      </c>
      <c r="CY40" s="1794">
        <f>_xlfn.XLOOKUP(E40,MOPFRA!$R$7:$R$56,MOPFRA!$T$7:$T$56,"")</f>
        <v>3258</v>
      </c>
      <c r="CZ40" s="1245" t="str">
        <f>_xlfn.XLOOKUP(E40,MOPFRA!$R$7:$R$56,MOPFRA!$P$7:$P$56,"")</f>
        <v>HH</v>
      </c>
      <c r="DA40" s="1802">
        <v>0.9</v>
      </c>
      <c r="DB40" s="1529">
        <f t="shared" si="165"/>
        <v>0.26701570680628273</v>
      </c>
      <c r="DC40" s="1529">
        <f t="shared" si="166"/>
        <v>0.37384898710865561</v>
      </c>
      <c r="DD40" s="1529">
        <f t="shared" si="167"/>
        <v>1.3131313131313131E-2</v>
      </c>
      <c r="DE40" s="1529">
        <f t="shared" si="168"/>
        <v>6.9359756097560982E-2</v>
      </c>
      <c r="DF40" s="1529">
        <f t="shared" si="169"/>
        <v>6.5265486725663721E-2</v>
      </c>
      <c r="DG40" s="1529">
        <f t="shared" si="170"/>
        <v>0.15577889447236182</v>
      </c>
      <c r="DH40" s="1529">
        <f t="shared" si="171"/>
        <v>0.20143312101910829</v>
      </c>
      <c r="DI40" s="1529">
        <f t="shared" si="172"/>
        <v>0.18978605935127674</v>
      </c>
      <c r="DJ40" s="1529">
        <f t="shared" si="173"/>
        <v>0.20702070207020701</v>
      </c>
      <c r="DK40" s="1529">
        <f t="shared" si="174"/>
        <v>0.25181013676588898</v>
      </c>
      <c r="DL40" s="1529">
        <f t="shared" si="175"/>
        <v>0.26183188132799623</v>
      </c>
      <c r="DM40" s="1529">
        <f t="shared" si="176"/>
        <v>0.1861424847958297</v>
      </c>
      <c r="DN40" s="1529">
        <f t="shared" si="177"/>
        <v>0.5826446280991735</v>
      </c>
      <c r="DO40" s="1529">
        <f t="shared" si="178"/>
        <v>0.78016085790884715</v>
      </c>
      <c r="DP40" s="1529">
        <f t="shared" si="179"/>
        <v>0.98604187437686941</v>
      </c>
      <c r="DQ40" s="1529">
        <f t="shared" si="180"/>
        <v>0.88239486813970069</v>
      </c>
      <c r="DS40" s="1583" t="s">
        <v>197</v>
      </c>
      <c r="DT40" s="1736"/>
      <c r="DU40" s="1580">
        <f>_xlfn.XLOOKUP(E40,E40:E128,CW40:CW128,"")</f>
        <v>0.49052978314575885</v>
      </c>
      <c r="DV40" s="1943">
        <f t="shared" si="181"/>
        <v>27</v>
      </c>
      <c r="DW40" s="1730">
        <f t="shared" si="182"/>
        <v>0.49052978314575885</v>
      </c>
      <c r="DX40" s="1860">
        <f t="shared" si="183"/>
        <v>-0.4028566196667277</v>
      </c>
      <c r="DY40" s="1683">
        <f>_xlfn.XLOOKUP(E40,MOPFRA!$R$7:$R$56,MOPFRA!$D$7:$D$56,"")</f>
        <v>2.2430854930005832</v>
      </c>
      <c r="DZ40" s="1583" t="s">
        <v>605</v>
      </c>
    </row>
    <row r="41" spans="2:130" ht="68" customHeight="1">
      <c r="B41" s="1119">
        <f>_xlfn.XLOOKUP(E41,MOPFRA!$R$7:$R$56,MOPFRA!$A$7:$A$56,"")</f>
        <v>27.307134554074281</v>
      </c>
      <c r="C41" s="394">
        <f>_xlfn.XLOOKUP(E41,MOPFRA!$R$7:$R$56,MOPFRA!$T$7:$T$56,"")</f>
        <v>3380</v>
      </c>
      <c r="D41" s="223" t="s">
        <v>110</v>
      </c>
      <c r="E41" s="1949" t="s">
        <v>111</v>
      </c>
      <c r="F41" s="982">
        <f>_xlfn.XLOOKUP(E41,MOPFRA!$R$7:$R$56,MOPFRA!$S$7:$S$56,"")</f>
        <v>12</v>
      </c>
      <c r="G41" s="1203">
        <f>_xlfn.XLOOKUP(E41,MOPFRA!$R$7:$R$56,MOPFRA!$AQ$7:$AQ$56,"")</f>
        <v>4072</v>
      </c>
      <c r="H41" s="1210">
        <v>3</v>
      </c>
      <c r="I41" s="1713">
        <f t="shared" si="114"/>
        <v>4069</v>
      </c>
      <c r="J41" s="1712">
        <f t="shared" si="115"/>
        <v>7.3673870333988212E-4</v>
      </c>
      <c r="K41" s="1761">
        <v>4</v>
      </c>
      <c r="L41" s="1728">
        <f t="shared" si="116"/>
        <v>4</v>
      </c>
      <c r="M41" s="689">
        <v>847</v>
      </c>
      <c r="N41" s="689">
        <v>1674</v>
      </c>
      <c r="O41" s="1718">
        <v>0</v>
      </c>
      <c r="P41" s="1713">
        <f t="shared" si="117"/>
        <v>1674</v>
      </c>
      <c r="Q41" s="1712">
        <f t="shared" si="118"/>
        <v>0</v>
      </c>
      <c r="R41" s="557">
        <f t="shared" si="184"/>
        <v>5022</v>
      </c>
      <c r="S41" s="553">
        <f t="shared" si="119"/>
        <v>0.97638724911452179</v>
      </c>
      <c r="T41" s="553">
        <f t="shared" si="120"/>
        <v>0.20800589390962673</v>
      </c>
      <c r="U41" s="558">
        <f t="shared" si="121"/>
        <v>8047.848878394333</v>
      </c>
      <c r="V41" s="591">
        <f t="shared" si="122"/>
        <v>827</v>
      </c>
      <c r="W41" s="559">
        <f t="shared" si="123"/>
        <v>4899</v>
      </c>
      <c r="X41" s="560">
        <f t="shared" si="124"/>
        <v>6504.1744391971661</v>
      </c>
      <c r="Y41" s="1244">
        <f t="shared" si="125"/>
        <v>0.59729234754350835</v>
      </c>
      <c r="Z41" s="658"/>
      <c r="AA41" s="63">
        <v>2335</v>
      </c>
      <c r="AB41" s="1147">
        <v>2335</v>
      </c>
      <c r="AC41" s="63">
        <v>38</v>
      </c>
      <c r="AD41" s="63">
        <v>402</v>
      </c>
      <c r="AE41" s="63">
        <v>509</v>
      </c>
      <c r="AF41" s="63">
        <v>791</v>
      </c>
      <c r="AG41" s="63">
        <v>1036</v>
      </c>
      <c r="AH41" s="63">
        <v>1207</v>
      </c>
      <c r="AI41" s="63">
        <v>1397</v>
      </c>
      <c r="AJ41" s="63">
        <v>1651</v>
      </c>
      <c r="AK41" s="1791">
        <v>1871</v>
      </c>
      <c r="AL41" s="63">
        <v>2129</v>
      </c>
      <c r="AM41" s="63">
        <v>2492</v>
      </c>
      <c r="AN41" s="1140">
        <v>2878</v>
      </c>
      <c r="AO41" s="1594">
        <f t="shared" si="126"/>
        <v>2878</v>
      </c>
      <c r="AP41" s="1147">
        <v>2878</v>
      </c>
      <c r="AQ41" s="1494"/>
      <c r="AR41" s="63">
        <v>0</v>
      </c>
      <c r="AS41" s="63">
        <v>74</v>
      </c>
      <c r="AT41" s="1427">
        <f t="shared" si="127"/>
        <v>0.94736842105263153</v>
      </c>
      <c r="AU41" s="1351">
        <f t="shared" si="128"/>
        <v>0.94736842105263153</v>
      </c>
      <c r="AV41" s="63">
        <v>402</v>
      </c>
      <c r="AW41" s="1427">
        <f t="shared" si="129"/>
        <v>-9.8901098901098897E-2</v>
      </c>
      <c r="AX41" s="1351">
        <f t="shared" si="130"/>
        <v>0</v>
      </c>
      <c r="AY41" s="63">
        <v>624</v>
      </c>
      <c r="AZ41" s="1427">
        <f t="shared" si="131"/>
        <v>1.0747663551401869</v>
      </c>
      <c r="BA41" s="1351">
        <f t="shared" si="132"/>
        <v>0.22593320235756384</v>
      </c>
      <c r="BB41" s="63">
        <v>800</v>
      </c>
      <c r="BC41" s="1427">
        <f t="shared" si="133"/>
        <v>-0.37588652482269502</v>
      </c>
      <c r="BD41" s="1351">
        <f t="shared" si="134"/>
        <v>1.1378002528445006E-2</v>
      </c>
      <c r="BE41" s="63">
        <v>1125</v>
      </c>
      <c r="BF41" s="1427">
        <f t="shared" si="135"/>
        <v>0.32653061224489793</v>
      </c>
      <c r="BG41" s="1351">
        <f t="shared" si="136"/>
        <v>8.5907335907335902E-2</v>
      </c>
      <c r="BH41" s="63">
        <v>1511</v>
      </c>
      <c r="BI41" s="1427">
        <f t="shared" si="137"/>
        <v>1.2573099415204678</v>
      </c>
      <c r="BJ41" s="1351">
        <f t="shared" si="138"/>
        <v>0.25186412593206298</v>
      </c>
      <c r="BK41" s="63">
        <v>1893</v>
      </c>
      <c r="BL41" s="1427">
        <f t="shared" si="139"/>
        <v>1.0105263157894737</v>
      </c>
      <c r="BM41" s="1351">
        <f t="shared" si="140"/>
        <v>0.35504652827487471</v>
      </c>
      <c r="BN41" s="63">
        <v>2217</v>
      </c>
      <c r="BO41" s="1427">
        <f t="shared" si="141"/>
        <v>0.27559055118110237</v>
      </c>
      <c r="BP41" s="1351">
        <f t="shared" si="142"/>
        <v>0.34282253179890976</v>
      </c>
      <c r="BQ41" s="63">
        <v>2581</v>
      </c>
      <c r="BR41" s="1427">
        <f t="shared" si="143"/>
        <v>0.65454545454545454</v>
      </c>
      <c r="BS41" s="1351">
        <f t="shared" si="144"/>
        <v>0.37947621592731162</v>
      </c>
      <c r="BT41" s="63">
        <v>3080</v>
      </c>
      <c r="BU41" s="1427">
        <f t="shared" si="145"/>
        <v>0.93410852713178294</v>
      </c>
      <c r="BV41" s="1351">
        <f t="shared" si="146"/>
        <v>0.44668858619069984</v>
      </c>
      <c r="BW41" s="63">
        <v>3605</v>
      </c>
      <c r="BX41" s="1427">
        <f t="shared" si="147"/>
        <v>0.4462809917355372</v>
      </c>
      <c r="BY41" s="1351">
        <f t="shared" si="148"/>
        <v>0.44662921348314605</v>
      </c>
      <c r="BZ41" s="1140">
        <v>3938</v>
      </c>
      <c r="CA41" s="1427">
        <f t="shared" si="149"/>
        <v>-0.13730569948186527</v>
      </c>
      <c r="CB41" s="1351">
        <f t="shared" si="150"/>
        <v>0.36831132731063237</v>
      </c>
      <c r="CC41" s="1901">
        <v>0</v>
      </c>
      <c r="CD41" s="1594">
        <f t="shared" si="151"/>
        <v>3938</v>
      </c>
      <c r="CE41" s="1939">
        <f t="shared" si="152"/>
        <v>0.36831132731063237</v>
      </c>
      <c r="CF41" s="1940">
        <f t="shared" si="153"/>
        <v>37</v>
      </c>
      <c r="CG41" s="1895"/>
      <c r="CH41" s="1815">
        <v>56</v>
      </c>
      <c r="CI41" s="2039">
        <f t="shared" si="154"/>
        <v>-0.24324324324324326</v>
      </c>
      <c r="CJ41" s="2041">
        <f t="shared" si="155"/>
        <v>-0.24324324324324326</v>
      </c>
      <c r="CK41" s="1815">
        <v>677</v>
      </c>
      <c r="CL41" s="2039">
        <f t="shared" si="156"/>
        <v>0.89329268292682928</v>
      </c>
      <c r="CM41" s="2041">
        <f t="shared" si="157"/>
        <v>0.6840796019900498</v>
      </c>
      <c r="CN41" s="1815">
        <v>1189</v>
      </c>
      <c r="CO41" s="2039">
        <f t="shared" si="158"/>
        <v>1.3063063063063063</v>
      </c>
      <c r="CP41" s="2041">
        <f t="shared" si="159"/>
        <v>0.90544871794871795</v>
      </c>
      <c r="CQ41" s="1815">
        <v>1674</v>
      </c>
      <c r="CR41" s="2039">
        <f t="shared" si="160"/>
        <v>1.7556818181818181</v>
      </c>
      <c r="CS41" s="2041">
        <f t="shared" si="161"/>
        <v>1.0925</v>
      </c>
      <c r="CU41" s="1948">
        <f t="shared" si="162"/>
        <v>0.18705128205128208</v>
      </c>
      <c r="CV41" s="1940">
        <f t="shared" si="163"/>
        <v>19</v>
      </c>
      <c r="CW41" s="1580">
        <f t="shared" si="164"/>
        <v>0.19542766601590128</v>
      </c>
      <c r="CX41" s="1799">
        <v>2827.44</v>
      </c>
      <c r="CY41" s="1794">
        <f>_xlfn.XLOOKUP(E41,MOPFRA!$R$7:$R$56,MOPFRA!$T$7:$T$56,"")</f>
        <v>3380</v>
      </c>
      <c r="CZ41" s="1245" t="str">
        <f>_xlfn.XLOOKUP(E41,MOPFRA!$R$7:$R$56,MOPFRA!$P$7:$P$56,"")</f>
        <v>HL</v>
      </c>
      <c r="DA41" s="1802">
        <v>0.9</v>
      </c>
      <c r="DB41" s="1529">
        <f t="shared" si="165"/>
        <v>0.94736842105263153</v>
      </c>
      <c r="DC41" s="1529">
        <f t="shared" si="166"/>
        <v>0</v>
      </c>
      <c r="DD41" s="1529">
        <f t="shared" si="167"/>
        <v>0.22593320235756384</v>
      </c>
      <c r="DE41" s="1529">
        <f t="shared" si="168"/>
        <v>1.1378002528445006E-2</v>
      </c>
      <c r="DF41" s="1529">
        <f t="shared" si="169"/>
        <v>8.5907335907335902E-2</v>
      </c>
      <c r="DG41" s="1529">
        <f t="shared" si="170"/>
        <v>0.25186412593206298</v>
      </c>
      <c r="DH41" s="1529">
        <f t="shared" si="171"/>
        <v>0.35504652827487471</v>
      </c>
      <c r="DI41" s="1529">
        <f t="shared" si="172"/>
        <v>0.34282253179890976</v>
      </c>
      <c r="DJ41" s="1529">
        <f t="shared" si="173"/>
        <v>0.37947621592731162</v>
      </c>
      <c r="DK41" s="1529">
        <f t="shared" si="174"/>
        <v>0.44668858619069984</v>
      </c>
      <c r="DL41" s="1529">
        <f t="shared" si="175"/>
        <v>0.44662921348314605</v>
      </c>
      <c r="DM41" s="1529">
        <f t="shared" si="176"/>
        <v>0.36831132731063237</v>
      </c>
      <c r="DN41" s="1529">
        <f t="shared" si="177"/>
        <v>-0.24324324324324326</v>
      </c>
      <c r="DO41" s="1529">
        <f t="shared" si="178"/>
        <v>0.6840796019900498</v>
      </c>
      <c r="DP41" s="1529">
        <f t="shared" si="179"/>
        <v>0.90544871794871795</v>
      </c>
      <c r="DQ41" s="1529">
        <f t="shared" si="180"/>
        <v>1.0925</v>
      </c>
      <c r="DS41" s="1583" t="s">
        <v>605</v>
      </c>
      <c r="DT41" s="1736"/>
      <c r="DU41" s="1580">
        <f>_xlfn.XLOOKUP(E41,E41:E130,CW41:CW130,"")</f>
        <v>0.19542766601590128</v>
      </c>
      <c r="DV41" s="1943">
        <f t="shared" si="181"/>
        <v>19</v>
      </c>
      <c r="DW41" s="1730">
        <f t="shared" si="182"/>
        <v>0.19542766601590128</v>
      </c>
      <c r="DX41" s="1860">
        <f t="shared" si="183"/>
        <v>-7.3673870333988214E-2</v>
      </c>
      <c r="DY41" s="1683">
        <f>_xlfn.XLOOKUP(E41,MOPFRA!$R$7:$R$56,MOPFRA!$D$7:$D$56,"")</f>
        <v>0.73794874383732756</v>
      </c>
      <c r="DZ41" s="1583" t="s">
        <v>197</v>
      </c>
    </row>
    <row r="42" spans="2:130" ht="68" customHeight="1">
      <c r="B42" s="1119">
        <f>_xlfn.XLOOKUP(E42,MOPFRA!$R$7:$R$56,MOPFRA!$A$7:$A$56,"")</f>
        <v>25.720175838287016</v>
      </c>
      <c r="C42" s="394">
        <f>_xlfn.XLOOKUP(E42,MOPFRA!$R$7:$R$56,MOPFRA!$T$7:$T$56,"")</f>
        <v>36778</v>
      </c>
      <c r="D42" s="223" t="s">
        <v>162</v>
      </c>
      <c r="E42" s="1949" t="s">
        <v>163</v>
      </c>
      <c r="F42" s="982">
        <f>_xlfn.XLOOKUP(E42,MOPFRA!$R$7:$R$56,MOPFRA!$S$7:$S$56,"")</f>
        <v>12</v>
      </c>
      <c r="G42" s="1203">
        <f>_xlfn.XLOOKUP(E42,MOPFRA!$R$7:$R$56,MOPFRA!$AQ$7:$AQ$56,"")</f>
        <v>8636</v>
      </c>
      <c r="H42" s="1210">
        <v>13</v>
      </c>
      <c r="I42" s="1713">
        <f t="shared" si="114"/>
        <v>8623</v>
      </c>
      <c r="J42" s="1712">
        <f t="shared" si="115"/>
        <v>1.5053265400648448E-3</v>
      </c>
      <c r="K42" s="1761">
        <v>4</v>
      </c>
      <c r="L42" s="1728">
        <f t="shared" si="116"/>
        <v>4</v>
      </c>
      <c r="M42" s="689">
        <v>2270</v>
      </c>
      <c r="N42" s="689">
        <v>7660</v>
      </c>
      <c r="O42" s="1718">
        <v>2</v>
      </c>
      <c r="P42" s="1713">
        <f t="shared" si="117"/>
        <v>7658</v>
      </c>
      <c r="Q42" s="1712">
        <f t="shared" si="118"/>
        <v>2.6109660574412532E-4</v>
      </c>
      <c r="R42" s="557">
        <f t="shared" si="184"/>
        <v>22980</v>
      </c>
      <c r="S42" s="553">
        <f t="shared" si="119"/>
        <v>2.3744493392070485</v>
      </c>
      <c r="T42" s="553">
        <f t="shared" si="120"/>
        <v>0.26285317276516906</v>
      </c>
      <c r="U42" s="558">
        <f t="shared" si="121"/>
        <v>29141.744493392071</v>
      </c>
      <c r="V42" s="591">
        <f t="shared" si="122"/>
        <v>5390</v>
      </c>
      <c r="W42" s="559">
        <f t="shared" si="123"/>
        <v>14026</v>
      </c>
      <c r="X42" s="560">
        <f t="shared" si="124"/>
        <v>23822.372246696035</v>
      </c>
      <c r="Y42" s="1244">
        <f t="shared" si="125"/>
        <v>1.7584960915581329</v>
      </c>
      <c r="Z42" s="658"/>
      <c r="AA42" s="63">
        <v>3606</v>
      </c>
      <c r="AB42" s="1147">
        <v>3606</v>
      </c>
      <c r="AC42" s="63">
        <v>117</v>
      </c>
      <c r="AD42" s="63">
        <v>367</v>
      </c>
      <c r="AE42" s="63">
        <v>688</v>
      </c>
      <c r="AF42" s="63">
        <v>958</v>
      </c>
      <c r="AG42" s="63">
        <v>1238</v>
      </c>
      <c r="AH42" s="63">
        <v>1465</v>
      </c>
      <c r="AI42" s="63">
        <v>1775</v>
      </c>
      <c r="AJ42" s="63">
        <v>2090</v>
      </c>
      <c r="AK42" s="1791">
        <v>2440</v>
      </c>
      <c r="AL42" s="63">
        <v>2843</v>
      </c>
      <c r="AM42" s="63">
        <v>3343</v>
      </c>
      <c r="AN42" s="1140">
        <v>3720</v>
      </c>
      <c r="AO42" s="1594">
        <f t="shared" si="126"/>
        <v>3720</v>
      </c>
      <c r="AP42" s="1147">
        <v>3720</v>
      </c>
      <c r="AQ42" s="1494"/>
      <c r="AR42" s="63">
        <v>0</v>
      </c>
      <c r="AS42" s="63">
        <v>400</v>
      </c>
      <c r="AT42" s="1427">
        <f t="shared" si="127"/>
        <v>2.4188034188034186</v>
      </c>
      <c r="AU42" s="1351">
        <f t="shared" si="128"/>
        <v>2.4188034188034186</v>
      </c>
      <c r="AV42" s="63">
        <v>1050</v>
      </c>
      <c r="AW42" s="1427">
        <f t="shared" si="129"/>
        <v>1.6</v>
      </c>
      <c r="AX42" s="1351">
        <f t="shared" si="130"/>
        <v>1.8610354223433243</v>
      </c>
      <c r="AY42" s="63">
        <v>1650</v>
      </c>
      <c r="AZ42" s="1427">
        <f t="shared" si="131"/>
        <v>0.86915887850467288</v>
      </c>
      <c r="BA42" s="1351">
        <f t="shared" si="132"/>
        <v>1.3982558139534884</v>
      </c>
      <c r="BB42" s="63">
        <v>2270</v>
      </c>
      <c r="BC42" s="1427">
        <f t="shared" si="133"/>
        <v>1.2962962962962963</v>
      </c>
      <c r="BD42" s="1351">
        <f t="shared" si="134"/>
        <v>1.3695198329853862</v>
      </c>
      <c r="BE42" s="63">
        <v>2910</v>
      </c>
      <c r="BF42" s="1427">
        <f t="shared" si="135"/>
        <v>1.2857142857142858</v>
      </c>
      <c r="BG42" s="1351">
        <f t="shared" si="136"/>
        <v>1.3505654281098547</v>
      </c>
      <c r="BH42" s="63">
        <v>3570</v>
      </c>
      <c r="BI42" s="1427">
        <f t="shared" si="137"/>
        <v>1.9074889867841409</v>
      </c>
      <c r="BJ42" s="1351">
        <f t="shared" si="138"/>
        <v>1.4368600682593857</v>
      </c>
      <c r="BK42" s="63">
        <v>4271</v>
      </c>
      <c r="BL42" s="1427">
        <f t="shared" si="139"/>
        <v>1.2612903225806451</v>
      </c>
      <c r="BM42" s="1351">
        <f t="shared" si="140"/>
        <v>1.4061971830985915</v>
      </c>
      <c r="BN42" s="63">
        <v>5271</v>
      </c>
      <c r="BO42" s="1427">
        <f t="shared" si="141"/>
        <v>2.1746031746031744</v>
      </c>
      <c r="BP42" s="1351">
        <f t="shared" si="142"/>
        <v>1.5220095693779905</v>
      </c>
      <c r="BQ42" s="63">
        <v>6271</v>
      </c>
      <c r="BR42" s="1427">
        <f t="shared" si="143"/>
        <v>1.8571428571428572</v>
      </c>
      <c r="BS42" s="1351">
        <f t="shared" si="144"/>
        <v>1.5700819672131148</v>
      </c>
      <c r="BT42" s="63">
        <v>7271</v>
      </c>
      <c r="BU42" s="1427">
        <f t="shared" si="145"/>
        <v>1.4813895781637718</v>
      </c>
      <c r="BV42" s="1351">
        <f t="shared" si="146"/>
        <v>1.5575096728807598</v>
      </c>
      <c r="BW42" s="63">
        <v>8271</v>
      </c>
      <c r="BX42" s="1427">
        <f t="shared" si="147"/>
        <v>1</v>
      </c>
      <c r="BY42" s="1351">
        <f t="shared" si="148"/>
        <v>1.4741250373915644</v>
      </c>
      <c r="BZ42" s="1140">
        <v>8636</v>
      </c>
      <c r="CA42" s="1427">
        <f t="shared" si="149"/>
        <v>-3.1830238726790451E-2</v>
      </c>
      <c r="CB42" s="1351">
        <f t="shared" si="150"/>
        <v>1.321505376344086</v>
      </c>
      <c r="CC42" s="1901">
        <v>0</v>
      </c>
      <c r="CD42" s="1594">
        <f t="shared" si="151"/>
        <v>8636</v>
      </c>
      <c r="CE42" s="1939">
        <f t="shared" si="152"/>
        <v>1.321505376344086</v>
      </c>
      <c r="CF42" s="1940">
        <f t="shared" si="153"/>
        <v>2</v>
      </c>
      <c r="CG42" s="1895"/>
      <c r="CH42" s="1815">
        <v>1000</v>
      </c>
      <c r="CI42" s="2039">
        <f t="shared" si="154"/>
        <v>1.5</v>
      </c>
      <c r="CJ42" s="2041">
        <f t="shared" si="155"/>
        <v>1.5</v>
      </c>
      <c r="CK42" s="1815">
        <v>3000</v>
      </c>
      <c r="CL42" s="2039">
        <f t="shared" si="156"/>
        <v>2.0769230769230771</v>
      </c>
      <c r="CM42" s="2041">
        <f t="shared" si="157"/>
        <v>1.8571428571428572</v>
      </c>
      <c r="CN42" s="1815">
        <v>5310</v>
      </c>
      <c r="CO42" s="2039">
        <f t="shared" si="158"/>
        <v>2.85</v>
      </c>
      <c r="CP42" s="2041">
        <f t="shared" si="159"/>
        <v>2.2181818181818183</v>
      </c>
      <c r="CQ42" s="1815">
        <v>7660</v>
      </c>
      <c r="CR42" s="2039">
        <f t="shared" si="160"/>
        <v>2.7903225806451615</v>
      </c>
      <c r="CS42" s="2041">
        <f t="shared" si="161"/>
        <v>2.3744493392070485</v>
      </c>
      <c r="CU42" s="1948">
        <f t="shared" si="162"/>
        <v>0.15626752102523023</v>
      </c>
      <c r="CV42" s="1940">
        <f t="shared" si="163"/>
        <v>3</v>
      </c>
      <c r="CW42" s="1580">
        <f t="shared" si="164"/>
        <v>2.7852991226427326</v>
      </c>
      <c r="CX42" s="1799">
        <v>4657</v>
      </c>
      <c r="CY42" s="1794">
        <f>_xlfn.XLOOKUP(E42,MOPFRA!$R$7:$R$56,MOPFRA!$T$7:$T$56,"")</f>
        <v>36778</v>
      </c>
      <c r="CZ42" s="1245" t="str">
        <f>_xlfn.XLOOKUP(E42,MOPFRA!$R$7:$R$56,MOPFRA!$P$7:$P$56,"")</f>
        <v>PH</v>
      </c>
      <c r="DA42" s="1802">
        <v>0.9</v>
      </c>
      <c r="DB42" s="1529">
        <f t="shared" si="165"/>
        <v>2.4188034188034186</v>
      </c>
      <c r="DC42" s="1529">
        <f t="shared" si="166"/>
        <v>1.8610354223433243</v>
      </c>
      <c r="DD42" s="1529">
        <f t="shared" si="167"/>
        <v>1.3982558139534884</v>
      </c>
      <c r="DE42" s="1529">
        <f t="shared" si="168"/>
        <v>1.3695198329853862</v>
      </c>
      <c r="DF42" s="1529">
        <f t="shared" si="169"/>
        <v>1.3505654281098547</v>
      </c>
      <c r="DG42" s="1529">
        <f t="shared" si="170"/>
        <v>1.4368600682593857</v>
      </c>
      <c r="DH42" s="1529">
        <f t="shared" si="171"/>
        <v>1.4061971830985915</v>
      </c>
      <c r="DI42" s="1529">
        <f t="shared" si="172"/>
        <v>1.5220095693779905</v>
      </c>
      <c r="DJ42" s="1529">
        <f t="shared" si="173"/>
        <v>1.5700819672131148</v>
      </c>
      <c r="DK42" s="1529">
        <f t="shared" si="174"/>
        <v>1.5575096728807598</v>
      </c>
      <c r="DL42" s="1529">
        <f t="shared" si="175"/>
        <v>1.4741250373915644</v>
      </c>
      <c r="DM42" s="1529">
        <f t="shared" si="176"/>
        <v>1.321505376344086</v>
      </c>
      <c r="DN42" s="1529">
        <f t="shared" si="177"/>
        <v>1.5</v>
      </c>
      <c r="DO42" s="1529">
        <f t="shared" si="178"/>
        <v>1.8571428571428572</v>
      </c>
      <c r="DP42" s="1529">
        <f t="shared" si="179"/>
        <v>2.2181818181818183</v>
      </c>
      <c r="DQ42" s="1529">
        <f t="shared" si="180"/>
        <v>2.3744493392070485</v>
      </c>
      <c r="DS42" s="1583" t="s">
        <v>605</v>
      </c>
      <c r="DT42" s="1736"/>
      <c r="DU42" s="1580">
        <f>_xlfn.XLOOKUP(E42,E42:E129,CW42:CW129,"")</f>
        <v>2.7852991226427326</v>
      </c>
      <c r="DV42" s="1943">
        <f t="shared" si="181"/>
        <v>3</v>
      </c>
      <c r="DW42" s="1730">
        <f t="shared" si="182"/>
        <v>6.8973588146875668</v>
      </c>
      <c r="DX42" s="1860">
        <f t="shared" si="183"/>
        <v>-0.12442299343207194</v>
      </c>
      <c r="DY42" s="1683">
        <f>_xlfn.XLOOKUP(E42,MOPFRA!$R$7:$R$56,MOPFRA!$D$7:$D$56,"")</f>
        <v>4.2767270684161645</v>
      </c>
      <c r="DZ42" s="1583" t="s">
        <v>605</v>
      </c>
    </row>
    <row r="43" spans="2:130" ht="68" customHeight="1">
      <c r="B43" s="1119">
        <f>_xlfn.XLOOKUP(E43,MOPFRA!$R$7:$R$56,MOPFRA!$A$7:$A$56,"")</f>
        <v>24.251489960105612</v>
      </c>
      <c r="C43" s="394">
        <f>_xlfn.XLOOKUP(E43,MOPFRA!$R$7:$R$56,MOPFRA!$T$7:$T$56,"")</f>
        <v>4884</v>
      </c>
      <c r="D43" s="223" t="s">
        <v>96</v>
      </c>
      <c r="E43" s="1949" t="s">
        <v>97</v>
      </c>
      <c r="F43" s="982">
        <f>_xlfn.XLOOKUP(E43,MOPFRA!$R$7:$R$56,MOPFRA!$S$7:$S$56,"")</f>
        <v>12</v>
      </c>
      <c r="G43" s="1203">
        <f>_xlfn.XLOOKUP(E43,MOPFRA!$R$7:$R$56,MOPFRA!$AQ$7:$AQ$56,"")</f>
        <v>3210</v>
      </c>
      <c r="H43" s="1210">
        <v>0</v>
      </c>
      <c r="I43" s="1713">
        <f t="shared" si="114"/>
        <v>3210</v>
      </c>
      <c r="J43" s="1712">
        <f t="shared" si="115"/>
        <v>0</v>
      </c>
      <c r="K43" s="1761">
        <v>4</v>
      </c>
      <c r="L43" s="1728">
        <f t="shared" si="116"/>
        <v>4</v>
      </c>
      <c r="M43" s="689">
        <v>871</v>
      </c>
      <c r="N43" s="689">
        <v>2045</v>
      </c>
      <c r="O43" s="1718">
        <v>0</v>
      </c>
      <c r="P43" s="1713">
        <f t="shared" si="117"/>
        <v>2045</v>
      </c>
      <c r="Q43" s="1712">
        <f t="shared" si="118"/>
        <v>0</v>
      </c>
      <c r="R43" s="557">
        <f t="shared" si="184"/>
        <v>6135</v>
      </c>
      <c r="S43" s="553">
        <f t="shared" si="119"/>
        <v>1.3478760045924225</v>
      </c>
      <c r="T43" s="553">
        <f t="shared" si="120"/>
        <v>0.27133956386292835</v>
      </c>
      <c r="U43" s="558">
        <f t="shared" si="121"/>
        <v>7536.6819747416766</v>
      </c>
      <c r="V43" s="591">
        <f t="shared" si="122"/>
        <v>1174</v>
      </c>
      <c r="W43" s="559">
        <f t="shared" si="123"/>
        <v>4384</v>
      </c>
      <c r="X43" s="560">
        <f t="shared" si="124"/>
        <v>6398.0909873708388</v>
      </c>
      <c r="Y43" s="1244">
        <f t="shared" si="125"/>
        <v>0.99317476242082203</v>
      </c>
      <c r="Z43" s="658"/>
      <c r="AA43" s="63">
        <v>1669</v>
      </c>
      <c r="AB43" s="1147">
        <v>1669</v>
      </c>
      <c r="AC43" s="63">
        <v>97</v>
      </c>
      <c r="AD43" s="63">
        <v>297</v>
      </c>
      <c r="AE43" s="63">
        <v>463</v>
      </c>
      <c r="AF43" s="63">
        <v>624</v>
      </c>
      <c r="AG43" s="63">
        <v>915</v>
      </c>
      <c r="AH43" s="63">
        <v>971</v>
      </c>
      <c r="AI43" s="63">
        <v>1150</v>
      </c>
      <c r="AJ43" s="63">
        <v>1316</v>
      </c>
      <c r="AK43" s="1791">
        <v>1452</v>
      </c>
      <c r="AL43" s="63">
        <v>1596</v>
      </c>
      <c r="AM43" s="63">
        <v>1758</v>
      </c>
      <c r="AN43" s="1140">
        <v>1954</v>
      </c>
      <c r="AO43" s="1594">
        <f t="shared" si="126"/>
        <v>1954</v>
      </c>
      <c r="AP43" s="1147">
        <v>2118</v>
      </c>
      <c r="AQ43" s="1494"/>
      <c r="AR43" s="63">
        <v>0</v>
      </c>
      <c r="AS43" s="63">
        <v>135</v>
      </c>
      <c r="AT43" s="1427">
        <f t="shared" si="127"/>
        <v>0.39175257731958762</v>
      </c>
      <c r="AU43" s="1351">
        <f t="shared" si="128"/>
        <v>0.39175257731958762</v>
      </c>
      <c r="AV43" s="63">
        <v>405</v>
      </c>
      <c r="AW43" s="1427">
        <f t="shared" si="129"/>
        <v>0.35</v>
      </c>
      <c r="AX43" s="1351">
        <f t="shared" si="130"/>
        <v>0.36363636363636365</v>
      </c>
      <c r="AY43" s="63">
        <v>610</v>
      </c>
      <c r="AZ43" s="1427">
        <f t="shared" si="131"/>
        <v>0.23493975903614459</v>
      </c>
      <c r="BA43" s="1351">
        <f t="shared" si="132"/>
        <v>0.31749460043196542</v>
      </c>
      <c r="BB43" s="63">
        <v>871</v>
      </c>
      <c r="BC43" s="1427">
        <f t="shared" si="133"/>
        <v>0.6211180124223602</v>
      </c>
      <c r="BD43" s="1351">
        <f t="shared" si="134"/>
        <v>0.39583333333333331</v>
      </c>
      <c r="BE43" s="63">
        <v>1114</v>
      </c>
      <c r="BF43" s="1427">
        <f t="shared" si="135"/>
        <v>-0.16494845360824742</v>
      </c>
      <c r="BG43" s="1351">
        <f t="shared" si="136"/>
        <v>0.2174863387978142</v>
      </c>
      <c r="BH43" s="63">
        <v>1376</v>
      </c>
      <c r="BI43" s="1427">
        <f t="shared" si="137"/>
        <v>3.6785714285714284</v>
      </c>
      <c r="BJ43" s="1351">
        <f t="shared" si="138"/>
        <v>0.41709577754891863</v>
      </c>
      <c r="BK43" s="63">
        <v>1680</v>
      </c>
      <c r="BL43" s="1427">
        <f t="shared" si="139"/>
        <v>0.6983240223463687</v>
      </c>
      <c r="BM43" s="1351">
        <f t="shared" si="140"/>
        <v>0.46086956521739131</v>
      </c>
      <c r="BN43" s="63">
        <v>2008</v>
      </c>
      <c r="BO43" s="1427">
        <f t="shared" si="141"/>
        <v>0.97590361445783136</v>
      </c>
      <c r="BP43" s="1351">
        <f t="shared" si="142"/>
        <v>0.52583586626139822</v>
      </c>
      <c r="BQ43" s="63">
        <v>2326</v>
      </c>
      <c r="BR43" s="1427">
        <f t="shared" si="143"/>
        <v>1.338235294117647</v>
      </c>
      <c r="BS43" s="1351">
        <f t="shared" si="144"/>
        <v>0.60192837465564741</v>
      </c>
      <c r="BT43" s="63">
        <v>2599</v>
      </c>
      <c r="BU43" s="1427">
        <f t="shared" si="145"/>
        <v>0.89583333333333337</v>
      </c>
      <c r="BV43" s="1351">
        <f t="shared" si="146"/>
        <v>0.62844611528822059</v>
      </c>
      <c r="BW43" s="63">
        <v>2924</v>
      </c>
      <c r="BX43" s="1427">
        <f t="shared" si="147"/>
        <v>1.0061728395061729</v>
      </c>
      <c r="BY43" s="1351">
        <f t="shared" si="148"/>
        <v>0.66325369738339024</v>
      </c>
      <c r="BZ43" s="1140">
        <v>3199</v>
      </c>
      <c r="CA43" s="1427">
        <f t="shared" si="149"/>
        <v>0.40306122448979592</v>
      </c>
      <c r="CB43" s="1351">
        <f t="shared" si="150"/>
        <v>0.63715455475946781</v>
      </c>
      <c r="CC43" s="1901">
        <v>0</v>
      </c>
      <c r="CD43" s="1594">
        <f t="shared" si="151"/>
        <v>3199</v>
      </c>
      <c r="CE43" s="1939">
        <f t="shared" si="152"/>
        <v>0.63715455475946781</v>
      </c>
      <c r="CF43" s="1940">
        <f t="shared" si="153"/>
        <v>14</v>
      </c>
      <c r="CG43" s="1895"/>
      <c r="CH43" s="1815">
        <v>247</v>
      </c>
      <c r="CI43" s="2039">
        <f t="shared" si="154"/>
        <v>0.82962962962962961</v>
      </c>
      <c r="CJ43" s="2041">
        <f t="shared" si="155"/>
        <v>0.82962962962962961</v>
      </c>
      <c r="CK43" s="1815">
        <v>890</v>
      </c>
      <c r="CL43" s="2039">
        <f t="shared" si="156"/>
        <v>1.3814814814814815</v>
      </c>
      <c r="CM43" s="2041">
        <f t="shared" si="157"/>
        <v>1.1975308641975309</v>
      </c>
      <c r="CN43" s="1815">
        <v>1482</v>
      </c>
      <c r="CO43" s="2039">
        <f t="shared" si="158"/>
        <v>1.8878048780487804</v>
      </c>
      <c r="CP43" s="2041">
        <f t="shared" si="159"/>
        <v>1.4295081967213115</v>
      </c>
      <c r="CQ43" s="1815">
        <v>2045</v>
      </c>
      <c r="CR43" s="2039">
        <f t="shared" si="160"/>
        <v>1.157088122605364</v>
      </c>
      <c r="CS43" s="2041">
        <f t="shared" si="161"/>
        <v>1.3478760045924225</v>
      </c>
      <c r="CU43" s="1948">
        <f t="shared" si="162"/>
        <v>-8.1632192128888947E-2</v>
      </c>
      <c r="CV43" s="1940">
        <f t="shared" si="163"/>
        <v>14</v>
      </c>
      <c r="CW43" s="1580">
        <f t="shared" si="164"/>
        <v>3.6102801666647881</v>
      </c>
      <c r="CX43" s="1799">
        <v>2001.6</v>
      </c>
      <c r="CY43" s="1794">
        <f>_xlfn.XLOOKUP(E43,MOPFRA!$R$7:$R$56,MOPFRA!$T$7:$T$56,"")</f>
        <v>4884</v>
      </c>
      <c r="CZ43" s="1245" t="str">
        <f>_xlfn.XLOOKUP(E43,MOPFRA!$R$7:$R$56,MOPFRA!$P$7:$P$56,"")</f>
        <v>F</v>
      </c>
      <c r="DA43" s="1802">
        <v>0.9</v>
      </c>
      <c r="DB43" s="1529">
        <f t="shared" si="165"/>
        <v>0.39175257731958762</v>
      </c>
      <c r="DC43" s="1529">
        <f t="shared" si="166"/>
        <v>0.36363636363636365</v>
      </c>
      <c r="DD43" s="1529">
        <f t="shared" si="167"/>
        <v>0.31749460043196542</v>
      </c>
      <c r="DE43" s="1529">
        <f t="shared" si="168"/>
        <v>0.39583333333333331</v>
      </c>
      <c r="DF43" s="1529">
        <f t="shared" si="169"/>
        <v>0.2174863387978142</v>
      </c>
      <c r="DG43" s="1529">
        <f t="shared" si="170"/>
        <v>0.41709577754891863</v>
      </c>
      <c r="DH43" s="1529">
        <f t="shared" si="171"/>
        <v>0.46086956521739131</v>
      </c>
      <c r="DI43" s="1529">
        <f t="shared" si="172"/>
        <v>0.52583586626139822</v>
      </c>
      <c r="DJ43" s="1529">
        <f t="shared" si="173"/>
        <v>0.60192837465564741</v>
      </c>
      <c r="DK43" s="1529">
        <f t="shared" si="174"/>
        <v>0.62844611528822059</v>
      </c>
      <c r="DL43" s="1529">
        <f t="shared" si="175"/>
        <v>0.66325369738339024</v>
      </c>
      <c r="DM43" s="1529">
        <f t="shared" si="176"/>
        <v>0.63715455475946781</v>
      </c>
      <c r="DN43" s="1529">
        <f t="shared" si="177"/>
        <v>0.82962962962962961</v>
      </c>
      <c r="DO43" s="1529">
        <f t="shared" si="178"/>
        <v>1.1975308641975309</v>
      </c>
      <c r="DP43" s="1529">
        <f t="shared" si="179"/>
        <v>1.4295081967213115</v>
      </c>
      <c r="DQ43" s="1529">
        <f t="shared" si="180"/>
        <v>1.3478760045924225</v>
      </c>
      <c r="DS43" s="1583" t="s">
        <v>605</v>
      </c>
      <c r="DT43" s="1736"/>
      <c r="DU43" s="1580">
        <f>_xlfn.XLOOKUP(E43,E43:E131,CW43:CW131,"")</f>
        <v>3.6102801666647881</v>
      </c>
      <c r="DV43" s="1943">
        <f t="shared" si="181"/>
        <v>14</v>
      </c>
      <c r="DW43" s="1730">
        <f t="shared" si="182"/>
        <v>1.4400479616306956</v>
      </c>
      <c r="DX43" s="1860">
        <f t="shared" si="183"/>
        <v>0</v>
      </c>
      <c r="DY43" s="1683">
        <f>_xlfn.XLOOKUP(E43,MOPFRA!$R$7:$R$56,MOPFRA!$D$7:$D$56,"")</f>
        <v>1.952366686791053</v>
      </c>
      <c r="DZ43" s="1583" t="s">
        <v>605</v>
      </c>
    </row>
    <row r="44" spans="2:130" ht="68" customHeight="1">
      <c r="B44" s="1119">
        <f>_xlfn.XLOOKUP(E44,MOPFRA!$R$7:$R$56,MOPFRA!$A$7:$A$56,"")</f>
        <v>22.537123972438035</v>
      </c>
      <c r="C44" s="394">
        <f>_xlfn.XLOOKUP(E44,MOPFRA!$R$7:$R$56,MOPFRA!$T$7:$T$56,"")</f>
        <v>3295</v>
      </c>
      <c r="D44" s="223" t="s">
        <v>86</v>
      </c>
      <c r="E44" s="1949" t="s">
        <v>87</v>
      </c>
      <c r="F44" s="982">
        <f>_xlfn.XLOOKUP(E44,MOPFRA!$R$7:$R$56,MOPFRA!$S$7:$S$56,"")</f>
        <v>12</v>
      </c>
      <c r="G44" s="1203">
        <f>_xlfn.XLOOKUP(E44,MOPFRA!$R$7:$R$56,MOPFRA!$AQ$7:$AQ$56,"")</f>
        <v>2996</v>
      </c>
      <c r="H44" s="1210">
        <v>30</v>
      </c>
      <c r="I44" s="1713">
        <f t="shared" si="114"/>
        <v>2966</v>
      </c>
      <c r="J44" s="1712">
        <f t="shared" si="115"/>
        <v>1.0013351134846462E-2</v>
      </c>
      <c r="K44" s="1761">
        <v>4</v>
      </c>
      <c r="L44" s="1728">
        <f t="shared" si="116"/>
        <v>4</v>
      </c>
      <c r="M44" s="689">
        <v>913</v>
      </c>
      <c r="N44" s="689">
        <v>1346</v>
      </c>
      <c r="O44" s="1718">
        <v>51</v>
      </c>
      <c r="P44" s="1713">
        <f t="shared" si="117"/>
        <v>1295</v>
      </c>
      <c r="Q44" s="1712">
        <f t="shared" si="118"/>
        <v>3.7890044576523028E-2</v>
      </c>
      <c r="R44" s="557">
        <f t="shared" si="184"/>
        <v>4038</v>
      </c>
      <c r="S44" s="553">
        <f t="shared" si="119"/>
        <v>0.47426067907995617</v>
      </c>
      <c r="T44" s="553">
        <f t="shared" si="120"/>
        <v>0.30473965287049398</v>
      </c>
      <c r="U44" s="558">
        <f t="shared" si="121"/>
        <v>4416.8849945235488</v>
      </c>
      <c r="V44" s="591">
        <f t="shared" si="122"/>
        <v>433</v>
      </c>
      <c r="W44" s="559">
        <f t="shared" si="123"/>
        <v>3429</v>
      </c>
      <c r="X44" s="560">
        <f t="shared" si="124"/>
        <v>4075.1924972617744</v>
      </c>
      <c r="Y44" s="1244">
        <f t="shared" si="125"/>
        <v>0.36021111390579919</v>
      </c>
      <c r="Z44" s="658"/>
      <c r="AA44" s="63">
        <v>1776</v>
      </c>
      <c r="AB44" s="1147">
        <v>1776</v>
      </c>
      <c r="AC44" s="63">
        <v>34</v>
      </c>
      <c r="AD44" s="63">
        <v>223</v>
      </c>
      <c r="AE44" s="63">
        <v>419</v>
      </c>
      <c r="AF44" s="63">
        <v>679</v>
      </c>
      <c r="AG44" s="63">
        <v>943</v>
      </c>
      <c r="AH44" s="63">
        <v>1187</v>
      </c>
      <c r="AI44" s="63">
        <v>1417</v>
      </c>
      <c r="AJ44" s="63">
        <v>1652</v>
      </c>
      <c r="AK44" s="1791">
        <v>1822</v>
      </c>
      <c r="AL44" s="63">
        <v>1963</v>
      </c>
      <c r="AM44" s="63">
        <v>2043</v>
      </c>
      <c r="AN44" s="1140">
        <v>2278</v>
      </c>
      <c r="AO44" s="1594">
        <f t="shared" si="126"/>
        <v>2278</v>
      </c>
      <c r="AP44" s="1147">
        <v>2278</v>
      </c>
      <c r="AQ44" s="1494"/>
      <c r="AR44" s="63">
        <v>0</v>
      </c>
      <c r="AS44" s="63">
        <v>105</v>
      </c>
      <c r="AT44" s="1427">
        <f t="shared" si="127"/>
        <v>2.0882352941176472</v>
      </c>
      <c r="AU44" s="1351">
        <f t="shared" si="128"/>
        <v>2.0882352941176472</v>
      </c>
      <c r="AV44" s="63">
        <v>314</v>
      </c>
      <c r="AW44" s="1427">
        <f t="shared" si="129"/>
        <v>0.10582010582010581</v>
      </c>
      <c r="AX44" s="1351">
        <f t="shared" si="130"/>
        <v>0.40807174887892378</v>
      </c>
      <c r="AY44" s="63">
        <v>596</v>
      </c>
      <c r="AZ44" s="1427">
        <f t="shared" si="131"/>
        <v>0.43877551020408162</v>
      </c>
      <c r="BA44" s="1351">
        <f t="shared" si="132"/>
        <v>0.42243436754176611</v>
      </c>
      <c r="BB44" s="63">
        <v>913</v>
      </c>
      <c r="BC44" s="1427">
        <f t="shared" si="133"/>
        <v>0.21923076923076923</v>
      </c>
      <c r="BD44" s="1351">
        <f t="shared" si="134"/>
        <v>0.34462444771723122</v>
      </c>
      <c r="BE44" s="63">
        <v>1366</v>
      </c>
      <c r="BF44" s="1427">
        <f t="shared" si="135"/>
        <v>0.71590909090909094</v>
      </c>
      <c r="BG44" s="1351">
        <f t="shared" si="136"/>
        <v>0.44856839872746551</v>
      </c>
      <c r="BH44" s="63">
        <v>1807</v>
      </c>
      <c r="BI44" s="1427">
        <f t="shared" si="137"/>
        <v>0.80737704918032782</v>
      </c>
      <c r="BJ44" s="1351">
        <f t="shared" si="138"/>
        <v>0.52232518955349616</v>
      </c>
      <c r="BK44" s="63">
        <v>2221</v>
      </c>
      <c r="BL44" s="1427">
        <f t="shared" si="139"/>
        <v>0.8</v>
      </c>
      <c r="BM44" s="1351">
        <f t="shared" si="140"/>
        <v>0.56739590684544816</v>
      </c>
      <c r="BN44" s="63">
        <v>2441</v>
      </c>
      <c r="BO44" s="1427">
        <f t="shared" si="141"/>
        <v>-6.3829787234042548E-2</v>
      </c>
      <c r="BP44" s="1351">
        <f t="shared" si="142"/>
        <v>0.47760290556900725</v>
      </c>
      <c r="BQ44" s="63">
        <v>2705</v>
      </c>
      <c r="BR44" s="1427">
        <f t="shared" si="143"/>
        <v>0.55294117647058827</v>
      </c>
      <c r="BS44" s="1351">
        <f t="shared" si="144"/>
        <v>0.4846322722283205</v>
      </c>
      <c r="BT44" s="63">
        <v>2878</v>
      </c>
      <c r="BU44" s="1427">
        <f t="shared" si="145"/>
        <v>0.22695035460992907</v>
      </c>
      <c r="BV44" s="1351">
        <f t="shared" si="146"/>
        <v>0.46612328069281711</v>
      </c>
      <c r="BW44" s="63">
        <v>2974</v>
      </c>
      <c r="BX44" s="1427">
        <f t="shared" si="147"/>
        <v>0.2</v>
      </c>
      <c r="BY44" s="1351">
        <f t="shared" si="148"/>
        <v>0.45570239843367599</v>
      </c>
      <c r="BZ44" s="1140">
        <v>2996</v>
      </c>
      <c r="CA44" s="1427">
        <f t="shared" si="149"/>
        <v>-0.90638297872340423</v>
      </c>
      <c r="CB44" s="1351">
        <f t="shared" si="150"/>
        <v>0.31518876207199298</v>
      </c>
      <c r="CC44" s="1901">
        <v>0</v>
      </c>
      <c r="CD44" s="1594">
        <f t="shared" si="151"/>
        <v>2996</v>
      </c>
      <c r="CE44" s="1939">
        <f t="shared" si="152"/>
        <v>0.31518876207199298</v>
      </c>
      <c r="CF44" s="1940">
        <f t="shared" si="153"/>
        <v>42</v>
      </c>
      <c r="CG44" s="1895"/>
      <c r="CH44" s="1815">
        <v>1</v>
      </c>
      <c r="CI44" s="2039">
        <f t="shared" si="154"/>
        <v>-0.99047619047619051</v>
      </c>
      <c r="CJ44" s="2041">
        <f t="shared" si="155"/>
        <v>-0.99047619047619051</v>
      </c>
      <c r="CK44" s="1815">
        <v>423</v>
      </c>
      <c r="CL44" s="2039">
        <f t="shared" si="156"/>
        <v>1.0191387559808613</v>
      </c>
      <c r="CM44" s="2041">
        <f t="shared" si="157"/>
        <v>0.34713375796178342</v>
      </c>
      <c r="CN44" s="1815">
        <v>782</v>
      </c>
      <c r="CO44" s="2039">
        <f t="shared" si="158"/>
        <v>0.27304964539007093</v>
      </c>
      <c r="CP44" s="2041">
        <f t="shared" si="159"/>
        <v>0.31208053691275167</v>
      </c>
      <c r="CQ44" s="1815">
        <v>1346</v>
      </c>
      <c r="CR44" s="2039">
        <f t="shared" si="160"/>
        <v>0.77917981072555209</v>
      </c>
      <c r="CS44" s="2041">
        <f t="shared" si="161"/>
        <v>0.47426067907995617</v>
      </c>
      <c r="CU44" s="1948">
        <f t="shared" si="162"/>
        <v>0.1621801421672045</v>
      </c>
      <c r="CV44" s="1940">
        <f t="shared" si="163"/>
        <v>38</v>
      </c>
      <c r="CW44" s="1580">
        <f t="shared" si="164"/>
        <v>2.4883359253499222E-2</v>
      </c>
      <c r="CX44" s="1799">
        <v>3215</v>
      </c>
      <c r="CY44" s="1794">
        <f>_xlfn.XLOOKUP(E44,MOPFRA!$R$7:$R$56,MOPFRA!$T$7:$T$56,"")</f>
        <v>3295</v>
      </c>
      <c r="CZ44" s="1245" t="str">
        <f>_xlfn.XLOOKUP(E44,MOPFRA!$R$7:$R$56,MOPFRA!$P$7:$P$56,"")</f>
        <v>AP</v>
      </c>
      <c r="DA44" s="1802">
        <v>0.9</v>
      </c>
      <c r="DB44" s="1529">
        <f t="shared" si="165"/>
        <v>2.0882352941176472</v>
      </c>
      <c r="DC44" s="1529">
        <f t="shared" si="166"/>
        <v>0.40807174887892378</v>
      </c>
      <c r="DD44" s="1529">
        <f t="shared" si="167"/>
        <v>0.42243436754176611</v>
      </c>
      <c r="DE44" s="1529">
        <f t="shared" si="168"/>
        <v>0.34462444771723122</v>
      </c>
      <c r="DF44" s="1529">
        <f t="shared" si="169"/>
        <v>0.44856839872746551</v>
      </c>
      <c r="DG44" s="1529">
        <f t="shared" si="170"/>
        <v>0.52232518955349616</v>
      </c>
      <c r="DH44" s="1529">
        <f t="shared" si="171"/>
        <v>0.56739590684544816</v>
      </c>
      <c r="DI44" s="1529">
        <f t="shared" si="172"/>
        <v>0.47760290556900725</v>
      </c>
      <c r="DJ44" s="1529">
        <f t="shared" si="173"/>
        <v>0.4846322722283205</v>
      </c>
      <c r="DK44" s="1529">
        <f t="shared" si="174"/>
        <v>0.46612328069281711</v>
      </c>
      <c r="DL44" s="1529">
        <f t="shared" si="175"/>
        <v>0.45570239843367599</v>
      </c>
      <c r="DM44" s="1529">
        <f t="shared" si="176"/>
        <v>0.31518876207199298</v>
      </c>
      <c r="DN44" s="1529">
        <f t="shared" si="177"/>
        <v>-0.99047619047619051</v>
      </c>
      <c r="DO44" s="1529">
        <f t="shared" si="178"/>
        <v>0.34713375796178342</v>
      </c>
      <c r="DP44" s="1529">
        <f t="shared" si="179"/>
        <v>0.31208053691275167</v>
      </c>
      <c r="DQ44" s="1529">
        <f t="shared" si="180"/>
        <v>0.47426067907995617</v>
      </c>
      <c r="DS44" s="1583" t="s">
        <v>197</v>
      </c>
      <c r="DT44" s="1736"/>
      <c r="DU44" s="1580">
        <f>_xlfn.XLOOKUP(E44,E44:E133,CW44:CW133,"")</f>
        <v>2.4883359253499222E-2</v>
      </c>
      <c r="DV44" s="1943">
        <f t="shared" si="181"/>
        <v>38</v>
      </c>
      <c r="DW44" s="1730">
        <f t="shared" si="182"/>
        <v>2.4883359253499222E-2</v>
      </c>
      <c r="DX44" s="1860">
        <f t="shared" si="183"/>
        <v>2.7876693441676563</v>
      </c>
      <c r="DY44" s="1683">
        <f>_xlfn.XLOOKUP(E44,MOPFRA!$R$7:$R$56,MOPFRA!$D$7:$D$56,"")</f>
        <v>2.9950139723083997</v>
      </c>
      <c r="DZ44" s="1583" t="s">
        <v>605</v>
      </c>
    </row>
    <row r="45" spans="2:130" ht="68" customHeight="1">
      <c r="B45" s="1119">
        <f>_xlfn.XLOOKUP(E45,MOPFRA!$R$7:$R$56,MOPFRA!$A$7:$A$56,"")</f>
        <v>21.915394470166301</v>
      </c>
      <c r="C45" s="394">
        <f>_xlfn.XLOOKUP(E45,MOPFRA!$R$7:$R$56,MOPFRA!$T$7:$T$56,"")</f>
        <v>16316.3</v>
      </c>
      <c r="D45" s="223" t="s">
        <v>160</v>
      </c>
      <c r="E45" s="1949" t="s">
        <v>161</v>
      </c>
      <c r="F45" s="982">
        <f>_xlfn.XLOOKUP(E45,MOPFRA!$R$7:$R$56,MOPFRA!$S$7:$S$56,"")</f>
        <v>12</v>
      </c>
      <c r="G45" s="1203">
        <f>_xlfn.XLOOKUP(E45,MOPFRA!$R$7:$R$56,MOPFRA!$AQ$7:$AQ$56,"")</f>
        <v>3615</v>
      </c>
      <c r="H45" s="1210">
        <v>1442</v>
      </c>
      <c r="I45" s="1713">
        <f t="shared" si="114"/>
        <v>2173</v>
      </c>
      <c r="J45" s="1712">
        <f t="shared" si="115"/>
        <v>0.39889349930843709</v>
      </c>
      <c r="K45" s="1761">
        <v>4</v>
      </c>
      <c r="L45" s="1728">
        <f t="shared" si="116"/>
        <v>4</v>
      </c>
      <c r="M45" s="689">
        <v>1113</v>
      </c>
      <c r="N45" s="689">
        <v>3810</v>
      </c>
      <c r="O45" s="1718">
        <v>0</v>
      </c>
      <c r="P45" s="1713">
        <f t="shared" si="117"/>
        <v>3810</v>
      </c>
      <c r="Q45" s="1712">
        <f t="shared" si="118"/>
        <v>0</v>
      </c>
      <c r="R45" s="557">
        <f t="shared" si="184"/>
        <v>11430</v>
      </c>
      <c r="S45" s="553">
        <f t="shared" si="119"/>
        <v>2.4231805929919137</v>
      </c>
      <c r="T45" s="553">
        <f t="shared" si="120"/>
        <v>0.30788381742738591</v>
      </c>
      <c r="U45" s="558">
        <f t="shared" si="121"/>
        <v>12374.797843665769</v>
      </c>
      <c r="V45" s="591">
        <f t="shared" si="122"/>
        <v>2697</v>
      </c>
      <c r="W45" s="559">
        <f t="shared" si="123"/>
        <v>6312</v>
      </c>
      <c r="X45" s="560">
        <f t="shared" si="124"/>
        <v>10622.898921832884</v>
      </c>
      <c r="Y45" s="1244">
        <f t="shared" si="125"/>
        <v>1.9385612508528034</v>
      </c>
      <c r="Z45" s="658"/>
      <c r="AA45" s="63">
        <v>1631</v>
      </c>
      <c r="AB45" s="1147">
        <v>1631</v>
      </c>
      <c r="AC45" s="63">
        <v>203</v>
      </c>
      <c r="AD45" s="63">
        <v>423</v>
      </c>
      <c r="AE45" s="63">
        <v>648</v>
      </c>
      <c r="AF45" s="63">
        <v>862</v>
      </c>
      <c r="AG45" s="63">
        <v>1028</v>
      </c>
      <c r="AH45" s="63">
        <v>1201</v>
      </c>
      <c r="AI45" s="63">
        <v>1381</v>
      </c>
      <c r="AJ45" s="63">
        <v>1565</v>
      </c>
      <c r="AK45" s="1791">
        <v>1776</v>
      </c>
      <c r="AL45" s="63">
        <v>2018</v>
      </c>
      <c r="AM45" s="63">
        <v>2219</v>
      </c>
      <c r="AN45" s="1140">
        <v>2596</v>
      </c>
      <c r="AO45" s="1594">
        <f t="shared" si="126"/>
        <v>2596</v>
      </c>
      <c r="AP45" s="1147">
        <v>2596</v>
      </c>
      <c r="AQ45" s="1494"/>
      <c r="AR45" s="63">
        <v>0</v>
      </c>
      <c r="AS45" s="63">
        <v>280</v>
      </c>
      <c r="AT45" s="1427">
        <f t="shared" si="127"/>
        <v>0.37931034482758619</v>
      </c>
      <c r="AU45" s="1351">
        <f t="shared" si="128"/>
        <v>0.37931034482758619</v>
      </c>
      <c r="AV45" s="63">
        <v>600</v>
      </c>
      <c r="AW45" s="1427">
        <f t="shared" si="129"/>
        <v>0.45454545454545453</v>
      </c>
      <c r="AX45" s="1351">
        <f t="shared" si="130"/>
        <v>0.41843971631205673</v>
      </c>
      <c r="AY45" s="63">
        <v>813</v>
      </c>
      <c r="AZ45" s="1427">
        <f t="shared" si="131"/>
        <v>-5.3333333333333337E-2</v>
      </c>
      <c r="BA45" s="1351">
        <f t="shared" si="132"/>
        <v>0.25462962962962965</v>
      </c>
      <c r="BB45" s="63">
        <v>1113</v>
      </c>
      <c r="BC45" s="1427">
        <f t="shared" si="133"/>
        <v>0.40186915887850466</v>
      </c>
      <c r="BD45" s="1351">
        <f t="shared" si="134"/>
        <v>0.29118329466357307</v>
      </c>
      <c r="BE45" s="63">
        <v>1375</v>
      </c>
      <c r="BF45" s="1427">
        <f t="shared" si="135"/>
        <v>0.57831325301204817</v>
      </c>
      <c r="BG45" s="1351">
        <f t="shared" si="136"/>
        <v>0.33754863813229574</v>
      </c>
      <c r="BH45" s="63">
        <v>1806</v>
      </c>
      <c r="BI45" s="1427">
        <f t="shared" si="137"/>
        <v>1.4913294797687862</v>
      </c>
      <c r="BJ45" s="1351">
        <f t="shared" si="138"/>
        <v>0.50374687760199832</v>
      </c>
      <c r="BK45" s="63">
        <v>2044</v>
      </c>
      <c r="BL45" s="1427">
        <f t="shared" si="139"/>
        <v>0.32222222222222224</v>
      </c>
      <c r="BM45" s="1351">
        <f t="shared" si="140"/>
        <v>0.48008689355539463</v>
      </c>
      <c r="BN45" s="63">
        <v>2502</v>
      </c>
      <c r="BO45" s="1427">
        <f t="shared" si="141"/>
        <v>1.4891304347826086</v>
      </c>
      <c r="BP45" s="1351">
        <f t="shared" si="142"/>
        <v>0.59872204472843449</v>
      </c>
      <c r="BQ45" s="63">
        <v>2869</v>
      </c>
      <c r="BR45" s="1427">
        <f t="shared" si="143"/>
        <v>0.73933649289099523</v>
      </c>
      <c r="BS45" s="1351">
        <f t="shared" si="144"/>
        <v>0.61542792792792789</v>
      </c>
      <c r="BT45" s="63">
        <v>3115</v>
      </c>
      <c r="BU45" s="1427">
        <f t="shared" si="145"/>
        <v>1.6528925619834711E-2</v>
      </c>
      <c r="BV45" s="1351">
        <f t="shared" si="146"/>
        <v>0.54360753221010905</v>
      </c>
      <c r="BW45" s="63">
        <v>3518</v>
      </c>
      <c r="BX45" s="1427">
        <f t="shared" si="147"/>
        <v>1.0049751243781095</v>
      </c>
      <c r="BY45" s="1351">
        <f t="shared" si="148"/>
        <v>0.58539882830103651</v>
      </c>
      <c r="BZ45" s="1140">
        <v>3621</v>
      </c>
      <c r="CA45" s="1427">
        <f t="shared" si="149"/>
        <v>-0.72679045092838201</v>
      </c>
      <c r="CB45" s="1351">
        <f t="shared" si="150"/>
        <v>0.39483821263482283</v>
      </c>
      <c r="CC45" s="1901">
        <v>0</v>
      </c>
      <c r="CD45" s="1594">
        <f t="shared" si="151"/>
        <v>3621</v>
      </c>
      <c r="CE45" s="1939">
        <f t="shared" si="152"/>
        <v>0.39483821263482283</v>
      </c>
      <c r="CF45" s="1940">
        <f t="shared" si="153"/>
        <v>33</v>
      </c>
      <c r="CG45" s="1895"/>
      <c r="CH45" s="1815">
        <v>550</v>
      </c>
      <c r="CI45" s="2039">
        <f t="shared" si="154"/>
        <v>0.9642857142857143</v>
      </c>
      <c r="CJ45" s="2041">
        <f t="shared" si="155"/>
        <v>0.9642857142857143</v>
      </c>
      <c r="CK45" s="1815">
        <v>1603</v>
      </c>
      <c r="CL45" s="2039">
        <f t="shared" si="156"/>
        <v>2.2906249999999999</v>
      </c>
      <c r="CM45" s="2041">
        <f t="shared" si="157"/>
        <v>1.6716666666666666</v>
      </c>
      <c r="CN45" s="1815">
        <v>2803</v>
      </c>
      <c r="CO45" s="2039">
        <f t="shared" si="158"/>
        <v>4.6338028169014081</v>
      </c>
      <c r="CP45" s="2041">
        <f t="shared" si="159"/>
        <v>2.4477244772447726</v>
      </c>
      <c r="CQ45" s="1815">
        <v>3810</v>
      </c>
      <c r="CR45" s="2039">
        <f t="shared" si="160"/>
        <v>2.3566666666666665</v>
      </c>
      <c r="CS45" s="2041">
        <f t="shared" si="161"/>
        <v>2.4231805929919137</v>
      </c>
      <c r="CU45" s="1948">
        <f t="shared" si="162"/>
        <v>-2.4543884252858916E-2</v>
      </c>
      <c r="CV45" s="1940">
        <f t="shared" si="163"/>
        <v>2</v>
      </c>
      <c r="CW45" s="1580">
        <f t="shared" si="164"/>
        <v>2.7852991226427326</v>
      </c>
      <c r="CX45" s="1799">
        <v>4658</v>
      </c>
      <c r="CY45" s="1794">
        <f>_xlfn.XLOOKUP(E45,MOPFRA!$R$7:$R$56,MOPFRA!$T$7:$T$56,"")</f>
        <v>16316.3</v>
      </c>
      <c r="CZ45" s="1245" t="str">
        <f>_xlfn.XLOOKUP(E45,MOPFRA!$R$7:$R$56,MOPFRA!$P$7:$P$56,"")</f>
        <v>PH</v>
      </c>
      <c r="DA45" s="1802">
        <v>0.9</v>
      </c>
      <c r="DB45" s="1529">
        <f t="shared" si="165"/>
        <v>0.37931034482758619</v>
      </c>
      <c r="DC45" s="1529">
        <f t="shared" si="166"/>
        <v>0.41843971631205673</v>
      </c>
      <c r="DD45" s="1529">
        <f t="shared" si="167"/>
        <v>0.25462962962962965</v>
      </c>
      <c r="DE45" s="1529">
        <f t="shared" si="168"/>
        <v>0.29118329466357307</v>
      </c>
      <c r="DF45" s="1529">
        <f t="shared" si="169"/>
        <v>0.33754863813229574</v>
      </c>
      <c r="DG45" s="1529">
        <f t="shared" si="170"/>
        <v>0.50374687760199832</v>
      </c>
      <c r="DH45" s="1529">
        <f t="shared" si="171"/>
        <v>0.48008689355539463</v>
      </c>
      <c r="DI45" s="1529">
        <f t="shared" si="172"/>
        <v>0.59872204472843449</v>
      </c>
      <c r="DJ45" s="1529">
        <f t="shared" si="173"/>
        <v>0.61542792792792789</v>
      </c>
      <c r="DK45" s="1529">
        <f t="shared" si="174"/>
        <v>0.54360753221010905</v>
      </c>
      <c r="DL45" s="1529">
        <f t="shared" si="175"/>
        <v>0.58539882830103651</v>
      </c>
      <c r="DM45" s="1529">
        <f t="shared" si="176"/>
        <v>0.39483821263482283</v>
      </c>
      <c r="DN45" s="1529">
        <f t="shared" si="177"/>
        <v>0.9642857142857143</v>
      </c>
      <c r="DO45" s="1529">
        <f t="shared" si="178"/>
        <v>1.6716666666666666</v>
      </c>
      <c r="DP45" s="1529">
        <f t="shared" si="179"/>
        <v>2.4477244772447726</v>
      </c>
      <c r="DQ45" s="1529">
        <f t="shared" si="180"/>
        <v>2.4231805929919137</v>
      </c>
      <c r="DS45" s="1583" t="s">
        <v>605</v>
      </c>
      <c r="DT45" s="1736"/>
      <c r="DU45" s="1580">
        <f t="shared" ref="DU45:DU53" si="185">_xlfn.XLOOKUP(E45,E45:E133,CW45:CW133,"")</f>
        <v>2.7852991226427326</v>
      </c>
      <c r="DV45" s="1943">
        <f t="shared" si="181"/>
        <v>2</v>
      </c>
      <c r="DW45" s="1730">
        <f t="shared" si="182"/>
        <v>2.5028553027050235</v>
      </c>
      <c r="DX45" s="1860">
        <f t="shared" si="183"/>
        <v>-39.889349930843707</v>
      </c>
      <c r="DY45" s="1683">
        <f>_xlfn.XLOOKUP(E45,MOPFRA!$R$7:$R$56,MOPFRA!$D$7:$D$56,"")</f>
        <v>3.1881062704957381</v>
      </c>
      <c r="DZ45" s="1583" t="s">
        <v>605</v>
      </c>
    </row>
    <row r="46" spans="2:130" ht="68" customHeight="1">
      <c r="B46" s="1119">
        <f>_xlfn.XLOOKUP(E46,MOPFRA!$R$7:$R$56,MOPFRA!$A$7:$A$56,"")</f>
        <v>21.973793847562622</v>
      </c>
      <c r="C46" s="394">
        <f>_xlfn.XLOOKUP(E46,MOPFRA!$R$7:$R$56,MOPFRA!$T$7:$T$56,"")</f>
        <v>9960</v>
      </c>
      <c r="D46" s="223" t="s">
        <v>116</v>
      </c>
      <c r="E46" s="1949" t="s">
        <v>117</v>
      </c>
      <c r="F46" s="982">
        <f>_xlfn.XLOOKUP(E46,MOPFRA!$R$7:$R$56,MOPFRA!$S$7:$S$56,"")</f>
        <v>12</v>
      </c>
      <c r="G46" s="1203">
        <f>_xlfn.XLOOKUP(E46,MOPFRA!$R$7:$R$56,MOPFRA!$AQ$7:$AQ$56,"")</f>
        <v>9834</v>
      </c>
      <c r="H46" s="1210">
        <v>265</v>
      </c>
      <c r="I46" s="1713">
        <f t="shared" si="114"/>
        <v>9569</v>
      </c>
      <c r="J46" s="1712">
        <f t="shared" si="115"/>
        <v>2.6947325605043725E-2</v>
      </c>
      <c r="K46" s="1761">
        <v>4</v>
      </c>
      <c r="L46" s="1728">
        <f t="shared" si="116"/>
        <v>4</v>
      </c>
      <c r="M46" s="689">
        <v>2381</v>
      </c>
      <c r="N46" s="689">
        <v>4369</v>
      </c>
      <c r="O46" s="1718">
        <v>86</v>
      </c>
      <c r="P46" s="1713">
        <f t="shared" si="117"/>
        <v>4283</v>
      </c>
      <c r="Q46" s="1712">
        <f t="shared" si="118"/>
        <v>1.9684138246738384E-2</v>
      </c>
      <c r="R46" s="557">
        <f t="shared" si="184"/>
        <v>13107</v>
      </c>
      <c r="S46" s="553">
        <f t="shared" si="119"/>
        <v>0.8349433011339773</v>
      </c>
      <c r="T46" s="553">
        <f t="shared" si="120"/>
        <v>0.24211917836078911</v>
      </c>
      <c r="U46" s="558">
        <f t="shared" si="121"/>
        <v>18044.832423351534</v>
      </c>
      <c r="V46" s="591">
        <f t="shared" si="122"/>
        <v>1988</v>
      </c>
      <c r="W46" s="559">
        <f t="shared" si="123"/>
        <v>11822</v>
      </c>
      <c r="X46" s="560">
        <f t="shared" si="124"/>
        <v>15254.666211675767</v>
      </c>
      <c r="Y46" s="1244">
        <f t="shared" si="125"/>
        <v>0.55121682038598407</v>
      </c>
      <c r="Z46" s="658"/>
      <c r="AA46" s="63">
        <v>6185</v>
      </c>
      <c r="AB46" s="1147">
        <v>6185</v>
      </c>
      <c r="AC46" s="63">
        <v>433</v>
      </c>
      <c r="AD46" s="63">
        <v>1161</v>
      </c>
      <c r="AE46" s="63">
        <v>1799</v>
      </c>
      <c r="AF46" s="63">
        <v>2577</v>
      </c>
      <c r="AG46" s="63">
        <v>3229</v>
      </c>
      <c r="AH46" s="63">
        <v>3592</v>
      </c>
      <c r="AI46" s="63">
        <v>4163</v>
      </c>
      <c r="AJ46" s="63">
        <v>4920</v>
      </c>
      <c r="AK46" s="1791">
        <v>5630</v>
      </c>
      <c r="AL46" s="63">
        <v>6274</v>
      </c>
      <c r="AM46" s="63">
        <v>7470</v>
      </c>
      <c r="AN46" s="1140">
        <v>8168</v>
      </c>
      <c r="AO46" s="1594">
        <f t="shared" si="126"/>
        <v>8168</v>
      </c>
      <c r="AP46" s="1147">
        <v>8168</v>
      </c>
      <c r="AQ46" s="1494"/>
      <c r="AR46" s="63">
        <v>0</v>
      </c>
      <c r="AS46" s="63">
        <v>483</v>
      </c>
      <c r="AT46" s="1427">
        <f t="shared" si="127"/>
        <v>0.11547344110854503</v>
      </c>
      <c r="AU46" s="1351">
        <f t="shared" si="128"/>
        <v>0.11547344110854503</v>
      </c>
      <c r="AV46" s="63">
        <v>1105</v>
      </c>
      <c r="AW46" s="1427">
        <f t="shared" si="129"/>
        <v>-0.14560439560439561</v>
      </c>
      <c r="AX46" s="1351">
        <f t="shared" si="130"/>
        <v>-4.8234280792420328E-2</v>
      </c>
      <c r="AY46" s="63">
        <v>1763</v>
      </c>
      <c r="AZ46" s="1427">
        <f t="shared" si="131"/>
        <v>3.1347962382445138E-2</v>
      </c>
      <c r="BA46" s="1351">
        <f t="shared" si="132"/>
        <v>-2.0011117287381877E-2</v>
      </c>
      <c r="BB46" s="63">
        <v>2381</v>
      </c>
      <c r="BC46" s="1427">
        <f t="shared" si="133"/>
        <v>-0.20565552699228792</v>
      </c>
      <c r="BD46" s="1351">
        <f t="shared" si="134"/>
        <v>-7.605743112145906E-2</v>
      </c>
      <c r="BE46" s="63">
        <v>3109</v>
      </c>
      <c r="BF46" s="1427">
        <f t="shared" si="135"/>
        <v>0.1165644171779141</v>
      </c>
      <c r="BG46" s="1351">
        <f t="shared" si="136"/>
        <v>-3.7163208423660575E-2</v>
      </c>
      <c r="BH46" s="63">
        <v>4126</v>
      </c>
      <c r="BI46" s="1427">
        <f t="shared" si="137"/>
        <v>1.8016528925619835</v>
      </c>
      <c r="BJ46" s="1351">
        <f t="shared" si="138"/>
        <v>0.14866369710467706</v>
      </c>
      <c r="BK46" s="63">
        <v>5206</v>
      </c>
      <c r="BL46" s="1427">
        <f t="shared" si="139"/>
        <v>0.89141856392294216</v>
      </c>
      <c r="BM46" s="1351">
        <f t="shared" si="140"/>
        <v>0.25054047561854431</v>
      </c>
      <c r="BN46" s="63">
        <v>6132</v>
      </c>
      <c r="BO46" s="1427">
        <f t="shared" si="141"/>
        <v>0.22324966974900926</v>
      </c>
      <c r="BP46" s="1351">
        <f t="shared" si="142"/>
        <v>0.24634146341463414</v>
      </c>
      <c r="BQ46" s="63">
        <v>7140</v>
      </c>
      <c r="BR46" s="1427">
        <f t="shared" si="143"/>
        <v>0.41971830985915493</v>
      </c>
      <c r="BS46" s="1351">
        <f t="shared" si="144"/>
        <v>0.26820603907637658</v>
      </c>
      <c r="BT46" s="63">
        <v>8124</v>
      </c>
      <c r="BU46" s="1427">
        <f t="shared" si="145"/>
        <v>0.52795031055900621</v>
      </c>
      <c r="BV46" s="1351">
        <f t="shared" si="146"/>
        <v>0.2948677080012751</v>
      </c>
      <c r="BW46" s="63">
        <v>9119</v>
      </c>
      <c r="BX46" s="1427">
        <f t="shared" si="147"/>
        <v>-0.16806020066889632</v>
      </c>
      <c r="BY46" s="1351">
        <f t="shared" si="148"/>
        <v>0.22074966532797857</v>
      </c>
      <c r="BZ46" s="1140">
        <v>9834</v>
      </c>
      <c r="CA46" s="1427">
        <f t="shared" si="149"/>
        <v>2.4355300859598854E-2</v>
      </c>
      <c r="CB46" s="1351">
        <f t="shared" si="150"/>
        <v>0.20396669931439765</v>
      </c>
      <c r="CC46" s="1901">
        <v>0</v>
      </c>
      <c r="CD46" s="1594">
        <f t="shared" si="151"/>
        <v>9834</v>
      </c>
      <c r="CE46" s="1939">
        <f t="shared" si="152"/>
        <v>0.20396669931439765</v>
      </c>
      <c r="CF46" s="1940">
        <f t="shared" si="153"/>
        <v>47</v>
      </c>
      <c r="CG46" s="1895"/>
      <c r="CH46" s="1815">
        <v>299</v>
      </c>
      <c r="CI46" s="2039">
        <f t="shared" si="154"/>
        <v>-0.38095238095238093</v>
      </c>
      <c r="CJ46" s="2041">
        <f t="shared" si="155"/>
        <v>-0.38095238095238093</v>
      </c>
      <c r="CK46" s="1815">
        <v>1454</v>
      </c>
      <c r="CL46" s="2039">
        <f t="shared" si="156"/>
        <v>0.85691318327974275</v>
      </c>
      <c r="CM46" s="2041">
        <f t="shared" si="157"/>
        <v>0.31583710407239818</v>
      </c>
      <c r="CN46" s="1815">
        <v>2753</v>
      </c>
      <c r="CO46" s="2039">
        <f t="shared" si="158"/>
        <v>0.97416413373860178</v>
      </c>
      <c r="CP46" s="2041">
        <f t="shared" si="159"/>
        <v>0.56154282473057293</v>
      </c>
      <c r="CQ46" s="1815">
        <v>4369</v>
      </c>
      <c r="CR46" s="2039">
        <f t="shared" si="160"/>
        <v>1.6148867313915858</v>
      </c>
      <c r="CS46" s="2041">
        <f t="shared" si="161"/>
        <v>0.8349433011339773</v>
      </c>
      <c r="CU46" s="1948">
        <f t="shared" si="162"/>
        <v>0.27340047640340437</v>
      </c>
      <c r="CV46" s="1940">
        <f t="shared" si="163"/>
        <v>28</v>
      </c>
      <c r="CW46" s="1580">
        <f t="shared" si="164"/>
        <v>-9.1469711678294471E-2</v>
      </c>
      <c r="CX46" s="1799">
        <v>4530</v>
      </c>
      <c r="CY46" s="1794">
        <f>_xlfn.XLOOKUP(E46,MOPFRA!$R$7:$R$56,MOPFRA!$T$7:$T$56,"")</f>
        <v>9960</v>
      </c>
      <c r="CZ46" s="1245" t="str">
        <f>_xlfn.XLOOKUP(E46,MOPFRA!$R$7:$R$56,MOPFRA!$P$7:$P$56,"")</f>
        <v>M</v>
      </c>
      <c r="DA46" s="1802">
        <v>0.9</v>
      </c>
      <c r="DB46" s="1529">
        <f t="shared" si="165"/>
        <v>0.11547344110854503</v>
      </c>
      <c r="DC46" s="1529">
        <f t="shared" si="166"/>
        <v>-4.8234280792420328E-2</v>
      </c>
      <c r="DD46" s="1529">
        <f t="shared" si="167"/>
        <v>-2.0011117287381877E-2</v>
      </c>
      <c r="DE46" s="1529">
        <f t="shared" si="168"/>
        <v>-7.605743112145906E-2</v>
      </c>
      <c r="DF46" s="1529">
        <f t="shared" si="169"/>
        <v>-3.7163208423660575E-2</v>
      </c>
      <c r="DG46" s="1529">
        <f t="shared" si="170"/>
        <v>0.14866369710467706</v>
      </c>
      <c r="DH46" s="1529">
        <f t="shared" si="171"/>
        <v>0.25054047561854431</v>
      </c>
      <c r="DI46" s="1529">
        <f t="shared" si="172"/>
        <v>0.24634146341463414</v>
      </c>
      <c r="DJ46" s="1529">
        <f t="shared" si="173"/>
        <v>0.26820603907637658</v>
      </c>
      <c r="DK46" s="1529">
        <f t="shared" si="174"/>
        <v>0.2948677080012751</v>
      </c>
      <c r="DL46" s="1529">
        <f t="shared" si="175"/>
        <v>0.22074966532797857</v>
      </c>
      <c r="DM46" s="1529">
        <f t="shared" si="176"/>
        <v>0.20396669931439765</v>
      </c>
      <c r="DN46" s="1529">
        <f t="shared" si="177"/>
        <v>-0.38095238095238093</v>
      </c>
      <c r="DO46" s="1529">
        <f t="shared" si="178"/>
        <v>0.31583710407239818</v>
      </c>
      <c r="DP46" s="1529">
        <f t="shared" si="179"/>
        <v>0.56154282473057293</v>
      </c>
      <c r="DQ46" s="1529">
        <f t="shared" si="180"/>
        <v>0.8349433011339773</v>
      </c>
      <c r="DS46" s="1583" t="s">
        <v>605</v>
      </c>
      <c r="DT46" s="1736"/>
      <c r="DU46" s="1580">
        <f t="shared" si="185"/>
        <v>-9.1469711678294471E-2</v>
      </c>
      <c r="DV46" s="1943">
        <f t="shared" si="181"/>
        <v>28</v>
      </c>
      <c r="DW46" s="1730">
        <f t="shared" si="182"/>
        <v>1.1986754966887416</v>
      </c>
      <c r="DX46" s="1860">
        <f t="shared" si="183"/>
        <v>-0.72631873583053408</v>
      </c>
      <c r="DY46" s="1683">
        <f>_xlfn.XLOOKUP(E46,MOPFRA!$R$7:$R$56,MOPFRA!$D$7:$D$56,"")</f>
        <v>2.6407948169983704</v>
      </c>
      <c r="DZ46" s="1583" t="s">
        <v>605</v>
      </c>
    </row>
    <row r="47" spans="2:130" ht="68" customHeight="1">
      <c r="B47" s="1119">
        <f>_xlfn.XLOOKUP(E47,MOPFRA!$R$7:$R$56,MOPFRA!$A$7:$A$56,"")</f>
        <v>18.611866641113266</v>
      </c>
      <c r="C47" s="394">
        <f>_xlfn.XLOOKUP(E47,MOPFRA!$R$7:$R$56,MOPFRA!$T$7:$T$56,"")</f>
        <v>294277.5</v>
      </c>
      <c r="D47" s="223" t="s">
        <v>171</v>
      </c>
      <c r="E47" s="1949" t="s">
        <v>172</v>
      </c>
      <c r="F47" s="982">
        <f>_xlfn.XLOOKUP(E47,MOPFRA!$R$7:$R$56,MOPFRA!$S$7:$S$56,"")</f>
        <v>12</v>
      </c>
      <c r="G47" s="1203">
        <f>_xlfn.XLOOKUP(E47,MOPFRA!$R$7:$R$56,MOPFRA!$AQ$7:$AQ$56,"")</f>
        <v>456866</v>
      </c>
      <c r="H47" s="1210">
        <v>0</v>
      </c>
      <c r="I47" s="1713">
        <f t="shared" si="114"/>
        <v>456866</v>
      </c>
      <c r="J47" s="1712">
        <f t="shared" si="115"/>
        <v>0</v>
      </c>
      <c r="K47" s="1761">
        <v>4</v>
      </c>
      <c r="L47" s="1728">
        <f t="shared" si="116"/>
        <v>4</v>
      </c>
      <c r="M47" s="689">
        <v>143277</v>
      </c>
      <c r="N47" s="689">
        <v>220517</v>
      </c>
      <c r="O47" s="1718">
        <v>0</v>
      </c>
      <c r="P47" s="1713">
        <f t="shared" si="117"/>
        <v>220517</v>
      </c>
      <c r="Q47" s="1712">
        <f t="shared" si="118"/>
        <v>0</v>
      </c>
      <c r="R47" s="557">
        <f t="shared" si="184"/>
        <v>661551</v>
      </c>
      <c r="S47" s="553">
        <f t="shared" si="119"/>
        <v>0.53909559803736817</v>
      </c>
      <c r="T47" s="553">
        <f t="shared" si="120"/>
        <v>0.31360836656700214</v>
      </c>
      <c r="U47" s="558">
        <f t="shared" si="121"/>
        <v>703160.44949294021</v>
      </c>
      <c r="V47" s="591">
        <f t="shared" si="122"/>
        <v>77240</v>
      </c>
      <c r="W47" s="559">
        <f t="shared" si="123"/>
        <v>534106</v>
      </c>
      <c r="X47" s="560">
        <f t="shared" si="124"/>
        <v>650494.47474647011</v>
      </c>
      <c r="Y47" s="1244">
        <f t="shared" si="125"/>
        <v>0.42381896386789586</v>
      </c>
      <c r="Z47" s="658"/>
      <c r="AA47" s="63">
        <v>227021</v>
      </c>
      <c r="AB47" s="1147">
        <v>227021</v>
      </c>
      <c r="AC47" s="1613">
        <v>23789</v>
      </c>
      <c r="AD47" s="1613">
        <v>47578</v>
      </c>
      <c r="AE47" s="63">
        <v>71368</v>
      </c>
      <c r="AF47" s="1613">
        <v>96995</v>
      </c>
      <c r="AG47" s="1613">
        <v>122622</v>
      </c>
      <c r="AH47" s="63">
        <v>148249</v>
      </c>
      <c r="AI47" s="1613">
        <v>175575</v>
      </c>
      <c r="AJ47" s="1613">
        <v>202903</v>
      </c>
      <c r="AK47" s="1791">
        <v>230229</v>
      </c>
      <c r="AL47" s="1613">
        <v>268211</v>
      </c>
      <c r="AM47" s="1613">
        <v>306195</v>
      </c>
      <c r="AN47" s="1140">
        <v>344415</v>
      </c>
      <c r="AO47" s="1594">
        <f t="shared" si="126"/>
        <v>344415</v>
      </c>
      <c r="AP47" s="1147">
        <v>344178</v>
      </c>
      <c r="AQ47" s="1494"/>
      <c r="AR47" s="63">
        <v>0</v>
      </c>
      <c r="AS47" s="63">
        <v>36943</v>
      </c>
      <c r="AT47" s="1427">
        <f t="shared" si="127"/>
        <v>0.55294463827819584</v>
      </c>
      <c r="AU47" s="1351">
        <f t="shared" si="128"/>
        <v>0.55294463827819584</v>
      </c>
      <c r="AV47" s="63">
        <v>72629</v>
      </c>
      <c r="AW47" s="1427">
        <f t="shared" si="129"/>
        <v>0.50010509058808694</v>
      </c>
      <c r="AX47" s="1351">
        <f t="shared" si="130"/>
        <v>0.52652486443314139</v>
      </c>
      <c r="AY47" s="63">
        <v>109492</v>
      </c>
      <c r="AZ47" s="1427">
        <f t="shared" si="131"/>
        <v>0.54951660361496424</v>
      </c>
      <c r="BA47" s="1351">
        <f t="shared" si="132"/>
        <v>0.53418899226544114</v>
      </c>
      <c r="BB47" s="1613">
        <v>144956</v>
      </c>
      <c r="BC47" s="1427">
        <f t="shared" si="133"/>
        <v>0.38385296757326259</v>
      </c>
      <c r="BD47" s="1351">
        <f t="shared" si="134"/>
        <v>0.49446878705087893</v>
      </c>
      <c r="BE47" s="1613">
        <v>180418</v>
      </c>
      <c r="BF47" s="1427">
        <f t="shared" si="135"/>
        <v>0.38377492488391152</v>
      </c>
      <c r="BG47" s="1351">
        <f t="shared" si="136"/>
        <v>0.47133467077685898</v>
      </c>
      <c r="BH47" s="63">
        <v>215880</v>
      </c>
      <c r="BI47" s="1427">
        <f t="shared" si="137"/>
        <v>0.38377492488391152</v>
      </c>
      <c r="BJ47" s="1351">
        <f t="shared" si="138"/>
        <v>0.45619869273991731</v>
      </c>
      <c r="BK47" s="1613">
        <v>247139</v>
      </c>
      <c r="BL47" s="1427">
        <f t="shared" si="139"/>
        <v>0.14392885896216057</v>
      </c>
      <c r="BM47" s="1351">
        <f t="shared" si="140"/>
        <v>0.40759789263847357</v>
      </c>
      <c r="BN47" s="63">
        <v>278396</v>
      </c>
      <c r="BO47" s="1427">
        <f t="shared" si="141"/>
        <v>0.14377195550351288</v>
      </c>
      <c r="BP47" s="1351">
        <f t="shared" si="142"/>
        <v>0.37206448401452913</v>
      </c>
      <c r="BQ47" s="63">
        <v>309653</v>
      </c>
      <c r="BR47" s="1427">
        <f t="shared" si="143"/>
        <v>0.14385566859401303</v>
      </c>
      <c r="BS47" s="1351">
        <f t="shared" si="144"/>
        <v>0.34497826077514127</v>
      </c>
      <c r="BT47" s="1613">
        <v>340910</v>
      </c>
      <c r="BU47" s="1427">
        <f t="shared" si="145"/>
        <v>-0.17705755357801065</v>
      </c>
      <c r="BV47" s="1351">
        <f t="shared" si="146"/>
        <v>0.27105152286818962</v>
      </c>
      <c r="BW47" s="63">
        <v>419597</v>
      </c>
      <c r="BX47" s="1427">
        <f t="shared" si="147"/>
        <v>1.0715827716933446</v>
      </c>
      <c r="BY47" s="1351">
        <f t="shared" si="148"/>
        <v>0.37035875830761444</v>
      </c>
      <c r="BZ47" s="1140">
        <v>456866</v>
      </c>
      <c r="CA47" s="1427">
        <f t="shared" si="149"/>
        <v>-2.4882260596546312E-2</v>
      </c>
      <c r="CB47" s="1351">
        <f t="shared" si="150"/>
        <v>0.32649855552168167</v>
      </c>
      <c r="CC47" s="1901">
        <v>0</v>
      </c>
      <c r="CD47" s="1594">
        <f t="shared" si="151"/>
        <v>456866</v>
      </c>
      <c r="CE47" s="1939">
        <f t="shared" si="152"/>
        <v>0.32649855552168167</v>
      </c>
      <c r="CF47" s="1940">
        <f t="shared" si="153"/>
        <v>41</v>
      </c>
      <c r="CG47" s="1895"/>
      <c r="CH47" s="1815">
        <v>20144</v>
      </c>
      <c r="CI47" s="2039">
        <f t="shared" si="154"/>
        <v>-0.45472755325772135</v>
      </c>
      <c r="CJ47" s="2041">
        <f t="shared" si="155"/>
        <v>-0.45472755325772135</v>
      </c>
      <c r="CK47" s="1815">
        <v>80460</v>
      </c>
      <c r="CL47" s="2039">
        <f t="shared" si="156"/>
        <v>0.69018662780922491</v>
      </c>
      <c r="CM47" s="2041">
        <f t="shared" si="157"/>
        <v>0.10782194440237371</v>
      </c>
      <c r="CN47" s="1815">
        <v>145436</v>
      </c>
      <c r="CO47" s="2039">
        <f t="shared" si="158"/>
        <v>0.7626346200797548</v>
      </c>
      <c r="CP47" s="2041">
        <f t="shared" si="159"/>
        <v>0.32827969166697113</v>
      </c>
      <c r="CQ47" s="1815">
        <v>220517</v>
      </c>
      <c r="CR47" s="2039">
        <f t="shared" si="160"/>
        <v>1.1171046695240243</v>
      </c>
      <c r="CS47" s="2041">
        <f t="shared" si="161"/>
        <v>0.5212685228621099</v>
      </c>
      <c r="CU47" s="1948">
        <f t="shared" si="162"/>
        <v>0.19298883119513877</v>
      </c>
      <c r="CV47" s="1940">
        <f t="shared" si="163"/>
        <v>36</v>
      </c>
      <c r="CW47" s="1580">
        <f t="shared" si="164"/>
        <v>2.4967475664999648</v>
      </c>
      <c r="CX47" s="1799">
        <v>129210.25</v>
      </c>
      <c r="CY47" s="1794">
        <f>_xlfn.XLOOKUP(E47,MOPFRA!$R$7:$R$56,MOPFRA!$T$7:$T$56,"")</f>
        <v>294277.5</v>
      </c>
      <c r="CZ47" s="1245" t="str">
        <f>_xlfn.XLOOKUP(E47,MOPFRA!$R$7:$R$56,MOPFRA!$P$7:$P$56,"")</f>
        <v>R</v>
      </c>
      <c r="DA47" s="1802">
        <v>0.9</v>
      </c>
      <c r="DB47" s="1529">
        <f t="shared" si="165"/>
        <v>0.55294463827819584</v>
      </c>
      <c r="DC47" s="1529">
        <f t="shared" si="166"/>
        <v>0.52652486443314139</v>
      </c>
      <c r="DD47" s="1529">
        <f t="shared" si="167"/>
        <v>0.53418899226544114</v>
      </c>
      <c r="DE47" s="1529">
        <f t="shared" si="168"/>
        <v>0.49446878705087893</v>
      </c>
      <c r="DF47" s="1529">
        <f t="shared" si="169"/>
        <v>0.47133467077685898</v>
      </c>
      <c r="DG47" s="1529">
        <f t="shared" si="170"/>
        <v>0.45619869273991731</v>
      </c>
      <c r="DH47" s="1529">
        <f t="shared" si="171"/>
        <v>0.40759789263847357</v>
      </c>
      <c r="DI47" s="1529">
        <f t="shared" si="172"/>
        <v>0.37206448401452913</v>
      </c>
      <c r="DJ47" s="1529">
        <v>0.45882515290557557</v>
      </c>
      <c r="DK47" s="1529">
        <f t="shared" si="174"/>
        <v>0.27105152286818962</v>
      </c>
      <c r="DL47" s="1529">
        <f t="shared" si="175"/>
        <v>0.37035875830761444</v>
      </c>
      <c r="DM47" s="1529">
        <f t="shared" si="176"/>
        <v>0.32649855552168167</v>
      </c>
      <c r="DN47" s="1529">
        <f t="shared" si="177"/>
        <v>-0.45472755325772135</v>
      </c>
      <c r="DO47" s="1529">
        <f t="shared" si="178"/>
        <v>0.10782194440237371</v>
      </c>
      <c r="DP47" s="1529">
        <f t="shared" si="179"/>
        <v>0.32827969166697113</v>
      </c>
      <c r="DQ47" s="1529">
        <f t="shared" si="180"/>
        <v>0.5212685228621099</v>
      </c>
      <c r="DS47" s="1583" t="s">
        <v>197</v>
      </c>
      <c r="DT47" s="1736"/>
      <c r="DU47" s="1580">
        <f t="shared" si="185"/>
        <v>2.4967475664999648</v>
      </c>
      <c r="DV47" s="1943">
        <f t="shared" si="181"/>
        <v>36</v>
      </c>
      <c r="DW47" s="1730">
        <f t="shared" si="182"/>
        <v>1.2775089437563971</v>
      </c>
      <c r="DX47" s="1860">
        <f t="shared" si="183"/>
        <v>0</v>
      </c>
      <c r="DY47" s="1683">
        <f>_xlfn.XLOOKUP(E47,MOPFRA!$R$7:$R$56,MOPFRA!$D$7:$D$56,"")</f>
        <v>0.32399785399901759</v>
      </c>
      <c r="DZ47" s="1583" t="s">
        <v>197</v>
      </c>
    </row>
    <row r="48" spans="2:130" ht="68" customHeight="1">
      <c r="B48" s="1119">
        <f>_xlfn.XLOOKUP(E48,MOPFRA!$R$7:$R$56,MOPFRA!$A$7:$A$56,"")</f>
        <v>17.984453865135521</v>
      </c>
      <c r="C48" s="394">
        <f>_xlfn.XLOOKUP(E48,MOPFRA!$R$7:$R$56,MOPFRA!$T$7:$T$56,"")</f>
        <v>84436</v>
      </c>
      <c r="D48" s="223" t="s">
        <v>102</v>
      </c>
      <c r="E48" s="1949" t="s">
        <v>103</v>
      </c>
      <c r="F48" s="982">
        <f>_xlfn.XLOOKUP(E48,MOPFRA!$R$7:$R$56,MOPFRA!$S$7:$S$56,"")</f>
        <v>12</v>
      </c>
      <c r="G48" s="1203">
        <f>_xlfn.XLOOKUP(E48,MOPFRA!$R$7:$R$56,MOPFRA!$AQ$7:$AQ$56,"")</f>
        <v>46676</v>
      </c>
      <c r="H48" s="1210">
        <v>0</v>
      </c>
      <c r="I48" s="1713">
        <f t="shared" si="114"/>
        <v>46676</v>
      </c>
      <c r="J48" s="1712">
        <f t="shared" si="115"/>
        <v>0</v>
      </c>
      <c r="K48" s="1761">
        <v>4</v>
      </c>
      <c r="L48" s="1728">
        <f t="shared" si="116"/>
        <v>4</v>
      </c>
      <c r="M48" s="689">
        <v>8747</v>
      </c>
      <c r="N48" s="689">
        <v>37983</v>
      </c>
      <c r="O48" s="1718">
        <v>0</v>
      </c>
      <c r="P48" s="1713">
        <f t="shared" si="117"/>
        <v>37983</v>
      </c>
      <c r="Q48" s="1712">
        <f t="shared" si="118"/>
        <v>0</v>
      </c>
      <c r="R48" s="557">
        <f t="shared" si="184"/>
        <v>113949</v>
      </c>
      <c r="S48" s="553">
        <f t="shared" si="119"/>
        <v>3.3424031096375901</v>
      </c>
      <c r="T48" s="553">
        <f t="shared" si="120"/>
        <v>0.18739823463878652</v>
      </c>
      <c r="U48" s="558">
        <f t="shared" si="121"/>
        <v>202686.00754544418</v>
      </c>
      <c r="V48" s="591">
        <f t="shared" si="122"/>
        <v>29236</v>
      </c>
      <c r="W48" s="559">
        <f t="shared" si="123"/>
        <v>75912</v>
      </c>
      <c r="X48" s="560">
        <f t="shared" si="124"/>
        <v>148808.25377272209</v>
      </c>
      <c r="Y48" s="1244">
        <f t="shared" si="125"/>
        <v>2.18811067299516</v>
      </c>
      <c r="Z48" s="658"/>
      <c r="AA48" s="63">
        <v>22239</v>
      </c>
      <c r="AB48" s="1147">
        <v>22239</v>
      </c>
      <c r="AC48" s="63">
        <v>1298</v>
      </c>
      <c r="AD48" s="63">
        <v>2871</v>
      </c>
      <c r="AE48" s="63">
        <v>4569</v>
      </c>
      <c r="AF48" s="63">
        <v>6636</v>
      </c>
      <c r="AG48" s="63">
        <v>8674</v>
      </c>
      <c r="AH48" s="63">
        <v>10722</v>
      </c>
      <c r="AI48" s="63">
        <v>12776</v>
      </c>
      <c r="AJ48" s="63">
        <v>15396</v>
      </c>
      <c r="AK48" s="1791">
        <v>17004</v>
      </c>
      <c r="AL48" s="63">
        <v>19142</v>
      </c>
      <c r="AM48" s="63">
        <v>21187</v>
      </c>
      <c r="AN48" s="1140">
        <v>23119</v>
      </c>
      <c r="AO48" s="1594">
        <f t="shared" si="126"/>
        <v>23119</v>
      </c>
      <c r="AP48" s="1147">
        <v>23119</v>
      </c>
      <c r="AQ48" s="1494"/>
      <c r="AR48" s="63">
        <v>0</v>
      </c>
      <c r="AS48" s="63">
        <v>1002</v>
      </c>
      <c r="AT48" s="1427">
        <f t="shared" si="127"/>
        <v>-0.2280431432973806</v>
      </c>
      <c r="AU48" s="1351">
        <f t="shared" si="128"/>
        <v>-0.2280431432973806</v>
      </c>
      <c r="AV48" s="63">
        <v>3844</v>
      </c>
      <c r="AW48" s="1427">
        <f t="shared" si="129"/>
        <v>0.80673871582962497</v>
      </c>
      <c r="AX48" s="1351">
        <f t="shared" si="130"/>
        <v>0.3389063044235458</v>
      </c>
      <c r="AY48" s="63">
        <v>5356</v>
      </c>
      <c r="AZ48" s="1427">
        <f t="shared" si="131"/>
        <v>-0.10954063604240283</v>
      </c>
      <c r="BA48" s="1351">
        <f t="shared" si="132"/>
        <v>0.17224775662070474</v>
      </c>
      <c r="BB48" s="63">
        <v>8747</v>
      </c>
      <c r="BC48" s="1427">
        <f t="shared" si="133"/>
        <v>0.64054184808901793</v>
      </c>
      <c r="BD48" s="1351">
        <f t="shared" si="134"/>
        <v>0.31811332127787822</v>
      </c>
      <c r="BE48" s="63">
        <v>11647</v>
      </c>
      <c r="BF48" s="1427">
        <f t="shared" si="135"/>
        <v>0.42296368989205102</v>
      </c>
      <c r="BG48" s="1351">
        <f t="shared" si="136"/>
        <v>0.34274844362462531</v>
      </c>
      <c r="BH48" s="63">
        <v>14020</v>
      </c>
      <c r="BI48" s="1427">
        <f t="shared" si="137"/>
        <v>0.15869140625</v>
      </c>
      <c r="BJ48" s="1351">
        <f t="shared" si="138"/>
        <v>0.30759186718895726</v>
      </c>
      <c r="BK48" s="63">
        <v>15895</v>
      </c>
      <c r="BL48" s="1427">
        <f t="shared" si="139"/>
        <v>-8.7147030185004873E-2</v>
      </c>
      <c r="BM48" s="1351">
        <f t="shared" si="140"/>
        <v>0.24412961803381339</v>
      </c>
      <c r="BN48" s="63">
        <v>18203</v>
      </c>
      <c r="BO48" s="1427">
        <f t="shared" si="141"/>
        <v>-0.11908396946564885</v>
      </c>
      <c r="BP48" s="1351">
        <f t="shared" si="142"/>
        <v>0.18232008313847753</v>
      </c>
      <c r="BQ48" s="63">
        <v>19878</v>
      </c>
      <c r="BR48" s="1427">
        <f t="shared" si="143"/>
        <v>4.1666666666666664E-2</v>
      </c>
      <c r="BS48" s="1351">
        <f t="shared" si="144"/>
        <v>0.16901905434015527</v>
      </c>
      <c r="BT48" s="63">
        <v>25389</v>
      </c>
      <c r="BU48" s="1427">
        <f t="shared" si="145"/>
        <v>1.577642656688494</v>
      </c>
      <c r="BV48" s="1351">
        <f t="shared" si="146"/>
        <v>0.32635043360150456</v>
      </c>
      <c r="BW48" s="63">
        <v>35426</v>
      </c>
      <c r="BX48" s="1427">
        <f t="shared" si="147"/>
        <v>3.9080684596577018</v>
      </c>
      <c r="BY48" s="1351">
        <f t="shared" si="148"/>
        <v>0.67206305753528106</v>
      </c>
      <c r="BZ48" s="63">
        <v>46101</v>
      </c>
      <c r="CA48" s="1427">
        <f t="shared" si="149"/>
        <v>4.52536231884058</v>
      </c>
      <c r="CB48" s="1351">
        <f t="shared" si="150"/>
        <v>0.99407413815476453</v>
      </c>
      <c r="CC48" s="1901">
        <v>0</v>
      </c>
      <c r="CD48" s="1594">
        <f t="shared" si="151"/>
        <v>46101</v>
      </c>
      <c r="CE48" s="1939">
        <f t="shared" si="152"/>
        <v>0.99407413815476453</v>
      </c>
      <c r="CF48" s="1940">
        <f t="shared" si="153"/>
        <v>4</v>
      </c>
      <c r="CG48" s="1895"/>
      <c r="CH48" s="1815">
        <v>8727</v>
      </c>
      <c r="CI48" s="2039">
        <f t="shared" si="154"/>
        <v>7.7095808383233537</v>
      </c>
      <c r="CJ48" s="2041">
        <f t="shared" si="155"/>
        <v>7.7095808383233537</v>
      </c>
      <c r="CK48" s="1815">
        <v>19473</v>
      </c>
      <c r="CL48" s="2039">
        <f t="shared" si="156"/>
        <v>2.781140042223786</v>
      </c>
      <c r="CM48" s="2041">
        <f t="shared" si="157"/>
        <v>4.0658168574401667</v>
      </c>
      <c r="CN48" s="1815">
        <v>28975</v>
      </c>
      <c r="CO48" s="2039">
        <f t="shared" si="158"/>
        <v>5.284391534391534</v>
      </c>
      <c r="CP48" s="2041">
        <f t="shared" si="159"/>
        <v>4.4098207617625089</v>
      </c>
      <c r="CQ48" s="1815">
        <v>37983</v>
      </c>
      <c r="CR48" s="2039">
        <f t="shared" si="160"/>
        <v>1.6564435269831908</v>
      </c>
      <c r="CS48" s="2041">
        <f t="shared" si="161"/>
        <v>3.3424031096375901</v>
      </c>
      <c r="CU48" s="1948">
        <f t="shared" si="162"/>
        <v>-1.0674176521249188</v>
      </c>
      <c r="CV48" s="1940">
        <f t="shared" si="163"/>
        <v>1</v>
      </c>
      <c r="CW48" s="1580">
        <f t="shared" si="164"/>
        <v>3.6102801666647881</v>
      </c>
      <c r="CX48" s="1799">
        <v>14203</v>
      </c>
      <c r="CY48" s="1794">
        <f>_xlfn.XLOOKUP(E48,MOPFRA!$R$7:$R$56,MOPFRA!$T$7:$T$56,"")</f>
        <v>84436</v>
      </c>
      <c r="CZ48" s="1245" t="str">
        <f>_xlfn.XLOOKUP(E48,MOPFRA!$R$7:$R$56,MOPFRA!$P$7:$P$56,"")</f>
        <v>F</v>
      </c>
      <c r="DA48" s="1802">
        <v>0.9</v>
      </c>
      <c r="DB48" s="1529">
        <f t="shared" si="165"/>
        <v>-0.2280431432973806</v>
      </c>
      <c r="DC48" s="1529">
        <f t="shared" si="166"/>
        <v>0.3389063044235458</v>
      </c>
      <c r="DD48" s="1529">
        <f t="shared" si="167"/>
        <v>0.17224775662070474</v>
      </c>
      <c r="DE48" s="1529">
        <f t="shared" si="168"/>
        <v>0.31811332127787822</v>
      </c>
      <c r="DF48" s="1529">
        <f t="shared" si="169"/>
        <v>0.34274844362462531</v>
      </c>
      <c r="DG48" s="1529">
        <f t="shared" si="170"/>
        <v>0.30759186718895726</v>
      </c>
      <c r="DH48" s="1529">
        <f t="shared" si="171"/>
        <v>0.24412961803381339</v>
      </c>
      <c r="DI48" s="1529">
        <f t="shared" si="172"/>
        <v>0.18232008313847753</v>
      </c>
      <c r="DJ48" s="1529">
        <f>BS48</f>
        <v>0.16901905434015527</v>
      </c>
      <c r="DK48" s="1529">
        <f t="shared" si="174"/>
        <v>0.32635043360150456</v>
      </c>
      <c r="DL48" s="1529">
        <f t="shared" si="175"/>
        <v>0.67206305753528106</v>
      </c>
      <c r="DM48" s="1529">
        <f t="shared" si="176"/>
        <v>0.99407413815476453</v>
      </c>
      <c r="DN48" s="1529">
        <f t="shared" si="177"/>
        <v>7.7095808383233537</v>
      </c>
      <c r="DO48" s="1529">
        <f t="shared" si="178"/>
        <v>4.0658168574401667</v>
      </c>
      <c r="DP48" s="1529">
        <f t="shared" si="179"/>
        <v>4.4098207617625089</v>
      </c>
      <c r="DQ48" s="1529">
        <f t="shared" si="180"/>
        <v>3.3424031096375901</v>
      </c>
      <c r="DS48" s="1583" t="s">
        <v>197</v>
      </c>
      <c r="DT48" s="1736"/>
      <c r="DU48" s="1580">
        <f t="shared" si="185"/>
        <v>3.6102801666647881</v>
      </c>
      <c r="DV48" s="1943">
        <f t="shared" si="181"/>
        <v>1</v>
      </c>
      <c r="DW48" s="1730">
        <f t="shared" si="182"/>
        <v>4.9449412096036047</v>
      </c>
      <c r="DX48" s="1860">
        <f t="shared" si="183"/>
        <v>0</v>
      </c>
      <c r="DY48" s="1683">
        <f>_xlfn.XLOOKUP(E48,MOPFRA!$R$7:$R$56,MOPFRA!$D$7:$D$56,"")</f>
        <v>2.3935069616322808</v>
      </c>
      <c r="DZ48" s="1583" t="s">
        <v>197</v>
      </c>
    </row>
    <row r="49" spans="2:131" ht="68" customHeight="1">
      <c r="B49" s="1119">
        <f>_xlfn.XLOOKUP(E49,MOPFRA!$R$7:$R$56,MOPFRA!$A$7:$A$56,"")</f>
        <v>15.917114604278469</v>
      </c>
      <c r="C49" s="394">
        <f>_xlfn.XLOOKUP(E49,MOPFRA!$R$7:$R$56,MOPFRA!$T$7:$T$56,"")</f>
        <v>1456</v>
      </c>
      <c r="D49" s="223" t="s">
        <v>130</v>
      </c>
      <c r="E49" s="1949" t="s">
        <v>131</v>
      </c>
      <c r="F49" s="982">
        <f>_xlfn.XLOOKUP(E49,MOPFRA!$R$7:$R$56,MOPFRA!$S$7:$S$56,"")</f>
        <v>12</v>
      </c>
      <c r="G49" s="1203">
        <f>_xlfn.XLOOKUP(E49,MOPFRA!$R$7:$R$56,MOPFRA!$AQ$7:$AQ$56,"")</f>
        <v>1055</v>
      </c>
      <c r="H49" s="1210">
        <v>0</v>
      </c>
      <c r="I49" s="1713">
        <f t="shared" si="114"/>
        <v>1055</v>
      </c>
      <c r="J49" s="1712">
        <f t="shared" si="115"/>
        <v>0</v>
      </c>
      <c r="K49" s="1761">
        <v>4</v>
      </c>
      <c r="L49" s="1728">
        <f t="shared" si="116"/>
        <v>4</v>
      </c>
      <c r="M49" s="689">
        <v>310</v>
      </c>
      <c r="N49" s="689">
        <v>522</v>
      </c>
      <c r="O49" s="1718">
        <v>0</v>
      </c>
      <c r="P49" s="1713">
        <f t="shared" si="117"/>
        <v>522</v>
      </c>
      <c r="Q49" s="1712">
        <f t="shared" si="118"/>
        <v>0</v>
      </c>
      <c r="R49" s="557">
        <f t="shared" si="184"/>
        <v>1566</v>
      </c>
      <c r="S49" s="553">
        <f t="shared" si="119"/>
        <v>0.68387096774193545</v>
      </c>
      <c r="T49" s="553">
        <f t="shared" si="120"/>
        <v>0.29383886255924169</v>
      </c>
      <c r="U49" s="558">
        <f t="shared" si="121"/>
        <v>1776.483870967742</v>
      </c>
      <c r="V49" s="591">
        <f t="shared" si="122"/>
        <v>212</v>
      </c>
      <c r="W49" s="559">
        <f t="shared" si="123"/>
        <v>1267</v>
      </c>
      <c r="X49" s="560">
        <f t="shared" si="124"/>
        <v>1596.491935483871</v>
      </c>
      <c r="Y49" s="1244">
        <f t="shared" si="125"/>
        <v>0.51326249808897728</v>
      </c>
      <c r="Z49" s="658"/>
      <c r="AA49" s="63">
        <v>577</v>
      </c>
      <c r="AB49" s="1147">
        <v>577</v>
      </c>
      <c r="AC49" s="63">
        <v>49</v>
      </c>
      <c r="AD49" s="63">
        <v>119</v>
      </c>
      <c r="AE49" s="63">
        <v>173</v>
      </c>
      <c r="AF49" s="63">
        <v>207</v>
      </c>
      <c r="AG49" s="63">
        <v>237</v>
      </c>
      <c r="AH49" s="63">
        <v>299</v>
      </c>
      <c r="AI49" s="63">
        <v>361</v>
      </c>
      <c r="AJ49" s="63">
        <v>430</v>
      </c>
      <c r="AK49" s="1791">
        <v>505</v>
      </c>
      <c r="AL49" s="63">
        <v>565</v>
      </c>
      <c r="AM49" s="63">
        <v>624</v>
      </c>
      <c r="AN49" s="1140">
        <v>686</v>
      </c>
      <c r="AO49" s="1594">
        <f t="shared" si="126"/>
        <v>686</v>
      </c>
      <c r="AP49" s="1147">
        <v>686</v>
      </c>
      <c r="AQ49" s="1494"/>
      <c r="AR49" s="63">
        <v>0</v>
      </c>
      <c r="AS49" s="63">
        <v>84</v>
      </c>
      <c r="AT49" s="1427">
        <f t="shared" si="127"/>
        <v>0.7142857142857143</v>
      </c>
      <c r="AU49" s="1351">
        <f t="shared" si="128"/>
        <v>0.7142857142857143</v>
      </c>
      <c r="AV49" s="63">
        <v>186</v>
      </c>
      <c r="AW49" s="1427">
        <f t="shared" si="129"/>
        <v>0.45714285714285713</v>
      </c>
      <c r="AX49" s="1351">
        <f t="shared" si="130"/>
        <v>0.56302521008403361</v>
      </c>
      <c r="AY49" s="63">
        <v>243</v>
      </c>
      <c r="AZ49" s="1427">
        <f t="shared" si="131"/>
        <v>5.5555555555555552E-2</v>
      </c>
      <c r="BA49" s="1351">
        <f t="shared" si="132"/>
        <v>0.40462427745664742</v>
      </c>
      <c r="BB49" s="63">
        <v>310</v>
      </c>
      <c r="BC49" s="1427">
        <f t="shared" si="133"/>
        <v>0.97058823529411764</v>
      </c>
      <c r="BD49" s="1351">
        <f t="shared" si="134"/>
        <v>0.49758454106280192</v>
      </c>
      <c r="BE49" s="63">
        <v>349</v>
      </c>
      <c r="BF49" s="1427">
        <f t="shared" si="135"/>
        <v>0.3</v>
      </c>
      <c r="BG49" s="1351">
        <f t="shared" si="136"/>
        <v>0.47257383966244726</v>
      </c>
      <c r="BH49" s="63">
        <v>415</v>
      </c>
      <c r="BI49" s="1427">
        <f t="shared" si="137"/>
        <v>6.4516129032258063E-2</v>
      </c>
      <c r="BJ49" s="1351">
        <f t="shared" si="138"/>
        <v>0.38795986622073581</v>
      </c>
      <c r="BK49" s="63">
        <v>510</v>
      </c>
      <c r="BL49" s="1427">
        <f t="shared" si="139"/>
        <v>0.532258064516129</v>
      </c>
      <c r="BM49" s="1351">
        <f t="shared" si="140"/>
        <v>0.41274238227146814</v>
      </c>
      <c r="BN49" s="63">
        <v>650</v>
      </c>
      <c r="BO49" s="1427">
        <f t="shared" si="141"/>
        <v>1.0289855072463767</v>
      </c>
      <c r="BP49" s="1351">
        <f t="shared" si="142"/>
        <v>0.51162790697674421</v>
      </c>
      <c r="BQ49" s="63">
        <v>783</v>
      </c>
      <c r="BR49" s="1427">
        <f t="shared" si="143"/>
        <v>0.77333333333333332</v>
      </c>
      <c r="BS49" s="1351">
        <f t="shared" si="144"/>
        <v>0.55049504950495054</v>
      </c>
      <c r="BT49" s="63">
        <v>900</v>
      </c>
      <c r="BU49" s="1427">
        <f t="shared" si="145"/>
        <v>0.95</v>
      </c>
      <c r="BV49" s="1351">
        <f t="shared" si="146"/>
        <v>0.59292035398230092</v>
      </c>
      <c r="BW49" s="63">
        <v>1009</v>
      </c>
      <c r="BX49" s="1427">
        <f t="shared" si="147"/>
        <v>0.84745762711864403</v>
      </c>
      <c r="BY49" s="1351">
        <f t="shared" si="148"/>
        <v>0.61698717948717952</v>
      </c>
      <c r="BZ49" s="1140">
        <v>1055</v>
      </c>
      <c r="CA49" s="1427">
        <f t="shared" si="149"/>
        <v>-0.25806451612903225</v>
      </c>
      <c r="CB49" s="1351">
        <f t="shared" si="150"/>
        <v>0.53790087463556846</v>
      </c>
      <c r="CC49" s="1901">
        <v>0</v>
      </c>
      <c r="CD49" s="1594">
        <f t="shared" si="151"/>
        <v>1055</v>
      </c>
      <c r="CE49" s="1939">
        <f t="shared" si="152"/>
        <v>0.53790087463556846</v>
      </c>
      <c r="CF49" s="1940">
        <f t="shared" si="153"/>
        <v>21</v>
      </c>
      <c r="CG49" s="1895"/>
      <c r="CH49" s="1815">
        <v>83</v>
      </c>
      <c r="CI49" s="2039">
        <f t="shared" si="154"/>
        <v>-1.1904761904761904E-2</v>
      </c>
      <c r="CJ49" s="2041">
        <f t="shared" si="155"/>
        <v>-1.1904761904761904E-2</v>
      </c>
      <c r="CK49" s="1815">
        <v>203</v>
      </c>
      <c r="CL49" s="2039">
        <f t="shared" si="156"/>
        <v>0.17647058823529413</v>
      </c>
      <c r="CM49" s="2041">
        <f t="shared" si="157"/>
        <v>9.1397849462365593E-2</v>
      </c>
      <c r="CN49" s="1815">
        <v>371</v>
      </c>
      <c r="CO49" s="2039">
        <f t="shared" si="158"/>
        <v>1.9473684210526316</v>
      </c>
      <c r="CP49" s="2041">
        <f t="shared" si="159"/>
        <v>0.52674897119341568</v>
      </c>
      <c r="CQ49" s="1815">
        <v>522</v>
      </c>
      <c r="CR49" s="2039">
        <f t="shared" si="160"/>
        <v>1.2537313432835822</v>
      </c>
      <c r="CS49" s="2041">
        <f t="shared" si="161"/>
        <v>0.68387096774193545</v>
      </c>
      <c r="CU49" s="1948">
        <f t="shared" si="162"/>
        <v>0.15712199654851977</v>
      </c>
      <c r="CV49" s="1940">
        <f t="shared" si="163"/>
        <v>31</v>
      </c>
      <c r="CW49" s="1580">
        <f t="shared" si="164"/>
        <v>1.7192634102575417</v>
      </c>
      <c r="CX49" s="1799">
        <v>790.8</v>
      </c>
      <c r="CY49" s="1794">
        <f>_xlfn.XLOOKUP(E49,MOPFRA!$R$7:$R$56,MOPFRA!$T$7:$T$56,"")</f>
        <v>1456</v>
      </c>
      <c r="CZ49" s="1245" t="str">
        <f>_xlfn.XLOOKUP(E49,MOPFRA!$R$7:$R$56,MOPFRA!$P$7:$P$56,"")</f>
        <v>KN</v>
      </c>
      <c r="DA49" s="1802">
        <v>0.9</v>
      </c>
      <c r="DB49" s="1529">
        <f t="shared" si="165"/>
        <v>0.7142857142857143</v>
      </c>
      <c r="DC49" s="1529">
        <f t="shared" si="166"/>
        <v>0.56302521008403361</v>
      </c>
      <c r="DD49" s="1529">
        <f t="shared" si="167"/>
        <v>0.40462427745664742</v>
      </c>
      <c r="DE49" s="1529">
        <f t="shared" si="168"/>
        <v>0.49758454106280192</v>
      </c>
      <c r="DF49" s="1529">
        <f t="shared" si="169"/>
        <v>0.47257383966244726</v>
      </c>
      <c r="DG49" s="1529">
        <f t="shared" si="170"/>
        <v>0.38795986622073581</v>
      </c>
      <c r="DH49" s="1529">
        <f t="shared" si="171"/>
        <v>0.41274238227146814</v>
      </c>
      <c r="DI49" s="1529">
        <f t="shared" si="172"/>
        <v>0.51162790697674421</v>
      </c>
      <c r="DJ49" s="1529">
        <f>BS49</f>
        <v>0.55049504950495054</v>
      </c>
      <c r="DK49" s="1529">
        <f t="shared" si="174"/>
        <v>0.59292035398230092</v>
      </c>
      <c r="DL49" s="1529">
        <f t="shared" si="175"/>
        <v>0.61698717948717952</v>
      </c>
      <c r="DM49" s="1529">
        <f t="shared" si="176"/>
        <v>0.53790087463556846</v>
      </c>
      <c r="DN49" s="1529">
        <f t="shared" si="177"/>
        <v>-1.1904761904761904E-2</v>
      </c>
      <c r="DO49" s="1529">
        <f t="shared" si="178"/>
        <v>9.1397849462365593E-2</v>
      </c>
      <c r="DP49" s="1529">
        <f t="shared" si="179"/>
        <v>0.52674897119341568</v>
      </c>
      <c r="DQ49" s="1529">
        <f t="shared" si="180"/>
        <v>0.68387096774193545</v>
      </c>
      <c r="DS49" s="1583" t="s">
        <v>197</v>
      </c>
      <c r="DT49" s="1736"/>
      <c r="DU49" s="1580">
        <f t="shared" si="185"/>
        <v>1.7192634102575417</v>
      </c>
      <c r="DV49" s="1943">
        <f t="shared" si="181"/>
        <v>31</v>
      </c>
      <c r="DW49" s="1730">
        <f t="shared" si="182"/>
        <v>0.84117349519473961</v>
      </c>
      <c r="DX49" s="1860">
        <f t="shared" si="183"/>
        <v>0</v>
      </c>
      <c r="DY49" s="1683">
        <f>_xlfn.XLOOKUP(E49,MOPFRA!$R$7:$R$56,MOPFRA!$D$7:$D$56,"")</f>
        <v>2.1959807475102675</v>
      </c>
      <c r="DZ49" s="1583" t="s">
        <v>605</v>
      </c>
    </row>
    <row r="50" spans="2:131" ht="68" customHeight="1">
      <c r="B50" s="1119">
        <f>_xlfn.XLOOKUP(E50,MOPFRA!$R$7:$R$56,MOPFRA!$A$7:$A$56,"")</f>
        <v>16.038839843918019</v>
      </c>
      <c r="C50" s="394">
        <f>_xlfn.XLOOKUP(E50,MOPFRA!$R$7:$R$56,MOPFRA!$T$7:$T$56,"")</f>
        <v>3526</v>
      </c>
      <c r="D50" s="223" t="s">
        <v>185</v>
      </c>
      <c r="E50" s="1949" t="s">
        <v>186</v>
      </c>
      <c r="F50" s="982">
        <f>_xlfn.XLOOKUP(E50,MOPFRA!$R$7:$R$56,MOPFRA!$S$7:$S$56,"")</f>
        <v>12</v>
      </c>
      <c r="G50" s="1203">
        <f>_xlfn.XLOOKUP(E50,MOPFRA!$R$7:$R$56,MOPFRA!$AQ$7:$AQ$56,"")</f>
        <v>4479</v>
      </c>
      <c r="H50" s="1210">
        <v>755</v>
      </c>
      <c r="I50" s="1713">
        <f t="shared" si="114"/>
        <v>3724</v>
      </c>
      <c r="J50" s="1712">
        <f t="shared" si="115"/>
        <v>0.16856441169903996</v>
      </c>
      <c r="K50" s="1761">
        <v>4</v>
      </c>
      <c r="L50" s="1728">
        <f t="shared" si="116"/>
        <v>4</v>
      </c>
      <c r="M50" s="689">
        <v>1148</v>
      </c>
      <c r="N50" s="689">
        <v>1570</v>
      </c>
      <c r="O50" s="1718">
        <v>387</v>
      </c>
      <c r="P50" s="1713">
        <f t="shared" si="117"/>
        <v>1183</v>
      </c>
      <c r="Q50" s="1712">
        <f t="shared" si="118"/>
        <v>0.2464968152866242</v>
      </c>
      <c r="R50" s="557">
        <f t="shared" si="184"/>
        <v>4710</v>
      </c>
      <c r="S50" s="553">
        <f t="shared" si="119"/>
        <v>0.36759581881533099</v>
      </c>
      <c r="T50" s="553">
        <f t="shared" si="120"/>
        <v>0.25630721143112301</v>
      </c>
      <c r="U50" s="558">
        <f t="shared" si="121"/>
        <v>6125.4616724738671</v>
      </c>
      <c r="V50" s="591">
        <f t="shared" si="122"/>
        <v>422</v>
      </c>
      <c r="W50" s="559">
        <f t="shared" si="123"/>
        <v>4901</v>
      </c>
      <c r="X50" s="560">
        <f t="shared" si="124"/>
        <v>5465.4808362369331</v>
      </c>
      <c r="Y50" s="1244">
        <f t="shared" si="125"/>
        <v>0.22024577723530545</v>
      </c>
      <c r="Z50" s="658"/>
      <c r="AA50" s="63">
        <v>2467</v>
      </c>
      <c r="AB50" s="1147">
        <v>2467</v>
      </c>
      <c r="AC50" s="63">
        <v>130</v>
      </c>
      <c r="AD50" s="63">
        <v>368</v>
      </c>
      <c r="AE50" s="63">
        <v>573</v>
      </c>
      <c r="AF50" s="63">
        <v>805</v>
      </c>
      <c r="AG50" s="63">
        <v>955</v>
      </c>
      <c r="AH50" s="63">
        <v>1248</v>
      </c>
      <c r="AI50" s="63">
        <v>1555</v>
      </c>
      <c r="AJ50" s="63">
        <v>1817</v>
      </c>
      <c r="AK50" s="1791">
        <v>2178</v>
      </c>
      <c r="AL50" s="63">
        <v>2485</v>
      </c>
      <c r="AM50" s="63">
        <v>2760</v>
      </c>
      <c r="AN50" s="1140">
        <v>3083</v>
      </c>
      <c r="AO50" s="1594">
        <f t="shared" si="126"/>
        <v>3083</v>
      </c>
      <c r="AP50" s="1147">
        <v>3083</v>
      </c>
      <c r="AQ50" s="1494"/>
      <c r="AR50" s="63">
        <v>0</v>
      </c>
      <c r="AS50" s="63">
        <v>89</v>
      </c>
      <c r="AT50" s="1427">
        <f t="shared" si="127"/>
        <v>-0.31538461538461537</v>
      </c>
      <c r="AU50" s="1351">
        <f t="shared" si="128"/>
        <v>-0.31538461538461537</v>
      </c>
      <c r="AV50" s="63">
        <v>429</v>
      </c>
      <c r="AW50" s="1427">
        <f t="shared" si="129"/>
        <v>0.42857142857142855</v>
      </c>
      <c r="AX50" s="1351">
        <f t="shared" si="130"/>
        <v>0.16576086956521738</v>
      </c>
      <c r="AY50" s="63">
        <v>810</v>
      </c>
      <c r="AZ50" s="1427">
        <f t="shared" si="131"/>
        <v>0.85853658536585364</v>
      </c>
      <c r="BA50" s="1351">
        <f t="shared" si="132"/>
        <v>0.41361256544502617</v>
      </c>
      <c r="BB50" s="63">
        <v>1148</v>
      </c>
      <c r="BC50" s="1427">
        <f t="shared" si="133"/>
        <v>0.45689655172413796</v>
      </c>
      <c r="BD50" s="1351">
        <f t="shared" si="134"/>
        <v>0.42608695652173911</v>
      </c>
      <c r="BE50" s="63">
        <v>1498</v>
      </c>
      <c r="BF50" s="1427">
        <f t="shared" si="135"/>
        <v>1.3333333333333333</v>
      </c>
      <c r="BG50" s="1351">
        <f t="shared" si="136"/>
        <v>0.56858638743455492</v>
      </c>
      <c r="BH50" s="63">
        <v>2080</v>
      </c>
      <c r="BI50" s="1427">
        <f t="shared" si="137"/>
        <v>0.98634812286689422</v>
      </c>
      <c r="BJ50" s="1351">
        <f t="shared" si="138"/>
        <v>0.66666666666666663</v>
      </c>
      <c r="BK50" s="63">
        <v>2486</v>
      </c>
      <c r="BL50" s="1427">
        <f t="shared" si="139"/>
        <v>0.32247557003257327</v>
      </c>
      <c r="BM50" s="1351">
        <f t="shared" si="140"/>
        <v>0.59871382636655945</v>
      </c>
      <c r="BN50" s="63">
        <v>2882</v>
      </c>
      <c r="BO50" s="1427">
        <f t="shared" si="141"/>
        <v>0.51145038167938928</v>
      </c>
      <c r="BP50" s="1351">
        <f t="shared" si="142"/>
        <v>0.58613098514034123</v>
      </c>
      <c r="BQ50" s="63">
        <v>3356</v>
      </c>
      <c r="BR50" s="1427">
        <f t="shared" si="143"/>
        <v>0.31301939058171746</v>
      </c>
      <c r="BS50" s="1351">
        <f t="shared" si="144"/>
        <v>0.54086317722681354</v>
      </c>
      <c r="BT50" s="63">
        <v>3839</v>
      </c>
      <c r="BU50" s="1427">
        <f t="shared" si="145"/>
        <v>0.57328990228013033</v>
      </c>
      <c r="BV50" s="1351">
        <f t="shared" si="146"/>
        <v>0.54486921529175047</v>
      </c>
      <c r="BW50" s="63">
        <v>4358</v>
      </c>
      <c r="BX50" s="1427">
        <f t="shared" si="147"/>
        <v>0.88727272727272732</v>
      </c>
      <c r="BY50" s="1351">
        <f t="shared" si="148"/>
        <v>0.57898550724637676</v>
      </c>
      <c r="BZ50" s="1140">
        <v>4479</v>
      </c>
      <c r="CA50" s="1427">
        <f t="shared" si="149"/>
        <v>-0.62538699690402477</v>
      </c>
      <c r="CB50" s="1351">
        <f t="shared" si="150"/>
        <v>0.4528057087252676</v>
      </c>
      <c r="CC50" s="1901">
        <v>0</v>
      </c>
      <c r="CD50" s="1594">
        <f t="shared" si="151"/>
        <v>4479</v>
      </c>
      <c r="CE50" s="1939">
        <f t="shared" si="152"/>
        <v>0.4528057087252676</v>
      </c>
      <c r="CF50" s="1940">
        <f t="shared" si="153"/>
        <v>29</v>
      </c>
      <c r="CG50" s="1895"/>
      <c r="CH50" s="1815">
        <v>234</v>
      </c>
      <c r="CI50" s="2039">
        <f t="shared" si="154"/>
        <v>1.6292134831460674</v>
      </c>
      <c r="CJ50" s="2041">
        <f t="shared" si="155"/>
        <v>1.6292134831460674</v>
      </c>
      <c r="CK50" s="1815">
        <v>770</v>
      </c>
      <c r="CL50" s="2039">
        <f t="shared" si="156"/>
        <v>0.57647058823529407</v>
      </c>
      <c r="CM50" s="2041">
        <f t="shared" si="157"/>
        <v>0.79487179487179482</v>
      </c>
      <c r="CN50" s="1815">
        <v>1232</v>
      </c>
      <c r="CO50" s="2039">
        <f t="shared" si="158"/>
        <v>0.2125984251968504</v>
      </c>
      <c r="CP50" s="2041">
        <f t="shared" si="159"/>
        <v>0.5209876543209877</v>
      </c>
      <c r="CQ50" s="1815">
        <v>1570</v>
      </c>
      <c r="CR50" s="2039">
        <f t="shared" si="160"/>
        <v>0</v>
      </c>
      <c r="CS50" s="2041">
        <f t="shared" si="161"/>
        <v>0.36759581881533099</v>
      </c>
      <c r="CU50" s="1948">
        <f t="shared" si="162"/>
        <v>-0.15339183550565672</v>
      </c>
      <c r="CV50" s="1940">
        <f t="shared" si="163"/>
        <v>41</v>
      </c>
      <c r="CW50" s="1580">
        <f t="shared" si="164"/>
        <v>4.7850700818986777E-3</v>
      </c>
      <c r="CX50" s="1799">
        <v>3374</v>
      </c>
      <c r="CY50" s="1794">
        <f>_xlfn.XLOOKUP(E50,MOPFRA!$R$7:$R$56,MOPFRA!$T$7:$T$56,"")</f>
        <v>3526</v>
      </c>
      <c r="CZ50" s="1245" t="str">
        <f>_xlfn.XLOOKUP(E50,MOPFRA!$R$7:$R$56,MOPFRA!$P$7:$P$56,"")</f>
        <v>T</v>
      </c>
      <c r="DA50" s="1802">
        <v>0.9</v>
      </c>
      <c r="DB50" s="1529">
        <f t="shared" si="165"/>
        <v>-0.31538461538461537</v>
      </c>
      <c r="DC50" s="1529">
        <f t="shared" si="166"/>
        <v>0.16576086956521738</v>
      </c>
      <c r="DD50" s="1529">
        <f t="shared" si="167"/>
        <v>0.41361256544502617</v>
      </c>
      <c r="DE50" s="1529">
        <f t="shared" si="168"/>
        <v>0.42608695652173911</v>
      </c>
      <c r="DF50" s="1529">
        <f t="shared" si="169"/>
        <v>0.56858638743455492</v>
      </c>
      <c r="DG50" s="1529">
        <f t="shared" si="170"/>
        <v>0.66666666666666663</v>
      </c>
      <c r="DH50" s="1529">
        <f t="shared" si="171"/>
        <v>0.59871382636655945</v>
      </c>
      <c r="DI50" s="1529">
        <f t="shared" si="172"/>
        <v>0.58613098514034123</v>
      </c>
      <c r="DJ50" s="1529">
        <f>BS50</f>
        <v>0.54086317722681354</v>
      </c>
      <c r="DK50" s="1529">
        <f t="shared" si="174"/>
        <v>0.54486921529175047</v>
      </c>
      <c r="DL50" s="1529">
        <f t="shared" si="175"/>
        <v>0.57898550724637676</v>
      </c>
      <c r="DM50" s="1529">
        <f t="shared" si="176"/>
        <v>0.4528057087252676</v>
      </c>
      <c r="DN50" s="1529">
        <f t="shared" si="177"/>
        <v>1.6292134831460674</v>
      </c>
      <c r="DO50" s="1529">
        <f t="shared" si="178"/>
        <v>0.79487179487179482</v>
      </c>
      <c r="DP50" s="1529">
        <f t="shared" si="179"/>
        <v>0.5209876543209877</v>
      </c>
      <c r="DQ50" s="1529">
        <f t="shared" si="180"/>
        <v>0.36759581881533099</v>
      </c>
      <c r="DS50" s="1583" t="s">
        <v>603</v>
      </c>
      <c r="DT50" s="1736"/>
      <c r="DU50" s="1580">
        <f t="shared" si="185"/>
        <v>4.7850700818986777E-3</v>
      </c>
      <c r="DV50" s="1943">
        <f t="shared" si="181"/>
        <v>41</v>
      </c>
      <c r="DW50" s="1730">
        <f t="shared" si="182"/>
        <v>4.5050385299347954E-2</v>
      </c>
      <c r="DX50" s="1860">
        <f t="shared" si="183"/>
        <v>7.7932403587584247</v>
      </c>
      <c r="DY50" s="1683">
        <f>_xlfn.XLOOKUP(E50,MOPFRA!$R$7:$R$56,MOPFRA!$D$7:$D$56,"")</f>
        <v>1.5294932514476089</v>
      </c>
      <c r="DZ50" s="1583" t="s">
        <v>197</v>
      </c>
    </row>
    <row r="51" spans="2:131" ht="68" customHeight="1">
      <c r="B51" s="1119">
        <f>_xlfn.XLOOKUP(E51,MOPFRA!$R$7:$R$56,MOPFRA!$A$7:$A$56,"")</f>
        <v>16.387529442051104</v>
      </c>
      <c r="C51" s="394">
        <f>_xlfn.XLOOKUP(E51,MOPFRA!$R$7:$R$56,MOPFRA!$T$7:$T$56,"")</f>
        <v>705011.24080000003</v>
      </c>
      <c r="D51" s="223" t="s">
        <v>175</v>
      </c>
      <c r="E51" s="1949" t="s">
        <v>176</v>
      </c>
      <c r="F51" s="982">
        <f>_xlfn.XLOOKUP(E51,MOPFRA!$R$7:$R$56,MOPFRA!$S$7:$S$56,"")</f>
        <v>12</v>
      </c>
      <c r="G51" s="1203">
        <f>_xlfn.XLOOKUP(E51,MOPFRA!$R$7:$R$56,MOPFRA!$AQ$7:$AQ$56,"")</f>
        <v>847187</v>
      </c>
      <c r="H51" s="1210">
        <v>0</v>
      </c>
      <c r="I51" s="1713">
        <f t="shared" si="114"/>
        <v>847187</v>
      </c>
      <c r="J51" s="1712">
        <f t="shared" si="115"/>
        <v>0</v>
      </c>
      <c r="K51" s="1761">
        <v>4</v>
      </c>
      <c r="L51" s="1728">
        <f t="shared" si="116"/>
        <v>4</v>
      </c>
      <c r="M51" s="689">
        <v>224194</v>
      </c>
      <c r="N51" s="689">
        <v>562720</v>
      </c>
      <c r="O51" s="1718">
        <v>0</v>
      </c>
      <c r="P51" s="1713">
        <f t="shared" si="117"/>
        <v>562720</v>
      </c>
      <c r="Q51" s="1712">
        <f t="shared" si="118"/>
        <v>0</v>
      </c>
      <c r="R51" s="557">
        <f t="shared" si="184"/>
        <v>1688160</v>
      </c>
      <c r="S51" s="553">
        <f t="shared" si="119"/>
        <v>1.5099690446666727</v>
      </c>
      <c r="T51" s="553">
        <f t="shared" si="120"/>
        <v>0.26463342803890993</v>
      </c>
      <c r="U51" s="558">
        <f t="shared" si="121"/>
        <v>2126413.1450440246</v>
      </c>
      <c r="V51" s="591">
        <f t="shared" si="122"/>
        <v>338526</v>
      </c>
      <c r="W51" s="559">
        <f t="shared" si="123"/>
        <v>1185713</v>
      </c>
      <c r="X51" s="560">
        <f t="shared" si="124"/>
        <v>1781674.8225220123</v>
      </c>
      <c r="Y51" s="1244">
        <f t="shared" si="125"/>
        <v>1.1030478778852983</v>
      </c>
      <c r="Z51" s="658"/>
      <c r="AA51" s="63">
        <v>409543</v>
      </c>
      <c r="AB51" s="1147">
        <v>409543</v>
      </c>
      <c r="AC51" s="1613">
        <v>40945</v>
      </c>
      <c r="AD51" s="1613">
        <v>81889</v>
      </c>
      <c r="AE51" s="63">
        <v>122834</v>
      </c>
      <c r="AF51" s="1613">
        <v>161517</v>
      </c>
      <c r="AG51" s="1613">
        <v>200200</v>
      </c>
      <c r="AH51" s="63">
        <v>238884</v>
      </c>
      <c r="AI51" s="1613">
        <v>282557</v>
      </c>
      <c r="AJ51" s="1613">
        <v>326230</v>
      </c>
      <c r="AK51" s="1791">
        <v>369904</v>
      </c>
      <c r="AL51" s="1613">
        <v>432986</v>
      </c>
      <c r="AM51" s="1613">
        <v>496068</v>
      </c>
      <c r="AN51" s="1140">
        <v>559150</v>
      </c>
      <c r="AO51" s="1594">
        <f t="shared" si="126"/>
        <v>559150</v>
      </c>
      <c r="AP51" s="1147">
        <v>559150</v>
      </c>
      <c r="AQ51" s="1494"/>
      <c r="AR51" s="63">
        <v>0</v>
      </c>
      <c r="AS51" s="63">
        <v>60095</v>
      </c>
      <c r="AT51" s="1427">
        <f t="shared" si="127"/>
        <v>0.46770057394065212</v>
      </c>
      <c r="AU51" s="1351">
        <f t="shared" si="128"/>
        <v>0.46770057394065212</v>
      </c>
      <c r="AV51" s="63">
        <v>112467</v>
      </c>
      <c r="AW51" s="1427">
        <f t="shared" si="129"/>
        <v>0.27911293474013288</v>
      </c>
      <c r="AX51" s="1351">
        <f t="shared" si="130"/>
        <v>0.37340790582373701</v>
      </c>
      <c r="AY51" s="63">
        <v>161926</v>
      </c>
      <c r="AZ51" s="1427">
        <f t="shared" si="131"/>
        <v>0.20793747710343144</v>
      </c>
      <c r="BA51" s="1351">
        <f t="shared" si="132"/>
        <v>0.31825064721494051</v>
      </c>
      <c r="BB51" s="1613">
        <v>222923</v>
      </c>
      <c r="BC51" s="1427">
        <f t="shared" si="133"/>
        <v>0.57684254065093188</v>
      </c>
      <c r="BD51" s="1351">
        <f t="shared" si="134"/>
        <v>0.38018289096503771</v>
      </c>
      <c r="BE51" s="1613">
        <v>285335</v>
      </c>
      <c r="BF51" s="1427">
        <f t="shared" si="135"/>
        <v>0.6134219166041931</v>
      </c>
      <c r="BG51" s="1351">
        <f t="shared" si="136"/>
        <v>0.42524975024975026</v>
      </c>
      <c r="BH51" s="63">
        <v>347746</v>
      </c>
      <c r="BI51" s="1427">
        <f t="shared" si="137"/>
        <v>0.61335435839106611</v>
      </c>
      <c r="BJ51" s="1351">
        <f t="shared" si="138"/>
        <v>0.45571072152174275</v>
      </c>
      <c r="BK51" s="1613">
        <v>412967</v>
      </c>
      <c r="BL51" s="1427">
        <f t="shared" si="139"/>
        <v>0.49339408788038375</v>
      </c>
      <c r="BM51" s="1351">
        <f t="shared" si="140"/>
        <v>0.46153519466868631</v>
      </c>
      <c r="BN51" s="1613">
        <v>478188</v>
      </c>
      <c r="BO51" s="1427">
        <f t="shared" si="141"/>
        <v>0.49339408788038375</v>
      </c>
      <c r="BP51" s="1351">
        <f t="shared" si="142"/>
        <v>0.4658002023112528</v>
      </c>
      <c r="BQ51" s="63">
        <v>543411</v>
      </c>
      <c r="BR51" s="1427">
        <f t="shared" si="143"/>
        <v>0.4934056875944498</v>
      </c>
      <c r="BS51" s="1351">
        <f t="shared" si="144"/>
        <v>0.46905953977248149</v>
      </c>
      <c r="BT51" s="1613">
        <v>608631</v>
      </c>
      <c r="BU51" s="1427">
        <f t="shared" si="145"/>
        <v>3.3892394026822231E-2</v>
      </c>
      <c r="BV51" s="1351">
        <f t="shared" si="146"/>
        <v>0.40565976729039738</v>
      </c>
      <c r="BW51" s="63">
        <v>732326</v>
      </c>
      <c r="BX51" s="1427">
        <f t="shared" si="147"/>
        <v>0.96086046732823949</v>
      </c>
      <c r="BY51" s="1351">
        <f t="shared" si="148"/>
        <v>0.47626131901271601</v>
      </c>
      <c r="BZ51" s="1140">
        <v>847187</v>
      </c>
      <c r="CA51" s="1427">
        <f t="shared" si="149"/>
        <v>0.82082051932405442</v>
      </c>
      <c r="CB51" s="1351">
        <f t="shared" si="150"/>
        <v>0.51513368505767687</v>
      </c>
      <c r="CC51" s="1901">
        <v>0</v>
      </c>
      <c r="CD51" s="1594">
        <f t="shared" si="151"/>
        <v>847187</v>
      </c>
      <c r="CE51" s="1939">
        <f t="shared" si="152"/>
        <v>0.51513368505767687</v>
      </c>
      <c r="CF51" s="1940">
        <f t="shared" si="153"/>
        <v>24</v>
      </c>
      <c r="CG51" s="1895"/>
      <c r="CH51" s="1815">
        <v>108560</v>
      </c>
      <c r="CI51" s="2039">
        <f t="shared" si="154"/>
        <v>0.80647308428321829</v>
      </c>
      <c r="CJ51" s="2041">
        <f t="shared" si="155"/>
        <v>0.80647308428321829</v>
      </c>
      <c r="CK51" s="1815">
        <v>242798</v>
      </c>
      <c r="CL51" s="2039">
        <f t="shared" si="156"/>
        <v>1.5631635224929352</v>
      </c>
      <c r="CM51" s="2041">
        <f t="shared" si="157"/>
        <v>1.1588377035041391</v>
      </c>
      <c r="CN51" s="1815">
        <v>386677</v>
      </c>
      <c r="CO51" s="2039">
        <f t="shared" si="158"/>
        <v>1.9090559857659879</v>
      </c>
      <c r="CP51" s="2041">
        <f t="shared" si="159"/>
        <v>1.3879858700888059</v>
      </c>
      <c r="CQ51" s="1815">
        <v>562720</v>
      </c>
      <c r="CR51" s="2039">
        <f t="shared" si="160"/>
        <v>1.886092758660262</v>
      </c>
      <c r="CS51" s="2041">
        <f t="shared" si="161"/>
        <v>1.5242796840164541</v>
      </c>
      <c r="CU51" s="1948">
        <f t="shared" si="162"/>
        <v>0.13629381392764817</v>
      </c>
      <c r="CV51" s="1940">
        <f t="shared" si="163"/>
        <v>10</v>
      </c>
      <c r="CW51" s="1580">
        <f t="shared" si="164"/>
        <v>2.4967475664999648</v>
      </c>
      <c r="CX51" s="1799">
        <v>181068.03400000001</v>
      </c>
      <c r="CY51" s="1794">
        <f>_xlfn.XLOOKUP(E51,MOPFRA!$R$7:$R$56,MOPFRA!$T$7:$T$56,"")</f>
        <v>705011.24080000003</v>
      </c>
      <c r="CZ51" s="1245" t="str">
        <f>_xlfn.XLOOKUP(E51,MOPFRA!$R$7:$R$56,MOPFRA!$P$7:$P$56,"")</f>
        <v>R</v>
      </c>
      <c r="DA51" s="1802">
        <v>0.9</v>
      </c>
      <c r="DB51" s="1529">
        <f t="shared" si="165"/>
        <v>0.46770057394065212</v>
      </c>
      <c r="DC51" s="1529">
        <f t="shared" si="166"/>
        <v>0.37340790582373701</v>
      </c>
      <c r="DD51" s="1529">
        <f t="shared" si="167"/>
        <v>0.31825064721494051</v>
      </c>
      <c r="DE51" s="1529">
        <f t="shared" si="168"/>
        <v>0.38018289096503771</v>
      </c>
      <c r="DF51" s="1529">
        <f t="shared" si="169"/>
        <v>0.42524975024975026</v>
      </c>
      <c r="DG51" s="1529">
        <f t="shared" si="170"/>
        <v>0.45571072152174275</v>
      </c>
      <c r="DH51" s="1529">
        <f t="shared" si="171"/>
        <v>0.46153519466868631</v>
      </c>
      <c r="DI51" s="1529">
        <f t="shared" si="172"/>
        <v>0.4658002023112528</v>
      </c>
      <c r="DJ51" s="1529">
        <v>0.45894001164822362</v>
      </c>
      <c r="DK51" s="1529">
        <f t="shared" si="174"/>
        <v>0.40565976729039738</v>
      </c>
      <c r="DL51" s="1529">
        <f t="shared" si="175"/>
        <v>0.47626131901271601</v>
      </c>
      <c r="DM51" s="1529">
        <f t="shared" si="176"/>
        <v>0.51513368505767687</v>
      </c>
      <c r="DN51" s="1529">
        <f t="shared" si="177"/>
        <v>0.80647308428321829</v>
      </c>
      <c r="DO51" s="1529">
        <f t="shared" si="178"/>
        <v>1.1588377035041391</v>
      </c>
      <c r="DP51" s="1529">
        <f t="shared" si="179"/>
        <v>1.3879858700888059</v>
      </c>
      <c r="DQ51" s="1529">
        <f t="shared" si="180"/>
        <v>1.5242796840164541</v>
      </c>
      <c r="DS51" s="1583" t="s">
        <v>605</v>
      </c>
      <c r="DT51" s="1736"/>
      <c r="DU51" s="1580">
        <f t="shared" si="185"/>
        <v>2.4967475664999648</v>
      </c>
      <c r="DV51" s="1943">
        <f t="shared" si="181"/>
        <v>10</v>
      </c>
      <c r="DW51" s="1730">
        <f t="shared" si="182"/>
        <v>2.8936261979847862</v>
      </c>
      <c r="DX51" s="1860">
        <f t="shared" si="183"/>
        <v>0</v>
      </c>
      <c r="DY51" s="1683">
        <f>_xlfn.XLOOKUP(E51,MOPFRA!$R$7:$R$56,MOPFRA!$D$7:$D$56,"")</f>
        <v>1.9536940581890816</v>
      </c>
      <c r="DZ51" s="1583" t="s">
        <v>605</v>
      </c>
    </row>
    <row r="52" spans="2:131" ht="68" customHeight="1">
      <c r="B52" s="1119">
        <f>_xlfn.XLOOKUP(E52,MOPFRA!$R$7:$R$56,MOPFRA!$A$7:$A$56,"")</f>
        <v>13.754050345773464</v>
      </c>
      <c r="C52" s="394">
        <f>_xlfn.XLOOKUP(E52,MOPFRA!$R$7:$R$56,MOPFRA!$T$7:$T$56,"")</f>
        <v>98960.4</v>
      </c>
      <c r="D52" s="223" t="s">
        <v>144</v>
      </c>
      <c r="E52" s="1949" t="s">
        <v>145</v>
      </c>
      <c r="F52" s="982">
        <f>_xlfn.XLOOKUP(E52,MOPFRA!$R$7:$R$56,MOPFRA!$S$7:$S$56,"")</f>
        <v>12</v>
      </c>
      <c r="G52" s="1203">
        <f>_xlfn.XLOOKUP(E52,MOPFRA!$R$7:$R$56,MOPFRA!$AQ$7:$AQ$56,"")</f>
        <v>47988</v>
      </c>
      <c r="H52" s="1210">
        <v>26510</v>
      </c>
      <c r="I52" s="1713">
        <f t="shared" si="114"/>
        <v>21478</v>
      </c>
      <c r="J52" s="1712">
        <f t="shared" si="115"/>
        <v>0.55242977411019423</v>
      </c>
      <c r="K52" s="1761">
        <v>4</v>
      </c>
      <c r="L52" s="1728">
        <f t="shared" si="116"/>
        <v>4</v>
      </c>
      <c r="M52" s="689">
        <v>7574</v>
      </c>
      <c r="N52" s="689">
        <v>11597</v>
      </c>
      <c r="O52" s="1718">
        <v>4482</v>
      </c>
      <c r="P52" s="1713">
        <f t="shared" si="117"/>
        <v>7115</v>
      </c>
      <c r="Q52" s="1712">
        <f t="shared" si="118"/>
        <v>0.38647926187807191</v>
      </c>
      <c r="R52" s="557">
        <f t="shared" si="184"/>
        <v>34791</v>
      </c>
      <c r="S52" s="553">
        <f t="shared" si="119"/>
        <v>0.53115922894111434</v>
      </c>
      <c r="T52" s="553">
        <f t="shared" si="120"/>
        <v>0.15783112444777861</v>
      </c>
      <c r="U52" s="558">
        <f t="shared" si="121"/>
        <v>73477.269078426194</v>
      </c>
      <c r="V52" s="591">
        <f t="shared" si="122"/>
        <v>4023</v>
      </c>
      <c r="W52" s="559">
        <f t="shared" si="123"/>
        <v>52011</v>
      </c>
      <c r="X52" s="560">
        <f t="shared" si="124"/>
        <v>58439.134539213097</v>
      </c>
      <c r="Y52" s="1244">
        <f t="shared" si="125"/>
        <v>0.21778641617098227</v>
      </c>
      <c r="Z52" s="658"/>
      <c r="AA52" s="63">
        <v>21721</v>
      </c>
      <c r="AB52" s="1147">
        <v>21721</v>
      </c>
      <c r="AC52" s="63">
        <v>2015</v>
      </c>
      <c r="AD52" s="63">
        <v>3779</v>
      </c>
      <c r="AE52" s="63">
        <v>6120</v>
      </c>
      <c r="AF52" s="63">
        <v>8132</v>
      </c>
      <c r="AG52" s="63">
        <v>9922</v>
      </c>
      <c r="AH52" s="63">
        <v>11942</v>
      </c>
      <c r="AI52" s="63">
        <v>14738</v>
      </c>
      <c r="AJ52" s="63">
        <v>17646</v>
      </c>
      <c r="AK52" s="1791">
        <v>19619</v>
      </c>
      <c r="AL52" s="63">
        <v>21463</v>
      </c>
      <c r="AM52" s="63">
        <v>23805</v>
      </c>
      <c r="AN52" s="1140">
        <v>26246</v>
      </c>
      <c r="AO52" s="1594">
        <f t="shared" si="126"/>
        <v>26246</v>
      </c>
      <c r="AP52" s="1147">
        <v>26246</v>
      </c>
      <c r="AQ52" s="1494"/>
      <c r="AR52" s="63">
        <v>0</v>
      </c>
      <c r="AS52" s="63">
        <v>1622</v>
      </c>
      <c r="AT52" s="1427">
        <f t="shared" si="127"/>
        <v>-0.19503722084367245</v>
      </c>
      <c r="AU52" s="1351">
        <f t="shared" si="128"/>
        <v>-0.19503722084367245</v>
      </c>
      <c r="AV52" s="63">
        <v>4484</v>
      </c>
      <c r="AW52" s="1427">
        <f t="shared" si="129"/>
        <v>0.62244897959183676</v>
      </c>
      <c r="AX52" s="1351">
        <f t="shared" si="130"/>
        <v>0.1865572902884361</v>
      </c>
      <c r="AY52" s="63">
        <v>7069</v>
      </c>
      <c r="AZ52" s="1427">
        <f t="shared" si="131"/>
        <v>0.10422896198205894</v>
      </c>
      <c r="BA52" s="1351">
        <f t="shared" si="132"/>
        <v>0.15506535947712419</v>
      </c>
      <c r="BB52" s="63">
        <v>7574</v>
      </c>
      <c r="BC52" s="1427">
        <f t="shared" si="133"/>
        <v>-0.74900596421471177</v>
      </c>
      <c r="BD52" s="1351">
        <f t="shared" si="134"/>
        <v>-6.861780619773733E-2</v>
      </c>
      <c r="BE52" s="63">
        <v>11191</v>
      </c>
      <c r="BF52" s="1427">
        <f t="shared" si="135"/>
        <v>1.0206703910614525</v>
      </c>
      <c r="BG52" s="1351">
        <f t="shared" si="136"/>
        <v>0.12789760129006247</v>
      </c>
      <c r="BH52" s="63">
        <v>18097</v>
      </c>
      <c r="BI52" s="1427">
        <f t="shared" si="137"/>
        <v>2.4188118811881187</v>
      </c>
      <c r="BJ52" s="1351">
        <f t="shared" si="138"/>
        <v>0.5154078043878747</v>
      </c>
      <c r="BK52" s="63">
        <v>22808</v>
      </c>
      <c r="BL52" s="1427">
        <f t="shared" si="139"/>
        <v>0.68490701001430621</v>
      </c>
      <c r="BM52" s="1351">
        <f t="shared" si="140"/>
        <v>0.54756411996200294</v>
      </c>
      <c r="BN52" s="63">
        <v>27694</v>
      </c>
      <c r="BO52" s="1427">
        <f t="shared" si="141"/>
        <v>0.68019257221458052</v>
      </c>
      <c r="BP52" s="1351">
        <f t="shared" si="142"/>
        <v>0.56942083191658166</v>
      </c>
      <c r="BQ52" s="63">
        <v>32303</v>
      </c>
      <c r="BR52" s="1427">
        <f t="shared" si="143"/>
        <v>1.3360364926507855</v>
      </c>
      <c r="BS52" s="1351">
        <f t="shared" si="144"/>
        <v>0.64651613232070948</v>
      </c>
      <c r="BT52" s="63">
        <v>38577</v>
      </c>
      <c r="BU52" s="1427">
        <f t="shared" si="145"/>
        <v>2.4023861171366594</v>
      </c>
      <c r="BV52" s="1351">
        <f t="shared" si="146"/>
        <v>0.79737222196337887</v>
      </c>
      <c r="BW52" s="63">
        <v>41204</v>
      </c>
      <c r="BX52" s="1427">
        <f t="shared" si="147"/>
        <v>0.12169086251067464</v>
      </c>
      <c r="BY52" s="1351">
        <f t="shared" si="148"/>
        <v>0.73089687040537699</v>
      </c>
      <c r="BZ52" s="1140">
        <v>47960</v>
      </c>
      <c r="CA52" s="1427">
        <f t="shared" si="149"/>
        <v>1.7677181482998772</v>
      </c>
      <c r="CB52" s="1351">
        <f t="shared" si="150"/>
        <v>0.82732606873428327</v>
      </c>
      <c r="CC52" s="1901">
        <v>0</v>
      </c>
      <c r="CD52" s="1594">
        <f t="shared" si="151"/>
        <v>47960</v>
      </c>
      <c r="CE52" s="1939">
        <f t="shared" si="152"/>
        <v>0.82732606873428327</v>
      </c>
      <c r="CF52" s="1940">
        <f t="shared" si="153"/>
        <v>7</v>
      </c>
      <c r="CG52" s="1895"/>
      <c r="CH52" s="1815">
        <v>4012</v>
      </c>
      <c r="CI52" s="2039">
        <f t="shared" si="154"/>
        <v>1.473489519112207</v>
      </c>
      <c r="CJ52" s="2041">
        <f t="shared" si="155"/>
        <v>1.473489519112207</v>
      </c>
      <c r="CK52" s="1815">
        <v>6979</v>
      </c>
      <c r="CL52" s="2039">
        <f t="shared" si="156"/>
        <v>3.668763102725367E-2</v>
      </c>
      <c r="CM52" s="2041">
        <f t="shared" si="157"/>
        <v>0.55642283675289916</v>
      </c>
      <c r="CN52" s="1815">
        <v>8407</v>
      </c>
      <c r="CO52" s="2039">
        <f t="shared" si="158"/>
        <v>-0.44758220502901352</v>
      </c>
      <c r="CP52" s="2041">
        <f t="shared" si="159"/>
        <v>0.18927712547743669</v>
      </c>
      <c r="CQ52" s="1815">
        <v>11597</v>
      </c>
      <c r="CR52" s="2039">
        <f t="shared" si="160"/>
        <v>5.3168316831683171</v>
      </c>
      <c r="CS52" s="2041">
        <f t="shared" si="161"/>
        <v>0.53115922894111434</v>
      </c>
      <c r="CU52" s="1948">
        <f t="shared" si="162"/>
        <v>0.34188210346367764</v>
      </c>
      <c r="CV52" s="1940">
        <f t="shared" si="163"/>
        <v>35</v>
      </c>
      <c r="CW52" s="1580">
        <f t="shared" si="164"/>
        <v>0.69016385342820052</v>
      </c>
      <c r="CX52" s="1799">
        <v>54024.3</v>
      </c>
      <c r="CY52" s="1794">
        <f>_xlfn.XLOOKUP(E52,MOPFRA!$R$7:$R$56,MOPFRA!$T$7:$T$56,"")</f>
        <v>98960.4</v>
      </c>
      <c r="CZ52" s="1245" t="str">
        <f>_xlfn.XLOOKUP(E52,MOPFRA!$R$7:$R$56,MOPFRA!$P$7:$P$56,"")</f>
        <v>PUR</v>
      </c>
      <c r="DA52" s="1802">
        <v>0.9</v>
      </c>
      <c r="DB52" s="1529">
        <f t="shared" si="165"/>
        <v>-0.19503722084367245</v>
      </c>
      <c r="DC52" s="1529">
        <f t="shared" si="166"/>
        <v>0.1865572902884361</v>
      </c>
      <c r="DD52" s="1529">
        <f t="shared" si="167"/>
        <v>0.15506535947712419</v>
      </c>
      <c r="DE52" s="1529">
        <f t="shared" si="168"/>
        <v>-6.861780619773733E-2</v>
      </c>
      <c r="DF52" s="1529">
        <f t="shared" si="169"/>
        <v>0.12789760129006247</v>
      </c>
      <c r="DG52" s="1529">
        <f t="shared" si="170"/>
        <v>0.5154078043878747</v>
      </c>
      <c r="DH52" s="1529">
        <f t="shared" si="171"/>
        <v>0.54756411996200294</v>
      </c>
      <c r="DI52" s="1529">
        <f t="shared" si="172"/>
        <v>0.56942083191658166</v>
      </c>
      <c r="DJ52" s="1529">
        <f>BS52</f>
        <v>0.64651613232070948</v>
      </c>
      <c r="DK52" s="1529">
        <f t="shared" si="174"/>
        <v>0.79737222196337887</v>
      </c>
      <c r="DL52" s="1529">
        <f t="shared" si="175"/>
        <v>0.73089687040537699</v>
      </c>
      <c r="DM52" s="1529">
        <f t="shared" si="176"/>
        <v>0.82732606873428327</v>
      </c>
      <c r="DN52" s="1529">
        <f t="shared" si="177"/>
        <v>1.473489519112207</v>
      </c>
      <c r="DO52" s="1529">
        <f t="shared" si="178"/>
        <v>0.55642283675289916</v>
      </c>
      <c r="DP52" s="1529">
        <f t="shared" si="179"/>
        <v>0.18927712547743669</v>
      </c>
      <c r="DQ52" s="1529">
        <f t="shared" si="180"/>
        <v>0.53115922894111434</v>
      </c>
      <c r="DS52" s="1583" t="s">
        <v>197</v>
      </c>
      <c r="DT52" s="1736"/>
      <c r="DU52" s="1580">
        <f t="shared" si="185"/>
        <v>0.69016385342820052</v>
      </c>
      <c r="DV52" s="1943">
        <f t="shared" si="181"/>
        <v>35</v>
      </c>
      <c r="DW52" s="1730">
        <f t="shared" si="182"/>
        <v>0.8317757009345792</v>
      </c>
      <c r="DX52" s="1860">
        <f t="shared" si="183"/>
        <v>-16.595051223212231</v>
      </c>
      <c r="DY52" s="1683">
        <f>_xlfn.XLOOKUP(E52,MOPFRA!$R$7:$R$56,MOPFRA!$D$7:$D$56,"")</f>
        <v>1.1407495647527846</v>
      </c>
      <c r="DZ52" s="1583" t="s">
        <v>197</v>
      </c>
    </row>
    <row r="53" spans="2:131" ht="68" customHeight="1">
      <c r="B53" s="1119">
        <f>_xlfn.XLOOKUP(E53,MOPFRA!$R$7:$R$56,MOPFRA!$A$7:$A$56,"")</f>
        <v>12.65688189714186</v>
      </c>
      <c r="C53" s="394">
        <f>_xlfn.XLOOKUP(E53,MOPFRA!$R$7:$R$56,MOPFRA!$T$7:$T$56,"")</f>
        <v>5887</v>
      </c>
      <c r="D53" s="223" t="s">
        <v>98</v>
      </c>
      <c r="E53" s="1949" t="s">
        <v>99</v>
      </c>
      <c r="F53" s="982">
        <f>_xlfn.XLOOKUP(E53,MOPFRA!$R$7:$R$56,MOPFRA!$S$7:$S$56,"")</f>
        <v>12</v>
      </c>
      <c r="G53" s="1203">
        <f>_xlfn.XLOOKUP(E53,MOPFRA!$R$7:$R$56,MOPFRA!$AQ$7:$AQ$56,"")</f>
        <v>1820</v>
      </c>
      <c r="H53" s="1210">
        <v>243</v>
      </c>
      <c r="I53" s="1713">
        <f t="shared" si="114"/>
        <v>1577</v>
      </c>
      <c r="J53" s="1712">
        <f t="shared" si="115"/>
        <v>0.13351648351648351</v>
      </c>
      <c r="K53" s="1761">
        <v>4</v>
      </c>
      <c r="L53" s="1728">
        <f t="shared" si="116"/>
        <v>4</v>
      </c>
      <c r="M53" s="689">
        <v>412</v>
      </c>
      <c r="N53" s="689">
        <v>1297</v>
      </c>
      <c r="O53" s="1718">
        <v>169</v>
      </c>
      <c r="P53" s="1713">
        <f t="shared" si="117"/>
        <v>1128</v>
      </c>
      <c r="Q53" s="1712">
        <f t="shared" si="118"/>
        <v>0.13030069390902083</v>
      </c>
      <c r="R53" s="557">
        <f t="shared" si="184"/>
        <v>3891</v>
      </c>
      <c r="S53" s="553">
        <f t="shared" si="119"/>
        <v>2.1480582524271843</v>
      </c>
      <c r="T53" s="553">
        <f t="shared" si="120"/>
        <v>0.22637362637362637</v>
      </c>
      <c r="U53" s="558">
        <f t="shared" si="121"/>
        <v>5729.4660194174758</v>
      </c>
      <c r="V53" s="591">
        <f t="shared" si="122"/>
        <v>885</v>
      </c>
      <c r="W53" s="559">
        <f t="shared" si="123"/>
        <v>2705</v>
      </c>
      <c r="X53" s="560">
        <f t="shared" si="124"/>
        <v>4513.7330097087379</v>
      </c>
      <c r="Y53" s="1244">
        <f t="shared" si="125"/>
        <v>1.4800730822575483</v>
      </c>
      <c r="Z53" s="658"/>
      <c r="AA53" s="63">
        <v>934</v>
      </c>
      <c r="AB53" s="1147">
        <v>934</v>
      </c>
      <c r="AC53" s="63">
        <v>42</v>
      </c>
      <c r="AD53" s="63">
        <v>112</v>
      </c>
      <c r="AE53" s="63">
        <v>236</v>
      </c>
      <c r="AF53" s="63">
        <v>329</v>
      </c>
      <c r="AG53" s="63">
        <v>417</v>
      </c>
      <c r="AH53" s="63">
        <v>546</v>
      </c>
      <c r="AI53" s="63">
        <v>642</v>
      </c>
      <c r="AJ53" s="63">
        <v>737</v>
      </c>
      <c r="AK53" s="1791">
        <v>836</v>
      </c>
      <c r="AL53" s="63">
        <v>927</v>
      </c>
      <c r="AM53" s="63">
        <v>1044</v>
      </c>
      <c r="AN53" s="1140">
        <v>1196</v>
      </c>
      <c r="AO53" s="1594">
        <f t="shared" si="126"/>
        <v>1196</v>
      </c>
      <c r="AP53" s="1147">
        <v>1196</v>
      </c>
      <c r="AQ53" s="1494"/>
      <c r="AR53" s="63">
        <v>0</v>
      </c>
      <c r="AS53" s="63">
        <v>60</v>
      </c>
      <c r="AT53" s="1427">
        <f t="shared" si="127"/>
        <v>0.42857142857142855</v>
      </c>
      <c r="AU53" s="1351">
        <f t="shared" si="128"/>
        <v>0.42857142857142855</v>
      </c>
      <c r="AV53" s="63">
        <v>159</v>
      </c>
      <c r="AW53" s="1427">
        <f t="shared" si="129"/>
        <v>0.41428571428571431</v>
      </c>
      <c r="AX53" s="1351">
        <f t="shared" si="130"/>
        <v>0.41964285714285715</v>
      </c>
      <c r="AY53" s="63">
        <v>333</v>
      </c>
      <c r="AZ53" s="1427">
        <f t="shared" si="131"/>
        <v>0.40322580645161288</v>
      </c>
      <c r="BA53" s="1351">
        <f t="shared" si="132"/>
        <v>0.41101694915254239</v>
      </c>
      <c r="BB53" s="63">
        <v>412</v>
      </c>
      <c r="BC53" s="1427">
        <f t="shared" si="133"/>
        <v>-0.15053763440860216</v>
      </c>
      <c r="BD53" s="1351">
        <f t="shared" si="134"/>
        <v>0.25227963525835867</v>
      </c>
      <c r="BE53" s="63">
        <v>501</v>
      </c>
      <c r="BF53" s="1427">
        <f t="shared" si="135"/>
        <v>1.1363636363636364E-2</v>
      </c>
      <c r="BG53" s="1351">
        <f t="shared" si="136"/>
        <v>0.20143884892086331</v>
      </c>
      <c r="BH53" s="63">
        <v>732</v>
      </c>
      <c r="BI53" s="1427">
        <f t="shared" si="137"/>
        <v>0.79069767441860461</v>
      </c>
      <c r="BJ53" s="1351">
        <f t="shared" si="138"/>
        <v>0.34065934065934067</v>
      </c>
      <c r="BK53" s="63">
        <v>875</v>
      </c>
      <c r="BL53" s="1427">
        <f t="shared" si="139"/>
        <v>0.48958333333333331</v>
      </c>
      <c r="BM53" s="1351">
        <f t="shared" si="140"/>
        <v>0.36292834890965731</v>
      </c>
      <c r="BN53" s="63">
        <v>1027</v>
      </c>
      <c r="BO53" s="1427">
        <f t="shared" si="141"/>
        <v>0.6</v>
      </c>
      <c r="BP53" s="1351">
        <f t="shared" si="142"/>
        <v>0.39348710990502034</v>
      </c>
      <c r="BQ53" s="63">
        <v>1189</v>
      </c>
      <c r="BR53" s="1427">
        <f t="shared" si="143"/>
        <v>0.63636363636363635</v>
      </c>
      <c r="BS53" s="1351">
        <f t="shared" si="144"/>
        <v>0.42224880382775121</v>
      </c>
      <c r="BT53" s="63">
        <v>1364</v>
      </c>
      <c r="BU53" s="1427">
        <f t="shared" si="145"/>
        <v>0.92307692307692313</v>
      </c>
      <c r="BV53" s="1351">
        <f t="shared" si="146"/>
        <v>0.47141316073354911</v>
      </c>
      <c r="BW53" s="63">
        <v>1578</v>
      </c>
      <c r="BX53" s="1427">
        <f t="shared" si="147"/>
        <v>0.82905982905982911</v>
      </c>
      <c r="BY53" s="1351">
        <f t="shared" si="148"/>
        <v>0.5114942528735632</v>
      </c>
      <c r="BZ53" s="1140">
        <v>1820</v>
      </c>
      <c r="CA53" s="1427">
        <f t="shared" si="149"/>
        <v>0.59210526315789469</v>
      </c>
      <c r="CB53" s="1351">
        <f t="shared" si="150"/>
        <v>0.52173913043478259</v>
      </c>
      <c r="CC53" s="1901">
        <v>0</v>
      </c>
      <c r="CD53" s="1594">
        <f t="shared" si="151"/>
        <v>1820</v>
      </c>
      <c r="CE53" s="1939">
        <f t="shared" si="152"/>
        <v>0.52173913043478259</v>
      </c>
      <c r="CF53" s="1940">
        <f t="shared" si="153"/>
        <v>23</v>
      </c>
      <c r="CG53" s="1895"/>
      <c r="CH53" s="1815">
        <v>218</v>
      </c>
      <c r="CI53" s="2039">
        <f t="shared" si="154"/>
        <v>2.6333333333333333</v>
      </c>
      <c r="CJ53" s="2041">
        <f t="shared" si="155"/>
        <v>2.6333333333333333</v>
      </c>
      <c r="CK53" s="1815">
        <v>659</v>
      </c>
      <c r="CL53" s="2039">
        <f t="shared" si="156"/>
        <v>3.4545454545454546</v>
      </c>
      <c r="CM53" s="2041">
        <f t="shared" si="157"/>
        <v>3.1446540880503147</v>
      </c>
      <c r="CN53" s="1815">
        <v>977</v>
      </c>
      <c r="CO53" s="2039">
        <f t="shared" si="158"/>
        <v>0.82758620689655171</v>
      </c>
      <c r="CP53" s="2041">
        <f t="shared" si="159"/>
        <v>1.9339339339339339</v>
      </c>
      <c r="CQ53" s="1815">
        <v>1297</v>
      </c>
      <c r="CR53" s="2039">
        <f t="shared" si="160"/>
        <v>3.0506329113924049</v>
      </c>
      <c r="CS53" s="2041">
        <f t="shared" si="161"/>
        <v>2.1480582524271843</v>
      </c>
      <c r="CU53" s="1948">
        <f t="shared" si="162"/>
        <v>0.21412431849325042</v>
      </c>
      <c r="CV53" s="1940">
        <f t="shared" si="163"/>
        <v>5</v>
      </c>
      <c r="CW53" s="1580">
        <f t="shared" si="164"/>
        <v>3.6102801666647881</v>
      </c>
      <c r="CX53" s="1799">
        <v>1439.1</v>
      </c>
      <c r="CY53" s="1794">
        <f>_xlfn.XLOOKUP(E53,MOPFRA!$R$7:$R$56,MOPFRA!$T$7:$T$56,"")</f>
        <v>5887</v>
      </c>
      <c r="CZ53" s="1245" t="str">
        <f>_xlfn.XLOOKUP(E53,MOPFRA!$R$7:$R$56,MOPFRA!$P$7:$P$56,"")</f>
        <v>F</v>
      </c>
      <c r="DA53" s="1802">
        <v>0.9</v>
      </c>
      <c r="DB53" s="1529">
        <f t="shared" si="165"/>
        <v>0.42857142857142855</v>
      </c>
      <c r="DC53" s="1529">
        <f t="shared" si="166"/>
        <v>0.41964285714285715</v>
      </c>
      <c r="DD53" s="1529">
        <f t="shared" si="167"/>
        <v>0.41101694915254239</v>
      </c>
      <c r="DE53" s="1529">
        <f t="shared" si="168"/>
        <v>0.25227963525835867</v>
      </c>
      <c r="DF53" s="1529">
        <f t="shared" si="169"/>
        <v>0.20143884892086331</v>
      </c>
      <c r="DG53" s="1529">
        <f t="shared" si="170"/>
        <v>0.34065934065934067</v>
      </c>
      <c r="DH53" s="1529">
        <f t="shared" si="171"/>
        <v>0.36292834890965731</v>
      </c>
      <c r="DI53" s="1529">
        <f t="shared" si="172"/>
        <v>0.39348710990502034</v>
      </c>
      <c r="DJ53" s="1529">
        <f>BS53</f>
        <v>0.42224880382775121</v>
      </c>
      <c r="DK53" s="1529">
        <f t="shared" si="174"/>
        <v>0.47141316073354911</v>
      </c>
      <c r="DL53" s="1529">
        <f t="shared" si="175"/>
        <v>0.5114942528735632</v>
      </c>
      <c r="DM53" s="1529">
        <f t="shared" si="176"/>
        <v>0.52173913043478259</v>
      </c>
      <c r="DN53" s="1529">
        <f t="shared" si="177"/>
        <v>2.6333333333333333</v>
      </c>
      <c r="DO53" s="1529">
        <f t="shared" si="178"/>
        <v>3.1446540880503147</v>
      </c>
      <c r="DP53" s="1529">
        <f t="shared" si="179"/>
        <v>1.9339339339339339</v>
      </c>
      <c r="DQ53" s="1529">
        <f t="shared" si="180"/>
        <v>2.1480582524271843</v>
      </c>
      <c r="DS53" s="1583" t="s">
        <v>605</v>
      </c>
      <c r="DT53" s="1736"/>
      <c r="DU53" s="1580">
        <f t="shared" si="185"/>
        <v>3.6102801666647881</v>
      </c>
      <c r="DV53" s="1943">
        <f t="shared" si="181"/>
        <v>5</v>
      </c>
      <c r="DW53" s="1730">
        <f t="shared" si="182"/>
        <v>3.0907511639218956</v>
      </c>
      <c r="DX53" s="1860">
        <f t="shared" si="183"/>
        <v>-0.32157896074626879</v>
      </c>
      <c r="DY53" s="1683">
        <f>_xlfn.XLOOKUP(E53,MOPFRA!$R$7:$R$56,MOPFRA!$D$7:$D$56,"")</f>
        <v>3.1790383673397797</v>
      </c>
      <c r="DZ53" s="1583" t="s">
        <v>605</v>
      </c>
    </row>
    <row r="54" spans="2:131" ht="68" customHeight="1">
      <c r="B54" s="1119">
        <f>_xlfn.XLOOKUP(E54,MOPFRA!$R$7:$R$56,MOPFRA!$A$7:$A$56,"")</f>
        <v>13.443311016965691</v>
      </c>
      <c r="C54" s="394">
        <f>_xlfn.XLOOKUP(E54,MOPFRA!$R$7:$R$56,MOPFRA!$T$7:$T$56,"")</f>
        <v>521613.40490000002</v>
      </c>
      <c r="D54" s="223" t="s">
        <v>173</v>
      </c>
      <c r="E54" s="1949" t="s">
        <v>174</v>
      </c>
      <c r="F54" s="982">
        <f>_xlfn.XLOOKUP(E54,MOPFRA!$R$7:$R$56,MOPFRA!$S$7:$S$56,"")</f>
        <v>12</v>
      </c>
      <c r="G54" s="1203">
        <f>_xlfn.XLOOKUP(E54,MOPFRA!$R$7:$R$56,MOPFRA!$AQ$7:$AQ$56,"")</f>
        <v>654407</v>
      </c>
      <c r="H54" s="1210">
        <v>0</v>
      </c>
      <c r="I54" s="1713">
        <f t="shared" si="114"/>
        <v>654407</v>
      </c>
      <c r="J54" s="1712">
        <f t="shared" si="115"/>
        <v>0</v>
      </c>
      <c r="K54" s="1761">
        <v>4</v>
      </c>
      <c r="L54" s="1728">
        <f t="shared" si="116"/>
        <v>4</v>
      </c>
      <c r="M54" s="689">
        <v>194305</v>
      </c>
      <c r="N54" s="689">
        <v>389656</v>
      </c>
      <c r="O54" s="1718">
        <v>0</v>
      </c>
      <c r="P54" s="1713">
        <f t="shared" si="117"/>
        <v>389656</v>
      </c>
      <c r="Q54" s="1712">
        <f t="shared" si="118"/>
        <v>0</v>
      </c>
      <c r="R54" s="557">
        <f t="shared" si="184"/>
        <v>1168968</v>
      </c>
      <c r="S54" s="553">
        <f t="shared" si="119"/>
        <v>1.0053832891587968</v>
      </c>
      <c r="T54" s="553">
        <f t="shared" si="120"/>
        <v>0.29691766744548881</v>
      </c>
      <c r="U54" s="558">
        <f t="shared" si="121"/>
        <v>1312336.8621085407</v>
      </c>
      <c r="V54" s="591">
        <f t="shared" si="122"/>
        <v>195351</v>
      </c>
      <c r="W54" s="559">
        <f t="shared" si="123"/>
        <v>849758</v>
      </c>
      <c r="X54" s="560">
        <f t="shared" si="124"/>
        <v>1160849.9310542704</v>
      </c>
      <c r="Y54" s="1244">
        <f t="shared" si="125"/>
        <v>0.77389595626921837</v>
      </c>
      <c r="Z54" s="658"/>
      <c r="AA54" s="63">
        <v>334653</v>
      </c>
      <c r="AB54" s="1147">
        <v>334653</v>
      </c>
      <c r="AC54" s="1613">
        <v>31514</v>
      </c>
      <c r="AD54" s="1613">
        <v>63028</v>
      </c>
      <c r="AE54" s="63">
        <v>94543</v>
      </c>
      <c r="AF54" s="1613">
        <v>126153</v>
      </c>
      <c r="AG54" s="1613">
        <v>157762</v>
      </c>
      <c r="AH54" s="63">
        <v>189657</v>
      </c>
      <c r="AI54" s="1613">
        <v>223758</v>
      </c>
      <c r="AJ54" s="1613">
        <v>257859</v>
      </c>
      <c r="AK54" s="1791">
        <v>291961</v>
      </c>
      <c r="AL54" s="1613">
        <v>341911</v>
      </c>
      <c r="AM54" s="1613">
        <v>391861</v>
      </c>
      <c r="AN54" s="1140">
        <v>441770</v>
      </c>
      <c r="AO54" s="1594">
        <f t="shared" si="126"/>
        <v>441770</v>
      </c>
      <c r="AP54" s="1147">
        <v>441815</v>
      </c>
      <c r="AQ54" s="1494"/>
      <c r="AR54" s="63">
        <v>0</v>
      </c>
      <c r="AS54" s="63">
        <v>49510</v>
      </c>
      <c r="AT54" s="1427">
        <f t="shared" si="127"/>
        <v>0.57104778828457192</v>
      </c>
      <c r="AU54" s="1351">
        <f t="shared" si="128"/>
        <v>0.57104778828457192</v>
      </c>
      <c r="AV54" s="63">
        <v>97546</v>
      </c>
      <c r="AW54" s="1427">
        <f t="shared" si="129"/>
        <v>0.52427492542996768</v>
      </c>
      <c r="AX54" s="1351">
        <f t="shared" si="130"/>
        <v>0.5476613568572698</v>
      </c>
      <c r="AY54" s="63">
        <v>144274</v>
      </c>
      <c r="AZ54" s="1427">
        <f t="shared" si="131"/>
        <v>0.48272251308900521</v>
      </c>
      <c r="BA54" s="1351">
        <f t="shared" si="132"/>
        <v>0.52601461768718993</v>
      </c>
      <c r="BB54" s="63">
        <v>194305</v>
      </c>
      <c r="BC54" s="1427">
        <f t="shared" si="133"/>
        <v>0.58275862068965523</v>
      </c>
      <c r="BD54" s="1351">
        <f t="shared" si="134"/>
        <v>0.54023289180598166</v>
      </c>
      <c r="BE54" s="1613">
        <v>242301</v>
      </c>
      <c r="BF54" s="1427">
        <f t="shared" si="135"/>
        <v>0.51842829573855542</v>
      </c>
      <c r="BG54" s="1351">
        <f t="shared" si="136"/>
        <v>0.5358641497952612</v>
      </c>
      <c r="BH54" s="63">
        <v>291322</v>
      </c>
      <c r="BI54" s="1427">
        <f t="shared" si="137"/>
        <v>0.53694936510424829</v>
      </c>
      <c r="BJ54" s="1351">
        <f t="shared" si="138"/>
        <v>0.53604665264134732</v>
      </c>
      <c r="BK54" s="1613">
        <v>337107</v>
      </c>
      <c r="BL54" s="1427">
        <f t="shared" si="139"/>
        <v>0.34262924840913755</v>
      </c>
      <c r="BM54" s="1351">
        <f t="shared" si="140"/>
        <v>0.50656959751159736</v>
      </c>
      <c r="BN54" s="63">
        <v>382892</v>
      </c>
      <c r="BO54" s="1427">
        <f t="shared" si="141"/>
        <v>0.34262924840913755</v>
      </c>
      <c r="BP54" s="1351">
        <f t="shared" si="142"/>
        <v>0.48488902850007176</v>
      </c>
      <c r="BQ54" s="1815">
        <v>428677</v>
      </c>
      <c r="BR54" s="1427">
        <f t="shared" si="143"/>
        <v>0.3425898774265439</v>
      </c>
      <c r="BS54" s="1351">
        <f t="shared" si="144"/>
        <v>0.468268022098842</v>
      </c>
      <c r="BT54" s="1613">
        <v>474462</v>
      </c>
      <c r="BU54" s="1427">
        <f t="shared" si="145"/>
        <v>-8.3383383383383386E-2</v>
      </c>
      <c r="BV54" s="1351">
        <f t="shared" si="146"/>
        <v>0.38767691007308919</v>
      </c>
      <c r="BW54" s="63">
        <v>572383</v>
      </c>
      <c r="BX54" s="1427">
        <f t="shared" si="147"/>
        <v>0.96038038038038043</v>
      </c>
      <c r="BY54" s="1351">
        <f t="shared" si="148"/>
        <v>0.46067865901429333</v>
      </c>
      <c r="BZ54" s="1140">
        <v>654407</v>
      </c>
      <c r="CA54" s="1427">
        <f t="shared" si="149"/>
        <v>0.64347111743372942</v>
      </c>
      <c r="CB54" s="1351">
        <f t="shared" si="150"/>
        <v>0.48132965117595128</v>
      </c>
      <c r="CC54" s="1901">
        <v>0</v>
      </c>
      <c r="CD54" s="1594">
        <f t="shared" si="151"/>
        <v>654407</v>
      </c>
      <c r="CE54" s="1939">
        <f t="shared" si="152"/>
        <v>0.48132965117595128</v>
      </c>
      <c r="CF54" s="1940">
        <f t="shared" si="153"/>
        <v>27</v>
      </c>
      <c r="CG54" s="1895"/>
      <c r="CH54" s="1815">
        <v>83806</v>
      </c>
      <c r="CI54" s="2039">
        <f t="shared" si="154"/>
        <v>0.69270854372853974</v>
      </c>
      <c r="CJ54" s="2041">
        <f t="shared" si="155"/>
        <v>0.69270854372853974</v>
      </c>
      <c r="CK54" s="1815">
        <v>174311</v>
      </c>
      <c r="CL54" s="2039">
        <f t="shared" si="156"/>
        <v>0.88410775251894413</v>
      </c>
      <c r="CM54" s="2041">
        <f t="shared" si="157"/>
        <v>0.7869620486744715</v>
      </c>
      <c r="CN54" s="1815">
        <v>266403</v>
      </c>
      <c r="CO54" s="2039">
        <f t="shared" si="158"/>
        <v>0.97080979284369118</v>
      </c>
      <c r="CP54" s="2041">
        <f t="shared" si="159"/>
        <v>0.84650734019989737</v>
      </c>
      <c r="CQ54" s="1815">
        <v>389656</v>
      </c>
      <c r="CR54" s="2039">
        <f t="shared" si="160"/>
        <v>1.4635326097819352</v>
      </c>
      <c r="CS54" s="2041">
        <f t="shared" si="161"/>
        <v>1.0053832891587968</v>
      </c>
      <c r="CU54" s="1948">
        <f t="shared" si="162"/>
        <v>0.15887594895889945</v>
      </c>
      <c r="CV54" s="1940">
        <f t="shared" si="163"/>
        <v>22</v>
      </c>
      <c r="CW54" s="1580">
        <f t="shared" si="164"/>
        <v>2.4967475664999648</v>
      </c>
      <c r="CX54" s="1799">
        <v>124669.36857599998</v>
      </c>
      <c r="CY54" s="1794">
        <f>_xlfn.XLOOKUP(E54,MOPFRA!$R$7:$R$56,MOPFRA!$T$7:$T$56,"")</f>
        <v>521613.40490000002</v>
      </c>
      <c r="CZ54" s="1245" t="str">
        <f>_xlfn.XLOOKUP(E54,MOPFRA!$R$7:$R$56,MOPFRA!$P$7:$P$56,"")</f>
        <v>R</v>
      </c>
      <c r="DA54" s="1802">
        <v>0.9</v>
      </c>
      <c r="DB54" s="1529">
        <f t="shared" si="165"/>
        <v>0.57104778828457192</v>
      </c>
      <c r="DC54" s="1529">
        <f t="shared" si="166"/>
        <v>0.5476613568572698</v>
      </c>
      <c r="DD54" s="1529">
        <f t="shared" si="167"/>
        <v>0.52601461768718993</v>
      </c>
      <c r="DE54" s="1529">
        <f t="shared" si="168"/>
        <v>0.54023289180598166</v>
      </c>
      <c r="DF54" s="1529">
        <f t="shared" si="169"/>
        <v>0.5358641497952612</v>
      </c>
      <c r="DG54" s="1529">
        <f t="shared" si="170"/>
        <v>0.53604665264134732</v>
      </c>
      <c r="DH54" s="1529">
        <f t="shared" si="171"/>
        <v>0.50656959751159736</v>
      </c>
      <c r="DI54" s="1529">
        <f t="shared" si="172"/>
        <v>0.48488902850007176</v>
      </c>
      <c r="DJ54" s="1529">
        <v>0.53572301141321421</v>
      </c>
      <c r="DK54" s="1529">
        <f t="shared" si="174"/>
        <v>0.38767691007308919</v>
      </c>
      <c r="DL54" s="1529">
        <f t="shared" si="175"/>
        <v>0.46067865901429333</v>
      </c>
      <c r="DM54" s="1529">
        <f t="shared" si="176"/>
        <v>0.48132965117595128</v>
      </c>
      <c r="DN54" s="1529">
        <f t="shared" si="177"/>
        <v>0.69270854372853974</v>
      </c>
      <c r="DO54" s="1529">
        <f t="shared" si="178"/>
        <v>0.7869620486744715</v>
      </c>
      <c r="DP54" s="1529">
        <f t="shared" si="179"/>
        <v>0.84650734019989737</v>
      </c>
      <c r="DQ54" s="1529">
        <f t="shared" si="180"/>
        <v>1.0053832891587968</v>
      </c>
      <c r="DS54" s="1583" t="s">
        <v>605</v>
      </c>
      <c r="DT54" s="1736"/>
      <c r="DU54" s="1580">
        <f>_xlfn.XLOOKUP(E54,E54:E141,CW54:CW141,"")</f>
        <v>2.4967475664999648</v>
      </c>
      <c r="DV54" s="1943">
        <f t="shared" si="181"/>
        <v>22</v>
      </c>
      <c r="DW54" s="1730">
        <f t="shared" si="182"/>
        <v>3.1839740656263777</v>
      </c>
      <c r="DX54" s="1860">
        <f t="shared" si="183"/>
        <v>0</v>
      </c>
      <c r="DY54" s="1683">
        <f>_xlfn.XLOOKUP(E54,MOPFRA!$R$7:$R$56,MOPFRA!$D$7:$D$56,"")</f>
        <v>1.5809740327560635</v>
      </c>
      <c r="DZ54" s="1583" t="s">
        <v>605</v>
      </c>
    </row>
    <row r="55" spans="2:131" ht="68" customHeight="1">
      <c r="B55" s="1119">
        <f>_xlfn.XLOOKUP(E55,MOPFRA!$R$7:$R$56,MOPFRA!$A$7:$A$56,"")</f>
        <v>11.948830102828419</v>
      </c>
      <c r="C55" s="394">
        <f>_xlfn.XLOOKUP(E55,MOPFRA!$R$7:$R$56,MOPFRA!$T$7:$T$56,"")</f>
        <v>52044</v>
      </c>
      <c r="D55" s="223" t="s">
        <v>177</v>
      </c>
      <c r="E55" s="1949" t="s">
        <v>178</v>
      </c>
      <c r="F55" s="982">
        <f>_xlfn.XLOOKUP(E55,MOPFRA!$R$7:$R$56,MOPFRA!$S$7:$S$56,"")</f>
        <v>12</v>
      </c>
      <c r="G55" s="1203">
        <f>_xlfn.XLOOKUP(E55,MOPFRA!$R$7:$R$56,MOPFRA!$AQ$7:$AQ$56,"")</f>
        <v>34215</v>
      </c>
      <c r="H55" s="1210">
        <v>6160</v>
      </c>
      <c r="I55" s="1713">
        <f t="shared" si="114"/>
        <v>28055</v>
      </c>
      <c r="J55" s="1712">
        <f t="shared" si="115"/>
        <v>0.18003799503141896</v>
      </c>
      <c r="K55" s="1761">
        <v>4</v>
      </c>
      <c r="L55" s="1728">
        <f t="shared" si="116"/>
        <v>4</v>
      </c>
      <c r="M55" s="689">
        <v>9687</v>
      </c>
      <c r="N55" s="689">
        <v>15719</v>
      </c>
      <c r="O55" s="1718">
        <v>3604</v>
      </c>
      <c r="P55" s="1713">
        <f t="shared" si="117"/>
        <v>12115</v>
      </c>
      <c r="Q55" s="1712">
        <f t="shared" si="118"/>
        <v>0.22927667154399134</v>
      </c>
      <c r="R55" s="557">
        <f t="shared" si="184"/>
        <v>47157</v>
      </c>
      <c r="S55" s="553">
        <f t="shared" si="119"/>
        <v>0.62269020336533498</v>
      </c>
      <c r="T55" s="553">
        <f t="shared" si="120"/>
        <v>0.28312143796580447</v>
      </c>
      <c r="U55" s="558">
        <f t="shared" si="121"/>
        <v>55520.345308144933</v>
      </c>
      <c r="V55" s="591">
        <f t="shared" si="122"/>
        <v>6032</v>
      </c>
      <c r="W55" s="559">
        <f t="shared" si="123"/>
        <v>40247</v>
      </c>
      <c r="X55" s="560">
        <f t="shared" si="124"/>
        <v>49611.172654072463</v>
      </c>
      <c r="Y55" s="1244">
        <f t="shared" si="125"/>
        <v>0.44998312594103357</v>
      </c>
      <c r="Z55" s="658"/>
      <c r="AA55" s="63">
        <v>14828</v>
      </c>
      <c r="AB55" s="1147">
        <v>14828</v>
      </c>
      <c r="AC55" s="63">
        <v>1343</v>
      </c>
      <c r="AD55" s="63">
        <v>2851</v>
      </c>
      <c r="AE55" s="63">
        <v>4649</v>
      </c>
      <c r="AF55" s="63">
        <v>5902</v>
      </c>
      <c r="AG55" s="63">
        <v>7719</v>
      </c>
      <c r="AH55" s="63">
        <v>9683</v>
      </c>
      <c r="AI55" s="63">
        <v>11471</v>
      </c>
      <c r="AJ55" s="63">
        <v>13537</v>
      </c>
      <c r="AK55" s="1791">
        <v>15058</v>
      </c>
      <c r="AL55" s="63">
        <v>17314</v>
      </c>
      <c r="AM55" s="63">
        <v>19541</v>
      </c>
      <c r="AN55" s="1140">
        <v>21878</v>
      </c>
      <c r="AO55" s="1594">
        <f t="shared" si="126"/>
        <v>21878</v>
      </c>
      <c r="AP55" s="1147">
        <v>21878</v>
      </c>
      <c r="AQ55" s="1494"/>
      <c r="AR55" s="63">
        <v>0</v>
      </c>
      <c r="AS55" s="63">
        <v>1969</v>
      </c>
      <c r="AT55" s="1427">
        <f t="shared" si="127"/>
        <v>0.46612062546537603</v>
      </c>
      <c r="AU55" s="1351">
        <f t="shared" si="128"/>
        <v>0.46612062546537603</v>
      </c>
      <c r="AV55" s="63">
        <v>4752</v>
      </c>
      <c r="AW55" s="1427">
        <f t="shared" si="129"/>
        <v>0.8454907161803713</v>
      </c>
      <c r="AX55" s="1351">
        <f t="shared" si="130"/>
        <v>0.66678358470712029</v>
      </c>
      <c r="AY55" s="63">
        <v>7152</v>
      </c>
      <c r="AZ55" s="1427">
        <f t="shared" si="131"/>
        <v>0.33481646273637372</v>
      </c>
      <c r="BA55" s="1351">
        <f t="shared" si="132"/>
        <v>0.53839535383953541</v>
      </c>
      <c r="BB55" s="63">
        <v>9687</v>
      </c>
      <c r="BC55" s="1427">
        <f t="shared" si="133"/>
        <v>1.0231444533120511</v>
      </c>
      <c r="BD55" s="1351">
        <f t="shared" si="134"/>
        <v>0.64130803117587254</v>
      </c>
      <c r="BE55" s="63">
        <v>12432</v>
      </c>
      <c r="BF55" s="1427">
        <f t="shared" si="135"/>
        <v>0.51073197578425977</v>
      </c>
      <c r="BG55" s="1351">
        <f t="shared" si="136"/>
        <v>0.61057131752817717</v>
      </c>
      <c r="BH55" s="63">
        <v>15233</v>
      </c>
      <c r="BI55" s="1427">
        <f t="shared" si="137"/>
        <v>0.42617107942973526</v>
      </c>
      <c r="BJ55" s="1351">
        <f t="shared" si="138"/>
        <v>0.57316947227099035</v>
      </c>
      <c r="BK55" s="63">
        <v>18463</v>
      </c>
      <c r="BL55" s="1427">
        <f t="shared" si="139"/>
        <v>0.80648769574944068</v>
      </c>
      <c r="BM55" s="1351">
        <f t="shared" si="140"/>
        <v>0.60953709354023189</v>
      </c>
      <c r="BN55" s="63">
        <v>21022</v>
      </c>
      <c r="BO55" s="1427">
        <f t="shared" si="141"/>
        <v>0.23862536302032913</v>
      </c>
      <c r="BP55" s="1351">
        <f t="shared" si="142"/>
        <v>0.55292900938169465</v>
      </c>
      <c r="BQ55" s="63">
        <v>23770</v>
      </c>
      <c r="BR55" s="1427">
        <f t="shared" si="143"/>
        <v>0.8067061143984221</v>
      </c>
      <c r="BS55" s="1351">
        <f t="shared" si="144"/>
        <v>0.57856289015805551</v>
      </c>
      <c r="BT55" s="63">
        <v>27304</v>
      </c>
      <c r="BU55" s="1427">
        <f t="shared" si="145"/>
        <v>0.56648936170212771</v>
      </c>
      <c r="BV55" s="1351">
        <f t="shared" si="146"/>
        <v>0.5769897193022987</v>
      </c>
      <c r="BW55" s="63">
        <v>32044</v>
      </c>
      <c r="BX55" s="1427">
        <f t="shared" si="147"/>
        <v>1.1284238886394253</v>
      </c>
      <c r="BY55" s="1351">
        <f t="shared" si="148"/>
        <v>0.63983419476997083</v>
      </c>
      <c r="BZ55" s="1140">
        <v>34215</v>
      </c>
      <c r="CA55" s="1427">
        <f t="shared" si="149"/>
        <v>-7.1031236628155761E-2</v>
      </c>
      <c r="CB55" s="1351">
        <f t="shared" si="150"/>
        <v>0.56389980802632778</v>
      </c>
      <c r="CC55" s="1901">
        <v>0</v>
      </c>
      <c r="CD55" s="1594">
        <f t="shared" si="151"/>
        <v>34215</v>
      </c>
      <c r="CE55" s="1939">
        <f t="shared" si="152"/>
        <v>0.56389980802632778</v>
      </c>
      <c r="CF55" s="1940">
        <f t="shared" si="153"/>
        <v>20</v>
      </c>
      <c r="CG55" s="1895"/>
      <c r="CH55" s="1815">
        <v>2138</v>
      </c>
      <c r="CI55" s="2039">
        <f t="shared" si="154"/>
        <v>8.5830370746571863E-2</v>
      </c>
      <c r="CJ55" s="2041">
        <f t="shared" si="155"/>
        <v>8.5830370746571863E-2</v>
      </c>
      <c r="CK55" s="1815">
        <v>6829</v>
      </c>
      <c r="CL55" s="2039">
        <f t="shared" si="156"/>
        <v>0.68559108875314412</v>
      </c>
      <c r="CM55" s="2041">
        <f t="shared" si="157"/>
        <v>0.43707912457912457</v>
      </c>
      <c r="CN55" s="1815">
        <v>10601</v>
      </c>
      <c r="CO55" s="2039">
        <f t="shared" si="158"/>
        <v>0.57166666666666666</v>
      </c>
      <c r="CP55" s="2041">
        <f t="shared" si="159"/>
        <v>0.48224272930648771</v>
      </c>
      <c r="CQ55" s="1815">
        <v>15719</v>
      </c>
      <c r="CR55" s="2039">
        <f t="shared" si="160"/>
        <v>1.0189349112426036</v>
      </c>
      <c r="CS55" s="2041">
        <f t="shared" si="161"/>
        <v>0.62269020336533498</v>
      </c>
      <c r="CU55" s="1948">
        <f t="shared" si="162"/>
        <v>0.14044747405884728</v>
      </c>
      <c r="CV55" s="1940">
        <f t="shared" si="163"/>
        <v>32</v>
      </c>
      <c r="CW55" s="1580">
        <f t="shared" si="164"/>
        <v>1.7282721735254791</v>
      </c>
      <c r="CX55" s="1799">
        <v>16500</v>
      </c>
      <c r="CY55" s="1794">
        <f>_xlfn.XLOOKUP(E55,MOPFRA!$R$7:$R$56,MOPFRA!$T$7:$T$56,"")</f>
        <v>52044</v>
      </c>
      <c r="CZ55" s="1245" t="str">
        <f>_xlfn.XLOOKUP(E55,MOPFRA!$R$7:$R$56,MOPFRA!$P$7:$P$56,"")</f>
        <v>L</v>
      </c>
      <c r="DA55" s="1802">
        <v>0.9</v>
      </c>
      <c r="DB55" s="1529">
        <f t="shared" si="165"/>
        <v>0.46612062546537603</v>
      </c>
      <c r="DC55" s="1529">
        <f t="shared" si="166"/>
        <v>0.66678358470712029</v>
      </c>
      <c r="DD55" s="1529">
        <f t="shared" si="167"/>
        <v>0.53839535383953541</v>
      </c>
      <c r="DE55" s="1529">
        <f t="shared" si="168"/>
        <v>0.64130803117587254</v>
      </c>
      <c r="DF55" s="1529">
        <f t="shared" si="169"/>
        <v>0.61057131752817717</v>
      </c>
      <c r="DG55" s="1529">
        <f t="shared" si="170"/>
        <v>0.57316947227099035</v>
      </c>
      <c r="DH55" s="1529">
        <f t="shared" si="171"/>
        <v>0.60953709354023189</v>
      </c>
      <c r="DI55" s="1529">
        <f t="shared" si="172"/>
        <v>0.55292900938169465</v>
      </c>
      <c r="DJ55" s="1529">
        <f t="shared" ref="DJ55:DJ63" si="186">BS55</f>
        <v>0.57856289015805551</v>
      </c>
      <c r="DK55" s="1529">
        <f t="shared" si="174"/>
        <v>0.5769897193022987</v>
      </c>
      <c r="DL55" s="1529">
        <f t="shared" si="175"/>
        <v>0.63983419476997083</v>
      </c>
      <c r="DM55" s="1529">
        <f t="shared" si="176"/>
        <v>0.56389980802632778</v>
      </c>
      <c r="DN55" s="1529">
        <f t="shared" si="177"/>
        <v>8.5830370746571863E-2</v>
      </c>
      <c r="DO55" s="1529">
        <f t="shared" si="178"/>
        <v>0.43707912457912457</v>
      </c>
      <c r="DP55" s="1529">
        <f t="shared" si="179"/>
        <v>0.48224272930648771</v>
      </c>
      <c r="DQ55" s="1529">
        <f t="shared" si="180"/>
        <v>0.62269020336533498</v>
      </c>
      <c r="DS55" s="1583" t="s">
        <v>605</v>
      </c>
      <c r="DT55" s="1736"/>
      <c r="DU55" s="1580">
        <f>_xlfn.XLOOKUP(E55,E55:E144,CW55:CW144,"")</f>
        <v>1.7282721735254791</v>
      </c>
      <c r="DV55" s="1943">
        <f t="shared" si="181"/>
        <v>32</v>
      </c>
      <c r="DW55" s="1730">
        <f t="shared" si="182"/>
        <v>2.1541818181818182</v>
      </c>
      <c r="DX55" s="1860">
        <f t="shared" si="183"/>
        <v>4.9238676512572379</v>
      </c>
      <c r="DY55" s="1683">
        <f>_xlfn.XLOOKUP(E55,MOPFRA!$R$7:$R$56,MOPFRA!$D$7:$D$56,"")</f>
        <v>1.2764594316789841</v>
      </c>
      <c r="DZ55" s="1583" t="s">
        <v>605</v>
      </c>
    </row>
    <row r="56" spans="2:131" ht="68" customHeight="1">
      <c r="B56" s="1119">
        <f>_xlfn.XLOOKUP(E56,MOPFRA!$R$7:$R$56,MOPFRA!$A$7:$A$56,"")</f>
        <v>11.736609338117248</v>
      </c>
      <c r="C56" s="394">
        <f>_xlfn.XLOOKUP(E56,MOPFRA!$R$7:$R$56,MOPFRA!$T$7:$T$56,"")</f>
        <v>24606.06</v>
      </c>
      <c r="D56" s="223" t="s">
        <v>164</v>
      </c>
      <c r="E56" s="1949" t="s">
        <v>165</v>
      </c>
      <c r="F56" s="982">
        <f>_xlfn.XLOOKUP(E56,MOPFRA!$R$7:$R$56,MOPFRA!$S$7:$S$56,"")</f>
        <v>12</v>
      </c>
      <c r="G56" s="1203">
        <f>_xlfn.XLOOKUP(E56,MOPFRA!$R$7:$R$56,MOPFRA!$AQ$7:$AQ$56,"")</f>
        <v>4859</v>
      </c>
      <c r="H56" s="1210">
        <v>20</v>
      </c>
      <c r="I56" s="1713">
        <f t="shared" si="114"/>
        <v>4839</v>
      </c>
      <c r="J56" s="1712">
        <f t="shared" si="115"/>
        <v>4.1160732661041366E-3</v>
      </c>
      <c r="K56" s="1761">
        <v>4</v>
      </c>
      <c r="L56" s="1728">
        <f t="shared" si="116"/>
        <v>4</v>
      </c>
      <c r="M56" s="689">
        <v>1387</v>
      </c>
      <c r="N56" s="689">
        <v>4037</v>
      </c>
      <c r="O56" s="1718">
        <v>2</v>
      </c>
      <c r="P56" s="1713">
        <f t="shared" si="117"/>
        <v>4035</v>
      </c>
      <c r="Q56" s="1712">
        <f t="shared" si="118"/>
        <v>4.9541738915035913E-4</v>
      </c>
      <c r="R56" s="557">
        <f t="shared" si="184"/>
        <v>12111</v>
      </c>
      <c r="S56" s="553">
        <f t="shared" si="119"/>
        <v>1.9105984138428262</v>
      </c>
      <c r="T56" s="553">
        <f t="shared" si="120"/>
        <v>0.28544968100432189</v>
      </c>
      <c r="U56" s="558">
        <f t="shared" si="121"/>
        <v>14142.597692862291</v>
      </c>
      <c r="V56" s="591">
        <f t="shared" si="122"/>
        <v>2650</v>
      </c>
      <c r="W56" s="559">
        <f t="shared" si="123"/>
        <v>7509</v>
      </c>
      <c r="X56" s="560">
        <f t="shared" si="124"/>
        <v>11976.298846431146</v>
      </c>
      <c r="Y56" s="1244">
        <f t="shared" si="125"/>
        <v>1.4647661754334524</v>
      </c>
      <c r="Z56" s="658"/>
      <c r="AA56" s="63">
        <v>1659</v>
      </c>
      <c r="AB56" s="1147">
        <v>1659</v>
      </c>
      <c r="AC56" s="63">
        <v>171</v>
      </c>
      <c r="AD56" s="63">
        <v>345</v>
      </c>
      <c r="AE56" s="63">
        <v>530</v>
      </c>
      <c r="AF56" s="63">
        <v>708</v>
      </c>
      <c r="AG56" s="63">
        <v>897</v>
      </c>
      <c r="AH56" s="63">
        <v>1099</v>
      </c>
      <c r="AI56" s="63">
        <v>1294</v>
      </c>
      <c r="AJ56" s="63">
        <v>1488</v>
      </c>
      <c r="AK56" s="1791">
        <v>1691</v>
      </c>
      <c r="AL56" s="63">
        <v>1981</v>
      </c>
      <c r="AM56" s="63">
        <v>2281</v>
      </c>
      <c r="AN56" s="1140">
        <v>2533</v>
      </c>
      <c r="AO56" s="1594">
        <f t="shared" si="126"/>
        <v>2533</v>
      </c>
      <c r="AP56" s="1147">
        <v>2533</v>
      </c>
      <c r="AQ56" s="1494"/>
      <c r="AR56" s="63">
        <v>0</v>
      </c>
      <c r="AS56" s="63">
        <v>316</v>
      </c>
      <c r="AT56" s="1427">
        <f t="shared" si="127"/>
        <v>0.84795321637426901</v>
      </c>
      <c r="AU56" s="1351">
        <f t="shared" si="128"/>
        <v>0.84795321637426901</v>
      </c>
      <c r="AV56" s="63">
        <v>639</v>
      </c>
      <c r="AW56" s="1427">
        <f t="shared" si="129"/>
        <v>0.85632183908045978</v>
      </c>
      <c r="AX56" s="1351">
        <f t="shared" si="130"/>
        <v>0.85217391304347823</v>
      </c>
      <c r="AY56" s="63">
        <v>1005</v>
      </c>
      <c r="AZ56" s="1427">
        <f t="shared" si="131"/>
        <v>0.97837837837837838</v>
      </c>
      <c r="BA56" s="1351">
        <f t="shared" si="132"/>
        <v>0.89622641509433965</v>
      </c>
      <c r="BB56" s="63">
        <v>1387</v>
      </c>
      <c r="BC56" s="1427">
        <f t="shared" si="133"/>
        <v>1.146067415730337</v>
      </c>
      <c r="BD56" s="1351">
        <f t="shared" si="134"/>
        <v>0.95903954802259883</v>
      </c>
      <c r="BE56" s="63">
        <v>1772</v>
      </c>
      <c r="BF56" s="1427">
        <f t="shared" si="135"/>
        <v>1.037037037037037</v>
      </c>
      <c r="BG56" s="1351">
        <f t="shared" si="136"/>
        <v>0.97547380156075814</v>
      </c>
      <c r="BH56" s="63">
        <v>2196</v>
      </c>
      <c r="BI56" s="1427">
        <f t="shared" si="137"/>
        <v>1.0990099009900991</v>
      </c>
      <c r="BJ56" s="1351">
        <f t="shared" si="138"/>
        <v>0.99818016378525931</v>
      </c>
      <c r="BK56" s="63">
        <v>2619</v>
      </c>
      <c r="BL56" s="1427">
        <f t="shared" si="139"/>
        <v>1.1692307692307693</v>
      </c>
      <c r="BM56" s="1351">
        <f t="shared" si="140"/>
        <v>1.0239567233384854</v>
      </c>
      <c r="BN56" s="63">
        <v>3043</v>
      </c>
      <c r="BO56" s="1427">
        <f t="shared" si="141"/>
        <v>1.1855670103092784</v>
      </c>
      <c r="BP56" s="1351">
        <f t="shared" si="142"/>
        <v>1.04502688172043</v>
      </c>
      <c r="BQ56" s="63">
        <v>3490</v>
      </c>
      <c r="BR56" s="1427">
        <f t="shared" si="143"/>
        <v>1.2019704433497538</v>
      </c>
      <c r="BS56" s="1351">
        <f t="shared" si="144"/>
        <v>1.0638675340035482</v>
      </c>
      <c r="BT56" s="63">
        <v>3954</v>
      </c>
      <c r="BU56" s="1427">
        <f t="shared" si="145"/>
        <v>0.6</v>
      </c>
      <c r="BV56" s="1351">
        <f t="shared" si="146"/>
        <v>0.9959616355376073</v>
      </c>
      <c r="BW56" s="63">
        <v>4462</v>
      </c>
      <c r="BX56" s="1427">
        <f t="shared" si="147"/>
        <v>0.69333333333333336</v>
      </c>
      <c r="BY56" s="1351">
        <f t="shared" si="148"/>
        <v>0.9561595791319597</v>
      </c>
      <c r="BZ56" s="1140">
        <v>4859</v>
      </c>
      <c r="CA56" s="1427">
        <f t="shared" si="149"/>
        <v>0.57539682539682535</v>
      </c>
      <c r="CB56" s="1351">
        <f t="shared" si="150"/>
        <v>0.91827872088432694</v>
      </c>
      <c r="CC56" s="1901">
        <v>0</v>
      </c>
      <c r="CD56" s="1594">
        <f t="shared" si="151"/>
        <v>4859</v>
      </c>
      <c r="CE56" s="1939">
        <f t="shared" si="152"/>
        <v>0.91827872088432694</v>
      </c>
      <c r="CF56" s="1940">
        <f t="shared" si="153"/>
        <v>6</v>
      </c>
      <c r="CG56" s="1895"/>
      <c r="CH56" s="1815">
        <v>616</v>
      </c>
      <c r="CI56" s="2039">
        <f t="shared" si="154"/>
        <v>0.94936708860759489</v>
      </c>
      <c r="CJ56" s="2041">
        <f t="shared" si="155"/>
        <v>0.94936708860759489</v>
      </c>
      <c r="CK56" s="1815">
        <v>1516</v>
      </c>
      <c r="CL56" s="2039">
        <f t="shared" si="156"/>
        <v>1.7863777089783281</v>
      </c>
      <c r="CM56" s="2041">
        <f t="shared" si="157"/>
        <v>1.3724569640062598</v>
      </c>
      <c r="CN56" s="1815">
        <v>2767</v>
      </c>
      <c r="CO56" s="2039">
        <f t="shared" si="158"/>
        <v>2.418032786885246</v>
      </c>
      <c r="CP56" s="2041">
        <f t="shared" si="159"/>
        <v>1.7532338308457711</v>
      </c>
      <c r="CQ56" s="1815">
        <v>4037</v>
      </c>
      <c r="CR56" s="2039">
        <f t="shared" si="160"/>
        <v>2.3246073298429319</v>
      </c>
      <c r="CS56" s="2041">
        <f t="shared" si="161"/>
        <v>1.9105984138428262</v>
      </c>
      <c r="CU56" s="1948">
        <f t="shared" si="162"/>
        <v>0.15736458299705514</v>
      </c>
      <c r="CV56" s="1940">
        <f t="shared" si="163"/>
        <v>7</v>
      </c>
      <c r="CW56" s="1580">
        <f t="shared" si="164"/>
        <v>2.7852991226427326</v>
      </c>
      <c r="CX56" s="1799">
        <v>5222</v>
      </c>
      <c r="CY56" s="1794">
        <f>_xlfn.XLOOKUP(E56,MOPFRA!$R$7:$R$56,MOPFRA!$T$7:$T$56,"")</f>
        <v>24606.06</v>
      </c>
      <c r="CZ56" s="1245" t="str">
        <f>_xlfn.XLOOKUP(E56,MOPFRA!$R$7:$R$56,MOPFRA!$P$7:$P$56,"")</f>
        <v>PH</v>
      </c>
      <c r="DA56" s="1802">
        <v>0.9</v>
      </c>
      <c r="DB56" s="1529">
        <f t="shared" si="165"/>
        <v>0.84795321637426901</v>
      </c>
      <c r="DC56" s="1529">
        <f t="shared" si="166"/>
        <v>0.85217391304347823</v>
      </c>
      <c r="DD56" s="1529">
        <f t="shared" si="167"/>
        <v>0.89622641509433965</v>
      </c>
      <c r="DE56" s="1529">
        <f t="shared" si="168"/>
        <v>0.95903954802259883</v>
      </c>
      <c r="DF56" s="1529">
        <f t="shared" si="169"/>
        <v>0.97547380156075814</v>
      </c>
      <c r="DG56" s="1529">
        <f t="shared" si="170"/>
        <v>0.99818016378525931</v>
      </c>
      <c r="DH56" s="1529">
        <f t="shared" si="171"/>
        <v>1.0239567233384854</v>
      </c>
      <c r="DI56" s="1529">
        <f t="shared" si="172"/>
        <v>1.04502688172043</v>
      </c>
      <c r="DJ56" s="1529">
        <f t="shared" si="186"/>
        <v>1.0638675340035482</v>
      </c>
      <c r="DK56" s="1529">
        <f t="shared" si="174"/>
        <v>0.9959616355376073</v>
      </c>
      <c r="DL56" s="1529">
        <f t="shared" si="175"/>
        <v>0.9561595791319597</v>
      </c>
      <c r="DM56" s="1529">
        <f t="shared" si="176"/>
        <v>0.91827872088432694</v>
      </c>
      <c r="DN56" s="1529">
        <f t="shared" si="177"/>
        <v>0.94936708860759489</v>
      </c>
      <c r="DO56" s="1529">
        <f t="shared" si="178"/>
        <v>1.3724569640062598</v>
      </c>
      <c r="DP56" s="1529">
        <f t="shared" si="179"/>
        <v>1.7532338308457711</v>
      </c>
      <c r="DQ56" s="1529">
        <f t="shared" si="180"/>
        <v>1.9105984138428262</v>
      </c>
      <c r="DS56" s="1583" t="s">
        <v>605</v>
      </c>
      <c r="DT56" s="1736"/>
      <c r="DU56" s="1580">
        <f>_xlfn.XLOOKUP(E56,E56:E144,CW56:CW144,"")</f>
        <v>2.7852991226427326</v>
      </c>
      <c r="DV56" s="1943">
        <f t="shared" si="181"/>
        <v>7</v>
      </c>
      <c r="DW56" s="1730">
        <f t="shared" si="182"/>
        <v>3.7119992340099581</v>
      </c>
      <c r="DX56" s="1860">
        <f t="shared" si="183"/>
        <v>-0.36206558769537772</v>
      </c>
      <c r="DY56" s="1683">
        <f>_xlfn.XLOOKUP(E56,MOPFRA!$R$7:$R$56,MOPFRA!$D$7:$D$56,"")</f>
        <v>3.3381467050359568</v>
      </c>
      <c r="DZ56" s="1583" t="s">
        <v>605</v>
      </c>
    </row>
    <row r="57" spans="2:131" ht="68" customHeight="1">
      <c r="B57" s="1119">
        <f>_xlfn.XLOOKUP(E57,MOPFRA!$R$7:$R$56,MOPFRA!$A$7:$A$56,"")</f>
        <v>10.895140384574557</v>
      </c>
      <c r="C57" s="394">
        <f>_xlfn.XLOOKUP(E57,MOPFRA!$R$7:$R$56,MOPFRA!$T$7:$T$56,"")</f>
        <v>3923.56</v>
      </c>
      <c r="D57" s="223" t="s">
        <v>181</v>
      </c>
      <c r="E57" s="1949" t="s">
        <v>182</v>
      </c>
      <c r="F57" s="982">
        <f>_xlfn.XLOOKUP(E57,MOPFRA!$R$7:$R$56,MOPFRA!$S$7:$S$56,"")</f>
        <v>12</v>
      </c>
      <c r="G57" s="1203">
        <f>_xlfn.XLOOKUP(E57,MOPFRA!$R$7:$R$56,MOPFRA!$AQ$7:$AQ$56,"")</f>
        <v>5814</v>
      </c>
      <c r="H57" s="1210">
        <v>87</v>
      </c>
      <c r="I57" s="1713">
        <f t="shared" si="114"/>
        <v>5727</v>
      </c>
      <c r="J57" s="1712">
        <f t="shared" si="115"/>
        <v>1.4963880288957688E-2</v>
      </c>
      <c r="K57" s="1761">
        <v>4</v>
      </c>
      <c r="L57" s="1728">
        <f t="shared" si="116"/>
        <v>4</v>
      </c>
      <c r="M57" s="689">
        <v>1672</v>
      </c>
      <c r="N57" s="689">
        <v>2675</v>
      </c>
      <c r="O57" s="1718">
        <v>125</v>
      </c>
      <c r="P57" s="1713">
        <f t="shared" si="117"/>
        <v>2550</v>
      </c>
      <c r="Q57" s="1712">
        <f t="shared" si="118"/>
        <v>4.6728971962616821E-2</v>
      </c>
      <c r="R57" s="557">
        <f t="shared" si="184"/>
        <v>8025</v>
      </c>
      <c r="S57" s="553">
        <f t="shared" si="119"/>
        <v>0.59988038277511957</v>
      </c>
      <c r="T57" s="553">
        <f t="shared" si="120"/>
        <v>0.28758169934640521</v>
      </c>
      <c r="U57" s="558">
        <f t="shared" si="121"/>
        <v>9301.704545454546</v>
      </c>
      <c r="V57" s="591">
        <f t="shared" si="122"/>
        <v>1003</v>
      </c>
      <c r="W57" s="559">
        <f t="shared" si="123"/>
        <v>6817</v>
      </c>
      <c r="X57" s="560">
        <f t="shared" si="124"/>
        <v>8361.3522727272721</v>
      </c>
      <c r="Y57" s="1244">
        <f t="shared" si="125"/>
        <v>0.43814108578040456</v>
      </c>
      <c r="Z57" s="658"/>
      <c r="AA57" s="63">
        <v>3110</v>
      </c>
      <c r="AB57" s="1147">
        <v>3110</v>
      </c>
      <c r="AC57" s="63">
        <v>278</v>
      </c>
      <c r="AD57" s="63">
        <v>625</v>
      </c>
      <c r="AE57" s="63">
        <v>1028</v>
      </c>
      <c r="AF57" s="63">
        <v>1385</v>
      </c>
      <c r="AG57" s="63">
        <v>1747</v>
      </c>
      <c r="AH57" s="63">
        <v>2125</v>
      </c>
      <c r="AI57" s="63">
        <v>2528</v>
      </c>
      <c r="AJ57" s="63">
        <v>2948</v>
      </c>
      <c r="AK57" s="1791">
        <v>3297</v>
      </c>
      <c r="AL57" s="63">
        <v>3660</v>
      </c>
      <c r="AM57" s="63">
        <v>4148</v>
      </c>
      <c r="AN57" s="1140">
        <v>4663</v>
      </c>
      <c r="AO57" s="1594">
        <f t="shared" si="126"/>
        <v>4663</v>
      </c>
      <c r="AP57" s="1147">
        <v>4663</v>
      </c>
      <c r="AQ57" s="1494"/>
      <c r="AR57" s="63">
        <v>0</v>
      </c>
      <c r="AS57" s="63">
        <v>346</v>
      </c>
      <c r="AT57" s="1427">
        <f t="shared" si="127"/>
        <v>0.2446043165467626</v>
      </c>
      <c r="AU57" s="1351">
        <f t="shared" si="128"/>
        <v>0.2446043165467626</v>
      </c>
      <c r="AV57" s="63">
        <v>871</v>
      </c>
      <c r="AW57" s="1427">
        <f t="shared" si="129"/>
        <v>0.51296829971181557</v>
      </c>
      <c r="AX57" s="1351">
        <f t="shared" si="130"/>
        <v>0.39360000000000001</v>
      </c>
      <c r="AY57" s="63">
        <v>1217</v>
      </c>
      <c r="AZ57" s="1427">
        <f t="shared" si="131"/>
        <v>-0.14143920595533499</v>
      </c>
      <c r="BA57" s="1351">
        <f t="shared" si="132"/>
        <v>0.18385214007782102</v>
      </c>
      <c r="BB57" s="63">
        <v>1672</v>
      </c>
      <c r="BC57" s="1427">
        <f t="shared" si="133"/>
        <v>0.27450980392156865</v>
      </c>
      <c r="BD57" s="1351">
        <f t="shared" si="134"/>
        <v>0.2072202166064982</v>
      </c>
      <c r="BE57" s="63">
        <v>2103</v>
      </c>
      <c r="BF57" s="1427">
        <f t="shared" si="135"/>
        <v>0.19060773480662985</v>
      </c>
      <c r="BG57" s="1351">
        <f t="shared" si="136"/>
        <v>0.20377790497996565</v>
      </c>
      <c r="BH57" s="63">
        <v>2567</v>
      </c>
      <c r="BI57" s="1427">
        <f t="shared" si="137"/>
        <v>0.2275132275132275</v>
      </c>
      <c r="BJ57" s="1351">
        <f t="shared" si="138"/>
        <v>0.20799999999999999</v>
      </c>
      <c r="BK57" s="63">
        <v>3116</v>
      </c>
      <c r="BL57" s="1427">
        <f t="shared" si="139"/>
        <v>0.36228287841191065</v>
      </c>
      <c r="BM57" s="1351">
        <f t="shared" si="140"/>
        <v>0.23259493670886075</v>
      </c>
      <c r="BN57" s="63">
        <v>3639</v>
      </c>
      <c r="BO57" s="1427">
        <f t="shared" si="141"/>
        <v>0.24523809523809523</v>
      </c>
      <c r="BP57" s="1351">
        <f t="shared" si="142"/>
        <v>0.23439620081411125</v>
      </c>
      <c r="BQ57" s="63">
        <v>4252</v>
      </c>
      <c r="BR57" s="1427">
        <f t="shared" si="143"/>
        <v>0.7564469914040115</v>
      </c>
      <c r="BS57" s="1351">
        <f t="shared" si="144"/>
        <v>0.28965726417955717</v>
      </c>
      <c r="BT57" s="63">
        <v>4720</v>
      </c>
      <c r="BU57" s="1427">
        <f t="shared" si="145"/>
        <v>0.28925619834710742</v>
      </c>
      <c r="BV57" s="1351">
        <f t="shared" si="146"/>
        <v>0.2896174863387978</v>
      </c>
      <c r="BW57" s="63">
        <v>5434</v>
      </c>
      <c r="BX57" s="1427">
        <f t="shared" si="147"/>
        <v>0.46311475409836067</v>
      </c>
      <c r="BY57" s="1351">
        <f t="shared" si="148"/>
        <v>0.31002892960462874</v>
      </c>
      <c r="BZ57" s="1140">
        <v>5814</v>
      </c>
      <c r="CA57" s="1427">
        <f t="shared" si="149"/>
        <v>-0.26213592233009708</v>
      </c>
      <c r="CB57" s="1351">
        <f t="shared" si="150"/>
        <v>0.24683680034312674</v>
      </c>
      <c r="CC57" s="1901">
        <v>0</v>
      </c>
      <c r="CD57" s="1594">
        <f t="shared" si="151"/>
        <v>5814</v>
      </c>
      <c r="CE57" s="1939">
        <f t="shared" si="152"/>
        <v>0.24683680034312674</v>
      </c>
      <c r="CF57" s="1940">
        <f t="shared" si="153"/>
        <v>45</v>
      </c>
      <c r="CG57" s="1895"/>
      <c r="CH57" s="1815">
        <v>240</v>
      </c>
      <c r="CI57" s="2039">
        <f t="shared" si="154"/>
        <v>-0.30635838150289019</v>
      </c>
      <c r="CJ57" s="2041">
        <f t="shared" si="155"/>
        <v>-0.30635838150289019</v>
      </c>
      <c r="CK57" s="1815">
        <v>1012</v>
      </c>
      <c r="CL57" s="2039">
        <f t="shared" si="156"/>
        <v>0.47047619047619049</v>
      </c>
      <c r="CM57" s="2041">
        <f t="shared" si="157"/>
        <v>0.1618828932261768</v>
      </c>
      <c r="CN57" s="1815">
        <v>1803</v>
      </c>
      <c r="CO57" s="2039">
        <f t="shared" si="158"/>
        <v>1.2861271676300579</v>
      </c>
      <c r="CP57" s="2041">
        <f t="shared" si="159"/>
        <v>0.48151191454396058</v>
      </c>
      <c r="CQ57" s="1815">
        <v>2675</v>
      </c>
      <c r="CR57" s="2039">
        <f t="shared" si="160"/>
        <v>0.91648351648351645</v>
      </c>
      <c r="CS57" s="2041">
        <f t="shared" si="161"/>
        <v>0.59988038277511957</v>
      </c>
      <c r="CU57" s="1948">
        <f t="shared" si="162"/>
        <v>0.11836846823115899</v>
      </c>
      <c r="CV57" s="1940">
        <f t="shared" si="163"/>
        <v>34</v>
      </c>
      <c r="CW57" s="1580">
        <f t="shared" si="164"/>
        <v>4.7850700818986777E-3</v>
      </c>
      <c r="CX57" s="1799">
        <v>3347.136</v>
      </c>
      <c r="CY57" s="1794">
        <f>_xlfn.XLOOKUP(E57,MOPFRA!$R$7:$R$56,MOPFRA!$T$7:$T$56,"")</f>
        <v>3923.56</v>
      </c>
      <c r="CZ57" s="1245" t="str">
        <f>_xlfn.XLOOKUP(E57,MOPFRA!$R$7:$R$56,MOPFRA!$P$7:$P$56,"")</f>
        <v>T</v>
      </c>
      <c r="DA57" s="1802">
        <v>0.9</v>
      </c>
      <c r="DB57" s="1529">
        <f t="shared" si="165"/>
        <v>0.2446043165467626</v>
      </c>
      <c r="DC57" s="1529">
        <f t="shared" si="166"/>
        <v>0.39360000000000001</v>
      </c>
      <c r="DD57" s="1529">
        <f t="shared" si="167"/>
        <v>0.18385214007782102</v>
      </c>
      <c r="DE57" s="1529">
        <f t="shared" si="168"/>
        <v>0.2072202166064982</v>
      </c>
      <c r="DF57" s="1529">
        <f t="shared" si="169"/>
        <v>0.20377790497996565</v>
      </c>
      <c r="DG57" s="1529">
        <f t="shared" si="170"/>
        <v>0.20799999999999999</v>
      </c>
      <c r="DH57" s="1529">
        <f t="shared" si="171"/>
        <v>0.23259493670886075</v>
      </c>
      <c r="DI57" s="1529">
        <f t="shared" si="172"/>
        <v>0.23439620081411125</v>
      </c>
      <c r="DJ57" s="1529">
        <f t="shared" si="186"/>
        <v>0.28965726417955717</v>
      </c>
      <c r="DK57" s="1529">
        <f t="shared" si="174"/>
        <v>0.2896174863387978</v>
      </c>
      <c r="DL57" s="1529">
        <f t="shared" si="175"/>
        <v>0.31002892960462874</v>
      </c>
      <c r="DM57" s="1529">
        <f t="shared" si="176"/>
        <v>0.24683680034312674</v>
      </c>
      <c r="DN57" s="1529">
        <f t="shared" si="177"/>
        <v>-0.30635838150289019</v>
      </c>
      <c r="DO57" s="1529">
        <f t="shared" si="178"/>
        <v>0.1618828932261768</v>
      </c>
      <c r="DP57" s="1529">
        <f t="shared" si="179"/>
        <v>0.48151191454396058</v>
      </c>
      <c r="DQ57" s="1529">
        <f t="shared" si="180"/>
        <v>0.59988038277511957</v>
      </c>
      <c r="DS57" s="1583" t="s">
        <v>197</v>
      </c>
      <c r="DT57" s="1736"/>
      <c r="DU57" s="1580">
        <f>_xlfn.XLOOKUP(E57,E57:E145,CW57:CW145,"")</f>
        <v>4.7850700818986777E-3</v>
      </c>
      <c r="DV57" s="1943">
        <f t="shared" si="181"/>
        <v>34</v>
      </c>
      <c r="DW57" s="1730">
        <f t="shared" si="182"/>
        <v>0.17221409587181399</v>
      </c>
      <c r="DX57" s="1860">
        <f t="shared" si="183"/>
        <v>3.1765091673659129</v>
      </c>
      <c r="DY57" s="1683">
        <f>_xlfn.XLOOKUP(E57,MOPFRA!$R$7:$R$56,MOPFRA!$D$7:$D$56,"")</f>
        <v>3.2354511215363528</v>
      </c>
      <c r="DZ57" s="1583" t="s">
        <v>605</v>
      </c>
    </row>
    <row r="58" spans="2:131" ht="68" customHeight="1">
      <c r="B58" s="1119">
        <f>_xlfn.XLOOKUP(E58,MOPFRA!$R$7:$R$56,MOPFRA!$A$7:$A$56,"")</f>
        <v>11.047850751719084</v>
      </c>
      <c r="C58" s="394">
        <f>_xlfn.XLOOKUP(E58,MOPFRA!$R$7:$R$56,MOPFRA!$T$7:$T$56,"")</f>
        <v>11774.474</v>
      </c>
      <c r="D58" s="223" t="s">
        <v>156</v>
      </c>
      <c r="E58" s="1949" t="s">
        <v>157</v>
      </c>
      <c r="F58" s="982">
        <f>_xlfn.XLOOKUP(E58,MOPFRA!$R$7:$R$56,MOPFRA!$S$7:$S$56,"")</f>
        <v>12</v>
      </c>
      <c r="G58" s="1203">
        <f>_xlfn.XLOOKUP(E58,MOPFRA!$R$7:$R$56,MOPFRA!$AQ$7:$AQ$56,"")</f>
        <v>4060</v>
      </c>
      <c r="H58" s="1210">
        <v>74</v>
      </c>
      <c r="I58" s="1713">
        <f t="shared" si="114"/>
        <v>3986</v>
      </c>
      <c r="J58" s="1712">
        <f t="shared" si="115"/>
        <v>1.8226600985221674E-2</v>
      </c>
      <c r="K58" s="1761">
        <v>4</v>
      </c>
      <c r="L58" s="1728">
        <f t="shared" si="116"/>
        <v>4</v>
      </c>
      <c r="M58" s="689">
        <v>1106</v>
      </c>
      <c r="N58" s="689">
        <v>2087</v>
      </c>
      <c r="O58" s="1718">
        <v>654</v>
      </c>
      <c r="P58" s="1713">
        <f t="shared" si="117"/>
        <v>1433</v>
      </c>
      <c r="Q58" s="1712">
        <f t="shared" si="118"/>
        <v>0.31336847149017727</v>
      </c>
      <c r="R58" s="557">
        <f t="shared" si="184"/>
        <v>6261</v>
      </c>
      <c r="S58" s="553">
        <f t="shared" si="119"/>
        <v>0.88698010849909581</v>
      </c>
      <c r="T58" s="553">
        <f t="shared" si="120"/>
        <v>0.27241379310344827</v>
      </c>
      <c r="U58" s="558">
        <f t="shared" si="121"/>
        <v>7661.1392405063289</v>
      </c>
      <c r="V58" s="591">
        <f t="shared" si="122"/>
        <v>981</v>
      </c>
      <c r="W58" s="559">
        <f t="shared" si="123"/>
        <v>5041</v>
      </c>
      <c r="X58" s="560">
        <f t="shared" si="124"/>
        <v>6656.0696202531644</v>
      </c>
      <c r="Y58" s="1244">
        <f t="shared" si="125"/>
        <v>0.63942601484068085</v>
      </c>
      <c r="Z58" s="658"/>
      <c r="AA58" s="63">
        <v>2509</v>
      </c>
      <c r="AB58" s="1147">
        <v>2509</v>
      </c>
      <c r="AC58" s="63">
        <v>210</v>
      </c>
      <c r="AD58" s="63">
        <v>469</v>
      </c>
      <c r="AE58" s="63">
        <v>734</v>
      </c>
      <c r="AF58" s="63">
        <v>970</v>
      </c>
      <c r="AG58" s="63">
        <v>1162</v>
      </c>
      <c r="AH58" s="63">
        <v>1337</v>
      </c>
      <c r="AI58" s="63">
        <v>1637</v>
      </c>
      <c r="AJ58" s="63">
        <v>1914</v>
      </c>
      <c r="AK58" s="1791">
        <v>2142</v>
      </c>
      <c r="AL58" s="63">
        <v>2465</v>
      </c>
      <c r="AM58" s="63">
        <v>2731</v>
      </c>
      <c r="AN58" s="1140">
        <v>2841</v>
      </c>
      <c r="AO58" s="1594">
        <f t="shared" si="126"/>
        <v>2841</v>
      </c>
      <c r="AP58" s="1147">
        <v>2841</v>
      </c>
      <c r="AQ58" s="1494"/>
      <c r="AR58" s="63">
        <v>0</v>
      </c>
      <c r="AS58" s="63">
        <v>150</v>
      </c>
      <c r="AT58" s="1427">
        <f t="shared" si="127"/>
        <v>-0.2857142857142857</v>
      </c>
      <c r="AU58" s="1351">
        <f t="shared" si="128"/>
        <v>-0.2857142857142857</v>
      </c>
      <c r="AV58" s="63">
        <v>525</v>
      </c>
      <c r="AW58" s="1427">
        <f t="shared" si="129"/>
        <v>0.44787644787644787</v>
      </c>
      <c r="AX58" s="1351">
        <f t="shared" si="130"/>
        <v>0.11940298507462686</v>
      </c>
      <c r="AY58" s="63">
        <v>856</v>
      </c>
      <c r="AZ58" s="1427">
        <f t="shared" si="131"/>
        <v>0.24905660377358491</v>
      </c>
      <c r="BA58" s="1351">
        <f t="shared" si="132"/>
        <v>0.16621253405994552</v>
      </c>
      <c r="BB58" s="63">
        <v>1106</v>
      </c>
      <c r="BC58" s="1427">
        <f t="shared" si="133"/>
        <v>5.9322033898305086E-2</v>
      </c>
      <c r="BD58" s="1351">
        <f t="shared" si="134"/>
        <v>0.14020618556701031</v>
      </c>
      <c r="BE58" s="63">
        <v>1392</v>
      </c>
      <c r="BF58" s="1427">
        <f t="shared" si="135"/>
        <v>0.48958333333333331</v>
      </c>
      <c r="BG58" s="1351">
        <f t="shared" si="136"/>
        <v>0.19793459552495696</v>
      </c>
      <c r="BH58" s="63">
        <v>1793</v>
      </c>
      <c r="BI58" s="1427">
        <f t="shared" si="137"/>
        <v>1.2914285714285714</v>
      </c>
      <c r="BJ58" s="1351">
        <f t="shared" si="138"/>
        <v>0.34106207928197457</v>
      </c>
      <c r="BK58" s="63">
        <v>2244</v>
      </c>
      <c r="BL58" s="1427">
        <f t="shared" si="139"/>
        <v>0.5033333333333333</v>
      </c>
      <c r="BM58" s="1351">
        <f t="shared" si="140"/>
        <v>0.37080024434941966</v>
      </c>
      <c r="BN58" s="63">
        <v>2674</v>
      </c>
      <c r="BO58" s="1427">
        <f t="shared" si="141"/>
        <v>0.55234657039711188</v>
      </c>
      <c r="BP58" s="1351">
        <f t="shared" si="142"/>
        <v>0.39707419017763845</v>
      </c>
      <c r="BQ58" s="63">
        <v>2979</v>
      </c>
      <c r="BR58" s="1427">
        <f t="shared" si="143"/>
        <v>0.33771929824561403</v>
      </c>
      <c r="BS58" s="1351">
        <f t="shared" si="144"/>
        <v>0.3907563025210084</v>
      </c>
      <c r="BT58" s="63">
        <v>3260</v>
      </c>
      <c r="BU58" s="1427">
        <f t="shared" si="145"/>
        <v>-0.13003095975232198</v>
      </c>
      <c r="BV58" s="1351">
        <f t="shared" si="146"/>
        <v>0.3225152129817444</v>
      </c>
      <c r="BW58" s="63">
        <v>3962</v>
      </c>
      <c r="BX58" s="1427">
        <f t="shared" si="147"/>
        <v>1.6390977443609023</v>
      </c>
      <c r="BY58" s="1351">
        <f t="shared" si="148"/>
        <v>0.45075064079091909</v>
      </c>
      <c r="BZ58" s="1140">
        <v>4060</v>
      </c>
      <c r="CA58" s="1427">
        <f t="shared" si="149"/>
        <v>-0.10909090909090909</v>
      </c>
      <c r="CB58" s="1351">
        <f t="shared" si="150"/>
        <v>0.42907426962337203</v>
      </c>
      <c r="CC58" s="1901">
        <v>0</v>
      </c>
      <c r="CD58" s="1594">
        <f t="shared" si="151"/>
        <v>4060</v>
      </c>
      <c r="CE58" s="1939">
        <f t="shared" si="152"/>
        <v>0.42907426962337203</v>
      </c>
      <c r="CF58" s="1940">
        <f t="shared" si="153"/>
        <v>30</v>
      </c>
      <c r="CG58" s="1895"/>
      <c r="CH58" s="1815">
        <v>222</v>
      </c>
      <c r="CI58" s="2039">
        <f t="shared" si="154"/>
        <v>0.48</v>
      </c>
      <c r="CJ58" s="2041">
        <f t="shared" si="155"/>
        <v>0.48</v>
      </c>
      <c r="CK58" s="1815">
        <v>767</v>
      </c>
      <c r="CL58" s="2039">
        <f t="shared" si="156"/>
        <v>0.45333333333333331</v>
      </c>
      <c r="CM58" s="2041">
        <f t="shared" si="157"/>
        <v>0.46095238095238095</v>
      </c>
      <c r="CN58" s="1815">
        <v>1434</v>
      </c>
      <c r="CO58" s="2039">
        <f t="shared" si="158"/>
        <v>1.0151057401812689</v>
      </c>
      <c r="CP58" s="2041">
        <f t="shared" si="159"/>
        <v>0.67523364485981308</v>
      </c>
      <c r="CQ58" s="1815">
        <v>2087</v>
      </c>
      <c r="CR58" s="2039">
        <f t="shared" si="160"/>
        <v>1.6120000000000001</v>
      </c>
      <c r="CS58" s="2041">
        <f t="shared" si="161"/>
        <v>0.88698010849909581</v>
      </c>
      <c r="CU58" s="1948">
        <f t="shared" si="162"/>
        <v>0.21174646363928273</v>
      </c>
      <c r="CV58" s="1940">
        <f t="shared" si="163"/>
        <v>25</v>
      </c>
      <c r="CW58" s="1580">
        <f t="shared" si="164"/>
        <v>2.7852991226427326</v>
      </c>
      <c r="CX58" s="1799">
        <v>3824</v>
      </c>
      <c r="CY58" s="1794">
        <f>_xlfn.XLOOKUP(E58,MOPFRA!$R$7:$R$56,MOPFRA!$T$7:$T$56,"")</f>
        <v>11774.474</v>
      </c>
      <c r="CZ58" s="1245" t="str">
        <f>_xlfn.XLOOKUP(E58,MOPFRA!$R$7:$R$56,MOPFRA!$P$7:$P$56,"")</f>
        <v>PH</v>
      </c>
      <c r="DA58" s="1802">
        <v>0.9</v>
      </c>
      <c r="DB58" s="1529">
        <f t="shared" si="165"/>
        <v>-0.2857142857142857</v>
      </c>
      <c r="DC58" s="1529">
        <f t="shared" si="166"/>
        <v>0.11940298507462686</v>
      </c>
      <c r="DD58" s="1529">
        <f t="shared" si="167"/>
        <v>0.16621253405994552</v>
      </c>
      <c r="DE58" s="1529">
        <f t="shared" si="168"/>
        <v>0.14020618556701031</v>
      </c>
      <c r="DF58" s="1529">
        <f t="shared" si="169"/>
        <v>0.19793459552495696</v>
      </c>
      <c r="DG58" s="1529">
        <f t="shared" si="170"/>
        <v>0.34106207928197457</v>
      </c>
      <c r="DH58" s="1529">
        <f t="shared" si="171"/>
        <v>0.37080024434941966</v>
      </c>
      <c r="DI58" s="1529">
        <f t="shared" si="172"/>
        <v>0.39707419017763845</v>
      </c>
      <c r="DJ58" s="1529">
        <f t="shared" si="186"/>
        <v>0.3907563025210084</v>
      </c>
      <c r="DK58" s="1529">
        <f t="shared" si="174"/>
        <v>0.3225152129817444</v>
      </c>
      <c r="DL58" s="1529">
        <f t="shared" si="175"/>
        <v>0.45075064079091909</v>
      </c>
      <c r="DM58" s="1529">
        <f t="shared" si="176"/>
        <v>0.42907426962337203</v>
      </c>
      <c r="DN58" s="1529">
        <f t="shared" si="177"/>
        <v>0.48</v>
      </c>
      <c r="DO58" s="1529">
        <f t="shared" si="178"/>
        <v>0.46095238095238095</v>
      </c>
      <c r="DP58" s="1529">
        <f t="shared" si="179"/>
        <v>0.67523364485981308</v>
      </c>
      <c r="DQ58" s="1529">
        <f t="shared" si="180"/>
        <v>0.88698010849909581</v>
      </c>
      <c r="DS58" s="1583" t="s">
        <v>197</v>
      </c>
      <c r="DT58" s="1736"/>
      <c r="DU58" s="1580">
        <f>_xlfn.XLOOKUP(E58,E58:E146,CW58:CW146,"")</f>
        <v>2.7852991226427326</v>
      </c>
      <c r="DV58" s="1943">
        <f t="shared" si="181"/>
        <v>25</v>
      </c>
      <c r="DW58" s="1730">
        <f t="shared" si="182"/>
        <v>2.079098849372385</v>
      </c>
      <c r="DX58" s="1860">
        <f t="shared" si="183"/>
        <v>29.514187050495561</v>
      </c>
      <c r="DY58" s="1683">
        <f>_xlfn.XLOOKUP(E58,MOPFRA!$R$7:$R$56,MOPFRA!$D$7:$D$56,"")</f>
        <v>0.75417801381204264</v>
      </c>
      <c r="DZ58" s="1583" t="s">
        <v>197</v>
      </c>
    </row>
    <row r="59" spans="2:131" ht="68" customHeight="1">
      <c r="B59" s="1119">
        <f>_xlfn.XLOOKUP(E59,MOPFRA!$R$7:$R$56,MOPFRA!$A$7:$A$56,"")</f>
        <v>6.5163029754594088</v>
      </c>
      <c r="C59" s="394">
        <f>_xlfn.XLOOKUP(E59,MOPFRA!$R$7:$R$56,MOPFRA!$T$7:$T$56,"")</f>
        <v>51250</v>
      </c>
      <c r="D59" s="223" t="s">
        <v>124</v>
      </c>
      <c r="E59" s="1949" t="s">
        <v>125</v>
      </c>
      <c r="F59" s="982">
        <f>_xlfn.XLOOKUP(E59,MOPFRA!$R$7:$R$56,MOPFRA!$S$7:$S$56,"")</f>
        <v>9</v>
      </c>
      <c r="G59" s="1203">
        <f>_xlfn.XLOOKUP(E59,MOPFRA!$R$7:$R$56,MOPFRA!$AQ$7:$AQ$56,"")</f>
        <v>41084</v>
      </c>
      <c r="H59" s="1210">
        <v>2219</v>
      </c>
      <c r="I59" s="1713">
        <f t="shared" si="114"/>
        <v>38865</v>
      </c>
      <c r="J59" s="1712">
        <f t="shared" si="115"/>
        <v>5.4011293934378347E-2</v>
      </c>
      <c r="K59" s="1761">
        <v>4</v>
      </c>
      <c r="L59" s="1728">
        <f t="shared" si="116"/>
        <v>7</v>
      </c>
      <c r="M59" s="689">
        <v>18124</v>
      </c>
      <c r="N59" s="689">
        <v>38001</v>
      </c>
      <c r="O59" s="1718">
        <v>10015</v>
      </c>
      <c r="P59" s="1713">
        <f t="shared" si="117"/>
        <v>27986</v>
      </c>
      <c r="Q59" s="1712">
        <f t="shared" si="118"/>
        <v>0.26354569616589035</v>
      </c>
      <c r="R59" s="557">
        <f t="shared" si="184"/>
        <v>65144.571428571428</v>
      </c>
      <c r="S59" s="553">
        <f t="shared" si="119"/>
        <v>1.0967225777973957</v>
      </c>
      <c r="T59" s="553">
        <f t="shared" si="120"/>
        <v>0.44114497127835656</v>
      </c>
      <c r="U59" s="558">
        <f t="shared" si="121"/>
        <v>86141.750386228188</v>
      </c>
      <c r="V59" s="591">
        <f t="shared" si="122"/>
        <v>19877</v>
      </c>
      <c r="W59" s="559">
        <f t="shared" si="123"/>
        <v>60961</v>
      </c>
      <c r="X59" s="560">
        <f t="shared" si="124"/>
        <v>74597.268050256956</v>
      </c>
      <c r="Y59" s="1244">
        <f t="shared" si="125"/>
        <v>0.81572553914557877</v>
      </c>
      <c r="Z59" s="658"/>
      <c r="AA59" s="63">
        <v>5721</v>
      </c>
      <c r="AB59" s="1147">
        <v>20904</v>
      </c>
      <c r="AC59" s="63">
        <v>7831</v>
      </c>
      <c r="AD59" s="63">
        <v>10514</v>
      </c>
      <c r="AE59" s="63">
        <v>12341</v>
      </c>
      <c r="AF59" s="63">
        <v>13443</v>
      </c>
      <c r="AG59" s="63">
        <v>14297</v>
      </c>
      <c r="AH59" s="63">
        <v>15793</v>
      </c>
      <c r="AI59" s="63">
        <v>17713</v>
      </c>
      <c r="AJ59" s="63">
        <v>19595</v>
      </c>
      <c r="AK59" s="1792">
        <v>22044</v>
      </c>
      <c r="AL59" s="63">
        <v>2387</v>
      </c>
      <c r="AM59" s="63">
        <v>4342</v>
      </c>
      <c r="AN59" s="63">
        <v>6490</v>
      </c>
      <c r="AO59" s="1594">
        <f>AK59-AA59+AN59</f>
        <v>22813</v>
      </c>
      <c r="AP59" s="1147">
        <v>22044</v>
      </c>
      <c r="AQ59" s="1494"/>
      <c r="AR59" s="63">
        <v>6490</v>
      </c>
      <c r="AS59" s="63">
        <v>9676</v>
      </c>
      <c r="AT59" s="1427">
        <f t="shared" si="127"/>
        <v>0.50995260663507114</v>
      </c>
      <c r="AU59" s="1351">
        <f t="shared" si="128"/>
        <v>0.2356020942408377</v>
      </c>
      <c r="AV59" s="63">
        <v>12592</v>
      </c>
      <c r="AW59" s="1427">
        <f t="shared" si="129"/>
        <v>8.6843086097651886E-2</v>
      </c>
      <c r="AX59" s="1351">
        <f t="shared" si="130"/>
        <v>0.19764124025109378</v>
      </c>
      <c r="AY59" s="63">
        <v>15046</v>
      </c>
      <c r="AZ59" s="1427">
        <f t="shared" si="131"/>
        <v>0.34318555008210183</v>
      </c>
      <c r="BA59" s="1351">
        <f t="shared" si="132"/>
        <v>0.21918807227939388</v>
      </c>
      <c r="BB59" s="63">
        <v>18124</v>
      </c>
      <c r="BC59" s="1427">
        <f t="shared" si="133"/>
        <v>1.7931034482758621</v>
      </c>
      <c r="BD59" s="1351">
        <f t="shared" si="134"/>
        <v>0.34821096481440156</v>
      </c>
      <c r="BE59" s="63">
        <v>22539</v>
      </c>
      <c r="BF59" s="1427">
        <f t="shared" si="135"/>
        <v>4.1697892271662766</v>
      </c>
      <c r="BG59" s="1351">
        <f t="shared" si="136"/>
        <v>0.57648457718402457</v>
      </c>
      <c r="BH59" s="63">
        <v>26917</v>
      </c>
      <c r="BI59" s="1427">
        <f t="shared" si="137"/>
        <v>1.9264705882352942</v>
      </c>
      <c r="BJ59" s="1351">
        <f t="shared" si="138"/>
        <v>0.70436269233204585</v>
      </c>
      <c r="BK59" s="63">
        <v>31688</v>
      </c>
      <c r="BL59" s="1427">
        <f t="shared" si="139"/>
        <v>1.4848958333333333</v>
      </c>
      <c r="BM59" s="1351">
        <f t="shared" si="140"/>
        <v>0.78896855416925427</v>
      </c>
      <c r="BN59" s="63">
        <v>36441</v>
      </c>
      <c r="BO59" s="1427">
        <f t="shared" si="141"/>
        <v>1.5255047821466525</v>
      </c>
      <c r="BP59" s="1351">
        <f t="shared" si="142"/>
        <v>0.85970910946670065</v>
      </c>
      <c r="BQ59" s="1140">
        <v>41084</v>
      </c>
      <c r="BR59" s="1427">
        <f t="shared" si="143"/>
        <v>0.8958758677011025</v>
      </c>
      <c r="BS59" s="1351">
        <f t="shared" si="144"/>
        <v>0.86372709127200142</v>
      </c>
      <c r="BT59" s="63">
        <v>3476</v>
      </c>
      <c r="BU59" s="1427">
        <f t="shared" si="145"/>
        <v>0.45622119815668205</v>
      </c>
      <c r="BV59" s="1351">
        <f t="shared" si="146"/>
        <v>0.45622119815668205</v>
      </c>
      <c r="BW59" s="63">
        <v>8071</v>
      </c>
      <c r="BX59" s="1427">
        <f t="shared" si="147"/>
        <v>1.3503836317135549</v>
      </c>
      <c r="BY59" s="1351">
        <f t="shared" si="148"/>
        <v>0.85882081989866421</v>
      </c>
      <c r="BZ59" s="63">
        <v>12132</v>
      </c>
      <c r="CA59" s="1427">
        <f t="shared" si="149"/>
        <v>0.89059590316573556</v>
      </c>
      <c r="CB59" s="1351">
        <f t="shared" si="150"/>
        <v>0.86933744221879816</v>
      </c>
      <c r="CC59" s="1901">
        <v>12132</v>
      </c>
      <c r="CD59" s="1594">
        <f>BQ59+BZ59-AR59</f>
        <v>46726</v>
      </c>
      <c r="CE59" s="1939">
        <f t="shared" si="152"/>
        <v>1.0482181212466577</v>
      </c>
      <c r="CF59" s="1940">
        <f t="shared" si="153"/>
        <v>3</v>
      </c>
      <c r="CG59" s="1895"/>
      <c r="CH59" s="1815">
        <v>14637</v>
      </c>
      <c r="CI59" s="2039">
        <f t="shared" si="154"/>
        <v>-0.21374764595103579</v>
      </c>
      <c r="CJ59" s="2041">
        <f t="shared" si="155"/>
        <v>0.51271186440677963</v>
      </c>
      <c r="CK59" s="1815">
        <v>26379</v>
      </c>
      <c r="CL59" s="2039">
        <f t="shared" si="156"/>
        <v>3.0267489711934155</v>
      </c>
      <c r="CM59" s="2041">
        <f t="shared" si="157"/>
        <v>1.0949015247776366</v>
      </c>
      <c r="CN59" s="1815">
        <v>33022</v>
      </c>
      <c r="CO59" s="2039">
        <f t="shared" si="158"/>
        <v>1.7070089649551752</v>
      </c>
      <c r="CP59" s="2041">
        <f t="shared" si="159"/>
        <v>1.1947361424963445</v>
      </c>
      <c r="CQ59" s="1815">
        <v>38001</v>
      </c>
      <c r="CR59" s="2039">
        <f t="shared" si="160"/>
        <v>0.61760883690708257</v>
      </c>
      <c r="CS59" s="2041">
        <f t="shared" si="161"/>
        <v>1.0967225777973957</v>
      </c>
      <c r="CU59" s="1948">
        <f t="shared" si="162"/>
        <v>-9.8013564698948841E-2</v>
      </c>
      <c r="CV59" s="1940">
        <f t="shared" si="163"/>
        <v>18</v>
      </c>
      <c r="CW59" s="1580">
        <f t="shared" si="164"/>
        <v>-9.1469711678294471E-2</v>
      </c>
      <c r="CX59" s="1799">
        <v>27565.5</v>
      </c>
      <c r="CY59" s="1794">
        <f>_xlfn.XLOOKUP(E59,MOPFRA!$R$7:$R$56,MOPFRA!$T$7:$T$56,"")</f>
        <v>51250</v>
      </c>
      <c r="CZ59" s="1245" t="str">
        <f>_xlfn.XLOOKUP(E59,MOPFRA!$R$7:$R$56,MOPFRA!$P$7:$P$56,"")</f>
        <v>M</v>
      </c>
      <c r="DA59" s="1802">
        <v>0.9</v>
      </c>
      <c r="DB59" s="1529">
        <f t="shared" si="165"/>
        <v>0.2356020942408377</v>
      </c>
      <c r="DC59" s="1529">
        <f t="shared" si="166"/>
        <v>0.19764124025109378</v>
      </c>
      <c r="DD59" s="1529">
        <f t="shared" si="167"/>
        <v>0.21918807227939388</v>
      </c>
      <c r="DE59" s="1529">
        <f t="shared" si="168"/>
        <v>0.34821096481440156</v>
      </c>
      <c r="DF59" s="1529">
        <f t="shared" si="169"/>
        <v>0.57648457718402457</v>
      </c>
      <c r="DG59" s="1529">
        <f t="shared" si="170"/>
        <v>0.70436269233204585</v>
      </c>
      <c r="DH59" s="1529">
        <f t="shared" si="171"/>
        <v>0.78896855416925427</v>
      </c>
      <c r="DI59" s="1529">
        <f t="shared" si="172"/>
        <v>0.85970910946670065</v>
      </c>
      <c r="DJ59" s="1529">
        <f t="shared" si="186"/>
        <v>0.86372709127200142</v>
      </c>
      <c r="DK59" s="1529">
        <f t="shared" si="174"/>
        <v>0.45622119815668205</v>
      </c>
      <c r="DL59" s="1529">
        <f t="shared" si="175"/>
        <v>0.85882081989866421</v>
      </c>
      <c r="DM59" s="1529">
        <f t="shared" si="176"/>
        <v>0.86933744221879816</v>
      </c>
      <c r="DN59" s="1529">
        <f t="shared" si="177"/>
        <v>0.51271186440677963</v>
      </c>
      <c r="DO59" s="1529">
        <f t="shared" si="178"/>
        <v>1.0949015247776366</v>
      </c>
      <c r="DP59" s="1529">
        <f t="shared" si="179"/>
        <v>1.1947361424963445</v>
      </c>
      <c r="DQ59" s="1529">
        <f t="shared" si="180"/>
        <v>1.0967225777973957</v>
      </c>
      <c r="DS59" s="1583" t="s">
        <v>605</v>
      </c>
      <c r="DT59" s="1736"/>
      <c r="DU59" s="1580">
        <f>_xlfn.XLOOKUP(E59,E59:E146,CW59:CW146,"")</f>
        <v>-9.1469711678294471E-2</v>
      </c>
      <c r="DV59" s="1943">
        <f t="shared" si="181"/>
        <v>18</v>
      </c>
      <c r="DW59" s="1730">
        <f t="shared" si="182"/>
        <v>0.85920806805608463</v>
      </c>
      <c r="DX59" s="1860">
        <f t="shared" si="183"/>
        <v>20.953440223151201</v>
      </c>
      <c r="DY59" s="1683">
        <f>_xlfn.XLOOKUP(E59,MOPFRA!$R$7:$R$56,MOPFRA!$D$7:$D$56,"")</f>
        <v>1.7057836514589675</v>
      </c>
      <c r="DZ59" s="1583" t="s">
        <v>197</v>
      </c>
    </row>
    <row r="60" spans="2:131" ht="68" customHeight="1">
      <c r="B60" s="1119">
        <f>_xlfn.XLOOKUP(E60,MOPFRA!$R$7:$R$56,MOPFRA!$A$7:$A$56,"")</f>
        <v>8.9948642701746628</v>
      </c>
      <c r="C60" s="394">
        <f>_xlfn.XLOOKUP(E60,MOPFRA!$R$7:$R$56,MOPFRA!$T$7:$T$56,"")</f>
        <v>2123.1</v>
      </c>
      <c r="D60" s="223" t="s">
        <v>92</v>
      </c>
      <c r="E60" s="1949" t="s">
        <v>93</v>
      </c>
      <c r="F60" s="982">
        <f>_xlfn.XLOOKUP(E60,MOPFRA!$R$7:$R$56,MOPFRA!$S$7:$S$56,"")</f>
        <v>9</v>
      </c>
      <c r="G60" s="1203">
        <f>_xlfn.XLOOKUP(E60,MOPFRA!$R$7:$R$56,MOPFRA!$AQ$7:$AQ$56,"")</f>
        <v>1600</v>
      </c>
      <c r="H60" s="1210">
        <v>132</v>
      </c>
      <c r="I60" s="1713">
        <f t="shared" si="114"/>
        <v>1468</v>
      </c>
      <c r="J60" s="1712">
        <f t="shared" si="115"/>
        <v>8.2500000000000004E-2</v>
      </c>
      <c r="K60" s="1761">
        <v>4</v>
      </c>
      <c r="L60" s="1728">
        <f t="shared" si="116"/>
        <v>7</v>
      </c>
      <c r="M60" s="689">
        <v>834</v>
      </c>
      <c r="N60" s="689">
        <v>1757</v>
      </c>
      <c r="O60" s="1718">
        <v>220</v>
      </c>
      <c r="P60" s="1713">
        <f t="shared" si="117"/>
        <v>1537</v>
      </c>
      <c r="Q60" s="1712">
        <f t="shared" si="118"/>
        <v>0.12521343198634036</v>
      </c>
      <c r="R60" s="557">
        <f t="shared" si="184"/>
        <v>3012</v>
      </c>
      <c r="S60" s="553">
        <f t="shared" si="119"/>
        <v>1.1067146282973621</v>
      </c>
      <c r="T60" s="553">
        <f t="shared" si="120"/>
        <v>0.52124999999999999</v>
      </c>
      <c r="U60" s="558">
        <f t="shared" si="121"/>
        <v>3370.743405275779</v>
      </c>
      <c r="V60" s="591">
        <f t="shared" si="122"/>
        <v>923</v>
      </c>
      <c r="W60" s="559">
        <f t="shared" si="123"/>
        <v>2523</v>
      </c>
      <c r="X60" s="560">
        <f t="shared" si="124"/>
        <v>3069.1217026378895</v>
      </c>
      <c r="Y60" s="1244">
        <f t="shared" si="125"/>
        <v>0.91820106414868097</v>
      </c>
      <c r="Z60" s="658"/>
      <c r="AA60" s="63">
        <v>215</v>
      </c>
      <c r="AB60" s="1147">
        <v>755</v>
      </c>
      <c r="AC60" s="63">
        <v>268</v>
      </c>
      <c r="AD60" s="63">
        <v>363</v>
      </c>
      <c r="AE60" s="63">
        <v>429</v>
      </c>
      <c r="AF60" s="63">
        <v>498</v>
      </c>
      <c r="AG60" s="63">
        <v>576</v>
      </c>
      <c r="AH60" s="63">
        <v>655</v>
      </c>
      <c r="AI60" s="63">
        <v>799</v>
      </c>
      <c r="AJ60" s="63">
        <v>891</v>
      </c>
      <c r="AK60" s="1792">
        <v>977</v>
      </c>
      <c r="AL60" s="63">
        <v>51</v>
      </c>
      <c r="AM60" s="63">
        <v>180</v>
      </c>
      <c r="AN60" s="63">
        <v>349</v>
      </c>
      <c r="AO60" s="1594">
        <f>AK60-AA60+AN60</f>
        <v>1111</v>
      </c>
      <c r="AP60" s="1147">
        <v>977</v>
      </c>
      <c r="AQ60" s="1494"/>
      <c r="AR60" s="63">
        <v>349</v>
      </c>
      <c r="AS60" s="63">
        <v>412</v>
      </c>
      <c r="AT60" s="1427">
        <f t="shared" si="127"/>
        <v>0.18867924528301888</v>
      </c>
      <c r="AU60" s="1351">
        <f t="shared" si="128"/>
        <v>0.53731343283582089</v>
      </c>
      <c r="AV60" s="63">
        <v>575</v>
      </c>
      <c r="AW60" s="1427">
        <f t="shared" si="129"/>
        <v>0.71578947368421053</v>
      </c>
      <c r="AX60" s="1351">
        <f t="shared" si="130"/>
        <v>0.58402203856749313</v>
      </c>
      <c r="AY60" s="63">
        <v>711</v>
      </c>
      <c r="AZ60" s="1427">
        <f t="shared" si="131"/>
        <v>1.0606060606060606</v>
      </c>
      <c r="BA60" s="1351">
        <f t="shared" si="132"/>
        <v>0.65734265734265729</v>
      </c>
      <c r="BB60" s="63">
        <v>834</v>
      </c>
      <c r="BC60" s="1427">
        <f t="shared" si="133"/>
        <v>0.78260869565217395</v>
      </c>
      <c r="BD60" s="1351">
        <f t="shared" si="134"/>
        <v>0.67469879518072284</v>
      </c>
      <c r="BE60" s="63">
        <v>975</v>
      </c>
      <c r="BF60" s="1427">
        <f t="shared" si="135"/>
        <v>0.80769230769230771</v>
      </c>
      <c r="BG60" s="1351">
        <f t="shared" si="136"/>
        <v>0.69270833333333337</v>
      </c>
      <c r="BH60" s="63">
        <v>1090</v>
      </c>
      <c r="BI60" s="1427">
        <f t="shared" si="137"/>
        <v>0.45569620253164556</v>
      </c>
      <c r="BJ60" s="1351">
        <f t="shared" si="138"/>
        <v>0.66412213740458015</v>
      </c>
      <c r="BK60" s="63">
        <v>1252</v>
      </c>
      <c r="BL60" s="1427">
        <f t="shared" si="139"/>
        <v>0.125</v>
      </c>
      <c r="BM60" s="1351">
        <f t="shared" si="140"/>
        <v>0.5669586983729662</v>
      </c>
      <c r="BN60" s="63">
        <v>1569</v>
      </c>
      <c r="BO60" s="1427">
        <f t="shared" si="141"/>
        <v>2.4456521739130435</v>
      </c>
      <c r="BP60" s="1351">
        <f t="shared" si="142"/>
        <v>0.76094276094276092</v>
      </c>
      <c r="BQ60" s="1140">
        <v>1600</v>
      </c>
      <c r="BR60" s="1427">
        <f t="shared" si="143"/>
        <v>-0.63953488372093026</v>
      </c>
      <c r="BS60" s="1351">
        <f t="shared" si="144"/>
        <v>0.63766632548618218</v>
      </c>
      <c r="BT60" s="63">
        <v>108</v>
      </c>
      <c r="BU60" s="1427">
        <f t="shared" si="145"/>
        <v>1.1176470588235294</v>
      </c>
      <c r="BV60" s="1351">
        <f t="shared" si="146"/>
        <v>1.1176470588235294</v>
      </c>
      <c r="BW60" s="63">
        <v>371</v>
      </c>
      <c r="BX60" s="1427">
        <f t="shared" si="147"/>
        <v>1.0387596899224807</v>
      </c>
      <c r="BY60" s="1351">
        <f t="shared" si="148"/>
        <v>1.0611111111111111</v>
      </c>
      <c r="BZ60" s="63">
        <v>572</v>
      </c>
      <c r="CA60" s="1427">
        <f t="shared" si="149"/>
        <v>0.1893491124260355</v>
      </c>
      <c r="CB60" s="1351">
        <f t="shared" si="150"/>
        <v>0.63896848137535822</v>
      </c>
      <c r="CC60" s="1901">
        <v>572</v>
      </c>
      <c r="CD60" s="1594">
        <f>BQ60+BZ60-AR60</f>
        <v>1823</v>
      </c>
      <c r="CE60" s="1939">
        <f t="shared" si="152"/>
        <v>0.6408640864086409</v>
      </c>
      <c r="CF60" s="1940">
        <f t="shared" si="153"/>
        <v>13</v>
      </c>
      <c r="CG60" s="1895"/>
      <c r="CH60" s="1815">
        <v>731</v>
      </c>
      <c r="CI60" s="2039">
        <f t="shared" si="154"/>
        <v>1.5238095238095237</v>
      </c>
      <c r="CJ60" s="2041">
        <f t="shared" si="155"/>
        <v>0.77427184466019416</v>
      </c>
      <c r="CK60" s="1815">
        <v>1109</v>
      </c>
      <c r="CL60" s="2039">
        <f t="shared" si="156"/>
        <v>1.3190184049079754</v>
      </c>
      <c r="CM60" s="2041">
        <f t="shared" si="157"/>
        <v>0.92869565217391303</v>
      </c>
      <c r="CN60" s="1815">
        <v>1490</v>
      </c>
      <c r="CO60" s="2039">
        <f t="shared" si="158"/>
        <v>1.8014705882352942</v>
      </c>
      <c r="CP60" s="2041">
        <f t="shared" si="159"/>
        <v>1.0956399437412097</v>
      </c>
      <c r="CQ60" s="1815">
        <v>1757</v>
      </c>
      <c r="CR60" s="2039">
        <f t="shared" si="160"/>
        <v>1.1707317073170731</v>
      </c>
      <c r="CS60" s="2041">
        <f t="shared" si="161"/>
        <v>1.1067146282973621</v>
      </c>
      <c r="CU60" s="1948">
        <f t="shared" si="162"/>
        <v>1.1074684556152459E-2</v>
      </c>
      <c r="CV60" s="1940">
        <f t="shared" si="163"/>
        <v>17</v>
      </c>
      <c r="CW60" s="1580">
        <f t="shared" si="164"/>
        <v>1.8896441777561279</v>
      </c>
      <c r="CX60" s="1799">
        <v>740.88</v>
      </c>
      <c r="CY60" s="1794">
        <f>_xlfn.XLOOKUP(E60,MOPFRA!$R$7:$R$56,MOPFRA!$T$7:$T$56,"")</f>
        <v>2123.1</v>
      </c>
      <c r="CZ60" s="1245" t="str">
        <f>_xlfn.XLOOKUP(E60,MOPFRA!$R$7:$R$56,MOPFRA!$P$7:$P$56,"")</f>
        <v>DH</v>
      </c>
      <c r="DA60" s="1802">
        <v>0.9</v>
      </c>
      <c r="DB60" s="1529">
        <f t="shared" si="165"/>
        <v>0.53731343283582089</v>
      </c>
      <c r="DC60" s="1529">
        <f t="shared" si="166"/>
        <v>0.58402203856749313</v>
      </c>
      <c r="DD60" s="1529">
        <f t="shared" si="167"/>
        <v>0.65734265734265729</v>
      </c>
      <c r="DE60" s="1529">
        <f t="shared" si="168"/>
        <v>0.67469879518072284</v>
      </c>
      <c r="DF60" s="1529">
        <f t="shared" si="169"/>
        <v>0.69270833333333337</v>
      </c>
      <c r="DG60" s="1529">
        <f t="shared" si="170"/>
        <v>0.66412213740458015</v>
      </c>
      <c r="DH60" s="1529">
        <f t="shared" si="171"/>
        <v>0.5669586983729662</v>
      </c>
      <c r="DI60" s="1529">
        <f t="shared" si="172"/>
        <v>0.76094276094276092</v>
      </c>
      <c r="DJ60" s="1529">
        <f t="shared" si="186"/>
        <v>0.63766632548618218</v>
      </c>
      <c r="DK60" s="1529">
        <f t="shared" si="174"/>
        <v>1.1176470588235294</v>
      </c>
      <c r="DL60" s="1529">
        <f t="shared" si="175"/>
        <v>1.0611111111111111</v>
      </c>
      <c r="DM60" s="1529">
        <f t="shared" si="176"/>
        <v>0.63896848137535822</v>
      </c>
      <c r="DN60" s="1529">
        <f t="shared" si="177"/>
        <v>0.77427184466019416</v>
      </c>
      <c r="DO60" s="1529">
        <f t="shared" si="178"/>
        <v>0.92869565217391303</v>
      </c>
      <c r="DP60" s="1529">
        <f t="shared" si="179"/>
        <v>1.0956399437412097</v>
      </c>
      <c r="DQ60" s="1529">
        <f t="shared" si="180"/>
        <v>1.1067146282973621</v>
      </c>
      <c r="DS60" s="1583" t="s">
        <v>605</v>
      </c>
      <c r="DT60" s="1736"/>
      <c r="DU60" s="1580">
        <f>_xlfn.XLOOKUP(E60,E60:E147,CW60:CW147,"")</f>
        <v>1.8896441777561279</v>
      </c>
      <c r="DV60" s="1943">
        <f t="shared" si="181"/>
        <v>17</v>
      </c>
      <c r="DW60" s="1730">
        <f t="shared" si="182"/>
        <v>1.865646258503401</v>
      </c>
      <c r="DX60" s="1860">
        <f t="shared" si="183"/>
        <v>4.2713431986340353</v>
      </c>
      <c r="DY60" s="1683">
        <f>_xlfn.XLOOKUP(E60,MOPFRA!$R$7:$R$56,MOPFRA!$D$7:$D$56,"")</f>
        <v>2.1772699489883491</v>
      </c>
      <c r="DZ60" s="1583" t="s">
        <v>605</v>
      </c>
    </row>
    <row r="61" spans="2:131" ht="68" customHeight="1">
      <c r="B61" s="1119">
        <f>_xlfn.XLOOKUP(E61,MOPFRA!$R$7:$R$56,MOPFRA!$A$7:$A$56,"")</f>
        <v>5.6361761382487128</v>
      </c>
      <c r="C61" s="394">
        <f>_xlfn.XLOOKUP(E61,MOPFRA!$R$7:$R$56,MOPFRA!$T$7:$T$56,"")</f>
        <v>8930</v>
      </c>
      <c r="D61" s="223" t="s">
        <v>100</v>
      </c>
      <c r="E61" s="1949" t="s">
        <v>101</v>
      </c>
      <c r="F61" s="982">
        <f>_xlfn.XLOOKUP(E61,MOPFRA!$R$7:$R$56,MOPFRA!$S$7:$S$56,"")</f>
        <v>12</v>
      </c>
      <c r="G61" s="1203">
        <f>_xlfn.XLOOKUP(E61,MOPFRA!$R$7:$R$56,MOPFRA!$AQ$7:$AQ$56,"")</f>
        <v>7000</v>
      </c>
      <c r="H61" s="1210">
        <v>0</v>
      </c>
      <c r="I61" s="1713">
        <f t="shared" si="114"/>
        <v>7000</v>
      </c>
      <c r="J61" s="1712">
        <f t="shared" si="115"/>
        <v>0</v>
      </c>
      <c r="K61" s="1761">
        <v>4</v>
      </c>
      <c r="L61" s="1728">
        <f t="shared" si="116"/>
        <v>4</v>
      </c>
      <c r="M61" s="689">
        <v>1732</v>
      </c>
      <c r="N61" s="689">
        <v>4712</v>
      </c>
      <c r="O61" s="1718">
        <v>19</v>
      </c>
      <c r="P61" s="1713">
        <f t="shared" si="117"/>
        <v>4693</v>
      </c>
      <c r="Q61" s="1712">
        <f t="shared" si="118"/>
        <v>4.0322580645161289E-3</v>
      </c>
      <c r="R61" s="557">
        <f t="shared" si="184"/>
        <v>14136</v>
      </c>
      <c r="S61" s="553">
        <f t="shared" si="119"/>
        <v>1.7205542725173211</v>
      </c>
      <c r="T61" s="553">
        <f t="shared" si="120"/>
        <v>0.24742857142857144</v>
      </c>
      <c r="U61" s="558">
        <f t="shared" si="121"/>
        <v>19043.879907621249</v>
      </c>
      <c r="V61" s="591">
        <f t="shared" si="122"/>
        <v>2980</v>
      </c>
      <c r="W61" s="559">
        <f t="shared" si="123"/>
        <v>9980</v>
      </c>
      <c r="X61" s="560">
        <f t="shared" si="124"/>
        <v>15550.939953810623</v>
      </c>
      <c r="Y61" s="1244">
        <f t="shared" si="125"/>
        <v>1.2215628505443747</v>
      </c>
      <c r="Z61" s="658"/>
      <c r="AA61" s="63">
        <v>3293</v>
      </c>
      <c r="AB61" s="1147">
        <v>3293</v>
      </c>
      <c r="AC61" s="63">
        <v>181</v>
      </c>
      <c r="AD61" s="63">
        <v>533</v>
      </c>
      <c r="AE61" s="63">
        <v>913</v>
      </c>
      <c r="AF61" s="63">
        <v>1140</v>
      </c>
      <c r="AG61" s="63">
        <v>1486</v>
      </c>
      <c r="AH61" s="63">
        <v>1874</v>
      </c>
      <c r="AI61" s="63">
        <v>2244</v>
      </c>
      <c r="AJ61" s="63">
        <v>2626</v>
      </c>
      <c r="AK61" s="1791">
        <v>3008</v>
      </c>
      <c r="AL61" s="63">
        <v>3354</v>
      </c>
      <c r="AM61" s="63">
        <v>3864</v>
      </c>
      <c r="AN61" s="1140">
        <v>4306</v>
      </c>
      <c r="AO61" s="1594">
        <f>AN61+AB61-AA61</f>
        <v>4306</v>
      </c>
      <c r="AP61" s="1147">
        <v>4306</v>
      </c>
      <c r="AQ61" s="1494"/>
      <c r="AR61" s="63">
        <v>0</v>
      </c>
      <c r="AS61" s="63">
        <v>262</v>
      </c>
      <c r="AT61" s="1427">
        <f t="shared" si="127"/>
        <v>0.44751381215469616</v>
      </c>
      <c r="AU61" s="1351">
        <f t="shared" si="128"/>
        <v>0.44751381215469616</v>
      </c>
      <c r="AV61" s="63">
        <v>780</v>
      </c>
      <c r="AW61" s="1427">
        <f t="shared" si="129"/>
        <v>0.47159090909090912</v>
      </c>
      <c r="AX61" s="1351">
        <f t="shared" si="130"/>
        <v>0.46341463414634149</v>
      </c>
      <c r="AY61" s="63">
        <v>1265</v>
      </c>
      <c r="AZ61" s="1427">
        <f t="shared" si="131"/>
        <v>0.27631578947368424</v>
      </c>
      <c r="BA61" s="1351">
        <f t="shared" si="132"/>
        <v>0.38554216867469882</v>
      </c>
      <c r="BB61" s="63">
        <v>1732</v>
      </c>
      <c r="BC61" s="1427">
        <f t="shared" si="133"/>
        <v>1.0572687224669604</v>
      </c>
      <c r="BD61" s="1351">
        <f t="shared" si="134"/>
        <v>0.51929824561403504</v>
      </c>
      <c r="BE61" s="63">
        <v>2192</v>
      </c>
      <c r="BF61" s="1427">
        <f t="shared" si="135"/>
        <v>0.32947976878612717</v>
      </c>
      <c r="BG61" s="1351">
        <f t="shared" si="136"/>
        <v>0.47510094212651416</v>
      </c>
      <c r="BH61" s="63">
        <v>2729</v>
      </c>
      <c r="BI61" s="1427">
        <f t="shared" si="137"/>
        <v>0.38402061855670105</v>
      </c>
      <c r="BJ61" s="1351">
        <f t="shared" si="138"/>
        <v>0.45624332977588045</v>
      </c>
      <c r="BK61" s="63">
        <v>3321</v>
      </c>
      <c r="BL61" s="1427">
        <f t="shared" si="139"/>
        <v>0.6</v>
      </c>
      <c r="BM61" s="1351">
        <f t="shared" si="140"/>
        <v>0.4799465240641711</v>
      </c>
      <c r="BN61" s="63">
        <v>3855</v>
      </c>
      <c r="BO61" s="1427">
        <f t="shared" si="141"/>
        <v>0.39790575916230364</v>
      </c>
      <c r="BP61" s="1351">
        <f t="shared" si="142"/>
        <v>0.46801218583396803</v>
      </c>
      <c r="BQ61" s="63">
        <v>4215</v>
      </c>
      <c r="BR61" s="1427">
        <f t="shared" si="143"/>
        <v>-5.7591623036649213E-2</v>
      </c>
      <c r="BS61" s="1351">
        <f t="shared" si="144"/>
        <v>0.40126329787234044</v>
      </c>
      <c r="BT61" s="63">
        <v>4824</v>
      </c>
      <c r="BU61" s="1427">
        <f t="shared" si="145"/>
        <v>0.76011560693641622</v>
      </c>
      <c r="BV61" s="1351">
        <f t="shared" si="146"/>
        <v>0.43828264758497315</v>
      </c>
      <c r="BW61" s="63">
        <v>5944</v>
      </c>
      <c r="BX61" s="1427">
        <f t="shared" si="147"/>
        <v>1.196078431372549</v>
      </c>
      <c r="BY61" s="1351">
        <f t="shared" si="148"/>
        <v>0.5383022774327122</v>
      </c>
      <c r="BZ61" s="63">
        <v>7000</v>
      </c>
      <c r="CA61" s="1427">
        <f t="shared" si="149"/>
        <v>1.3891402714932126</v>
      </c>
      <c r="CB61" s="1351">
        <f t="shared" si="150"/>
        <v>0.6256386437529029</v>
      </c>
      <c r="CC61" s="1901">
        <v>0</v>
      </c>
      <c r="CD61" s="1594">
        <f>BZ61</f>
        <v>7000</v>
      </c>
      <c r="CE61" s="1939">
        <f t="shared" si="152"/>
        <v>0.6256386437529029</v>
      </c>
      <c r="CF61" s="1940">
        <f t="shared" si="153"/>
        <v>16</v>
      </c>
      <c r="CG61" s="1895"/>
      <c r="CH61" s="1815">
        <v>693</v>
      </c>
      <c r="CI61" s="2039">
        <f t="shared" si="154"/>
        <v>1.6450381679389312</v>
      </c>
      <c r="CJ61" s="2041">
        <f t="shared" si="155"/>
        <v>1.6450381679389312</v>
      </c>
      <c r="CK61" s="1815">
        <v>2069</v>
      </c>
      <c r="CL61" s="2039">
        <f t="shared" si="156"/>
        <v>1.6563706563706564</v>
      </c>
      <c r="CM61" s="2041">
        <f t="shared" si="157"/>
        <v>1.6525641025641025</v>
      </c>
      <c r="CN61" s="1815">
        <v>3676</v>
      </c>
      <c r="CO61" s="2039">
        <f t="shared" si="158"/>
        <v>2.3134020618556703</v>
      </c>
      <c r="CP61" s="2041">
        <f t="shared" si="159"/>
        <v>1.9059288537549408</v>
      </c>
      <c r="CQ61" s="1815">
        <v>4712</v>
      </c>
      <c r="CR61" s="2039">
        <f t="shared" si="160"/>
        <v>1.2184154175588866</v>
      </c>
      <c r="CS61" s="2041">
        <f t="shared" si="161"/>
        <v>1.7205542725173211</v>
      </c>
      <c r="CU61" s="1948">
        <f t="shared" si="162"/>
        <v>-0.18537458123761974</v>
      </c>
      <c r="CV61" s="1940">
        <f t="shared" si="163"/>
        <v>9</v>
      </c>
      <c r="CW61" s="1580">
        <f t="shared" si="164"/>
        <v>3.6102801666647881</v>
      </c>
      <c r="CX61" s="1799">
        <v>2825.6</v>
      </c>
      <c r="CY61" s="1794">
        <f>_xlfn.XLOOKUP(E61,MOPFRA!$R$7:$R$56,MOPFRA!$T$7:$T$56,"")</f>
        <v>8930</v>
      </c>
      <c r="CZ61" s="1245" t="str">
        <f>_xlfn.XLOOKUP(E61,MOPFRA!$R$7:$R$56,MOPFRA!$P$7:$P$56,"")</f>
        <v>F</v>
      </c>
      <c r="DA61" s="1802">
        <v>0.9</v>
      </c>
      <c r="DB61" s="1529">
        <f t="shared" si="165"/>
        <v>0.44751381215469616</v>
      </c>
      <c r="DC61" s="1529">
        <f t="shared" si="166"/>
        <v>0.46341463414634149</v>
      </c>
      <c r="DD61" s="1529">
        <f t="shared" si="167"/>
        <v>0.38554216867469882</v>
      </c>
      <c r="DE61" s="1529">
        <f t="shared" si="168"/>
        <v>0.51929824561403504</v>
      </c>
      <c r="DF61" s="1529">
        <f t="shared" si="169"/>
        <v>0.47510094212651416</v>
      </c>
      <c r="DG61" s="1529">
        <f t="shared" si="170"/>
        <v>0.45624332977588045</v>
      </c>
      <c r="DH61" s="1529">
        <f t="shared" si="171"/>
        <v>0.4799465240641711</v>
      </c>
      <c r="DI61" s="1529">
        <f t="shared" si="172"/>
        <v>0.46801218583396803</v>
      </c>
      <c r="DJ61" s="1529">
        <f t="shared" si="186"/>
        <v>0.40126329787234044</v>
      </c>
      <c r="DK61" s="1529">
        <f t="shared" si="174"/>
        <v>0.43828264758497315</v>
      </c>
      <c r="DL61" s="1529">
        <f t="shared" si="175"/>
        <v>0.5383022774327122</v>
      </c>
      <c r="DM61" s="1529">
        <f t="shared" si="176"/>
        <v>0.6256386437529029</v>
      </c>
      <c r="DN61" s="1529">
        <f t="shared" si="177"/>
        <v>1.6450381679389312</v>
      </c>
      <c r="DO61" s="1529">
        <f t="shared" si="178"/>
        <v>1.6525641025641025</v>
      </c>
      <c r="DP61" s="1529">
        <f t="shared" si="179"/>
        <v>1.9059288537549408</v>
      </c>
      <c r="DQ61" s="1529">
        <f t="shared" si="180"/>
        <v>1.7205542725173211</v>
      </c>
      <c r="DS61" s="1583" t="s">
        <v>605</v>
      </c>
      <c r="DT61" s="1736"/>
      <c r="DU61" s="1580">
        <f>_xlfn.XLOOKUP(E61,E61:E149,CW61:CW149,"")</f>
        <v>3.6102801666647881</v>
      </c>
      <c r="DV61" s="1943">
        <f t="shared" si="181"/>
        <v>9</v>
      </c>
      <c r="DW61" s="1730">
        <f t="shared" si="182"/>
        <v>2.1603907134767835</v>
      </c>
      <c r="DX61" s="1860">
        <f t="shared" si="183"/>
        <v>0.40322580645161288</v>
      </c>
      <c r="DY61" s="1683">
        <f>_xlfn.XLOOKUP(E61,MOPFRA!$R$7:$R$56,MOPFRA!$D$7:$D$56,"")</f>
        <v>2.5527100395123794</v>
      </c>
      <c r="DZ61" s="1583" t="s">
        <v>197</v>
      </c>
    </row>
    <row r="62" spans="2:131" ht="68" customHeight="1">
      <c r="B62" s="1119">
        <f>_xlfn.XLOOKUP(E62,MOPFRA!$R$7:$R$56,MOPFRA!$A$7:$A$56,"")</f>
        <v>6.6054331585631454</v>
      </c>
      <c r="C62" s="394">
        <f>_xlfn.XLOOKUP(E62,MOPFRA!$R$7:$R$56,MOPFRA!$T$7:$T$56,"")</f>
        <v>58140</v>
      </c>
      <c r="D62" s="223" t="s">
        <v>179</v>
      </c>
      <c r="E62" s="1949" t="s">
        <v>180</v>
      </c>
      <c r="F62" s="982">
        <f>_xlfn.XLOOKUP(E62,MOPFRA!$R$7:$R$56,MOPFRA!$S$7:$S$56,"")</f>
        <v>12</v>
      </c>
      <c r="G62" s="1203">
        <f>_xlfn.XLOOKUP(E62,MOPFRA!$R$7:$R$56,MOPFRA!$AQ$7:$AQ$56,"")</f>
        <v>44617</v>
      </c>
      <c r="H62" s="1210">
        <v>7071</v>
      </c>
      <c r="I62" s="1713">
        <f t="shared" si="114"/>
        <v>37546</v>
      </c>
      <c r="J62" s="1712">
        <f t="shared" si="115"/>
        <v>0.15848219288611964</v>
      </c>
      <c r="K62" s="1761">
        <v>4</v>
      </c>
      <c r="L62" s="1728">
        <f t="shared" si="116"/>
        <v>4</v>
      </c>
      <c r="M62" s="689">
        <v>11897</v>
      </c>
      <c r="N62" s="689">
        <v>24738</v>
      </c>
      <c r="O62" s="1718">
        <v>4281</v>
      </c>
      <c r="P62" s="1713">
        <f t="shared" si="117"/>
        <v>20457</v>
      </c>
      <c r="Q62" s="1712">
        <f t="shared" si="118"/>
        <v>0.17305360174630124</v>
      </c>
      <c r="R62" s="557">
        <f t="shared" si="184"/>
        <v>74214</v>
      </c>
      <c r="S62" s="553">
        <f t="shared" si="119"/>
        <v>1.0793477347230394</v>
      </c>
      <c r="T62" s="553">
        <f t="shared" si="120"/>
        <v>0.26664724208261426</v>
      </c>
      <c r="U62" s="558">
        <f t="shared" si="121"/>
        <v>92774.25788013784</v>
      </c>
      <c r="V62" s="591">
        <f t="shared" si="122"/>
        <v>12841</v>
      </c>
      <c r="W62" s="559">
        <f t="shared" si="123"/>
        <v>57458</v>
      </c>
      <c r="X62" s="560">
        <f t="shared" si="124"/>
        <v>79305.128940068913</v>
      </c>
      <c r="Y62" s="1244">
        <f t="shared" si="125"/>
        <v>0.77746439563549574</v>
      </c>
      <c r="Z62" s="658"/>
      <c r="AA62" s="63">
        <v>21079</v>
      </c>
      <c r="AB62" s="1147">
        <v>21079</v>
      </c>
      <c r="AC62" s="63">
        <v>1617</v>
      </c>
      <c r="AD62" s="63">
        <v>4153</v>
      </c>
      <c r="AE62" s="63">
        <v>6414</v>
      </c>
      <c r="AF62" s="63">
        <v>8736</v>
      </c>
      <c r="AG62" s="63">
        <v>11357</v>
      </c>
      <c r="AH62" s="63">
        <v>13674</v>
      </c>
      <c r="AI62" s="63">
        <v>16203</v>
      </c>
      <c r="AJ62" s="63">
        <v>18768</v>
      </c>
      <c r="AK62" s="1791">
        <v>21055</v>
      </c>
      <c r="AL62" s="63">
        <v>23738</v>
      </c>
      <c r="AM62" s="63">
        <v>26510</v>
      </c>
      <c r="AN62" s="1140">
        <v>29092</v>
      </c>
      <c r="AO62" s="1594">
        <v>29092</v>
      </c>
      <c r="AP62" s="1147">
        <v>29092</v>
      </c>
      <c r="AQ62" s="1494"/>
      <c r="AR62" s="63">
        <v>0</v>
      </c>
      <c r="AS62" s="63">
        <v>1681</v>
      </c>
      <c r="AT62" s="1427">
        <f t="shared" si="127"/>
        <v>3.9579468150896725E-2</v>
      </c>
      <c r="AU62" s="1351">
        <f t="shared" si="128"/>
        <v>3.9579468150896725E-2</v>
      </c>
      <c r="AV62" s="63">
        <v>5111</v>
      </c>
      <c r="AW62" s="1427">
        <f t="shared" si="129"/>
        <v>0.35252365930599366</v>
      </c>
      <c r="AX62" s="1351">
        <f t="shared" si="130"/>
        <v>0.2306766193113412</v>
      </c>
      <c r="AY62" s="63">
        <v>7971</v>
      </c>
      <c r="AZ62" s="1427">
        <f t="shared" si="131"/>
        <v>0.26492702344095531</v>
      </c>
      <c r="BA62" s="1351">
        <f t="shared" si="132"/>
        <v>0.24275023386342376</v>
      </c>
      <c r="BB62" s="63">
        <v>11897</v>
      </c>
      <c r="BC62" s="1427">
        <f t="shared" si="133"/>
        <v>0.69078380706287679</v>
      </c>
      <c r="BD62" s="1351">
        <f t="shared" si="134"/>
        <v>0.36183608058608058</v>
      </c>
      <c r="BE62" s="63">
        <v>15270</v>
      </c>
      <c r="BF62" s="1427">
        <f t="shared" si="135"/>
        <v>0.28691339183517739</v>
      </c>
      <c r="BG62" s="1351">
        <f t="shared" si="136"/>
        <v>0.34454521440521263</v>
      </c>
      <c r="BH62" s="63">
        <v>19787</v>
      </c>
      <c r="BI62" s="1427">
        <f t="shared" si="137"/>
        <v>0.94950366853690116</v>
      </c>
      <c r="BJ62" s="1351">
        <f t="shared" si="138"/>
        <v>0.44705280093608307</v>
      </c>
      <c r="BK62" s="63">
        <v>23767</v>
      </c>
      <c r="BL62" s="1427">
        <f t="shared" si="139"/>
        <v>0.57374456306840649</v>
      </c>
      <c r="BM62" s="1351">
        <f t="shared" si="140"/>
        <v>0.46682713077825094</v>
      </c>
      <c r="BN62" s="63">
        <v>27417</v>
      </c>
      <c r="BO62" s="1427">
        <f t="shared" si="141"/>
        <v>0.42300194931773877</v>
      </c>
      <c r="BP62" s="1351">
        <f t="shared" si="142"/>
        <v>0.46083759590792839</v>
      </c>
      <c r="BQ62" s="63">
        <v>31286</v>
      </c>
      <c r="BR62" s="1427">
        <f t="shared" si="143"/>
        <v>0.69173589855706163</v>
      </c>
      <c r="BS62" s="1351">
        <f t="shared" si="144"/>
        <v>0.4859178342436476</v>
      </c>
      <c r="BT62" s="63">
        <v>35001</v>
      </c>
      <c r="BU62" s="1427">
        <f t="shared" si="145"/>
        <v>0.38464405516213196</v>
      </c>
      <c r="BV62" s="1351">
        <f t="shared" si="146"/>
        <v>0.4744713118207094</v>
      </c>
      <c r="BW62" s="63">
        <v>41177</v>
      </c>
      <c r="BX62" s="1427">
        <f t="shared" si="147"/>
        <v>1.227994227994228</v>
      </c>
      <c r="BY62" s="1351">
        <f t="shared" si="148"/>
        <v>0.55326291965296115</v>
      </c>
      <c r="BZ62" s="1140">
        <v>44054</v>
      </c>
      <c r="CA62" s="1427">
        <f t="shared" si="149"/>
        <v>0.11425251742835012</v>
      </c>
      <c r="CB62" s="1351">
        <f t="shared" si="150"/>
        <v>0.5142994637701086</v>
      </c>
      <c r="CC62" s="1901">
        <v>0</v>
      </c>
      <c r="CD62" s="1594">
        <f>BZ62</f>
        <v>44054</v>
      </c>
      <c r="CE62" s="1939">
        <f t="shared" si="152"/>
        <v>0.5142994637701086</v>
      </c>
      <c r="CF62" s="1940">
        <f t="shared" si="153"/>
        <v>25</v>
      </c>
      <c r="CG62" s="1895"/>
      <c r="CH62" s="1815">
        <v>1984</v>
      </c>
      <c r="CI62" s="2039">
        <f t="shared" si="154"/>
        <v>0.18024985127900059</v>
      </c>
      <c r="CJ62" s="2041">
        <f t="shared" si="155"/>
        <v>0.18024985127900059</v>
      </c>
      <c r="CK62" s="1815">
        <v>8651</v>
      </c>
      <c r="CL62" s="2039">
        <f t="shared" si="156"/>
        <v>0.94373177842565603</v>
      </c>
      <c r="CM62" s="2041">
        <f t="shared" si="157"/>
        <v>0.69262375269027587</v>
      </c>
      <c r="CN62" s="1815">
        <v>17253</v>
      </c>
      <c r="CO62" s="2039">
        <f t="shared" si="158"/>
        <v>2.0076923076923077</v>
      </c>
      <c r="CP62" s="2041">
        <f t="shared" si="159"/>
        <v>1.1644712081294692</v>
      </c>
      <c r="CQ62" s="1815">
        <v>24738</v>
      </c>
      <c r="CR62" s="2039">
        <f t="shared" si="160"/>
        <v>0.90652063168619457</v>
      </c>
      <c r="CS62" s="2041">
        <f t="shared" si="161"/>
        <v>1.0793477347230394</v>
      </c>
      <c r="CU62" s="1948">
        <f t="shared" si="162"/>
        <v>-8.5123473406429895E-2</v>
      </c>
      <c r="CV62" s="1940">
        <f t="shared" si="163"/>
        <v>21</v>
      </c>
      <c r="CW62" s="1580">
        <f t="shared" si="164"/>
        <v>1.7282721735254791</v>
      </c>
      <c r="CX62" s="1799">
        <v>23886</v>
      </c>
      <c r="CY62" s="1794">
        <f>_xlfn.XLOOKUP(E62,MOPFRA!$R$7:$R$56,MOPFRA!$T$7:$T$56,"")</f>
        <v>58140</v>
      </c>
      <c r="CZ62" s="1245" t="str">
        <f>_xlfn.XLOOKUP(E62,MOPFRA!$R$7:$R$56,MOPFRA!$P$7:$P$56,"")</f>
        <v>L</v>
      </c>
      <c r="DA62" s="1802">
        <v>0.9</v>
      </c>
      <c r="DB62" s="1529">
        <f t="shared" si="165"/>
        <v>3.9579468150896725E-2</v>
      </c>
      <c r="DC62" s="1529">
        <f t="shared" si="166"/>
        <v>0.2306766193113412</v>
      </c>
      <c r="DD62" s="1529">
        <f t="shared" si="167"/>
        <v>0.24275023386342376</v>
      </c>
      <c r="DE62" s="1529">
        <f t="shared" si="168"/>
        <v>0.36183608058608058</v>
      </c>
      <c r="DF62" s="1529">
        <f t="shared" si="169"/>
        <v>0.34454521440521263</v>
      </c>
      <c r="DG62" s="1529">
        <f t="shared" si="170"/>
        <v>0.44705280093608307</v>
      </c>
      <c r="DH62" s="1529">
        <f t="shared" si="171"/>
        <v>0.46682713077825094</v>
      </c>
      <c r="DI62" s="1529">
        <f t="shared" si="172"/>
        <v>0.46083759590792839</v>
      </c>
      <c r="DJ62" s="1529">
        <f t="shared" si="186"/>
        <v>0.4859178342436476</v>
      </c>
      <c r="DK62" s="1529">
        <f t="shared" si="174"/>
        <v>0.4744713118207094</v>
      </c>
      <c r="DL62" s="1529">
        <f t="shared" si="175"/>
        <v>0.55326291965296115</v>
      </c>
      <c r="DM62" s="1529">
        <f t="shared" si="176"/>
        <v>0.5142994637701086</v>
      </c>
      <c r="DN62" s="1529">
        <f t="shared" si="177"/>
        <v>0.18024985127900059</v>
      </c>
      <c r="DO62" s="1529">
        <f t="shared" si="178"/>
        <v>0.69262375269027587</v>
      </c>
      <c r="DP62" s="1529">
        <f t="shared" si="179"/>
        <v>1.1644712081294692</v>
      </c>
      <c r="DQ62" s="1529">
        <f t="shared" si="180"/>
        <v>1.0793477347230394</v>
      </c>
      <c r="DS62" s="1583" t="s">
        <v>605</v>
      </c>
      <c r="DT62" s="1736"/>
      <c r="DU62" s="1580">
        <f>_xlfn.XLOOKUP(E62,E62:E151,CW62:CW151,"")</f>
        <v>1.7282721735254791</v>
      </c>
      <c r="DV62" s="1943">
        <f t="shared" si="181"/>
        <v>21</v>
      </c>
      <c r="DW62" s="1730">
        <f t="shared" si="182"/>
        <v>1.4340617935192164</v>
      </c>
      <c r="DX62" s="1860">
        <f t="shared" si="183"/>
        <v>1.4571408860181601</v>
      </c>
      <c r="DY62" s="1683">
        <f>_xlfn.XLOOKUP(E62,MOPFRA!$R$7:$R$56,MOPFRA!$D$7:$D$56,"")</f>
        <v>3.1130186287097281</v>
      </c>
      <c r="DZ62" s="1583" t="s">
        <v>605</v>
      </c>
      <c r="EA62" s="1736"/>
    </row>
    <row r="63" spans="2:131" ht="68" customHeight="1">
      <c r="B63" s="1119">
        <f>_xlfn.XLOOKUP(E63,MOPFRA!$R$7:$R$56,MOPFRA!$A$7:$A$56,"")</f>
        <v>3.7897457124291933</v>
      </c>
      <c r="C63" s="394">
        <f>_xlfn.XLOOKUP(E63,MOPFRA!$R$7:$R$56,MOPFRA!$T$7:$T$56,"")</f>
        <v>255295.0704</v>
      </c>
      <c r="D63" s="223" t="s">
        <v>142</v>
      </c>
      <c r="E63" s="1949" t="s">
        <v>143</v>
      </c>
      <c r="F63" s="982">
        <f>_xlfn.XLOOKUP(E63,MOPFRA!$R$7:$R$56,MOPFRA!$S$7:$S$56,"")</f>
        <v>6</v>
      </c>
      <c r="G63" s="1203">
        <f>_xlfn.XLOOKUP(E63,MOPFRA!$R$7:$R$56,MOPFRA!$AQ$7:$AQ$56,"")</f>
        <v>60047</v>
      </c>
      <c r="H63" s="1210">
        <v>34563</v>
      </c>
      <c r="I63" s="1713">
        <f t="shared" si="114"/>
        <v>25484</v>
      </c>
      <c r="J63" s="1712">
        <f t="shared" si="115"/>
        <v>0.5755991140273452</v>
      </c>
      <c r="K63" s="1761">
        <v>4</v>
      </c>
      <c r="L63" s="1728">
        <f t="shared" si="116"/>
        <v>10</v>
      </c>
      <c r="M63" s="689">
        <v>44361</v>
      </c>
      <c r="N63" s="689">
        <v>71717</v>
      </c>
      <c r="O63" s="1718">
        <v>47569</v>
      </c>
      <c r="P63" s="1713">
        <f t="shared" si="117"/>
        <v>24148</v>
      </c>
      <c r="Q63" s="1712">
        <f t="shared" si="118"/>
        <v>0.66328764449154309</v>
      </c>
      <c r="R63" s="557">
        <f t="shared" si="184"/>
        <v>86060.4</v>
      </c>
      <c r="S63" s="553">
        <f t="shared" si="119"/>
        <v>0.61666779378282721</v>
      </c>
      <c r="T63" s="553">
        <f t="shared" si="120"/>
        <v>0.73877129581827572</v>
      </c>
      <c r="U63" s="558">
        <f t="shared" si="121"/>
        <v>97076.051013277422</v>
      </c>
      <c r="V63" s="591">
        <f t="shared" si="122"/>
        <v>27356</v>
      </c>
      <c r="W63" s="559">
        <f t="shared" si="123"/>
        <v>87403</v>
      </c>
      <c r="X63" s="560">
        <f t="shared" si="124"/>
        <v>91903.875506638709</v>
      </c>
      <c r="Y63" s="1244">
        <f t="shared" si="125"/>
        <v>0.53053234144318129</v>
      </c>
      <c r="Z63" s="658"/>
      <c r="AA63" s="63">
        <v>19062</v>
      </c>
      <c r="AB63" s="1147">
        <v>34786</v>
      </c>
      <c r="AC63" s="63">
        <v>22406</v>
      </c>
      <c r="AD63" s="63">
        <v>25964</v>
      </c>
      <c r="AE63" s="63">
        <v>29772</v>
      </c>
      <c r="AF63" s="63">
        <v>33257</v>
      </c>
      <c r="AG63" s="63">
        <v>37019</v>
      </c>
      <c r="AH63" s="1140">
        <v>42402</v>
      </c>
      <c r="AI63" s="63">
        <v>3062</v>
      </c>
      <c r="AJ63" s="63">
        <v>6713</v>
      </c>
      <c r="AK63" s="1791">
        <v>9962</v>
      </c>
      <c r="AL63" s="63">
        <v>13031</v>
      </c>
      <c r="AM63" s="63">
        <v>15556</v>
      </c>
      <c r="AN63" s="63">
        <v>24102</v>
      </c>
      <c r="AO63" s="1594">
        <f>AH63-AA63+AN63</f>
        <v>47442</v>
      </c>
      <c r="AP63" s="1147">
        <v>42402</v>
      </c>
      <c r="AQ63" s="1494"/>
      <c r="AR63" s="63">
        <v>24102</v>
      </c>
      <c r="AS63" s="63">
        <v>27429</v>
      </c>
      <c r="AT63" s="1427">
        <f t="shared" si="127"/>
        <v>-5.0837320574162676E-3</v>
      </c>
      <c r="AU63" s="1351">
        <f t="shared" si="128"/>
        <v>0.22418102294028386</v>
      </c>
      <c r="AV63" s="63">
        <v>34670</v>
      </c>
      <c r="AW63" s="1427">
        <f t="shared" si="129"/>
        <v>1.03513209668353</v>
      </c>
      <c r="AX63" s="1351">
        <f t="shared" si="130"/>
        <v>0.3353104298259128</v>
      </c>
      <c r="AY63" s="63">
        <v>38344</v>
      </c>
      <c r="AZ63" s="1427">
        <f t="shared" si="131"/>
        <v>-3.5189075630252101E-2</v>
      </c>
      <c r="BA63" s="1351">
        <f t="shared" si="132"/>
        <v>0.28792153701464462</v>
      </c>
      <c r="BB63" s="63">
        <v>44361</v>
      </c>
      <c r="BC63" s="1427">
        <f t="shared" si="133"/>
        <v>0.7265423242467719</v>
      </c>
      <c r="BD63" s="1351">
        <f t="shared" si="134"/>
        <v>0.33388459572420842</v>
      </c>
      <c r="BE63" s="63">
        <v>53424</v>
      </c>
      <c r="BF63" s="1427">
        <f t="shared" si="135"/>
        <v>1.4090909090909092</v>
      </c>
      <c r="BG63" s="1351">
        <f t="shared" si="136"/>
        <v>0.44315081444663551</v>
      </c>
      <c r="BH63" s="1140">
        <v>60115</v>
      </c>
      <c r="BI63" s="1427">
        <f t="shared" si="137"/>
        <v>0.24298718186884638</v>
      </c>
      <c r="BJ63" s="1351">
        <f t="shared" si="138"/>
        <v>0.41773972925805386</v>
      </c>
      <c r="BK63" s="63">
        <v>7988</v>
      </c>
      <c r="BL63" s="1427">
        <f t="shared" si="139"/>
        <v>1.6087524493794905</v>
      </c>
      <c r="BM63" s="1351">
        <f t="shared" si="140"/>
        <v>1.6087524493794905</v>
      </c>
      <c r="BN63" s="63">
        <v>16381</v>
      </c>
      <c r="BO63" s="1427">
        <f t="shared" si="141"/>
        <v>1.2988222404820597</v>
      </c>
      <c r="BP63" s="1351">
        <f t="shared" si="142"/>
        <v>1.4401906748100699</v>
      </c>
      <c r="BQ63" s="63">
        <v>24585</v>
      </c>
      <c r="BR63" s="1427">
        <f t="shared" si="143"/>
        <v>1.5250846414281318</v>
      </c>
      <c r="BS63" s="1351">
        <f t="shared" si="144"/>
        <v>1.4678779361573981</v>
      </c>
      <c r="BT63" s="63">
        <v>33659</v>
      </c>
      <c r="BU63" s="1427">
        <f t="shared" si="145"/>
        <v>1.9566634082763115</v>
      </c>
      <c r="BV63" s="1351">
        <f t="shared" si="146"/>
        <v>1.5829943979740619</v>
      </c>
      <c r="BW63" s="63">
        <v>39912</v>
      </c>
      <c r="BX63" s="1427">
        <f t="shared" si="147"/>
        <v>1.4764356435643564</v>
      </c>
      <c r="BY63" s="1351">
        <f t="shared" si="148"/>
        <v>1.565698122910774</v>
      </c>
      <c r="BZ63" s="63">
        <v>56586</v>
      </c>
      <c r="CA63" s="1427">
        <f t="shared" si="149"/>
        <v>0.95108822841095253</v>
      </c>
      <c r="CB63" s="1351">
        <f t="shared" si="150"/>
        <v>1.3477719691311925</v>
      </c>
      <c r="CC63" s="1901">
        <v>56586</v>
      </c>
      <c r="CD63" s="1594">
        <f>BZ63+BH63-AR63</f>
        <v>92599</v>
      </c>
      <c r="CE63" s="1939">
        <f t="shared" si="152"/>
        <v>0.95183592597276678</v>
      </c>
      <c r="CF63" s="1940">
        <f t="shared" si="153"/>
        <v>5</v>
      </c>
      <c r="CG63" s="1895"/>
      <c r="CH63" s="1815">
        <v>61637</v>
      </c>
      <c r="CI63" s="2039">
        <f t="shared" si="154"/>
        <v>0.51818455064622782</v>
      </c>
      <c r="CJ63" s="2041">
        <f t="shared" si="155"/>
        <v>1.2471471799919793</v>
      </c>
      <c r="CK63" s="1815">
        <v>62163</v>
      </c>
      <c r="CL63" s="2039">
        <f t="shared" si="156"/>
        <v>-0.92735809970998484</v>
      </c>
      <c r="CM63" s="2041">
        <f t="shared" si="157"/>
        <v>0.79299105855206231</v>
      </c>
      <c r="CN63" s="1815">
        <v>66073</v>
      </c>
      <c r="CO63" s="2039">
        <f t="shared" si="158"/>
        <v>6.4235166031573213E-2</v>
      </c>
      <c r="CP63" s="2041">
        <f t="shared" si="159"/>
        <v>0.72316398915084501</v>
      </c>
      <c r="CQ63" s="1815">
        <v>71717</v>
      </c>
      <c r="CR63" s="2039">
        <f t="shared" si="160"/>
        <v>-6.1991025427954129E-2</v>
      </c>
      <c r="CS63" s="2041">
        <f t="shared" si="161"/>
        <v>0.61666779378282721</v>
      </c>
      <c r="CU63" s="1948">
        <f t="shared" si="162"/>
        <v>-0.1064961953680178</v>
      </c>
      <c r="CV63" s="1940">
        <f t="shared" si="163"/>
        <v>33</v>
      </c>
      <c r="CW63" s="1580">
        <f t="shared" si="164"/>
        <v>0.69016385342820052</v>
      </c>
      <c r="CX63" s="1799">
        <v>155574</v>
      </c>
      <c r="CY63" s="1794">
        <f>_xlfn.XLOOKUP(E63,MOPFRA!$R$7:$R$56,MOPFRA!$T$7:$T$56,"")</f>
        <v>255295.0704</v>
      </c>
      <c r="CZ63" s="1245" t="str">
        <f>_xlfn.XLOOKUP(E63,MOPFRA!$R$7:$R$56,MOPFRA!$P$7:$P$56,"")</f>
        <v>PUR</v>
      </c>
      <c r="DA63" s="1802">
        <v>0.9</v>
      </c>
      <c r="DB63" s="1529">
        <f t="shared" si="165"/>
        <v>0.22418102294028386</v>
      </c>
      <c r="DC63" s="1529">
        <f t="shared" si="166"/>
        <v>0.3353104298259128</v>
      </c>
      <c r="DD63" s="1529">
        <f t="shared" si="167"/>
        <v>0.28792153701464462</v>
      </c>
      <c r="DE63" s="1529">
        <f t="shared" si="168"/>
        <v>0.33388459572420842</v>
      </c>
      <c r="DF63" s="1529">
        <f t="shared" si="169"/>
        <v>0.44315081444663551</v>
      </c>
      <c r="DG63" s="1529">
        <f t="shared" si="170"/>
        <v>0.41773972925805386</v>
      </c>
      <c r="DH63" s="1529">
        <f t="shared" si="171"/>
        <v>1.6087524493794905</v>
      </c>
      <c r="DI63" s="1529">
        <f t="shared" si="172"/>
        <v>1.4401906748100699</v>
      </c>
      <c r="DJ63" s="1529">
        <f t="shared" si="186"/>
        <v>1.4678779361573981</v>
      </c>
      <c r="DK63" s="1529">
        <f t="shared" si="174"/>
        <v>1.5829943979740619</v>
      </c>
      <c r="DL63" s="1529">
        <f t="shared" si="175"/>
        <v>1.565698122910774</v>
      </c>
      <c r="DM63" s="1529">
        <f t="shared" si="176"/>
        <v>1.3477719691311925</v>
      </c>
      <c r="DN63" s="1529">
        <f t="shared" si="177"/>
        <v>1.2471471799919793</v>
      </c>
      <c r="DO63" s="1529">
        <f t="shared" si="178"/>
        <v>0.79299105855206231</v>
      </c>
      <c r="DP63" s="1529">
        <f t="shared" si="179"/>
        <v>0.72316398915084501</v>
      </c>
      <c r="DQ63" s="1529">
        <f t="shared" si="180"/>
        <v>0.61666779378282721</v>
      </c>
      <c r="DS63" s="1583" t="s">
        <v>606</v>
      </c>
      <c r="DT63" s="1736"/>
      <c r="DU63" s="1580">
        <f>_xlfn.XLOOKUP(E63,E63:E152,CW63:CW152,"")</f>
        <v>0.69016385342820052</v>
      </c>
      <c r="DV63" s="1943">
        <f t="shared" si="181"/>
        <v>33</v>
      </c>
      <c r="DW63" s="1730">
        <f t="shared" si="182"/>
        <v>0.64098802113463682</v>
      </c>
      <c r="DX63" s="1860">
        <f t="shared" si="183"/>
        <v>8.7688530464197889</v>
      </c>
      <c r="DY63" s="1683">
        <f>_xlfn.XLOOKUP(E63,MOPFRA!$R$7:$R$56,MOPFRA!$D$7:$D$56,"")</f>
        <v>-0.73999564825824748</v>
      </c>
      <c r="DZ63" s="1583" t="s">
        <v>606</v>
      </c>
    </row>
    <row r="64" spans="2:131" ht="68" customHeight="1">
      <c r="B64" s="1119">
        <f>_xlfn.XLOOKUP(E64,MOPFRA!$R$7:$R$56,MOPFRA!$A$7:$A$56,"")</f>
        <v>2.361815286894287</v>
      </c>
      <c r="C64" s="394">
        <f>_xlfn.XLOOKUP(E64,MOPFRA!$R$7:$R$56,MOPFRA!$T$7:$T$56,"")</f>
        <v>14452.3</v>
      </c>
      <c r="D64" s="223" t="s">
        <v>104</v>
      </c>
      <c r="E64" s="1949" t="s">
        <v>105</v>
      </c>
      <c r="F64" s="982">
        <f>_xlfn.XLOOKUP(E64,MOPFRA!$R$7:$R$56,MOPFRA!$S$7:$S$56,"")</f>
        <v>12</v>
      </c>
      <c r="G64" s="1203">
        <f>_xlfn.XLOOKUP(E64,MOPFRA!$R$7:$R$56,MOPFRA!$AQ$7:$AQ$56,"")</f>
        <v>11147</v>
      </c>
      <c r="H64" s="1210">
        <v>1069</v>
      </c>
      <c r="I64" s="1713">
        <f t="shared" si="114"/>
        <v>10078</v>
      </c>
      <c r="J64" s="1712">
        <f t="shared" si="115"/>
        <v>9.590024221763703E-2</v>
      </c>
      <c r="K64" s="1761">
        <v>4</v>
      </c>
      <c r="L64" s="1728">
        <f t="shared" si="116"/>
        <v>4</v>
      </c>
      <c r="M64" s="689">
        <v>2808</v>
      </c>
      <c r="N64" s="689">
        <v>3968</v>
      </c>
      <c r="O64" s="1718">
        <v>0</v>
      </c>
      <c r="P64" s="1713">
        <f t="shared" si="117"/>
        <v>3968</v>
      </c>
      <c r="Q64" s="1712">
        <f t="shared" si="118"/>
        <v>0</v>
      </c>
      <c r="R64" s="557">
        <f t="shared" si="184"/>
        <v>11904</v>
      </c>
      <c r="S64" s="553">
        <f t="shared" si="119"/>
        <v>0.4131054131054131</v>
      </c>
      <c r="T64" s="553">
        <f t="shared" si="120"/>
        <v>0.25190634251368083</v>
      </c>
      <c r="U64" s="558">
        <f t="shared" si="121"/>
        <v>15751.88603988604</v>
      </c>
      <c r="V64" s="591">
        <f t="shared" si="122"/>
        <v>1160</v>
      </c>
      <c r="W64" s="559">
        <f t="shared" si="123"/>
        <v>12307</v>
      </c>
      <c r="X64" s="560">
        <f t="shared" si="124"/>
        <v>13928.693019943021</v>
      </c>
      <c r="Y64" s="1244">
        <f t="shared" si="125"/>
        <v>0.24954633712595503</v>
      </c>
      <c r="Z64" s="658"/>
      <c r="AA64" s="63">
        <v>5961</v>
      </c>
      <c r="AB64" s="1147">
        <v>5961</v>
      </c>
      <c r="AC64" s="63">
        <v>132</v>
      </c>
      <c r="AD64" s="63">
        <v>811</v>
      </c>
      <c r="AE64" s="63">
        <v>1379</v>
      </c>
      <c r="AF64" s="63">
        <v>1775</v>
      </c>
      <c r="AG64" s="63">
        <v>2318</v>
      </c>
      <c r="AH64" s="63">
        <v>2814</v>
      </c>
      <c r="AI64" s="63">
        <v>3354</v>
      </c>
      <c r="AJ64" s="63">
        <v>4062</v>
      </c>
      <c r="AK64" s="1791">
        <v>4700</v>
      </c>
      <c r="AL64" s="63">
        <v>5339</v>
      </c>
      <c r="AM64" s="63">
        <v>6081</v>
      </c>
      <c r="AN64" s="1140">
        <v>6937</v>
      </c>
      <c r="AO64" s="1594">
        <f>AN64+AB64-AA64</f>
        <v>6937</v>
      </c>
      <c r="AP64" s="1147">
        <v>6937</v>
      </c>
      <c r="AQ64" s="1494"/>
      <c r="AR64" s="63">
        <v>0</v>
      </c>
      <c r="AS64" s="63">
        <v>383</v>
      </c>
      <c r="AT64" s="1427">
        <f t="shared" si="127"/>
        <v>1.9015151515151516</v>
      </c>
      <c r="AU64" s="1351">
        <f t="shared" si="128"/>
        <v>1.9015151515151516</v>
      </c>
      <c r="AV64" s="63">
        <v>930</v>
      </c>
      <c r="AW64" s="1427">
        <f t="shared" si="129"/>
        <v>-0.19440353460972018</v>
      </c>
      <c r="AX64" s="1351">
        <f t="shared" si="130"/>
        <v>0.14673242909987669</v>
      </c>
      <c r="AY64" s="63">
        <v>1766</v>
      </c>
      <c r="AZ64" s="1427">
        <f t="shared" si="131"/>
        <v>0.47183098591549294</v>
      </c>
      <c r="BA64" s="1351">
        <f t="shared" si="132"/>
        <v>0.28063814358230604</v>
      </c>
      <c r="BB64" s="63">
        <v>2808</v>
      </c>
      <c r="BC64" s="1427">
        <f t="shared" si="133"/>
        <v>1.6313131313131313</v>
      </c>
      <c r="BD64" s="1351">
        <f t="shared" si="134"/>
        <v>0.58197183098591554</v>
      </c>
      <c r="BE64" s="63">
        <v>3613</v>
      </c>
      <c r="BF64" s="1427">
        <f t="shared" si="135"/>
        <v>0.48250460405156537</v>
      </c>
      <c r="BG64" s="1351">
        <f t="shared" si="136"/>
        <v>0.55867126833477132</v>
      </c>
      <c r="BH64" s="63">
        <v>4590</v>
      </c>
      <c r="BI64" s="1427">
        <f t="shared" si="137"/>
        <v>0.969758064516129</v>
      </c>
      <c r="BJ64" s="1351">
        <f t="shared" si="138"/>
        <v>0.63113006396588489</v>
      </c>
      <c r="BK64" s="63">
        <v>5702</v>
      </c>
      <c r="BL64" s="1427">
        <f t="shared" si="139"/>
        <v>1.0592592592592593</v>
      </c>
      <c r="BM64" s="1351">
        <f t="shared" si="140"/>
        <v>0.70005963029218843</v>
      </c>
      <c r="BN64" s="63">
        <v>6594</v>
      </c>
      <c r="BO64" s="1427">
        <f t="shared" si="141"/>
        <v>0.25988700564971751</v>
      </c>
      <c r="BP64" s="1351">
        <f t="shared" si="142"/>
        <v>0.62333825701624812</v>
      </c>
      <c r="BQ64" s="63">
        <v>7550</v>
      </c>
      <c r="BR64" s="1427">
        <f t="shared" si="143"/>
        <v>0.49843260188087773</v>
      </c>
      <c r="BS64" s="1351">
        <f t="shared" si="144"/>
        <v>0.6063829787234043</v>
      </c>
      <c r="BT64" s="63">
        <v>8722</v>
      </c>
      <c r="BU64" s="1427">
        <f t="shared" si="145"/>
        <v>0.83411580594679191</v>
      </c>
      <c r="BV64" s="1351">
        <f t="shared" si="146"/>
        <v>0.63363925828806889</v>
      </c>
      <c r="BW64" s="63">
        <v>10236</v>
      </c>
      <c r="BX64" s="1427">
        <f t="shared" si="147"/>
        <v>1.0404312668463611</v>
      </c>
      <c r="BY64" s="1351">
        <f t="shared" si="148"/>
        <v>0.68327577701036013</v>
      </c>
      <c r="BZ64" s="1140">
        <v>11147</v>
      </c>
      <c r="CA64" s="1427">
        <f t="shared" si="149"/>
        <v>6.4252336448598124E-2</v>
      </c>
      <c r="CB64" s="1351">
        <f t="shared" si="150"/>
        <v>0.60689058670895202</v>
      </c>
      <c r="CC64" s="1901">
        <v>0</v>
      </c>
      <c r="CD64" s="1594">
        <f>BZ64</f>
        <v>11147</v>
      </c>
      <c r="CE64" s="1939">
        <f t="shared" si="152"/>
        <v>0.60689058670895202</v>
      </c>
      <c r="CF64" s="1940">
        <f t="shared" si="153"/>
        <v>18</v>
      </c>
      <c r="CG64" s="1895"/>
      <c r="CH64" s="1815">
        <v>382</v>
      </c>
      <c r="CI64" s="2039">
        <f t="shared" si="154"/>
        <v>-2.6109660574412533E-3</v>
      </c>
      <c r="CJ64" s="2041">
        <f t="shared" si="155"/>
        <v>-2.6109660574412533E-3</v>
      </c>
      <c r="CK64" s="1815">
        <v>1395</v>
      </c>
      <c r="CL64" s="2039">
        <f t="shared" si="156"/>
        <v>0.85191956124314439</v>
      </c>
      <c r="CM64" s="2041">
        <f t="shared" si="157"/>
        <v>0.5</v>
      </c>
      <c r="CN64" s="1815">
        <v>2763</v>
      </c>
      <c r="CO64" s="2039">
        <f t="shared" si="158"/>
        <v>0.63636363636363635</v>
      </c>
      <c r="CP64" s="2041">
        <f t="shared" si="159"/>
        <v>0.5645526613816535</v>
      </c>
      <c r="CQ64" s="1815">
        <v>3968</v>
      </c>
      <c r="CR64" s="2039">
        <f t="shared" si="160"/>
        <v>0.15642994241842612</v>
      </c>
      <c r="CS64" s="2041">
        <f t="shared" si="161"/>
        <v>0.4131054131054131</v>
      </c>
      <c r="CU64" s="1948">
        <f t="shared" si="162"/>
        <v>-0.1514472482762404</v>
      </c>
      <c r="CV64" s="1940">
        <f t="shared" si="163"/>
        <v>39</v>
      </c>
      <c r="CW64" s="1580">
        <f t="shared" si="164"/>
        <v>3.6102801666647881</v>
      </c>
      <c r="CX64" s="1799">
        <v>4275</v>
      </c>
      <c r="CY64" s="1794">
        <f>_xlfn.XLOOKUP(E64,MOPFRA!$R$7:$R$56,MOPFRA!$T$7:$T$56,"")</f>
        <v>14452.3</v>
      </c>
      <c r="CZ64" s="1245" t="str">
        <f>_xlfn.XLOOKUP(E64,MOPFRA!$R$7:$R$56,MOPFRA!$P$7:$P$56,"")</f>
        <v>F</v>
      </c>
      <c r="DA64" s="1802">
        <v>0.9</v>
      </c>
      <c r="DB64" s="1529">
        <f t="shared" si="165"/>
        <v>1.9015151515151516</v>
      </c>
      <c r="DC64" s="1529">
        <f t="shared" si="166"/>
        <v>0.14673242909987669</v>
      </c>
      <c r="DD64" s="1529">
        <f t="shared" si="167"/>
        <v>0.28063814358230604</v>
      </c>
      <c r="DE64" s="1529">
        <f t="shared" si="168"/>
        <v>0.58197183098591554</v>
      </c>
      <c r="DF64" s="1529">
        <f t="shared" si="169"/>
        <v>0.55867126833477132</v>
      </c>
      <c r="DG64" s="1529">
        <f t="shared" si="170"/>
        <v>0.63113006396588489</v>
      </c>
      <c r="DH64" s="1529">
        <f t="shared" si="171"/>
        <v>0.70005963029218843</v>
      </c>
      <c r="DI64" s="1529">
        <f t="shared" si="172"/>
        <v>0.62333825701624812</v>
      </c>
      <c r="DJ64" s="1529">
        <v>0.62333825701624812</v>
      </c>
      <c r="DK64" s="1529">
        <f t="shared" si="174"/>
        <v>0.63363925828806889</v>
      </c>
      <c r="DL64" s="1529">
        <f t="shared" si="175"/>
        <v>0.68327577701036013</v>
      </c>
      <c r="DM64" s="1529">
        <f t="shared" si="176"/>
        <v>0.60689058670895202</v>
      </c>
      <c r="DN64" s="1529">
        <f t="shared" si="177"/>
        <v>-2.6109660574412533E-3</v>
      </c>
      <c r="DO64" s="1529">
        <f t="shared" si="178"/>
        <v>0.5</v>
      </c>
      <c r="DP64" s="1529">
        <f t="shared" si="179"/>
        <v>0.5645526613816535</v>
      </c>
      <c r="DQ64" s="1529">
        <f t="shared" si="180"/>
        <v>0.4131054131054131</v>
      </c>
      <c r="DS64" s="1583" t="s">
        <v>606</v>
      </c>
      <c r="DT64" s="1736"/>
      <c r="DU64" s="1580">
        <f>_xlfn.XLOOKUP(E64,E64:E152,CW64:CW152,"")</f>
        <v>3.6102801666647881</v>
      </c>
      <c r="DV64" s="1943">
        <f t="shared" si="181"/>
        <v>39</v>
      </c>
      <c r="DW64" s="1730">
        <f t="shared" si="182"/>
        <v>2.3806549707602338</v>
      </c>
      <c r="DX64" s="1860">
        <f t="shared" si="183"/>
        <v>-9.5900242217637022</v>
      </c>
      <c r="DY64" s="1683">
        <f>_xlfn.XLOOKUP(E64,MOPFRA!$R$7:$R$56,MOPFRA!$D$7:$D$56,"")</f>
        <v>-0.18660680866113744</v>
      </c>
      <c r="DZ64" s="1583" t="s">
        <v>197</v>
      </c>
    </row>
    <row r="65" spans="2:130" ht="68" customHeight="1">
      <c r="B65" s="1119">
        <f>_xlfn.XLOOKUP(E65,MOPFRA!$R$7:$R$56,MOPFRA!$A$7:$A$56,"")</f>
        <v>3.3763719181679717</v>
      </c>
      <c r="C65" s="394">
        <f>_xlfn.XLOOKUP(E65,MOPFRA!$R$7:$R$56,MOPFRA!$T$7:$T$56,"")</f>
        <v>12535.6</v>
      </c>
      <c r="D65" s="223" t="s">
        <v>169</v>
      </c>
      <c r="E65" s="1949" t="s">
        <v>170</v>
      </c>
      <c r="F65" s="982">
        <f>_xlfn.XLOOKUP(E65,MOPFRA!$R$7:$R$56,MOPFRA!$S$7:$S$56,"")</f>
        <v>12</v>
      </c>
      <c r="G65" s="1203">
        <f>_xlfn.XLOOKUP(E65,MOPFRA!$R$7:$R$56,MOPFRA!$AQ$7:$AQ$56,"")</f>
        <v>3120</v>
      </c>
      <c r="H65" s="1210">
        <v>420</v>
      </c>
      <c r="I65" s="1713">
        <f t="shared" si="114"/>
        <v>2700</v>
      </c>
      <c r="J65" s="1712">
        <f t="shared" si="115"/>
        <v>0.13461538461538461</v>
      </c>
      <c r="K65" s="1761">
        <v>4</v>
      </c>
      <c r="L65" s="1728">
        <f t="shared" si="116"/>
        <v>4</v>
      </c>
      <c r="M65" s="689">
        <v>936</v>
      </c>
      <c r="N65" s="689">
        <v>2307</v>
      </c>
      <c r="O65" s="1718">
        <v>117</v>
      </c>
      <c r="P65" s="1713">
        <f t="shared" si="117"/>
        <v>2190</v>
      </c>
      <c r="Q65" s="1712">
        <f t="shared" si="118"/>
        <v>5.071521456436931E-2</v>
      </c>
      <c r="R65" s="557">
        <f t="shared" si="184"/>
        <v>6921</v>
      </c>
      <c r="S65" s="553">
        <f t="shared" si="119"/>
        <v>1.4647435897435896</v>
      </c>
      <c r="T65" s="553">
        <f t="shared" si="120"/>
        <v>0.3</v>
      </c>
      <c r="U65" s="558">
        <f t="shared" si="121"/>
        <v>7689.9999999999991</v>
      </c>
      <c r="V65" s="591">
        <f t="shared" si="122"/>
        <v>1371</v>
      </c>
      <c r="W65" s="559">
        <f t="shared" si="123"/>
        <v>4491</v>
      </c>
      <c r="X65" s="560">
        <f t="shared" si="124"/>
        <v>6698</v>
      </c>
      <c r="Y65" s="1244">
        <f t="shared" si="125"/>
        <v>1.1467948717948717</v>
      </c>
      <c r="Z65" s="658"/>
      <c r="AA65" s="63">
        <v>1922</v>
      </c>
      <c r="AB65" s="1147">
        <v>1922</v>
      </c>
      <c r="AC65" s="63">
        <v>107</v>
      </c>
      <c r="AD65" s="63">
        <v>254</v>
      </c>
      <c r="AE65" s="63">
        <v>590</v>
      </c>
      <c r="AF65" s="63">
        <v>807</v>
      </c>
      <c r="AG65" s="63">
        <v>1064</v>
      </c>
      <c r="AH65" s="63">
        <v>1225</v>
      </c>
      <c r="AI65" s="63">
        <v>1446</v>
      </c>
      <c r="AJ65" s="63">
        <v>1629</v>
      </c>
      <c r="AK65" s="1791">
        <v>1752</v>
      </c>
      <c r="AL65" s="63">
        <v>1954</v>
      </c>
      <c r="AM65" s="63">
        <v>2073</v>
      </c>
      <c r="AN65" s="1140">
        <v>2193</v>
      </c>
      <c r="AO65" s="1594">
        <f>AN65+AB65-AA65</f>
        <v>2193</v>
      </c>
      <c r="AP65" s="1147">
        <v>2193</v>
      </c>
      <c r="AQ65" s="1494"/>
      <c r="AR65" s="63">
        <v>0</v>
      </c>
      <c r="AS65" s="63">
        <v>206</v>
      </c>
      <c r="AT65" s="1427">
        <f t="shared" si="127"/>
        <v>0.92523364485981308</v>
      </c>
      <c r="AU65" s="1351">
        <f t="shared" si="128"/>
        <v>0.92523364485981308</v>
      </c>
      <c r="AV65" s="63">
        <v>429</v>
      </c>
      <c r="AW65" s="1427">
        <f t="shared" si="129"/>
        <v>0.51700680272108845</v>
      </c>
      <c r="AX65" s="1351">
        <f t="shared" si="130"/>
        <v>0.6889763779527559</v>
      </c>
      <c r="AY65" s="63">
        <v>670</v>
      </c>
      <c r="AZ65" s="1427">
        <f t="shared" si="131"/>
        <v>-0.28273809523809523</v>
      </c>
      <c r="BA65" s="1351">
        <f t="shared" si="132"/>
        <v>0.13559322033898305</v>
      </c>
      <c r="BB65" s="63">
        <v>936</v>
      </c>
      <c r="BC65" s="1427">
        <f t="shared" si="133"/>
        <v>0.22580645161290322</v>
      </c>
      <c r="BD65" s="1351">
        <f t="shared" si="134"/>
        <v>0.15985130111524162</v>
      </c>
      <c r="BE65" s="63">
        <v>1200</v>
      </c>
      <c r="BF65" s="1427">
        <f t="shared" si="135"/>
        <v>2.7237354085603113E-2</v>
      </c>
      <c r="BG65" s="1351">
        <f t="shared" si="136"/>
        <v>0.12781954887218044</v>
      </c>
      <c r="BH65" s="63">
        <v>1502</v>
      </c>
      <c r="BI65" s="1427">
        <f t="shared" si="137"/>
        <v>0.87577639751552794</v>
      </c>
      <c r="BJ65" s="1351">
        <f t="shared" si="138"/>
        <v>0.22612244897959183</v>
      </c>
      <c r="BK65" s="63">
        <v>1824</v>
      </c>
      <c r="BL65" s="1427">
        <f t="shared" si="139"/>
        <v>0.45701357466063347</v>
      </c>
      <c r="BM65" s="1351">
        <f t="shared" si="140"/>
        <v>0.26141078838174275</v>
      </c>
      <c r="BN65" s="63">
        <v>2165</v>
      </c>
      <c r="BO65" s="1427">
        <f t="shared" si="141"/>
        <v>0.86338797814207646</v>
      </c>
      <c r="BP65" s="1351">
        <f t="shared" si="142"/>
        <v>0.32903621853898096</v>
      </c>
      <c r="BQ65" s="63">
        <v>2515</v>
      </c>
      <c r="BR65" s="1427">
        <f t="shared" si="143"/>
        <v>1.8455284552845528</v>
      </c>
      <c r="BS65" s="1351">
        <f t="shared" si="144"/>
        <v>0.43550228310502281</v>
      </c>
      <c r="BT65" s="63">
        <v>2815</v>
      </c>
      <c r="BU65" s="1427">
        <f t="shared" si="145"/>
        <v>0.48514851485148514</v>
      </c>
      <c r="BV65" s="1351">
        <f t="shared" si="146"/>
        <v>0.4406345957011259</v>
      </c>
      <c r="BW65" s="63">
        <v>3019</v>
      </c>
      <c r="BX65" s="1427">
        <f t="shared" si="147"/>
        <v>0.7142857142857143</v>
      </c>
      <c r="BY65" s="1351">
        <f t="shared" si="148"/>
        <v>0.45634346357935357</v>
      </c>
      <c r="BZ65" s="1140">
        <v>3120</v>
      </c>
      <c r="CA65" s="1427">
        <f t="shared" si="149"/>
        <v>-0.15833333333333333</v>
      </c>
      <c r="CB65" s="1351">
        <f t="shared" si="150"/>
        <v>0.42270861833105333</v>
      </c>
      <c r="CC65" s="1901">
        <v>0</v>
      </c>
      <c r="CD65" s="1594">
        <f>BZ65</f>
        <v>3120</v>
      </c>
      <c r="CE65" s="1939">
        <f t="shared" si="152"/>
        <v>0.42270861833105333</v>
      </c>
      <c r="CF65" s="1940">
        <f t="shared" si="153"/>
        <v>31</v>
      </c>
      <c r="CG65" s="1895"/>
      <c r="CH65" s="1815">
        <v>215</v>
      </c>
      <c r="CI65" s="2039">
        <f t="shared" si="154"/>
        <v>4.3689320388349516E-2</v>
      </c>
      <c r="CJ65" s="2041">
        <f t="shared" si="155"/>
        <v>4.3689320388349516E-2</v>
      </c>
      <c r="CK65" s="1815">
        <v>868</v>
      </c>
      <c r="CL65" s="2039">
        <f t="shared" si="156"/>
        <v>1.9282511210762332</v>
      </c>
      <c r="CM65" s="2041">
        <f t="shared" si="157"/>
        <v>1.0233100233100234</v>
      </c>
      <c r="CN65" s="1815">
        <v>1577</v>
      </c>
      <c r="CO65" s="2039">
        <f t="shared" si="158"/>
        <v>1.941908713692946</v>
      </c>
      <c r="CP65" s="2041">
        <f t="shared" si="159"/>
        <v>1.353731343283582</v>
      </c>
      <c r="CQ65" s="1815">
        <v>2307</v>
      </c>
      <c r="CR65" s="2039">
        <f t="shared" si="160"/>
        <v>1.744360902255639</v>
      </c>
      <c r="CS65" s="2041">
        <f t="shared" si="161"/>
        <v>1.4647435897435896</v>
      </c>
      <c r="CU65" s="1948">
        <f t="shared" si="162"/>
        <v>0.11101224646000762</v>
      </c>
      <c r="CV65" s="1940">
        <f t="shared" si="163"/>
        <v>11</v>
      </c>
      <c r="CW65" s="1580">
        <f t="shared" si="164"/>
        <v>2.7852991226427326</v>
      </c>
      <c r="CX65" s="1799">
        <v>4539.5</v>
      </c>
      <c r="CY65" s="1794">
        <f>_xlfn.XLOOKUP(E65,MOPFRA!$R$7:$R$56,MOPFRA!$T$7:$T$56,"")</f>
        <v>12535.6</v>
      </c>
      <c r="CZ65" s="1245" t="str">
        <f>_xlfn.XLOOKUP(E65,MOPFRA!$R$7:$R$56,MOPFRA!$P$7:$P$56,"")</f>
        <v>PH</v>
      </c>
      <c r="DA65" s="1802">
        <v>0.9</v>
      </c>
      <c r="DB65" s="1529">
        <f t="shared" si="165"/>
        <v>0.92523364485981308</v>
      </c>
      <c r="DC65" s="1529">
        <f t="shared" si="166"/>
        <v>0.6889763779527559</v>
      </c>
      <c r="DD65" s="1529">
        <f t="shared" si="167"/>
        <v>0.13559322033898305</v>
      </c>
      <c r="DE65" s="1529">
        <f t="shared" si="168"/>
        <v>0.15985130111524162</v>
      </c>
      <c r="DF65" s="1529">
        <f t="shared" si="169"/>
        <v>0.12781954887218044</v>
      </c>
      <c r="DG65" s="1529">
        <f t="shared" si="170"/>
        <v>0.22612244897959183</v>
      </c>
      <c r="DH65" s="1529">
        <f t="shared" si="171"/>
        <v>0.26141078838174275</v>
      </c>
      <c r="DI65" s="1529">
        <f t="shared" si="172"/>
        <v>0.32903621853898096</v>
      </c>
      <c r="DJ65" s="1529">
        <f t="shared" ref="DJ65:DJ86" si="187">BS65</f>
        <v>0.43550228310502281</v>
      </c>
      <c r="DK65" s="1529">
        <f t="shared" si="174"/>
        <v>0.4406345957011259</v>
      </c>
      <c r="DL65" s="1529">
        <f t="shared" si="175"/>
        <v>0.45634346357935357</v>
      </c>
      <c r="DM65" s="1529">
        <f t="shared" si="176"/>
        <v>0.42270861833105333</v>
      </c>
      <c r="DN65" s="1529">
        <f t="shared" si="177"/>
        <v>4.3689320388349516E-2</v>
      </c>
      <c r="DO65" s="1529">
        <f t="shared" si="178"/>
        <v>1.0233100233100234</v>
      </c>
      <c r="DP65" s="1529">
        <f t="shared" si="179"/>
        <v>1.353731343283582</v>
      </c>
      <c r="DQ65" s="1529">
        <f t="shared" si="180"/>
        <v>1.4647435897435896</v>
      </c>
      <c r="DS65" s="1583" t="s">
        <v>605</v>
      </c>
      <c r="DT65" s="1736"/>
      <c r="DU65" s="1580">
        <f>_xlfn.XLOOKUP(E65,E65:E152,CW65:CW152,"")</f>
        <v>2.7852991226427326</v>
      </c>
      <c r="DV65" s="1943">
        <f t="shared" si="181"/>
        <v>11</v>
      </c>
      <c r="DW65" s="1730">
        <f t="shared" si="182"/>
        <v>1.761449498843485</v>
      </c>
      <c r="DX65" s="1860">
        <f t="shared" si="183"/>
        <v>-8.3900170051015301</v>
      </c>
      <c r="DY65" s="1683">
        <f>_xlfn.XLOOKUP(E65,MOPFRA!$R$7:$R$56,MOPFRA!$D$7:$D$56,"")</f>
        <v>2.5163304780839475</v>
      </c>
      <c r="DZ65" s="1583" t="s">
        <v>197</v>
      </c>
    </row>
    <row r="66" spans="2:130" ht="68" customHeight="1">
      <c r="B66" s="1119">
        <f>_xlfn.XLOOKUP(E66,MOPFRA!$R$7:$R$56,MOPFRA!$A$7:$A$56,"")</f>
        <v>1.0347963292789695</v>
      </c>
      <c r="C66" s="394">
        <f>_xlfn.XLOOKUP(E66,MOPFRA!$R$7:$R$56,MOPFRA!$T$7:$T$56,"")</f>
        <v>27092</v>
      </c>
      <c r="D66" s="223" t="s">
        <v>120</v>
      </c>
      <c r="E66" s="1949" t="s">
        <v>121</v>
      </c>
      <c r="F66" s="982">
        <f>_xlfn.XLOOKUP(E66,MOPFRA!$R$7:$R$56,MOPFRA!$S$7:$S$56,"")</f>
        <v>9</v>
      </c>
      <c r="G66" s="1203">
        <f>_xlfn.XLOOKUP(E66,MOPFRA!$R$7:$R$56,MOPFRA!$AQ$7:$AQ$56,"")</f>
        <v>14130</v>
      </c>
      <c r="H66" s="1210">
        <v>8</v>
      </c>
      <c r="I66" s="1713">
        <f t="shared" si="114"/>
        <v>14122</v>
      </c>
      <c r="J66" s="1712">
        <f t="shared" si="115"/>
        <v>5.661712668082095E-4</v>
      </c>
      <c r="K66" s="1761">
        <v>4</v>
      </c>
      <c r="L66" s="1728">
        <f t="shared" si="116"/>
        <v>7</v>
      </c>
      <c r="M66" s="689">
        <v>7954</v>
      </c>
      <c r="N66" s="689">
        <v>15001</v>
      </c>
      <c r="O66" s="1718">
        <v>0</v>
      </c>
      <c r="P66" s="1713">
        <f t="shared" si="117"/>
        <v>15001</v>
      </c>
      <c r="Q66" s="1712">
        <f t="shared" si="118"/>
        <v>0</v>
      </c>
      <c r="R66" s="557">
        <f t="shared" si="184"/>
        <v>25716</v>
      </c>
      <c r="S66" s="553">
        <f t="shared" si="119"/>
        <v>0.88596932361076186</v>
      </c>
      <c r="T66" s="553">
        <f t="shared" si="120"/>
        <v>0.56291578202406223</v>
      </c>
      <c r="U66" s="558">
        <f t="shared" si="121"/>
        <v>26648.746542620065</v>
      </c>
      <c r="V66" s="591">
        <f t="shared" si="122"/>
        <v>7047</v>
      </c>
      <c r="W66" s="559">
        <f t="shared" si="123"/>
        <v>21177</v>
      </c>
      <c r="X66" s="560">
        <f t="shared" si="124"/>
        <v>25047.623271310033</v>
      </c>
      <c r="Y66" s="1244">
        <f t="shared" si="125"/>
        <v>0.77265557475654867</v>
      </c>
      <c r="Z66" s="658"/>
      <c r="AA66" s="63">
        <v>1970</v>
      </c>
      <c r="AB66" s="1147">
        <v>9333</v>
      </c>
      <c r="AC66" s="63">
        <v>2897</v>
      </c>
      <c r="AD66" s="63">
        <v>3991</v>
      </c>
      <c r="AE66" s="63">
        <v>5025</v>
      </c>
      <c r="AF66" s="63">
        <v>5698</v>
      </c>
      <c r="AG66" s="63">
        <v>6264</v>
      </c>
      <c r="AH66" s="63">
        <v>7009</v>
      </c>
      <c r="AI66" s="63">
        <v>7840</v>
      </c>
      <c r="AJ66" s="63">
        <v>8847</v>
      </c>
      <c r="AK66" s="1792">
        <v>9897</v>
      </c>
      <c r="AL66" s="63">
        <v>686</v>
      </c>
      <c r="AM66" s="63">
        <v>1694</v>
      </c>
      <c r="AN66" s="63">
        <v>2585</v>
      </c>
      <c r="AO66" s="1594">
        <f>AK66-AA66+AN66</f>
        <v>10512</v>
      </c>
      <c r="AP66" s="1147">
        <v>9897</v>
      </c>
      <c r="AQ66" s="1494"/>
      <c r="AR66" s="63">
        <v>2585</v>
      </c>
      <c r="AS66" s="63">
        <v>3724</v>
      </c>
      <c r="AT66" s="1427">
        <f t="shared" si="127"/>
        <v>0.22869471413160733</v>
      </c>
      <c r="AU66" s="1351">
        <f t="shared" si="128"/>
        <v>0.28546772523299968</v>
      </c>
      <c r="AV66" s="63">
        <v>5352</v>
      </c>
      <c r="AW66" s="1427">
        <f t="shared" si="129"/>
        <v>0.48811700182815354</v>
      </c>
      <c r="AX66" s="1351">
        <f t="shared" si="130"/>
        <v>0.34101728890002508</v>
      </c>
      <c r="AY66" s="63">
        <v>6670</v>
      </c>
      <c r="AZ66" s="1427">
        <f t="shared" si="131"/>
        <v>0.27466150870406192</v>
      </c>
      <c r="BA66" s="1351">
        <f t="shared" si="132"/>
        <v>0.32736318407960197</v>
      </c>
      <c r="BB66" s="63">
        <v>7954</v>
      </c>
      <c r="BC66" s="1427">
        <f t="shared" si="133"/>
        <v>0.90787518573551262</v>
      </c>
      <c r="BD66" s="1351">
        <f t="shared" si="134"/>
        <v>0.3959283959283959</v>
      </c>
      <c r="BE66" s="63">
        <v>8920</v>
      </c>
      <c r="BF66" s="1427">
        <f t="shared" si="135"/>
        <v>0.70671378091872794</v>
      </c>
      <c r="BG66" s="1351">
        <f t="shared" si="136"/>
        <v>0.42401021711366538</v>
      </c>
      <c r="BH66" s="63">
        <v>10414</v>
      </c>
      <c r="BI66" s="1427">
        <f t="shared" si="137"/>
        <v>1.0053691275167784</v>
      </c>
      <c r="BJ66" s="1351">
        <f t="shared" si="138"/>
        <v>0.48580396632900558</v>
      </c>
      <c r="BK66" s="63">
        <v>12142</v>
      </c>
      <c r="BL66" s="1427">
        <f t="shared" si="139"/>
        <v>1.0794223826714802</v>
      </c>
      <c r="BM66" s="1351">
        <f t="shared" si="140"/>
        <v>0.54872448979591837</v>
      </c>
      <c r="BN66" s="63">
        <v>13719</v>
      </c>
      <c r="BO66" s="1427">
        <f t="shared" si="141"/>
        <v>0.56603773584905659</v>
      </c>
      <c r="BP66" s="1351">
        <f t="shared" si="142"/>
        <v>0.55069515089860965</v>
      </c>
      <c r="BQ66" s="1140">
        <v>14464</v>
      </c>
      <c r="BR66" s="1427">
        <f t="shared" si="143"/>
        <v>-0.2904761904761905</v>
      </c>
      <c r="BS66" s="1351">
        <f t="shared" si="144"/>
        <v>0.46145296554511467</v>
      </c>
      <c r="BT66" s="63">
        <v>592</v>
      </c>
      <c r="BU66" s="1427">
        <f t="shared" si="145"/>
        <v>-0.13702623906705538</v>
      </c>
      <c r="BV66" s="1351">
        <f t="shared" si="146"/>
        <v>-0.13702623906705538</v>
      </c>
      <c r="BW66" s="63">
        <v>2853</v>
      </c>
      <c r="BX66" s="1427">
        <f t="shared" si="147"/>
        <v>1.2430555555555556</v>
      </c>
      <c r="BY66" s="1351">
        <f t="shared" si="148"/>
        <v>0.68417945690672965</v>
      </c>
      <c r="BZ66" s="63">
        <v>5401</v>
      </c>
      <c r="CA66" s="1427">
        <f t="shared" si="149"/>
        <v>1.8597081930415265</v>
      </c>
      <c r="CB66" s="1351">
        <f t="shared" si="150"/>
        <v>1.0893617021276596</v>
      </c>
      <c r="CC66" s="1901">
        <v>5401</v>
      </c>
      <c r="CD66" s="1594">
        <f>BQ66+BZ66-AR66</f>
        <v>17280</v>
      </c>
      <c r="CE66" s="1939">
        <f t="shared" si="152"/>
        <v>0.64383561643835618</v>
      </c>
      <c r="CF66" s="1940">
        <f t="shared" si="153"/>
        <v>12</v>
      </c>
      <c r="CG66" s="1895"/>
      <c r="CH66" s="1815">
        <v>6621</v>
      </c>
      <c r="CI66" s="2039">
        <f t="shared" si="154"/>
        <v>7.1115013169446878E-2</v>
      </c>
      <c r="CJ66" s="2041">
        <f t="shared" si="155"/>
        <v>0.77792696025778729</v>
      </c>
      <c r="CK66" s="1815">
        <v>9063</v>
      </c>
      <c r="CL66" s="2039">
        <f t="shared" si="156"/>
        <v>0.5</v>
      </c>
      <c r="CM66" s="2041">
        <f t="shared" si="157"/>
        <v>0.69338565022421528</v>
      </c>
      <c r="CN66" s="1815">
        <v>12225</v>
      </c>
      <c r="CO66" s="2039">
        <f t="shared" si="158"/>
        <v>1.3990895295902883</v>
      </c>
      <c r="CP66" s="2041">
        <f t="shared" si="159"/>
        <v>0.83283358320839584</v>
      </c>
      <c r="CQ66" s="1815">
        <v>15001</v>
      </c>
      <c r="CR66" s="2039">
        <f t="shared" si="160"/>
        <v>1.161993769470405</v>
      </c>
      <c r="CS66" s="2041">
        <f t="shared" si="161"/>
        <v>0.88596932361076186</v>
      </c>
      <c r="CU66" s="1948">
        <f t="shared" si="162"/>
        <v>5.3135740402366016E-2</v>
      </c>
      <c r="CV66" s="1940">
        <f t="shared" si="163"/>
        <v>26</v>
      </c>
      <c r="CW66" s="1580">
        <f t="shared" si="164"/>
        <v>-9.1469711678294471E-2</v>
      </c>
      <c r="CX66" s="1799">
        <v>14580</v>
      </c>
      <c r="CY66" s="1794">
        <f>_xlfn.XLOOKUP(E66,MOPFRA!$R$7:$R$56,MOPFRA!$T$7:$T$56,"")</f>
        <v>27092</v>
      </c>
      <c r="CZ66" s="1245" t="str">
        <f>_xlfn.XLOOKUP(E66,MOPFRA!$R$7:$R$56,MOPFRA!$P$7:$P$56,"")</f>
        <v>M</v>
      </c>
      <c r="DA66" s="1802">
        <v>0.9</v>
      </c>
      <c r="DB66" s="1529">
        <f t="shared" si="165"/>
        <v>0.28546772523299968</v>
      </c>
      <c r="DC66" s="1529">
        <f t="shared" si="166"/>
        <v>0.34101728890002508</v>
      </c>
      <c r="DD66" s="1529">
        <f t="shared" si="167"/>
        <v>0.32736318407960197</v>
      </c>
      <c r="DE66" s="1529">
        <f t="shared" si="168"/>
        <v>0.3959283959283959</v>
      </c>
      <c r="DF66" s="1529">
        <f t="shared" si="169"/>
        <v>0.42401021711366538</v>
      </c>
      <c r="DG66" s="1529">
        <f t="shared" si="170"/>
        <v>0.48580396632900558</v>
      </c>
      <c r="DH66" s="1529">
        <f t="shared" si="171"/>
        <v>0.54872448979591837</v>
      </c>
      <c r="DI66" s="1529">
        <f t="shared" si="172"/>
        <v>0.55069515089860965</v>
      </c>
      <c r="DJ66" s="1529">
        <f t="shared" si="187"/>
        <v>0.46145296554511467</v>
      </c>
      <c r="DK66" s="1529">
        <f t="shared" si="174"/>
        <v>-0.13702623906705538</v>
      </c>
      <c r="DL66" s="1529">
        <f t="shared" si="175"/>
        <v>0.68417945690672965</v>
      </c>
      <c r="DM66" s="1529">
        <f t="shared" si="176"/>
        <v>1.0893617021276596</v>
      </c>
      <c r="DN66" s="1529">
        <f t="shared" si="177"/>
        <v>0.77792696025778729</v>
      </c>
      <c r="DO66" s="1529">
        <f t="shared" si="178"/>
        <v>0.69338565022421528</v>
      </c>
      <c r="DP66" s="1529">
        <f t="shared" si="179"/>
        <v>0.83283358320839584</v>
      </c>
      <c r="DQ66" s="1529">
        <f t="shared" si="180"/>
        <v>0.88596932361076186</v>
      </c>
      <c r="DS66" s="1583" t="s">
        <v>197</v>
      </c>
      <c r="DT66" s="1736"/>
      <c r="DU66" s="1580">
        <f>_xlfn.XLOOKUP(E66,E66:E154,CW66:CW154,"")</f>
        <v>-9.1469711678294471E-2</v>
      </c>
      <c r="DV66" s="1943">
        <f t="shared" si="181"/>
        <v>26</v>
      </c>
      <c r="DW66" s="1730">
        <f t="shared" si="182"/>
        <v>0.85816186556927299</v>
      </c>
      <c r="DX66" s="1860">
        <f t="shared" si="183"/>
        <v>-5.6617126680820952E-2</v>
      </c>
      <c r="DY66" s="1683">
        <f>_xlfn.XLOOKUP(E66,MOPFRA!$R$7:$R$56,MOPFRA!$D$7:$D$56,"")</f>
        <v>1.4514814144861301</v>
      </c>
      <c r="DZ66" s="1583" t="s">
        <v>197</v>
      </c>
    </row>
    <row r="67" spans="2:130" ht="68" customHeight="1">
      <c r="B67" s="1119">
        <f>_xlfn.XLOOKUP(E67,MOPFRA!$R$7:$R$56,MOPFRA!$A$7:$A$56,"")</f>
        <v>1.5067957015240805</v>
      </c>
      <c r="C67" s="394">
        <f>_xlfn.XLOOKUP(E67,MOPFRA!$R$7:$R$56,MOPFRA!$T$7:$T$56,"")</f>
        <v>12115.25</v>
      </c>
      <c r="D67" s="223" t="s">
        <v>158</v>
      </c>
      <c r="E67" s="1949" t="s">
        <v>159</v>
      </c>
      <c r="F67" s="982">
        <f>_xlfn.XLOOKUP(E67,MOPFRA!$R$7:$R$56,MOPFRA!$S$7:$S$56,"")</f>
        <v>12</v>
      </c>
      <c r="G67" s="1203">
        <f>_xlfn.XLOOKUP(E67,MOPFRA!$R$7:$R$56,MOPFRA!$AQ$7:$AQ$56,"")</f>
        <v>2410</v>
      </c>
      <c r="H67" s="1210">
        <v>85</v>
      </c>
      <c r="I67" s="1713">
        <f t="shared" si="114"/>
        <v>2325</v>
      </c>
      <c r="J67" s="1712">
        <f t="shared" si="115"/>
        <v>3.5269709543568464E-2</v>
      </c>
      <c r="K67" s="1761">
        <v>4</v>
      </c>
      <c r="L67" s="1728">
        <f t="shared" si="116"/>
        <v>4</v>
      </c>
      <c r="M67" s="689">
        <v>672</v>
      </c>
      <c r="N67" s="689">
        <v>2174</v>
      </c>
      <c r="O67" s="1718">
        <v>51</v>
      </c>
      <c r="P67" s="1713">
        <f t="shared" si="117"/>
        <v>2123</v>
      </c>
      <c r="Q67" s="1712">
        <f t="shared" si="118"/>
        <v>2.3459061637534497E-2</v>
      </c>
      <c r="R67" s="557">
        <f t="shared" si="184"/>
        <v>6522</v>
      </c>
      <c r="S67" s="553">
        <f t="shared" si="119"/>
        <v>2.2351190476190474</v>
      </c>
      <c r="T67" s="553">
        <f t="shared" si="120"/>
        <v>0.27883817427385893</v>
      </c>
      <c r="U67" s="558">
        <f t="shared" si="121"/>
        <v>7796.6369047619046</v>
      </c>
      <c r="V67" s="591">
        <f t="shared" si="122"/>
        <v>1502</v>
      </c>
      <c r="W67" s="559">
        <f t="shared" si="123"/>
        <v>3912</v>
      </c>
      <c r="X67" s="560">
        <f t="shared" si="124"/>
        <v>6506.8184523809523</v>
      </c>
      <c r="Y67" s="1244">
        <f t="shared" si="125"/>
        <v>1.6999246690377396</v>
      </c>
      <c r="Z67" s="658"/>
      <c r="AA67" s="63">
        <v>1211</v>
      </c>
      <c r="AB67" s="1147">
        <v>1211</v>
      </c>
      <c r="AC67" s="63">
        <v>83</v>
      </c>
      <c r="AD67" s="63">
        <v>198</v>
      </c>
      <c r="AE67" s="63">
        <v>327</v>
      </c>
      <c r="AF67" s="63">
        <v>476</v>
      </c>
      <c r="AG67" s="63">
        <v>619</v>
      </c>
      <c r="AH67" s="63">
        <v>748</v>
      </c>
      <c r="AI67" s="63">
        <v>931</v>
      </c>
      <c r="AJ67" s="63">
        <v>1107</v>
      </c>
      <c r="AK67" s="1791">
        <v>1274</v>
      </c>
      <c r="AL67" s="63">
        <v>1434</v>
      </c>
      <c r="AM67" s="63">
        <v>1598</v>
      </c>
      <c r="AN67" s="1140">
        <v>1655</v>
      </c>
      <c r="AO67" s="1594">
        <f>AN67+AB67-AA67</f>
        <v>1655</v>
      </c>
      <c r="AP67" s="1147">
        <v>1655</v>
      </c>
      <c r="AQ67" s="1494"/>
      <c r="AR67" s="63">
        <v>0</v>
      </c>
      <c r="AS67" s="63">
        <v>113</v>
      </c>
      <c r="AT67" s="1427">
        <f t="shared" si="127"/>
        <v>0.36144578313253012</v>
      </c>
      <c r="AU67" s="1351">
        <f t="shared" si="128"/>
        <v>0.36144578313253012</v>
      </c>
      <c r="AV67" s="63">
        <v>296</v>
      </c>
      <c r="AW67" s="1427">
        <f t="shared" si="129"/>
        <v>0.59130434782608698</v>
      </c>
      <c r="AX67" s="1351">
        <f t="shared" si="130"/>
        <v>0.49494949494949497</v>
      </c>
      <c r="AY67" s="63">
        <v>485</v>
      </c>
      <c r="AZ67" s="1427">
        <f t="shared" si="131"/>
        <v>0.46511627906976744</v>
      </c>
      <c r="BA67" s="1351">
        <f t="shared" si="132"/>
        <v>0.48318042813455658</v>
      </c>
      <c r="BB67" s="63">
        <v>672</v>
      </c>
      <c r="BC67" s="1427">
        <f t="shared" si="133"/>
        <v>0.25503355704697989</v>
      </c>
      <c r="BD67" s="1351">
        <f t="shared" si="134"/>
        <v>0.41176470588235292</v>
      </c>
      <c r="BE67" s="63">
        <v>881</v>
      </c>
      <c r="BF67" s="1427">
        <f t="shared" si="135"/>
        <v>0.46153846153846156</v>
      </c>
      <c r="BG67" s="1351">
        <f t="shared" si="136"/>
        <v>0.42326332794830374</v>
      </c>
      <c r="BH67" s="63">
        <v>1006</v>
      </c>
      <c r="BI67" s="1427">
        <f t="shared" si="137"/>
        <v>-3.1007751937984496E-2</v>
      </c>
      <c r="BJ67" s="1351">
        <f t="shared" si="138"/>
        <v>0.34491978609625668</v>
      </c>
      <c r="BK67" s="63">
        <v>1205</v>
      </c>
      <c r="BL67" s="1427">
        <f t="shared" si="139"/>
        <v>8.7431693989071038E-2</v>
      </c>
      <c r="BM67" s="1351">
        <f t="shared" si="140"/>
        <v>0.29430719656283566</v>
      </c>
      <c r="BN67" s="63">
        <v>1474</v>
      </c>
      <c r="BO67" s="1427">
        <f t="shared" si="141"/>
        <v>0.52840909090909094</v>
      </c>
      <c r="BP67" s="1351">
        <f t="shared" si="142"/>
        <v>0.33152664859981934</v>
      </c>
      <c r="BQ67" s="63">
        <v>1730</v>
      </c>
      <c r="BR67" s="1427">
        <f t="shared" si="143"/>
        <v>0.53293413173652693</v>
      </c>
      <c r="BS67" s="1351">
        <f t="shared" si="144"/>
        <v>0.35792778649921508</v>
      </c>
      <c r="BT67" s="63">
        <v>1983</v>
      </c>
      <c r="BU67" s="1427">
        <f t="shared" si="145"/>
        <v>0.58125000000000004</v>
      </c>
      <c r="BV67" s="1351">
        <f t="shared" si="146"/>
        <v>0.38284518828451886</v>
      </c>
      <c r="BW67" s="63">
        <v>2271</v>
      </c>
      <c r="BX67" s="1427">
        <f t="shared" si="147"/>
        <v>0.75609756097560976</v>
      </c>
      <c r="BY67" s="1351">
        <f t="shared" si="148"/>
        <v>0.42115143929912391</v>
      </c>
      <c r="BZ67" s="1140">
        <v>2410</v>
      </c>
      <c r="CA67" s="1427">
        <f t="shared" si="149"/>
        <v>1.4385964912280702</v>
      </c>
      <c r="CB67" s="1351">
        <f t="shared" si="150"/>
        <v>0.45619335347432022</v>
      </c>
      <c r="CC67" s="1901">
        <v>0</v>
      </c>
      <c r="CD67" s="1594">
        <f>BZ67</f>
        <v>2410</v>
      </c>
      <c r="CE67" s="1939">
        <f t="shared" si="152"/>
        <v>0.45619335347432022</v>
      </c>
      <c r="CF67" s="1940">
        <f t="shared" si="153"/>
        <v>28</v>
      </c>
      <c r="CG67" s="1895"/>
      <c r="CH67" s="1815">
        <v>159</v>
      </c>
      <c r="CI67" s="2039">
        <f t="shared" si="154"/>
        <v>0.40707964601769914</v>
      </c>
      <c r="CJ67" s="2041">
        <f t="shared" si="155"/>
        <v>0.40707964601769914</v>
      </c>
      <c r="CK67" s="1815">
        <v>560</v>
      </c>
      <c r="CL67" s="2039">
        <f t="shared" si="156"/>
        <v>1.1912568306010929</v>
      </c>
      <c r="CM67" s="2041">
        <f t="shared" si="157"/>
        <v>0.89189189189189189</v>
      </c>
      <c r="CN67" s="1815">
        <v>1364</v>
      </c>
      <c r="CO67" s="2039">
        <f t="shared" si="158"/>
        <v>3.253968253968254</v>
      </c>
      <c r="CP67" s="2041">
        <f t="shared" si="159"/>
        <v>1.8123711340206186</v>
      </c>
      <c r="CQ67" s="1815">
        <v>2174</v>
      </c>
      <c r="CR67" s="2039">
        <f t="shared" si="160"/>
        <v>3.3315508021390374</v>
      </c>
      <c r="CS67" s="2041">
        <f t="shared" si="161"/>
        <v>2.2351190476190474</v>
      </c>
      <c r="CU67" s="1948">
        <f t="shared" si="162"/>
        <v>0.42274791359842889</v>
      </c>
      <c r="CV67" s="1940">
        <f t="shared" si="163"/>
        <v>4</v>
      </c>
      <c r="CW67" s="1580">
        <f t="shared" si="164"/>
        <v>2.7852991226427326</v>
      </c>
      <c r="CX67" s="1799">
        <v>5374</v>
      </c>
      <c r="CY67" s="1794">
        <f>_xlfn.XLOOKUP(E67,MOPFRA!$R$7:$R$56,MOPFRA!$T$7:$T$56,"")</f>
        <v>12115.25</v>
      </c>
      <c r="CZ67" s="1245" t="str">
        <f>_xlfn.XLOOKUP(E67,MOPFRA!$R$7:$R$56,MOPFRA!$P$7:$P$56,"")</f>
        <v>PH</v>
      </c>
      <c r="DA67" s="1802">
        <v>0.9</v>
      </c>
      <c r="DB67" s="1529">
        <f t="shared" si="165"/>
        <v>0.36144578313253012</v>
      </c>
      <c r="DC67" s="1529">
        <f t="shared" si="166"/>
        <v>0.49494949494949497</v>
      </c>
      <c r="DD67" s="1529">
        <f t="shared" si="167"/>
        <v>0.48318042813455658</v>
      </c>
      <c r="DE67" s="1529">
        <f t="shared" si="168"/>
        <v>0.41176470588235292</v>
      </c>
      <c r="DF67" s="1529">
        <f t="shared" si="169"/>
        <v>0.42326332794830374</v>
      </c>
      <c r="DG67" s="1529">
        <f t="shared" si="170"/>
        <v>0.34491978609625668</v>
      </c>
      <c r="DH67" s="1529">
        <f t="shared" si="171"/>
        <v>0.29430719656283566</v>
      </c>
      <c r="DI67" s="1529">
        <f t="shared" si="172"/>
        <v>0.33152664859981934</v>
      </c>
      <c r="DJ67" s="1529">
        <f t="shared" si="187"/>
        <v>0.35792778649921508</v>
      </c>
      <c r="DK67" s="1529">
        <f t="shared" si="174"/>
        <v>0.38284518828451886</v>
      </c>
      <c r="DL67" s="1529">
        <f t="shared" si="175"/>
        <v>0.42115143929912391</v>
      </c>
      <c r="DM67" s="1529">
        <f t="shared" si="176"/>
        <v>0.45619335347432022</v>
      </c>
      <c r="DN67" s="1529">
        <f t="shared" si="177"/>
        <v>0.40707964601769914</v>
      </c>
      <c r="DO67" s="1529">
        <f t="shared" si="178"/>
        <v>0.89189189189189189</v>
      </c>
      <c r="DP67" s="1529">
        <f t="shared" si="179"/>
        <v>1.8123711340206186</v>
      </c>
      <c r="DQ67" s="1529">
        <f t="shared" si="180"/>
        <v>2.2351190476190474</v>
      </c>
      <c r="DS67" s="1583" t="s">
        <v>605</v>
      </c>
      <c r="DT67" s="1736"/>
      <c r="DU67" s="1580">
        <f>_xlfn.XLOOKUP(E67,E67:E155,CW67:CW155,"")</f>
        <v>2.7852991226427326</v>
      </c>
      <c r="DV67" s="1943">
        <f t="shared" si="181"/>
        <v>4</v>
      </c>
      <c r="DW67" s="1730">
        <f t="shared" si="182"/>
        <v>1.2544194268701154</v>
      </c>
      <c r="DX67" s="1860">
        <f t="shared" si="183"/>
        <v>-1.1810647906033966</v>
      </c>
      <c r="DY67" s="1683">
        <f>_xlfn.XLOOKUP(E67,MOPFRA!$R$7:$R$56,MOPFRA!$D$7:$D$56,"")</f>
        <v>1.2108961258936652</v>
      </c>
      <c r="DZ67" s="1583" t="s">
        <v>605</v>
      </c>
    </row>
    <row r="68" spans="2:130" ht="68" customHeight="1">
      <c r="B68" s="1119">
        <f>_xlfn.XLOOKUP(E68,MOPFRA!$R$7:$R$56,MOPFRA!$A$7:$A$56,"")</f>
        <v>1.2283214162342571E-2</v>
      </c>
      <c r="C68" s="394">
        <f>_xlfn.XLOOKUP(E68,MOPFRA!$R$7:$R$56,MOPFRA!$T$7:$T$56,"")</f>
        <v>4119.3</v>
      </c>
      <c r="D68" s="223" t="s">
        <v>106</v>
      </c>
      <c r="E68" s="1949" t="s">
        <v>107</v>
      </c>
      <c r="F68" s="982">
        <f>_xlfn.XLOOKUP(E68,MOPFRA!$R$7:$R$56,MOPFRA!$S$7:$S$56,"")</f>
        <v>12</v>
      </c>
      <c r="G68" s="1203">
        <f>_xlfn.XLOOKUP(E68,MOPFRA!$R$7:$R$56,MOPFRA!$AQ$7:$AQ$56,"")</f>
        <v>2136</v>
      </c>
      <c r="H68" s="1210">
        <v>0</v>
      </c>
      <c r="I68" s="1713">
        <f t="shared" si="114"/>
        <v>2136</v>
      </c>
      <c r="J68" s="1712">
        <f t="shared" si="115"/>
        <v>0</v>
      </c>
      <c r="K68" s="1761">
        <v>4</v>
      </c>
      <c r="L68" s="1728">
        <f t="shared" si="116"/>
        <v>4</v>
      </c>
      <c r="M68" s="689">
        <v>479</v>
      </c>
      <c r="N68" s="689">
        <v>1164</v>
      </c>
      <c r="O68" s="1718">
        <v>0</v>
      </c>
      <c r="P68" s="1713">
        <f t="shared" si="117"/>
        <v>1164</v>
      </c>
      <c r="Q68" s="1712">
        <f t="shared" si="118"/>
        <v>0</v>
      </c>
      <c r="R68" s="557">
        <f t="shared" si="184"/>
        <v>3492</v>
      </c>
      <c r="S68" s="553">
        <f t="shared" si="119"/>
        <v>1.4300626304801669</v>
      </c>
      <c r="T68" s="553">
        <f t="shared" si="120"/>
        <v>0.22425093632958801</v>
      </c>
      <c r="U68" s="558">
        <f t="shared" si="121"/>
        <v>5190.6137787056368</v>
      </c>
      <c r="V68" s="591">
        <f t="shared" si="122"/>
        <v>685</v>
      </c>
      <c r="W68" s="559">
        <f t="shared" si="123"/>
        <v>2821</v>
      </c>
      <c r="X68" s="560">
        <f t="shared" si="124"/>
        <v>4173.556889352818</v>
      </c>
      <c r="Y68" s="1244">
        <f t="shared" si="125"/>
        <v>0.95391240138240541</v>
      </c>
      <c r="Z68" s="658"/>
      <c r="AA68" s="63">
        <v>1106</v>
      </c>
      <c r="AB68" s="1147">
        <v>1106</v>
      </c>
      <c r="AC68" s="63">
        <v>73</v>
      </c>
      <c r="AD68" s="63">
        <v>180</v>
      </c>
      <c r="AE68" s="63">
        <v>275</v>
      </c>
      <c r="AF68" s="63">
        <v>362</v>
      </c>
      <c r="AG68" s="63">
        <v>441</v>
      </c>
      <c r="AH68" s="63">
        <v>561</v>
      </c>
      <c r="AI68" s="63">
        <v>665</v>
      </c>
      <c r="AJ68" s="63">
        <v>861</v>
      </c>
      <c r="AK68" s="1791">
        <v>939</v>
      </c>
      <c r="AL68" s="63">
        <v>1048</v>
      </c>
      <c r="AM68" s="63">
        <v>1171</v>
      </c>
      <c r="AN68" s="1140">
        <v>1277</v>
      </c>
      <c r="AO68" s="1594">
        <f>AN68+AB68-AA68</f>
        <v>1277</v>
      </c>
      <c r="AP68" s="1147">
        <v>1277</v>
      </c>
      <c r="AQ68" s="1494"/>
      <c r="AR68" s="63">
        <v>0</v>
      </c>
      <c r="AS68" s="63">
        <v>152</v>
      </c>
      <c r="AT68" s="1427">
        <f t="shared" si="127"/>
        <v>1.0821917808219179</v>
      </c>
      <c r="AU68" s="1351">
        <f t="shared" si="128"/>
        <v>1.0821917808219179</v>
      </c>
      <c r="AV68" s="63">
        <v>209</v>
      </c>
      <c r="AW68" s="1427">
        <f t="shared" si="129"/>
        <v>-0.46728971962616822</v>
      </c>
      <c r="AX68" s="1351">
        <f t="shared" si="130"/>
        <v>0.16111111111111112</v>
      </c>
      <c r="AY68" s="63">
        <v>342</v>
      </c>
      <c r="AZ68" s="1427">
        <f t="shared" si="131"/>
        <v>0.4</v>
      </c>
      <c r="BA68" s="1351">
        <f t="shared" si="132"/>
        <v>0.24363636363636362</v>
      </c>
      <c r="BB68" s="63">
        <v>479</v>
      </c>
      <c r="BC68" s="1427">
        <f t="shared" si="133"/>
        <v>0.57471264367816088</v>
      </c>
      <c r="BD68" s="1351">
        <f t="shared" si="134"/>
        <v>0.32320441988950277</v>
      </c>
      <c r="BE68" s="63">
        <v>600</v>
      </c>
      <c r="BF68" s="1427">
        <f t="shared" si="135"/>
        <v>0.53164556962025311</v>
      </c>
      <c r="BG68" s="1351">
        <f t="shared" si="136"/>
        <v>0.36054421768707484</v>
      </c>
      <c r="BH68" s="63">
        <v>746</v>
      </c>
      <c r="BI68" s="1427">
        <f t="shared" si="137"/>
        <v>0.21666666666666667</v>
      </c>
      <c r="BJ68" s="1351">
        <f t="shared" si="138"/>
        <v>0.32976827094474154</v>
      </c>
      <c r="BK68" s="63">
        <v>890</v>
      </c>
      <c r="BL68" s="1427">
        <f t="shared" si="139"/>
        <v>0.38461538461538464</v>
      </c>
      <c r="BM68" s="1351">
        <f t="shared" si="140"/>
        <v>0.33834586466165412</v>
      </c>
      <c r="BN68" s="63">
        <v>1105</v>
      </c>
      <c r="BO68" s="1427">
        <f t="shared" si="141"/>
        <v>9.6938775510204078E-2</v>
      </c>
      <c r="BP68" s="1351">
        <f t="shared" si="142"/>
        <v>0.28339140534262486</v>
      </c>
      <c r="BQ68" s="63">
        <v>1326</v>
      </c>
      <c r="BR68" s="1427">
        <f t="shared" si="143"/>
        <v>1.8333333333333333</v>
      </c>
      <c r="BS68" s="1351">
        <f t="shared" si="144"/>
        <v>0.41214057507987223</v>
      </c>
      <c r="BT68" s="63">
        <v>1543</v>
      </c>
      <c r="BU68" s="1427">
        <f t="shared" si="145"/>
        <v>0.99082568807339455</v>
      </c>
      <c r="BV68" s="1351">
        <f t="shared" si="146"/>
        <v>0.47232824427480918</v>
      </c>
      <c r="BW68" s="63">
        <v>1807</v>
      </c>
      <c r="BX68" s="1427">
        <f t="shared" si="147"/>
        <v>1.1463414634146341</v>
      </c>
      <c r="BY68" s="1351">
        <f t="shared" si="148"/>
        <v>0.54312553373185313</v>
      </c>
      <c r="BZ68" s="1140">
        <v>2069</v>
      </c>
      <c r="CA68" s="1427">
        <f t="shared" si="149"/>
        <v>1.4716981132075471</v>
      </c>
      <c r="CB68" s="1351">
        <f t="shared" si="150"/>
        <v>0.62020360219263904</v>
      </c>
      <c r="CC68" s="1901">
        <v>0</v>
      </c>
      <c r="CD68" s="1594">
        <f>BZ68</f>
        <v>2069</v>
      </c>
      <c r="CE68" s="1939">
        <f t="shared" si="152"/>
        <v>0.62020360219263904</v>
      </c>
      <c r="CF68" s="1940">
        <f t="shared" si="153"/>
        <v>17</v>
      </c>
      <c r="CG68" s="1895"/>
      <c r="CH68" s="1815">
        <v>240</v>
      </c>
      <c r="CI68" s="2039">
        <f t="shared" si="154"/>
        <v>0.57894736842105265</v>
      </c>
      <c r="CJ68" s="2041">
        <f t="shared" si="155"/>
        <v>0.57894736842105265</v>
      </c>
      <c r="CK68" s="1815">
        <v>509</v>
      </c>
      <c r="CL68" s="2039">
        <f t="shared" si="156"/>
        <v>3.7192982456140351</v>
      </c>
      <c r="CM68" s="2041">
        <f t="shared" si="157"/>
        <v>1.4354066985645932</v>
      </c>
      <c r="CN68" s="1815">
        <v>874</v>
      </c>
      <c r="CO68" s="2039">
        <f t="shared" si="158"/>
        <v>1.744360902255639</v>
      </c>
      <c r="CP68" s="2041">
        <f t="shared" si="159"/>
        <v>1.5555555555555556</v>
      </c>
      <c r="CQ68" s="1815">
        <v>1164</v>
      </c>
      <c r="CR68" s="2039">
        <f t="shared" si="160"/>
        <v>1.1167883211678833</v>
      </c>
      <c r="CS68" s="2041">
        <f t="shared" si="161"/>
        <v>1.4300626304801669</v>
      </c>
      <c r="CU68" s="1948">
        <f t="shared" si="162"/>
        <v>-0.12549292507538867</v>
      </c>
      <c r="CV68" s="1940">
        <f t="shared" si="163"/>
        <v>12</v>
      </c>
      <c r="CW68" s="1580">
        <f t="shared" si="164"/>
        <v>3.6102801666647881</v>
      </c>
      <c r="CX68" s="1799">
        <v>1872</v>
      </c>
      <c r="CY68" s="1794">
        <f>_xlfn.XLOOKUP(E68,MOPFRA!$R$7:$R$56,MOPFRA!$T$7:$T$56,"")</f>
        <v>4119.3</v>
      </c>
      <c r="CZ68" s="1245" t="s">
        <v>209</v>
      </c>
      <c r="DA68" s="1802">
        <v>0.9</v>
      </c>
      <c r="DB68" s="1529">
        <f t="shared" si="165"/>
        <v>1.0821917808219179</v>
      </c>
      <c r="DC68" s="1529">
        <f t="shared" si="166"/>
        <v>0.16111111111111112</v>
      </c>
      <c r="DD68" s="1529">
        <f t="shared" si="167"/>
        <v>0.24363636363636362</v>
      </c>
      <c r="DE68" s="1529">
        <f t="shared" si="168"/>
        <v>0.32320441988950277</v>
      </c>
      <c r="DF68" s="1529">
        <f t="shared" si="169"/>
        <v>0.36054421768707484</v>
      </c>
      <c r="DG68" s="1529">
        <f t="shared" si="170"/>
        <v>0.32976827094474154</v>
      </c>
      <c r="DH68" s="1529">
        <f t="shared" si="171"/>
        <v>0.33834586466165412</v>
      </c>
      <c r="DI68" s="1529">
        <f t="shared" si="172"/>
        <v>0.28339140534262486</v>
      </c>
      <c r="DJ68" s="1529">
        <f t="shared" si="187"/>
        <v>0.41214057507987223</v>
      </c>
      <c r="DK68" s="1529">
        <f t="shared" si="174"/>
        <v>0.47232824427480918</v>
      </c>
      <c r="DL68" s="1529">
        <f t="shared" si="175"/>
        <v>0.54312553373185313</v>
      </c>
      <c r="DM68" s="1529">
        <f t="shared" si="176"/>
        <v>0.62020360219263904</v>
      </c>
      <c r="DN68" s="1529">
        <f t="shared" si="177"/>
        <v>0.57894736842105265</v>
      </c>
      <c r="DO68" s="1529">
        <f t="shared" si="178"/>
        <v>1.4354066985645932</v>
      </c>
      <c r="DP68" s="1529">
        <f t="shared" si="179"/>
        <v>1.5555555555555556</v>
      </c>
      <c r="DQ68" s="1529">
        <f t="shared" si="180"/>
        <v>1.4300626304801669</v>
      </c>
      <c r="DS68" s="1583" t="s">
        <v>197</v>
      </c>
      <c r="DT68" s="1736"/>
      <c r="DU68" s="1580">
        <f>_xlfn.XLOOKUP(E68,E68:E157,CW68:CW157,"")</f>
        <v>3.6102801666647881</v>
      </c>
      <c r="DV68" s="1943">
        <f t="shared" si="181"/>
        <v>12</v>
      </c>
      <c r="DW68" s="1730">
        <f t="shared" si="182"/>
        <v>1.2004807692307693</v>
      </c>
      <c r="DX68" s="1860">
        <f t="shared" si="183"/>
        <v>0</v>
      </c>
      <c r="DY68" s="1683">
        <f>_xlfn.XLOOKUP(E68,MOPFRA!$R$7:$R$56,MOPFRA!$D$7:$D$56,"")</f>
        <v>-1.3688019735483934</v>
      </c>
      <c r="DZ68" s="1583" t="s">
        <v>603</v>
      </c>
    </row>
    <row r="69" spans="2:130" ht="68" customHeight="1">
      <c r="B69" s="1119">
        <f>_xlfn.XLOOKUP(E69,MOPFRA!$R$7:$R$56,MOPFRA!$A$7:$A$56,"")</f>
        <v>-1.2993818292259467</v>
      </c>
      <c r="C69" s="394">
        <f>_xlfn.XLOOKUP(E69,MOPFRA!$R$7:$R$56,MOPFRA!$T$7:$T$56,"")</f>
        <v>17248.8</v>
      </c>
      <c r="D69" s="223" t="s">
        <v>166</v>
      </c>
      <c r="E69" s="1949" t="s">
        <v>167</v>
      </c>
      <c r="F69" s="982">
        <f>_xlfn.XLOOKUP(E69,MOPFRA!$R$7:$R$56,MOPFRA!$S$7:$S$56,"")</f>
        <v>12</v>
      </c>
      <c r="G69" s="1203">
        <f>_xlfn.XLOOKUP(E69,MOPFRA!$R$7:$R$56,MOPFRA!$AQ$7:$AQ$56,"")</f>
        <v>4221</v>
      </c>
      <c r="H69" s="1210">
        <v>0</v>
      </c>
      <c r="I69" s="1713">
        <f t="shared" ref="I69:I86" si="188">G69-H69</f>
        <v>4221</v>
      </c>
      <c r="J69" s="1712">
        <f t="shared" ref="J69:J86" si="189">H69/G69</f>
        <v>0</v>
      </c>
      <c r="K69" s="1761">
        <v>4</v>
      </c>
      <c r="L69" s="1728">
        <f t="shared" ref="L69:L85" si="190">IF(K69&gt;F69,(K69-F69),((12-F69)+K69))</f>
        <v>4</v>
      </c>
      <c r="M69" s="689">
        <v>1238</v>
      </c>
      <c r="N69" s="689">
        <v>2208</v>
      </c>
      <c r="O69" s="1718">
        <v>0</v>
      </c>
      <c r="P69" s="1713">
        <f t="shared" ref="P69:P86" si="191">N69-O69</f>
        <v>2208</v>
      </c>
      <c r="Q69" s="1712">
        <f t="shared" ref="Q69:Q86" si="192">O69/N69</f>
        <v>0</v>
      </c>
      <c r="R69" s="557">
        <f t="shared" si="184"/>
        <v>6624</v>
      </c>
      <c r="S69" s="553">
        <f t="shared" ref="S69:S86" si="193">(N69-M69)/M69</f>
        <v>0.78352180936995153</v>
      </c>
      <c r="T69" s="553">
        <f t="shared" ref="T69:T86" si="194">M69/G69</f>
        <v>0.29329542762378585</v>
      </c>
      <c r="U69" s="558">
        <f t="shared" ref="U69:U86" si="195">G69*(1+S69)</f>
        <v>7528.2455573505649</v>
      </c>
      <c r="V69" s="591">
        <f t="shared" ref="V69:V86" si="196">N69-M69</f>
        <v>970</v>
      </c>
      <c r="W69" s="559">
        <f t="shared" ref="W69:W86" si="197">G69+V69</f>
        <v>5191</v>
      </c>
      <c r="X69" s="560">
        <f t="shared" ref="X69:X86" si="198">IF(AND(N69&gt;=M69,(R69+U69+U69+W69)/4&lt;G69),W69,(R69+U69+U69+W69)/4)</f>
        <v>6717.8727786752825</v>
      </c>
      <c r="Y69" s="1244">
        <f t="shared" ref="Y69:Y86" si="199">(X69-G69)/G69</f>
        <v>0.59153583953453748</v>
      </c>
      <c r="Z69" s="658"/>
      <c r="AA69" s="63">
        <v>1734</v>
      </c>
      <c r="AB69" s="1147">
        <v>1734</v>
      </c>
      <c r="AC69" s="63">
        <v>118</v>
      </c>
      <c r="AD69" s="63">
        <v>261</v>
      </c>
      <c r="AE69" s="63">
        <v>471</v>
      </c>
      <c r="AF69" s="63">
        <v>642</v>
      </c>
      <c r="AG69" s="63">
        <v>860</v>
      </c>
      <c r="AH69" s="63">
        <v>1092</v>
      </c>
      <c r="AI69" s="63">
        <v>1284</v>
      </c>
      <c r="AJ69" s="63">
        <v>1371</v>
      </c>
      <c r="AK69" s="1791">
        <v>1552</v>
      </c>
      <c r="AL69" s="63">
        <v>1826</v>
      </c>
      <c r="AM69" s="63">
        <v>2172</v>
      </c>
      <c r="AN69" s="1140">
        <v>2417</v>
      </c>
      <c r="AO69" s="1594">
        <f>AN69+AB69-AA69</f>
        <v>2417</v>
      </c>
      <c r="AP69" s="1147">
        <v>2417</v>
      </c>
      <c r="AQ69" s="1494"/>
      <c r="AR69" s="63">
        <v>0</v>
      </c>
      <c r="AS69" s="63">
        <v>240</v>
      </c>
      <c r="AT69" s="1427">
        <f t="shared" ref="AT69:AT86" si="200">IFERROR(IF(OR(AT$3-$F69=1,AT$3-$F69=-11),(AS69-AC69)/AC69,((AS69-AR69)-(AC69-AA69))/(AC69-AA69)),"")</f>
        <v>1.0338983050847457</v>
      </c>
      <c r="AU69" s="1351">
        <f t="shared" ref="AU69:AU86" si="201">IFERROR((AS69-AC69)/AC69,"")</f>
        <v>1.0338983050847457</v>
      </c>
      <c r="AV69" s="63">
        <v>591</v>
      </c>
      <c r="AW69" s="1427">
        <f t="shared" ref="AW69:AW86" si="202">IFERROR(IF(OR(AW$3-$F69=1,AW$3-$F69=-11),(AV69-AD69)/AD69,((AV69-AS69)-(AD69-AC69))/(AD69-AC69)),"")</f>
        <v>1.4545454545454546</v>
      </c>
      <c r="AX69" s="1351">
        <f t="shared" ref="AX69:AX86" si="203">IFERROR((AV69-AD69)/AD69,"")</f>
        <v>1.264367816091954</v>
      </c>
      <c r="AY69" s="63">
        <v>892</v>
      </c>
      <c r="AZ69" s="1427">
        <f t="shared" ref="AZ69:AZ86" si="204">IFERROR(IF(OR(AZ$3-$F69=1,AZ$3-$F69=-11),(AY69-AE69)/AE69,((AY69-AV69)-(AE69-AD69))/(AE69-AD69)),"")</f>
        <v>0.43333333333333335</v>
      </c>
      <c r="BA69" s="1351">
        <f t="shared" ref="BA69:BA86" si="205">IFERROR((AY69-AE69)/AE69,"")</f>
        <v>0.89384288747346075</v>
      </c>
      <c r="BB69" s="63">
        <v>1238</v>
      </c>
      <c r="BC69" s="1427">
        <f t="shared" ref="BC69:BC86" si="206">IFERROR(IF(OR(BC$3-$F69=1,BC$3-$F69=-11),(BB69-AF69)/AF69,((BB69-AY69)-(AF69-AE69))/(AF69-AE69)),"")</f>
        <v>1.0233918128654971</v>
      </c>
      <c r="BD69" s="1351">
        <f t="shared" ref="BD69:BD86" si="207">IFERROR((BB69-AF69)/AF69,"")</f>
        <v>0.92834890965732086</v>
      </c>
      <c r="BE69" s="63">
        <v>1579</v>
      </c>
      <c r="BF69" s="1427">
        <f t="shared" ref="BF69:BF86" si="208">IFERROR(IF(OR(BF$3-$F69=1,BF$3-$F69=-11),(BE69-AG69)/AG69,((BE69-BB69)-(AG69-AF69))/(AG69-AF69)),"")</f>
        <v>0.56422018348623848</v>
      </c>
      <c r="BG69" s="1351">
        <f t="shared" ref="BG69:BG86" si="209">IFERROR((BE69-AG69)/AG69,"")</f>
        <v>0.836046511627907</v>
      </c>
      <c r="BH69" s="63">
        <v>1999</v>
      </c>
      <c r="BI69" s="1427">
        <f t="shared" ref="BI69:BI86" si="210">IFERROR(IF(OR(BI$3-$F69=1,BI$3-$F69=-11),(BH69-AH69)/AH69,((BH69-BE69)-(AH69-AG69))/(AH69-AG69)),"")</f>
        <v>0.81034482758620685</v>
      </c>
      <c r="BJ69" s="1351">
        <f t="shared" ref="BJ69:BJ86" si="211">IFERROR((BH69-AH69)/AH69,"")</f>
        <v>0.83058608058608063</v>
      </c>
      <c r="BK69" s="63">
        <v>2455</v>
      </c>
      <c r="BL69" s="1427">
        <f t="shared" ref="BL69:BL86" si="212">IFERROR(IF(OR(BL$3-$F69=1,BL$3-$F69=-11),(BK69-AI69)/AI69,((BK69-BH69)-(AI69-AH69))/(AI69-AH69)),"")</f>
        <v>1.375</v>
      </c>
      <c r="BM69" s="1351">
        <f t="shared" ref="BM69:BM86" si="213">IFERROR((BK69-AI69)/AI69,"")</f>
        <v>0.911993769470405</v>
      </c>
      <c r="BN69" s="63">
        <v>2918</v>
      </c>
      <c r="BO69" s="1427">
        <f t="shared" ref="BO69:BO86" si="214">IFERROR(IF(OR(BO$3-$F69=1,BO$3-$F69=-11),(BN69-AJ69)/AJ69,((BN69-BK69)-(AJ69-AI69))/(AJ69-AI69)),"")</f>
        <v>4.3218390804597702</v>
      </c>
      <c r="BP69" s="1351">
        <f t="shared" ref="BP69:BP86" si="215">IFERROR((BN69-AJ69)/AJ69,"")</f>
        <v>1.1283734500364697</v>
      </c>
      <c r="BQ69" s="63">
        <v>3339</v>
      </c>
      <c r="BR69" s="1427">
        <f t="shared" ref="BR69:BR86" si="216">IFERROR(IF(OR(BR$3-$F69=1,BR$3-$F69=-11),(BQ69-AK69)/AK69,((BQ69-BN69)-(AK69-AJ69))/(AK69-AJ69)),"")</f>
        <v>1.3259668508287292</v>
      </c>
      <c r="BS69" s="1351">
        <f t="shared" ref="BS69:BS86" si="217">IFERROR((BQ69-AK69)/AK69,"")</f>
        <v>1.1514175257731958</v>
      </c>
      <c r="BT69" s="63">
        <v>3739</v>
      </c>
      <c r="BU69" s="1427">
        <f t="shared" ref="BU69:BU86" si="218">IFERROR(IF(OR(BU$3-$F69=1,BU$3-$F69=-11),(BT69-AL69)/AL69,((BT69-BQ69)-(AL69-AK69))/(AL69-AK69)),"")</f>
        <v>0.45985401459854014</v>
      </c>
      <c r="BV69" s="1351">
        <f t="shared" ref="BV69:BV86" si="219">IF(BT69&gt;0,((BT69-AL69)/AL69),"")</f>
        <v>1.047645125958379</v>
      </c>
      <c r="BW69" s="63">
        <v>4142</v>
      </c>
      <c r="BX69" s="1427">
        <f t="shared" ref="BX69:BX86" si="220">IFERROR(IF(OR(BX$3-$F69=1,BX$3-$F69=-11),(BW69-AM69)/AM69,((BW69-BT69)-(AM69-AL69))/(AM69-AL69)),"")</f>
        <v>0.16473988439306358</v>
      </c>
      <c r="BY69" s="1351">
        <f t="shared" ref="BY69:BY86" si="221">IF(BW69&gt;0,((BW69-AM69)/AM69),"")</f>
        <v>0.90699815837937381</v>
      </c>
      <c r="BZ69" s="1140">
        <v>4221</v>
      </c>
      <c r="CA69" s="1427">
        <f t="shared" ref="CA69:CA86" si="222">IFERROR(IF(OR(CA$3-$F69=1,CA$3-$F69=-11),(BZ69-AN69)/AN69,((BZ69-BW69)-(AN69-AM69))/(AN69-AM69)),"")</f>
        <v>-0.67755102040816328</v>
      </c>
      <c r="CB69" s="1351">
        <f t="shared" ref="CB69:CB86" si="223">IF(BZ69&gt;0,((BZ69-AN69)/AN69),"")</f>
        <v>0.74637980968142326</v>
      </c>
      <c r="CC69" s="1901">
        <v>0</v>
      </c>
      <c r="CD69" s="1594">
        <f>BZ69</f>
        <v>4221</v>
      </c>
      <c r="CE69" s="1939">
        <f t="shared" ref="CE69:CE86" si="224">IFERROR((CD69-AO69)/AO69,"")</f>
        <v>0.74637980968142326</v>
      </c>
      <c r="CF69" s="1940">
        <f t="shared" ref="CF69:CF86" si="225">RANK(CE69,$CE$37:$CE$86)</f>
        <v>10</v>
      </c>
      <c r="CG69" s="1895"/>
      <c r="CH69" s="1815">
        <v>286</v>
      </c>
      <c r="CI69" s="2039">
        <f t="shared" ref="CI69:CI86" si="226">IFERROR(IF(OR(CI$3-$F69=1,CI$3-$F69=-11),(CH69-AS69)/AS69,((CH69-BZ69)-(AS69-AN69))/(AS69-AN69)),"")</f>
        <v>0.19166666666666668</v>
      </c>
      <c r="CJ69" s="2041">
        <f t="shared" ref="CJ69:CJ86" si="227">IF(CH69&gt;0,((CH69-AS69)/AS69),"")</f>
        <v>0.19166666666666668</v>
      </c>
      <c r="CK69" s="1815">
        <v>848</v>
      </c>
      <c r="CL69" s="2039">
        <f t="shared" ref="CL69:CL86" si="228">IFERROR(IF(OR(CL$3-$F69=1,CL$3-$F69=-11),(CK69-AV69)/AV69,((CK69-CH69)-(AV69-AS69))/(AV69-AS69)),"")</f>
        <v>0.60113960113960119</v>
      </c>
      <c r="CM69" s="2041">
        <f t="shared" ref="CM69:CM86" si="229">IF(CK69&gt;0,((CK69-AV69)/AV69),"")</f>
        <v>0.43485617597292725</v>
      </c>
      <c r="CN69" s="1815">
        <v>1507</v>
      </c>
      <c r="CO69" s="2039">
        <f t="shared" ref="CO69:CO86" si="230">IFERROR(IF(OR(CO$3-$F69=1,CO$3-$F69=-11),(CN69-AY69)/AY69,((CN69-CK69)-(AY69-AV69))/(AY69-AV69)),"")</f>
        <v>1.1893687707641196</v>
      </c>
      <c r="CP69" s="2041">
        <f t="shared" ref="CP69:CP86" si="231">IF(CN69&gt;0,((CN69-AY69)/AY69),"")</f>
        <v>0.6894618834080718</v>
      </c>
      <c r="CQ69" s="1815">
        <v>2208</v>
      </c>
      <c r="CR69" s="2039">
        <f t="shared" ref="CR69:CR86" si="232">IFERROR(IF(OR(CR$3-$F69=1,CR$3-$F69=-11),(CQ69-BB69)/BB69,((CQ69-CN69)-(BB69-AY69))/(BB69-AY69)),"")</f>
        <v>1.0260115606936415</v>
      </c>
      <c r="CS69" s="2041">
        <f t="shared" ref="CS69:CS86" si="233">IF(CQ69&gt;0,((CQ69-BB69)/BB69),"")</f>
        <v>0.78352180936995153</v>
      </c>
      <c r="CU69" s="1948">
        <f t="shared" ref="CU69:CU86" si="234">IFERROR(IF(CS69&gt;-100,CS69-CP69,""),"")</f>
        <v>9.4059925961879731E-2</v>
      </c>
      <c r="CV69" s="1940">
        <f t="shared" ref="CV69:CV86" si="235">IFERROR(RANK(CS69, $CS$37:$CS$86),"")</f>
        <v>30</v>
      </c>
      <c r="CW69" s="1580">
        <f t="shared" ref="CW69:CW87" si="236">IFERROR((SUMIF($CZ$4:$CZ$93,CZ69,$CY$4:$CY$93)-SUMIF($CZ$4:$CZ$93,CZ69,$CX$4:$CX$93))/SUMIF($CZ$4:$CZ$93,CZ69,$CX$4:$CX$93),"")</f>
        <v>2.7852991226427326</v>
      </c>
      <c r="CX69" s="1799">
        <v>6432</v>
      </c>
      <c r="CY69" s="1794">
        <f>_xlfn.XLOOKUP(E69,MOPFRA!$R$7:$R$56,MOPFRA!$T$7:$T$56,"")</f>
        <v>17248.8</v>
      </c>
      <c r="CZ69" s="1245" t="str">
        <f>_xlfn.XLOOKUP(E69,MOPFRA!$R$7:$R$56,MOPFRA!$P$7:$P$56,"")</f>
        <v>PH</v>
      </c>
      <c r="DA69" s="1802">
        <v>0.9</v>
      </c>
      <c r="DB69" s="1529">
        <f t="shared" ref="DB69:DB86" si="237">AU69</f>
        <v>1.0338983050847457</v>
      </c>
      <c r="DC69" s="1529">
        <f t="shared" ref="DC69:DC86" si="238">AX69</f>
        <v>1.264367816091954</v>
      </c>
      <c r="DD69" s="1529">
        <f t="shared" ref="DD69:DD86" si="239">BA69</f>
        <v>0.89384288747346075</v>
      </c>
      <c r="DE69" s="1529">
        <f t="shared" ref="DE69:DE86" si="240">BD69</f>
        <v>0.92834890965732086</v>
      </c>
      <c r="DF69" s="1529">
        <f t="shared" ref="DF69:DF86" si="241">BG69</f>
        <v>0.836046511627907</v>
      </c>
      <c r="DG69" s="1529">
        <f t="shared" ref="DG69:DG86" si="242">BJ69</f>
        <v>0.83058608058608063</v>
      </c>
      <c r="DH69" s="1529">
        <f t="shared" ref="DH69:DH86" si="243">BM69</f>
        <v>0.911993769470405</v>
      </c>
      <c r="DI69" s="1529">
        <f t="shared" ref="DI69:DI86" si="244">BP69</f>
        <v>1.1283734500364697</v>
      </c>
      <c r="DJ69" s="1529">
        <f t="shared" si="187"/>
        <v>1.1514175257731958</v>
      </c>
      <c r="DK69" s="1529">
        <f t="shared" ref="DK69:DK86" si="245">BV69</f>
        <v>1.047645125958379</v>
      </c>
      <c r="DL69" s="1529">
        <f t="shared" ref="DL69:DL86" si="246">BY69</f>
        <v>0.90699815837937381</v>
      </c>
      <c r="DM69" s="1529">
        <f t="shared" ref="DM69:DM86" si="247">CB69</f>
        <v>0.74637980968142326</v>
      </c>
      <c r="DN69" s="1529">
        <f t="shared" ref="DN69:DN86" si="248">CJ69</f>
        <v>0.19166666666666668</v>
      </c>
      <c r="DO69" s="1529">
        <f t="shared" ref="DO69:DO86" si="249">CM69</f>
        <v>0.43485617597292725</v>
      </c>
      <c r="DP69" s="1529">
        <f t="shared" ref="DP69:DP86" si="250">CP69</f>
        <v>0.6894618834080718</v>
      </c>
      <c r="DQ69" s="1529">
        <f t="shared" ref="DQ69:DQ86" si="251">CS69</f>
        <v>0.78352180936995153</v>
      </c>
      <c r="DS69" s="1583" t="s">
        <v>197</v>
      </c>
      <c r="DT69" s="1736"/>
      <c r="DU69" s="1580">
        <f>_xlfn.XLOOKUP(E69,E69:E157,CW69:CW157,"")</f>
        <v>2.7852991226427326</v>
      </c>
      <c r="DV69" s="1943">
        <f t="shared" ref="DV69:DV86" si="252">CV69</f>
        <v>30</v>
      </c>
      <c r="DW69" s="1730">
        <f t="shared" ref="DW69:DW86" si="253">IFERROR((CY69-CX69)/CX69, "NEW")</f>
        <v>1.6817164179104476</v>
      </c>
      <c r="DX69" s="1860">
        <f t="shared" ref="DX69:DX86" si="254">(Q69-J69)*100</f>
        <v>0</v>
      </c>
      <c r="DY69" s="1683">
        <f>_xlfn.XLOOKUP(E69,MOPFRA!$R$7:$R$56,MOPFRA!$D$7:$D$56,"")</f>
        <v>1.8111582735754963</v>
      </c>
      <c r="DZ69" s="1583" t="s">
        <v>197</v>
      </c>
    </row>
    <row r="70" spans="2:130" ht="68" customHeight="1">
      <c r="B70" s="1119">
        <f>_xlfn.XLOOKUP(E70,MOPFRA!$R$7:$R$56,MOPFRA!$A$7:$A$56,"")</f>
        <v>-2.1757077800753883</v>
      </c>
      <c r="C70" s="394">
        <f>_xlfn.XLOOKUP(E70,MOPFRA!$R$7:$R$56,MOPFRA!$T$7:$T$56,"")</f>
        <v>8871.0512000000017</v>
      </c>
      <c r="D70" s="223" t="s">
        <v>183</v>
      </c>
      <c r="E70" s="1949" t="s">
        <v>184</v>
      </c>
      <c r="F70" s="982">
        <f>_xlfn.XLOOKUP(E70,MOPFRA!$R$7:$R$56,MOPFRA!$S$7:$S$56,"")</f>
        <v>9</v>
      </c>
      <c r="G70" s="1203">
        <f>_xlfn.XLOOKUP(E70,MOPFRA!$R$7:$R$56,MOPFRA!$AQ$7:$AQ$56,"")</f>
        <v>9231</v>
      </c>
      <c r="H70" s="1210">
        <v>75</v>
      </c>
      <c r="I70" s="1713">
        <f t="shared" si="188"/>
        <v>9156</v>
      </c>
      <c r="J70" s="1712">
        <f t="shared" si="189"/>
        <v>8.1247968800779984E-3</v>
      </c>
      <c r="K70" s="1761">
        <v>4</v>
      </c>
      <c r="L70" s="1728">
        <f t="shared" si="190"/>
        <v>7</v>
      </c>
      <c r="M70" s="689">
        <v>5215</v>
      </c>
      <c r="N70" s="689">
        <v>7122</v>
      </c>
      <c r="O70" s="1718">
        <v>218</v>
      </c>
      <c r="P70" s="1713">
        <f t="shared" si="191"/>
        <v>6904</v>
      </c>
      <c r="Q70" s="1712">
        <f t="shared" si="192"/>
        <v>3.0609379387812413E-2</v>
      </c>
      <c r="R70" s="557">
        <f t="shared" si="184"/>
        <v>12209.142857142857</v>
      </c>
      <c r="S70" s="553">
        <f t="shared" si="193"/>
        <v>0.36567593480345156</v>
      </c>
      <c r="T70" s="553">
        <f t="shared" si="194"/>
        <v>0.56494420972809012</v>
      </c>
      <c r="U70" s="558">
        <f t="shared" si="195"/>
        <v>12606.554554170662</v>
      </c>
      <c r="V70" s="591">
        <f t="shared" si="196"/>
        <v>1907</v>
      </c>
      <c r="W70" s="559">
        <f t="shared" si="197"/>
        <v>11138</v>
      </c>
      <c r="X70" s="560">
        <f t="shared" si="198"/>
        <v>12140.062991371045</v>
      </c>
      <c r="Y70" s="1244">
        <f t="shared" si="199"/>
        <v>0.31514061221655781</v>
      </c>
      <c r="Z70" s="658"/>
      <c r="AA70" s="63">
        <v>1320</v>
      </c>
      <c r="AB70" s="1147">
        <v>1320</v>
      </c>
      <c r="AC70" s="63">
        <v>1837</v>
      </c>
      <c r="AD70" s="63">
        <v>2427</v>
      </c>
      <c r="AE70" s="63">
        <v>2907</v>
      </c>
      <c r="AF70" s="63">
        <v>3425</v>
      </c>
      <c r="AG70" s="63">
        <v>3833</v>
      </c>
      <c r="AH70" s="63">
        <v>4362</v>
      </c>
      <c r="AI70" s="63">
        <v>4972</v>
      </c>
      <c r="AJ70" s="63">
        <v>5625</v>
      </c>
      <c r="AK70" s="1792">
        <v>6320</v>
      </c>
      <c r="AL70" s="63">
        <v>722</v>
      </c>
      <c r="AM70" s="63">
        <v>1364</v>
      </c>
      <c r="AN70" s="63">
        <v>2176</v>
      </c>
      <c r="AO70" s="1594">
        <f>AK70-AA70+AN70</f>
        <v>7176</v>
      </c>
      <c r="AP70" s="1147">
        <v>6320</v>
      </c>
      <c r="AQ70" s="1494"/>
      <c r="AR70" s="63">
        <v>2176</v>
      </c>
      <c r="AS70" s="63">
        <v>2935</v>
      </c>
      <c r="AT70" s="1427">
        <f t="shared" si="200"/>
        <v>0.46808510638297873</v>
      </c>
      <c r="AU70" s="1351">
        <f t="shared" si="201"/>
        <v>0.59771366358192701</v>
      </c>
      <c r="AV70" s="63">
        <v>3728</v>
      </c>
      <c r="AW70" s="1427">
        <f t="shared" si="202"/>
        <v>0.34406779661016951</v>
      </c>
      <c r="AX70" s="1351">
        <f t="shared" si="203"/>
        <v>0.53605274000824066</v>
      </c>
      <c r="AY70" s="63">
        <v>4482</v>
      </c>
      <c r="AZ70" s="1427">
        <f t="shared" si="204"/>
        <v>0.5708333333333333</v>
      </c>
      <c r="BA70" s="1351">
        <f t="shared" si="205"/>
        <v>0.54179566563467496</v>
      </c>
      <c r="BB70" s="63">
        <v>5215</v>
      </c>
      <c r="BC70" s="1427">
        <f t="shared" si="206"/>
        <v>0.41505791505791506</v>
      </c>
      <c r="BD70" s="1351">
        <f t="shared" si="207"/>
        <v>0.52262773722627742</v>
      </c>
      <c r="BE70" s="63">
        <v>6002</v>
      </c>
      <c r="BF70" s="1427">
        <f t="shared" si="208"/>
        <v>0.92892156862745101</v>
      </c>
      <c r="BG70" s="1351">
        <f t="shared" si="209"/>
        <v>0.56587529350378296</v>
      </c>
      <c r="BH70" s="63">
        <v>6780</v>
      </c>
      <c r="BI70" s="1427">
        <f t="shared" si="210"/>
        <v>0.47069943289224953</v>
      </c>
      <c r="BJ70" s="1351">
        <f t="shared" si="211"/>
        <v>0.55433287482806048</v>
      </c>
      <c r="BK70" s="63">
        <v>7691</v>
      </c>
      <c r="BL70" s="1427">
        <f t="shared" si="212"/>
        <v>0.4934426229508197</v>
      </c>
      <c r="BM70" s="1351">
        <f t="shared" si="213"/>
        <v>0.54686242960579245</v>
      </c>
      <c r="BN70" s="63">
        <v>8469</v>
      </c>
      <c r="BO70" s="1427">
        <f t="shared" si="214"/>
        <v>0.19142419601837674</v>
      </c>
      <c r="BP70" s="1351">
        <f t="shared" si="215"/>
        <v>0.50560000000000005</v>
      </c>
      <c r="BQ70" s="1140">
        <v>9231</v>
      </c>
      <c r="BR70" s="1427">
        <f t="shared" si="216"/>
        <v>9.6402877697841727E-2</v>
      </c>
      <c r="BS70" s="1351">
        <f t="shared" si="217"/>
        <v>0.46060126582278482</v>
      </c>
      <c r="BT70" s="63">
        <v>906</v>
      </c>
      <c r="BU70" s="1427">
        <f t="shared" si="218"/>
        <v>0.25484764542936289</v>
      </c>
      <c r="BV70" s="1351">
        <f t="shared" si="219"/>
        <v>0.25484764542936289</v>
      </c>
      <c r="BW70" s="63">
        <v>1992</v>
      </c>
      <c r="BX70" s="1427">
        <f t="shared" si="220"/>
        <v>0.69158878504672894</v>
      </c>
      <c r="BY70" s="1351">
        <f t="shared" si="221"/>
        <v>0.46041055718475071</v>
      </c>
      <c r="BZ70" s="63">
        <v>2947</v>
      </c>
      <c r="CA70" s="1427">
        <f t="shared" si="222"/>
        <v>0.17610837438423646</v>
      </c>
      <c r="CB70" s="1351">
        <f t="shared" si="223"/>
        <v>0.35431985294117646</v>
      </c>
      <c r="CC70" s="1901">
        <v>2947</v>
      </c>
      <c r="CD70" s="1594">
        <f>BQ70+BZ70-AR70</f>
        <v>10002</v>
      </c>
      <c r="CE70" s="1939">
        <f t="shared" si="224"/>
        <v>0.39381270903010035</v>
      </c>
      <c r="CF70" s="1940">
        <f t="shared" si="225"/>
        <v>34</v>
      </c>
      <c r="CG70" s="1895"/>
      <c r="CH70" s="1815">
        <v>3519</v>
      </c>
      <c r="CI70" s="2039">
        <f t="shared" si="226"/>
        <v>-0.24637681159420291</v>
      </c>
      <c r="CJ70" s="2041">
        <f t="shared" si="227"/>
        <v>0.19897785349233391</v>
      </c>
      <c r="CK70" s="1815">
        <v>4626</v>
      </c>
      <c r="CL70" s="2039">
        <f t="shared" si="228"/>
        <v>0.39596469104665827</v>
      </c>
      <c r="CM70" s="2041">
        <f t="shared" si="229"/>
        <v>0.24087982832618027</v>
      </c>
      <c r="CN70" s="1815">
        <v>5894</v>
      </c>
      <c r="CO70" s="2039">
        <f t="shared" si="230"/>
        <v>0.6816976127320955</v>
      </c>
      <c r="CP70" s="2041">
        <f t="shared" si="231"/>
        <v>0.31503792949576082</v>
      </c>
      <c r="CQ70" s="1815">
        <v>7122</v>
      </c>
      <c r="CR70" s="2039">
        <f t="shared" si="232"/>
        <v>0.67530695770804916</v>
      </c>
      <c r="CS70" s="2041">
        <f t="shared" si="233"/>
        <v>0.36567593480345156</v>
      </c>
      <c r="CU70" s="1948">
        <f t="shared" si="234"/>
        <v>5.0638005307690748E-2</v>
      </c>
      <c r="CV70" s="1940">
        <f t="shared" si="235"/>
        <v>42</v>
      </c>
      <c r="CW70" s="1580">
        <f t="shared" si="236"/>
        <v>4.7850700818986777E-3</v>
      </c>
      <c r="CX70" s="1799">
        <v>7080.4384000000018</v>
      </c>
      <c r="CY70" s="1794">
        <f>_xlfn.XLOOKUP(E70,MOPFRA!$R$7:$R$56,MOPFRA!$T$7:$T$56,"")</f>
        <v>8871.0512000000017</v>
      </c>
      <c r="CZ70" s="1245" t="str">
        <f>_xlfn.XLOOKUP(E70,MOPFRA!$R$7:$R$56,MOPFRA!$P$7:$P$56,"")</f>
        <v>T</v>
      </c>
      <c r="DA70" s="1802">
        <v>0.9</v>
      </c>
      <c r="DB70" s="1529">
        <f t="shared" si="237"/>
        <v>0.59771366358192701</v>
      </c>
      <c r="DC70" s="1529">
        <f t="shared" si="238"/>
        <v>0.53605274000824066</v>
      </c>
      <c r="DD70" s="1529">
        <f t="shared" si="239"/>
        <v>0.54179566563467496</v>
      </c>
      <c r="DE70" s="1529">
        <f t="shared" si="240"/>
        <v>0.52262773722627742</v>
      </c>
      <c r="DF70" s="1529">
        <f t="shared" si="241"/>
        <v>0.56587529350378296</v>
      </c>
      <c r="DG70" s="1529">
        <f t="shared" si="242"/>
        <v>0.55433287482806048</v>
      </c>
      <c r="DH70" s="1529">
        <f t="shared" si="243"/>
        <v>0.54686242960579245</v>
      </c>
      <c r="DI70" s="1529">
        <f t="shared" si="244"/>
        <v>0.50560000000000005</v>
      </c>
      <c r="DJ70" s="1529">
        <f t="shared" si="187"/>
        <v>0.46060126582278482</v>
      </c>
      <c r="DK70" s="1529">
        <f t="shared" si="245"/>
        <v>0.25484764542936289</v>
      </c>
      <c r="DL70" s="1529">
        <f t="shared" si="246"/>
        <v>0.46041055718475071</v>
      </c>
      <c r="DM70" s="1529">
        <f t="shared" si="247"/>
        <v>0.35431985294117646</v>
      </c>
      <c r="DN70" s="1529">
        <f t="shared" si="248"/>
        <v>0.19897785349233391</v>
      </c>
      <c r="DO70" s="1529">
        <f t="shared" si="249"/>
        <v>0.24087982832618027</v>
      </c>
      <c r="DP70" s="1529">
        <f t="shared" si="250"/>
        <v>0.31503792949576082</v>
      </c>
      <c r="DQ70" s="1529">
        <f t="shared" si="251"/>
        <v>0.36567593480345156</v>
      </c>
      <c r="DS70" s="1583" t="s">
        <v>606</v>
      </c>
      <c r="DT70" s="1736"/>
      <c r="DU70" s="1580">
        <f>_xlfn.XLOOKUP(E70,E70:E158,CW70:CW158,"")</f>
        <v>4.7850700818986777E-3</v>
      </c>
      <c r="DV70" s="1943">
        <f t="shared" si="252"/>
        <v>42</v>
      </c>
      <c r="DW70" s="1730">
        <f t="shared" si="253"/>
        <v>0.25289575289575283</v>
      </c>
      <c r="DX70" s="1860">
        <f t="shared" si="254"/>
        <v>2.2484582507734414</v>
      </c>
      <c r="DY70" s="1683">
        <f>_xlfn.XLOOKUP(E70,MOPFRA!$R$7:$R$56,MOPFRA!$D$7:$D$56,"")</f>
        <v>0.57232885613075801</v>
      </c>
      <c r="DZ70" s="1583" t="s">
        <v>606</v>
      </c>
    </row>
    <row r="71" spans="2:130" ht="68" customHeight="1">
      <c r="B71" s="1119">
        <f>_xlfn.XLOOKUP(E71,MOPFRA!$R$7:$R$56,MOPFRA!$A$7:$A$56,"")</f>
        <v>-1.4993665976421144</v>
      </c>
      <c r="C71" s="394">
        <f>_xlfn.XLOOKUP(E71,MOPFRA!$R$7:$R$56,MOPFRA!$T$7:$T$56,"")</f>
        <v>2335680</v>
      </c>
      <c r="D71" s="223" t="s">
        <v>126</v>
      </c>
      <c r="E71" s="1949" t="s">
        <v>127</v>
      </c>
      <c r="F71" s="982">
        <f>_xlfn.XLOOKUP(E71,MOPFRA!$R$7:$R$56,MOPFRA!$S$7:$S$56,"")</f>
        <v>12</v>
      </c>
      <c r="G71" s="1203">
        <f>_xlfn.XLOOKUP(E71,MOPFRA!$R$7:$R$56,MOPFRA!$AQ$7:$AQ$56,"")</f>
        <v>321889</v>
      </c>
      <c r="H71" s="1210">
        <v>56591</v>
      </c>
      <c r="I71" s="1713">
        <f t="shared" si="188"/>
        <v>265298</v>
      </c>
      <c r="J71" s="1712">
        <f t="shared" si="189"/>
        <v>0.175809052188798</v>
      </c>
      <c r="K71" s="1761">
        <v>4</v>
      </c>
      <c r="L71" s="1728">
        <f t="shared" si="190"/>
        <v>4</v>
      </c>
      <c r="M71" s="689">
        <v>60482</v>
      </c>
      <c r="N71" s="689">
        <v>181128</v>
      </c>
      <c r="O71" s="1718">
        <v>54329</v>
      </c>
      <c r="P71" s="1713">
        <f t="shared" si="191"/>
        <v>126799</v>
      </c>
      <c r="Q71" s="1712">
        <f t="shared" si="192"/>
        <v>0.29994810299898417</v>
      </c>
      <c r="R71" s="557">
        <f t="shared" si="184"/>
        <v>543384</v>
      </c>
      <c r="S71" s="553">
        <f t="shared" si="193"/>
        <v>1.9947422373598758</v>
      </c>
      <c r="T71" s="553">
        <f t="shared" si="194"/>
        <v>0.18789707010801859</v>
      </c>
      <c r="U71" s="558">
        <f t="shared" si="195"/>
        <v>963974.58404153306</v>
      </c>
      <c r="V71" s="591">
        <f t="shared" si="196"/>
        <v>120646</v>
      </c>
      <c r="W71" s="559">
        <f t="shared" si="197"/>
        <v>442535</v>
      </c>
      <c r="X71" s="560">
        <f t="shared" si="198"/>
        <v>728467.04202076653</v>
      </c>
      <c r="Y71" s="1244">
        <f t="shared" si="199"/>
        <v>1.2631001432815863</v>
      </c>
      <c r="Z71" s="658"/>
      <c r="AA71" s="63">
        <v>123930</v>
      </c>
      <c r="AB71" s="1147">
        <v>123930</v>
      </c>
      <c r="AC71" s="63">
        <v>5063</v>
      </c>
      <c r="AD71" s="63">
        <v>21326</v>
      </c>
      <c r="AE71" s="63">
        <v>34400</v>
      </c>
      <c r="AF71" s="63">
        <v>44437</v>
      </c>
      <c r="AG71" s="63">
        <v>57595</v>
      </c>
      <c r="AH71" s="63">
        <v>67520</v>
      </c>
      <c r="AI71" s="63">
        <v>85640</v>
      </c>
      <c r="AJ71" s="63">
        <v>101960</v>
      </c>
      <c r="AK71" s="1791">
        <v>118102</v>
      </c>
      <c r="AL71" s="63">
        <v>133472</v>
      </c>
      <c r="AM71" s="63">
        <v>151417</v>
      </c>
      <c r="AN71" s="1140">
        <v>175764</v>
      </c>
      <c r="AO71" s="1594">
        <f>AN71+AB71-AA71</f>
        <v>175764</v>
      </c>
      <c r="AP71" s="1147">
        <v>175764</v>
      </c>
      <c r="AQ71" s="1494"/>
      <c r="AR71" s="63">
        <v>0</v>
      </c>
      <c r="AS71" s="63">
        <v>14353</v>
      </c>
      <c r="AT71" s="1427">
        <f t="shared" si="200"/>
        <v>1.8348805056290736</v>
      </c>
      <c r="AU71" s="1351">
        <f t="shared" si="201"/>
        <v>1.8348805056290736</v>
      </c>
      <c r="AV71" s="63">
        <v>31166</v>
      </c>
      <c r="AW71" s="1427">
        <f t="shared" si="202"/>
        <v>3.3819098567300004E-2</v>
      </c>
      <c r="AX71" s="1351">
        <f t="shared" si="203"/>
        <v>0.46140860920941573</v>
      </c>
      <c r="AY71" s="63">
        <v>45890</v>
      </c>
      <c r="AZ71" s="1427">
        <f t="shared" si="204"/>
        <v>0.12620468104635155</v>
      </c>
      <c r="BA71" s="1351">
        <f t="shared" si="205"/>
        <v>0.33401162790697675</v>
      </c>
      <c r="BB71" s="63">
        <v>60482</v>
      </c>
      <c r="BC71" s="1427">
        <f t="shared" si="206"/>
        <v>0.45382086280761186</v>
      </c>
      <c r="BD71" s="1351">
        <f t="shared" si="207"/>
        <v>0.36107297972410379</v>
      </c>
      <c r="BE71" s="63">
        <v>79317</v>
      </c>
      <c r="BF71" s="1427">
        <f t="shared" si="208"/>
        <v>0.43144854841161273</v>
      </c>
      <c r="BG71" s="1351">
        <f t="shared" si="209"/>
        <v>0.37715079433978643</v>
      </c>
      <c r="BH71" s="63">
        <v>101269</v>
      </c>
      <c r="BI71" s="1427">
        <f t="shared" si="210"/>
        <v>1.2117884130982368</v>
      </c>
      <c r="BJ71" s="1351">
        <f t="shared" si="211"/>
        <v>0.49983708530805687</v>
      </c>
      <c r="BK71" s="63">
        <v>130484</v>
      </c>
      <c r="BL71" s="1427">
        <f t="shared" si="212"/>
        <v>0.61230684326710816</v>
      </c>
      <c r="BM71" s="1351">
        <f t="shared" si="213"/>
        <v>0.52363381597384395</v>
      </c>
      <c r="BN71" s="63">
        <v>161083</v>
      </c>
      <c r="BO71" s="1427">
        <f t="shared" si="214"/>
        <v>0.87493872549019602</v>
      </c>
      <c r="BP71" s="1351">
        <f t="shared" si="215"/>
        <v>0.57986465280502153</v>
      </c>
      <c r="BQ71" s="63">
        <v>189472</v>
      </c>
      <c r="BR71" s="1427">
        <f t="shared" si="216"/>
        <v>0.75870400198240617</v>
      </c>
      <c r="BS71" s="1351">
        <f t="shared" si="217"/>
        <v>0.60430814042099201</v>
      </c>
      <c r="BT71" s="63">
        <v>228970</v>
      </c>
      <c r="BU71" s="1427">
        <f t="shared" si="218"/>
        <v>1.5698113207547171</v>
      </c>
      <c r="BV71" s="1351">
        <f t="shared" si="219"/>
        <v>0.7154908894749461</v>
      </c>
      <c r="BW71" s="63">
        <v>271400</v>
      </c>
      <c r="BX71" s="1427">
        <f t="shared" si="220"/>
        <v>1.3644469211479522</v>
      </c>
      <c r="BY71" s="1351">
        <f t="shared" si="221"/>
        <v>0.7924011174438802</v>
      </c>
      <c r="BZ71" s="1140">
        <v>320989</v>
      </c>
      <c r="CA71" s="1427">
        <f t="shared" si="222"/>
        <v>1.0367601757916787</v>
      </c>
      <c r="CB71" s="1351">
        <f t="shared" si="223"/>
        <v>0.82624997155276392</v>
      </c>
      <c r="CC71" s="1901">
        <v>0</v>
      </c>
      <c r="CD71" s="1594">
        <f>BZ71</f>
        <v>320989</v>
      </c>
      <c r="CE71" s="1939">
        <f t="shared" si="224"/>
        <v>0.82624997155276392</v>
      </c>
      <c r="CF71" s="1940">
        <f t="shared" si="225"/>
        <v>8</v>
      </c>
      <c r="CG71" s="1895"/>
      <c r="CH71" s="1815">
        <v>25448</v>
      </c>
      <c r="CI71" s="2039">
        <f t="shared" si="226"/>
        <v>0.77300912701177449</v>
      </c>
      <c r="CJ71" s="2041">
        <f t="shared" si="227"/>
        <v>0.77300912701177449</v>
      </c>
      <c r="CK71" s="1815">
        <v>87814</v>
      </c>
      <c r="CL71" s="2039">
        <f t="shared" si="228"/>
        <v>2.7093915422589663</v>
      </c>
      <c r="CM71" s="2041">
        <f t="shared" si="229"/>
        <v>1.8176217673105306</v>
      </c>
      <c r="CN71" s="1815">
        <v>129757</v>
      </c>
      <c r="CO71" s="2039">
        <f t="shared" si="230"/>
        <v>1.8486145069274653</v>
      </c>
      <c r="CP71" s="2041">
        <f t="shared" si="231"/>
        <v>1.8275659185007627</v>
      </c>
      <c r="CQ71" s="1815">
        <v>181128</v>
      </c>
      <c r="CR71" s="2039">
        <f t="shared" si="232"/>
        <v>2.5204906798245612</v>
      </c>
      <c r="CS71" s="2041">
        <f t="shared" si="233"/>
        <v>1.9947422373598758</v>
      </c>
      <c r="CU71" s="1948">
        <f t="shared" si="234"/>
        <v>0.1671763188591131</v>
      </c>
      <c r="CV71" s="1940">
        <f t="shared" si="235"/>
        <v>6</v>
      </c>
      <c r="CW71" s="1580">
        <f t="shared" si="236"/>
        <v>2.1690504371285986</v>
      </c>
      <c r="CX71" s="1799">
        <v>723060</v>
      </c>
      <c r="CY71" s="1794">
        <f>_xlfn.XLOOKUP(E71,MOPFRA!$R$7:$R$56,MOPFRA!$T$7:$T$56,"")</f>
        <v>2335680</v>
      </c>
      <c r="CZ71" s="1245" t="str">
        <f>_xlfn.XLOOKUP(E71,MOPFRA!$R$7:$R$56,MOPFRA!$P$7:$P$56,"")</f>
        <v>CO</v>
      </c>
      <c r="DA71" s="1802">
        <v>0.9</v>
      </c>
      <c r="DB71" s="1529">
        <f t="shared" si="237"/>
        <v>1.8348805056290736</v>
      </c>
      <c r="DC71" s="1529">
        <f t="shared" si="238"/>
        <v>0.46140860920941573</v>
      </c>
      <c r="DD71" s="1529">
        <f t="shared" si="239"/>
        <v>0.33401162790697675</v>
      </c>
      <c r="DE71" s="1529">
        <f t="shared" si="240"/>
        <v>0.36107297972410379</v>
      </c>
      <c r="DF71" s="1529">
        <f t="shared" si="241"/>
        <v>0.37715079433978643</v>
      </c>
      <c r="DG71" s="1529">
        <f t="shared" si="242"/>
        <v>0.49983708530805687</v>
      </c>
      <c r="DH71" s="1529">
        <f t="shared" si="243"/>
        <v>0.52363381597384395</v>
      </c>
      <c r="DI71" s="1529">
        <f t="shared" si="244"/>
        <v>0.57986465280502153</v>
      </c>
      <c r="DJ71" s="1529">
        <f t="shared" si="187"/>
        <v>0.60430814042099201</v>
      </c>
      <c r="DK71" s="1529">
        <f t="shared" si="245"/>
        <v>0.7154908894749461</v>
      </c>
      <c r="DL71" s="1529">
        <f t="shared" si="246"/>
        <v>0.7924011174438802</v>
      </c>
      <c r="DM71" s="1529">
        <f t="shared" si="247"/>
        <v>0.82624997155276392</v>
      </c>
      <c r="DN71" s="1529">
        <f t="shared" si="248"/>
        <v>0.77300912701177449</v>
      </c>
      <c r="DO71" s="1529">
        <f t="shared" si="249"/>
        <v>1.8176217673105306</v>
      </c>
      <c r="DP71" s="1529">
        <f t="shared" si="250"/>
        <v>1.8275659185007627</v>
      </c>
      <c r="DQ71" s="1529">
        <f t="shared" si="251"/>
        <v>1.9947422373598758</v>
      </c>
      <c r="DS71" s="1583" t="s">
        <v>605</v>
      </c>
      <c r="DT71" s="1736"/>
      <c r="DU71" s="1580">
        <f>_xlfn.XLOOKUP(E71,E71:E162,CW71:CW162,"")</f>
        <v>2.1690504371285986</v>
      </c>
      <c r="DV71" s="1943">
        <f t="shared" si="252"/>
        <v>6</v>
      </c>
      <c r="DW71" s="1730">
        <f t="shared" si="253"/>
        <v>2.2302713467762012</v>
      </c>
      <c r="DX71" s="1860">
        <f t="shared" si="254"/>
        <v>12.413905081018617</v>
      </c>
      <c r="DY71" s="1683">
        <f>_xlfn.XLOOKUP(E71,MOPFRA!$R$7:$R$56,MOPFRA!$D$7:$D$56,"")</f>
        <v>4.798743132917819</v>
      </c>
      <c r="DZ71" s="1583" t="s">
        <v>605</v>
      </c>
    </row>
    <row r="72" spans="2:130" ht="68" customHeight="1">
      <c r="B72" s="1119">
        <f>_xlfn.XLOOKUP(E72,MOPFRA!$R$7:$R$56,MOPFRA!$A$7:$A$56,"")</f>
        <v>-5.9376752563919073</v>
      </c>
      <c r="C72" s="394">
        <f>_xlfn.XLOOKUP(E72,MOPFRA!$R$7:$R$56,MOPFRA!$T$7:$T$56,"")</f>
        <v>6123.2</v>
      </c>
      <c r="D72" s="223" t="s">
        <v>90</v>
      </c>
      <c r="E72" s="1949" t="s">
        <v>91</v>
      </c>
      <c r="F72" s="982">
        <f>_xlfn.XLOOKUP(E72,MOPFRA!$R$7:$R$56,MOPFRA!$S$7:$S$56,"")</f>
        <v>9</v>
      </c>
      <c r="G72" s="1203">
        <f>_xlfn.XLOOKUP(E72,MOPFRA!$R$7:$R$56,MOPFRA!$AQ$7:$AQ$56,"")</f>
        <v>5721</v>
      </c>
      <c r="H72" s="1210">
        <v>359</v>
      </c>
      <c r="I72" s="1713">
        <f t="shared" si="188"/>
        <v>5362</v>
      </c>
      <c r="J72" s="1712">
        <f t="shared" si="189"/>
        <v>6.2751267260968357E-2</v>
      </c>
      <c r="K72" s="1761">
        <v>4</v>
      </c>
      <c r="L72" s="1728">
        <f t="shared" si="190"/>
        <v>7</v>
      </c>
      <c r="M72" s="689">
        <v>2906</v>
      </c>
      <c r="N72" s="689">
        <v>6240</v>
      </c>
      <c r="O72" s="1718">
        <v>740</v>
      </c>
      <c r="P72" s="1713">
        <f t="shared" si="191"/>
        <v>5500</v>
      </c>
      <c r="Q72" s="1712">
        <f t="shared" si="192"/>
        <v>0.11858974358974358</v>
      </c>
      <c r="R72" s="557">
        <f t="shared" si="184"/>
        <v>10697.142857142857</v>
      </c>
      <c r="S72" s="553">
        <f t="shared" si="193"/>
        <v>1.1472814865794907</v>
      </c>
      <c r="T72" s="553">
        <f t="shared" si="194"/>
        <v>0.50795315504282468</v>
      </c>
      <c r="U72" s="558">
        <f t="shared" si="195"/>
        <v>12284.597384721268</v>
      </c>
      <c r="V72" s="591">
        <f t="shared" si="196"/>
        <v>3334</v>
      </c>
      <c r="W72" s="559">
        <f t="shared" si="197"/>
        <v>9055</v>
      </c>
      <c r="X72" s="560">
        <f t="shared" si="198"/>
        <v>11080.334406646349</v>
      </c>
      <c r="Y72" s="1244">
        <f t="shared" si="199"/>
        <v>0.9367828013714995</v>
      </c>
      <c r="Z72" s="658"/>
      <c r="AA72" s="63">
        <v>894</v>
      </c>
      <c r="AB72" s="1147">
        <v>2664</v>
      </c>
      <c r="AC72" s="63">
        <v>1016</v>
      </c>
      <c r="AD72" s="63">
        <v>1297</v>
      </c>
      <c r="AE72" s="63">
        <v>1645</v>
      </c>
      <c r="AF72" s="63">
        <v>1948</v>
      </c>
      <c r="AG72" s="63">
        <v>2286</v>
      </c>
      <c r="AH72" s="63">
        <v>2594</v>
      </c>
      <c r="AI72" s="63">
        <v>2980</v>
      </c>
      <c r="AJ72" s="63">
        <v>3312</v>
      </c>
      <c r="AK72" s="1792">
        <v>3623</v>
      </c>
      <c r="AL72" s="63">
        <v>385</v>
      </c>
      <c r="AM72" s="63">
        <v>678</v>
      </c>
      <c r="AN72" s="63">
        <v>1177</v>
      </c>
      <c r="AO72" s="1594">
        <f>AK72-AA72+AN72</f>
        <v>3906</v>
      </c>
      <c r="AP72" s="1147">
        <v>3623</v>
      </c>
      <c r="AQ72" s="1494"/>
      <c r="AR72" s="63">
        <v>1177</v>
      </c>
      <c r="AS72" s="63">
        <v>1378</v>
      </c>
      <c r="AT72" s="1427">
        <f t="shared" si="200"/>
        <v>0.64754098360655743</v>
      </c>
      <c r="AU72" s="1351">
        <f t="shared" si="201"/>
        <v>0.35629921259842517</v>
      </c>
      <c r="AV72" s="63">
        <v>1895</v>
      </c>
      <c r="AW72" s="1427">
        <f t="shared" si="202"/>
        <v>0.83985765124555156</v>
      </c>
      <c r="AX72" s="1351">
        <f t="shared" si="203"/>
        <v>0.46106399383191982</v>
      </c>
      <c r="AY72" s="63">
        <v>2397</v>
      </c>
      <c r="AZ72" s="1427">
        <f t="shared" si="204"/>
        <v>0.44252873563218392</v>
      </c>
      <c r="BA72" s="1351">
        <f t="shared" si="205"/>
        <v>0.45714285714285713</v>
      </c>
      <c r="BB72" s="63">
        <v>2906</v>
      </c>
      <c r="BC72" s="1427">
        <f t="shared" si="206"/>
        <v>0.67986798679867988</v>
      </c>
      <c r="BD72" s="1351">
        <f t="shared" si="207"/>
        <v>0.49178644763860369</v>
      </c>
      <c r="BE72" s="63">
        <v>3462</v>
      </c>
      <c r="BF72" s="1427">
        <f t="shared" si="208"/>
        <v>0.6449704142011834</v>
      </c>
      <c r="BG72" s="1351">
        <f t="shared" si="209"/>
        <v>0.51443569553805779</v>
      </c>
      <c r="BH72" s="63">
        <v>4032</v>
      </c>
      <c r="BI72" s="1427">
        <f t="shared" si="210"/>
        <v>0.85064935064935066</v>
      </c>
      <c r="BJ72" s="1351">
        <f t="shared" si="211"/>
        <v>0.55435620663068619</v>
      </c>
      <c r="BK72" s="63">
        <v>4631</v>
      </c>
      <c r="BL72" s="1427">
        <f t="shared" si="212"/>
        <v>0.55181347150259064</v>
      </c>
      <c r="BM72" s="1351">
        <f t="shared" si="213"/>
        <v>0.55402684563758386</v>
      </c>
      <c r="BN72" s="63">
        <v>5234</v>
      </c>
      <c r="BO72" s="1427">
        <f t="shared" si="214"/>
        <v>0.8162650602409639</v>
      </c>
      <c r="BP72" s="1351">
        <f t="shared" si="215"/>
        <v>0.58031400966183577</v>
      </c>
      <c r="BQ72" s="1140">
        <v>5721</v>
      </c>
      <c r="BR72" s="1427">
        <f t="shared" si="216"/>
        <v>0.56591639871382637</v>
      </c>
      <c r="BS72" s="1351">
        <f t="shared" si="217"/>
        <v>0.57907811206182724</v>
      </c>
      <c r="BT72" s="63">
        <v>479</v>
      </c>
      <c r="BU72" s="1427">
        <f t="shared" si="218"/>
        <v>0.24415584415584415</v>
      </c>
      <c r="BV72" s="1351">
        <f t="shared" si="219"/>
        <v>0.24415584415584415</v>
      </c>
      <c r="BW72" s="63">
        <v>1560</v>
      </c>
      <c r="BX72" s="1427">
        <f t="shared" si="220"/>
        <v>2.689419795221843</v>
      </c>
      <c r="BY72" s="1351">
        <f t="shared" si="221"/>
        <v>1.3008849557522124</v>
      </c>
      <c r="BZ72" s="63">
        <v>2299</v>
      </c>
      <c r="CA72" s="1427">
        <f t="shared" si="222"/>
        <v>0.48096192384769537</v>
      </c>
      <c r="CB72" s="1351">
        <f t="shared" si="223"/>
        <v>0.95327102803738317</v>
      </c>
      <c r="CC72" s="1901">
        <v>1177</v>
      </c>
      <c r="CD72" s="1594">
        <f>BQ72+BZ72-AR72</f>
        <v>6843</v>
      </c>
      <c r="CE72" s="1939">
        <f t="shared" si="224"/>
        <v>0.75192012288786481</v>
      </c>
      <c r="CF72" s="1940">
        <f t="shared" si="225"/>
        <v>9</v>
      </c>
      <c r="CG72" s="1895"/>
      <c r="CH72" s="1815">
        <v>2706</v>
      </c>
      <c r="CI72" s="2039">
        <f t="shared" si="226"/>
        <v>1.0248756218905473</v>
      </c>
      <c r="CJ72" s="2041">
        <f t="shared" si="227"/>
        <v>0.96371552975326558</v>
      </c>
      <c r="CK72" s="1815">
        <v>3774</v>
      </c>
      <c r="CL72" s="2039">
        <f t="shared" si="228"/>
        <v>1.0657640232108316</v>
      </c>
      <c r="CM72" s="2041">
        <f t="shared" si="229"/>
        <v>0.99155672823218999</v>
      </c>
      <c r="CN72" s="1815">
        <v>5214</v>
      </c>
      <c r="CO72" s="2039">
        <f t="shared" si="230"/>
        <v>1.8685258964143425</v>
      </c>
      <c r="CP72" s="2041">
        <f t="shared" si="231"/>
        <v>1.1752190237797246</v>
      </c>
      <c r="CQ72" s="1815">
        <v>6240</v>
      </c>
      <c r="CR72" s="2039">
        <f t="shared" si="232"/>
        <v>1.0157170923379175</v>
      </c>
      <c r="CS72" s="2041">
        <f t="shared" si="233"/>
        <v>1.1472814865794907</v>
      </c>
      <c r="CU72" s="1948">
        <f t="shared" si="234"/>
        <v>-2.7937537200233953E-2</v>
      </c>
      <c r="CV72" s="1940">
        <f t="shared" si="235"/>
        <v>16</v>
      </c>
      <c r="CW72" s="1580">
        <f t="shared" si="236"/>
        <v>1.8896441777561279</v>
      </c>
      <c r="CX72" s="1799">
        <v>2280.42</v>
      </c>
      <c r="CY72" s="1794">
        <f>_xlfn.XLOOKUP(E72,MOPFRA!$R$7:$R$56,MOPFRA!$T$7:$T$56,"")</f>
        <v>6123.2</v>
      </c>
      <c r="CZ72" s="1245" t="str">
        <f>_xlfn.XLOOKUP(E72,MOPFRA!$R$7:$R$56,MOPFRA!$P$7:$P$56,"")</f>
        <v>DH</v>
      </c>
      <c r="DA72" s="1802">
        <v>0.9</v>
      </c>
      <c r="DB72" s="1529">
        <f t="shared" si="237"/>
        <v>0.35629921259842517</v>
      </c>
      <c r="DC72" s="1529">
        <f t="shared" si="238"/>
        <v>0.46106399383191982</v>
      </c>
      <c r="DD72" s="1529">
        <f t="shared" si="239"/>
        <v>0.45714285714285713</v>
      </c>
      <c r="DE72" s="1529">
        <f t="shared" si="240"/>
        <v>0.49178644763860369</v>
      </c>
      <c r="DF72" s="1529">
        <f t="shared" si="241"/>
        <v>0.51443569553805779</v>
      </c>
      <c r="DG72" s="1529">
        <f t="shared" si="242"/>
        <v>0.55435620663068619</v>
      </c>
      <c r="DH72" s="1529">
        <f t="shared" si="243"/>
        <v>0.55402684563758386</v>
      </c>
      <c r="DI72" s="1529">
        <f t="shared" si="244"/>
        <v>0.58031400966183577</v>
      </c>
      <c r="DJ72" s="1529">
        <f t="shared" si="187"/>
        <v>0.57907811206182724</v>
      </c>
      <c r="DK72" s="1529">
        <f t="shared" si="245"/>
        <v>0.24415584415584415</v>
      </c>
      <c r="DL72" s="1529">
        <f t="shared" si="246"/>
        <v>1.3008849557522124</v>
      </c>
      <c r="DM72" s="1529">
        <f t="shared" si="247"/>
        <v>0.95327102803738317</v>
      </c>
      <c r="DN72" s="1529">
        <f t="shared" si="248"/>
        <v>0.96371552975326558</v>
      </c>
      <c r="DO72" s="1529">
        <f t="shared" si="249"/>
        <v>0.99155672823218999</v>
      </c>
      <c r="DP72" s="1529">
        <f t="shared" si="250"/>
        <v>1.1752190237797246</v>
      </c>
      <c r="DQ72" s="1529">
        <f t="shared" si="251"/>
        <v>1.1472814865794907</v>
      </c>
      <c r="DS72" s="1583" t="s">
        <v>605</v>
      </c>
      <c r="DT72" s="1736"/>
      <c r="DU72" s="1580">
        <f>_xlfn.XLOOKUP(E72,E72:E159,CW72:CW159,"")</f>
        <v>1.8896441777561279</v>
      </c>
      <c r="DV72" s="1943">
        <f t="shared" si="252"/>
        <v>16</v>
      </c>
      <c r="DW72" s="1730">
        <f t="shared" si="253"/>
        <v>1.6851194078283824</v>
      </c>
      <c r="DX72" s="1860">
        <f t="shared" si="254"/>
        <v>5.5838476328775224</v>
      </c>
      <c r="DY72" s="1683">
        <f>_xlfn.XLOOKUP(E72,MOPFRA!$R$7:$R$56,MOPFRA!$D$7:$D$56,"")</f>
        <v>2.2617537840290107</v>
      </c>
      <c r="DZ72" s="1583" t="s">
        <v>605</v>
      </c>
    </row>
    <row r="73" spans="2:130" ht="68" customHeight="1">
      <c r="B73" s="1119">
        <f>_xlfn.XLOOKUP(E73,MOPFRA!$R$7:$R$56,MOPFRA!$A$7:$A$56,"")</f>
        <v>-5.7512781330747558</v>
      </c>
      <c r="C73" s="394">
        <f>_xlfn.XLOOKUP(E73,MOPFRA!$R$7:$R$56,MOPFRA!$T$7:$T$56,"")</f>
        <v>7788</v>
      </c>
      <c r="D73" s="223" t="s">
        <v>132</v>
      </c>
      <c r="E73" s="1949" t="s">
        <v>133</v>
      </c>
      <c r="F73" s="982">
        <f>_xlfn.XLOOKUP(E73,MOPFRA!$R$7:$R$56,MOPFRA!$S$7:$S$56,"")</f>
        <v>3</v>
      </c>
      <c r="G73" s="1203">
        <f>_xlfn.XLOOKUP(E73,MOPFRA!$R$7:$R$56,MOPFRA!$AQ$7:$AQ$56,"")</f>
        <v>3002</v>
      </c>
      <c r="H73" s="1210">
        <v>852</v>
      </c>
      <c r="I73" s="1713">
        <f t="shared" si="188"/>
        <v>2150</v>
      </c>
      <c r="J73" s="1712">
        <f t="shared" si="189"/>
        <v>0.28381079280479682</v>
      </c>
      <c r="K73" s="1761">
        <v>4</v>
      </c>
      <c r="L73" s="1728">
        <f t="shared" si="190"/>
        <v>1</v>
      </c>
      <c r="M73" s="689">
        <v>280</v>
      </c>
      <c r="N73" s="689">
        <v>417</v>
      </c>
      <c r="O73" s="1718">
        <v>192</v>
      </c>
      <c r="P73" s="1713">
        <f t="shared" si="191"/>
        <v>225</v>
      </c>
      <c r="Q73" s="1712">
        <f t="shared" si="192"/>
        <v>0.46043165467625902</v>
      </c>
      <c r="R73" s="557">
        <f t="shared" si="184"/>
        <v>5004</v>
      </c>
      <c r="S73" s="553">
        <f t="shared" si="193"/>
        <v>0.48928571428571427</v>
      </c>
      <c r="T73" s="553">
        <f t="shared" si="194"/>
        <v>9.3271152564956689E-2</v>
      </c>
      <c r="U73" s="558">
        <f t="shared" si="195"/>
        <v>4470.8357142857139</v>
      </c>
      <c r="V73" s="591">
        <f t="shared" si="196"/>
        <v>137</v>
      </c>
      <c r="W73" s="559">
        <f t="shared" si="197"/>
        <v>3139</v>
      </c>
      <c r="X73" s="560">
        <f t="shared" si="198"/>
        <v>4271.1678571428565</v>
      </c>
      <c r="Y73" s="1244">
        <f t="shared" si="199"/>
        <v>0.42277410297896617</v>
      </c>
      <c r="Z73" s="658"/>
      <c r="AA73" s="63">
        <v>1286</v>
      </c>
      <c r="AB73" s="1147">
        <v>1271</v>
      </c>
      <c r="AC73" s="63">
        <v>1372</v>
      </c>
      <c r="AD73" s="63">
        <v>1518</v>
      </c>
      <c r="AE73" s="1140">
        <v>1668</v>
      </c>
      <c r="AF73" s="63">
        <v>162</v>
      </c>
      <c r="AG73" s="63">
        <v>376</v>
      </c>
      <c r="AH73" s="63">
        <v>583</v>
      </c>
      <c r="AI73" s="63">
        <v>761</v>
      </c>
      <c r="AJ73" s="63">
        <v>954</v>
      </c>
      <c r="AK73" s="1791">
        <v>1099</v>
      </c>
      <c r="AL73" s="63">
        <v>1296</v>
      </c>
      <c r="AM73" s="63">
        <v>1512</v>
      </c>
      <c r="AN73" s="63">
        <v>1712</v>
      </c>
      <c r="AO73" s="1594">
        <f>AE73-AA73+AN73</f>
        <v>2094</v>
      </c>
      <c r="AP73" s="1147">
        <v>1668</v>
      </c>
      <c r="AQ73" s="1494"/>
      <c r="AR73" s="63">
        <v>1712</v>
      </c>
      <c r="AS73" s="63">
        <v>1889</v>
      </c>
      <c r="AT73" s="1427">
        <f t="shared" si="200"/>
        <v>1.058139534883721</v>
      </c>
      <c r="AU73" s="1351">
        <f t="shared" si="201"/>
        <v>0.37682215743440234</v>
      </c>
      <c r="AV73" s="63">
        <v>2097</v>
      </c>
      <c r="AW73" s="1427">
        <f t="shared" si="202"/>
        <v>0.42465753424657532</v>
      </c>
      <c r="AX73" s="1351">
        <f t="shared" si="203"/>
        <v>0.38142292490118579</v>
      </c>
      <c r="AY73" s="1140">
        <v>2260</v>
      </c>
      <c r="AZ73" s="1427">
        <f t="shared" si="204"/>
        <v>8.666666666666667E-2</v>
      </c>
      <c r="BA73" s="1351">
        <f t="shared" si="205"/>
        <v>0.35491606714628299</v>
      </c>
      <c r="BB73" s="63">
        <v>280</v>
      </c>
      <c r="BC73" s="1427">
        <f t="shared" si="206"/>
        <v>0.72839506172839508</v>
      </c>
      <c r="BD73" s="1351">
        <f t="shared" si="207"/>
        <v>0.72839506172839508</v>
      </c>
      <c r="BE73" s="63">
        <v>520</v>
      </c>
      <c r="BF73" s="1427">
        <f t="shared" si="208"/>
        <v>0.12149532710280374</v>
      </c>
      <c r="BG73" s="1351">
        <f t="shared" si="209"/>
        <v>0.38297872340425532</v>
      </c>
      <c r="BH73" s="63">
        <v>771</v>
      </c>
      <c r="BI73" s="1427">
        <f t="shared" si="210"/>
        <v>0.21256038647342995</v>
      </c>
      <c r="BJ73" s="1351">
        <f t="shared" si="211"/>
        <v>0.32246998284734135</v>
      </c>
      <c r="BK73" s="63">
        <v>1010</v>
      </c>
      <c r="BL73" s="1427">
        <f t="shared" si="212"/>
        <v>0.34269662921348315</v>
      </c>
      <c r="BM73" s="1351">
        <f t="shared" si="213"/>
        <v>0.32720105124835741</v>
      </c>
      <c r="BN73" s="63">
        <v>1185</v>
      </c>
      <c r="BO73" s="1427">
        <f t="shared" si="214"/>
        <v>-9.3264248704663211E-2</v>
      </c>
      <c r="BP73" s="1351">
        <f t="shared" si="215"/>
        <v>0.24213836477987422</v>
      </c>
      <c r="BQ73" s="63">
        <v>1396</v>
      </c>
      <c r="BR73" s="1427">
        <f t="shared" si="216"/>
        <v>0.45517241379310347</v>
      </c>
      <c r="BS73" s="1351">
        <f t="shared" si="217"/>
        <v>0.27024567788899001</v>
      </c>
      <c r="BT73" s="63">
        <v>1610</v>
      </c>
      <c r="BU73" s="1427">
        <f t="shared" si="218"/>
        <v>8.6294416243654817E-2</v>
      </c>
      <c r="BV73" s="1351">
        <f t="shared" si="219"/>
        <v>0.24228395061728394</v>
      </c>
      <c r="BW73" s="63">
        <v>1916</v>
      </c>
      <c r="BX73" s="1427">
        <f t="shared" si="220"/>
        <v>0.41666666666666669</v>
      </c>
      <c r="BY73" s="1351">
        <f t="shared" si="221"/>
        <v>0.26719576719576721</v>
      </c>
      <c r="BZ73" s="63">
        <v>2204</v>
      </c>
      <c r="CA73" s="1427">
        <f t="shared" si="222"/>
        <v>0.44</v>
      </c>
      <c r="CB73" s="1351">
        <f t="shared" si="223"/>
        <v>0.28738317757009346</v>
      </c>
      <c r="CC73" s="1901">
        <v>2204</v>
      </c>
      <c r="CD73" s="1594">
        <f>AY73+BZ73-AR73</f>
        <v>2752</v>
      </c>
      <c r="CE73" s="1939">
        <f t="shared" si="224"/>
        <v>0.31423113658070678</v>
      </c>
      <c r="CF73" s="1940">
        <f t="shared" si="225"/>
        <v>43</v>
      </c>
      <c r="CG73" s="1895"/>
      <c r="CH73" s="1815">
        <v>2403</v>
      </c>
      <c r="CI73" s="2039">
        <f t="shared" si="226"/>
        <v>0.12429378531073447</v>
      </c>
      <c r="CJ73" s="2041">
        <f t="shared" si="227"/>
        <v>0.27210164107993645</v>
      </c>
      <c r="CK73" s="1815">
        <v>2628</v>
      </c>
      <c r="CL73" s="2039">
        <f t="shared" si="228"/>
        <v>8.1730769230769232E-2</v>
      </c>
      <c r="CM73" s="2041">
        <f t="shared" si="229"/>
        <v>0.25321888412017168</v>
      </c>
      <c r="CN73" s="1140">
        <v>3002</v>
      </c>
      <c r="CO73" s="2039">
        <f t="shared" si="230"/>
        <v>1.294478527607362</v>
      </c>
      <c r="CP73" s="2041">
        <f t="shared" si="231"/>
        <v>0.32831858407079645</v>
      </c>
      <c r="CQ73" s="1815">
        <v>417</v>
      </c>
      <c r="CR73" s="2039">
        <f t="shared" si="232"/>
        <v>0.48928571428571427</v>
      </c>
      <c r="CS73" s="2041">
        <f t="shared" si="233"/>
        <v>0.48928571428571427</v>
      </c>
      <c r="CU73" s="1948">
        <f t="shared" si="234"/>
        <v>0.16096713021491782</v>
      </c>
      <c r="CV73" s="1940">
        <f t="shared" si="235"/>
        <v>37</v>
      </c>
      <c r="CW73" s="1580">
        <f t="shared" si="236"/>
        <v>1.7192634102575417</v>
      </c>
      <c r="CX73" s="1799">
        <v>2608.65</v>
      </c>
      <c r="CY73" s="1794">
        <f>_xlfn.XLOOKUP(E73,MOPFRA!$R$7:$R$56,MOPFRA!$T$7:$T$56,"")</f>
        <v>7788</v>
      </c>
      <c r="CZ73" s="1245" t="str">
        <f>_xlfn.XLOOKUP(E73,MOPFRA!$R$7:$R$56,MOPFRA!$P$7:$P$56,"")</f>
        <v>KN</v>
      </c>
      <c r="DA73" s="1802">
        <v>0.9</v>
      </c>
      <c r="DB73" s="1529">
        <f t="shared" si="237"/>
        <v>0.37682215743440234</v>
      </c>
      <c r="DC73" s="1529">
        <f t="shared" si="238"/>
        <v>0.38142292490118579</v>
      </c>
      <c r="DD73" s="1529">
        <f t="shared" si="239"/>
        <v>0.35491606714628299</v>
      </c>
      <c r="DE73" s="1529">
        <f t="shared" si="240"/>
        <v>0.72839506172839508</v>
      </c>
      <c r="DF73" s="1529">
        <f t="shared" si="241"/>
        <v>0.38297872340425532</v>
      </c>
      <c r="DG73" s="1529">
        <f t="shared" si="242"/>
        <v>0.32246998284734135</v>
      </c>
      <c r="DH73" s="1529">
        <f t="shared" si="243"/>
        <v>0.32720105124835741</v>
      </c>
      <c r="DI73" s="1529">
        <f t="shared" si="244"/>
        <v>0.24213836477987422</v>
      </c>
      <c r="DJ73" s="1529">
        <f t="shared" si="187"/>
        <v>0.27024567788899001</v>
      </c>
      <c r="DK73" s="1529">
        <f t="shared" si="245"/>
        <v>0.24228395061728394</v>
      </c>
      <c r="DL73" s="1529">
        <f t="shared" si="246"/>
        <v>0.26719576719576721</v>
      </c>
      <c r="DM73" s="1529">
        <f t="shared" si="247"/>
        <v>0.28738317757009346</v>
      </c>
      <c r="DN73" s="1529">
        <f t="shared" si="248"/>
        <v>0.27210164107993645</v>
      </c>
      <c r="DO73" s="1529">
        <f t="shared" si="249"/>
        <v>0.25321888412017168</v>
      </c>
      <c r="DP73" s="1529">
        <f t="shared" si="250"/>
        <v>0.32831858407079645</v>
      </c>
      <c r="DQ73" s="1529">
        <f t="shared" si="251"/>
        <v>0.48928571428571427</v>
      </c>
      <c r="DS73" s="1583" t="s">
        <v>197</v>
      </c>
      <c r="DT73" s="1736"/>
      <c r="DU73" s="1580">
        <f>_xlfn.XLOOKUP(E73,E73:E161,CW73:CW161,"")</f>
        <v>1.7192634102575417</v>
      </c>
      <c r="DV73" s="1943">
        <f t="shared" si="252"/>
        <v>37</v>
      </c>
      <c r="DW73" s="1730">
        <f t="shared" si="253"/>
        <v>1.9854522454142949</v>
      </c>
      <c r="DX73" s="1860">
        <f t="shared" si="254"/>
        <v>17.662086187146219</v>
      </c>
      <c r="DY73" s="1683">
        <f>_xlfn.XLOOKUP(E73,MOPFRA!$R$7:$R$56,MOPFRA!$D$7:$D$56,"")</f>
        <v>1.3149756002114987</v>
      </c>
      <c r="DZ73" s="1583" t="s">
        <v>197</v>
      </c>
    </row>
    <row r="74" spans="2:130" ht="68" customHeight="1">
      <c r="B74" s="1119">
        <f>_xlfn.XLOOKUP(E74,MOPFRA!$R$7:$R$56,MOPFRA!$A$7:$A$56,"")</f>
        <v>-8.6546666382605597</v>
      </c>
      <c r="C74" s="394">
        <f>_xlfn.XLOOKUP(E74,MOPFRA!$R$7:$R$56,MOPFRA!$T$7:$T$56,"")</f>
        <v>30576.468010000001</v>
      </c>
      <c r="D74" s="223" t="s">
        <v>88</v>
      </c>
      <c r="E74" s="1949" t="s">
        <v>89</v>
      </c>
      <c r="F74" s="982">
        <f>_xlfn.XLOOKUP(E74,MOPFRA!$R$7:$R$56,MOPFRA!$S$7:$S$56,"")</f>
        <v>12</v>
      </c>
      <c r="G74" s="1203">
        <f>_xlfn.XLOOKUP(E74,MOPFRA!$R$7:$R$56,MOPFRA!$AQ$7:$AQ$56,"")</f>
        <v>19019</v>
      </c>
      <c r="H74" s="1210">
        <v>384</v>
      </c>
      <c r="I74" s="1713">
        <f t="shared" si="188"/>
        <v>18635</v>
      </c>
      <c r="J74" s="1712">
        <f t="shared" si="189"/>
        <v>2.0190335979809664E-2</v>
      </c>
      <c r="K74" s="1761">
        <v>4</v>
      </c>
      <c r="L74" s="1728">
        <f t="shared" si="190"/>
        <v>4</v>
      </c>
      <c r="M74" s="689">
        <v>6048</v>
      </c>
      <c r="N74" s="689">
        <v>8500</v>
      </c>
      <c r="O74" s="1718">
        <v>842</v>
      </c>
      <c r="P74" s="1713">
        <f t="shared" si="191"/>
        <v>7658</v>
      </c>
      <c r="Q74" s="1712">
        <f t="shared" si="192"/>
        <v>9.9058823529411769E-2</v>
      </c>
      <c r="R74" s="557">
        <f t="shared" si="184"/>
        <v>25500</v>
      </c>
      <c r="S74" s="553">
        <f t="shared" si="193"/>
        <v>0.40542328042328041</v>
      </c>
      <c r="T74" s="553">
        <f t="shared" si="194"/>
        <v>0.31799779168200221</v>
      </c>
      <c r="U74" s="558">
        <f t="shared" si="195"/>
        <v>26729.745370370372</v>
      </c>
      <c r="V74" s="591">
        <f t="shared" si="196"/>
        <v>2452</v>
      </c>
      <c r="W74" s="559">
        <f t="shared" si="197"/>
        <v>21471</v>
      </c>
      <c r="X74" s="560">
        <f t="shared" si="198"/>
        <v>25107.622685185186</v>
      </c>
      <c r="Y74" s="1244">
        <f t="shared" si="199"/>
        <v>0.32013369184421819</v>
      </c>
      <c r="Z74" s="658"/>
      <c r="AA74" s="63">
        <v>7429</v>
      </c>
      <c r="AB74" s="1147">
        <v>7429</v>
      </c>
      <c r="AC74" s="63">
        <v>547</v>
      </c>
      <c r="AD74" s="63">
        <v>1565</v>
      </c>
      <c r="AE74" s="63">
        <v>2399</v>
      </c>
      <c r="AF74" s="63">
        <v>3166</v>
      </c>
      <c r="AG74" s="63">
        <v>3988</v>
      </c>
      <c r="AH74" s="63">
        <v>4776</v>
      </c>
      <c r="AI74" s="63">
        <v>5774</v>
      </c>
      <c r="AJ74" s="63">
        <v>6762</v>
      </c>
      <c r="AK74" s="1791">
        <v>8057</v>
      </c>
      <c r="AL74" s="63">
        <v>9157</v>
      </c>
      <c r="AM74" s="63">
        <v>10011</v>
      </c>
      <c r="AN74" s="1140">
        <v>11290</v>
      </c>
      <c r="AO74" s="1594">
        <f>AN74+AB74-AA74</f>
        <v>11290</v>
      </c>
      <c r="AP74" s="1147">
        <v>11290</v>
      </c>
      <c r="AQ74" s="1494"/>
      <c r="AR74" s="63">
        <v>0</v>
      </c>
      <c r="AS74" s="63">
        <v>1214</v>
      </c>
      <c r="AT74" s="1427">
        <f t="shared" si="200"/>
        <v>1.2193784277879343</v>
      </c>
      <c r="AU74" s="1351">
        <f t="shared" si="201"/>
        <v>1.2193784277879343</v>
      </c>
      <c r="AV74" s="63">
        <v>3336</v>
      </c>
      <c r="AW74" s="1427">
        <f t="shared" si="202"/>
        <v>1.0844793713163066</v>
      </c>
      <c r="AX74" s="1351">
        <f t="shared" si="203"/>
        <v>1.131629392971246</v>
      </c>
      <c r="AY74" s="63">
        <v>4687</v>
      </c>
      <c r="AZ74" s="1427">
        <f t="shared" si="204"/>
        <v>0.61990407673860914</v>
      </c>
      <c r="BA74" s="1351">
        <f t="shared" si="205"/>
        <v>0.95373072113380575</v>
      </c>
      <c r="BB74" s="63">
        <v>6201</v>
      </c>
      <c r="BC74" s="1427">
        <f t="shared" si="206"/>
        <v>0.97392438070404175</v>
      </c>
      <c r="BD74" s="1351">
        <f t="shared" si="207"/>
        <v>0.95862286797220464</v>
      </c>
      <c r="BE74" s="63">
        <v>7213</v>
      </c>
      <c r="BF74" s="1427">
        <f t="shared" si="208"/>
        <v>0.23114355231143552</v>
      </c>
      <c r="BG74" s="1351">
        <f t="shared" si="209"/>
        <v>0.80867602808425276</v>
      </c>
      <c r="BH74" s="63">
        <v>8303</v>
      </c>
      <c r="BI74" s="1427">
        <f t="shared" si="210"/>
        <v>0.38324873096446699</v>
      </c>
      <c r="BJ74" s="1351">
        <f t="shared" si="211"/>
        <v>0.7384840871021775</v>
      </c>
      <c r="BK74" s="63">
        <v>9476</v>
      </c>
      <c r="BL74" s="1427">
        <f t="shared" si="212"/>
        <v>0.17535070140280562</v>
      </c>
      <c r="BM74" s="1351">
        <f t="shared" si="213"/>
        <v>0.64114998268098367</v>
      </c>
      <c r="BN74" s="63">
        <v>11731</v>
      </c>
      <c r="BO74" s="1427">
        <f t="shared" si="214"/>
        <v>1.2823886639676114</v>
      </c>
      <c r="BP74" s="1351">
        <f t="shared" si="215"/>
        <v>0.73484176279207336</v>
      </c>
      <c r="BQ74" s="63">
        <v>12766</v>
      </c>
      <c r="BR74" s="1427">
        <f t="shared" si="216"/>
        <v>-0.20077220077220076</v>
      </c>
      <c r="BS74" s="1351">
        <f t="shared" si="217"/>
        <v>0.58446071738860617</v>
      </c>
      <c r="BT74" s="63">
        <v>14946</v>
      </c>
      <c r="BU74" s="1427">
        <f t="shared" si="218"/>
        <v>0.98181818181818181</v>
      </c>
      <c r="BV74" s="1351">
        <f t="shared" si="219"/>
        <v>0.63219394998361911</v>
      </c>
      <c r="BW74" s="63">
        <v>16559</v>
      </c>
      <c r="BX74" s="1427">
        <f t="shared" si="220"/>
        <v>0.88875878220140514</v>
      </c>
      <c r="BY74" s="1351">
        <f t="shared" si="221"/>
        <v>0.65408051143741885</v>
      </c>
      <c r="BZ74" s="1140">
        <v>18461</v>
      </c>
      <c r="CA74" s="1427">
        <f t="shared" si="222"/>
        <v>0.48709929632525412</v>
      </c>
      <c r="CB74" s="1351">
        <f t="shared" si="223"/>
        <v>0.63516386182462359</v>
      </c>
      <c r="CC74" s="1901">
        <v>0</v>
      </c>
      <c r="CD74" s="1594">
        <f>BZ74</f>
        <v>18461</v>
      </c>
      <c r="CE74" s="1939">
        <f t="shared" si="224"/>
        <v>0.63516386182462359</v>
      </c>
      <c r="CF74" s="1940">
        <f t="shared" si="225"/>
        <v>15</v>
      </c>
      <c r="CG74" s="1895"/>
      <c r="CH74" s="1815">
        <v>762</v>
      </c>
      <c r="CI74" s="2039">
        <f t="shared" si="226"/>
        <v>-0.37232289950576608</v>
      </c>
      <c r="CJ74" s="2041">
        <f t="shared" si="227"/>
        <v>-0.37232289950576608</v>
      </c>
      <c r="CK74" s="1815">
        <v>4339</v>
      </c>
      <c r="CL74" s="2039">
        <f t="shared" si="228"/>
        <v>0.6856738925541942</v>
      </c>
      <c r="CM74" s="2041">
        <f t="shared" si="229"/>
        <v>0.30065947242206237</v>
      </c>
      <c r="CN74" s="1815">
        <v>6311</v>
      </c>
      <c r="CO74" s="2039">
        <f t="shared" si="230"/>
        <v>0.45965951147298295</v>
      </c>
      <c r="CP74" s="2041">
        <f t="shared" si="231"/>
        <v>0.34649029229784511</v>
      </c>
      <c r="CQ74" s="1815">
        <v>8500</v>
      </c>
      <c r="CR74" s="2039">
        <f t="shared" si="232"/>
        <v>0.44583883751651254</v>
      </c>
      <c r="CS74" s="2041">
        <f t="shared" si="233"/>
        <v>0.37074665376552168</v>
      </c>
      <c r="CU74" s="1948">
        <f t="shared" si="234"/>
        <v>2.4256361467676568E-2</v>
      </c>
      <c r="CV74" s="1940">
        <f t="shared" si="235"/>
        <v>40</v>
      </c>
      <c r="CW74" s="1580">
        <f t="shared" si="236"/>
        <v>1.3826438097093432</v>
      </c>
      <c r="CX74" s="1799">
        <v>12833</v>
      </c>
      <c r="CY74" s="1794">
        <f>_xlfn.XLOOKUP(E74,MOPFRA!$R$7:$R$56,MOPFRA!$T$7:$T$56,"")</f>
        <v>30576.468010000001</v>
      </c>
      <c r="CZ74" s="1245" t="str">
        <f>_xlfn.XLOOKUP(E74,MOPFRA!$R$7:$R$56,MOPFRA!$P$7:$P$56,"")</f>
        <v>AL</v>
      </c>
      <c r="DA74" s="1802">
        <v>0.9</v>
      </c>
      <c r="DB74" s="1529">
        <f t="shared" si="237"/>
        <v>1.2193784277879343</v>
      </c>
      <c r="DC74" s="1529">
        <f t="shared" si="238"/>
        <v>1.131629392971246</v>
      </c>
      <c r="DD74" s="1529">
        <f t="shared" si="239"/>
        <v>0.95373072113380575</v>
      </c>
      <c r="DE74" s="1529">
        <f t="shared" si="240"/>
        <v>0.95862286797220464</v>
      </c>
      <c r="DF74" s="1529">
        <f t="shared" si="241"/>
        <v>0.80867602808425276</v>
      </c>
      <c r="DG74" s="1529">
        <f t="shared" si="242"/>
        <v>0.7384840871021775</v>
      </c>
      <c r="DH74" s="1529">
        <f t="shared" si="243"/>
        <v>0.64114998268098367</v>
      </c>
      <c r="DI74" s="1529">
        <f t="shared" si="244"/>
        <v>0.73484176279207336</v>
      </c>
      <c r="DJ74" s="1529">
        <f t="shared" si="187"/>
        <v>0.58446071738860617</v>
      </c>
      <c r="DK74" s="1529">
        <f t="shared" si="245"/>
        <v>0.63219394998361911</v>
      </c>
      <c r="DL74" s="1529">
        <f t="shared" si="246"/>
        <v>0.65408051143741885</v>
      </c>
      <c r="DM74" s="1529">
        <f t="shared" si="247"/>
        <v>0.63516386182462359</v>
      </c>
      <c r="DN74" s="1529">
        <f t="shared" si="248"/>
        <v>-0.37232289950576608</v>
      </c>
      <c r="DO74" s="1529">
        <f t="shared" si="249"/>
        <v>0.30065947242206237</v>
      </c>
      <c r="DP74" s="1529">
        <f t="shared" si="250"/>
        <v>0.34649029229784511</v>
      </c>
      <c r="DQ74" s="1529">
        <f t="shared" si="251"/>
        <v>0.37074665376552168</v>
      </c>
      <c r="DS74" s="1583" t="s">
        <v>606</v>
      </c>
      <c r="DT74" s="1736"/>
      <c r="DU74" s="1580">
        <f>_xlfn.XLOOKUP(E74,E74:E163,CW74:CW163,"")</f>
        <v>1.3826438097093432</v>
      </c>
      <c r="DV74" s="1943">
        <f t="shared" si="252"/>
        <v>40</v>
      </c>
      <c r="DW74" s="1730">
        <f t="shared" si="253"/>
        <v>1.3826438097093432</v>
      </c>
      <c r="DX74" s="1860">
        <f t="shared" si="254"/>
        <v>7.8868487549602104</v>
      </c>
      <c r="DY74" s="1683">
        <f>_xlfn.XLOOKUP(E74,MOPFRA!$R$7:$R$56,MOPFRA!$D$7:$D$56,"")</f>
        <v>4.537898119489828</v>
      </c>
      <c r="DZ74" s="1583" t="s">
        <v>606</v>
      </c>
    </row>
    <row r="75" spans="2:130" ht="68" customHeight="1">
      <c r="B75" s="1119">
        <f>_xlfn.XLOOKUP(E75,MOPFRA!$R$7:$R$56,MOPFRA!$A$7:$A$56,"")</f>
        <v>-12.256156490777114</v>
      </c>
      <c r="C75" s="394">
        <f>_xlfn.XLOOKUP(E75,MOPFRA!$R$7:$R$56,MOPFRA!$T$7:$T$56,"")</f>
        <v>13975</v>
      </c>
      <c r="D75" s="223" t="s">
        <v>122</v>
      </c>
      <c r="E75" s="1949" t="s">
        <v>123</v>
      </c>
      <c r="F75" s="982">
        <f>_xlfn.XLOOKUP(E75,MOPFRA!$R$7:$R$56,MOPFRA!$S$7:$S$56,"")</f>
        <v>9</v>
      </c>
      <c r="G75" s="1203">
        <f>_xlfn.XLOOKUP(E75,MOPFRA!$R$7:$R$56,MOPFRA!$AQ$7:$AQ$56,"")</f>
        <v>18602</v>
      </c>
      <c r="H75" s="1210">
        <v>8580</v>
      </c>
      <c r="I75" s="1713">
        <f t="shared" si="188"/>
        <v>10022</v>
      </c>
      <c r="J75" s="1712">
        <f t="shared" si="189"/>
        <v>0.46124072680356953</v>
      </c>
      <c r="K75" s="1761">
        <v>4</v>
      </c>
      <c r="L75" s="1728">
        <f t="shared" si="190"/>
        <v>7</v>
      </c>
      <c r="M75" s="689">
        <v>6571</v>
      </c>
      <c r="N75" s="689">
        <v>15471</v>
      </c>
      <c r="O75" s="1718">
        <v>6590</v>
      </c>
      <c r="P75" s="1713">
        <f t="shared" si="191"/>
        <v>8881</v>
      </c>
      <c r="Q75" s="1712">
        <f t="shared" si="192"/>
        <v>0.42595824445737185</v>
      </c>
      <c r="R75" s="557">
        <f t="shared" si="184"/>
        <v>26521.714285714283</v>
      </c>
      <c r="S75" s="553">
        <f t="shared" si="193"/>
        <v>1.354436158879927</v>
      </c>
      <c r="T75" s="553">
        <f t="shared" si="194"/>
        <v>0.353241586926137</v>
      </c>
      <c r="U75" s="558">
        <f t="shared" si="195"/>
        <v>43797.221427484401</v>
      </c>
      <c r="V75" s="591">
        <f t="shared" si="196"/>
        <v>8900</v>
      </c>
      <c r="W75" s="559">
        <f t="shared" si="197"/>
        <v>27502</v>
      </c>
      <c r="X75" s="560">
        <f t="shared" si="198"/>
        <v>35404.539285170773</v>
      </c>
      <c r="Y75" s="1244">
        <f t="shared" si="199"/>
        <v>0.90326520186919546</v>
      </c>
      <c r="Z75" s="658"/>
      <c r="AA75" s="63">
        <v>3484</v>
      </c>
      <c r="AB75" s="1147">
        <v>14247</v>
      </c>
      <c r="AC75" s="63">
        <v>4514</v>
      </c>
      <c r="AD75" s="63">
        <v>7294</v>
      </c>
      <c r="AE75" s="63">
        <v>7598</v>
      </c>
      <c r="AF75" s="63">
        <v>7681</v>
      </c>
      <c r="AG75" s="63">
        <v>8049</v>
      </c>
      <c r="AH75" s="63">
        <v>9264</v>
      </c>
      <c r="AI75" s="63">
        <v>10260</v>
      </c>
      <c r="AJ75" s="63">
        <v>12215</v>
      </c>
      <c r="AK75" s="1792">
        <v>17718</v>
      </c>
      <c r="AL75" s="63">
        <v>608</v>
      </c>
      <c r="AM75" s="63">
        <v>1332</v>
      </c>
      <c r="AN75" s="63">
        <v>1931</v>
      </c>
      <c r="AO75" s="1594">
        <f>AK75-AA75+AN75</f>
        <v>16165</v>
      </c>
      <c r="AP75" s="1147">
        <v>17718</v>
      </c>
      <c r="AQ75" s="1494"/>
      <c r="AR75" s="63">
        <v>1931</v>
      </c>
      <c r="AS75" s="63">
        <v>3096</v>
      </c>
      <c r="AT75" s="1427">
        <f t="shared" si="200"/>
        <v>0.13106796116504854</v>
      </c>
      <c r="AU75" s="1351">
        <f t="shared" si="201"/>
        <v>-0.31413380593708462</v>
      </c>
      <c r="AV75" s="63">
        <v>4149</v>
      </c>
      <c r="AW75" s="1427">
        <f t="shared" si="202"/>
        <v>-0.62122302158273379</v>
      </c>
      <c r="AX75" s="1351">
        <f t="shared" si="203"/>
        <v>-0.4311763092953112</v>
      </c>
      <c r="AY75" s="63">
        <v>5872</v>
      </c>
      <c r="AZ75" s="1427">
        <f t="shared" si="204"/>
        <v>4.6677631578947372</v>
      </c>
      <c r="BA75" s="1351">
        <f t="shared" si="205"/>
        <v>-0.22716504343248223</v>
      </c>
      <c r="BB75" s="63">
        <v>6571</v>
      </c>
      <c r="BC75" s="1427">
        <f t="shared" si="206"/>
        <v>7.4216867469879517</v>
      </c>
      <c r="BD75" s="1351">
        <f t="shared" si="207"/>
        <v>-0.14451243327691707</v>
      </c>
      <c r="BE75" s="63">
        <v>7950</v>
      </c>
      <c r="BF75" s="1427">
        <f t="shared" si="208"/>
        <v>2.7472826086956523</v>
      </c>
      <c r="BG75" s="1351">
        <f t="shared" si="209"/>
        <v>-1.2299664554603056E-2</v>
      </c>
      <c r="BH75" s="63">
        <v>10564</v>
      </c>
      <c r="BI75" s="1427">
        <f t="shared" si="210"/>
        <v>1.151440329218107</v>
      </c>
      <c r="BJ75" s="1351">
        <f t="shared" si="211"/>
        <v>0.14032815198618306</v>
      </c>
      <c r="BK75" s="63">
        <v>13990</v>
      </c>
      <c r="BL75" s="1427">
        <f t="shared" si="212"/>
        <v>2.4397590361445785</v>
      </c>
      <c r="BM75" s="1351">
        <f t="shared" si="213"/>
        <v>0.3635477582846004</v>
      </c>
      <c r="BN75" s="63">
        <v>16530</v>
      </c>
      <c r="BO75" s="1427">
        <f t="shared" si="214"/>
        <v>0.29923273657289001</v>
      </c>
      <c r="BP75" s="1351">
        <f t="shared" si="215"/>
        <v>0.35325419566107247</v>
      </c>
      <c r="BQ75" s="1140">
        <v>18602</v>
      </c>
      <c r="BR75" s="1427">
        <f t="shared" si="216"/>
        <v>-0.62347810285298932</v>
      </c>
      <c r="BS75" s="1351">
        <f t="shared" si="217"/>
        <v>4.9892764420363472E-2</v>
      </c>
      <c r="BT75" s="63">
        <v>3742</v>
      </c>
      <c r="BU75" s="1427">
        <f t="shared" si="218"/>
        <v>5.1546052631578947</v>
      </c>
      <c r="BV75" s="1351">
        <f t="shared" si="219"/>
        <v>5.1546052631578947</v>
      </c>
      <c r="BW75" s="63">
        <v>6142</v>
      </c>
      <c r="BX75" s="1427">
        <f t="shared" si="220"/>
        <v>2.3149171270718232</v>
      </c>
      <c r="BY75" s="1351">
        <f t="shared" si="221"/>
        <v>3.6111111111111112</v>
      </c>
      <c r="BZ75" s="63">
        <v>6162</v>
      </c>
      <c r="CA75" s="1427">
        <f t="shared" si="222"/>
        <v>-0.96661101836393992</v>
      </c>
      <c r="CB75" s="1351">
        <f t="shared" si="223"/>
        <v>2.1910926980838945</v>
      </c>
      <c r="CC75" s="1901">
        <v>6162</v>
      </c>
      <c r="CD75" s="1594">
        <f>BQ75+BZ75-AR75</f>
        <v>22833</v>
      </c>
      <c r="CE75" s="1939">
        <f t="shared" si="224"/>
        <v>0.41249613362202286</v>
      </c>
      <c r="CF75" s="1940">
        <f t="shared" si="225"/>
        <v>32</v>
      </c>
      <c r="CG75" s="1895"/>
      <c r="CH75" s="1815">
        <v>7667</v>
      </c>
      <c r="CI75" s="2039">
        <f t="shared" si="226"/>
        <v>0.29184549356223177</v>
      </c>
      <c r="CJ75" s="2041">
        <f t="shared" si="227"/>
        <v>1.476421188630491</v>
      </c>
      <c r="CK75" s="1815">
        <v>9206</v>
      </c>
      <c r="CL75" s="2039">
        <f t="shared" si="228"/>
        <v>0.46153846153846156</v>
      </c>
      <c r="CM75" s="2041">
        <f t="shared" si="229"/>
        <v>1.2188479151602796</v>
      </c>
      <c r="CN75" s="1815">
        <v>11063</v>
      </c>
      <c r="CO75" s="2039">
        <f t="shared" si="230"/>
        <v>7.7771329077190948E-2</v>
      </c>
      <c r="CP75" s="2041">
        <f t="shared" si="231"/>
        <v>0.88402588555858308</v>
      </c>
      <c r="CQ75" s="1815">
        <v>15471</v>
      </c>
      <c r="CR75" s="2039">
        <f t="shared" si="232"/>
        <v>5.3061516452074393</v>
      </c>
      <c r="CS75" s="2041">
        <f t="shared" si="233"/>
        <v>1.354436158879927</v>
      </c>
      <c r="CU75" s="1948">
        <f t="shared" si="234"/>
        <v>0.47041027332134389</v>
      </c>
      <c r="CV75" s="1940">
        <f t="shared" si="235"/>
        <v>13</v>
      </c>
      <c r="CW75" s="1580">
        <f t="shared" si="236"/>
        <v>-9.1469711678294471E-2</v>
      </c>
      <c r="CX75" s="1799">
        <v>19045</v>
      </c>
      <c r="CY75" s="1794">
        <f>_xlfn.XLOOKUP(E75,MOPFRA!$R$7:$R$56,MOPFRA!$T$7:$T$56,"")</f>
        <v>13975</v>
      </c>
      <c r="CZ75" s="1245" t="str">
        <f>_xlfn.XLOOKUP(E75,MOPFRA!$R$7:$R$56,MOPFRA!$P$7:$P$56,"")</f>
        <v>M</v>
      </c>
      <c r="DA75" s="1802">
        <v>0.9</v>
      </c>
      <c r="DB75" s="1529">
        <f t="shared" si="237"/>
        <v>-0.31413380593708462</v>
      </c>
      <c r="DC75" s="1529">
        <f t="shared" si="238"/>
        <v>-0.4311763092953112</v>
      </c>
      <c r="DD75" s="1529">
        <f t="shared" si="239"/>
        <v>-0.22716504343248223</v>
      </c>
      <c r="DE75" s="1529">
        <f t="shared" si="240"/>
        <v>-0.14451243327691707</v>
      </c>
      <c r="DF75" s="1529">
        <f t="shared" si="241"/>
        <v>-1.2299664554603056E-2</v>
      </c>
      <c r="DG75" s="1529">
        <f t="shared" si="242"/>
        <v>0.14032815198618306</v>
      </c>
      <c r="DH75" s="1529">
        <f t="shared" si="243"/>
        <v>0.3635477582846004</v>
      </c>
      <c r="DI75" s="1529">
        <f t="shared" si="244"/>
        <v>0.35325419566107247</v>
      </c>
      <c r="DJ75" s="1529">
        <f t="shared" si="187"/>
        <v>4.9892764420363472E-2</v>
      </c>
      <c r="DK75" s="1529">
        <f t="shared" si="245"/>
        <v>5.1546052631578947</v>
      </c>
      <c r="DL75" s="1529">
        <f t="shared" si="246"/>
        <v>3.6111111111111112</v>
      </c>
      <c r="DM75" s="1529">
        <f t="shared" si="247"/>
        <v>2.1910926980838945</v>
      </c>
      <c r="DN75" s="1529">
        <f t="shared" si="248"/>
        <v>1.476421188630491</v>
      </c>
      <c r="DO75" s="1529">
        <f t="shared" si="249"/>
        <v>1.2188479151602796</v>
      </c>
      <c r="DP75" s="1529">
        <f t="shared" si="250"/>
        <v>0.88402588555858308</v>
      </c>
      <c r="DQ75" s="1529">
        <f t="shared" si="251"/>
        <v>1.354436158879927</v>
      </c>
      <c r="DS75" s="1583" t="s">
        <v>197</v>
      </c>
      <c r="DT75" s="1736"/>
      <c r="DU75" s="1580">
        <f>_xlfn.XLOOKUP(E75,E75:E162,CW75:CW162,"")</f>
        <v>-9.1469711678294471E-2</v>
      </c>
      <c r="DV75" s="1943">
        <f t="shared" si="252"/>
        <v>13</v>
      </c>
      <c r="DW75" s="1730">
        <f t="shared" si="253"/>
        <v>-0.26621160409556316</v>
      </c>
      <c r="DX75" s="1860">
        <f t="shared" si="254"/>
        <v>-3.5282482346197686</v>
      </c>
      <c r="DY75" s="1683">
        <f>_xlfn.XLOOKUP(E75,MOPFRA!$R$7:$R$56,MOPFRA!$D$7:$D$56,"")</f>
        <v>13.374336488953677</v>
      </c>
      <c r="DZ75" s="1583" t="s">
        <v>197</v>
      </c>
    </row>
    <row r="76" spans="2:130" ht="68" customHeight="1">
      <c r="B76" s="1119">
        <f>_xlfn.XLOOKUP(E76,MOPFRA!$R$7:$R$56,MOPFRA!$A$7:$A$56,"")</f>
        <v>-16.082359578665564</v>
      </c>
      <c r="C76" s="394">
        <f>_xlfn.XLOOKUP(E76,MOPFRA!$R$7:$R$56,MOPFRA!$T$7:$T$56,"")</f>
        <v>11973.343999999999</v>
      </c>
      <c r="D76" s="223" t="s">
        <v>187</v>
      </c>
      <c r="E76" s="1949" t="s">
        <v>188</v>
      </c>
      <c r="F76" s="982">
        <f>_xlfn.XLOOKUP(E76,MOPFRA!$R$7:$R$56,MOPFRA!$S$7:$S$56,"")</f>
        <v>12</v>
      </c>
      <c r="G76" s="1203">
        <f>_xlfn.XLOOKUP(E76,MOPFRA!$R$7:$R$56,MOPFRA!$AQ$7:$AQ$56,"")</f>
        <v>18091</v>
      </c>
      <c r="H76" s="1210">
        <v>164</v>
      </c>
      <c r="I76" s="1713">
        <f t="shared" si="188"/>
        <v>17927</v>
      </c>
      <c r="J76" s="1712">
        <f t="shared" si="189"/>
        <v>9.0652810789895524E-3</v>
      </c>
      <c r="K76" s="1761">
        <v>4</v>
      </c>
      <c r="L76" s="1728">
        <f t="shared" si="190"/>
        <v>4</v>
      </c>
      <c r="M76" s="689">
        <v>5529</v>
      </c>
      <c r="N76" s="689">
        <v>7118</v>
      </c>
      <c r="O76" s="1718">
        <v>176</v>
      </c>
      <c r="P76" s="1713">
        <f t="shared" si="191"/>
        <v>6942</v>
      </c>
      <c r="Q76" s="1712">
        <f t="shared" si="192"/>
        <v>2.4726046642315258E-2</v>
      </c>
      <c r="R76" s="557">
        <f t="shared" si="184"/>
        <v>21354</v>
      </c>
      <c r="S76" s="553">
        <f t="shared" si="193"/>
        <v>0.28739374208717672</v>
      </c>
      <c r="T76" s="553">
        <f t="shared" si="194"/>
        <v>0.30562157979105631</v>
      </c>
      <c r="U76" s="558">
        <f t="shared" si="195"/>
        <v>23290.240188099116</v>
      </c>
      <c r="V76" s="591">
        <f t="shared" si="196"/>
        <v>1589</v>
      </c>
      <c r="W76" s="559">
        <f t="shared" si="197"/>
        <v>19680</v>
      </c>
      <c r="X76" s="560">
        <f t="shared" si="198"/>
        <v>21903.620094049558</v>
      </c>
      <c r="Y76" s="1244">
        <f t="shared" si="199"/>
        <v>0.21074678536562702</v>
      </c>
      <c r="Z76" s="658"/>
      <c r="AA76" s="63">
        <v>10096</v>
      </c>
      <c r="AB76" s="1147">
        <v>10096</v>
      </c>
      <c r="AC76" s="63">
        <v>635</v>
      </c>
      <c r="AD76" s="63">
        <v>1760</v>
      </c>
      <c r="AE76" s="63">
        <v>2830</v>
      </c>
      <c r="AF76" s="63">
        <v>3868</v>
      </c>
      <c r="AG76" s="63">
        <v>4849</v>
      </c>
      <c r="AH76" s="63">
        <v>5593</v>
      </c>
      <c r="AI76" s="63">
        <v>6790</v>
      </c>
      <c r="AJ76" s="63">
        <v>7832</v>
      </c>
      <c r="AK76" s="1791">
        <v>8932</v>
      </c>
      <c r="AL76" s="63">
        <v>10264</v>
      </c>
      <c r="AM76" s="63">
        <v>12032</v>
      </c>
      <c r="AN76" s="1140">
        <v>13459</v>
      </c>
      <c r="AO76" s="1594">
        <f>AN76+AB76-AA76</f>
        <v>13459</v>
      </c>
      <c r="AP76" s="1147">
        <v>13459</v>
      </c>
      <c r="AQ76" s="1494"/>
      <c r="AR76" s="63">
        <v>0</v>
      </c>
      <c r="AS76" s="63">
        <v>910</v>
      </c>
      <c r="AT76" s="1427">
        <f t="shared" si="200"/>
        <v>0.43307086614173229</v>
      </c>
      <c r="AU76" s="1351">
        <f t="shared" si="201"/>
        <v>0.43307086614173229</v>
      </c>
      <c r="AV76" s="63">
        <v>2402</v>
      </c>
      <c r="AW76" s="1427">
        <f t="shared" si="202"/>
        <v>0.32622222222222225</v>
      </c>
      <c r="AX76" s="1351">
        <f t="shared" si="203"/>
        <v>0.36477272727272725</v>
      </c>
      <c r="AY76" s="63">
        <v>3817</v>
      </c>
      <c r="AZ76" s="1427">
        <f t="shared" si="204"/>
        <v>0.32242990654205606</v>
      </c>
      <c r="BA76" s="1351">
        <f t="shared" si="205"/>
        <v>0.34876325088339222</v>
      </c>
      <c r="BB76" s="63">
        <v>5529</v>
      </c>
      <c r="BC76" s="1427">
        <f t="shared" si="206"/>
        <v>0.64932562620423895</v>
      </c>
      <c r="BD76" s="1351">
        <f t="shared" si="207"/>
        <v>0.42942088934850053</v>
      </c>
      <c r="BE76" s="63">
        <v>7123</v>
      </c>
      <c r="BF76" s="1427">
        <f t="shared" si="208"/>
        <v>0.62487257900101933</v>
      </c>
      <c r="BG76" s="1351">
        <f t="shared" si="209"/>
        <v>0.46896267271602393</v>
      </c>
      <c r="BH76" s="63">
        <v>8766</v>
      </c>
      <c r="BI76" s="1427">
        <f t="shared" si="210"/>
        <v>1.2083333333333333</v>
      </c>
      <c r="BJ76" s="1351">
        <f t="shared" si="211"/>
        <v>0.56731628821741464</v>
      </c>
      <c r="BK76" s="63">
        <v>10551</v>
      </c>
      <c r="BL76" s="1427">
        <f t="shared" si="212"/>
        <v>0.49122807017543857</v>
      </c>
      <c r="BM76" s="1351">
        <f t="shared" si="213"/>
        <v>0.55390279823269517</v>
      </c>
      <c r="BN76" s="63">
        <v>11950</v>
      </c>
      <c r="BO76" s="1427">
        <f t="shared" si="214"/>
        <v>0.34261036468330136</v>
      </c>
      <c r="BP76" s="1351">
        <f t="shared" si="215"/>
        <v>0.52579162410623081</v>
      </c>
      <c r="BQ76" s="63">
        <v>13800</v>
      </c>
      <c r="BR76" s="1427">
        <f t="shared" si="216"/>
        <v>0.68181818181818177</v>
      </c>
      <c r="BS76" s="1351">
        <f t="shared" si="217"/>
        <v>0.54500671742051054</v>
      </c>
      <c r="BT76" s="63">
        <v>15066</v>
      </c>
      <c r="BU76" s="1427">
        <f t="shared" si="218"/>
        <v>-4.954954954954955E-2</v>
      </c>
      <c r="BV76" s="1351">
        <f t="shared" si="219"/>
        <v>0.46784879189399842</v>
      </c>
      <c r="BW76" s="63">
        <v>16565</v>
      </c>
      <c r="BX76" s="1427">
        <f t="shared" si="220"/>
        <v>-0.15214932126696831</v>
      </c>
      <c r="BY76" s="1351">
        <f t="shared" si="221"/>
        <v>0.37674534574468083</v>
      </c>
      <c r="BZ76" s="1140">
        <v>18091</v>
      </c>
      <c r="CA76" s="1427">
        <f t="shared" si="222"/>
        <v>6.9376313945339871E-2</v>
      </c>
      <c r="CB76" s="1351">
        <f t="shared" si="223"/>
        <v>0.34415632662159151</v>
      </c>
      <c r="CC76" s="1901">
        <v>0</v>
      </c>
      <c r="CD76" s="1594">
        <f>BZ76</f>
        <v>18091</v>
      </c>
      <c r="CE76" s="1939">
        <f t="shared" si="224"/>
        <v>0.34415632662159151</v>
      </c>
      <c r="CF76" s="1940">
        <f t="shared" si="225"/>
        <v>40</v>
      </c>
      <c r="CG76" s="1895"/>
      <c r="CH76" s="1815">
        <v>1252</v>
      </c>
      <c r="CI76" s="2039">
        <f t="shared" si="226"/>
        <v>0.37582417582417582</v>
      </c>
      <c r="CJ76" s="2041">
        <f t="shared" si="227"/>
        <v>0.37582417582417582</v>
      </c>
      <c r="CK76" s="1815">
        <v>3921</v>
      </c>
      <c r="CL76" s="2039">
        <f t="shared" si="228"/>
        <v>0.78887399463806973</v>
      </c>
      <c r="CM76" s="2041">
        <f t="shared" si="229"/>
        <v>0.63238967527060785</v>
      </c>
      <c r="CN76" s="1815">
        <v>5869</v>
      </c>
      <c r="CO76" s="2039">
        <f t="shared" si="230"/>
        <v>0.37667844522968197</v>
      </c>
      <c r="CP76" s="2041">
        <f t="shared" si="231"/>
        <v>0.53759496987162692</v>
      </c>
      <c r="CQ76" s="1815">
        <v>7118</v>
      </c>
      <c r="CR76" s="2039">
        <f t="shared" si="232"/>
        <v>-0.27044392523364486</v>
      </c>
      <c r="CS76" s="2041">
        <f t="shared" si="233"/>
        <v>0.28739374208717672</v>
      </c>
      <c r="CU76" s="1948">
        <f t="shared" si="234"/>
        <v>-0.2502012277844502</v>
      </c>
      <c r="CV76" s="1940">
        <f t="shared" si="235"/>
        <v>44</v>
      </c>
      <c r="CW76" s="1580">
        <f t="shared" si="236"/>
        <v>4.7850700818986777E-3</v>
      </c>
      <c r="CX76" s="1799">
        <v>14357.637000000001</v>
      </c>
      <c r="CY76" s="1794">
        <f>_xlfn.XLOOKUP(E76,MOPFRA!$R$7:$R$56,MOPFRA!$T$7:$T$56,"")</f>
        <v>11973.343999999999</v>
      </c>
      <c r="CZ76" s="1245" t="str">
        <f>_xlfn.XLOOKUP(E76,MOPFRA!$R$7:$R$56,MOPFRA!$P$7:$P$56,"")</f>
        <v>T</v>
      </c>
      <c r="DA76" s="1802">
        <v>0.9</v>
      </c>
      <c r="DB76" s="1529">
        <f t="shared" si="237"/>
        <v>0.43307086614173229</v>
      </c>
      <c r="DC76" s="1529">
        <f t="shared" si="238"/>
        <v>0.36477272727272725</v>
      </c>
      <c r="DD76" s="1529">
        <f t="shared" si="239"/>
        <v>0.34876325088339222</v>
      </c>
      <c r="DE76" s="1529">
        <f t="shared" si="240"/>
        <v>0.42942088934850053</v>
      </c>
      <c r="DF76" s="1529">
        <f t="shared" si="241"/>
        <v>0.46896267271602393</v>
      </c>
      <c r="DG76" s="1529">
        <f t="shared" si="242"/>
        <v>0.56731628821741464</v>
      </c>
      <c r="DH76" s="1529">
        <f t="shared" si="243"/>
        <v>0.55390279823269517</v>
      </c>
      <c r="DI76" s="1529">
        <f t="shared" si="244"/>
        <v>0.52579162410623081</v>
      </c>
      <c r="DJ76" s="1529">
        <f t="shared" si="187"/>
        <v>0.54500671742051054</v>
      </c>
      <c r="DK76" s="1529">
        <f t="shared" si="245"/>
        <v>0.46784879189399842</v>
      </c>
      <c r="DL76" s="1529">
        <f t="shared" si="246"/>
        <v>0.37674534574468083</v>
      </c>
      <c r="DM76" s="1529">
        <f t="shared" si="247"/>
        <v>0.34415632662159151</v>
      </c>
      <c r="DN76" s="1529">
        <f t="shared" si="248"/>
        <v>0.37582417582417582</v>
      </c>
      <c r="DO76" s="1529">
        <f t="shared" si="249"/>
        <v>0.63238967527060785</v>
      </c>
      <c r="DP76" s="1529">
        <f t="shared" si="250"/>
        <v>0.53759496987162692</v>
      </c>
      <c r="DQ76" s="1529">
        <f t="shared" si="251"/>
        <v>0.28739374208717672</v>
      </c>
      <c r="DS76" s="1583" t="s">
        <v>603</v>
      </c>
      <c r="DT76" s="1736"/>
      <c r="DU76" s="1580">
        <f>_xlfn.XLOOKUP(E76,E76:E165,CW76:CW165,"")</f>
        <v>4.7850700818986777E-3</v>
      </c>
      <c r="DV76" s="1943">
        <f t="shared" si="252"/>
        <v>44</v>
      </c>
      <c r="DW76" s="1730">
        <f t="shared" si="253"/>
        <v>-0.16606444361283138</v>
      </c>
      <c r="DX76" s="1860">
        <f t="shared" si="254"/>
        <v>1.5660765563325705</v>
      </c>
      <c r="DY76" s="1683">
        <f>_xlfn.XLOOKUP(E76,MOPFRA!$R$7:$R$56,MOPFRA!$D$7:$D$56,"")</f>
        <v>3.1627869963684567</v>
      </c>
      <c r="DZ76" s="1583" t="s">
        <v>606</v>
      </c>
    </row>
    <row r="77" spans="2:130" ht="68" customHeight="1">
      <c r="B77" s="1119">
        <f>_xlfn.XLOOKUP(E77,MOPFRA!$R$7:$R$56,MOPFRA!$A$7:$A$56,"")</f>
        <v>-21.000719895593619</v>
      </c>
      <c r="C77" s="394">
        <f>_xlfn.XLOOKUP(E77,MOPFRA!$R$7:$R$56,MOPFRA!$T$7:$T$56,"")</f>
        <v>136988.54999999999</v>
      </c>
      <c r="D77" s="223" t="s">
        <v>136</v>
      </c>
      <c r="E77" s="1949" t="s">
        <v>137</v>
      </c>
      <c r="F77" s="982">
        <f>_xlfn.XLOOKUP(E77,MOPFRA!$R$7:$R$56,MOPFRA!$S$7:$S$56,"")</f>
        <v>9</v>
      </c>
      <c r="G77" s="1924">
        <v>84606</v>
      </c>
      <c r="H77" s="1923">
        <v>1950</v>
      </c>
      <c r="I77" s="1713">
        <f t="shared" si="188"/>
        <v>82656</v>
      </c>
      <c r="J77" s="1712">
        <f t="shared" si="189"/>
        <v>2.3048010779377348E-2</v>
      </c>
      <c r="K77" s="1761">
        <v>4</v>
      </c>
      <c r="L77" s="1728">
        <f t="shared" si="190"/>
        <v>7</v>
      </c>
      <c r="M77" s="689">
        <v>47876</v>
      </c>
      <c r="N77" s="689">
        <v>57518</v>
      </c>
      <c r="O77" s="1718">
        <v>552</v>
      </c>
      <c r="P77" s="1713">
        <f t="shared" si="191"/>
        <v>56966</v>
      </c>
      <c r="Q77" s="1712">
        <f t="shared" si="192"/>
        <v>9.5969957230779938E-3</v>
      </c>
      <c r="R77" s="557">
        <f t="shared" si="184"/>
        <v>98602.28571428571</v>
      </c>
      <c r="S77" s="553">
        <f t="shared" si="193"/>
        <v>0.20139527111705238</v>
      </c>
      <c r="T77" s="553">
        <f t="shared" si="194"/>
        <v>0.56587003285818971</v>
      </c>
      <c r="U77" s="558">
        <f t="shared" si="195"/>
        <v>101645.24830812933</v>
      </c>
      <c r="V77" s="591">
        <f t="shared" si="196"/>
        <v>9642</v>
      </c>
      <c r="W77" s="559">
        <f t="shared" si="197"/>
        <v>94248</v>
      </c>
      <c r="X77" s="560">
        <f t="shared" si="198"/>
        <v>99035.195582636094</v>
      </c>
      <c r="Y77" s="1244">
        <f t="shared" si="199"/>
        <v>0.17054577196222601</v>
      </c>
      <c r="Z77" s="658"/>
      <c r="AA77" s="63">
        <v>60374</v>
      </c>
      <c r="AB77" s="1147">
        <v>60374</v>
      </c>
      <c r="AC77" s="63">
        <v>4098</v>
      </c>
      <c r="AD77" s="63">
        <v>9022</v>
      </c>
      <c r="AE77" s="63">
        <v>13764</v>
      </c>
      <c r="AF77" s="63">
        <v>15075</v>
      </c>
      <c r="AG77" s="63">
        <v>16975</v>
      </c>
      <c r="AH77" s="63">
        <v>24788</v>
      </c>
      <c r="AI77" s="63">
        <v>28387</v>
      </c>
      <c r="AJ77" s="63">
        <v>33500</v>
      </c>
      <c r="AK77" s="1140">
        <v>38113</v>
      </c>
      <c r="AL77" s="63">
        <v>6358</v>
      </c>
      <c r="AM77" s="63">
        <v>11744</v>
      </c>
      <c r="AN77" s="1140">
        <v>18667</v>
      </c>
      <c r="AO77" s="1594">
        <v>56780</v>
      </c>
      <c r="AP77" s="1147">
        <v>38113</v>
      </c>
      <c r="AQ77" s="1494"/>
      <c r="AR77" s="63">
        <v>18697</v>
      </c>
      <c r="AS77" s="1613">
        <v>26184</v>
      </c>
      <c r="AT77" s="1427">
        <f t="shared" si="200"/>
        <v>-1.1330407278413532</v>
      </c>
      <c r="AU77" s="1351">
        <f t="shared" si="201"/>
        <v>5.3894582723279649</v>
      </c>
      <c r="AV77" s="1613">
        <v>34199</v>
      </c>
      <c r="AW77" s="1427">
        <f t="shared" si="202"/>
        <v>0.62774167343623066</v>
      </c>
      <c r="AX77" s="1351">
        <f t="shared" si="203"/>
        <v>2.790622921746841</v>
      </c>
      <c r="AY77" s="1613">
        <v>40772</v>
      </c>
      <c r="AZ77" s="1427">
        <f t="shared" si="204"/>
        <v>0.38612399831294814</v>
      </c>
      <c r="BA77" s="1351">
        <f t="shared" si="205"/>
        <v>1.96222028480093</v>
      </c>
      <c r="BB77" s="1613">
        <v>45841</v>
      </c>
      <c r="BC77" s="1427">
        <f t="shared" si="206"/>
        <v>2.8665141113653698</v>
      </c>
      <c r="BD77" s="1351">
        <f t="shared" si="207"/>
        <v>2.0408623548922056</v>
      </c>
      <c r="BE77" s="1613">
        <v>52763</v>
      </c>
      <c r="BF77" s="1427">
        <f t="shared" si="208"/>
        <v>2.6431578947368419</v>
      </c>
      <c r="BG77" s="1351">
        <f t="shared" si="209"/>
        <v>2.1082768777614138</v>
      </c>
      <c r="BH77" s="1613">
        <v>61290</v>
      </c>
      <c r="BI77" s="1427">
        <f t="shared" si="210"/>
        <v>9.1386151286317677E-2</v>
      </c>
      <c r="BJ77" s="1351">
        <f t="shared" si="211"/>
        <v>1.4725673713086977</v>
      </c>
      <c r="BK77" s="1613">
        <v>68521</v>
      </c>
      <c r="BL77" s="1427">
        <f t="shared" si="212"/>
        <v>1.009169213670464</v>
      </c>
      <c r="BM77" s="1351">
        <f t="shared" si="213"/>
        <v>1.4138161834642617</v>
      </c>
      <c r="BN77" s="1613">
        <v>77043</v>
      </c>
      <c r="BO77" s="1427">
        <f t="shared" si="214"/>
        <v>0.66673185996479567</v>
      </c>
      <c r="BP77" s="1351">
        <f t="shared" si="215"/>
        <v>1.2997910447761194</v>
      </c>
      <c r="BQ77" s="1140">
        <v>84606</v>
      </c>
      <c r="BR77" s="1427">
        <f t="shared" si="216"/>
        <v>0.6394970734879688</v>
      </c>
      <c r="BS77" s="1351">
        <f t="shared" si="217"/>
        <v>1.2198724844541233</v>
      </c>
      <c r="BT77" s="63">
        <v>8522</v>
      </c>
      <c r="BU77" s="1427">
        <f t="shared" si="218"/>
        <v>0.34035860333438189</v>
      </c>
      <c r="BV77" s="1351">
        <f t="shared" si="219"/>
        <v>0.34035860333438189</v>
      </c>
      <c r="BW77" s="63">
        <v>16899</v>
      </c>
      <c r="BX77" s="1427">
        <f t="shared" si="220"/>
        <v>0.55532862978091346</v>
      </c>
      <c r="BY77" s="1351">
        <f t="shared" si="221"/>
        <v>0.43894754768392369</v>
      </c>
      <c r="BZ77" s="63">
        <v>25053</v>
      </c>
      <c r="CA77" s="1427">
        <f t="shared" si="222"/>
        <v>0.17781308681207569</v>
      </c>
      <c r="CB77" s="1351">
        <f t="shared" si="223"/>
        <v>0.34210103391010876</v>
      </c>
      <c r="CC77" s="1901">
        <v>25053</v>
      </c>
      <c r="CD77" s="1594">
        <f>BQ77+BZ77-AR77</f>
        <v>90962</v>
      </c>
      <c r="CE77" s="1939">
        <f t="shared" si="224"/>
        <v>0.60200774920746747</v>
      </c>
      <c r="CF77" s="1940">
        <f t="shared" si="225"/>
        <v>19</v>
      </c>
      <c r="CG77" s="1895"/>
      <c r="CH77" s="1815">
        <v>30267</v>
      </c>
      <c r="CI77" s="2039">
        <f t="shared" si="226"/>
        <v>-0.30637222296128774</v>
      </c>
      <c r="CJ77" s="2041">
        <f t="shared" si="227"/>
        <v>0.15593492208982584</v>
      </c>
      <c r="CK77" s="1815">
        <v>39351</v>
      </c>
      <c r="CL77" s="2039">
        <f t="shared" si="228"/>
        <v>0.13337492202121023</v>
      </c>
      <c r="CM77" s="2041">
        <f t="shared" si="229"/>
        <v>0.15064767975671803</v>
      </c>
      <c r="CN77" s="1815">
        <v>50519</v>
      </c>
      <c r="CO77" s="2039">
        <f t="shared" si="230"/>
        <v>0.69907196105279168</v>
      </c>
      <c r="CP77" s="2041">
        <f t="shared" si="231"/>
        <v>0.23906112037672914</v>
      </c>
      <c r="CQ77" s="1815">
        <v>57518</v>
      </c>
      <c r="CR77" s="2039">
        <f t="shared" si="232"/>
        <v>0.38074570921286249</v>
      </c>
      <c r="CS77" s="2041">
        <f t="shared" si="233"/>
        <v>0.25472829999345564</v>
      </c>
      <c r="CU77" s="1948">
        <f t="shared" si="234"/>
        <v>1.5667179616726506E-2</v>
      </c>
      <c r="CV77" s="1940">
        <f t="shared" si="235"/>
        <v>47</v>
      </c>
      <c r="CW77" s="1580">
        <f t="shared" si="236"/>
        <v>0.20723991516277823</v>
      </c>
      <c r="CX77" s="1799">
        <v>119994.5</v>
      </c>
      <c r="CY77" s="1794">
        <f>_xlfn.XLOOKUP(E77,MOPFRA!$R$7:$R$56,MOPFRA!$T$7:$T$56,"")</f>
        <v>136988.54999999999</v>
      </c>
      <c r="CZ77" s="1245" t="str">
        <f>_xlfn.XLOOKUP(E77,MOPFRA!$R$7:$R$56,MOPFRA!$P$7:$P$56,"")</f>
        <v>KM</v>
      </c>
      <c r="DA77" s="1802">
        <v>0.9</v>
      </c>
      <c r="DB77" s="1529">
        <f t="shared" si="237"/>
        <v>5.3894582723279649</v>
      </c>
      <c r="DC77" s="1529">
        <f t="shared" si="238"/>
        <v>2.790622921746841</v>
      </c>
      <c r="DD77" s="1529">
        <f t="shared" si="239"/>
        <v>1.96222028480093</v>
      </c>
      <c r="DE77" s="1529">
        <f t="shared" si="240"/>
        <v>2.0408623548922056</v>
      </c>
      <c r="DF77" s="1529">
        <f t="shared" si="241"/>
        <v>2.1082768777614138</v>
      </c>
      <c r="DG77" s="1529">
        <f t="shared" si="242"/>
        <v>1.4725673713086977</v>
      </c>
      <c r="DH77" s="1529">
        <f t="shared" si="243"/>
        <v>1.4138161834642617</v>
      </c>
      <c r="DI77" s="1529">
        <f t="shared" si="244"/>
        <v>1.2997910447761194</v>
      </c>
      <c r="DJ77" s="1529">
        <f t="shared" si="187"/>
        <v>1.2198724844541233</v>
      </c>
      <c r="DK77" s="1529">
        <f t="shared" si="245"/>
        <v>0.34035860333438189</v>
      </c>
      <c r="DL77" s="1529">
        <f t="shared" si="246"/>
        <v>0.43894754768392369</v>
      </c>
      <c r="DM77" s="1529">
        <f t="shared" si="247"/>
        <v>0.34210103391010876</v>
      </c>
      <c r="DN77" s="1529">
        <f t="shared" si="248"/>
        <v>0.15593492208982584</v>
      </c>
      <c r="DO77" s="1529">
        <f t="shared" si="249"/>
        <v>0.15064767975671803</v>
      </c>
      <c r="DP77" s="1529">
        <f t="shared" si="250"/>
        <v>0.23906112037672914</v>
      </c>
      <c r="DQ77" s="1529">
        <f t="shared" si="251"/>
        <v>0.25472829999345564</v>
      </c>
      <c r="DS77" s="1583" t="s">
        <v>603</v>
      </c>
      <c r="DT77" s="1736"/>
      <c r="DU77" s="1580">
        <f>_xlfn.XLOOKUP(E77,E77:E164,CW77:CW164,"")</f>
        <v>0.20723991516277823</v>
      </c>
      <c r="DV77" s="1943">
        <f t="shared" si="252"/>
        <v>47</v>
      </c>
      <c r="DW77" s="1730">
        <f t="shared" si="253"/>
        <v>0.1416235744138272</v>
      </c>
      <c r="DX77" s="1860">
        <f t="shared" si="254"/>
        <v>-1.3451015056299354</v>
      </c>
      <c r="DY77" s="1683">
        <f>_xlfn.XLOOKUP(E77,MOPFRA!$R$7:$R$56,MOPFRA!$D$7:$D$56,"")</f>
        <v>2.3990654272327987</v>
      </c>
      <c r="DZ77" s="1583" t="s">
        <v>197</v>
      </c>
    </row>
    <row r="78" spans="2:130" ht="68" customHeight="1">
      <c r="B78" s="1119">
        <f>_xlfn.XLOOKUP(E78,MOPFRA!$R$7:$R$56,MOPFRA!$A$7:$A$56,"")</f>
        <v>-19.430894563608156</v>
      </c>
      <c r="C78" s="394">
        <f>_xlfn.XLOOKUP(E78,MOPFRA!$R$7:$R$56,MOPFRA!$T$7:$T$56,"")</f>
        <v>4804.2</v>
      </c>
      <c r="D78" s="223" t="s">
        <v>94</v>
      </c>
      <c r="E78" s="1949" t="s">
        <v>95</v>
      </c>
      <c r="F78" s="982">
        <f>_xlfn.XLOOKUP(E78,MOPFRA!$R$7:$R$56,MOPFRA!$S$7:$S$56,"")</f>
        <v>9</v>
      </c>
      <c r="G78" s="1203">
        <f>_xlfn.XLOOKUP(E78,MOPFRA!$R$7:$R$56,MOPFRA!$AQ$7:$AQ$56,"")</f>
        <v>3315</v>
      </c>
      <c r="H78" s="1210">
        <v>117</v>
      </c>
      <c r="I78" s="1713">
        <f t="shared" si="188"/>
        <v>3198</v>
      </c>
      <c r="J78" s="1712">
        <f t="shared" si="189"/>
        <v>3.5294117647058823E-2</v>
      </c>
      <c r="K78" s="1761">
        <v>4</v>
      </c>
      <c r="L78" s="1728">
        <f t="shared" si="190"/>
        <v>7</v>
      </c>
      <c r="M78" s="689">
        <v>1672</v>
      </c>
      <c r="N78" s="689">
        <v>3648</v>
      </c>
      <c r="O78" s="1718">
        <v>146</v>
      </c>
      <c r="P78" s="1713">
        <f t="shared" si="191"/>
        <v>3502</v>
      </c>
      <c r="Q78" s="1712">
        <f t="shared" si="192"/>
        <v>4.0021929824561403E-2</v>
      </c>
      <c r="R78" s="557">
        <f t="shared" si="184"/>
        <v>6253.7142857142853</v>
      </c>
      <c r="S78" s="553">
        <f t="shared" si="193"/>
        <v>1.1818181818181819</v>
      </c>
      <c r="T78" s="553">
        <f t="shared" si="194"/>
        <v>0.50437405731523377</v>
      </c>
      <c r="U78" s="558">
        <f t="shared" si="195"/>
        <v>7232.7272727272721</v>
      </c>
      <c r="V78" s="591">
        <f t="shared" si="196"/>
        <v>1976</v>
      </c>
      <c r="W78" s="559">
        <f t="shared" si="197"/>
        <v>5291</v>
      </c>
      <c r="X78" s="560">
        <f t="shared" si="198"/>
        <v>6502.5422077922076</v>
      </c>
      <c r="Y78" s="1244">
        <f t="shared" si="199"/>
        <v>0.96155119390413502</v>
      </c>
      <c r="Z78" s="658"/>
      <c r="AA78" s="63">
        <v>464</v>
      </c>
      <c r="AB78" s="1147">
        <v>1830</v>
      </c>
      <c r="AC78" s="63">
        <v>528</v>
      </c>
      <c r="AD78" s="63">
        <v>717</v>
      </c>
      <c r="AE78" s="63">
        <v>868</v>
      </c>
      <c r="AF78" s="63">
        <v>1061</v>
      </c>
      <c r="AG78" s="63">
        <v>1167</v>
      </c>
      <c r="AH78" s="63">
        <v>1348</v>
      </c>
      <c r="AI78" s="63">
        <v>1684</v>
      </c>
      <c r="AJ78" s="63">
        <v>1968</v>
      </c>
      <c r="AK78" s="1792">
        <v>2229</v>
      </c>
      <c r="AL78" s="63">
        <v>224</v>
      </c>
      <c r="AM78" s="63">
        <v>413</v>
      </c>
      <c r="AN78" s="63">
        <v>577</v>
      </c>
      <c r="AO78" s="1594">
        <f>AK78-AA78+AN78</f>
        <v>2342</v>
      </c>
      <c r="AP78" s="1147">
        <v>2229</v>
      </c>
      <c r="AQ78" s="1494"/>
      <c r="AR78" s="63">
        <v>577</v>
      </c>
      <c r="AS78" s="63">
        <v>713</v>
      </c>
      <c r="AT78" s="1427">
        <f t="shared" si="200"/>
        <v>1.125</v>
      </c>
      <c r="AU78" s="1351">
        <f t="shared" si="201"/>
        <v>0.3503787878787879</v>
      </c>
      <c r="AV78" s="63">
        <v>995</v>
      </c>
      <c r="AW78" s="1427">
        <f t="shared" si="202"/>
        <v>0.49206349206349204</v>
      </c>
      <c r="AX78" s="1351">
        <f t="shared" si="203"/>
        <v>0.38772663877266389</v>
      </c>
      <c r="AY78" s="63">
        <v>1307</v>
      </c>
      <c r="AZ78" s="1427">
        <f t="shared" si="204"/>
        <v>1.0662251655629138</v>
      </c>
      <c r="BA78" s="1351">
        <f t="shared" si="205"/>
        <v>0.50576036866359442</v>
      </c>
      <c r="BB78" s="63">
        <v>1668</v>
      </c>
      <c r="BC78" s="1427">
        <f t="shared" si="206"/>
        <v>0.8704663212435233</v>
      </c>
      <c r="BD78" s="1351">
        <f t="shared" si="207"/>
        <v>0.57210179076343071</v>
      </c>
      <c r="BE78" s="63">
        <v>1998</v>
      </c>
      <c r="BF78" s="1427">
        <f t="shared" si="208"/>
        <v>2.1132075471698113</v>
      </c>
      <c r="BG78" s="1351">
        <f t="shared" si="209"/>
        <v>0.71208226221079696</v>
      </c>
      <c r="BH78" s="63">
        <v>2317</v>
      </c>
      <c r="BI78" s="1427">
        <f t="shared" si="210"/>
        <v>0.76243093922651939</v>
      </c>
      <c r="BJ78" s="1351">
        <f t="shared" si="211"/>
        <v>0.71884272997032639</v>
      </c>
      <c r="BK78" s="63">
        <v>2671</v>
      </c>
      <c r="BL78" s="1427">
        <f t="shared" si="212"/>
        <v>5.3571428571428568E-2</v>
      </c>
      <c r="BM78" s="1351">
        <f t="shared" si="213"/>
        <v>0.58610451306413303</v>
      </c>
      <c r="BN78" s="63">
        <v>3008</v>
      </c>
      <c r="BO78" s="1427">
        <f t="shared" si="214"/>
        <v>0.18661971830985916</v>
      </c>
      <c r="BP78" s="1351">
        <f t="shared" si="215"/>
        <v>0.52845528455284552</v>
      </c>
      <c r="BQ78" s="1140">
        <v>3315</v>
      </c>
      <c r="BR78" s="1427">
        <f t="shared" si="216"/>
        <v>0.17624521072796934</v>
      </c>
      <c r="BS78" s="1351">
        <f t="shared" si="217"/>
        <v>0.48721399730820997</v>
      </c>
      <c r="BT78" s="63">
        <v>268</v>
      </c>
      <c r="BU78" s="1427">
        <f t="shared" si="218"/>
        <v>0.19642857142857142</v>
      </c>
      <c r="BV78" s="1351">
        <f t="shared" si="219"/>
        <v>0.19642857142857142</v>
      </c>
      <c r="BW78" s="63">
        <v>871</v>
      </c>
      <c r="BX78" s="1427">
        <f t="shared" si="220"/>
        <v>2.1904761904761907</v>
      </c>
      <c r="BY78" s="1351">
        <f t="shared" si="221"/>
        <v>1.1089588377723971</v>
      </c>
      <c r="BZ78" s="63">
        <v>1117</v>
      </c>
      <c r="CA78" s="1427">
        <f t="shared" si="222"/>
        <v>0.5</v>
      </c>
      <c r="CB78" s="1351">
        <f t="shared" si="223"/>
        <v>0.93587521663778162</v>
      </c>
      <c r="CC78" s="1901">
        <v>1117</v>
      </c>
      <c r="CD78" s="1594">
        <f>BQ78+BZ78-AR78</f>
        <v>3855</v>
      </c>
      <c r="CE78" s="1939">
        <f t="shared" si="224"/>
        <v>0.64602903501280962</v>
      </c>
      <c r="CF78" s="1940">
        <f t="shared" si="225"/>
        <v>11</v>
      </c>
      <c r="CG78" s="1895"/>
      <c r="CH78" s="1815">
        <v>1489</v>
      </c>
      <c r="CI78" s="2039">
        <f t="shared" si="226"/>
        <v>1.7352941176470589</v>
      </c>
      <c r="CJ78" s="2041">
        <f t="shared" si="227"/>
        <v>1.0883590462833099</v>
      </c>
      <c r="CK78" s="1815">
        <v>2247</v>
      </c>
      <c r="CL78" s="2039">
        <f t="shared" si="228"/>
        <v>1.6879432624113475</v>
      </c>
      <c r="CM78" s="2041">
        <f t="shared" si="229"/>
        <v>1.2582914572864321</v>
      </c>
      <c r="CN78" s="1815">
        <v>3048</v>
      </c>
      <c r="CO78" s="2039">
        <f t="shared" si="230"/>
        <v>1.5673076923076923</v>
      </c>
      <c r="CP78" s="2041">
        <f t="shared" si="231"/>
        <v>1.3320581484315226</v>
      </c>
      <c r="CQ78" s="1815">
        <v>3648</v>
      </c>
      <c r="CR78" s="2039">
        <f t="shared" si="232"/>
        <v>0.66204986149584488</v>
      </c>
      <c r="CS78" s="2041">
        <f t="shared" si="233"/>
        <v>1.1870503597122302</v>
      </c>
      <c r="CU78" s="1948">
        <f t="shared" si="234"/>
        <v>-0.14500778871929243</v>
      </c>
      <c r="CV78" s="1940">
        <f t="shared" si="235"/>
        <v>15</v>
      </c>
      <c r="CW78" s="1580">
        <f t="shared" si="236"/>
        <v>1.8896441777561279</v>
      </c>
      <c r="CX78" s="1799">
        <v>1495</v>
      </c>
      <c r="CY78" s="1794">
        <f>_xlfn.XLOOKUP(E78,MOPFRA!$R$7:$R$56,MOPFRA!$T$7:$T$56,"")</f>
        <v>4804.2</v>
      </c>
      <c r="CZ78" s="1245" t="str">
        <f>_xlfn.XLOOKUP(E78,MOPFRA!$R$7:$R$56,MOPFRA!$P$7:$P$56,"")</f>
        <v>DH</v>
      </c>
      <c r="DA78" s="1802">
        <v>0.9</v>
      </c>
      <c r="DB78" s="1529">
        <f t="shared" si="237"/>
        <v>0.3503787878787879</v>
      </c>
      <c r="DC78" s="1529">
        <f t="shared" si="238"/>
        <v>0.38772663877266389</v>
      </c>
      <c r="DD78" s="1529">
        <f t="shared" si="239"/>
        <v>0.50576036866359442</v>
      </c>
      <c r="DE78" s="1529">
        <f t="shared" si="240"/>
        <v>0.57210179076343071</v>
      </c>
      <c r="DF78" s="1529">
        <f t="shared" si="241"/>
        <v>0.71208226221079696</v>
      </c>
      <c r="DG78" s="1529">
        <f t="shared" si="242"/>
        <v>0.71884272997032639</v>
      </c>
      <c r="DH78" s="1529">
        <f t="shared" si="243"/>
        <v>0.58610451306413303</v>
      </c>
      <c r="DI78" s="1529">
        <f t="shared" si="244"/>
        <v>0.52845528455284552</v>
      </c>
      <c r="DJ78" s="1529">
        <f t="shared" si="187"/>
        <v>0.48721399730820997</v>
      </c>
      <c r="DK78" s="1529">
        <f t="shared" si="245"/>
        <v>0.19642857142857142</v>
      </c>
      <c r="DL78" s="1529">
        <f t="shared" si="246"/>
        <v>1.1089588377723971</v>
      </c>
      <c r="DM78" s="1529">
        <f t="shared" si="247"/>
        <v>0.93587521663778162</v>
      </c>
      <c r="DN78" s="1529">
        <f t="shared" si="248"/>
        <v>1.0883590462833099</v>
      </c>
      <c r="DO78" s="1529">
        <f t="shared" si="249"/>
        <v>1.2582914572864321</v>
      </c>
      <c r="DP78" s="1529">
        <f t="shared" si="250"/>
        <v>1.3320581484315226</v>
      </c>
      <c r="DQ78" s="1529">
        <f t="shared" si="251"/>
        <v>1.1870503597122302</v>
      </c>
      <c r="DS78" s="1583" t="s">
        <v>605</v>
      </c>
      <c r="DT78" s="1736"/>
      <c r="DU78" s="1580">
        <f>_xlfn.XLOOKUP(E78,E78:E165,CW78:CW165,"")</f>
        <v>1.8896441777561279</v>
      </c>
      <c r="DV78" s="1943">
        <f t="shared" si="252"/>
        <v>15</v>
      </c>
      <c r="DW78" s="1730">
        <f t="shared" si="253"/>
        <v>2.2135117056856184</v>
      </c>
      <c r="DX78" s="1860">
        <f t="shared" si="254"/>
        <v>0.472781217750258</v>
      </c>
      <c r="DY78" s="1683">
        <f>_xlfn.XLOOKUP(E78,MOPFRA!$R$7:$R$56,MOPFRA!$D$7:$D$56,"")</f>
        <v>2.9185395212263767</v>
      </c>
      <c r="DZ78" s="1583" t="s">
        <v>605</v>
      </c>
    </row>
    <row r="79" spans="2:130" ht="68" customHeight="1">
      <c r="B79" s="1119">
        <f>_xlfn.XLOOKUP(E79,MOPFRA!$R$7:$R$56,MOPFRA!$A$7:$A$56,"")</f>
        <v>-19.324231968038298</v>
      </c>
      <c r="C79" s="394">
        <f>_xlfn.XLOOKUP(E79,MOPFRA!$R$7:$R$56,MOPFRA!$T$7:$T$56,"")</f>
        <v>493231.5</v>
      </c>
      <c r="D79" s="223" t="s">
        <v>118</v>
      </c>
      <c r="E79" s="1949" t="s">
        <v>119</v>
      </c>
      <c r="F79" s="982">
        <f>_xlfn.XLOOKUP(E79,MOPFRA!$R$7:$R$56,MOPFRA!$S$7:$S$56,"")</f>
        <v>12</v>
      </c>
      <c r="G79" s="1203">
        <f>_xlfn.XLOOKUP(E79,MOPFRA!$R$7:$R$56,MOPFRA!$AQ$7:$AQ$56,"")</f>
        <v>366886</v>
      </c>
      <c r="H79" s="1210">
        <v>63693</v>
      </c>
      <c r="I79" s="1713">
        <f t="shared" si="188"/>
        <v>303193</v>
      </c>
      <c r="J79" s="1712">
        <f t="shared" si="189"/>
        <v>0.17360433486151011</v>
      </c>
      <c r="K79" s="1761">
        <v>4</v>
      </c>
      <c r="L79" s="1728">
        <f t="shared" si="190"/>
        <v>4</v>
      </c>
      <c r="M79" s="689">
        <v>111055</v>
      </c>
      <c r="N79" s="689">
        <v>132573</v>
      </c>
      <c r="O79" s="1718">
        <v>5563</v>
      </c>
      <c r="P79" s="1713">
        <f t="shared" si="191"/>
        <v>127010</v>
      </c>
      <c r="Q79" s="1712">
        <f t="shared" si="192"/>
        <v>4.1961787090885778E-2</v>
      </c>
      <c r="R79" s="557">
        <f t="shared" si="184"/>
        <v>397719</v>
      </c>
      <c r="S79" s="553">
        <f t="shared" si="193"/>
        <v>0.19375984872360541</v>
      </c>
      <c r="T79" s="553">
        <f t="shared" si="194"/>
        <v>0.30269620536079328</v>
      </c>
      <c r="U79" s="558">
        <f t="shared" si="195"/>
        <v>437973.77585880872</v>
      </c>
      <c r="V79" s="591">
        <f t="shared" si="196"/>
        <v>21518</v>
      </c>
      <c r="W79" s="559">
        <f t="shared" si="197"/>
        <v>388404</v>
      </c>
      <c r="X79" s="560">
        <f t="shared" si="198"/>
        <v>415517.63792940439</v>
      </c>
      <c r="Y79" s="1244">
        <f t="shared" si="199"/>
        <v>0.13255244934231447</v>
      </c>
      <c r="Z79" s="658"/>
      <c r="AA79" s="63">
        <v>241086</v>
      </c>
      <c r="AB79" s="1147">
        <v>241086</v>
      </c>
      <c r="AC79" s="63">
        <v>21862</v>
      </c>
      <c r="AD79" s="63">
        <v>48193</v>
      </c>
      <c r="AE79" s="63">
        <v>73905</v>
      </c>
      <c r="AF79" s="63">
        <v>97245</v>
      </c>
      <c r="AG79" s="63">
        <v>121672</v>
      </c>
      <c r="AH79" s="63">
        <v>144562</v>
      </c>
      <c r="AI79" s="63">
        <v>165274</v>
      </c>
      <c r="AJ79" s="63">
        <v>186325</v>
      </c>
      <c r="AK79" s="1791">
        <v>203022</v>
      </c>
      <c r="AL79" s="63">
        <v>226334</v>
      </c>
      <c r="AM79" s="63">
        <v>252063</v>
      </c>
      <c r="AN79" s="1140">
        <v>276356</v>
      </c>
      <c r="AO79" s="1594">
        <f>AN79+AB79-AA79</f>
        <v>276356</v>
      </c>
      <c r="AP79" s="1147">
        <v>276356</v>
      </c>
      <c r="AQ79" s="1494"/>
      <c r="AR79" s="63">
        <v>0</v>
      </c>
      <c r="AS79" s="63">
        <v>24057</v>
      </c>
      <c r="AT79" s="1427">
        <f t="shared" si="200"/>
        <v>0.10040252492910072</v>
      </c>
      <c r="AU79" s="1351">
        <f t="shared" si="201"/>
        <v>0.10040252492910072</v>
      </c>
      <c r="AV79" s="63">
        <v>56788</v>
      </c>
      <c r="AW79" s="1427">
        <f t="shared" si="202"/>
        <v>0.24305951160229389</v>
      </c>
      <c r="AX79" s="1351">
        <f t="shared" si="203"/>
        <v>0.17834540285933642</v>
      </c>
      <c r="AY79" s="63">
        <v>80469</v>
      </c>
      <c r="AZ79" s="1427">
        <f t="shared" si="204"/>
        <v>-7.8990354698195389E-2</v>
      </c>
      <c r="BA79" s="1351">
        <f t="shared" si="205"/>
        <v>8.8816724172924702E-2</v>
      </c>
      <c r="BB79" s="63">
        <v>105495</v>
      </c>
      <c r="BC79" s="1427">
        <f t="shared" si="206"/>
        <v>7.2236503856041134E-2</v>
      </c>
      <c r="BD79" s="1351">
        <f t="shared" si="207"/>
        <v>8.4837266697516581E-2</v>
      </c>
      <c r="BE79" s="63">
        <v>127444</v>
      </c>
      <c r="BF79" s="1427">
        <f t="shared" si="208"/>
        <v>-0.10144512220084333</v>
      </c>
      <c r="BG79" s="1351">
        <f t="shared" si="209"/>
        <v>4.7439016371885065E-2</v>
      </c>
      <c r="BH79" s="63">
        <v>152895</v>
      </c>
      <c r="BI79" s="1427">
        <f t="shared" si="210"/>
        <v>0.11188291830493666</v>
      </c>
      <c r="BJ79" s="1351">
        <f t="shared" si="211"/>
        <v>5.7643087395027742E-2</v>
      </c>
      <c r="BK79" s="63">
        <v>179828</v>
      </c>
      <c r="BL79" s="1427">
        <f t="shared" si="212"/>
        <v>0.30035728080339902</v>
      </c>
      <c r="BM79" s="1351">
        <f t="shared" si="213"/>
        <v>8.8059827922117209E-2</v>
      </c>
      <c r="BN79" s="63">
        <v>209702</v>
      </c>
      <c r="BO79" s="1427">
        <f t="shared" si="214"/>
        <v>0.41912498218611943</v>
      </c>
      <c r="BP79" s="1351">
        <f t="shared" si="215"/>
        <v>0.12546357171608749</v>
      </c>
      <c r="BQ79" s="63">
        <v>236229</v>
      </c>
      <c r="BR79" s="1427">
        <f t="shared" si="216"/>
        <v>0.58872851410433014</v>
      </c>
      <c r="BS79" s="1351">
        <f t="shared" si="217"/>
        <v>0.16356355468865444</v>
      </c>
      <c r="BT79" s="63">
        <v>281630</v>
      </c>
      <c r="BU79" s="1427">
        <f t="shared" si="218"/>
        <v>0.94753774879890185</v>
      </c>
      <c r="BV79" s="1351">
        <f t="shared" si="219"/>
        <v>0.24431150423710093</v>
      </c>
      <c r="BW79" s="63">
        <v>325759</v>
      </c>
      <c r="BX79" s="1427">
        <f t="shared" si="220"/>
        <v>0.71514633293171126</v>
      </c>
      <c r="BY79" s="1351">
        <f t="shared" si="221"/>
        <v>0.29237135160654282</v>
      </c>
      <c r="BZ79" s="1140">
        <v>361460</v>
      </c>
      <c r="CA79" s="1427">
        <f t="shared" si="222"/>
        <v>0.46960029638167372</v>
      </c>
      <c r="CB79" s="1351">
        <f t="shared" si="223"/>
        <v>0.30795061442487226</v>
      </c>
      <c r="CC79" s="1901">
        <v>0</v>
      </c>
      <c r="CD79" s="1594">
        <f>BZ79</f>
        <v>361460</v>
      </c>
      <c r="CE79" s="1939">
        <f t="shared" si="224"/>
        <v>0.30795061442487226</v>
      </c>
      <c r="CF79" s="1940">
        <f t="shared" si="225"/>
        <v>44</v>
      </c>
      <c r="CG79" s="1895"/>
      <c r="CH79" s="1815">
        <v>4905</v>
      </c>
      <c r="CI79" s="2039">
        <f t="shared" si="226"/>
        <v>-0.79610924055368504</v>
      </c>
      <c r="CJ79" s="2041">
        <f t="shared" si="227"/>
        <v>-0.79610924055368504</v>
      </c>
      <c r="CK79" s="1815">
        <v>27140</v>
      </c>
      <c r="CL79" s="2039">
        <f t="shared" si="228"/>
        <v>-0.32067458983837954</v>
      </c>
      <c r="CM79" s="2041">
        <f t="shared" si="229"/>
        <v>-0.52208213002747061</v>
      </c>
      <c r="CN79" s="1815">
        <v>81669</v>
      </c>
      <c r="CO79" s="2039">
        <f t="shared" si="230"/>
        <v>1.3026476922427261</v>
      </c>
      <c r="CP79" s="2041">
        <f t="shared" si="231"/>
        <v>1.4912575028893114E-2</v>
      </c>
      <c r="CQ79" s="1815">
        <v>132573</v>
      </c>
      <c r="CR79" s="2039">
        <f t="shared" si="232"/>
        <v>1.0340445936226326</v>
      </c>
      <c r="CS79" s="2041">
        <f t="shared" si="233"/>
        <v>0.25667567183278828</v>
      </c>
      <c r="CU79" s="1948">
        <f t="shared" si="234"/>
        <v>0.24176309680389516</v>
      </c>
      <c r="CV79" s="1940">
        <f t="shared" si="235"/>
        <v>46</v>
      </c>
      <c r="CW79" s="1580">
        <f t="shared" si="236"/>
        <v>-9.1469711678294471E-2</v>
      </c>
      <c r="CX79" s="1799">
        <v>592500</v>
      </c>
      <c r="CY79" s="1794">
        <f>_xlfn.XLOOKUP(E79,MOPFRA!$R$7:$R$56,MOPFRA!$T$7:$T$56,"")</f>
        <v>493231.5</v>
      </c>
      <c r="CZ79" s="1245" t="str">
        <f>_xlfn.XLOOKUP(E79,MOPFRA!$R$7:$R$56,MOPFRA!$P$7:$P$56,"")</f>
        <v>M</v>
      </c>
      <c r="DA79" s="1802">
        <v>0.9</v>
      </c>
      <c r="DB79" s="1529">
        <f t="shared" si="237"/>
        <v>0.10040252492910072</v>
      </c>
      <c r="DC79" s="1529">
        <f t="shared" si="238"/>
        <v>0.17834540285933642</v>
      </c>
      <c r="DD79" s="1529">
        <f t="shared" si="239"/>
        <v>8.8816724172924702E-2</v>
      </c>
      <c r="DE79" s="1529">
        <f t="shared" si="240"/>
        <v>8.4837266697516581E-2</v>
      </c>
      <c r="DF79" s="1529">
        <f t="shared" si="241"/>
        <v>4.7439016371885065E-2</v>
      </c>
      <c r="DG79" s="1529">
        <f t="shared" si="242"/>
        <v>5.7643087395027742E-2</v>
      </c>
      <c r="DH79" s="1529">
        <f t="shared" si="243"/>
        <v>8.8059827922117209E-2</v>
      </c>
      <c r="DI79" s="1529">
        <f t="shared" si="244"/>
        <v>0.12546357171608749</v>
      </c>
      <c r="DJ79" s="1529">
        <f t="shared" si="187"/>
        <v>0.16356355468865444</v>
      </c>
      <c r="DK79" s="1529">
        <f t="shared" si="245"/>
        <v>0.24431150423710093</v>
      </c>
      <c r="DL79" s="1529">
        <f t="shared" si="246"/>
        <v>0.29237135160654282</v>
      </c>
      <c r="DM79" s="1529">
        <f t="shared" si="247"/>
        <v>0.30795061442487226</v>
      </c>
      <c r="DN79" s="1529">
        <f t="shared" si="248"/>
        <v>-0.79610924055368504</v>
      </c>
      <c r="DO79" s="1529">
        <f t="shared" si="249"/>
        <v>-0.52208213002747061</v>
      </c>
      <c r="DP79" s="1529">
        <f t="shared" si="250"/>
        <v>1.4912575028893114E-2</v>
      </c>
      <c r="DQ79" s="1529">
        <f t="shared" si="251"/>
        <v>0.25667567183278828</v>
      </c>
      <c r="DS79" s="1583" t="s">
        <v>197</v>
      </c>
      <c r="DT79" s="1736"/>
      <c r="DU79" s="1580">
        <f>_xlfn.XLOOKUP(E79,E79:E167,CW79:CW167,"")</f>
        <v>-9.1469711678294471E-2</v>
      </c>
      <c r="DV79" s="1943">
        <f t="shared" si="252"/>
        <v>46</v>
      </c>
      <c r="DW79" s="1730">
        <f t="shared" si="253"/>
        <v>-0.16754177215189872</v>
      </c>
      <c r="DX79" s="1860">
        <f t="shared" si="254"/>
        <v>-13.164254777062434</v>
      </c>
      <c r="DY79" s="1683">
        <f>_xlfn.XLOOKUP(E79,MOPFRA!$R$7:$R$56,MOPFRA!$D$7:$D$56,"")</f>
        <v>-1.6610981364639192</v>
      </c>
      <c r="DZ79" s="1583" t="s">
        <v>197</v>
      </c>
    </row>
    <row r="80" spans="2:130" ht="68" customHeight="1">
      <c r="B80" s="1119">
        <f>_xlfn.XLOOKUP(E80,MOPFRA!$R$7:$R$56,MOPFRA!$A$7:$A$56,"")</f>
        <v>-22.462275219400578</v>
      </c>
      <c r="C80" s="394">
        <f>_xlfn.XLOOKUP(E80,MOPFRA!$R$7:$R$56,MOPFRA!$T$7:$T$56,"")</f>
        <v>26549.99856</v>
      </c>
      <c r="D80" s="223" t="s">
        <v>128</v>
      </c>
      <c r="E80" s="1949" t="s">
        <v>129</v>
      </c>
      <c r="F80" s="982">
        <f>_xlfn.XLOOKUP(E80,MOPFRA!$R$7:$R$56,MOPFRA!$S$7:$S$56,"")</f>
        <v>12</v>
      </c>
      <c r="G80" s="1203">
        <f>_xlfn.XLOOKUP(E80,MOPFRA!$R$7:$R$56,MOPFRA!$AQ$7:$AQ$56,"")</f>
        <v>21022</v>
      </c>
      <c r="H80" s="1210">
        <v>154</v>
      </c>
      <c r="I80" s="1713">
        <f t="shared" si="188"/>
        <v>20868</v>
      </c>
      <c r="J80" s="1712">
        <f t="shared" si="189"/>
        <v>7.3256588336028921E-3</v>
      </c>
      <c r="K80" s="1761">
        <v>4</v>
      </c>
      <c r="L80" s="1728">
        <f t="shared" si="190"/>
        <v>4</v>
      </c>
      <c r="M80" s="689">
        <v>5242</v>
      </c>
      <c r="N80" s="689">
        <v>9533</v>
      </c>
      <c r="O80" s="1718">
        <v>63</v>
      </c>
      <c r="P80" s="1713">
        <f t="shared" si="191"/>
        <v>9470</v>
      </c>
      <c r="Q80" s="1712">
        <f t="shared" si="192"/>
        <v>6.608622679114654E-3</v>
      </c>
      <c r="R80" s="557">
        <f t="shared" si="184"/>
        <v>28599</v>
      </c>
      <c r="S80" s="553">
        <f t="shared" si="193"/>
        <v>0.81858069439145364</v>
      </c>
      <c r="T80" s="553">
        <f t="shared" si="194"/>
        <v>0.24935781562172962</v>
      </c>
      <c r="U80" s="558">
        <f t="shared" si="195"/>
        <v>38230.203357497136</v>
      </c>
      <c r="V80" s="591">
        <f t="shared" si="196"/>
        <v>4291</v>
      </c>
      <c r="W80" s="559">
        <f t="shared" si="197"/>
        <v>25313</v>
      </c>
      <c r="X80" s="560">
        <f t="shared" si="198"/>
        <v>32593.101678748571</v>
      </c>
      <c r="Y80" s="1244">
        <f t="shared" si="199"/>
        <v>0.55042820277559568</v>
      </c>
      <c r="Z80" s="658"/>
      <c r="AA80" s="63">
        <v>10897</v>
      </c>
      <c r="AB80" s="1147">
        <v>10897</v>
      </c>
      <c r="AC80" s="63">
        <v>462</v>
      </c>
      <c r="AD80" s="63">
        <v>2368</v>
      </c>
      <c r="AE80" s="63">
        <v>3970</v>
      </c>
      <c r="AF80" s="63">
        <v>5450</v>
      </c>
      <c r="AG80" s="63">
        <v>7198</v>
      </c>
      <c r="AH80" s="63">
        <v>8927</v>
      </c>
      <c r="AI80" s="63">
        <v>11000</v>
      </c>
      <c r="AJ80" s="63">
        <v>13308</v>
      </c>
      <c r="AK80" s="1791">
        <v>15409</v>
      </c>
      <c r="AL80" s="63">
        <v>17146</v>
      </c>
      <c r="AM80" s="63">
        <v>19053</v>
      </c>
      <c r="AN80" s="1140">
        <v>21010</v>
      </c>
      <c r="AO80" s="1594">
        <f>AN80+AB80-AA80</f>
        <v>21010</v>
      </c>
      <c r="AP80" s="1147">
        <v>21010</v>
      </c>
      <c r="AQ80" s="1494"/>
      <c r="AR80" s="63">
        <v>0</v>
      </c>
      <c r="AS80" s="63">
        <v>705</v>
      </c>
      <c r="AT80" s="1427">
        <f t="shared" si="200"/>
        <v>0.52597402597402598</v>
      </c>
      <c r="AU80" s="1351">
        <f t="shared" si="201"/>
        <v>0.52597402597402598</v>
      </c>
      <c r="AV80" s="63">
        <v>2799</v>
      </c>
      <c r="AW80" s="1427">
        <f t="shared" si="202"/>
        <v>9.8635886673662118E-2</v>
      </c>
      <c r="AX80" s="1351">
        <f t="shared" si="203"/>
        <v>0.18201013513513514</v>
      </c>
      <c r="AY80" s="63">
        <v>3893</v>
      </c>
      <c r="AZ80" s="1427">
        <f t="shared" si="204"/>
        <v>-0.31710362047440699</v>
      </c>
      <c r="BA80" s="1351">
        <f t="shared" si="205"/>
        <v>-1.9395465994962217E-2</v>
      </c>
      <c r="BB80" s="63">
        <v>5334</v>
      </c>
      <c r="BC80" s="1427">
        <f t="shared" si="206"/>
        <v>-2.6351351351351353E-2</v>
      </c>
      <c r="BD80" s="1351">
        <f t="shared" si="207"/>
        <v>-2.1284403669724769E-2</v>
      </c>
      <c r="BE80" s="63">
        <v>6637</v>
      </c>
      <c r="BF80" s="1427">
        <f t="shared" si="208"/>
        <v>-0.25457665903890159</v>
      </c>
      <c r="BG80" s="1351">
        <f t="shared" si="209"/>
        <v>-7.7938316198944146E-2</v>
      </c>
      <c r="BH80" s="63">
        <v>8343</v>
      </c>
      <c r="BI80" s="1427">
        <f t="shared" si="210"/>
        <v>-1.3302486986697512E-2</v>
      </c>
      <c r="BJ80" s="1351">
        <f t="shared" si="211"/>
        <v>-6.5419513834434867E-2</v>
      </c>
      <c r="BK80" s="63">
        <v>10536</v>
      </c>
      <c r="BL80" s="1427">
        <f t="shared" si="212"/>
        <v>5.7887120115774238E-2</v>
      </c>
      <c r="BM80" s="1351">
        <f t="shared" si="213"/>
        <v>-4.2181818181818181E-2</v>
      </c>
      <c r="BN80" s="63">
        <v>12390</v>
      </c>
      <c r="BO80" s="1427">
        <f t="shared" si="214"/>
        <v>-0.19670710571923744</v>
      </c>
      <c r="BP80" s="1351">
        <f t="shared" si="215"/>
        <v>-6.8981064021641114E-2</v>
      </c>
      <c r="BQ80" s="63">
        <v>14786</v>
      </c>
      <c r="BR80" s="1427">
        <f t="shared" si="216"/>
        <v>0.14040932889100427</v>
      </c>
      <c r="BS80" s="1351">
        <f t="shared" si="217"/>
        <v>-4.043091699656045E-2</v>
      </c>
      <c r="BT80" s="63">
        <v>17308</v>
      </c>
      <c r="BU80" s="1427">
        <f t="shared" si="218"/>
        <v>0.4519286125503742</v>
      </c>
      <c r="BV80" s="1351">
        <f t="shared" si="219"/>
        <v>9.4482678175667797E-3</v>
      </c>
      <c r="BW80" s="63">
        <v>20101</v>
      </c>
      <c r="BX80" s="1427">
        <f t="shared" si="220"/>
        <v>0.46460409019402205</v>
      </c>
      <c r="BY80" s="1351">
        <f t="shared" si="221"/>
        <v>5.5004461239699785E-2</v>
      </c>
      <c r="BZ80" s="1140">
        <v>21428</v>
      </c>
      <c r="CA80" s="1427">
        <f t="shared" si="222"/>
        <v>-0.32192130812468062</v>
      </c>
      <c r="CB80" s="1351">
        <f t="shared" si="223"/>
        <v>1.9895287958115182E-2</v>
      </c>
      <c r="CC80" s="1901">
        <v>0</v>
      </c>
      <c r="CD80" s="1594">
        <f>BZ80</f>
        <v>21428</v>
      </c>
      <c r="CE80" s="1939">
        <f t="shared" si="224"/>
        <v>1.9895287958115182E-2</v>
      </c>
      <c r="CF80" s="1940">
        <f t="shared" si="225"/>
        <v>50</v>
      </c>
      <c r="CG80" s="1895"/>
      <c r="CH80" s="1815">
        <v>496</v>
      </c>
      <c r="CI80" s="2039">
        <f t="shared" si="226"/>
        <v>-0.29645390070921984</v>
      </c>
      <c r="CJ80" s="2041">
        <f t="shared" si="227"/>
        <v>-0.29645390070921984</v>
      </c>
      <c r="CK80" s="1815">
        <v>4466</v>
      </c>
      <c r="CL80" s="2039">
        <f t="shared" si="228"/>
        <v>0.89589302769818524</v>
      </c>
      <c r="CM80" s="2041">
        <f t="shared" si="229"/>
        <v>0.59556984637370491</v>
      </c>
      <c r="CN80" s="1815">
        <v>7038</v>
      </c>
      <c r="CO80" s="2039">
        <f t="shared" si="230"/>
        <v>1.3510054844606947</v>
      </c>
      <c r="CP80" s="2041">
        <f t="shared" si="231"/>
        <v>0.80786026200873362</v>
      </c>
      <c r="CQ80" s="1815">
        <v>9533</v>
      </c>
      <c r="CR80" s="2039">
        <f t="shared" si="232"/>
        <v>0.73143650242886882</v>
      </c>
      <c r="CS80" s="2041">
        <f t="shared" si="233"/>
        <v>0.78721409823772026</v>
      </c>
      <c r="CU80" s="1948">
        <f t="shared" si="234"/>
        <v>-2.0646163771013359E-2</v>
      </c>
      <c r="CV80" s="1940">
        <f t="shared" si="235"/>
        <v>29</v>
      </c>
      <c r="CW80" s="1580">
        <f t="shared" si="236"/>
        <v>2.1690504371285986</v>
      </c>
      <c r="CX80" s="1799">
        <v>22346.248788000001</v>
      </c>
      <c r="CY80" s="1794">
        <f>_xlfn.XLOOKUP(E80,MOPFRA!$R$7:$R$56,MOPFRA!$T$7:$T$56,"")</f>
        <v>26549.99856</v>
      </c>
      <c r="CZ80" s="1245" t="str">
        <f>_xlfn.XLOOKUP(E80,MOPFRA!$R$7:$R$56,MOPFRA!$P$7:$P$56,"")</f>
        <v>CO</v>
      </c>
      <c r="DA80" s="1802">
        <v>0.9</v>
      </c>
      <c r="DB80" s="1529">
        <f t="shared" si="237"/>
        <v>0.52597402597402598</v>
      </c>
      <c r="DC80" s="1529">
        <f t="shared" si="238"/>
        <v>0.18201013513513514</v>
      </c>
      <c r="DD80" s="1529">
        <f t="shared" si="239"/>
        <v>-1.9395465994962217E-2</v>
      </c>
      <c r="DE80" s="1529">
        <f t="shared" si="240"/>
        <v>-2.1284403669724769E-2</v>
      </c>
      <c r="DF80" s="1529">
        <f t="shared" si="241"/>
        <v>-7.7938316198944146E-2</v>
      </c>
      <c r="DG80" s="1529">
        <f t="shared" si="242"/>
        <v>-6.5419513834434867E-2</v>
      </c>
      <c r="DH80" s="1529">
        <f t="shared" si="243"/>
        <v>-4.2181818181818181E-2</v>
      </c>
      <c r="DI80" s="1529">
        <f t="shared" si="244"/>
        <v>-6.8981064021641114E-2</v>
      </c>
      <c r="DJ80" s="1529">
        <f t="shared" si="187"/>
        <v>-4.043091699656045E-2</v>
      </c>
      <c r="DK80" s="1529">
        <f t="shared" si="245"/>
        <v>9.4482678175667797E-3</v>
      </c>
      <c r="DL80" s="1529">
        <f t="shared" si="246"/>
        <v>5.5004461239699785E-2</v>
      </c>
      <c r="DM80" s="1529">
        <f t="shared" si="247"/>
        <v>1.9895287958115182E-2</v>
      </c>
      <c r="DN80" s="1529">
        <f t="shared" si="248"/>
        <v>-0.29645390070921984</v>
      </c>
      <c r="DO80" s="1529">
        <f t="shared" si="249"/>
        <v>0.59556984637370491</v>
      </c>
      <c r="DP80" s="1529">
        <f t="shared" si="250"/>
        <v>0.80786026200873362</v>
      </c>
      <c r="DQ80" s="1529">
        <f t="shared" si="251"/>
        <v>0.78721409823772026</v>
      </c>
      <c r="DS80" s="1583" t="s">
        <v>197</v>
      </c>
      <c r="DT80" s="1736"/>
      <c r="DU80" s="1580">
        <f>_xlfn.XLOOKUP(E80,E80:E168,CW80:CW168,"")</f>
        <v>2.1690504371285986</v>
      </c>
      <c r="DV80" s="1943">
        <f t="shared" si="252"/>
        <v>29</v>
      </c>
      <c r="DW80" s="1730">
        <f t="shared" si="253"/>
        <v>0.18811881188118806</v>
      </c>
      <c r="DX80" s="1860">
        <f t="shared" si="254"/>
        <v>-7.170361544882381E-2</v>
      </c>
      <c r="DY80" s="1683">
        <f>_xlfn.XLOOKUP(E80,MOPFRA!$R$7:$R$56,MOPFRA!$D$7:$D$56,"")</f>
        <v>0.95942452737950035</v>
      </c>
      <c r="DZ80" s="1583" t="s">
        <v>197</v>
      </c>
    </row>
    <row r="81" spans="2:130" ht="68" customHeight="1">
      <c r="B81" s="1119">
        <f>_xlfn.XLOOKUP(E81,MOPFRA!$R$7:$R$56,MOPFRA!$A$7:$A$56,"")</f>
        <v>-24.01592737459827</v>
      </c>
      <c r="C81" s="394">
        <f>_xlfn.XLOOKUP(E81,MOPFRA!$R$7:$R$56,MOPFRA!$T$7:$T$56,"")</f>
        <v>4464</v>
      </c>
      <c r="D81" s="223" t="s">
        <v>112</v>
      </c>
      <c r="E81" s="1949" t="s">
        <v>113</v>
      </c>
      <c r="F81" s="982">
        <f>_xlfn.XLOOKUP(E81,MOPFRA!$R$7:$R$56,MOPFRA!$S$7:$S$56,"")</f>
        <v>9</v>
      </c>
      <c r="G81" s="1203">
        <f>_xlfn.XLOOKUP(E81,MOPFRA!$R$7:$R$56,MOPFRA!$AQ$7:$AQ$56,"")</f>
        <v>5066</v>
      </c>
      <c r="H81" s="1210">
        <v>0</v>
      </c>
      <c r="I81" s="1713">
        <f t="shared" si="188"/>
        <v>5066</v>
      </c>
      <c r="J81" s="1712">
        <f t="shared" si="189"/>
        <v>0</v>
      </c>
      <c r="K81" s="1761">
        <v>4</v>
      </c>
      <c r="L81" s="1728">
        <f t="shared" si="190"/>
        <v>7</v>
      </c>
      <c r="M81" s="689">
        <v>2549</v>
      </c>
      <c r="N81" s="689">
        <v>4906</v>
      </c>
      <c r="O81" s="1718">
        <v>0</v>
      </c>
      <c r="P81" s="1713">
        <f t="shared" si="191"/>
        <v>4906</v>
      </c>
      <c r="Q81" s="1712">
        <f t="shared" si="192"/>
        <v>0</v>
      </c>
      <c r="R81" s="557">
        <f t="shared" si="184"/>
        <v>8410.2857142857138</v>
      </c>
      <c r="S81" s="553">
        <f t="shared" si="193"/>
        <v>0.92467634366418205</v>
      </c>
      <c r="T81" s="553">
        <f t="shared" si="194"/>
        <v>0.50315831030398739</v>
      </c>
      <c r="U81" s="558">
        <f t="shared" si="195"/>
        <v>9750.4103570027455</v>
      </c>
      <c r="V81" s="591">
        <f t="shared" si="196"/>
        <v>2357</v>
      </c>
      <c r="W81" s="559">
        <f t="shared" si="197"/>
        <v>7423</v>
      </c>
      <c r="X81" s="560">
        <f t="shared" si="198"/>
        <v>8833.5266070728012</v>
      </c>
      <c r="Y81" s="1244">
        <f t="shared" si="199"/>
        <v>0.74368863147903697</v>
      </c>
      <c r="Z81" s="658"/>
      <c r="AA81" s="63">
        <v>609</v>
      </c>
      <c r="AB81" s="1147">
        <v>2480</v>
      </c>
      <c r="AC81" s="63">
        <v>623</v>
      </c>
      <c r="AD81" s="63">
        <v>826</v>
      </c>
      <c r="AE81" s="63">
        <v>1073</v>
      </c>
      <c r="AF81" s="63">
        <v>1195</v>
      </c>
      <c r="AG81" s="63">
        <v>1581</v>
      </c>
      <c r="AH81" s="63">
        <v>1830</v>
      </c>
      <c r="AI81" s="63">
        <v>2135</v>
      </c>
      <c r="AJ81" s="63">
        <v>2569</v>
      </c>
      <c r="AK81" s="1792">
        <v>2913</v>
      </c>
      <c r="AL81" s="63">
        <v>111</v>
      </c>
      <c r="AM81" s="63">
        <v>353</v>
      </c>
      <c r="AN81" s="63">
        <v>614</v>
      </c>
      <c r="AO81" s="1594">
        <f>AK81-AA81+AN81</f>
        <v>2918</v>
      </c>
      <c r="AP81" s="1147">
        <v>2913</v>
      </c>
      <c r="AQ81" s="1494"/>
      <c r="AR81" s="63">
        <v>614</v>
      </c>
      <c r="AS81" s="63">
        <v>754</v>
      </c>
      <c r="AT81" s="1427">
        <f t="shared" si="200"/>
        <v>9</v>
      </c>
      <c r="AU81" s="1351">
        <f t="shared" si="201"/>
        <v>0.2102728731942215</v>
      </c>
      <c r="AV81" s="63">
        <v>1119</v>
      </c>
      <c r="AW81" s="1427">
        <f t="shared" si="202"/>
        <v>0.79802955665024633</v>
      </c>
      <c r="AX81" s="1351">
        <f t="shared" si="203"/>
        <v>0.35472154963680386</v>
      </c>
      <c r="AY81" s="63">
        <v>2065</v>
      </c>
      <c r="AZ81" s="1427">
        <f t="shared" si="204"/>
        <v>2.8299595141700404</v>
      </c>
      <c r="BA81" s="1351">
        <f t="shared" si="205"/>
        <v>0.92451071761416592</v>
      </c>
      <c r="BB81" s="63">
        <v>2549</v>
      </c>
      <c r="BC81" s="1427">
        <f t="shared" si="206"/>
        <v>2.9672131147540983</v>
      </c>
      <c r="BD81" s="1351">
        <f t="shared" si="207"/>
        <v>1.1330543933054393</v>
      </c>
      <c r="BE81" s="63">
        <v>2823</v>
      </c>
      <c r="BF81" s="1427">
        <f t="shared" si="208"/>
        <v>-0.29015544041450775</v>
      </c>
      <c r="BG81" s="1351">
        <f t="shared" si="209"/>
        <v>0.78557874762808344</v>
      </c>
      <c r="BH81" s="63">
        <v>3130</v>
      </c>
      <c r="BI81" s="1427">
        <f t="shared" si="210"/>
        <v>0.23293172690763053</v>
      </c>
      <c r="BJ81" s="1351">
        <f t="shared" si="211"/>
        <v>0.7103825136612022</v>
      </c>
      <c r="BK81" s="63">
        <v>3390</v>
      </c>
      <c r="BL81" s="1427">
        <f t="shared" si="212"/>
        <v>-0.14754098360655737</v>
      </c>
      <c r="BM81" s="1351">
        <f t="shared" si="213"/>
        <v>0.58782201405152223</v>
      </c>
      <c r="BN81" s="63">
        <v>4375</v>
      </c>
      <c r="BO81" s="1427">
        <f t="shared" si="214"/>
        <v>1.2695852534562213</v>
      </c>
      <c r="BP81" s="1351">
        <f t="shared" si="215"/>
        <v>0.70299727520435973</v>
      </c>
      <c r="BQ81" s="1140">
        <v>5066</v>
      </c>
      <c r="BR81" s="1427">
        <f t="shared" si="216"/>
        <v>1.0087209302325582</v>
      </c>
      <c r="BS81" s="1351">
        <f t="shared" si="217"/>
        <v>0.73910058359079989</v>
      </c>
      <c r="BT81" s="63">
        <v>667</v>
      </c>
      <c r="BU81" s="1427">
        <f t="shared" si="218"/>
        <v>5.0090090090090094</v>
      </c>
      <c r="BV81" s="1351">
        <f t="shared" si="219"/>
        <v>5.0090090090090094</v>
      </c>
      <c r="BW81" s="63">
        <v>1492</v>
      </c>
      <c r="BX81" s="1427">
        <f t="shared" si="220"/>
        <v>2.4090909090909092</v>
      </c>
      <c r="BY81" s="1351">
        <f t="shared" si="221"/>
        <v>3.226628895184136</v>
      </c>
      <c r="BZ81" s="63">
        <v>2492</v>
      </c>
      <c r="CA81" s="1427">
        <f t="shared" si="222"/>
        <v>2.8314176245210727</v>
      </c>
      <c r="CB81" s="1351">
        <f t="shared" si="223"/>
        <v>3.0586319218241043</v>
      </c>
      <c r="CC81" s="1901">
        <v>2492</v>
      </c>
      <c r="CD81" s="1594">
        <f>BQ81+BZ81-AR81</f>
        <v>6944</v>
      </c>
      <c r="CE81" s="1939">
        <f t="shared" si="224"/>
        <v>1.3797121315969842</v>
      </c>
      <c r="CF81" s="1940">
        <f t="shared" si="225"/>
        <v>1</v>
      </c>
      <c r="CG81" s="1895"/>
      <c r="CH81" s="1815">
        <v>2613</v>
      </c>
      <c r="CI81" s="2039">
        <f t="shared" si="226"/>
        <v>-0.1357142857142857</v>
      </c>
      <c r="CJ81" s="2041">
        <f t="shared" si="227"/>
        <v>2.4655172413793105</v>
      </c>
      <c r="CK81" s="1815">
        <v>3513</v>
      </c>
      <c r="CL81" s="2039">
        <f t="shared" si="228"/>
        <v>1.4657534246575343</v>
      </c>
      <c r="CM81" s="2041">
        <f t="shared" si="229"/>
        <v>2.1394101876675604</v>
      </c>
      <c r="CN81" s="1815">
        <v>4384</v>
      </c>
      <c r="CO81" s="2039">
        <f t="shared" si="230"/>
        <v>-7.9281183932346719E-2</v>
      </c>
      <c r="CP81" s="2041">
        <f t="shared" si="231"/>
        <v>1.123002421307506</v>
      </c>
      <c r="CQ81" s="1815">
        <v>4906</v>
      </c>
      <c r="CR81" s="2039">
        <f t="shared" si="232"/>
        <v>7.8512396694214878E-2</v>
      </c>
      <c r="CS81" s="2041">
        <f t="shared" si="233"/>
        <v>0.92467634366418205</v>
      </c>
      <c r="CU81" s="1948">
        <f t="shared" si="234"/>
        <v>-0.19832607764332399</v>
      </c>
      <c r="CV81" s="1940">
        <f t="shared" si="235"/>
        <v>24</v>
      </c>
      <c r="CW81" s="1580">
        <f t="shared" si="236"/>
        <v>2.196791750214838</v>
      </c>
      <c r="CX81" s="1799">
        <v>1396.4</v>
      </c>
      <c r="CY81" s="1794">
        <f>_xlfn.XLOOKUP(E81,MOPFRA!$R$7:$R$56,MOPFRA!$T$7:$T$56,"")</f>
        <v>4464</v>
      </c>
      <c r="CZ81" s="1245" t="str">
        <f>_xlfn.XLOOKUP(E81,MOPFRA!$R$7:$R$56,MOPFRA!$P$7:$P$56,"")</f>
        <v>IT</v>
      </c>
      <c r="DA81" s="1802">
        <v>0.9</v>
      </c>
      <c r="DB81" s="1529">
        <f t="shared" si="237"/>
        <v>0.2102728731942215</v>
      </c>
      <c r="DC81" s="1529">
        <f t="shared" si="238"/>
        <v>0.35472154963680386</v>
      </c>
      <c r="DD81" s="1529">
        <f t="shared" si="239"/>
        <v>0.92451071761416592</v>
      </c>
      <c r="DE81" s="1529">
        <f t="shared" si="240"/>
        <v>1.1330543933054393</v>
      </c>
      <c r="DF81" s="1529">
        <f t="shared" si="241"/>
        <v>0.78557874762808344</v>
      </c>
      <c r="DG81" s="1529">
        <f t="shared" si="242"/>
        <v>0.7103825136612022</v>
      </c>
      <c r="DH81" s="1529">
        <f t="shared" si="243"/>
        <v>0.58782201405152223</v>
      </c>
      <c r="DI81" s="1529">
        <f t="shared" si="244"/>
        <v>0.70299727520435973</v>
      </c>
      <c r="DJ81" s="1529">
        <f t="shared" si="187"/>
        <v>0.73910058359079989</v>
      </c>
      <c r="DK81" s="1529">
        <f t="shared" si="245"/>
        <v>5.0090090090090094</v>
      </c>
      <c r="DL81" s="1529">
        <f t="shared" si="246"/>
        <v>3.226628895184136</v>
      </c>
      <c r="DM81" s="1529">
        <f t="shared" si="247"/>
        <v>3.0586319218241043</v>
      </c>
      <c r="DN81" s="1529">
        <f t="shared" si="248"/>
        <v>2.4655172413793105</v>
      </c>
      <c r="DO81" s="1529">
        <f t="shared" si="249"/>
        <v>2.1394101876675604</v>
      </c>
      <c r="DP81" s="1529">
        <f t="shared" si="250"/>
        <v>1.123002421307506</v>
      </c>
      <c r="DQ81" s="1529">
        <f t="shared" si="251"/>
        <v>0.92467634366418205</v>
      </c>
      <c r="DS81" s="1583" t="s">
        <v>606</v>
      </c>
      <c r="DT81" s="1736"/>
      <c r="DU81" s="1580">
        <f>_xlfn.XLOOKUP(E81,E81:E169,CW81:CW169,"")</f>
        <v>2.196791750214838</v>
      </c>
      <c r="DV81" s="1943">
        <f t="shared" si="252"/>
        <v>24</v>
      </c>
      <c r="DW81" s="1730">
        <f t="shared" si="253"/>
        <v>2.196791750214838</v>
      </c>
      <c r="DX81" s="1860">
        <f t="shared" si="254"/>
        <v>0</v>
      </c>
      <c r="DY81" s="1683">
        <f>_xlfn.XLOOKUP(E81,MOPFRA!$R$7:$R$56,MOPFRA!$D$7:$D$56,"")</f>
        <v>0.35121412803699315</v>
      </c>
      <c r="DZ81" s="1583" t="s">
        <v>606</v>
      </c>
    </row>
    <row r="82" spans="2:130" ht="68" customHeight="1">
      <c r="B82" s="1119">
        <f>_xlfn.XLOOKUP(E82,MOPFRA!$R$7:$R$56,MOPFRA!$A$7:$A$56,"")</f>
        <v>-37.21765493050718</v>
      </c>
      <c r="C82" s="394">
        <f>_xlfn.XLOOKUP(E82,MOPFRA!$R$7:$R$56,MOPFRA!$T$7:$T$56,"")</f>
        <v>128409</v>
      </c>
      <c r="D82" s="223" t="s">
        <v>150</v>
      </c>
      <c r="E82" s="1949" t="s">
        <v>151</v>
      </c>
      <c r="F82" s="982">
        <f>_xlfn.XLOOKUP(E82,MOPFRA!$R$7:$R$56,MOPFRA!$S$7:$S$56,"")</f>
        <v>12</v>
      </c>
      <c r="G82" s="1203">
        <f>_xlfn.XLOOKUP(E82,MOPFRA!$R$7:$R$56,MOPFRA!$AQ$7:$AQ$56,"")</f>
        <v>88332</v>
      </c>
      <c r="H82" s="1210">
        <v>17458</v>
      </c>
      <c r="I82" s="1713">
        <f t="shared" si="188"/>
        <v>70874</v>
      </c>
      <c r="J82" s="1712">
        <f t="shared" si="189"/>
        <v>0.19764071910519404</v>
      </c>
      <c r="K82" s="1761">
        <v>4</v>
      </c>
      <c r="L82" s="1728">
        <f t="shared" si="190"/>
        <v>4</v>
      </c>
      <c r="M82" s="689">
        <v>21375</v>
      </c>
      <c r="N82" s="689">
        <v>27497</v>
      </c>
      <c r="O82" s="1718">
        <v>1535</v>
      </c>
      <c r="P82" s="1713">
        <f t="shared" si="191"/>
        <v>25962</v>
      </c>
      <c r="Q82" s="1712">
        <f t="shared" si="192"/>
        <v>5.5824271738735137E-2</v>
      </c>
      <c r="R82" s="557">
        <f t="shared" si="184"/>
        <v>82491</v>
      </c>
      <c r="S82" s="553">
        <f t="shared" si="193"/>
        <v>0.28640935672514622</v>
      </c>
      <c r="T82" s="553">
        <f t="shared" si="194"/>
        <v>0.2419847846759951</v>
      </c>
      <c r="U82" s="558">
        <f t="shared" si="195"/>
        <v>113631.11129824561</v>
      </c>
      <c r="V82" s="591">
        <f t="shared" si="196"/>
        <v>6122</v>
      </c>
      <c r="W82" s="559">
        <f t="shared" si="197"/>
        <v>94454</v>
      </c>
      <c r="X82" s="560">
        <f t="shared" si="198"/>
        <v>101051.80564912281</v>
      </c>
      <c r="Y82" s="1244">
        <f t="shared" si="199"/>
        <v>0.14399997338589418</v>
      </c>
      <c r="Z82" s="658"/>
      <c r="AA82" s="63">
        <v>36859</v>
      </c>
      <c r="AB82" s="1147">
        <v>36859</v>
      </c>
      <c r="AC82" s="63">
        <v>3965</v>
      </c>
      <c r="AD82" s="63">
        <v>7247</v>
      </c>
      <c r="AE82" s="63">
        <v>10953</v>
      </c>
      <c r="AF82" s="63">
        <v>14753</v>
      </c>
      <c r="AG82" s="63">
        <v>19578</v>
      </c>
      <c r="AH82" s="63">
        <v>24909</v>
      </c>
      <c r="AI82" s="63">
        <v>29686</v>
      </c>
      <c r="AJ82" s="63">
        <v>34381</v>
      </c>
      <c r="AK82" s="1791">
        <v>39490</v>
      </c>
      <c r="AL82" s="63">
        <v>44740</v>
      </c>
      <c r="AM82" s="63">
        <v>51841</v>
      </c>
      <c r="AN82" s="1140">
        <v>58395</v>
      </c>
      <c r="AO82" s="1594">
        <v>58395</v>
      </c>
      <c r="AP82" s="1147">
        <v>58395</v>
      </c>
      <c r="AQ82" s="1494"/>
      <c r="AR82" s="63">
        <v>0</v>
      </c>
      <c r="AS82" s="63">
        <v>5790</v>
      </c>
      <c r="AT82" s="1427">
        <f t="shared" si="200"/>
        <v>0.46027742749054223</v>
      </c>
      <c r="AU82" s="1351">
        <f t="shared" si="201"/>
        <v>0.46027742749054223</v>
      </c>
      <c r="AV82" s="63">
        <v>9708</v>
      </c>
      <c r="AW82" s="1427">
        <f t="shared" si="202"/>
        <v>0.19378427787934185</v>
      </c>
      <c r="AX82" s="1351">
        <f t="shared" si="203"/>
        <v>0.33958879536359871</v>
      </c>
      <c r="AY82" s="63">
        <v>14365</v>
      </c>
      <c r="AZ82" s="1427">
        <f t="shared" si="204"/>
        <v>0.25661090124123043</v>
      </c>
      <c r="BA82" s="1351">
        <f t="shared" si="205"/>
        <v>0.31151282753583492</v>
      </c>
      <c r="BB82" s="63">
        <v>21375</v>
      </c>
      <c r="BC82" s="1427">
        <f t="shared" si="206"/>
        <v>0.84473684210526312</v>
      </c>
      <c r="BD82" s="1351">
        <f t="shared" si="207"/>
        <v>0.44885785941842338</v>
      </c>
      <c r="BE82" s="63">
        <v>28060</v>
      </c>
      <c r="BF82" s="1427">
        <f t="shared" si="208"/>
        <v>0.38549222797927463</v>
      </c>
      <c r="BG82" s="1351">
        <f t="shared" si="209"/>
        <v>0.43324139340075596</v>
      </c>
      <c r="BH82" s="63">
        <v>35626</v>
      </c>
      <c r="BI82" s="1427">
        <f t="shared" si="210"/>
        <v>0.41924592009003941</v>
      </c>
      <c r="BJ82" s="1351">
        <f t="shared" si="211"/>
        <v>0.43024609578867073</v>
      </c>
      <c r="BK82" s="63">
        <v>42993</v>
      </c>
      <c r="BL82" s="1427">
        <f t="shared" si="212"/>
        <v>0.54218128532551813</v>
      </c>
      <c r="BM82" s="1351">
        <f t="shared" si="213"/>
        <v>0.44825843832109413</v>
      </c>
      <c r="BN82" s="63">
        <v>50217</v>
      </c>
      <c r="BO82" s="1427">
        <f t="shared" si="214"/>
        <v>0.53865814696485625</v>
      </c>
      <c r="BP82" s="1351">
        <f t="shared" si="215"/>
        <v>0.46060324016171722</v>
      </c>
      <c r="BQ82" s="63">
        <v>58277</v>
      </c>
      <c r="BR82" s="1427">
        <f t="shared" si="216"/>
        <v>0.57760814249363868</v>
      </c>
      <c r="BS82" s="1351">
        <f t="shared" si="217"/>
        <v>0.47574069384654344</v>
      </c>
      <c r="BT82" s="63">
        <v>68940</v>
      </c>
      <c r="BU82" s="1427">
        <f t="shared" si="218"/>
        <v>1.031047619047619</v>
      </c>
      <c r="BV82" s="1351">
        <f t="shared" si="219"/>
        <v>0.54090299508270001</v>
      </c>
      <c r="BW82" s="63">
        <v>78550</v>
      </c>
      <c r="BX82" s="1427">
        <f t="shared" si="220"/>
        <v>0.35333051682861571</v>
      </c>
      <c r="BY82" s="1351">
        <f t="shared" si="221"/>
        <v>0.51520996894350035</v>
      </c>
      <c r="BZ82" s="1140">
        <v>88332</v>
      </c>
      <c r="CA82" s="1427">
        <f t="shared" si="222"/>
        <v>0.49252364967958501</v>
      </c>
      <c r="CB82" s="1351">
        <f t="shared" si="223"/>
        <v>0.51266375545851528</v>
      </c>
      <c r="CC82" s="1901">
        <v>0</v>
      </c>
      <c r="CD82" s="1594">
        <f>BZ82</f>
        <v>88332</v>
      </c>
      <c r="CE82" s="1939">
        <f t="shared" si="224"/>
        <v>0.51266375545851528</v>
      </c>
      <c r="CF82" s="1940">
        <f t="shared" si="225"/>
        <v>26</v>
      </c>
      <c r="CG82" s="1895"/>
      <c r="CH82" s="1815">
        <v>4901</v>
      </c>
      <c r="CI82" s="2039">
        <f t="shared" si="226"/>
        <v>-0.15354058721934369</v>
      </c>
      <c r="CJ82" s="2041">
        <f t="shared" si="227"/>
        <v>-0.15354058721934369</v>
      </c>
      <c r="CK82" s="1815">
        <v>7978</v>
      </c>
      <c r="CL82" s="2039">
        <f t="shared" si="228"/>
        <v>-0.21465033180193976</v>
      </c>
      <c r="CM82" s="2041">
        <f t="shared" si="229"/>
        <v>-0.17820354346930367</v>
      </c>
      <c r="CN82" s="1815">
        <v>17600</v>
      </c>
      <c r="CO82" s="2039">
        <f t="shared" si="230"/>
        <v>1.0661369980674253</v>
      </c>
      <c r="CP82" s="2041">
        <f t="shared" si="231"/>
        <v>0.22520013922728854</v>
      </c>
      <c r="CQ82" s="1815">
        <v>27497</v>
      </c>
      <c r="CR82" s="2039">
        <f t="shared" si="232"/>
        <v>0.41184022824536376</v>
      </c>
      <c r="CS82" s="2041">
        <f t="shared" si="233"/>
        <v>0.28640935672514622</v>
      </c>
      <c r="CU82" s="1948">
        <f t="shared" si="234"/>
        <v>6.1209217497857682E-2</v>
      </c>
      <c r="CV82" s="1940">
        <f t="shared" si="235"/>
        <v>45</v>
      </c>
      <c r="CW82" s="1580">
        <f t="shared" si="236"/>
        <v>-4.982324676536732E-2</v>
      </c>
      <c r="CX82" s="1799">
        <v>126880</v>
      </c>
      <c r="CY82" s="1794">
        <f>_xlfn.XLOOKUP(E82,MOPFRA!$R$7:$R$56,MOPFRA!$T$7:$T$56,"")</f>
        <v>128409</v>
      </c>
      <c r="CZ82" s="1245" t="str">
        <f>_xlfn.XLOOKUP(E82,MOPFRA!$R$7:$R$56,MOPFRA!$P$7:$P$56,"")</f>
        <v>PEP</v>
      </c>
      <c r="DA82" s="1802">
        <v>0.9</v>
      </c>
      <c r="DB82" s="1529">
        <f t="shared" si="237"/>
        <v>0.46027742749054223</v>
      </c>
      <c r="DC82" s="1529">
        <f t="shared" si="238"/>
        <v>0.33958879536359871</v>
      </c>
      <c r="DD82" s="1529">
        <f t="shared" si="239"/>
        <v>0.31151282753583492</v>
      </c>
      <c r="DE82" s="1529">
        <f t="shared" si="240"/>
        <v>0.44885785941842338</v>
      </c>
      <c r="DF82" s="1529">
        <f t="shared" si="241"/>
        <v>0.43324139340075596</v>
      </c>
      <c r="DG82" s="1529">
        <f t="shared" si="242"/>
        <v>0.43024609578867073</v>
      </c>
      <c r="DH82" s="1529">
        <f t="shared" si="243"/>
        <v>0.44825843832109413</v>
      </c>
      <c r="DI82" s="1529">
        <f t="shared" si="244"/>
        <v>0.46060324016171722</v>
      </c>
      <c r="DJ82" s="1529">
        <f t="shared" si="187"/>
        <v>0.47574069384654344</v>
      </c>
      <c r="DK82" s="1529">
        <f t="shared" si="245"/>
        <v>0.54090299508270001</v>
      </c>
      <c r="DL82" s="1529">
        <f t="shared" si="246"/>
        <v>0.51520996894350035</v>
      </c>
      <c r="DM82" s="1529">
        <f t="shared" si="247"/>
        <v>0.51266375545851528</v>
      </c>
      <c r="DN82" s="1529">
        <f t="shared" si="248"/>
        <v>-0.15354058721934369</v>
      </c>
      <c r="DO82" s="1529">
        <f t="shared" si="249"/>
        <v>-0.17820354346930367</v>
      </c>
      <c r="DP82" s="1529">
        <f t="shared" si="250"/>
        <v>0.22520013922728854</v>
      </c>
      <c r="DQ82" s="1529">
        <f t="shared" si="251"/>
        <v>0.28640935672514622</v>
      </c>
      <c r="DS82" s="1583" t="s">
        <v>603</v>
      </c>
      <c r="DT82" s="1736"/>
      <c r="DU82" s="1580">
        <f>_xlfn.XLOOKUP(E82,E82:E171,CW82:CW171,"")</f>
        <v>-4.982324676536732E-2</v>
      </c>
      <c r="DV82" s="1943">
        <f t="shared" si="252"/>
        <v>45</v>
      </c>
      <c r="DW82" s="1730">
        <f t="shared" si="253"/>
        <v>1.2050756620428751E-2</v>
      </c>
      <c r="DX82" s="1860">
        <f t="shared" si="254"/>
        <v>-14.18164473664589</v>
      </c>
      <c r="DY82" s="1683">
        <f>_xlfn.XLOOKUP(E82,MOPFRA!$R$7:$R$56,MOPFRA!$D$7:$D$56,"")</f>
        <v>-3.133633369709349</v>
      </c>
      <c r="DZ82" s="1583" t="s">
        <v>607</v>
      </c>
    </row>
    <row r="83" spans="2:130" ht="68" customHeight="1">
      <c r="B83" s="1119">
        <f>_xlfn.XLOOKUP(E83,MOPFRA!$R$7:$R$56,MOPFRA!$A$7:$A$56,"")</f>
        <v>-38.669656839078094</v>
      </c>
      <c r="C83" s="394">
        <f>_xlfn.XLOOKUP(E83,MOPFRA!$R$7:$R$56,MOPFRA!$T$7:$T$56,"")</f>
        <v>27370</v>
      </c>
      <c r="D83" s="223" t="s">
        <v>152</v>
      </c>
      <c r="E83" s="1949" t="s">
        <v>153</v>
      </c>
      <c r="F83" s="982">
        <f>_xlfn.XLOOKUP(E83,MOPFRA!$R$7:$R$56,MOPFRA!$S$7:$S$56,"")</f>
        <v>12</v>
      </c>
      <c r="G83" s="1203">
        <f>_xlfn.XLOOKUP(E83,MOPFRA!$R$7:$R$56,MOPFRA!$AQ$7:$AQ$56,"")</f>
        <v>48139</v>
      </c>
      <c r="H83" s="1210">
        <v>0</v>
      </c>
      <c r="I83" s="1713">
        <f t="shared" si="188"/>
        <v>48139</v>
      </c>
      <c r="J83" s="1712">
        <f t="shared" si="189"/>
        <v>0</v>
      </c>
      <c r="K83" s="1761">
        <v>4</v>
      </c>
      <c r="L83" s="1728">
        <f t="shared" si="190"/>
        <v>4</v>
      </c>
      <c r="M83" s="689">
        <v>11173</v>
      </c>
      <c r="N83" s="689">
        <v>9747</v>
      </c>
      <c r="O83" s="1718">
        <v>0</v>
      </c>
      <c r="P83" s="1713">
        <f t="shared" si="191"/>
        <v>9747</v>
      </c>
      <c r="Q83" s="1712">
        <f t="shared" si="192"/>
        <v>0</v>
      </c>
      <c r="R83" s="557">
        <f t="shared" si="184"/>
        <v>29241</v>
      </c>
      <c r="S83" s="553">
        <f t="shared" si="193"/>
        <v>-0.12762910588024703</v>
      </c>
      <c r="T83" s="553">
        <f t="shared" si="194"/>
        <v>0.23209871414030203</v>
      </c>
      <c r="U83" s="558">
        <f t="shared" si="195"/>
        <v>41995.06247203079</v>
      </c>
      <c r="V83" s="591">
        <f t="shared" si="196"/>
        <v>-1426</v>
      </c>
      <c r="W83" s="559">
        <f t="shared" si="197"/>
        <v>46713</v>
      </c>
      <c r="X83" s="560">
        <f t="shared" si="198"/>
        <v>39986.031236015391</v>
      </c>
      <c r="Y83" s="1244">
        <f t="shared" si="199"/>
        <v>-0.16936306869657883</v>
      </c>
      <c r="Z83" s="658"/>
      <c r="AA83" s="63">
        <v>28369</v>
      </c>
      <c r="AB83" s="1147">
        <v>28369</v>
      </c>
      <c r="AC83" s="63">
        <v>2540</v>
      </c>
      <c r="AD83" s="63">
        <v>4634</v>
      </c>
      <c r="AE83" s="63">
        <v>6681</v>
      </c>
      <c r="AF83" s="63">
        <v>9464</v>
      </c>
      <c r="AG83" s="63">
        <v>11561</v>
      </c>
      <c r="AH83" s="63">
        <v>13666</v>
      </c>
      <c r="AI83" s="63">
        <v>16101</v>
      </c>
      <c r="AJ83" s="63">
        <v>18880</v>
      </c>
      <c r="AK83" s="1791">
        <v>21585</v>
      </c>
      <c r="AL83" s="63">
        <v>24646</v>
      </c>
      <c r="AM83" s="63">
        <v>27754</v>
      </c>
      <c r="AN83" s="1140">
        <v>31463</v>
      </c>
      <c r="AO83" s="1594">
        <f>AN83+AB83-AA83</f>
        <v>31463</v>
      </c>
      <c r="AP83" s="1147">
        <v>31463</v>
      </c>
      <c r="AQ83" s="1494"/>
      <c r="AR83" s="63">
        <v>0</v>
      </c>
      <c r="AS83" s="63">
        <v>2844</v>
      </c>
      <c r="AT83" s="1427">
        <f t="shared" si="200"/>
        <v>0.11968503937007874</v>
      </c>
      <c r="AU83" s="1351">
        <f t="shared" si="201"/>
        <v>0.11968503937007874</v>
      </c>
      <c r="AV83" s="63">
        <v>6287</v>
      </c>
      <c r="AW83" s="1427">
        <f t="shared" si="202"/>
        <v>0.64422158548233044</v>
      </c>
      <c r="AX83" s="1351">
        <f t="shared" si="203"/>
        <v>0.35671126456624946</v>
      </c>
      <c r="AY83" s="63">
        <v>8717</v>
      </c>
      <c r="AZ83" s="1427">
        <f t="shared" si="204"/>
        <v>0.18710307767464582</v>
      </c>
      <c r="BA83" s="1351">
        <f t="shared" si="205"/>
        <v>0.30474479868283189</v>
      </c>
      <c r="BB83" s="63">
        <v>11173</v>
      </c>
      <c r="BC83" s="1427">
        <f t="shared" si="206"/>
        <v>-0.11749910168882501</v>
      </c>
      <c r="BD83" s="1351">
        <f t="shared" si="207"/>
        <v>0.18057903634826711</v>
      </c>
      <c r="BE83" s="63">
        <v>15145</v>
      </c>
      <c r="BF83" s="1427">
        <f t="shared" si="208"/>
        <v>0.89413447782546496</v>
      </c>
      <c r="BG83" s="1351">
        <f t="shared" si="209"/>
        <v>0.31000778479370295</v>
      </c>
      <c r="BH83" s="63">
        <v>18245</v>
      </c>
      <c r="BI83" s="1427">
        <f t="shared" si="210"/>
        <v>0.47268408551068886</v>
      </c>
      <c r="BJ83" s="1351">
        <f t="shared" si="211"/>
        <v>0.33506512512805503</v>
      </c>
      <c r="BK83" s="63">
        <v>22578</v>
      </c>
      <c r="BL83" s="1427">
        <f t="shared" si="212"/>
        <v>0.7794661190965092</v>
      </c>
      <c r="BM83" s="1351">
        <f t="shared" si="213"/>
        <v>0.40227315073597913</v>
      </c>
      <c r="BN83" s="63">
        <v>26577</v>
      </c>
      <c r="BO83" s="1427">
        <f t="shared" si="214"/>
        <v>0.43900683699172366</v>
      </c>
      <c r="BP83" s="1351">
        <f t="shared" si="215"/>
        <v>0.40768008474576273</v>
      </c>
      <c r="BQ83" s="63">
        <v>32139</v>
      </c>
      <c r="BR83" s="1427">
        <f t="shared" si="216"/>
        <v>1.0561922365988909</v>
      </c>
      <c r="BS83" s="1351">
        <f t="shared" si="217"/>
        <v>0.48895066018068101</v>
      </c>
      <c r="BT83" s="63">
        <v>37146</v>
      </c>
      <c r="BU83" s="1427">
        <f t="shared" si="218"/>
        <v>0.63573995426331265</v>
      </c>
      <c r="BV83" s="1351">
        <f t="shared" si="219"/>
        <v>0.50718169276961778</v>
      </c>
      <c r="BW83" s="63">
        <v>43007</v>
      </c>
      <c r="BX83" s="1427">
        <f t="shared" si="220"/>
        <v>0.8857786357786358</v>
      </c>
      <c r="BY83" s="1351">
        <f t="shared" si="221"/>
        <v>0.54957843914390714</v>
      </c>
      <c r="BZ83" s="1140">
        <v>48242</v>
      </c>
      <c r="CA83" s="1427">
        <f t="shared" si="222"/>
        <v>0.41143165273658666</v>
      </c>
      <c r="CB83" s="1351">
        <f t="shared" si="223"/>
        <v>0.53329307440485652</v>
      </c>
      <c r="CC83" s="1901">
        <v>0</v>
      </c>
      <c r="CD83" s="1594">
        <f>BZ83</f>
        <v>48242</v>
      </c>
      <c r="CE83" s="1939">
        <f t="shared" si="224"/>
        <v>0.53329307440485652</v>
      </c>
      <c r="CF83" s="1940">
        <f t="shared" si="225"/>
        <v>22</v>
      </c>
      <c r="CG83" s="1895"/>
      <c r="CH83" s="1815">
        <v>2887</v>
      </c>
      <c r="CI83" s="2039">
        <f t="shared" si="226"/>
        <v>1.5119549929676512E-2</v>
      </c>
      <c r="CJ83" s="2041">
        <f t="shared" si="227"/>
        <v>1.5119549929676512E-2</v>
      </c>
      <c r="CK83" s="1815">
        <v>4307</v>
      </c>
      <c r="CL83" s="2039">
        <f t="shared" si="228"/>
        <v>-0.58756898054022655</v>
      </c>
      <c r="CM83" s="2041">
        <f t="shared" si="229"/>
        <v>-0.31493558135835853</v>
      </c>
      <c r="CN83" s="1815">
        <v>8208</v>
      </c>
      <c r="CO83" s="2039">
        <f t="shared" si="230"/>
        <v>0.60534979423868318</v>
      </c>
      <c r="CP83" s="2041">
        <f t="shared" si="231"/>
        <v>-5.8391648502925317E-2</v>
      </c>
      <c r="CQ83" s="1815">
        <v>9747</v>
      </c>
      <c r="CR83" s="2039">
        <f t="shared" si="232"/>
        <v>-0.37337133550488599</v>
      </c>
      <c r="CS83" s="2041">
        <f t="shared" si="233"/>
        <v>-0.12762910588024703</v>
      </c>
      <c r="CU83" s="1948">
        <f t="shared" si="234"/>
        <v>-6.9237457377321718E-2</v>
      </c>
      <c r="CV83" s="1940">
        <f t="shared" si="235"/>
        <v>48</v>
      </c>
      <c r="CW83" s="1580">
        <f t="shared" si="236"/>
        <v>0.31012823531720846</v>
      </c>
      <c r="CX83" s="1799">
        <v>20891.084751999999</v>
      </c>
      <c r="CY83" s="1794">
        <f>_xlfn.XLOOKUP(E83,MOPFRA!$R$7:$R$56,MOPFRA!$T$7:$T$56,"")</f>
        <v>27370</v>
      </c>
      <c r="CZ83" s="1245" t="str">
        <f>_xlfn.XLOOKUP(E83,MOPFRA!$R$7:$R$56,MOPFRA!$P$7:$P$56,"")</f>
        <v>PET</v>
      </c>
      <c r="DA83" s="1802">
        <v>0.9</v>
      </c>
      <c r="DB83" s="1529">
        <f t="shared" si="237"/>
        <v>0.11968503937007874</v>
      </c>
      <c r="DC83" s="1529">
        <f t="shared" si="238"/>
        <v>0.35671126456624946</v>
      </c>
      <c r="DD83" s="1529">
        <f t="shared" si="239"/>
        <v>0.30474479868283189</v>
      </c>
      <c r="DE83" s="1529">
        <f t="shared" si="240"/>
        <v>0.18057903634826711</v>
      </c>
      <c r="DF83" s="1529">
        <f t="shared" si="241"/>
        <v>0.31000778479370295</v>
      </c>
      <c r="DG83" s="1529">
        <f t="shared" si="242"/>
        <v>0.33506512512805503</v>
      </c>
      <c r="DH83" s="1529">
        <f t="shared" si="243"/>
        <v>0.40227315073597913</v>
      </c>
      <c r="DI83" s="1529">
        <f t="shared" si="244"/>
        <v>0.40768008474576273</v>
      </c>
      <c r="DJ83" s="1529">
        <f t="shared" si="187"/>
        <v>0.48895066018068101</v>
      </c>
      <c r="DK83" s="1529">
        <f t="shared" si="245"/>
        <v>0.50718169276961778</v>
      </c>
      <c r="DL83" s="1529">
        <f t="shared" si="246"/>
        <v>0.54957843914390714</v>
      </c>
      <c r="DM83" s="1529">
        <f t="shared" si="247"/>
        <v>0.53329307440485652</v>
      </c>
      <c r="DN83" s="1529">
        <f t="shared" si="248"/>
        <v>1.5119549929676512E-2</v>
      </c>
      <c r="DO83" s="1529">
        <f t="shared" si="249"/>
        <v>-0.31493558135835853</v>
      </c>
      <c r="DP83" s="1529">
        <f t="shared" si="250"/>
        <v>-5.8391648502925317E-2</v>
      </c>
      <c r="DQ83" s="1529">
        <f t="shared" si="251"/>
        <v>-0.12762910588024703</v>
      </c>
      <c r="DS83" s="1583" t="s">
        <v>607</v>
      </c>
      <c r="DT83" s="1736"/>
      <c r="DU83" s="1580">
        <f>_xlfn.XLOOKUP(E83,E83:E171,CW83:CW171,"")</f>
        <v>0.31012823531720846</v>
      </c>
      <c r="DV83" s="1943">
        <f t="shared" si="252"/>
        <v>48</v>
      </c>
      <c r="DW83" s="1730">
        <f t="shared" si="253"/>
        <v>0.31012823531720846</v>
      </c>
      <c r="DX83" s="1860">
        <f t="shared" si="254"/>
        <v>0</v>
      </c>
      <c r="DY83" s="1683">
        <f>_xlfn.XLOOKUP(E83,MOPFRA!$R$7:$R$56,MOPFRA!$D$7:$D$56,"")</f>
        <v>-248.47769673701751</v>
      </c>
      <c r="DZ83" s="1583" t="s">
        <v>607</v>
      </c>
    </row>
    <row r="84" spans="2:130" ht="68" customHeight="1">
      <c r="B84" s="1119">
        <f>_xlfn.XLOOKUP(E84,MOPFRA!$R$7:$R$56,MOPFRA!$A$7:$A$56,"")</f>
        <v>-40.294632979004746</v>
      </c>
      <c r="C84" s="394">
        <f>_xlfn.XLOOKUP(E84,MOPFRA!$R$7:$R$56,MOPFRA!$T$7:$T$56,"")</f>
        <v>7873.6</v>
      </c>
      <c r="D84" s="223" t="s">
        <v>134</v>
      </c>
      <c r="E84" s="1949" t="s">
        <v>135</v>
      </c>
      <c r="F84" s="982">
        <f>_xlfn.XLOOKUP(E84,MOPFRA!$R$7:$R$56,MOPFRA!$S$7:$S$56,"")</f>
        <v>12</v>
      </c>
      <c r="G84" s="1203">
        <f>_xlfn.XLOOKUP(E84,MOPFRA!$R$7:$R$56,MOPFRA!$AQ$7:$AQ$56,"")</f>
        <v>1266</v>
      </c>
      <c r="H84" s="1210">
        <v>0</v>
      </c>
      <c r="I84" s="1713">
        <f t="shared" si="188"/>
        <v>1266</v>
      </c>
      <c r="J84" s="1712">
        <f t="shared" si="189"/>
        <v>0</v>
      </c>
      <c r="K84" s="1761">
        <v>4</v>
      </c>
      <c r="L84" s="1728">
        <f t="shared" si="190"/>
        <v>4</v>
      </c>
      <c r="M84" s="689">
        <v>195</v>
      </c>
      <c r="N84" s="689">
        <v>266</v>
      </c>
      <c r="O84" s="1718">
        <v>0</v>
      </c>
      <c r="P84" s="1713">
        <f t="shared" si="191"/>
        <v>266</v>
      </c>
      <c r="Q84" s="1712">
        <f t="shared" si="192"/>
        <v>0</v>
      </c>
      <c r="R84" s="557">
        <f t="shared" si="184"/>
        <v>798</v>
      </c>
      <c r="S84" s="553">
        <f t="shared" si="193"/>
        <v>0.36410256410256409</v>
      </c>
      <c r="T84" s="553">
        <f t="shared" si="194"/>
        <v>0.15402843601895735</v>
      </c>
      <c r="U84" s="558">
        <f t="shared" si="195"/>
        <v>1726.9538461538461</v>
      </c>
      <c r="V84" s="591">
        <f t="shared" si="196"/>
        <v>71</v>
      </c>
      <c r="W84" s="559">
        <f t="shared" si="197"/>
        <v>1337</v>
      </c>
      <c r="X84" s="560">
        <f t="shared" si="198"/>
        <v>1397.226923076923</v>
      </c>
      <c r="Y84" s="1244">
        <f t="shared" si="199"/>
        <v>0.10365475756471007</v>
      </c>
      <c r="Z84" s="658"/>
      <c r="AA84" s="63">
        <v>369</v>
      </c>
      <c r="AB84" s="1147">
        <v>369</v>
      </c>
      <c r="AC84" s="63">
        <v>25</v>
      </c>
      <c r="AD84" s="63">
        <v>69</v>
      </c>
      <c r="AE84" s="63">
        <v>117</v>
      </c>
      <c r="AF84" s="63">
        <v>162</v>
      </c>
      <c r="AG84" s="63">
        <v>210</v>
      </c>
      <c r="AH84" s="63">
        <v>253</v>
      </c>
      <c r="AI84" s="63">
        <v>299</v>
      </c>
      <c r="AJ84" s="63">
        <v>341</v>
      </c>
      <c r="AK84" s="1791">
        <v>377</v>
      </c>
      <c r="AL84" s="63">
        <v>415</v>
      </c>
      <c r="AM84" s="63">
        <v>459</v>
      </c>
      <c r="AN84" s="1140">
        <v>925</v>
      </c>
      <c r="AO84" s="1594">
        <f>AN84+AB84-AA84</f>
        <v>925</v>
      </c>
      <c r="AP84" s="1147">
        <v>925</v>
      </c>
      <c r="AQ84" s="1494"/>
      <c r="AR84" s="63">
        <v>0</v>
      </c>
      <c r="AS84" s="63">
        <v>34</v>
      </c>
      <c r="AT84" s="1427">
        <f t="shared" si="200"/>
        <v>0.36</v>
      </c>
      <c r="AU84" s="1351">
        <f t="shared" si="201"/>
        <v>0.36</v>
      </c>
      <c r="AV84" s="63">
        <v>96</v>
      </c>
      <c r="AW84" s="1427">
        <f t="shared" si="202"/>
        <v>0.40909090909090912</v>
      </c>
      <c r="AX84" s="1351">
        <f t="shared" si="203"/>
        <v>0.39130434782608697</v>
      </c>
      <c r="AY84" s="63">
        <v>149</v>
      </c>
      <c r="AZ84" s="1427">
        <f t="shared" si="204"/>
        <v>0.10416666666666667</v>
      </c>
      <c r="BA84" s="1351">
        <f t="shared" si="205"/>
        <v>0.27350427350427353</v>
      </c>
      <c r="BB84" s="63">
        <v>195</v>
      </c>
      <c r="BC84" s="1427">
        <f t="shared" si="206"/>
        <v>2.2222222222222223E-2</v>
      </c>
      <c r="BD84" s="1351">
        <f t="shared" si="207"/>
        <v>0.20370370370370369</v>
      </c>
      <c r="BE84" s="63">
        <v>248</v>
      </c>
      <c r="BF84" s="1427">
        <f t="shared" si="208"/>
        <v>0.10416666666666667</v>
      </c>
      <c r="BG84" s="1351">
        <f t="shared" si="209"/>
        <v>0.18095238095238095</v>
      </c>
      <c r="BH84" s="63">
        <v>302</v>
      </c>
      <c r="BI84" s="1427">
        <f t="shared" si="210"/>
        <v>0.2558139534883721</v>
      </c>
      <c r="BJ84" s="1351">
        <f t="shared" si="211"/>
        <v>0.19367588932806323</v>
      </c>
      <c r="BK84" s="63">
        <v>355</v>
      </c>
      <c r="BL84" s="1427">
        <f t="shared" si="212"/>
        <v>0.15217391304347827</v>
      </c>
      <c r="BM84" s="1351">
        <f t="shared" si="213"/>
        <v>0.18729096989966554</v>
      </c>
      <c r="BN84" s="63">
        <v>414</v>
      </c>
      <c r="BO84" s="1427">
        <f t="shared" si="214"/>
        <v>0.40476190476190477</v>
      </c>
      <c r="BP84" s="1351">
        <f t="shared" si="215"/>
        <v>0.21407624633431085</v>
      </c>
      <c r="BQ84" s="63">
        <v>483</v>
      </c>
      <c r="BR84" s="1427">
        <f t="shared" si="216"/>
        <v>0.91666666666666663</v>
      </c>
      <c r="BS84" s="1351">
        <f t="shared" si="217"/>
        <v>0.28116710875331563</v>
      </c>
      <c r="BT84" s="63">
        <v>550</v>
      </c>
      <c r="BU84" s="1427">
        <f t="shared" si="218"/>
        <v>0.76315789473684215</v>
      </c>
      <c r="BV84" s="1351">
        <f t="shared" si="219"/>
        <v>0.3253012048192771</v>
      </c>
      <c r="BW84" s="63">
        <v>619</v>
      </c>
      <c r="BX84" s="1427">
        <f t="shared" si="220"/>
        <v>0.56818181818181823</v>
      </c>
      <c r="BY84" s="1351">
        <f t="shared" si="221"/>
        <v>0.34858387799564272</v>
      </c>
      <c r="BZ84" s="1140">
        <v>1266</v>
      </c>
      <c r="CA84" s="1427">
        <f t="shared" si="222"/>
        <v>0.388412017167382</v>
      </c>
      <c r="CB84" s="1351">
        <f t="shared" si="223"/>
        <v>0.36864864864864866</v>
      </c>
      <c r="CC84" s="1901">
        <v>0</v>
      </c>
      <c r="CD84" s="1594">
        <f>BZ84</f>
        <v>1266</v>
      </c>
      <c r="CE84" s="1939">
        <f t="shared" si="224"/>
        <v>0.36864864864864866</v>
      </c>
      <c r="CF84" s="1940">
        <f t="shared" si="225"/>
        <v>36</v>
      </c>
      <c r="CG84" s="1895"/>
      <c r="CH84" s="1815">
        <v>26</v>
      </c>
      <c r="CI84" s="2039">
        <f t="shared" si="226"/>
        <v>-0.23529411764705882</v>
      </c>
      <c r="CJ84" s="2041">
        <f t="shared" si="227"/>
        <v>-0.23529411764705882</v>
      </c>
      <c r="CK84" s="1815">
        <v>90</v>
      </c>
      <c r="CL84" s="2039">
        <f t="shared" si="228"/>
        <v>3.2258064516129031E-2</v>
      </c>
      <c r="CM84" s="2041">
        <f t="shared" si="229"/>
        <v>-6.25E-2</v>
      </c>
      <c r="CN84" s="1815">
        <v>184</v>
      </c>
      <c r="CO84" s="2039">
        <f t="shared" si="230"/>
        <v>0.77358490566037741</v>
      </c>
      <c r="CP84" s="2041">
        <f t="shared" si="231"/>
        <v>0.2348993288590604</v>
      </c>
      <c r="CQ84" s="1815">
        <v>266</v>
      </c>
      <c r="CR84" s="2039">
        <f t="shared" si="232"/>
        <v>0.78260869565217395</v>
      </c>
      <c r="CS84" s="2041">
        <f t="shared" si="233"/>
        <v>0.36410256410256409</v>
      </c>
      <c r="CU84" s="1948">
        <f t="shared" si="234"/>
        <v>0.12920323524350369</v>
      </c>
      <c r="CV84" s="1940">
        <f t="shared" si="235"/>
        <v>43</v>
      </c>
      <c r="CW84" s="1580">
        <f t="shared" si="236"/>
        <v>0.20723991516277823</v>
      </c>
      <c r="CX84" s="1799" t="s">
        <v>192</v>
      </c>
      <c r="CY84" s="1794">
        <f>_xlfn.XLOOKUP(E84,MOPFRA!$R$7:$R$56,MOPFRA!$T$7:$T$56,"")</f>
        <v>7873.6</v>
      </c>
      <c r="CZ84" s="1245" t="str">
        <f>_xlfn.XLOOKUP(E84,MOPFRA!$R$7:$R$56,MOPFRA!$P$7:$P$56,"")</f>
        <v>KM</v>
      </c>
      <c r="DA84" s="1802">
        <v>0.9</v>
      </c>
      <c r="DB84" s="1529">
        <f t="shared" si="237"/>
        <v>0.36</v>
      </c>
      <c r="DC84" s="1529">
        <f t="shared" si="238"/>
        <v>0.39130434782608697</v>
      </c>
      <c r="DD84" s="1529">
        <f t="shared" si="239"/>
        <v>0.27350427350427353</v>
      </c>
      <c r="DE84" s="1529">
        <f t="shared" si="240"/>
        <v>0.20370370370370369</v>
      </c>
      <c r="DF84" s="1529">
        <f t="shared" si="241"/>
        <v>0.18095238095238095</v>
      </c>
      <c r="DG84" s="1529">
        <f t="shared" si="242"/>
        <v>0.19367588932806323</v>
      </c>
      <c r="DH84" s="1529">
        <f t="shared" si="243"/>
        <v>0.18729096989966554</v>
      </c>
      <c r="DI84" s="1529">
        <f t="shared" si="244"/>
        <v>0.21407624633431085</v>
      </c>
      <c r="DJ84" s="1529">
        <f t="shared" si="187"/>
        <v>0.28116710875331563</v>
      </c>
      <c r="DK84" s="1529">
        <f t="shared" si="245"/>
        <v>0.3253012048192771</v>
      </c>
      <c r="DL84" s="1529">
        <f t="shared" si="246"/>
        <v>0.34858387799564272</v>
      </c>
      <c r="DM84" s="1529">
        <f t="shared" si="247"/>
        <v>0.36864864864864866</v>
      </c>
      <c r="DN84" s="1529">
        <f t="shared" si="248"/>
        <v>-0.23529411764705882</v>
      </c>
      <c r="DO84" s="1529">
        <f t="shared" si="249"/>
        <v>-6.25E-2</v>
      </c>
      <c r="DP84" s="1529">
        <f t="shared" si="250"/>
        <v>0.2348993288590604</v>
      </c>
      <c r="DQ84" s="1529">
        <f t="shared" si="251"/>
        <v>0.36410256410256409</v>
      </c>
      <c r="DS84" s="1583" t="s">
        <v>603</v>
      </c>
      <c r="DT84" s="1736"/>
      <c r="DU84" s="1580">
        <f>_xlfn.XLOOKUP(E84,E84:E173,CW84:CW173,"")</f>
        <v>0.20723991516277823</v>
      </c>
      <c r="DV84" s="1943">
        <f t="shared" si="252"/>
        <v>43</v>
      </c>
      <c r="DW84" s="1734" t="str">
        <f t="shared" si="253"/>
        <v>NEW</v>
      </c>
      <c r="DX84" s="1860">
        <f t="shared" si="254"/>
        <v>0</v>
      </c>
      <c r="DY84" s="1683">
        <f>_xlfn.XLOOKUP(E84,MOPFRA!$R$7:$R$56,MOPFRA!$D$7:$D$56,"")</f>
        <v>-13.454830907467484</v>
      </c>
      <c r="DZ84" s="1583" t="s">
        <v>607</v>
      </c>
    </row>
    <row r="85" spans="2:130" ht="68" customHeight="1">
      <c r="B85" s="1119">
        <f>_xlfn.XLOOKUP(E85,MOPFRA!$R$7:$R$56,MOPFRA!$A$7:$A$56,"")</f>
        <v>-65.423574066630209</v>
      </c>
      <c r="C85" s="394">
        <f>_xlfn.XLOOKUP(E85,MOPFRA!$R$7:$R$56,MOPFRA!$T$7:$T$56,"")</f>
        <v>55932</v>
      </c>
      <c r="D85" s="223" t="s">
        <v>140</v>
      </c>
      <c r="E85" s="1949" t="s">
        <v>141</v>
      </c>
      <c r="F85" s="982">
        <f>_xlfn.XLOOKUP(E85,MOPFRA!$R$7:$R$56,MOPFRA!$S$7:$S$56,"")</f>
        <v>12</v>
      </c>
      <c r="G85" s="1203">
        <f>_xlfn.XLOOKUP(E85,MOPFRA!$R$7:$R$56,MOPFRA!$AQ$7:$AQ$56,"")</f>
        <v>35014</v>
      </c>
      <c r="H85" s="1210">
        <v>2817</v>
      </c>
      <c r="I85" s="1713">
        <f t="shared" si="188"/>
        <v>32197</v>
      </c>
      <c r="J85" s="1712">
        <f t="shared" si="189"/>
        <v>8.0453532872565264E-2</v>
      </c>
      <c r="K85" s="1761">
        <v>4</v>
      </c>
      <c r="L85" s="1728">
        <f t="shared" si="190"/>
        <v>4</v>
      </c>
      <c r="M85" s="689">
        <v>10575</v>
      </c>
      <c r="N85" s="689">
        <v>6927</v>
      </c>
      <c r="O85" s="1718">
        <v>0</v>
      </c>
      <c r="P85" s="1713">
        <f t="shared" si="191"/>
        <v>6927</v>
      </c>
      <c r="Q85" s="1712">
        <f t="shared" si="192"/>
        <v>0</v>
      </c>
      <c r="R85" s="557">
        <f t="shared" si="184"/>
        <v>20781</v>
      </c>
      <c r="S85" s="553">
        <f t="shared" si="193"/>
        <v>-0.34496453900709217</v>
      </c>
      <c r="T85" s="553">
        <f t="shared" si="194"/>
        <v>0.30202204832352775</v>
      </c>
      <c r="U85" s="558">
        <f t="shared" si="195"/>
        <v>22935.411631205676</v>
      </c>
      <c r="V85" s="591">
        <f t="shared" si="196"/>
        <v>-3648</v>
      </c>
      <c r="W85" s="559">
        <f t="shared" si="197"/>
        <v>31366</v>
      </c>
      <c r="X85" s="560">
        <f t="shared" si="198"/>
        <v>24504.455815602836</v>
      </c>
      <c r="Y85" s="1244">
        <f t="shared" si="199"/>
        <v>-0.30015262993080377</v>
      </c>
      <c r="Z85" s="658"/>
      <c r="AA85" s="63">
        <v>19167</v>
      </c>
      <c r="AB85" s="1147">
        <v>19167</v>
      </c>
      <c r="AC85" s="63">
        <v>1262</v>
      </c>
      <c r="AD85" s="63">
        <v>2876</v>
      </c>
      <c r="AE85" s="63">
        <v>4417</v>
      </c>
      <c r="AF85" s="63">
        <v>5962</v>
      </c>
      <c r="AG85" s="63">
        <v>7633</v>
      </c>
      <c r="AH85" s="63">
        <v>10117</v>
      </c>
      <c r="AI85" s="63">
        <v>11857</v>
      </c>
      <c r="AJ85" s="63">
        <v>13709</v>
      </c>
      <c r="AK85" s="1791">
        <v>16654</v>
      </c>
      <c r="AL85" s="63">
        <v>19148</v>
      </c>
      <c r="AM85" s="63">
        <v>22053</v>
      </c>
      <c r="AN85" s="1140">
        <v>25555</v>
      </c>
      <c r="AO85" s="1594">
        <v>25555</v>
      </c>
      <c r="AP85" s="1147">
        <v>25555</v>
      </c>
      <c r="AQ85" s="1494"/>
      <c r="AR85" s="63">
        <v>0</v>
      </c>
      <c r="AS85" s="63">
        <v>2151</v>
      </c>
      <c r="AT85" s="1427">
        <f t="shared" si="200"/>
        <v>0.7044374009508716</v>
      </c>
      <c r="AU85" s="1351">
        <f t="shared" si="201"/>
        <v>0.7044374009508716</v>
      </c>
      <c r="AV85" s="63">
        <v>5499</v>
      </c>
      <c r="AW85" s="1427">
        <f t="shared" si="202"/>
        <v>1.0743494423791822</v>
      </c>
      <c r="AX85" s="1351">
        <f t="shared" si="203"/>
        <v>0.91203059805285114</v>
      </c>
      <c r="AY85" s="63">
        <v>7966</v>
      </c>
      <c r="AZ85" s="1427">
        <f t="shared" si="204"/>
        <v>0.60090850097339388</v>
      </c>
      <c r="BA85" s="1351">
        <f t="shared" si="205"/>
        <v>0.80348652931854203</v>
      </c>
      <c r="BB85" s="63">
        <v>10575</v>
      </c>
      <c r="BC85" s="1427">
        <f t="shared" si="206"/>
        <v>0.68867313915857609</v>
      </c>
      <c r="BD85" s="1351">
        <f t="shared" si="207"/>
        <v>0.77373364642737341</v>
      </c>
      <c r="BE85" s="63">
        <v>13300</v>
      </c>
      <c r="BF85" s="1427">
        <f t="shared" si="208"/>
        <v>0.63076002393776187</v>
      </c>
      <c r="BG85" s="1351">
        <f t="shared" si="209"/>
        <v>0.74243416743089219</v>
      </c>
      <c r="BH85" s="63">
        <v>16045</v>
      </c>
      <c r="BI85" s="1427">
        <f t="shared" si="210"/>
        <v>0.10507246376811594</v>
      </c>
      <c r="BJ85" s="1351">
        <f t="shared" si="211"/>
        <v>0.58594444993575168</v>
      </c>
      <c r="BK85" s="63">
        <v>19565</v>
      </c>
      <c r="BL85" s="1427">
        <f t="shared" si="212"/>
        <v>1.0229885057471264</v>
      </c>
      <c r="BM85" s="1351">
        <f t="shared" si="213"/>
        <v>0.65008012144724636</v>
      </c>
      <c r="BN85" s="63">
        <v>23173</v>
      </c>
      <c r="BO85" s="1427">
        <f t="shared" si="214"/>
        <v>0.94816414686825057</v>
      </c>
      <c r="BP85" s="1351">
        <f t="shared" si="215"/>
        <v>0.69034940550003643</v>
      </c>
      <c r="BQ85" s="63">
        <v>26459</v>
      </c>
      <c r="BR85" s="1427">
        <f t="shared" si="216"/>
        <v>0.11578947368421053</v>
      </c>
      <c r="BS85" s="1351">
        <f t="shared" si="217"/>
        <v>0.58874744806052604</v>
      </c>
      <c r="BT85" s="63">
        <v>29962</v>
      </c>
      <c r="BU85" s="1427">
        <f t="shared" si="218"/>
        <v>0.40457097032878908</v>
      </c>
      <c r="BV85" s="1351">
        <f t="shared" si="219"/>
        <v>0.5647587215374974</v>
      </c>
      <c r="BW85" s="63">
        <v>33488</v>
      </c>
      <c r="BX85" s="1427">
        <f t="shared" si="220"/>
        <v>0.21376936316695352</v>
      </c>
      <c r="BY85" s="1351">
        <f t="shared" si="221"/>
        <v>0.51852355688568452</v>
      </c>
      <c r="BZ85" s="1140">
        <v>35014</v>
      </c>
      <c r="CA85" s="1427">
        <f t="shared" si="222"/>
        <v>-0.56424900057110228</v>
      </c>
      <c r="CB85" s="1351">
        <f t="shared" si="223"/>
        <v>0.37014282919193897</v>
      </c>
      <c r="CC85" s="1901">
        <v>0</v>
      </c>
      <c r="CD85" s="1594">
        <f>BZ85</f>
        <v>35014</v>
      </c>
      <c r="CE85" s="1939">
        <f t="shared" si="224"/>
        <v>0.37014282919193897</v>
      </c>
      <c r="CF85" s="1940">
        <f t="shared" si="225"/>
        <v>35</v>
      </c>
      <c r="CG85" s="1895"/>
      <c r="CH85" s="1815">
        <v>406</v>
      </c>
      <c r="CI85" s="2039">
        <f t="shared" si="226"/>
        <v>-0.8112505811250581</v>
      </c>
      <c r="CJ85" s="2041">
        <f t="shared" si="227"/>
        <v>-0.8112505811250581</v>
      </c>
      <c r="CK85" s="1815">
        <v>1462</v>
      </c>
      <c r="CL85" s="2039">
        <f t="shared" si="228"/>
        <v>-0.68458781362007171</v>
      </c>
      <c r="CM85" s="2041">
        <f t="shared" si="229"/>
        <v>-0.73413347881432989</v>
      </c>
      <c r="CN85" s="1815">
        <v>4400</v>
      </c>
      <c r="CO85" s="2039">
        <f t="shared" si="230"/>
        <v>0.19092014592622619</v>
      </c>
      <c r="CP85" s="2041">
        <f t="shared" si="231"/>
        <v>-0.44765252322370075</v>
      </c>
      <c r="CQ85" s="1815">
        <v>6927</v>
      </c>
      <c r="CR85" s="2039">
        <f t="shared" si="232"/>
        <v>-3.1429666538903792E-2</v>
      </c>
      <c r="CS85" s="2041">
        <f t="shared" si="233"/>
        <v>-0.34496453900709217</v>
      </c>
      <c r="CU85" s="1948">
        <f t="shared" si="234"/>
        <v>0.10268798421660857</v>
      </c>
      <c r="CV85" s="1940">
        <f t="shared" si="235"/>
        <v>49</v>
      </c>
      <c r="CW85" s="1580">
        <f t="shared" si="236"/>
        <v>0.20688762299326774</v>
      </c>
      <c r="CX85" s="1800">
        <v>46344</v>
      </c>
      <c r="CY85" s="1794">
        <f>_xlfn.XLOOKUP(E85,MOPFRA!$R$7:$R$56,MOPFRA!$T$7:$T$56,"")</f>
        <v>55932</v>
      </c>
      <c r="CZ85" s="1245" t="str">
        <f>_xlfn.XLOOKUP(E85,MOPFRA!$R$7:$R$56,MOPFRA!$P$7:$P$56,"")</f>
        <v>PVC</v>
      </c>
      <c r="DA85" s="1802">
        <v>0.9</v>
      </c>
      <c r="DB85" s="1529">
        <f t="shared" si="237"/>
        <v>0.7044374009508716</v>
      </c>
      <c r="DC85" s="1529">
        <f t="shared" si="238"/>
        <v>0.91203059805285114</v>
      </c>
      <c r="DD85" s="1529">
        <f t="shared" si="239"/>
        <v>0.80348652931854203</v>
      </c>
      <c r="DE85" s="1529">
        <f t="shared" si="240"/>
        <v>0.77373364642737341</v>
      </c>
      <c r="DF85" s="1529">
        <f t="shared" si="241"/>
        <v>0.74243416743089219</v>
      </c>
      <c r="DG85" s="1529">
        <f t="shared" si="242"/>
        <v>0.58594444993575168</v>
      </c>
      <c r="DH85" s="1529">
        <f t="shared" si="243"/>
        <v>0.65008012144724636</v>
      </c>
      <c r="DI85" s="1529">
        <f t="shared" si="244"/>
        <v>0.69034940550003643</v>
      </c>
      <c r="DJ85" s="1529">
        <f t="shared" si="187"/>
        <v>0.58874744806052604</v>
      </c>
      <c r="DK85" s="1529">
        <f t="shared" si="245"/>
        <v>0.5647587215374974</v>
      </c>
      <c r="DL85" s="1529">
        <f t="shared" si="246"/>
        <v>0.51852355688568452</v>
      </c>
      <c r="DM85" s="1529">
        <f t="shared" si="247"/>
        <v>0.37014282919193897</v>
      </c>
      <c r="DN85" s="1529">
        <f t="shared" si="248"/>
        <v>-0.8112505811250581</v>
      </c>
      <c r="DO85" s="1529">
        <f t="shared" si="249"/>
        <v>-0.73413347881432989</v>
      </c>
      <c r="DP85" s="1529">
        <f t="shared" si="250"/>
        <v>-0.44765252322370075</v>
      </c>
      <c r="DQ85" s="1529">
        <f t="shared" si="251"/>
        <v>-0.34496453900709217</v>
      </c>
      <c r="DS85" s="1583" t="s">
        <v>603</v>
      </c>
      <c r="DT85" s="1736"/>
      <c r="DU85" s="1580">
        <f>_xlfn.XLOOKUP(E85,E85:E175,CW85:CW175,"")</f>
        <v>0.20688762299326774</v>
      </c>
      <c r="DV85" s="1943">
        <f t="shared" si="252"/>
        <v>49</v>
      </c>
      <c r="DW85" s="1734">
        <f t="shared" si="253"/>
        <v>0.20688762299326774</v>
      </c>
      <c r="DX85" s="1860">
        <f t="shared" si="254"/>
        <v>-8.0453532872565265</v>
      </c>
      <c r="DY85" s="1683">
        <f>_xlfn.XLOOKUP(E85,MOPFRA!$R$7:$R$56,MOPFRA!$D$7:$D$56,"")</f>
        <v>-18.539730044790549</v>
      </c>
      <c r="DZ85" s="1583" t="s">
        <v>603</v>
      </c>
    </row>
    <row r="86" spans="2:130" ht="68" customHeight="1">
      <c r="B86" s="1119">
        <f>_xlfn.XLOOKUP(E86,MOPFRA!$R$7:$R$56,MOPFRA!$A$7:$A$56,"")</f>
        <v>-54.028353963789172</v>
      </c>
      <c r="C86" s="394">
        <f>_xlfn.XLOOKUP(E86,MOPFRA!$R$7:$R$56,MOPFRA!$T$7:$T$56,"")</f>
        <v>99732.898799999995</v>
      </c>
      <c r="D86" s="223" t="s">
        <v>146</v>
      </c>
      <c r="E86" s="1949" t="s">
        <v>147</v>
      </c>
      <c r="F86" s="982">
        <f>_xlfn.XLOOKUP(E86,MOPFRA!$R$7:$R$56,MOPFRA!$S$7:$S$56,"")</f>
        <v>12</v>
      </c>
      <c r="G86" s="1203">
        <v>68119</v>
      </c>
      <c r="H86" s="1210">
        <v>31212</v>
      </c>
      <c r="I86" s="1713">
        <f t="shared" si="188"/>
        <v>36907</v>
      </c>
      <c r="J86" s="1712">
        <f t="shared" si="189"/>
        <v>0.45819815323184426</v>
      </c>
      <c r="K86" s="1761">
        <v>4</v>
      </c>
      <c r="L86" s="1728">
        <v>4</v>
      </c>
      <c r="M86" s="689">
        <v>20175</v>
      </c>
      <c r="N86" s="689">
        <v>10298</v>
      </c>
      <c r="O86" s="1718">
        <v>2812</v>
      </c>
      <c r="P86" s="1713">
        <f t="shared" si="191"/>
        <v>7486</v>
      </c>
      <c r="Q86" s="1712">
        <f t="shared" si="192"/>
        <v>0.27306273062730629</v>
      </c>
      <c r="R86" s="557">
        <f t="shared" si="184"/>
        <v>30894</v>
      </c>
      <c r="S86" s="553">
        <f t="shared" si="193"/>
        <v>-0.48956629491945475</v>
      </c>
      <c r="T86" s="553">
        <f t="shared" si="194"/>
        <v>0.29617287394119113</v>
      </c>
      <c r="U86" s="558">
        <f t="shared" si="195"/>
        <v>34770.23355638166</v>
      </c>
      <c r="V86" s="591">
        <f t="shared" si="196"/>
        <v>-9877</v>
      </c>
      <c r="W86" s="559">
        <f t="shared" si="197"/>
        <v>58242</v>
      </c>
      <c r="X86" s="560">
        <f t="shared" si="198"/>
        <v>39669.11677819083</v>
      </c>
      <c r="Y86" s="1244">
        <f t="shared" si="199"/>
        <v>-0.41764974855486969</v>
      </c>
      <c r="Z86" s="658"/>
      <c r="AA86" s="63">
        <v>33881</v>
      </c>
      <c r="AB86" s="1147">
        <v>33881</v>
      </c>
      <c r="AC86" s="63">
        <v>3089</v>
      </c>
      <c r="AD86" s="63">
        <v>6893</v>
      </c>
      <c r="AE86" s="63">
        <v>10851</v>
      </c>
      <c r="AF86" s="63">
        <v>14757</v>
      </c>
      <c r="AG86" s="63">
        <v>18352</v>
      </c>
      <c r="AH86" s="63">
        <v>22539</v>
      </c>
      <c r="AI86" s="63">
        <v>25578</v>
      </c>
      <c r="AJ86" s="63">
        <v>29362</v>
      </c>
      <c r="AK86" s="1791">
        <v>33392</v>
      </c>
      <c r="AL86" s="63">
        <v>38344</v>
      </c>
      <c r="AM86" s="63">
        <v>43675</v>
      </c>
      <c r="AN86" s="1140">
        <v>50424</v>
      </c>
      <c r="AO86" s="1594">
        <f>AN86+AB86-AA86</f>
        <v>50424</v>
      </c>
      <c r="AP86" s="1147">
        <v>50424</v>
      </c>
      <c r="AQ86" s="1494"/>
      <c r="AR86" s="63">
        <v>0</v>
      </c>
      <c r="AS86" s="63">
        <v>4526</v>
      </c>
      <c r="AT86" s="1427">
        <f t="shared" si="200"/>
        <v>0.46519909355778571</v>
      </c>
      <c r="AU86" s="1351">
        <f t="shared" si="201"/>
        <v>0.46519909355778571</v>
      </c>
      <c r="AV86" s="63">
        <v>9621</v>
      </c>
      <c r="AW86" s="1427">
        <f t="shared" si="202"/>
        <v>0.33937960042060988</v>
      </c>
      <c r="AX86" s="1351">
        <f t="shared" si="203"/>
        <v>0.39576381836645874</v>
      </c>
      <c r="AY86" s="63">
        <v>14421</v>
      </c>
      <c r="AZ86" s="1427">
        <f t="shared" si="204"/>
        <v>0.21273370389085397</v>
      </c>
      <c r="BA86" s="1351">
        <f t="shared" si="205"/>
        <v>0.32900193530550181</v>
      </c>
      <c r="BB86" s="63">
        <v>20175</v>
      </c>
      <c r="BC86" s="1427">
        <f t="shared" si="206"/>
        <v>0.4731182795698925</v>
      </c>
      <c r="BD86" s="1351">
        <f t="shared" si="207"/>
        <v>0.36714779426712746</v>
      </c>
      <c r="BE86" s="63">
        <v>25516</v>
      </c>
      <c r="BF86" s="1427">
        <f t="shared" si="208"/>
        <v>0.48567454798331017</v>
      </c>
      <c r="BG86" s="1351">
        <f t="shared" si="209"/>
        <v>0.39036617262423712</v>
      </c>
      <c r="BH86" s="63">
        <v>29846</v>
      </c>
      <c r="BI86" s="1427">
        <f t="shared" si="210"/>
        <v>3.4153331741103417E-2</v>
      </c>
      <c r="BJ86" s="1351">
        <f t="shared" si="211"/>
        <v>0.32419361994764628</v>
      </c>
      <c r="BK86" s="63">
        <v>34532</v>
      </c>
      <c r="BL86" s="1427">
        <f t="shared" si="212"/>
        <v>0.5419545903257651</v>
      </c>
      <c r="BM86" s="1351">
        <f t="shared" si="213"/>
        <v>0.35006646336695596</v>
      </c>
      <c r="BN86" s="63">
        <v>39424</v>
      </c>
      <c r="BO86" s="1427">
        <f t="shared" si="214"/>
        <v>0.29281183932346722</v>
      </c>
      <c r="BP86" s="1351">
        <f t="shared" si="215"/>
        <v>0.34268782780464546</v>
      </c>
      <c r="BQ86" s="63">
        <v>45386</v>
      </c>
      <c r="BR86" s="1427">
        <f t="shared" si="216"/>
        <v>0.47940446650124069</v>
      </c>
      <c r="BS86" s="1351">
        <f t="shared" si="217"/>
        <v>0.35918782942022043</v>
      </c>
      <c r="BT86" s="63">
        <v>52394</v>
      </c>
      <c r="BU86" s="1427">
        <f t="shared" si="218"/>
        <v>0.41518578352180935</v>
      </c>
      <c r="BV86" s="1351">
        <f t="shared" si="219"/>
        <v>0.36641977884414773</v>
      </c>
      <c r="BW86" s="63">
        <v>61321</v>
      </c>
      <c r="BX86" s="1427">
        <f t="shared" si="220"/>
        <v>0.67454511348715063</v>
      </c>
      <c r="BY86" s="1351">
        <f t="shared" si="221"/>
        <v>0.40402976531196338</v>
      </c>
      <c r="BZ86" s="1140">
        <v>68119</v>
      </c>
      <c r="CA86" s="1427">
        <f t="shared" si="222"/>
        <v>7.2603348644243596E-3</v>
      </c>
      <c r="CB86" s="1351">
        <f t="shared" si="223"/>
        <v>0.35092416309693797</v>
      </c>
      <c r="CC86" s="1901">
        <v>0</v>
      </c>
      <c r="CD86" s="1594">
        <f>BZ86</f>
        <v>68119</v>
      </c>
      <c r="CE86" s="1939">
        <f t="shared" si="224"/>
        <v>0.35092416309693797</v>
      </c>
      <c r="CF86" s="1940">
        <f t="shared" si="225"/>
        <v>38</v>
      </c>
      <c r="CG86" s="1895"/>
      <c r="CH86" s="1815">
        <v>1992</v>
      </c>
      <c r="CI86" s="2039">
        <f t="shared" si="226"/>
        <v>-0.55987627043747235</v>
      </c>
      <c r="CJ86" s="2041">
        <f t="shared" si="227"/>
        <v>-0.55987627043747235</v>
      </c>
      <c r="CK86" s="1815">
        <v>4979</v>
      </c>
      <c r="CL86" s="2039">
        <f t="shared" si="228"/>
        <v>-0.413738959764475</v>
      </c>
      <c r="CM86" s="2041">
        <f t="shared" si="229"/>
        <v>-0.48248622804282298</v>
      </c>
      <c r="CN86" s="1815">
        <v>5624</v>
      </c>
      <c r="CO86" s="2039">
        <f t="shared" si="230"/>
        <v>-0.86562499999999998</v>
      </c>
      <c r="CP86" s="2041">
        <f t="shared" si="231"/>
        <v>-0.61001317523056653</v>
      </c>
      <c r="CQ86" s="1815">
        <v>10298</v>
      </c>
      <c r="CR86" s="2039">
        <f t="shared" si="232"/>
        <v>-0.18769551616266944</v>
      </c>
      <c r="CS86" s="2041">
        <f t="shared" si="233"/>
        <v>-0.48956629491945475</v>
      </c>
      <c r="CU86" s="1948">
        <f t="shared" si="234"/>
        <v>0.12044688031111178</v>
      </c>
      <c r="CV86" s="1940">
        <f t="shared" si="235"/>
        <v>50</v>
      </c>
      <c r="CW86" s="1580">
        <f t="shared" si="236"/>
        <v>-4.982324676536732E-2</v>
      </c>
      <c r="CX86" s="1799">
        <v>131877.07680000001</v>
      </c>
      <c r="CY86" s="1794">
        <f>_xlfn.XLOOKUP(E86,MOPFRA!$R$7:$R$56,MOPFRA!$T$7:$T$56,"")</f>
        <v>99732.898799999995</v>
      </c>
      <c r="CZ86" s="1245" t="str">
        <f>_xlfn.XLOOKUP(E86,MOPFRA!$R$7:$R$56,MOPFRA!$P$7:$P$56,"")</f>
        <v>PEP</v>
      </c>
      <c r="DA86" s="1802">
        <v>0.9</v>
      </c>
      <c r="DB86" s="1529">
        <f t="shared" si="237"/>
        <v>0.46519909355778571</v>
      </c>
      <c r="DC86" s="1529">
        <f t="shared" si="238"/>
        <v>0.39576381836645874</v>
      </c>
      <c r="DD86" s="1529">
        <f t="shared" si="239"/>
        <v>0.32900193530550181</v>
      </c>
      <c r="DE86" s="1529">
        <f t="shared" si="240"/>
        <v>0.36714779426712746</v>
      </c>
      <c r="DF86" s="1529">
        <f t="shared" si="241"/>
        <v>0.39036617262423712</v>
      </c>
      <c r="DG86" s="1529">
        <f t="shared" si="242"/>
        <v>0.32419361994764628</v>
      </c>
      <c r="DH86" s="1529">
        <f t="shared" si="243"/>
        <v>0.35006646336695596</v>
      </c>
      <c r="DI86" s="1529">
        <f t="shared" si="244"/>
        <v>0.34268782780464546</v>
      </c>
      <c r="DJ86" s="1529">
        <f t="shared" si="187"/>
        <v>0.35918782942022043</v>
      </c>
      <c r="DK86" s="1529">
        <f t="shared" si="245"/>
        <v>0.36641977884414773</v>
      </c>
      <c r="DL86" s="1529">
        <f t="shared" si="246"/>
        <v>0.40402976531196338</v>
      </c>
      <c r="DM86" s="1529">
        <f t="shared" si="247"/>
        <v>0.35092416309693797</v>
      </c>
      <c r="DN86" s="1529">
        <f t="shared" si="248"/>
        <v>-0.55987627043747235</v>
      </c>
      <c r="DO86" s="1529">
        <f t="shared" si="249"/>
        <v>-0.48248622804282298</v>
      </c>
      <c r="DP86" s="1529">
        <f t="shared" si="250"/>
        <v>-0.61001317523056653</v>
      </c>
      <c r="DQ86" s="1529">
        <f t="shared" si="251"/>
        <v>-0.48956629491945475</v>
      </c>
      <c r="DS86" s="1583" t="s">
        <v>607</v>
      </c>
      <c r="DT86" s="1736"/>
      <c r="DU86" s="1580">
        <f>_xlfn.XLOOKUP(E86,E86:E176,CW86:CW176,"")</f>
        <v>-4.982324676536732E-2</v>
      </c>
      <c r="DV86" s="1943">
        <f t="shared" si="252"/>
        <v>50</v>
      </c>
      <c r="DW86" s="1730">
        <f t="shared" si="253"/>
        <v>-0.24374348279457778</v>
      </c>
      <c r="DX86" s="1860">
        <f t="shared" si="254"/>
        <v>-18.513542260453796</v>
      </c>
      <c r="DY86" s="1683">
        <f>_xlfn.XLOOKUP(E86,MOPFRA!$R$7:$R$56,MOPFRA!$D$7:$D$56,"")</f>
        <v>-10.456929686628261</v>
      </c>
      <c r="DZ86" s="1583" t="s">
        <v>607</v>
      </c>
    </row>
    <row r="87" spans="2:130" ht="33" customHeight="1">
      <c r="B87" s="1119"/>
      <c r="C87" s="394"/>
      <c r="D87" s="1511"/>
      <c r="E87" s="1512"/>
      <c r="F87" s="981"/>
      <c r="G87" s="1203"/>
      <c r="H87" s="1210"/>
      <c r="I87" s="1713"/>
      <c r="J87" s="1713"/>
      <c r="K87" s="935"/>
      <c r="L87" s="1728"/>
      <c r="M87" s="689"/>
      <c r="N87" s="689"/>
      <c r="O87" s="1718"/>
      <c r="P87" s="1713"/>
      <c r="Q87" s="1713"/>
      <c r="R87" s="557"/>
      <c r="S87" s="553"/>
      <c r="T87" s="553"/>
      <c r="U87" s="558"/>
      <c r="V87" s="591"/>
      <c r="W87" s="559"/>
      <c r="X87" s="560"/>
      <c r="Y87" s="1244"/>
      <c r="Z87" s="658"/>
      <c r="AA87" s="63"/>
      <c r="AB87" s="1147"/>
      <c r="AC87" s="63"/>
      <c r="AD87" s="63"/>
      <c r="AE87" s="63"/>
      <c r="AF87" s="63"/>
      <c r="AG87" s="63"/>
      <c r="AH87" s="63"/>
      <c r="AI87" s="63"/>
      <c r="AJ87" s="63"/>
      <c r="AK87" s="1791"/>
      <c r="AL87" s="63"/>
      <c r="AM87" s="63"/>
      <c r="AN87" s="1140"/>
      <c r="AO87" s="1594"/>
      <c r="AP87" s="1147"/>
      <c r="AQ87" s="1494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1427" t="str">
        <f t="shared" ref="BU87" si="255">IFERROR(IF(OR(BU$3-$F87=1,BU$3-$F87=-11),(BT87-AL87)/AL87,((BT87-BQ87)-(AL87-AK87))/(AL87-AK87)),"")</f>
        <v/>
      </c>
      <c r="BV87" s="1351" t="str">
        <f t="shared" ref="BV87" si="256">IF(BT87&gt;0,((BT87-AL87)/AL87),"")</f>
        <v/>
      </c>
      <c r="BW87" s="63"/>
      <c r="BX87" s="63"/>
      <c r="BY87" s="63"/>
      <c r="BZ87" s="63"/>
      <c r="CA87" s="1427" t="str">
        <f t="shared" ref="CA87" si="257">IFERROR(IF(OR(CA$3-$F87=1,CA$3-$F87=-11),(BZ87-AN87)/AN87,((BZ87-BW87)-(AN87-AM87))/(AN87-AM87)),"")</f>
        <v/>
      </c>
      <c r="CB87" s="1351" t="str">
        <f t="shared" ref="CB87" si="258">IF(BZ87&gt;0,((BZ87-AN87)/AN87),"")</f>
        <v/>
      </c>
      <c r="CC87" s="63"/>
      <c r="CD87" s="1594"/>
      <c r="CE87" s="1939" t="str">
        <f t="shared" ref="CE87" si="259">IFERROR((CD87-AO87)/AO87,"")</f>
        <v/>
      </c>
      <c r="CF87" s="1939"/>
      <c r="CG87" s="1895"/>
      <c r="CH87" s="1815"/>
      <c r="CI87" s="2039" t="str">
        <f>IFERROR(IF(OR(CI$3-$F87=1,CI$3-$F87=-11),(CH87-AS87)/AS87,((CH87-A87)-(AS87-AN87))/(AS87-AN87)),"")</f>
        <v/>
      </c>
      <c r="CJ87" s="2041" t="str">
        <f t="shared" ref="CJ87" si="260">IF(CH87&gt;0,((CH87-AS87)/AS87),"")</f>
        <v/>
      </c>
      <c r="CK87" s="1815"/>
      <c r="CL87" s="2039" t="str">
        <f t="shared" ref="CL87" si="261">IFERROR(IF(OR(CL$3-$F87=1,CL$3-$F87=-11),(CK87-AV87)/AV87,((CK87-CH87)-(AV87-AS87))/(AV87-AS87)),"")</f>
        <v/>
      </c>
      <c r="CM87" s="2041" t="str">
        <f t="shared" ref="CM87" si="262">IF(CK87&gt;0,((CK87-AV87)/AV87),"")</f>
        <v/>
      </c>
      <c r="CN87" s="1815"/>
      <c r="CO87" s="2039" t="str">
        <f t="shared" ref="CO87" si="263">IFERROR(IF(OR(CO$3-$F87=1,CO$3-$F87=-11),(CN87-AY87)/AY87,((CN87-CK87)-(AY87-AV87))/(AY87-AV87)),"")</f>
        <v/>
      </c>
      <c r="CP87" s="2041" t="str">
        <f t="shared" ref="CP87" si="264">IF(CN87&gt;0,((CN87-AY87)/AY87),"")</f>
        <v/>
      </c>
      <c r="CQ87" s="1815"/>
      <c r="CR87" s="2039" t="str">
        <f t="shared" ref="CR87" si="265">IFERROR(IF(OR(CR$3-$F87=1,CR$3-$F87=-11),(CQ87-BB87)/BB87,((CQ87-CN87)-(BB87-AY87))/(BB87-AY87)),"")</f>
        <v/>
      </c>
      <c r="CS87" s="2041" t="str">
        <f t="shared" ref="CS87" si="266">IF(CQ87&gt;0,((CQ87-BB87)/BB87),"")</f>
        <v/>
      </c>
      <c r="CU87" s="1948" t="str">
        <f t="shared" ref="CU87" si="267">IFERROR(IF(CS87&gt;-100,CS87-CP87,""),"")</f>
        <v/>
      </c>
      <c r="CV87" s="1940" t="str">
        <f t="shared" ref="CV87" si="268">IFERROR(RANK(CS87, $CS$4:$CS$32),"")</f>
        <v/>
      </c>
      <c r="CW87" s="1580" t="str">
        <f t="shared" si="236"/>
        <v/>
      </c>
      <c r="CX87" s="1801"/>
      <c r="CY87" s="1798"/>
      <c r="DA87" s="1802"/>
      <c r="DB87" s="1529"/>
      <c r="DC87" s="1529"/>
      <c r="DD87" s="1529"/>
      <c r="DE87" s="1529"/>
      <c r="DF87" s="1529"/>
      <c r="DG87" s="1529"/>
      <c r="DH87" s="1529"/>
      <c r="DI87" s="1529"/>
      <c r="DJ87" s="1529"/>
      <c r="DK87" s="1529"/>
      <c r="DL87" s="1529"/>
      <c r="DM87" s="1529"/>
      <c r="DN87" s="1529" t="str">
        <f t="shared" ref="DN87" si="269">CJ87</f>
        <v/>
      </c>
      <c r="DO87" s="1529" t="str">
        <f t="shared" ref="DO87" si="270">CM87</f>
        <v/>
      </c>
      <c r="DP87" s="1529" t="str">
        <f t="shared" ref="DP87" si="271">CP87</f>
        <v/>
      </c>
      <c r="DQ87" s="1529" t="str">
        <f t="shared" ref="DQ87:DQ100" si="272">CS87</f>
        <v/>
      </c>
      <c r="DS87" s="1583"/>
      <c r="DT87" s="1736"/>
      <c r="DU87" s="1531"/>
      <c r="DV87" s="1943"/>
      <c r="DW87" s="1730"/>
      <c r="DX87" s="1860"/>
      <c r="DY87" s="1683" t="str">
        <f>_xlfn.XLOOKUP(E87,MOPFRA!$R$7:$R$56,MOPFRA!$D$7:$D$56,"")</f>
        <v/>
      </c>
      <c r="DZ87" s="1583" t="s">
        <v>609</v>
      </c>
    </row>
    <row r="88" spans="2:130" s="1241" customFormat="1" ht="68" customHeight="1">
      <c r="B88" s="1864"/>
      <c r="C88" s="1865"/>
      <c r="D88" s="1866"/>
      <c r="E88" s="1866"/>
      <c r="F88" s="1865"/>
      <c r="G88" s="1865">
        <f>SUM(G37:G86)</f>
        <v>3516497</v>
      </c>
      <c r="H88" s="1865">
        <f>SUM(H37:H86)</f>
        <v>274915</v>
      </c>
      <c r="I88" s="1865">
        <f>SUM(I37:I86)</f>
        <v>3241582</v>
      </c>
      <c r="J88" s="1867">
        <f t="shared" ref="J88:J93" si="273">H88/G88</f>
        <v>7.8178653358726022E-2</v>
      </c>
      <c r="K88" s="1868"/>
      <c r="L88" s="1865"/>
      <c r="M88" s="1865">
        <f>SUM(M37:M86)</f>
        <v>1027805</v>
      </c>
      <c r="N88" s="1865">
        <f>SUM(N37:N86)</f>
        <v>1968269</v>
      </c>
      <c r="O88" s="1865">
        <f>SUM(O37:O86)</f>
        <v>148396</v>
      </c>
      <c r="P88" s="1865">
        <f>SUM(P37:P86)</f>
        <v>1819873</v>
      </c>
      <c r="Q88" s="1867">
        <f t="shared" ref="Q88:Q93" si="274">O88/N88</f>
        <v>7.5394166142940824E-2</v>
      </c>
      <c r="R88" s="1865">
        <f>SUM(R37:R86)</f>
        <v>5587044.2571428567</v>
      </c>
      <c r="S88" s="1865"/>
      <c r="T88" s="1865"/>
      <c r="U88" s="1865">
        <f>SUM(U37:U86)</f>
        <v>7033618.730436001</v>
      </c>
      <c r="V88" s="1865">
        <f>SUM(V37:V86)</f>
        <v>940464</v>
      </c>
      <c r="W88" s="1865">
        <f>SUM(W37:W86)</f>
        <v>4456961</v>
      </c>
      <c r="X88" s="1865">
        <f>SUM(X37:X86)</f>
        <v>6027810.6795037165</v>
      </c>
      <c r="Y88" s="1865">
        <f>SUM(Y47:Y86)</f>
        <v>25.88161240347463</v>
      </c>
      <c r="Z88" s="1865">
        <f>SUM(Z47:Z86)</f>
        <v>0</v>
      </c>
      <c r="AA88" s="1865">
        <f t="shared" ref="AA88:AN88" si="275">SUM(AA37:AA86)</f>
        <v>1744404</v>
      </c>
      <c r="AB88" s="1869">
        <f t="shared" si="275"/>
        <v>1798969</v>
      </c>
      <c r="AC88" s="1865">
        <f t="shared" si="275"/>
        <v>194360</v>
      </c>
      <c r="AD88" s="1865">
        <f t="shared" si="275"/>
        <v>381338</v>
      </c>
      <c r="AE88" s="1865">
        <f t="shared" si="275"/>
        <v>561295</v>
      </c>
      <c r="AF88" s="1865">
        <f t="shared" si="275"/>
        <v>727931</v>
      </c>
      <c r="AG88" s="1865">
        <f t="shared" si="275"/>
        <v>903389</v>
      </c>
      <c r="AH88" s="1865">
        <f t="shared" si="275"/>
        <v>1085057</v>
      </c>
      <c r="AI88" s="1865">
        <f t="shared" si="275"/>
        <v>1233813</v>
      </c>
      <c r="AJ88" s="1865">
        <f t="shared" si="275"/>
        <v>1429183</v>
      </c>
      <c r="AK88" s="1865">
        <f t="shared" si="275"/>
        <v>1621379</v>
      </c>
      <c r="AL88" s="1865">
        <f t="shared" si="275"/>
        <v>1760704</v>
      </c>
      <c r="AM88" s="1865">
        <f t="shared" si="275"/>
        <v>2012535</v>
      </c>
      <c r="AN88" s="1865">
        <f t="shared" si="275"/>
        <v>2280064</v>
      </c>
      <c r="AO88" s="1870"/>
      <c r="AP88" s="1869">
        <f>SUM(AP37:AP86)</f>
        <v>2367560</v>
      </c>
      <c r="AQ88" s="1865"/>
      <c r="AR88" s="1871"/>
      <c r="AS88" s="1865">
        <f>SUM(AS4:AS86)</f>
        <v>320501.5019198464</v>
      </c>
      <c r="AT88" s="1865"/>
      <c r="AU88" s="1865"/>
      <c r="AV88" s="1865">
        <f>SUM(AV4:AV86)</f>
        <v>587562.56643029687</v>
      </c>
      <c r="AW88" s="1865"/>
      <c r="AX88" s="1865"/>
      <c r="AY88" s="1865">
        <f>SUM(AY4:AY86)</f>
        <v>833891.68850918906</v>
      </c>
      <c r="AZ88" s="1865"/>
      <c r="BA88" s="1865"/>
      <c r="BB88" s="1865">
        <f>SUM(BB4:BB86)</f>
        <v>1093316.7462427747</v>
      </c>
      <c r="BC88" s="1865"/>
      <c r="BD88" s="1865"/>
      <c r="BE88" s="1865">
        <f>SUM(BE4:BE86)</f>
        <v>1365741.729287704</v>
      </c>
      <c r="BF88" s="1865"/>
      <c r="BG88" s="1865"/>
      <c r="BH88" s="1865">
        <f>SUM(BH4:BH86)</f>
        <v>1654294.7021767809</v>
      </c>
      <c r="BI88" s="1865"/>
      <c r="BJ88" s="1865"/>
      <c r="BK88" s="1865">
        <f>SUM(BK4:BK86)</f>
        <v>1876260.7078384033</v>
      </c>
      <c r="BL88" s="1865"/>
      <c r="BM88" s="1865"/>
      <c r="BN88" s="1865">
        <f>SUM(BN4:BN86)</f>
        <v>2177928.6658923314</v>
      </c>
      <c r="BO88" s="1865"/>
      <c r="BP88" s="1865"/>
      <c r="BQ88" s="1865">
        <f>SUM(BQ4:BQ86)</f>
        <v>2472680.6489609033</v>
      </c>
      <c r="BR88" s="1865"/>
      <c r="BS88" s="1865"/>
      <c r="BT88" s="1865">
        <f>SUM(BT4:BT86)</f>
        <v>2586951.6347631966</v>
      </c>
      <c r="BU88" s="1865"/>
      <c r="BV88" s="1865"/>
      <c r="BW88" s="1865">
        <f>SUM(BW4:BW86)</f>
        <v>3088242.6343635139</v>
      </c>
      <c r="BX88" s="1865"/>
      <c r="BY88" s="1865"/>
      <c r="BZ88" s="1865">
        <f>SUM(BZ4:BZ86)</f>
        <v>3521157.2591376281</v>
      </c>
      <c r="CA88" s="1865"/>
      <c r="CB88" s="1865"/>
      <c r="CC88" s="1871"/>
      <c r="CD88" s="1870"/>
      <c r="CE88" s="1870"/>
      <c r="CF88" s="1870"/>
      <c r="CG88" s="2043"/>
      <c r="CH88" s="2053"/>
      <c r="CI88" s="2044"/>
      <c r="CJ88" s="2044"/>
      <c r="CK88" s="2053"/>
      <c r="CL88" s="2044"/>
      <c r="CM88" s="2044"/>
      <c r="CN88" s="2053"/>
      <c r="CO88" s="2044"/>
      <c r="CP88" s="2044"/>
      <c r="CQ88" s="2053"/>
      <c r="CR88" s="2044"/>
      <c r="CS88" s="2044"/>
      <c r="CT88" s="2044"/>
      <c r="CU88" s="2044"/>
      <c r="CV88" s="2044"/>
      <c r="CW88" s="1872"/>
      <c r="CX88" s="1873"/>
      <c r="CY88" s="1874"/>
      <c r="CZ88" s="1872"/>
      <c r="DA88" s="1875"/>
      <c r="DB88" s="1875"/>
      <c r="DC88" s="1875"/>
      <c r="DD88" s="1875"/>
      <c r="DE88" s="1875"/>
      <c r="DF88" s="1875"/>
      <c r="DG88" s="1875"/>
      <c r="DH88" s="1875"/>
      <c r="DI88" s="1875"/>
      <c r="DJ88" s="1875"/>
      <c r="DK88" s="1875"/>
      <c r="DL88" s="1875"/>
      <c r="DM88" s="1875"/>
      <c r="DN88" s="1875"/>
      <c r="DO88" s="1875"/>
      <c r="DP88" s="1875"/>
      <c r="DQ88" s="1529"/>
      <c r="DR88"/>
      <c r="DS88" s="1583"/>
      <c r="DT88" s="1736"/>
      <c r="DU88" s="1531"/>
      <c r="DV88" s="1943"/>
      <c r="DW88" s="1730"/>
      <c r="DX88" s="1860"/>
      <c r="DY88" s="1683" t="str">
        <f>_xlfn.XLOOKUP(E88,MOPFRA!$R$7:$R$56,MOPFRA!$D$7:$D$56,"")</f>
        <v/>
      </c>
      <c r="DZ88" s="1583" t="s">
        <v>609</v>
      </c>
    </row>
    <row r="89" spans="2:130" s="1241" customFormat="1" ht="52" customHeight="1">
      <c r="B89" s="1876"/>
      <c r="C89" s="1877"/>
      <c r="D89" s="1878"/>
      <c r="E89" s="1878"/>
      <c r="F89" s="1877"/>
      <c r="G89" s="1877"/>
      <c r="H89" s="1877"/>
      <c r="I89" s="1877"/>
      <c r="J89" s="1879"/>
      <c r="K89" s="1877"/>
      <c r="L89" s="1877"/>
      <c r="M89" s="1877"/>
      <c r="N89" s="1877"/>
      <c r="O89" s="1877"/>
      <c r="P89" s="1877"/>
      <c r="Q89" s="1880"/>
      <c r="R89" s="1881"/>
      <c r="S89" s="1877"/>
      <c r="T89" s="1877"/>
      <c r="U89" s="1877"/>
      <c r="V89" s="1877"/>
      <c r="W89" s="1877"/>
      <c r="X89" s="1877"/>
      <c r="Y89" s="1877"/>
      <c r="Z89" s="1877"/>
      <c r="AA89" s="1877"/>
      <c r="AB89" s="1882"/>
      <c r="AC89" s="1877"/>
      <c r="AD89" s="1877"/>
      <c r="AE89" s="1877"/>
      <c r="AF89" s="1877"/>
      <c r="AG89" s="1877"/>
      <c r="AH89" s="1877"/>
      <c r="AI89" s="1877"/>
      <c r="AJ89" s="1877"/>
      <c r="AK89" s="1877"/>
      <c r="AL89" s="1877"/>
      <c r="AM89" s="1877"/>
      <c r="AN89" s="1877"/>
      <c r="AO89" s="1877"/>
      <c r="AP89" s="1882"/>
      <c r="AQ89" s="1877"/>
      <c r="AR89" s="1883"/>
      <c r="AS89" s="1883">
        <f>(AS88-AC88)/AC88</f>
        <v>0.64900957974812923</v>
      </c>
      <c r="AT89" s="1877"/>
      <c r="AU89" s="1877"/>
      <c r="AV89" s="1883">
        <f>(AV88-AD88)/AD88</f>
        <v>0.54079207010656394</v>
      </c>
      <c r="AW89" s="1877"/>
      <c r="AX89" s="1877"/>
      <c r="AY89" s="1883">
        <f>(AY88-AE88)/AE88</f>
        <v>0.48565671974485619</v>
      </c>
      <c r="AZ89" s="1877"/>
      <c r="BA89" s="1877"/>
      <c r="BB89" s="1883">
        <f>(BB88-AF88)/AF88</f>
        <v>0.50195107261921068</v>
      </c>
      <c r="BC89" s="1877"/>
      <c r="BD89" s="1877"/>
      <c r="BE89" s="1883">
        <f>(BE88-AG88)/AG88</f>
        <v>0.51179805077071339</v>
      </c>
      <c r="BF89" s="1877"/>
      <c r="BG89" s="1877"/>
      <c r="BH89" s="1883">
        <f>(BH88-AH88)/AH88</f>
        <v>0.52461548303617311</v>
      </c>
      <c r="BI89" s="1877"/>
      <c r="BJ89" s="1877"/>
      <c r="BK89" s="1883">
        <f>(BK88-AI88)/AI88</f>
        <v>0.5207010364118414</v>
      </c>
      <c r="BL89" s="1877"/>
      <c r="BM89" s="1877"/>
      <c r="BN89" s="1883">
        <f>(BN88-AJ88)/AJ88</f>
        <v>0.52389768552545857</v>
      </c>
      <c r="BO89" s="1877"/>
      <c r="BP89" s="1877"/>
      <c r="BQ89" s="1883">
        <f>(BQ88-AK88)/AK88</f>
        <v>0.52504790611010954</v>
      </c>
      <c r="BR89" s="1877"/>
      <c r="BS89" s="1877"/>
      <c r="BT89" s="1883">
        <f>(BT88-AL88)/AL88</f>
        <v>0.46927117491821257</v>
      </c>
      <c r="BU89" s="1877"/>
      <c r="BV89" s="1877"/>
      <c r="BW89" s="1883">
        <f>(BW88-AM88)/AM88</f>
        <v>0.53450381452422635</v>
      </c>
      <c r="BX89" s="1877"/>
      <c r="BY89" s="1877"/>
      <c r="BZ89" s="1883">
        <f>(BZ88-AP88)/AP88</f>
        <v>0.48725154130734938</v>
      </c>
      <c r="CA89" s="1877"/>
      <c r="CB89" s="1877"/>
      <c r="CC89" s="1883"/>
      <c r="CD89" s="1904"/>
      <c r="CE89" s="1904"/>
      <c r="CF89" s="1904"/>
      <c r="CG89" s="1898"/>
      <c r="CH89" s="2054"/>
      <c r="CI89" s="2045"/>
      <c r="CJ89" s="2045"/>
      <c r="CK89" s="2054"/>
      <c r="CL89" s="2045"/>
      <c r="CM89" s="2045"/>
      <c r="CN89" s="2054"/>
      <c r="CO89" s="2045"/>
      <c r="CP89" s="2045"/>
      <c r="CQ89" s="2054"/>
      <c r="CR89" s="2045"/>
      <c r="CS89" s="2045"/>
      <c r="CT89" s="2045"/>
      <c r="CU89" s="2045"/>
      <c r="CV89" s="2045"/>
      <c r="CW89" s="1862"/>
      <c r="CX89" s="1862"/>
      <c r="CY89" s="1862"/>
      <c r="CZ89" s="1862"/>
      <c r="DA89" s="1863"/>
      <c r="DB89" s="1863"/>
      <c r="DC89" s="1863"/>
      <c r="DD89" s="1863"/>
      <c r="DE89" s="1863"/>
      <c r="DF89" s="1863"/>
      <c r="DG89" s="1863"/>
      <c r="DH89" s="1863"/>
      <c r="DI89" s="1863"/>
      <c r="DJ89" s="1863"/>
      <c r="DK89" s="1863"/>
      <c r="DL89" s="1863"/>
      <c r="DM89" s="1863"/>
      <c r="DN89" s="1863"/>
      <c r="DO89" s="1863"/>
      <c r="DP89" s="1863"/>
      <c r="DQ89" s="1529"/>
      <c r="DR89"/>
      <c r="DS89" s="1583"/>
      <c r="DT89" s="1736"/>
      <c r="DU89" s="1531"/>
      <c r="DV89" s="1943"/>
      <c r="DW89" s="1730"/>
      <c r="DX89" s="1860"/>
      <c r="DY89" s="1683"/>
      <c r="DZ89" s="1583"/>
    </row>
    <row r="90" spans="2:130" ht="28" customHeight="1">
      <c r="B90" s="3" t="s">
        <v>610</v>
      </c>
      <c r="C90" s="3" t="s">
        <v>611</v>
      </c>
      <c r="D90" s="1553"/>
      <c r="E90" s="1553"/>
      <c r="I90" s="3" t="s">
        <v>612</v>
      </c>
      <c r="J90" s="993"/>
      <c r="K90" s="993"/>
      <c r="L90" s="1614"/>
      <c r="O90" s="993"/>
      <c r="P90" s="1716"/>
      <c r="Q90" s="1721"/>
      <c r="R90" s="497"/>
      <c r="AK90" s="102"/>
      <c r="AO90" s="1596"/>
      <c r="AT90" s="1427" t="str">
        <f>IFERROR(IF(OR(AT$3-$F90=1,AT$3-$F90=-11),(AS90-AC90)/AC90,((AS90-AR90)-(AC90-AA90))/(AC90-AA90)),"")</f>
        <v/>
      </c>
      <c r="AV90" s="63"/>
      <c r="AW90" s="1427" t="str">
        <f>IFERROR(IF(OR(AW$3-$F90=1,AW$3-$F90=-11),(AV90-AD90)/AD90,((AV90-AS90)-(AD90-AC90))/(AD90-AC90)),"")</f>
        <v/>
      </c>
      <c r="AX90" s="1351"/>
      <c r="AY90" s="63"/>
      <c r="AZ90" s="1427" t="str">
        <f>IFERROR(IF(OR(AZ$3-$F90=1,AZ$3-$F90=-11),(AY90-AE90)/AE90,((AY90-AV90)-(AE90-AD90))/(AE90-AD90)),"")</f>
        <v/>
      </c>
      <c r="BA90" s="1351"/>
      <c r="BB90" s="63"/>
      <c r="BC90" s="1427" t="str">
        <f>IFERROR(IF(OR(BC$3-$F90=1,BC$3-$F90=-11),(BB90-AF90)/AF90,((BB90-AY90)-(AF90-AE90))/(AF90-AE90)),"")</f>
        <v/>
      </c>
      <c r="BD90" s="1351"/>
      <c r="BE90" s="63"/>
      <c r="BF90" s="1427" t="str">
        <f>IFERROR(IF(OR(BF$3-$F90=1,BF$3-$F90=-11),(BE90-AG90)/AG90,((BE90-BB90)-(AG90-AF90))/(AG90-AF90)),"")</f>
        <v/>
      </c>
      <c r="BG90" s="1351"/>
      <c r="BH90" s="63"/>
      <c r="BI90" s="1427" t="str">
        <f>IFERROR(IF(OR(BI$3-$F90=1,BI$3-$F90=-11),(BH90-AH90)/AH90,((BH90-BE90)-(AH90-AG90))/(AH90-AG90)),"")</f>
        <v/>
      </c>
      <c r="BJ90" s="1351"/>
      <c r="BK90" s="63"/>
      <c r="BL90" s="1427" t="str">
        <f>IFERROR(IF(OR(BL$3-$F90=1,BL$3-$F90=-11),(BK90-AI90)/AI90,((BK90-BH90)-(AI90-AH90))/(AI90-AH90)),"")</f>
        <v/>
      </c>
      <c r="BM90" s="1351"/>
      <c r="BN90" s="63"/>
      <c r="BO90" s="1427" t="str">
        <f>IFERROR(IF(OR(BO$3-$F90=1,BO$3-$F90=-11),(BN90-AJ90)/AJ90,((BN90-BK90)-(AJ90-AI90))/(AJ90-AI90)),"")</f>
        <v/>
      </c>
      <c r="BP90" s="1351"/>
      <c r="BQ90" s="63"/>
      <c r="BR90" s="1427" t="str">
        <f>IFERROR(IF(OR(BR$3-$F90=1,BR$3-$F90=-11),(BQ90-AK90)/AK90,((BQ90-BN90)-(AK90-AJ90))/(AK90-AJ90)),"")</f>
        <v/>
      </c>
      <c r="BS90" s="1351" t="str">
        <f>IFERROR((BQ90-AK90)/AK90,"")</f>
        <v/>
      </c>
      <c r="BT90" s="63"/>
      <c r="BU90" s="1427" t="str">
        <f>IFERROR(IF(OR(BU$3-$F90=1,BU$3-$F90=-11),(BT90-AL90)/AL90,((BT90-BQ90)-(AL90-AK90))/(AL90-AK90)),"")</f>
        <v/>
      </c>
      <c r="BV90" s="1351" t="str">
        <f>IF(BT90&gt;0,((BT90-AL90)/AL90),"")</f>
        <v/>
      </c>
      <c r="BW90" s="63"/>
      <c r="BX90" s="63"/>
      <c r="BY90" s="63"/>
      <c r="BZ90" s="63"/>
      <c r="CA90" s="1427" t="str">
        <f>IFERROR(IF(OR(CA$3-$F90=1,CA$3-$F90=-11),(BZ90-AN90)/AN90,((BZ90-BW90)-(AN90-AM90))/(AN90-AM90)),"")</f>
        <v/>
      </c>
      <c r="CB90" s="1427" t="str">
        <f>IFERROR(IF(OR(CB$3-$F90=1,CB$3-$F90=-11),(CA90-AO90)/AO90,((CA90-BX90)-(AO90-AN90))/(AO90-AN90)),"")</f>
        <v/>
      </c>
      <c r="CC90" s="1427" t="str">
        <f>IFERROR(IF(OR(#REF!-$F90=1,#REF!-$F90=-11),(CB90-AP90)/AP90,((CB90-BY90)-(AP90-AO90))/(AP90-AO90)),"")</f>
        <v/>
      </c>
      <c r="CD90" s="1594"/>
      <c r="CE90" s="1594"/>
      <c r="CF90" s="1594"/>
      <c r="CG90" s="1900"/>
      <c r="CH90" s="119"/>
      <c r="CI90" s="2039" t="str">
        <f>IFERROR(IF(OR(CI$3-$F90=1,CI$3-$F90=-11),(CH90-AS90)/AS90,((CH90-A90)-(AS90-AN90))/(AS90-AN90)),"")</f>
        <v/>
      </c>
      <c r="CJ90" s="2041"/>
      <c r="CK90" s="119"/>
      <c r="CL90" s="2039"/>
      <c r="CM90" s="2041"/>
      <c r="CN90" s="119"/>
      <c r="CO90" s="2039"/>
      <c r="CP90" s="2041"/>
      <c r="CQ90" s="119"/>
      <c r="CR90" s="2039"/>
      <c r="CS90" s="2041"/>
      <c r="CU90" s="1948"/>
      <c r="CV90" s="1940" t="str">
        <f t="shared" ref="CV90:CV100" si="276">IFERROR(RANK(CS90, $CS$4:$CS$32),"")</f>
        <v/>
      </c>
      <c r="CW90" s="1580" t="str">
        <f t="shared" ref="CW90:CW97" si="277">IFERROR((SUMIF($CZ$4:$CZ$93,CZ90,$CY$4:$CY$93)-SUMIF($CZ$4:$CZ$93,CZ90,$CX$4:$CX$93))/SUMIF($CZ$4:$CZ$93,CZ90,$CX$4:$CX$93),"")</f>
        <v/>
      </c>
      <c r="CX90" s="1799"/>
      <c r="CY90" s="1798"/>
      <c r="DA90" s="1802"/>
      <c r="DB90" s="1529"/>
      <c r="DC90" s="1529"/>
      <c r="DD90" s="1529"/>
      <c r="DE90" s="1529"/>
      <c r="DF90" s="1529"/>
      <c r="DG90" s="1529"/>
      <c r="DH90" s="1529"/>
      <c r="DI90" s="1529"/>
      <c r="DJ90" s="1529"/>
      <c r="DK90" s="1529"/>
      <c r="DL90" s="1529"/>
      <c r="DM90" s="1529"/>
      <c r="DN90" s="1529"/>
      <c r="DO90" s="1529"/>
      <c r="DP90" s="1529"/>
      <c r="DQ90" s="1529"/>
      <c r="DS90" s="1583"/>
      <c r="DT90" s="1736"/>
      <c r="DU90" s="1531"/>
      <c r="DV90" s="1943"/>
      <c r="DW90" s="1730"/>
      <c r="DX90" s="1860"/>
      <c r="DY90" s="1683" t="str">
        <f>_xlfn.XLOOKUP(E90,MOPFRA!$R$7:$R$56,MOPFRA!$D$7:$D$56,"")</f>
        <v/>
      </c>
      <c r="DZ90" s="1583" t="s">
        <v>609</v>
      </c>
    </row>
    <row r="91" spans="2:130" ht="68" customHeight="1">
      <c r="B91" s="2011">
        <f>_xlfn.XLOOKUP(E91,'MOPFRA Portfolio'!$P$61:$P$76,'MOPFRA Portfolio'!$AO$61:$AO$76,"")</f>
        <v>2.72</v>
      </c>
      <c r="C91" s="1432">
        <f>_xlfn.XLOOKUP(E91,'MOPFRA Portfolio'!$P$64:$P$76,'MOPFRA Portfolio'!$Z$64:$Z$76,"")</f>
        <v>417338.8</v>
      </c>
      <c r="D91" s="1511" t="s">
        <v>195</v>
      </c>
      <c r="E91" s="1512" t="s">
        <v>196</v>
      </c>
      <c r="F91" s="981">
        <v>12</v>
      </c>
      <c r="G91" s="1204">
        <v>19294</v>
      </c>
      <c r="H91" s="1211">
        <v>0</v>
      </c>
      <c r="I91" s="1714">
        <f>G91-H91</f>
        <v>19294</v>
      </c>
      <c r="J91" s="1787">
        <f t="shared" si="273"/>
        <v>0</v>
      </c>
      <c r="K91" s="1205"/>
      <c r="L91" s="1728">
        <f>IF(K91&gt;F91,(K91-F91),((12-F91)+K91))</f>
        <v>0</v>
      </c>
      <c r="M91" s="689"/>
      <c r="N91" s="689"/>
      <c r="O91" s="1718">
        <v>0</v>
      </c>
      <c r="P91" s="1714">
        <f>N91-O91</f>
        <v>0</v>
      </c>
      <c r="Q91" s="1712" t="e">
        <f t="shared" si="274"/>
        <v>#DIV/0!</v>
      </c>
      <c r="R91" s="557" t="e">
        <f>N91*(12/L91)</f>
        <v>#DIV/0!</v>
      </c>
      <c r="S91" s="553" t="e">
        <f>(N91-M91)/M91</f>
        <v>#DIV/0!</v>
      </c>
      <c r="T91" s="553">
        <f>M91/G91</f>
        <v>0</v>
      </c>
      <c r="U91" s="558" t="e">
        <f>G91*(1+S91)</f>
        <v>#DIV/0!</v>
      </c>
      <c r="V91" s="591">
        <f>N91-M91</f>
        <v>0</v>
      </c>
      <c r="W91" s="559">
        <f>G91+V91</f>
        <v>19294</v>
      </c>
      <c r="X91" s="560" t="e">
        <f>IF(AND(N91&gt;=M91,(R91+U91+W91)/3&lt;G91),W91,(R91+U91+W91)/3)</f>
        <v>#DIV/0!</v>
      </c>
      <c r="Y91" s="1418" t="e">
        <f>(X91-G91)/G91</f>
        <v>#DIV/0!</v>
      </c>
      <c r="Z91" s="658"/>
      <c r="AA91" s="63"/>
      <c r="AB91" s="1147"/>
      <c r="AC91" s="63"/>
      <c r="AD91" s="63"/>
      <c r="AE91" s="63"/>
      <c r="AF91" s="63"/>
      <c r="AG91" s="63"/>
      <c r="AH91" s="63"/>
      <c r="AI91" s="63"/>
      <c r="AJ91" s="63"/>
      <c r="AK91" s="1791"/>
      <c r="AL91" s="63"/>
      <c r="AM91" s="63"/>
      <c r="AN91" s="1140"/>
      <c r="AO91" s="1594"/>
      <c r="AP91" s="1147"/>
      <c r="AQ91" s="1494"/>
      <c r="AR91" s="63">
        <v>0</v>
      </c>
      <c r="AS91" s="63"/>
      <c r="AT91" s="1427" t="str">
        <f>IFERROR(IF(OR(AT$3-$F91=1,AT$3-$F91=-11),(AS91-AC91)/AC91,((AS91-AR91)-(AC91-AA91))/(AC91-AA91)),"")</f>
        <v/>
      </c>
      <c r="AU91" s="1351" t="str">
        <f>IFERROR((AS91-AC91)/AC91,"")</f>
        <v/>
      </c>
      <c r="AV91" s="63"/>
      <c r="AW91" s="1427" t="str">
        <f>IFERROR(IF(OR(AW$3-$F91=1,AW$3-$F91=-11),(AV91-AD91)/AD91,((AV91-AS91)-(AD91-AC91))/(AD91-AC91)),"")</f>
        <v/>
      </c>
      <c r="AX91" s="1351" t="str">
        <f>IFERROR((AV91-AD91)/AD91,"")</f>
        <v/>
      </c>
      <c r="AY91" s="63"/>
      <c r="AZ91" s="1427" t="str">
        <f>IFERROR(IF(OR(AZ$3-$F91=1,AZ$3-$F91=-11),(AY91-AE91)/AE91,((AY91-AV91)-(AE91-AD91))/(AE91-AD91)),"")</f>
        <v/>
      </c>
      <c r="BA91" s="1351" t="str">
        <f>IFERROR((AY91-AE91)/AE91,"")</f>
        <v/>
      </c>
      <c r="BB91" s="63"/>
      <c r="BC91" s="1427" t="str">
        <f>IFERROR(IF(OR(BC$3-$F91=1,BC$3-$F91=-11),(BB91-AF91)/AF91,((BB91-AY91)-(AF91-AE91))/(AF91-AE91)),"")</f>
        <v/>
      </c>
      <c r="BD91" s="1351" t="str">
        <f>IFERROR((BB91-AF91)/AF91,"")</f>
        <v/>
      </c>
      <c r="BE91" s="63"/>
      <c r="BF91" s="1427" t="str">
        <f>IFERROR(IF(OR(BF$3-$F91=1,BF$3-$F91=-11),(BE91-AG91)/AG91,((BE91-BB91)-(AG91-AF91))/(AG91-AF91)),"")</f>
        <v/>
      </c>
      <c r="BG91" s="1351" t="str">
        <f>IFERROR((BE91-AG91)/AG91,"")</f>
        <v/>
      </c>
      <c r="BH91" s="63"/>
      <c r="BI91" s="1427" t="str">
        <f>IFERROR(IF(OR(BI$3-$F91=1,BI$3-$F91=-11),(BH91-AH91)/AH91,((BH91-BE91)-(AH91-AG91))/(AH91-AG91)),"")</f>
        <v/>
      </c>
      <c r="BJ91" s="1351" t="str">
        <f>IFERROR((BH91-AH91)/AH91,"")</f>
        <v/>
      </c>
      <c r="BK91" s="63"/>
      <c r="BL91" s="1427" t="str">
        <f>IFERROR(IF(OR(BL$3-$F91=1,BL$3-$F91=-11),(BK91-AI91)/AI91,((BK91-BH91)-(AI91-AH91))/(AI91-AH91)),"")</f>
        <v/>
      </c>
      <c r="BM91" s="1351" t="str">
        <f>IFERROR((BK91-AI91)/AI91,"")</f>
        <v/>
      </c>
      <c r="BN91" s="63"/>
      <c r="BO91" s="1427" t="str">
        <f>IFERROR(IF(OR(BO$3-$F91=1,BO$3-$F91=-11),(BN91-AJ91)/AJ91,((BN91-BK91)-(AJ91-AI91))/(AJ91-AI91)),"")</f>
        <v/>
      </c>
      <c r="BP91" s="1351" t="str">
        <f>IFERROR((BN91-AJ91)/AJ91,"")</f>
        <v/>
      </c>
      <c r="BQ91" s="63"/>
      <c r="BR91" s="1427" t="str">
        <f>IFERROR(IF(OR(BR$3-$F91=1,BR$3-$F91=-11),(BQ91-AK91)/AK91,((BQ91-BN91)-(AK91-AJ91))/(AK91-AJ91)),"")</f>
        <v/>
      </c>
      <c r="BS91" s="1351" t="str">
        <f>IFERROR((BQ91-AK91)/AK91,"")</f>
        <v/>
      </c>
      <c r="BT91" s="63"/>
      <c r="BU91" s="1427" t="str">
        <f>IFERROR(IF(OR(BU$3-$F91=1,BU$3-$F91=-11),(BT91-AL91)/AL91,((BT91-BQ91)-(AL91-AK91))/(AL91-AK91)),"")</f>
        <v/>
      </c>
      <c r="BV91" s="1351" t="str">
        <f>IF(BT91&gt;0,((BT91-AL91)/AL91),"")</f>
        <v/>
      </c>
      <c r="BW91" s="63"/>
      <c r="BX91" s="1427" t="str">
        <f>IFERROR(IF(OR(BX$3-$F91=1,BX$3-$F91=-11),(BW91-AM91)/AM91,((BW91-BT91)-(AM91-AL91))/(AM91-AL91)),"")</f>
        <v/>
      </c>
      <c r="BY91" s="1351" t="str">
        <f>IF(BW91&gt;0,((BW91-AM91)/AM91),"")</f>
        <v/>
      </c>
      <c r="BZ91" s="63"/>
      <c r="CA91" s="1427" t="str">
        <f>IFERROR(IF(OR(CA$3-$F91=1,CA$3-$F91=-11),(BZ91-AN91)/AN91,((BZ91-BW91)-(AN91-AM91))/(AN91-AM91)),"")</f>
        <v/>
      </c>
      <c r="CB91" s="1351" t="str">
        <f>IF(BZ91&gt;0,((BZ91-AN91)/AN91),"")</f>
        <v/>
      </c>
      <c r="CC91" s="63">
        <v>0</v>
      </c>
      <c r="CD91" s="1594">
        <f t="shared" ref="CD91:CD93" si="278">BZ91</f>
        <v>0</v>
      </c>
      <c r="CE91" s="1939" t="str">
        <f>IFERROR((CD91-AO91)/AO91,"")</f>
        <v/>
      </c>
      <c r="CF91" s="1939"/>
      <c r="CG91" s="1895"/>
      <c r="CH91" s="1815"/>
      <c r="CI91" s="2039" t="str">
        <f t="shared" ref="CI91:CI97" si="279">IFERROR(IF(OR(CI$3-$F91=1,CI$3-$F91=-11),(CH91-AS91)/AS91,((CH91-BZ91)-(AS91-AN91))/(AS91-AN91)),"")</f>
        <v/>
      </c>
      <c r="CJ91" s="2041" t="str">
        <f t="shared" ref="CJ91:CJ97" si="280">IF(CH91&gt;0,((CH91-AS91)/AS91),"")</f>
        <v/>
      </c>
      <c r="CK91" s="1815"/>
      <c r="CL91" s="2039" t="str">
        <f t="shared" ref="CL91:CL97" si="281">IFERROR(IF(OR(CL$3-$F91=1,CL$3-$F91=-11),(CK91-AV91)/AV91,((CK91-CH91)-(AV91-AS91))/(AV91-AS91)),"")</f>
        <v/>
      </c>
      <c r="CM91" s="2041" t="str">
        <f t="shared" ref="CM91:CM97" si="282">IF(CK91&gt;0,((CK91-AV91)/AV91),"")</f>
        <v/>
      </c>
      <c r="CN91" s="1815"/>
      <c r="CO91" s="2039" t="str">
        <f t="shared" ref="CO91:CO97" si="283">IFERROR(IF(OR(CO$3-$F91=1,CO$3-$F91=-11),(CN91-AY91)/AY91,((CN91-CK91)-(AY91-AV91))/(AY91-AV91)),"")</f>
        <v/>
      </c>
      <c r="CP91" s="2041" t="str">
        <f t="shared" ref="CP91:CP97" si="284">IF(CN91&gt;0,((CN91-AY91)/AY91),"")</f>
        <v/>
      </c>
      <c r="CQ91" s="1815"/>
      <c r="CR91" s="2039" t="str">
        <f t="shared" ref="CR91:CR93" si="285">IFERROR(IF(OR(CR$3-$F91=1,CR$3-$F91=-11),(CQ91-BB91)/BB91,((CQ91-CN91)-(BB91-AY91))/(BB91-AY91)),"")</f>
        <v/>
      </c>
      <c r="CS91" s="2041" t="str">
        <f t="shared" ref="CS91:CS93" si="286">IF(CQ91&gt;0,((CQ91-BB91)/BB91),"")</f>
        <v/>
      </c>
      <c r="CU91" s="1948" t="str">
        <f>IFERROR(IF(CS91&gt;-100,CS91-CP91,""),"")</f>
        <v/>
      </c>
      <c r="CV91" s="1940" t="str">
        <f t="shared" si="276"/>
        <v/>
      </c>
      <c r="CW91" s="1580">
        <f t="shared" si="277"/>
        <v>1.7487786282378381</v>
      </c>
      <c r="CX91" s="1799">
        <v>153573</v>
      </c>
      <c r="CY91" s="1794">
        <f>_xlfn.XLOOKUP(E91,'MOPFRA Portfolio'!$P$64:$P$76,'MOPFRA Portfolio'!$Z$64:$Z$76,"")</f>
        <v>417338.8</v>
      </c>
      <c r="CZ91" s="1245" t="s">
        <v>613</v>
      </c>
      <c r="DA91" s="1802"/>
      <c r="DB91" s="1529"/>
      <c r="DC91" s="1529"/>
      <c r="DD91" s="1529"/>
      <c r="DE91" s="1529"/>
      <c r="DF91" s="1529"/>
      <c r="DG91" s="1529"/>
      <c r="DH91" s="1529"/>
      <c r="DI91" s="1529"/>
      <c r="DJ91" s="1529"/>
      <c r="DK91" s="1529"/>
      <c r="DL91" s="1529" t="str">
        <f>BY91</f>
        <v/>
      </c>
      <c r="DM91" s="1529" t="str">
        <f>CB91</f>
        <v/>
      </c>
      <c r="DN91" s="1529" t="str">
        <f>CJ91</f>
        <v/>
      </c>
      <c r="DO91" s="1529" t="str">
        <f>CM91</f>
        <v/>
      </c>
      <c r="DP91" s="1529" t="str">
        <f>CP91</f>
        <v/>
      </c>
      <c r="DQ91" s="1529"/>
      <c r="DS91" s="1583" t="s">
        <v>609</v>
      </c>
      <c r="DT91" s="1736"/>
      <c r="DU91" s="1580">
        <f>_xlfn.XLOOKUP(E91,E91:E177,CW91:CW177,"")</f>
        <v>1.7487786282378381</v>
      </c>
      <c r="DV91" s="1943"/>
      <c r="DW91" s="1730">
        <f>IFERROR((CY91-CX91)/CX91, "NEW")</f>
        <v>1.7175271694894283</v>
      </c>
      <c r="DX91" s="1860" t="str">
        <f t="shared" ref="DX91:DX97" si="287">IFERROR((Q91-J91)*100,"")</f>
        <v/>
      </c>
      <c r="DY91" s="1683" t="str">
        <f>_xlfn.XLOOKUP(E91,MOPFRA!$R$7:$R$56,MOPFRA!$D$7:$D$56,"")</f>
        <v/>
      </c>
      <c r="DZ91" s="1583" t="s">
        <v>609</v>
      </c>
    </row>
    <row r="92" spans="2:130" ht="68" customHeight="1">
      <c r="B92" s="2011">
        <f>_xlfn.XLOOKUP(E92,'MOPFRA Portfolio'!$P$61:$P$76,'MOPFRA Portfolio'!$AO$61:$AO$76,"")</f>
        <v>6.3</v>
      </c>
      <c r="C92" s="1432">
        <f>_xlfn.XLOOKUP(E92,'MOPFRA Portfolio'!$P$64:$P$76,'MOPFRA Portfolio'!$Z$64:$Z$76,"")</f>
        <v>105138.66</v>
      </c>
      <c r="D92" s="1514" t="s">
        <v>198</v>
      </c>
      <c r="E92" s="1514" t="s">
        <v>199</v>
      </c>
      <c r="F92" s="981">
        <v>12</v>
      </c>
      <c r="G92" s="1204">
        <v>24333</v>
      </c>
      <c r="H92" s="1211">
        <v>0</v>
      </c>
      <c r="I92" s="1714">
        <f>G92-H92</f>
        <v>24333</v>
      </c>
      <c r="J92" s="1712">
        <f t="shared" si="273"/>
        <v>0</v>
      </c>
      <c r="K92" s="1205"/>
      <c r="L92" s="1728">
        <f>IF(K92&gt;F92,(K92-F92),((12-F92)+K92))</f>
        <v>0</v>
      </c>
      <c r="M92" s="689"/>
      <c r="N92" s="689"/>
      <c r="O92" s="1718">
        <v>0</v>
      </c>
      <c r="P92" s="1714">
        <f>N92-O92</f>
        <v>0</v>
      </c>
      <c r="Q92" s="1712" t="e">
        <f t="shared" si="274"/>
        <v>#DIV/0!</v>
      </c>
      <c r="R92" s="557" t="e">
        <f>N92*(12/L92)</f>
        <v>#DIV/0!</v>
      </c>
      <c r="S92" s="553" t="e">
        <f>(N92-M92)/M92</f>
        <v>#DIV/0!</v>
      </c>
      <c r="T92" s="553">
        <f>M92/G92</f>
        <v>0</v>
      </c>
      <c r="U92" s="558" t="e">
        <f>G92*(1+S92)</f>
        <v>#DIV/0!</v>
      </c>
      <c r="V92" s="591">
        <f>N92-M92</f>
        <v>0</v>
      </c>
      <c r="W92" s="559">
        <f>G92+V92</f>
        <v>24333</v>
      </c>
      <c r="X92" s="560" t="e">
        <f>IF(AND(N92&gt;=M92,(R92+U92+W92)/3&lt;G92),W92,(R92+U92+W92)/3)</f>
        <v>#DIV/0!</v>
      </c>
      <c r="Y92" s="1418" t="e">
        <f>(X92-G92)/G92</f>
        <v>#DIV/0!</v>
      </c>
      <c r="Z92" s="658"/>
      <c r="AA92" s="63"/>
      <c r="AB92" s="1147"/>
      <c r="AC92" s="63"/>
      <c r="AD92" s="63"/>
      <c r="AE92" s="63"/>
      <c r="AF92" s="63"/>
      <c r="AG92" s="63"/>
      <c r="AH92" s="63"/>
      <c r="AI92" s="63"/>
      <c r="AJ92" s="63"/>
      <c r="AK92" s="1791"/>
      <c r="AL92" s="63"/>
      <c r="AM92" s="63"/>
      <c r="AN92" s="1140"/>
      <c r="AO92" s="1594"/>
      <c r="AP92" s="1147"/>
      <c r="AQ92" s="1494"/>
      <c r="AR92" s="63">
        <v>0</v>
      </c>
      <c r="AS92" s="63"/>
      <c r="AT92" s="1427" t="str">
        <f>IFERROR(IF(OR(AT$3-$F92=1,AT$3-$F92=-11),(AS92-AC92)/AC92,((AS92-AR92)-(AC92-AA92))/(AC92-AA92)),"")</f>
        <v/>
      </c>
      <c r="AU92" s="1351" t="str">
        <f>IFERROR((AS92-AC92)/AC92,"")</f>
        <v/>
      </c>
      <c r="AV92" s="63"/>
      <c r="AW92" s="1427" t="str">
        <f>IFERROR(IF(OR(AW$3-$F92=1,AW$3-$F92=-11),(AV92-AD92)/AD92,((AV92-AS92)-(AD92-AC92))/(AD92-AC92)),"")</f>
        <v/>
      </c>
      <c r="AX92" s="1351" t="str">
        <f>IFERROR((AV92-AD92)/AD92,"")</f>
        <v/>
      </c>
      <c r="AY92" s="63"/>
      <c r="AZ92" s="1427" t="str">
        <f>IFERROR(IF(OR(AZ$3-$F92=1,AZ$3-$F92=-11),(AY92-AE92)/AE92,((AY92-AV92)-(AE92-AD92))/(AE92-AD92)),"")</f>
        <v/>
      </c>
      <c r="BA92" s="1351" t="str">
        <f>IFERROR((AY92-AE92)/AE92,"")</f>
        <v/>
      </c>
      <c r="BB92" s="63"/>
      <c r="BC92" s="1427" t="str">
        <f>IFERROR(IF(OR(BC$3-$F92=1,BC$3-$F92=-11),(BB92-AF92)/AF92,((BB92-AY92)-(AF92-AE92))/(AF92-AE92)),"")</f>
        <v/>
      </c>
      <c r="BD92" s="1351" t="str">
        <f>IFERROR((BB92-AF92)/AF92,"")</f>
        <v/>
      </c>
      <c r="BE92" s="63"/>
      <c r="BF92" s="1427" t="str">
        <f>IFERROR(IF(OR(BF$3-$F92=1,BF$3-$F92=-11),(BE92-AG92)/AG92,((BE92-BB92)-(AG92-AF92))/(AG92-AF92)),"")</f>
        <v/>
      </c>
      <c r="BG92" s="1351" t="str">
        <f>IFERROR((BE92-AG92)/AG92,"")</f>
        <v/>
      </c>
      <c r="BH92" s="63"/>
      <c r="BI92" s="1427" t="str">
        <f>IFERROR(IF(OR(BI$3-$F92=1,BI$3-$F92=-11),(BH92-AH92)/AH92,((BH92-BE92)-(AH92-AG92))/(AH92-AG92)),"")</f>
        <v/>
      </c>
      <c r="BJ92" s="1351" t="str">
        <f>IFERROR((BH92-AH92)/AH92,"")</f>
        <v/>
      </c>
      <c r="BK92" s="63"/>
      <c r="BL92" s="1427" t="str">
        <f>IFERROR(IF(OR(BL$3-$F92=1,BL$3-$F92=-11),(BK92-AI92)/AI92,((BK92-BH92)-(AI92-AH92))/(AI92-AH92)),"")</f>
        <v/>
      </c>
      <c r="BM92" s="1351" t="str">
        <f>IFERROR((BK92-AI92)/AI92,"")</f>
        <v/>
      </c>
      <c r="BN92" s="63"/>
      <c r="BO92" s="1427" t="str">
        <f>IFERROR(IF(OR(BO$3-$F92=1,BO$3-$F92=-11),(BN92-AJ92)/AJ92,((BN92-BK92)-(AJ92-AI92))/(AJ92-AI92)),"")</f>
        <v/>
      </c>
      <c r="BP92" s="1351" t="str">
        <f>IFERROR((BN92-AJ92)/AJ92,"")</f>
        <v/>
      </c>
      <c r="BQ92" s="63"/>
      <c r="BR92" s="1427" t="str">
        <f>IFERROR(IF(OR(BR$3-$F92=1,BR$3-$F92=-11),(BQ92-AK92)/AK92,((BQ92-BN92)-(AK92-AJ92))/(AK92-AJ92)),"")</f>
        <v/>
      </c>
      <c r="BS92" s="1351" t="str">
        <f>IFERROR((BQ92-AK92)/AK92,"")</f>
        <v/>
      </c>
      <c r="BT92" s="63"/>
      <c r="BU92" s="1427" t="str">
        <f>IFERROR(IF(OR(BU$3-$F92=1,BU$3-$F92=-11),(BT92-AL92)/AL92,((BT92-BQ92)-(AL92-AK92))/(AL92-AK92)),"")</f>
        <v/>
      </c>
      <c r="BV92" s="1351" t="str">
        <f>IF(BT92&gt;0,((BT92-AL92)/AL92),"")</f>
        <v/>
      </c>
      <c r="BW92" s="63"/>
      <c r="BX92" s="1427" t="str">
        <f>IFERROR(IF(OR(BX$3-$F92=1,BX$3-$F92=-11),(BW92-AM92)/AM92,((BW92-BT92)-(AM92-AL92))/(AM92-AL92)),"")</f>
        <v/>
      </c>
      <c r="BY92" s="1351" t="str">
        <f>IF(BW92&gt;0,((BW92-AM92)/AM92),"")</f>
        <v/>
      </c>
      <c r="BZ92" s="63"/>
      <c r="CA92" s="1427" t="str">
        <f>IFERROR(IF(OR(CA$3-$F92=1,CA$3-$F92=-11),(BZ92-AN92)/AN92,((BZ92-BW92)-(AN92-AM92))/(AN92-AM92)),"")</f>
        <v/>
      </c>
      <c r="CB92" s="1351" t="str">
        <f>IF(BZ92&gt;0,((BZ92-AN92)/AN92),"")</f>
        <v/>
      </c>
      <c r="CC92" s="63">
        <v>0</v>
      </c>
      <c r="CD92" s="1594">
        <f t="shared" si="278"/>
        <v>0</v>
      </c>
      <c r="CE92" s="1939" t="str">
        <f>IFERROR((CD92-AO92)/AO92,"")</f>
        <v/>
      </c>
      <c r="CF92" s="1939"/>
      <c r="CG92" s="1895"/>
      <c r="CH92" s="1815"/>
      <c r="CI92" s="2039" t="str">
        <f t="shared" si="279"/>
        <v/>
      </c>
      <c r="CJ92" s="2041" t="str">
        <f t="shared" si="280"/>
        <v/>
      </c>
      <c r="CK92" s="1815"/>
      <c r="CL92" s="2039" t="str">
        <f t="shared" si="281"/>
        <v/>
      </c>
      <c r="CM92" s="2041" t="str">
        <f t="shared" si="282"/>
        <v/>
      </c>
      <c r="CN92" s="1815"/>
      <c r="CO92" s="2039" t="str">
        <f t="shared" si="283"/>
        <v/>
      </c>
      <c r="CP92" s="2041" t="str">
        <f t="shared" si="284"/>
        <v/>
      </c>
      <c r="CQ92" s="1815"/>
      <c r="CR92" s="2039" t="str">
        <f t="shared" si="285"/>
        <v/>
      </c>
      <c r="CS92" s="2041" t="str">
        <f t="shared" si="286"/>
        <v/>
      </c>
      <c r="CU92" s="1948" t="str">
        <f>IFERROR(IF(CS92&gt;-100,CS92-CP92,""),"")</f>
        <v/>
      </c>
      <c r="CV92" s="1940" t="str">
        <f t="shared" si="276"/>
        <v/>
      </c>
      <c r="CW92" s="1580">
        <f t="shared" si="277"/>
        <v>1.7487786282378381</v>
      </c>
      <c r="CX92" s="1799">
        <v>61278</v>
      </c>
      <c r="CY92" s="1794">
        <f>_xlfn.XLOOKUP(E92,'MOPFRA Portfolio'!$P$64:$P$76,'MOPFRA Portfolio'!$Z$64:$Z$76,"")</f>
        <v>105138.66</v>
      </c>
      <c r="CZ92" s="1245" t="s">
        <v>613</v>
      </c>
      <c r="DA92" s="1802"/>
      <c r="DB92" s="1529"/>
      <c r="DC92" s="1529"/>
      <c r="DD92" s="1529"/>
      <c r="DE92" s="1529"/>
      <c r="DF92" s="1529"/>
      <c r="DG92" s="1529"/>
      <c r="DH92" s="1529"/>
      <c r="DI92" s="1529"/>
      <c r="DJ92" s="1529"/>
      <c r="DK92" s="1529"/>
      <c r="DL92" s="1529" t="str">
        <f>BY92</f>
        <v/>
      </c>
      <c r="DM92" s="1529" t="str">
        <f>CB92</f>
        <v/>
      </c>
      <c r="DN92" s="1529" t="str">
        <f>CJ92</f>
        <v/>
      </c>
      <c r="DO92" s="1529" t="str">
        <f>CM92</f>
        <v/>
      </c>
      <c r="DP92" s="1529" t="str">
        <f>CP92</f>
        <v/>
      </c>
      <c r="DQ92" s="1529"/>
      <c r="DS92" s="1583" t="s">
        <v>609</v>
      </c>
      <c r="DT92" s="1736"/>
      <c r="DU92" s="1580">
        <f>_xlfn.XLOOKUP(E92,E92:E178,CW92:CW178,"")</f>
        <v>1.7487786282378381</v>
      </c>
      <c r="DV92" s="1943"/>
      <c r="DW92" s="1730">
        <f>IFERROR((CY92-CX92)/CX92, "NEW")</f>
        <v>0.71576520121413889</v>
      </c>
      <c r="DX92" s="1860" t="str">
        <f t="shared" si="287"/>
        <v/>
      </c>
      <c r="DY92" s="1683" t="str">
        <f>_xlfn.XLOOKUP(E92,MOPFRA!$R$7:$R$56,MOPFRA!$D$7:$D$56,"")</f>
        <v/>
      </c>
      <c r="DZ92" s="1583" t="s">
        <v>609</v>
      </c>
    </row>
    <row r="93" spans="2:130" ht="68" customHeight="1">
      <c r="B93" s="2011">
        <f>_xlfn.XLOOKUP(E93,'MOPFRA Portfolio'!$P$61:$P$76,'MOPFRA Portfolio'!$AO$61:$AO$76,"")</f>
        <v>5.47</v>
      </c>
      <c r="C93" s="1432">
        <f>_xlfn.XLOOKUP(E93,'MOPFRA Portfolio'!$P$64:$P$76,'MOPFRA Portfolio'!$Z$64:$Z$76,"")</f>
        <v>120712</v>
      </c>
      <c r="D93" s="1514" t="s">
        <v>200</v>
      </c>
      <c r="E93" s="1514" t="s">
        <v>201</v>
      </c>
      <c r="F93" s="981">
        <v>12</v>
      </c>
      <c r="G93" s="1204">
        <v>44206</v>
      </c>
      <c r="H93" s="1211">
        <v>0</v>
      </c>
      <c r="I93" s="1714">
        <f>G93-H93</f>
        <v>44206</v>
      </c>
      <c r="J93" s="1712">
        <f t="shared" si="273"/>
        <v>0</v>
      </c>
      <c r="K93" s="1205"/>
      <c r="L93" s="1728">
        <f>IF(K93&gt;F93,(K93-F93),((12-F93)+K93))</f>
        <v>0</v>
      </c>
      <c r="M93" s="689"/>
      <c r="N93" s="689"/>
      <c r="O93" s="1718">
        <v>0</v>
      </c>
      <c r="P93" s="1714">
        <f>N93-O93</f>
        <v>0</v>
      </c>
      <c r="Q93" s="1712" t="e">
        <f t="shared" si="274"/>
        <v>#DIV/0!</v>
      </c>
      <c r="R93" s="557" t="e">
        <f>N93*(12/L93)</f>
        <v>#DIV/0!</v>
      </c>
      <c r="S93" s="553" t="e">
        <f>(N93-M93)/M93</f>
        <v>#DIV/0!</v>
      </c>
      <c r="T93" s="553">
        <f>M93/G93</f>
        <v>0</v>
      </c>
      <c r="U93" s="558" t="e">
        <f>G93*(1+S93)</f>
        <v>#DIV/0!</v>
      </c>
      <c r="V93" s="591">
        <f>N93-M93</f>
        <v>0</v>
      </c>
      <c r="W93" s="559">
        <f>G93+V93</f>
        <v>44206</v>
      </c>
      <c r="X93" s="560" t="e">
        <f>IF(AND(N93&gt;=M93,(R93+U93+W93)/3&lt;G93),W93,(R93+U93+W93)/3)</f>
        <v>#DIV/0!</v>
      </c>
      <c r="Y93" s="1418" t="e">
        <f>(X93-G93)/G93</f>
        <v>#DIV/0!</v>
      </c>
      <c r="Z93" s="658"/>
      <c r="AA93" s="63"/>
      <c r="AB93" s="1147"/>
      <c r="AC93" s="63"/>
      <c r="AD93" s="63"/>
      <c r="AE93" s="63"/>
      <c r="AF93" s="63"/>
      <c r="AG93" s="63"/>
      <c r="AH93" s="63"/>
      <c r="AI93" s="63"/>
      <c r="AJ93" s="63"/>
      <c r="AK93" s="1791"/>
      <c r="AL93" s="63"/>
      <c r="AM93" s="63"/>
      <c r="AN93" s="1140"/>
      <c r="AO93" s="1594"/>
      <c r="AP93" s="1147"/>
      <c r="AQ93" s="1494"/>
      <c r="AR93" s="63">
        <v>0</v>
      </c>
      <c r="AS93" s="63"/>
      <c r="AT93" s="1427" t="str">
        <f>IFERROR(IF(OR(AT$3-$F93=1,AT$3-$F93=-11),(AS93-AC93)/AC93,((AS93-AR93)-(AC93-AA93))/(AC93-AA93)),"")</f>
        <v/>
      </c>
      <c r="AU93" s="1351" t="str">
        <f>IFERROR((AS93-AC93)/AC93,"")</f>
        <v/>
      </c>
      <c r="AV93" s="63"/>
      <c r="AW93" s="1427" t="str">
        <f>IFERROR(IF(OR(AW$3-$F93=1,AW$3-$F93=-11),(AV93-AD93)/AD93,((AV93-AS93)-(AD93-AC93))/(AD93-AC93)),"")</f>
        <v/>
      </c>
      <c r="AX93" s="1351" t="str">
        <f>IFERROR((AV93-AD93)/AD93,"")</f>
        <v/>
      </c>
      <c r="AY93" s="63"/>
      <c r="AZ93" s="1427" t="str">
        <f>IFERROR(IF(OR(AZ$3-$F93=1,AZ$3-$F93=-11),(AY93-AE93)/AE93,((AY93-AV93)-(AE93-AD93))/(AE93-AD93)),"")</f>
        <v/>
      </c>
      <c r="BA93" s="1351" t="str">
        <f>IFERROR((AY93-AE93)/AE93,"")</f>
        <v/>
      </c>
      <c r="BB93" s="63"/>
      <c r="BC93" s="1427" t="str">
        <f>IFERROR(IF(OR(BC$3-$F93=1,BC$3-$F93=-11),(BB93-AF93)/AF93,((BB93-AY93)-(AF93-AE93))/(AF93-AE93)),"")</f>
        <v/>
      </c>
      <c r="BD93" s="1351" t="str">
        <f>IFERROR((BB93-AF93)/AF93,"")</f>
        <v/>
      </c>
      <c r="BE93" s="63"/>
      <c r="BF93" s="1427" t="str">
        <f>IFERROR(IF(OR(BF$3-$F93=1,BF$3-$F93=-11),(BE93-AG93)/AG93,((BE93-BB93)-(AG93-AF93))/(AG93-AF93)),"")</f>
        <v/>
      </c>
      <c r="BG93" s="1351" t="str">
        <f>IFERROR((BE93-AG93)/AG93,"")</f>
        <v/>
      </c>
      <c r="BH93" s="63"/>
      <c r="BI93" s="1427" t="str">
        <f>IFERROR(IF(OR(BI$3-$F93=1,BI$3-$F93=-11),(BH93-AH93)/AH93,((BH93-BE93)-(AH93-AG93))/(AH93-AG93)),"")</f>
        <v/>
      </c>
      <c r="BJ93" s="1351" t="str">
        <f>IFERROR((BH93-AH93)/AH93,"")</f>
        <v/>
      </c>
      <c r="BK93" s="63"/>
      <c r="BL93" s="1427" t="str">
        <f>IFERROR(IF(OR(BL$3-$F93=1,BL$3-$F93=-11),(BK93-AI93)/AI93,((BK93-BH93)-(AI93-AH93))/(AI93-AH93)),"")</f>
        <v/>
      </c>
      <c r="BM93" s="1351" t="str">
        <f>IFERROR((BK93-AI93)/AI93,"")</f>
        <v/>
      </c>
      <c r="BN93" s="63"/>
      <c r="BO93" s="1427" t="str">
        <f>IFERROR(IF(OR(BO$3-$F93=1,BO$3-$F93=-11),(BN93-AJ93)/AJ93,((BN93-BK93)-(AJ93-AI93))/(AJ93-AI93)),"")</f>
        <v/>
      </c>
      <c r="BP93" s="1351" t="str">
        <f>IFERROR((BN93-AJ93)/AJ93,"")</f>
        <v/>
      </c>
      <c r="BQ93" s="63"/>
      <c r="BR93" s="1427" t="str">
        <f>IFERROR(IF(OR(BR$3-$F93=1,BR$3-$F93=-11),(BQ93-AK93)/AK93,((BQ93-BN93)-(AK93-AJ93))/(AK93-AJ93)),"")</f>
        <v/>
      </c>
      <c r="BS93" s="1351" t="str">
        <f>IFERROR((BQ93-AK93)/AK93,"")</f>
        <v/>
      </c>
      <c r="BT93" s="63"/>
      <c r="BU93" s="1427" t="str">
        <f>IFERROR(IF(OR(BU$3-$F93=1,BU$3-$F93=-11),(BT93-AL93)/AL93,((BT93-BQ93)-(AL93-AK93))/(AL93-AK93)),"")</f>
        <v/>
      </c>
      <c r="BV93" s="1351" t="str">
        <f>IF(BT93&gt;0,((BT93-AL93)/AL93),"")</f>
        <v/>
      </c>
      <c r="BW93" s="63"/>
      <c r="BX93" s="1427" t="str">
        <f>IFERROR(IF(OR(BX$3-$F93=1,BX$3-$F93=-11),(BW93-AM93)/AM93,((BW93-BT93)-(AM93-AL93))/(AM93-AL93)),"")</f>
        <v/>
      </c>
      <c r="BY93" s="1351" t="str">
        <f>IF(BW93&gt;0,((BW93-AM93)/AM93),"")</f>
        <v/>
      </c>
      <c r="BZ93" s="63"/>
      <c r="CA93" s="1427" t="str">
        <f>IFERROR(IF(OR(CA$3-$F93=1,CA$3-$F93=-11),(BZ93-AN93)/AN93,((BZ93-BW93)-(AN93-AM93))/(AN93-AM93)),"")</f>
        <v/>
      </c>
      <c r="CB93" s="1351" t="str">
        <f>IF(BZ93&gt;0,((BZ93-AN93)/AN93),"")</f>
        <v/>
      </c>
      <c r="CC93" s="63">
        <v>0</v>
      </c>
      <c r="CD93" s="1594">
        <f t="shared" si="278"/>
        <v>0</v>
      </c>
      <c r="CE93" s="1939" t="str">
        <f>IFERROR((CD93-AO93)/AO93,"")</f>
        <v/>
      </c>
      <c r="CF93" s="1939"/>
      <c r="CG93" s="1895"/>
      <c r="CH93" s="1815"/>
      <c r="CI93" s="2039" t="str">
        <f t="shared" si="279"/>
        <v/>
      </c>
      <c r="CJ93" s="2041" t="str">
        <f t="shared" si="280"/>
        <v/>
      </c>
      <c r="CK93" s="1815"/>
      <c r="CL93" s="2039" t="str">
        <f t="shared" si="281"/>
        <v/>
      </c>
      <c r="CM93" s="2041" t="str">
        <f t="shared" si="282"/>
        <v/>
      </c>
      <c r="CN93" s="1815"/>
      <c r="CO93" s="2039" t="str">
        <f t="shared" si="283"/>
        <v/>
      </c>
      <c r="CP93" s="2041" t="str">
        <f t="shared" si="284"/>
        <v/>
      </c>
      <c r="CQ93" s="1815"/>
      <c r="CR93" s="2039" t="str">
        <f t="shared" si="285"/>
        <v/>
      </c>
      <c r="CS93" s="2041" t="str">
        <f t="shared" si="286"/>
        <v/>
      </c>
      <c r="CU93" s="1948"/>
      <c r="CV93" s="1940" t="str">
        <f t="shared" si="276"/>
        <v/>
      </c>
      <c r="CW93" s="1580">
        <f t="shared" si="277"/>
        <v>1.7487786282378381</v>
      </c>
      <c r="CX93" s="1799">
        <v>19140</v>
      </c>
      <c r="CY93" s="1794">
        <f>_xlfn.XLOOKUP(E93,'MOPFRA Portfolio'!$P$64:$P$76,'MOPFRA Portfolio'!$Z$64:$Z$76,"")</f>
        <v>120712</v>
      </c>
      <c r="CZ93" s="1245" t="s">
        <v>613</v>
      </c>
      <c r="DA93" s="1802"/>
      <c r="DB93" s="1529"/>
      <c r="DC93" s="1529"/>
      <c r="DD93" s="1529"/>
      <c r="DE93" s="1529"/>
      <c r="DF93" s="1529"/>
      <c r="DG93" s="1529"/>
      <c r="DH93" s="1529"/>
      <c r="DI93" s="1529"/>
      <c r="DJ93" s="1529"/>
      <c r="DK93" s="1529"/>
      <c r="DL93" s="1529" t="str">
        <f>BY93</f>
        <v/>
      </c>
      <c r="DM93" s="1529" t="str">
        <f>CB93</f>
        <v/>
      </c>
      <c r="DN93" s="1529" t="str">
        <f>CJ93</f>
        <v/>
      </c>
      <c r="DO93" s="1529" t="str">
        <f>CM93</f>
        <v/>
      </c>
      <c r="DP93" s="1529" t="str">
        <f>CP93</f>
        <v/>
      </c>
      <c r="DQ93" s="1529"/>
      <c r="DS93" s="1583" t="s">
        <v>609</v>
      </c>
      <c r="DT93" s="1736"/>
      <c r="DU93" s="1580">
        <f>_xlfn.XLOOKUP(E93,E93:E179,CW93:CW179,"")</f>
        <v>1.7487786282378381</v>
      </c>
      <c r="DV93" s="1943"/>
      <c r="DW93" s="1730">
        <f>IFERROR((CY93-CX93)/CX93, "NEW")</f>
        <v>5.3067920585161961</v>
      </c>
      <c r="DX93" s="1860" t="str">
        <f t="shared" si="287"/>
        <v/>
      </c>
      <c r="DY93" s="1683" t="str">
        <f>_xlfn.XLOOKUP(E93,MOPFRA!$R$7:$R$56,MOPFRA!$D$7:$D$56,"")</f>
        <v/>
      </c>
      <c r="DZ93" s="1583" t="s">
        <v>609</v>
      </c>
    </row>
    <row r="94" spans="2:130" ht="68" customHeight="1">
      <c r="B94" s="2011">
        <f>_xlfn.XLOOKUP(E94,'MOPFRA Portfolio'!$P$61:$P$76,'MOPFRA Portfolio'!$AO$61:$AO$76,"")</f>
        <v>4.79</v>
      </c>
      <c r="C94" s="1432">
        <f>_xlfn.XLOOKUP(E94,'MOPFRA Portfolio'!$P$64:$P$76,'MOPFRA Portfolio'!$Z$64:$Z$76,"")</f>
        <v>21868.587</v>
      </c>
      <c r="D94" s="1514" t="s">
        <v>202</v>
      </c>
      <c r="E94" s="1514" t="s">
        <v>203</v>
      </c>
      <c r="F94" s="981">
        <v>12</v>
      </c>
      <c r="G94" s="1204"/>
      <c r="H94" s="1211"/>
      <c r="I94" s="1714"/>
      <c r="J94" s="1712"/>
      <c r="K94" s="1205"/>
      <c r="L94" s="1728"/>
      <c r="M94" s="689"/>
      <c r="N94" s="689"/>
      <c r="O94" s="1718"/>
      <c r="P94" s="1714"/>
      <c r="Q94" s="1712"/>
      <c r="R94" s="557"/>
      <c r="S94" s="553"/>
      <c r="T94" s="553"/>
      <c r="U94" s="558"/>
      <c r="V94" s="591"/>
      <c r="W94" s="559"/>
      <c r="X94" s="560"/>
      <c r="Y94" s="1418"/>
      <c r="Z94" s="658"/>
      <c r="AA94" s="63"/>
      <c r="AB94" s="1147"/>
      <c r="AC94" s="63"/>
      <c r="AD94" s="63"/>
      <c r="AE94" s="63"/>
      <c r="AF94" s="63"/>
      <c r="AG94" s="63"/>
      <c r="AH94" s="63"/>
      <c r="AI94" s="63"/>
      <c r="AJ94" s="63"/>
      <c r="AK94" s="1791"/>
      <c r="AL94" s="63"/>
      <c r="AM94" s="63"/>
      <c r="AN94" s="1140"/>
      <c r="AO94" s="1594"/>
      <c r="AP94" s="1147"/>
      <c r="AQ94" s="1494"/>
      <c r="AR94" s="63"/>
      <c r="AS94" s="63"/>
      <c r="AT94" s="1427"/>
      <c r="AU94" s="1351"/>
      <c r="AV94" s="63"/>
      <c r="AW94" s="1427" t="str">
        <f>IFERROR(IF(OR(AW$3-$F94=1,AW$3-$F94=-11),(AV94-AD94)/AD94,((AV94-AS94)-(AD94-AC94))/(AD94-AC94)),"")</f>
        <v/>
      </c>
      <c r="AX94" s="1351"/>
      <c r="AY94" s="63"/>
      <c r="AZ94" s="1427" t="str">
        <f>IFERROR(IF(OR(AZ$3-$F94=1,AZ$3-$F94=-11),(AY94-AE94)/AE94,((AY94-AV94)-(AE94-AD94))/(AE94-AD94)),"")</f>
        <v/>
      </c>
      <c r="BA94" s="1351"/>
      <c r="BB94" s="63"/>
      <c r="BC94" s="1427" t="str">
        <f>IFERROR(IF(OR(BC$3-$F94=1,BC$3-$F94=-11),(BB94-AF94)/AF94,((BB94-AY94)-(AF94-AE94))/(AF94-AE94)),"")</f>
        <v/>
      </c>
      <c r="BD94" s="1351"/>
      <c r="BE94" s="63"/>
      <c r="BF94" s="1427" t="str">
        <f>IFERROR(IF(OR(BF$3-$F94=1,BF$3-$F94=-11),(BE94-AG94)/AG94,((BE94-BB94)-(AG94-AF94))/(AG94-AF94)),"")</f>
        <v/>
      </c>
      <c r="BG94" s="1351"/>
      <c r="BH94" s="63"/>
      <c r="BI94" s="1427" t="str">
        <f>IFERROR(IF(OR(BI$3-$F94=1,BI$3-$F94=-11),(BH94-AH94)/AH94,((BH94-BE94)-(AH94-AG94))/(AH94-AG94)),"")</f>
        <v/>
      </c>
      <c r="BJ94" s="1351"/>
      <c r="BK94" s="63"/>
      <c r="BL94" s="1427" t="str">
        <f>IFERROR(IF(OR(BL$3-$F94=1,BL$3-$F94=-11),(BK94-AI94)/AI94,((BK94-BH94)-(AI94-AH94))/(AI94-AH94)),"")</f>
        <v/>
      </c>
      <c r="BM94" s="1351"/>
      <c r="BN94" s="63"/>
      <c r="BO94" s="1427" t="str">
        <f>IFERROR(IF(OR(BO$3-$F94=1,BO$3-$F94=-11),(BN94-AJ94)/AJ94,((BN94-BK94)-(AJ94-AI94))/(AJ94-AI94)),"")</f>
        <v/>
      </c>
      <c r="BP94" s="1351"/>
      <c r="BQ94" s="63"/>
      <c r="BR94" s="1427" t="str">
        <f>IFERROR(IF(OR(BR$3-$F94=1,BR$3-$F94=-11),(BQ94-AK94)/AK94,((BQ94-BN94)-(AK94-AJ94))/(AK94-AJ94)),"")</f>
        <v/>
      </c>
      <c r="BS94" s="1351"/>
      <c r="BT94" s="63"/>
      <c r="BU94" s="1427" t="str">
        <f>IFERROR(IF(OR(BU$3-$F94=1,BU$3-$F94=-11),(BT94-AL94)/AL94,((BT94-BQ94)-(AL94-AK94))/(AL94-AK94)),"")</f>
        <v/>
      </c>
      <c r="BV94" s="1351"/>
      <c r="BW94" s="63"/>
      <c r="BX94" s="1427"/>
      <c r="BY94" s="1351"/>
      <c r="BZ94" s="63"/>
      <c r="CA94" s="1427" t="str">
        <f>IFERROR(IF(OR(CA$3-$F94=1,CA$3-$F94=-11),(BZ94-AN94)/AN94,((BZ94-BW94)-(AN94-AM94))/(AN94-AM94)),"")</f>
        <v/>
      </c>
      <c r="CB94" s="1351"/>
      <c r="CC94" s="63"/>
      <c r="CD94" s="1594"/>
      <c r="CE94" s="1939"/>
      <c r="CF94" s="1939"/>
      <c r="CG94" s="1895"/>
      <c r="CH94" s="1815"/>
      <c r="CI94" s="2039"/>
      <c r="CJ94" s="2041"/>
      <c r="CK94" s="1815"/>
      <c r="CL94" s="2039"/>
      <c r="CM94" s="2041"/>
      <c r="CN94" s="1815"/>
      <c r="CO94" s="2039"/>
      <c r="CP94" s="2041"/>
      <c r="CQ94" s="1815"/>
      <c r="CR94" s="2039"/>
      <c r="CS94" s="2041"/>
      <c r="CU94" s="1948"/>
      <c r="CV94" s="1940" t="str">
        <f t="shared" si="276"/>
        <v/>
      </c>
      <c r="CW94" s="1580">
        <f t="shared" si="277"/>
        <v>1.7487786282378381</v>
      </c>
      <c r="CX94" s="1799">
        <v>10572</v>
      </c>
      <c r="CY94" s="1794">
        <f>_xlfn.XLOOKUP(E94,'MOPFRA Portfolio'!$P$64:$P$76,'MOPFRA Portfolio'!$Z$64:$Z$76,"")</f>
        <v>21868.587</v>
      </c>
      <c r="CZ94" s="1245" t="s">
        <v>613</v>
      </c>
      <c r="DA94" s="1802"/>
      <c r="DB94" s="1529"/>
      <c r="DC94" s="1529"/>
      <c r="DD94" s="1529"/>
      <c r="DE94" s="1529"/>
      <c r="DF94" s="1529"/>
      <c r="DG94" s="1529"/>
      <c r="DH94" s="1529"/>
      <c r="DI94" s="1529"/>
      <c r="DJ94" s="1529"/>
      <c r="DK94" s="1529"/>
      <c r="DL94" s="1529"/>
      <c r="DM94" s="1529"/>
      <c r="DN94" s="1529"/>
      <c r="DO94" s="1529"/>
      <c r="DP94" s="1529"/>
      <c r="DQ94" s="1529"/>
      <c r="DS94" s="1583"/>
      <c r="DT94" s="1736"/>
      <c r="DU94" s="1580">
        <f>_xlfn.XLOOKUP(E94,E94:E180,CW94:CW180,"")</f>
        <v>1.7487786282378381</v>
      </c>
      <c r="DV94" s="1943"/>
      <c r="DW94" s="1730">
        <f>IFERROR((CY94-CX94)/CX94, "NEW")</f>
        <v>1.0685383087400682</v>
      </c>
      <c r="DX94" s="1860">
        <f t="shared" si="287"/>
        <v>0</v>
      </c>
      <c r="DY94" s="1683" t="str">
        <f>_xlfn.XLOOKUP(E94,MOPFRA!$R$7:$R$56,MOPFRA!$D$7:$D$56,"")</f>
        <v/>
      </c>
      <c r="DZ94" s="1583"/>
    </row>
    <row r="95" spans="2:130" ht="68" customHeight="1">
      <c r="B95" s="2011">
        <f>_xlfn.XLOOKUP(E95,'MOPFRA Portfolio'!$P$61:$P$76,'MOPFRA Portfolio'!$AO$61:$AO$76,"")</f>
        <v>-110.37</v>
      </c>
      <c r="C95" s="1432">
        <f>_xlfn.XLOOKUP(E95,'MOPFRA Portfolio'!$P$64:$P$76,'MOPFRA Portfolio'!$Z$64:$Z$76,"")</f>
        <v>1707.54</v>
      </c>
      <c r="D95" s="1511" t="s">
        <v>218</v>
      </c>
      <c r="E95" s="1512" t="s">
        <v>219</v>
      </c>
      <c r="F95" s="981">
        <v>12</v>
      </c>
      <c r="G95" s="1204">
        <v>44206</v>
      </c>
      <c r="H95" s="1211">
        <v>0</v>
      </c>
      <c r="I95" s="1714">
        <f t="shared" ref="I95:I97" si="288">G95-H95</f>
        <v>44206</v>
      </c>
      <c r="J95" s="1712">
        <f t="shared" ref="J95:J97" si="289">H95/G95</f>
        <v>0</v>
      </c>
      <c r="K95" s="1205"/>
      <c r="L95" s="1728">
        <f t="shared" ref="L95:L97" si="290">IF(K95&gt;F95,(K95-F95),((12-F95)+K95))</f>
        <v>0</v>
      </c>
      <c r="M95" s="689"/>
      <c r="N95" s="689"/>
      <c r="O95" s="1718">
        <v>0</v>
      </c>
      <c r="P95" s="1714">
        <f t="shared" ref="P95:P97" si="291">N95-O95</f>
        <v>0</v>
      </c>
      <c r="Q95" s="1712" t="e">
        <f t="shared" ref="Q95:Q97" si="292">O95/N95</f>
        <v>#DIV/0!</v>
      </c>
      <c r="R95" s="557" t="e">
        <f t="shared" ref="R95:R97" si="293">N95*(12/L95)</f>
        <v>#DIV/0!</v>
      </c>
      <c r="S95" s="553" t="e">
        <f t="shared" ref="S95:S97" si="294">(N95-M95)/M95</f>
        <v>#DIV/0!</v>
      </c>
      <c r="T95" s="553">
        <f t="shared" ref="T95:T97" si="295">M95/G95</f>
        <v>0</v>
      </c>
      <c r="U95" s="558" t="e">
        <f t="shared" ref="U95:U97" si="296">G95*(1+S95)</f>
        <v>#DIV/0!</v>
      </c>
      <c r="V95" s="591">
        <f t="shared" ref="V95:V97" si="297">N95-M95</f>
        <v>0</v>
      </c>
      <c r="W95" s="559">
        <f t="shared" ref="W95:W97" si="298">G95+V95</f>
        <v>44206</v>
      </c>
      <c r="X95" s="560" t="e">
        <f t="shared" ref="X95:X97" si="299">IF(AND(N95&gt;=M95,(R95+U95+W95)/3&lt;G95),W95,(R95+U95+W95)/3)</f>
        <v>#DIV/0!</v>
      </c>
      <c r="Y95" s="1418" t="e">
        <f t="shared" ref="Y95:Y97" si="300">(X95-G95)/G95</f>
        <v>#DIV/0!</v>
      </c>
      <c r="Z95" s="658"/>
      <c r="AA95" s="63"/>
      <c r="AB95" s="1147"/>
      <c r="AC95" s="63"/>
      <c r="AD95" s="63"/>
      <c r="AE95" s="63"/>
      <c r="AF95" s="63"/>
      <c r="AG95" s="63"/>
      <c r="AH95" s="63"/>
      <c r="AI95" s="63"/>
      <c r="AJ95" s="63"/>
      <c r="AK95" s="1791"/>
      <c r="AL95" s="63"/>
      <c r="AM95" s="63"/>
      <c r="AN95" s="1140"/>
      <c r="AO95" s="1594"/>
      <c r="AP95" s="1147"/>
      <c r="AQ95" s="1494"/>
      <c r="AR95" s="63">
        <v>1</v>
      </c>
      <c r="AS95" s="63"/>
      <c r="AT95" s="1427" t="str">
        <f t="shared" ref="AT95:AT100" si="301">IFERROR(IF(OR(AT$3-$F95=1,AT$3-$F95=-11),(AS95-AC95)/AC95,((AS95-AR95)-(AC95-AA95))/(AC95-AA95)),"")</f>
        <v/>
      </c>
      <c r="AU95" s="1351" t="str">
        <f t="shared" ref="AU95:AU100" si="302">IFERROR((AS95-AC95)/AC95,"")</f>
        <v/>
      </c>
      <c r="AV95" s="63"/>
      <c r="AW95" s="1427" t="str">
        <f t="shared" ref="AW95:AW100" si="303">IFERROR(IF(OR(AW$3-$F95=1,AW$3-$F95=-11),(AV95-AD95)/AD95,((AV95-AS95)-(AD95-AC95))/(AD95-AC95)),"")</f>
        <v/>
      </c>
      <c r="AX95" s="1351" t="str">
        <f t="shared" ref="AX95:AX100" si="304">IFERROR((AV95-AD95)/AD95,"")</f>
        <v/>
      </c>
      <c r="AY95" s="63"/>
      <c r="AZ95" s="1427" t="str">
        <f t="shared" ref="AZ95:AZ100" si="305">IFERROR(IF(OR(AZ$3-$F95=1,AZ$3-$F95=-11),(AY95-AE95)/AE95,((AY95-AV95)-(AE95-AD95))/(AE95-AD95)),"")</f>
        <v/>
      </c>
      <c r="BA95" s="1351" t="str">
        <f t="shared" ref="BA95:BA100" si="306">IFERROR((AY95-AE95)/AE95,"")</f>
        <v/>
      </c>
      <c r="BB95" s="63"/>
      <c r="BC95" s="1427" t="str">
        <f t="shared" ref="BC95:BC100" si="307">IFERROR(IF(OR(BC$3-$F95=1,BC$3-$F95=-11),(BB95-AF95)/AF95,((BB95-AY95)-(AF95-AE95))/(AF95-AE95)),"")</f>
        <v/>
      </c>
      <c r="BD95" s="1351" t="str">
        <f t="shared" ref="BD95:BD100" si="308">IFERROR((BB95-AF95)/AF95,"")</f>
        <v/>
      </c>
      <c r="BE95" s="63"/>
      <c r="BF95" s="1427" t="str">
        <f t="shared" ref="BF95:BF100" si="309">IFERROR(IF(OR(BF$3-$F95=1,BF$3-$F95=-11),(BE95-AG95)/AG95,((BE95-BB95)-(AG95-AF95))/(AG95-AF95)),"")</f>
        <v/>
      </c>
      <c r="BG95" s="1351" t="str">
        <f t="shared" ref="BG95:BG100" si="310">IFERROR((BE95-AG95)/AG95,"")</f>
        <v/>
      </c>
      <c r="BH95" s="63"/>
      <c r="BI95" s="1427" t="str">
        <f t="shared" ref="BI95:BI100" si="311">IFERROR(IF(OR(BI$3-$F95=1,BI$3-$F95=-11),(BH95-AH95)/AH95,((BH95-BE95)-(AH95-AG95))/(AH95-AG95)),"")</f>
        <v/>
      </c>
      <c r="BJ95" s="1351" t="str">
        <f t="shared" ref="BJ95:BJ100" si="312">IFERROR((BH95-AH95)/AH95,"")</f>
        <v/>
      </c>
      <c r="BK95" s="63"/>
      <c r="BL95" s="1427" t="str">
        <f t="shared" ref="BL95:BL100" si="313">IFERROR(IF(OR(BL$3-$F95=1,BL$3-$F95=-11),(BK95-AI95)/AI95,((BK95-BH95)-(AI95-AH95))/(AI95-AH95)),"")</f>
        <v/>
      </c>
      <c r="BM95" s="1351" t="str">
        <f t="shared" ref="BM95:BM100" si="314">IFERROR((BK95-AI95)/AI95,"")</f>
        <v/>
      </c>
      <c r="BN95" s="63"/>
      <c r="BO95" s="1427" t="str">
        <f t="shared" ref="BO95:BO100" si="315">IFERROR(IF(OR(BO$3-$F95=1,BO$3-$F95=-11),(BN95-AJ95)/AJ95,((BN95-BK95)-(AJ95-AI95))/(AJ95-AI95)),"")</f>
        <v/>
      </c>
      <c r="BP95" s="1351" t="str">
        <f t="shared" ref="BP95:BP100" si="316">IFERROR((BN95-AJ95)/AJ95,"")</f>
        <v/>
      </c>
      <c r="BQ95" s="63"/>
      <c r="BR95" s="1427" t="str">
        <f t="shared" ref="BR95:BR100" si="317">IFERROR(IF(OR(BR$3-$F95=1,BR$3-$F95=-11),(BQ95-AK95)/AK95,((BQ95-BN95)-(AK95-AJ95))/(AK95-AJ95)),"")</f>
        <v/>
      </c>
      <c r="BS95" s="1351" t="str">
        <f t="shared" ref="BS95:BS100" si="318">IFERROR((BQ95-AK95)/AK95,"")</f>
        <v/>
      </c>
      <c r="BT95" s="63"/>
      <c r="BU95" s="1427" t="str">
        <f t="shared" ref="BU95:BU100" si="319">IFERROR(IF(OR(BU$3-$F95=1,BU$3-$F95=-11),(BT95-AL95)/AL95,((BT95-BQ95)-(AL95-AK95))/(AL95-AK95)),"")</f>
        <v/>
      </c>
      <c r="BV95" s="1351" t="str">
        <f t="shared" ref="BV95:BV100" si="320">IF(BT95&gt;0,((BT95-AL95)/AL95),"")</f>
        <v/>
      </c>
      <c r="BW95" s="63"/>
      <c r="BX95" s="1427" t="str">
        <f t="shared" ref="BX95:BX100" si="321">IFERROR(IF(OR(BX$3-$F95=1,BX$3-$F95=-11),(BW95-AM95)/AM95,((BW95-BT95)-(AM95-AL95))/(AM95-AL95)),"")</f>
        <v/>
      </c>
      <c r="BY95" s="1351" t="str">
        <f t="shared" ref="BY95:BY100" si="322">IF(BW95&gt;0,((BW95-AM95)/AM95),"")</f>
        <v/>
      </c>
      <c r="BZ95" s="63"/>
      <c r="CA95" s="1427" t="str">
        <f t="shared" ref="CA95:CA100" si="323">IFERROR(IF(OR(CA$3-$F95=1,CA$3-$F95=-11),(BZ95-AN95)/AN95,((BZ95-BW95)-(AN95-AM95))/(AN95-AM95)),"")</f>
        <v/>
      </c>
      <c r="CB95" s="1351" t="str">
        <f t="shared" ref="CB95:CB100" si="324">IF(BZ95&gt;0,((BZ95-AN95)/AN95),"")</f>
        <v/>
      </c>
      <c r="CC95" s="63">
        <v>1</v>
      </c>
      <c r="CD95" s="1594">
        <f t="shared" ref="CD95:CD100" si="325">BZ95</f>
        <v>0</v>
      </c>
      <c r="CE95" s="1939" t="str">
        <f t="shared" ref="CE95:CE100" si="326">IFERROR((CD95-AO95)/AO95,"")</f>
        <v/>
      </c>
      <c r="CF95" s="1939"/>
      <c r="CG95" s="1895"/>
      <c r="CH95" s="1815"/>
      <c r="CI95" s="2039" t="str">
        <f t="shared" si="279"/>
        <v/>
      </c>
      <c r="CJ95" s="2041" t="str">
        <f t="shared" si="280"/>
        <v/>
      </c>
      <c r="CK95" s="1815"/>
      <c r="CL95" s="2039" t="str">
        <f t="shared" si="281"/>
        <v/>
      </c>
      <c r="CM95" s="2041" t="str">
        <f t="shared" si="282"/>
        <v/>
      </c>
      <c r="CN95" s="1815"/>
      <c r="CO95" s="2039" t="str">
        <f t="shared" si="283"/>
        <v/>
      </c>
      <c r="CP95" s="2041" t="str">
        <f t="shared" si="284"/>
        <v/>
      </c>
      <c r="CQ95" s="1815"/>
      <c r="CR95" s="2039" t="str">
        <f t="shared" ref="CR95:CR97" si="327">IFERROR(IF(OR(CR$3-$F95=1,CR$3-$F95=-11),(CQ95-BB95)/BB95,((CQ95-CN95)-(BB95-AY95))/(BB95-AY95)),"")</f>
        <v/>
      </c>
      <c r="CS95" s="2041" t="str">
        <f t="shared" ref="CS95:CS97" si="328">IF(CQ95&gt;0,((CQ95-BB95)/BB95),"")</f>
        <v/>
      </c>
      <c r="CU95" s="1948"/>
      <c r="CV95" s="1940" t="str">
        <f t="shared" si="276"/>
        <v/>
      </c>
      <c r="CW95" s="1580" t="str">
        <f t="shared" si="277"/>
        <v/>
      </c>
      <c r="CX95" s="1799"/>
      <c r="CY95" s="1794">
        <f>_xlfn.XLOOKUP(E95,'MOPFRA Portfolio'!$P$64:$P$76,'MOPFRA Portfolio'!$Z$64:$Z$76,"")</f>
        <v>1707.54</v>
      </c>
      <c r="CZ95" s="1245" t="s">
        <v>29</v>
      </c>
      <c r="DA95" s="1802"/>
      <c r="DB95" s="1529"/>
      <c r="DC95" s="1529"/>
      <c r="DD95" s="1529"/>
      <c r="DE95" s="1529"/>
      <c r="DF95" s="1529"/>
      <c r="DG95" s="1529"/>
      <c r="DH95" s="1529"/>
      <c r="DI95" s="1529"/>
      <c r="DJ95" s="1529"/>
      <c r="DK95" s="1529"/>
      <c r="DL95" s="1529" t="str">
        <f>BY95</f>
        <v/>
      </c>
      <c r="DM95" s="1529" t="str">
        <f>CB95</f>
        <v/>
      </c>
      <c r="DN95" s="1529" t="str">
        <f>CJ95</f>
        <v/>
      </c>
      <c r="DO95" s="1529" t="str">
        <f>CM95</f>
        <v/>
      </c>
      <c r="DP95" s="1529" t="str">
        <f>CP95</f>
        <v/>
      </c>
      <c r="DQ95" s="1529"/>
      <c r="DS95" s="1583" t="s">
        <v>609</v>
      </c>
      <c r="DT95" s="1736"/>
      <c r="DU95" s="1580" t="str">
        <f>_xlfn.XLOOKUP(E95,E95:E180,CW95:CW180,"")</f>
        <v/>
      </c>
      <c r="DV95" s="1943"/>
      <c r="DW95" s="1730" t="str">
        <f t="shared" ref="DW95:DW100" si="329">IFERROR((CY95-CX95)/CX95, "NEW")</f>
        <v>NEW</v>
      </c>
      <c r="DX95" s="1860" t="str">
        <f t="shared" si="287"/>
        <v/>
      </c>
      <c r="DY95" s="1683" t="str">
        <f>_xlfn.XLOOKUP(E95,MOPFRA!$R$7:$R$56,MOPFRA!$D$7:$D$56,"")</f>
        <v/>
      </c>
      <c r="DZ95" s="1583" t="s">
        <v>609</v>
      </c>
    </row>
    <row r="96" spans="2:130" ht="68" customHeight="1">
      <c r="B96" s="2011">
        <f>_xlfn.XLOOKUP(E96,'MOPFRA Portfolio'!$P$61:$P$76,'MOPFRA Portfolio'!$AO$61:$AO$76,"")</f>
        <v>6.59</v>
      </c>
      <c r="C96" s="1432">
        <f>_xlfn.XLOOKUP(E96,'MOPFRA Portfolio'!$P$64:$P$76,'MOPFRA Portfolio'!$Z$64:$Z$76,"")</f>
        <v>9500</v>
      </c>
      <c r="D96" s="1514" t="s">
        <v>220</v>
      </c>
      <c r="E96" s="1514" t="s">
        <v>221</v>
      </c>
      <c r="F96" s="981">
        <v>9</v>
      </c>
      <c r="G96" s="1204">
        <v>44206</v>
      </c>
      <c r="H96" s="1211">
        <v>0</v>
      </c>
      <c r="I96" s="1714">
        <f t="shared" si="288"/>
        <v>44206</v>
      </c>
      <c r="J96" s="1712">
        <f t="shared" si="289"/>
        <v>0</v>
      </c>
      <c r="K96" s="1205"/>
      <c r="L96" s="1728">
        <f t="shared" si="290"/>
        <v>3</v>
      </c>
      <c r="M96" s="689"/>
      <c r="N96" s="689"/>
      <c r="O96" s="1718">
        <v>0</v>
      </c>
      <c r="P96" s="1714">
        <f t="shared" si="291"/>
        <v>0</v>
      </c>
      <c r="Q96" s="1712" t="e">
        <f t="shared" si="292"/>
        <v>#DIV/0!</v>
      </c>
      <c r="R96" s="557">
        <f t="shared" si="293"/>
        <v>0</v>
      </c>
      <c r="S96" s="553" t="e">
        <f t="shared" si="294"/>
        <v>#DIV/0!</v>
      </c>
      <c r="T96" s="553">
        <f t="shared" si="295"/>
        <v>0</v>
      </c>
      <c r="U96" s="558" t="e">
        <f t="shared" si="296"/>
        <v>#DIV/0!</v>
      </c>
      <c r="V96" s="591">
        <f t="shared" si="297"/>
        <v>0</v>
      </c>
      <c r="W96" s="559">
        <f t="shared" si="298"/>
        <v>44206</v>
      </c>
      <c r="X96" s="560" t="e">
        <f t="shared" si="299"/>
        <v>#DIV/0!</v>
      </c>
      <c r="Y96" s="1418" t="e">
        <f t="shared" si="300"/>
        <v>#DIV/0!</v>
      </c>
      <c r="Z96" s="658"/>
      <c r="AA96" s="63"/>
      <c r="AB96" s="1147"/>
      <c r="AC96" s="63"/>
      <c r="AD96" s="63"/>
      <c r="AE96" s="63"/>
      <c r="AF96" s="63"/>
      <c r="AG96" s="63"/>
      <c r="AH96" s="63"/>
      <c r="AI96" s="63"/>
      <c r="AJ96" s="63"/>
      <c r="AK96" s="1791"/>
      <c r="AL96" s="63"/>
      <c r="AM96" s="63"/>
      <c r="AN96" s="1140"/>
      <c r="AO96" s="1594"/>
      <c r="AP96" s="1147"/>
      <c r="AQ96" s="1494"/>
      <c r="AR96" s="63">
        <v>2</v>
      </c>
      <c r="AS96" s="63"/>
      <c r="AT96" s="1427" t="str">
        <f t="shared" si="301"/>
        <v/>
      </c>
      <c r="AU96" s="1351" t="str">
        <f t="shared" si="302"/>
        <v/>
      </c>
      <c r="AV96" s="63"/>
      <c r="AW96" s="1427" t="str">
        <f t="shared" si="303"/>
        <v/>
      </c>
      <c r="AX96" s="1351" t="str">
        <f t="shared" si="304"/>
        <v/>
      </c>
      <c r="AY96" s="63"/>
      <c r="AZ96" s="1427" t="str">
        <f t="shared" si="305"/>
        <v/>
      </c>
      <c r="BA96" s="1351" t="str">
        <f t="shared" si="306"/>
        <v/>
      </c>
      <c r="BB96" s="63"/>
      <c r="BC96" s="1427" t="str">
        <f t="shared" si="307"/>
        <v/>
      </c>
      <c r="BD96" s="1351" t="str">
        <f t="shared" si="308"/>
        <v/>
      </c>
      <c r="BE96" s="63"/>
      <c r="BF96" s="1427" t="str">
        <f t="shared" si="309"/>
        <v/>
      </c>
      <c r="BG96" s="1351" t="str">
        <f t="shared" si="310"/>
        <v/>
      </c>
      <c r="BH96" s="63"/>
      <c r="BI96" s="1427" t="str">
        <f t="shared" si="311"/>
        <v/>
      </c>
      <c r="BJ96" s="1351" t="str">
        <f t="shared" si="312"/>
        <v/>
      </c>
      <c r="BK96" s="63"/>
      <c r="BL96" s="1427" t="str">
        <f t="shared" si="313"/>
        <v/>
      </c>
      <c r="BM96" s="1351" t="str">
        <f t="shared" si="314"/>
        <v/>
      </c>
      <c r="BN96" s="63"/>
      <c r="BO96" s="1427" t="str">
        <f t="shared" si="315"/>
        <v/>
      </c>
      <c r="BP96" s="1351" t="str">
        <f t="shared" si="316"/>
        <v/>
      </c>
      <c r="BQ96" s="63"/>
      <c r="BR96" s="1427" t="str">
        <f t="shared" si="317"/>
        <v/>
      </c>
      <c r="BS96" s="1351" t="str">
        <f t="shared" si="318"/>
        <v/>
      </c>
      <c r="BT96" s="63"/>
      <c r="BU96" s="1427" t="str">
        <f t="shared" si="319"/>
        <v/>
      </c>
      <c r="BV96" s="1351" t="str">
        <f t="shared" si="320"/>
        <v/>
      </c>
      <c r="BW96" s="63"/>
      <c r="BX96" s="1427" t="str">
        <f t="shared" si="321"/>
        <v/>
      </c>
      <c r="BY96" s="1351" t="str">
        <f t="shared" si="322"/>
        <v/>
      </c>
      <c r="BZ96" s="63"/>
      <c r="CA96" s="1427" t="str">
        <f t="shared" si="323"/>
        <v/>
      </c>
      <c r="CB96" s="1351" t="str">
        <f t="shared" si="324"/>
        <v/>
      </c>
      <c r="CC96" s="63">
        <v>2</v>
      </c>
      <c r="CD96" s="1594">
        <f t="shared" si="325"/>
        <v>0</v>
      </c>
      <c r="CE96" s="1939" t="str">
        <f t="shared" si="326"/>
        <v/>
      </c>
      <c r="CF96" s="1939"/>
      <c r="CG96" s="1895"/>
      <c r="CH96" s="1815"/>
      <c r="CI96" s="2039" t="str">
        <f t="shared" si="279"/>
        <v/>
      </c>
      <c r="CJ96" s="2041" t="str">
        <f t="shared" si="280"/>
        <v/>
      </c>
      <c r="CK96" s="1815"/>
      <c r="CL96" s="2039" t="str">
        <f t="shared" si="281"/>
        <v/>
      </c>
      <c r="CM96" s="2041" t="str">
        <f t="shared" si="282"/>
        <v/>
      </c>
      <c r="CN96" s="1815"/>
      <c r="CO96" s="2039" t="str">
        <f t="shared" si="283"/>
        <v/>
      </c>
      <c r="CP96" s="2041" t="str">
        <f t="shared" si="284"/>
        <v/>
      </c>
      <c r="CQ96" s="1815"/>
      <c r="CR96" s="2039" t="str">
        <f t="shared" si="327"/>
        <v/>
      </c>
      <c r="CS96" s="2041" t="str">
        <f t="shared" si="328"/>
        <v/>
      </c>
      <c r="CU96" s="1948"/>
      <c r="CV96" s="1940" t="str">
        <f t="shared" si="276"/>
        <v/>
      </c>
      <c r="CW96" s="1580">
        <f t="shared" si="277"/>
        <v>2.7852991226427326</v>
      </c>
      <c r="CX96" s="1799"/>
      <c r="CY96" s="1794">
        <f>_xlfn.XLOOKUP(E96,'MOPFRA Portfolio'!$P$64:$P$76,'MOPFRA Portfolio'!$Z$64:$Z$76,"")</f>
        <v>9500</v>
      </c>
      <c r="CZ96" s="1245" t="s">
        <v>168</v>
      </c>
      <c r="DA96" s="1802"/>
      <c r="DB96" s="1529"/>
      <c r="DC96" s="1529"/>
      <c r="DD96" s="1529"/>
      <c r="DE96" s="1529"/>
      <c r="DF96" s="1529"/>
      <c r="DG96" s="1529"/>
      <c r="DH96" s="1529"/>
      <c r="DI96" s="1529"/>
      <c r="DJ96" s="1529"/>
      <c r="DK96" s="1529"/>
      <c r="DL96" s="1529" t="str">
        <f>BY96</f>
        <v/>
      </c>
      <c r="DM96" s="1529" t="str">
        <f>CB96</f>
        <v/>
      </c>
      <c r="DN96" s="1529" t="str">
        <f>CJ96</f>
        <v/>
      </c>
      <c r="DO96" s="1529" t="str">
        <f>CM96</f>
        <v/>
      </c>
      <c r="DP96" s="1529" t="str">
        <f>CP96</f>
        <v/>
      </c>
      <c r="DQ96" s="1529"/>
      <c r="DS96" s="1583" t="s">
        <v>609</v>
      </c>
      <c r="DT96" s="1736"/>
      <c r="DU96" s="1580">
        <f>_xlfn.XLOOKUP(E96,E96:E181,CW96:CW181,"")</f>
        <v>2.7852991226427326</v>
      </c>
      <c r="DV96" s="1943"/>
      <c r="DW96" s="1730" t="str">
        <f t="shared" si="329"/>
        <v>NEW</v>
      </c>
      <c r="DX96" s="1860" t="str">
        <f t="shared" si="287"/>
        <v/>
      </c>
      <c r="DY96" s="1683" t="str">
        <f>_xlfn.XLOOKUP(E96,MOPFRA!$R$7:$R$56,MOPFRA!$D$7:$D$56,"")</f>
        <v/>
      </c>
      <c r="DZ96" s="1583" t="s">
        <v>609</v>
      </c>
    </row>
    <row r="97" spans="2:130" ht="68" customHeight="1">
      <c r="B97" s="2011">
        <f>_xlfn.XLOOKUP(E97,'MOPFRA Portfolio'!$P$61:$P$76,'MOPFRA Portfolio'!$AO$61:$AO$76,"")</f>
        <v>-11.88</v>
      </c>
      <c r="C97" s="1432">
        <f>_xlfn.XLOOKUP(E97,'MOPFRA Portfolio'!$P$64:$P$76,'MOPFRA Portfolio'!$Z$64:$Z$76,"")</f>
        <v>149210.01720000003</v>
      </c>
      <c r="D97" s="1514" t="s">
        <v>222</v>
      </c>
      <c r="E97" s="1514" t="s">
        <v>223</v>
      </c>
      <c r="F97" s="981">
        <v>12</v>
      </c>
      <c r="G97" s="1204">
        <v>44206</v>
      </c>
      <c r="H97" s="1211">
        <v>0</v>
      </c>
      <c r="I97" s="1714">
        <f t="shared" si="288"/>
        <v>44206</v>
      </c>
      <c r="J97" s="1712">
        <f t="shared" si="289"/>
        <v>0</v>
      </c>
      <c r="K97" s="1205"/>
      <c r="L97" s="1728">
        <f t="shared" si="290"/>
        <v>0</v>
      </c>
      <c r="M97" s="689"/>
      <c r="N97" s="689"/>
      <c r="O97" s="1718">
        <v>0</v>
      </c>
      <c r="P97" s="1714">
        <f t="shared" si="291"/>
        <v>0</v>
      </c>
      <c r="Q97" s="1712" t="e">
        <f t="shared" si="292"/>
        <v>#DIV/0!</v>
      </c>
      <c r="R97" s="557" t="e">
        <f t="shared" si="293"/>
        <v>#DIV/0!</v>
      </c>
      <c r="S97" s="553" t="e">
        <f t="shared" si="294"/>
        <v>#DIV/0!</v>
      </c>
      <c r="T97" s="553">
        <f t="shared" si="295"/>
        <v>0</v>
      </c>
      <c r="U97" s="558" t="e">
        <f t="shared" si="296"/>
        <v>#DIV/0!</v>
      </c>
      <c r="V97" s="591">
        <f t="shared" si="297"/>
        <v>0</v>
      </c>
      <c r="W97" s="559">
        <f t="shared" si="298"/>
        <v>44206</v>
      </c>
      <c r="X97" s="560" t="e">
        <f t="shared" si="299"/>
        <v>#DIV/0!</v>
      </c>
      <c r="Y97" s="1418" t="e">
        <f t="shared" si="300"/>
        <v>#DIV/0!</v>
      </c>
      <c r="Z97" s="658"/>
      <c r="AA97" s="63"/>
      <c r="AB97" s="1147"/>
      <c r="AC97" s="63"/>
      <c r="AD97" s="63"/>
      <c r="AE97" s="63"/>
      <c r="AF97" s="63"/>
      <c r="AG97" s="63"/>
      <c r="AH97" s="63"/>
      <c r="AI97" s="63"/>
      <c r="AJ97" s="63"/>
      <c r="AK97" s="1791"/>
      <c r="AL97" s="63"/>
      <c r="AM97" s="63"/>
      <c r="AN97" s="1140"/>
      <c r="AO97" s="1594"/>
      <c r="AP97" s="1147"/>
      <c r="AQ97" s="1494"/>
      <c r="AR97" s="63">
        <v>3</v>
      </c>
      <c r="AS97" s="63"/>
      <c r="AT97" s="1427" t="str">
        <f t="shared" si="301"/>
        <v/>
      </c>
      <c r="AU97" s="1351" t="str">
        <f t="shared" si="302"/>
        <v/>
      </c>
      <c r="AV97" s="63"/>
      <c r="AW97" s="1427" t="str">
        <f t="shared" si="303"/>
        <v/>
      </c>
      <c r="AX97" s="1351" t="str">
        <f t="shared" si="304"/>
        <v/>
      </c>
      <c r="AY97" s="63"/>
      <c r="AZ97" s="1427" t="str">
        <f t="shared" si="305"/>
        <v/>
      </c>
      <c r="BA97" s="1351" t="str">
        <f t="shared" si="306"/>
        <v/>
      </c>
      <c r="BB97" s="63"/>
      <c r="BC97" s="1427" t="str">
        <f t="shared" si="307"/>
        <v/>
      </c>
      <c r="BD97" s="1351" t="str">
        <f t="shared" si="308"/>
        <v/>
      </c>
      <c r="BE97" s="63"/>
      <c r="BF97" s="1427" t="str">
        <f t="shared" si="309"/>
        <v/>
      </c>
      <c r="BG97" s="1351" t="str">
        <f t="shared" si="310"/>
        <v/>
      </c>
      <c r="BH97" s="63"/>
      <c r="BI97" s="1427" t="str">
        <f t="shared" si="311"/>
        <v/>
      </c>
      <c r="BJ97" s="1351" t="str">
        <f t="shared" si="312"/>
        <v/>
      </c>
      <c r="BK97" s="63"/>
      <c r="BL97" s="1427" t="str">
        <f t="shared" si="313"/>
        <v/>
      </c>
      <c r="BM97" s="1351" t="str">
        <f t="shared" si="314"/>
        <v/>
      </c>
      <c r="BN97" s="63"/>
      <c r="BO97" s="1427" t="str">
        <f t="shared" si="315"/>
        <v/>
      </c>
      <c r="BP97" s="1351" t="str">
        <f t="shared" si="316"/>
        <v/>
      </c>
      <c r="BQ97" s="63"/>
      <c r="BR97" s="1427" t="str">
        <f t="shared" si="317"/>
        <v/>
      </c>
      <c r="BS97" s="1351" t="str">
        <f t="shared" si="318"/>
        <v/>
      </c>
      <c r="BT97" s="63"/>
      <c r="BU97" s="1427" t="str">
        <f t="shared" si="319"/>
        <v/>
      </c>
      <c r="BV97" s="1351" t="str">
        <f t="shared" si="320"/>
        <v/>
      </c>
      <c r="BW97" s="63"/>
      <c r="BX97" s="1427" t="str">
        <f t="shared" si="321"/>
        <v/>
      </c>
      <c r="BY97" s="1351" t="str">
        <f t="shared" si="322"/>
        <v/>
      </c>
      <c r="BZ97" s="63"/>
      <c r="CA97" s="1427" t="str">
        <f t="shared" si="323"/>
        <v/>
      </c>
      <c r="CB97" s="1351" t="str">
        <f t="shared" si="324"/>
        <v/>
      </c>
      <c r="CC97" s="63">
        <v>3</v>
      </c>
      <c r="CD97" s="1594">
        <f t="shared" si="325"/>
        <v>0</v>
      </c>
      <c r="CE97" s="1939" t="str">
        <f t="shared" si="326"/>
        <v/>
      </c>
      <c r="CF97" s="1939"/>
      <c r="CG97" s="1895"/>
      <c r="CH97" s="1815"/>
      <c r="CI97" s="2039" t="str">
        <f t="shared" si="279"/>
        <v/>
      </c>
      <c r="CJ97" s="2041" t="str">
        <f t="shared" si="280"/>
        <v/>
      </c>
      <c r="CK97" s="1815"/>
      <c r="CL97" s="2039" t="str">
        <f t="shared" si="281"/>
        <v/>
      </c>
      <c r="CM97" s="2041" t="str">
        <f t="shared" si="282"/>
        <v/>
      </c>
      <c r="CN97" s="1815"/>
      <c r="CO97" s="2039" t="str">
        <f t="shared" si="283"/>
        <v/>
      </c>
      <c r="CP97" s="2041" t="str">
        <f t="shared" si="284"/>
        <v/>
      </c>
      <c r="CQ97" s="1815"/>
      <c r="CR97" s="2039" t="str">
        <f t="shared" si="327"/>
        <v/>
      </c>
      <c r="CS97" s="2041" t="str">
        <f t="shared" si="328"/>
        <v/>
      </c>
      <c r="CU97" s="1948"/>
      <c r="CV97" s="1940" t="str">
        <f t="shared" si="276"/>
        <v/>
      </c>
      <c r="CW97" s="1580" t="str">
        <f t="shared" si="277"/>
        <v/>
      </c>
      <c r="CX97" s="1799"/>
      <c r="CY97" s="1794">
        <f>_xlfn.XLOOKUP(E97,'MOPFRA Portfolio'!$P$64:$P$76,'MOPFRA Portfolio'!$Z$64:$Z$76,"")</f>
        <v>149210.01720000003</v>
      </c>
      <c r="CZ97" s="1245" t="s">
        <v>224</v>
      </c>
      <c r="DA97" s="1802"/>
      <c r="DB97" s="1529"/>
      <c r="DC97" s="1529"/>
      <c r="DD97" s="1529"/>
      <c r="DE97" s="1529"/>
      <c r="DF97" s="1529"/>
      <c r="DG97" s="1529"/>
      <c r="DH97" s="1529"/>
      <c r="DI97" s="1529"/>
      <c r="DJ97" s="1529"/>
      <c r="DK97" s="1529"/>
      <c r="DL97" s="1529" t="str">
        <f>BY97</f>
        <v/>
      </c>
      <c r="DM97" s="1529" t="str">
        <f>CB97</f>
        <v/>
      </c>
      <c r="DN97" s="1529" t="str">
        <f>CJ97</f>
        <v/>
      </c>
      <c r="DO97" s="1529" t="str">
        <f>CM97</f>
        <v/>
      </c>
      <c r="DP97" s="1529" t="str">
        <f>CP97</f>
        <v/>
      </c>
      <c r="DQ97" s="1529"/>
      <c r="DS97" s="1583" t="s">
        <v>609</v>
      </c>
      <c r="DT97" s="1736"/>
      <c r="DU97" s="1580" t="str">
        <f>_xlfn.XLOOKUP(E97,E97:E182,CW97:CW182,"")</f>
        <v/>
      </c>
      <c r="DV97" s="1943"/>
      <c r="DW97" s="1730" t="str">
        <f t="shared" si="329"/>
        <v>NEW</v>
      </c>
      <c r="DX97" s="1860" t="str">
        <f t="shared" si="287"/>
        <v/>
      </c>
      <c r="DY97" s="1683" t="str">
        <f>_xlfn.XLOOKUP(E97,MOPFRA!$R$7:$R$56,MOPFRA!$D$7:$D$56,"")</f>
        <v/>
      </c>
      <c r="DZ97" s="1583" t="s">
        <v>609</v>
      </c>
    </row>
    <row r="98" spans="2:130" ht="68" customHeight="1">
      <c r="B98" s="1433"/>
      <c r="C98" s="1432"/>
      <c r="D98" s="1514"/>
      <c r="E98" s="1514"/>
      <c r="F98" s="981"/>
      <c r="G98" s="1204"/>
      <c r="H98" s="1211"/>
      <c r="I98" s="1714"/>
      <c r="J98" s="1712"/>
      <c r="K98" s="1205"/>
      <c r="L98" s="1728"/>
      <c r="M98" s="689"/>
      <c r="N98" s="689"/>
      <c r="O98" s="1718"/>
      <c r="P98" s="1714"/>
      <c r="Q98" s="1712"/>
      <c r="R98" s="557"/>
      <c r="S98" s="553"/>
      <c r="T98" s="553"/>
      <c r="U98" s="558"/>
      <c r="V98" s="591"/>
      <c r="W98" s="559"/>
      <c r="X98" s="560"/>
      <c r="Y98" s="1418"/>
      <c r="Z98" s="658"/>
      <c r="AA98" s="63"/>
      <c r="AB98" s="1147"/>
      <c r="AC98" s="63"/>
      <c r="AD98" s="63"/>
      <c r="AE98" s="63"/>
      <c r="AF98" s="63"/>
      <c r="AG98" s="63"/>
      <c r="AH98" s="63"/>
      <c r="AI98" s="63"/>
      <c r="AJ98" s="63"/>
      <c r="AK98" s="1791"/>
      <c r="AL98" s="63"/>
      <c r="AM98" s="63"/>
      <c r="AN98" s="1140"/>
      <c r="AO98" s="1594"/>
      <c r="AP98" s="1147"/>
      <c r="AQ98" s="1494"/>
      <c r="AR98" s="63"/>
      <c r="AS98" s="63"/>
      <c r="AT98" s="1427"/>
      <c r="AU98" s="1351"/>
      <c r="AV98" s="63"/>
      <c r="AW98" s="1427"/>
      <c r="AX98" s="1351"/>
      <c r="AY98" s="63"/>
      <c r="AZ98" s="1427"/>
      <c r="BA98" s="1351"/>
      <c r="BB98" s="63"/>
      <c r="BC98" s="1427"/>
      <c r="BD98" s="1351"/>
      <c r="BE98" s="63"/>
      <c r="BF98" s="1427"/>
      <c r="BG98" s="1351"/>
      <c r="BH98" s="63"/>
      <c r="BI98" s="1427"/>
      <c r="BJ98" s="1351"/>
      <c r="BK98" s="63"/>
      <c r="BL98" s="1427"/>
      <c r="BM98" s="1351"/>
      <c r="BN98" s="63"/>
      <c r="BO98" s="1427"/>
      <c r="BP98" s="1351"/>
      <c r="BQ98" s="63"/>
      <c r="BR98" s="1427"/>
      <c r="BS98" s="1351"/>
      <c r="BT98" s="63"/>
      <c r="BU98" s="1427"/>
      <c r="BV98" s="1351"/>
      <c r="BW98" s="63"/>
      <c r="BX98" s="1427"/>
      <c r="BY98" s="1351"/>
      <c r="BZ98" s="63"/>
      <c r="CA98" s="1427"/>
      <c r="CB98" s="1351"/>
      <c r="CC98" s="63"/>
      <c r="CD98" s="1594"/>
      <c r="CE98" s="1939"/>
      <c r="CF98" s="1939"/>
      <c r="CG98" s="1895"/>
      <c r="CH98" s="1815"/>
      <c r="CI98" s="2039"/>
      <c r="CJ98" s="2041"/>
      <c r="CK98" s="1815"/>
      <c r="CL98" s="2039"/>
      <c r="CM98" s="2041"/>
      <c r="CN98" s="1815"/>
      <c r="CO98" s="2039"/>
      <c r="CP98" s="2041"/>
      <c r="CQ98" s="1815"/>
      <c r="CR98" s="2039"/>
      <c r="CS98" s="2041"/>
      <c r="CU98" s="1948"/>
      <c r="CV98" s="1940" t="str">
        <f t="shared" si="276"/>
        <v/>
      </c>
      <c r="CW98" s="1580"/>
      <c r="CX98" s="1799"/>
      <c r="CY98" s="1794"/>
      <c r="CZ98" s="1245"/>
      <c r="DA98" s="1802"/>
      <c r="DB98" s="1529"/>
      <c r="DC98" s="1529"/>
      <c r="DD98" s="1529"/>
      <c r="DE98" s="1529"/>
      <c r="DF98" s="1529"/>
      <c r="DG98" s="1529"/>
      <c r="DH98" s="1529"/>
      <c r="DI98" s="1529"/>
      <c r="DJ98" s="1529"/>
      <c r="DK98" s="1529"/>
      <c r="DL98" s="1529"/>
      <c r="DM98" s="1529"/>
      <c r="DN98" s="1529"/>
      <c r="DO98" s="1529"/>
      <c r="DP98" s="1529"/>
      <c r="DQ98" s="1529"/>
      <c r="DS98" s="1583"/>
      <c r="DT98" s="1736"/>
      <c r="DU98" s="1580"/>
      <c r="DV98" s="1943"/>
      <c r="DW98" s="1730"/>
      <c r="DX98" s="1860"/>
      <c r="DY98" s="1683"/>
      <c r="DZ98" s="1583"/>
    </row>
    <row r="99" spans="2:130" ht="68" customHeight="1">
      <c r="B99" s="1433"/>
      <c r="C99" s="1432"/>
      <c r="D99" s="1514"/>
      <c r="E99" s="1514"/>
      <c r="F99" s="981"/>
      <c r="G99" s="1204"/>
      <c r="H99" s="1211"/>
      <c r="I99" s="1714"/>
      <c r="J99" s="1712"/>
      <c r="K99" s="1205"/>
      <c r="L99" s="1728"/>
      <c r="M99" s="689"/>
      <c r="N99" s="689"/>
      <c r="O99" s="1718"/>
      <c r="P99" s="1714"/>
      <c r="Q99" s="1712"/>
      <c r="R99" s="557"/>
      <c r="S99" s="553"/>
      <c r="T99" s="553"/>
      <c r="U99" s="558"/>
      <c r="V99" s="591"/>
      <c r="W99" s="559"/>
      <c r="X99" s="560"/>
      <c r="Y99" s="1418"/>
      <c r="Z99" s="658"/>
      <c r="AA99" s="63"/>
      <c r="AB99" s="1147"/>
      <c r="AC99" s="63"/>
      <c r="AD99" s="63"/>
      <c r="AE99" s="63"/>
      <c r="AF99" s="63"/>
      <c r="AG99" s="63"/>
      <c r="AH99" s="63"/>
      <c r="AI99" s="63"/>
      <c r="AJ99" s="63"/>
      <c r="AK99" s="1791"/>
      <c r="AL99" s="63"/>
      <c r="AM99" s="63"/>
      <c r="AN99" s="1140"/>
      <c r="AO99" s="1594"/>
      <c r="AP99" s="1147"/>
      <c r="AQ99" s="1494"/>
      <c r="AR99" s="63">
        <v>5</v>
      </c>
      <c r="AS99" s="63"/>
      <c r="AT99" s="1427" t="str">
        <f t="shared" si="301"/>
        <v/>
      </c>
      <c r="AU99" s="1351" t="str">
        <f t="shared" si="302"/>
        <v/>
      </c>
      <c r="AV99" s="63"/>
      <c r="AW99" s="1427" t="str">
        <f t="shared" si="303"/>
        <v/>
      </c>
      <c r="AX99" s="1351" t="str">
        <f t="shared" si="304"/>
        <v/>
      </c>
      <c r="AY99" s="63"/>
      <c r="AZ99" s="1427" t="str">
        <f t="shared" si="305"/>
        <v/>
      </c>
      <c r="BA99" s="1351" t="str">
        <f t="shared" si="306"/>
        <v/>
      </c>
      <c r="BB99" s="63"/>
      <c r="BC99" s="1427" t="str">
        <f t="shared" si="307"/>
        <v/>
      </c>
      <c r="BD99" s="1351" t="str">
        <f t="shared" si="308"/>
        <v/>
      </c>
      <c r="BE99" s="63"/>
      <c r="BF99" s="1427" t="str">
        <f t="shared" si="309"/>
        <v/>
      </c>
      <c r="BG99" s="1351" t="str">
        <f t="shared" si="310"/>
        <v/>
      </c>
      <c r="BH99" s="63"/>
      <c r="BI99" s="1427" t="str">
        <f t="shared" si="311"/>
        <v/>
      </c>
      <c r="BJ99" s="1351" t="str">
        <f t="shared" si="312"/>
        <v/>
      </c>
      <c r="BK99" s="63"/>
      <c r="BL99" s="1427" t="str">
        <f t="shared" si="313"/>
        <v/>
      </c>
      <c r="BM99" s="1351" t="str">
        <f t="shared" si="314"/>
        <v/>
      </c>
      <c r="BN99" s="63"/>
      <c r="BO99" s="1427" t="str">
        <f t="shared" si="315"/>
        <v/>
      </c>
      <c r="BP99" s="1351" t="str">
        <f t="shared" si="316"/>
        <v/>
      </c>
      <c r="BQ99" s="63"/>
      <c r="BR99" s="1427" t="str">
        <f t="shared" si="317"/>
        <v/>
      </c>
      <c r="BS99" s="1351" t="str">
        <f t="shared" si="318"/>
        <v/>
      </c>
      <c r="BT99" s="63"/>
      <c r="BU99" s="1427" t="str">
        <f t="shared" si="319"/>
        <v/>
      </c>
      <c r="BV99" s="1351" t="str">
        <f t="shared" si="320"/>
        <v/>
      </c>
      <c r="BW99" s="63"/>
      <c r="BX99" s="1427" t="str">
        <f t="shared" si="321"/>
        <v/>
      </c>
      <c r="BY99" s="1351" t="str">
        <f t="shared" si="322"/>
        <v/>
      </c>
      <c r="BZ99" s="63"/>
      <c r="CA99" s="1427" t="str">
        <f t="shared" si="323"/>
        <v/>
      </c>
      <c r="CB99" s="1351" t="str">
        <f t="shared" si="324"/>
        <v/>
      </c>
      <c r="CC99" s="63">
        <v>5</v>
      </c>
      <c r="CD99" s="1594">
        <f t="shared" si="325"/>
        <v>0</v>
      </c>
      <c r="CE99" s="1939" t="str">
        <f t="shared" si="326"/>
        <v/>
      </c>
      <c r="CF99" s="1939"/>
      <c r="CG99" s="1895"/>
      <c r="CH99" s="1815"/>
      <c r="CI99" s="2039" t="str">
        <f>IFERROR(IF(OR(CI$3-$F99=1,CI$3-$F99=-11),(CH99-AS99)/AS99,((CH99-BZ99)-(AS99-AN99))/(AS99-AN99)),"")</f>
        <v/>
      </c>
      <c r="CJ99" s="2041" t="str">
        <f>IF(CH99&gt;0,((CH99-AS99)/AS99),"")</f>
        <v/>
      </c>
      <c r="CK99" s="1815"/>
      <c r="CL99" s="2039" t="str">
        <f>IFERROR(IF(OR(CL$3-$F99=1,CL$3-$F99=-11),(CK99-AV99)/AV99,((CK99-CH99)-(AV99-AS99))/(AV99-AS99)),"")</f>
        <v/>
      </c>
      <c r="CM99" s="2041" t="str">
        <f>IF(CK99&gt;0,((CK99-AV99)/AV99),"")</f>
        <v/>
      </c>
      <c r="CN99" s="1815"/>
      <c r="CO99" s="2039" t="str">
        <f>IFERROR(IF(OR(CO$3-$F99=1,CO$3-$F99=-11),(CN99-AY99)/AY99,((CN99-CK99)-(AY99-AV99))/(AY99-AV99)),"")</f>
        <v/>
      </c>
      <c r="CP99" s="2041" t="str">
        <f>IF(CN99&gt;0,((CN99-AY99)/AY99),"")</f>
        <v/>
      </c>
      <c r="CQ99" s="1815"/>
      <c r="CR99" s="2039" t="str">
        <f>IFERROR(IF(OR(CR$3-$F99=1,CR$3-$F99=-11),(CQ99-BB99)/BB99,((CQ99-CN99)-(BB99-AY99))/(BB99-AY99)),"")</f>
        <v/>
      </c>
      <c r="CS99" s="2041" t="str">
        <f>IF(CQ99&gt;0,((CQ99-BB99)/BB99),"")</f>
        <v/>
      </c>
      <c r="CU99" s="1948" t="str">
        <f>IFERROR(IF(CS99&gt;-100,CS99-CP99,""),"")</f>
        <v/>
      </c>
      <c r="CV99" s="1940" t="str">
        <f t="shared" si="276"/>
        <v/>
      </c>
      <c r="CW99" s="1580"/>
      <c r="CX99" s="1799"/>
      <c r="CY99" s="1794"/>
      <c r="CZ99" s="1245"/>
      <c r="DA99" s="1802"/>
      <c r="DB99" s="1529"/>
      <c r="DC99" s="1529"/>
      <c r="DD99" s="1529"/>
      <c r="DE99" s="1529"/>
      <c r="DF99" s="1529"/>
      <c r="DG99" s="1529"/>
      <c r="DH99" s="1529"/>
      <c r="DI99" s="1529"/>
      <c r="DJ99" s="1529"/>
      <c r="DK99" s="1529"/>
      <c r="DL99" s="1529" t="str">
        <f>BY99</f>
        <v/>
      </c>
      <c r="DM99" s="1529" t="str">
        <f>CB99</f>
        <v/>
      </c>
      <c r="DN99" s="1529" t="str">
        <f>CJ99</f>
        <v/>
      </c>
      <c r="DO99" s="1529" t="str">
        <f>CM99</f>
        <v/>
      </c>
      <c r="DP99" s="1529" t="str">
        <f>CP99</f>
        <v/>
      </c>
      <c r="DQ99" s="1529" t="str">
        <f t="shared" si="272"/>
        <v/>
      </c>
      <c r="DS99" s="1583" t="s">
        <v>609</v>
      </c>
      <c r="DT99" s="1736"/>
      <c r="DU99" s="1580">
        <f>_xlfn.XLOOKUP(E99,E99:E184,CW99:CW184,"")</f>
        <v>0</v>
      </c>
      <c r="DV99" s="1943"/>
      <c r="DW99" s="1730" t="str">
        <f t="shared" si="329"/>
        <v>NEW</v>
      </c>
      <c r="DX99" s="1860">
        <f t="shared" ref="DX99:DX100" si="330">(Q99-J99)*100</f>
        <v>0</v>
      </c>
      <c r="DY99" s="1683" t="str">
        <f>_xlfn.XLOOKUP(E99,MOPFRA!$R$7:$R$56,MOPFRA!$D$7:$D$56,"")</f>
        <v/>
      </c>
      <c r="DZ99" s="1583" t="s">
        <v>609</v>
      </c>
    </row>
    <row r="100" spans="2:130" ht="68" customHeight="1">
      <c r="B100" s="1433"/>
      <c r="C100" s="1432"/>
      <c r="D100" s="1514"/>
      <c r="E100" s="1514"/>
      <c r="F100" s="981"/>
      <c r="G100" s="1204"/>
      <c r="H100" s="1211"/>
      <c r="I100" s="1714"/>
      <c r="J100" s="1712"/>
      <c r="K100" s="1205"/>
      <c r="L100" s="1728"/>
      <c r="M100" s="689"/>
      <c r="N100" s="689"/>
      <c r="O100" s="1718"/>
      <c r="P100" s="1714"/>
      <c r="Q100" s="1712"/>
      <c r="R100" s="557"/>
      <c r="S100" s="553"/>
      <c r="T100" s="553"/>
      <c r="U100" s="558"/>
      <c r="V100" s="591"/>
      <c r="W100" s="559"/>
      <c r="X100" s="560"/>
      <c r="Y100" s="1418"/>
      <c r="Z100" s="658"/>
      <c r="AA100" s="63"/>
      <c r="AB100" s="1147"/>
      <c r="AC100" s="63"/>
      <c r="AD100" s="63"/>
      <c r="AE100" s="63"/>
      <c r="AF100" s="63"/>
      <c r="AG100" s="63"/>
      <c r="AH100" s="63"/>
      <c r="AI100" s="63"/>
      <c r="AJ100" s="63"/>
      <c r="AK100" s="1791"/>
      <c r="AL100" s="63"/>
      <c r="AM100" s="63"/>
      <c r="AN100" s="1140"/>
      <c r="AO100" s="1594"/>
      <c r="AP100" s="1147"/>
      <c r="AQ100" s="1494"/>
      <c r="AR100" s="63">
        <v>6</v>
      </c>
      <c r="AS100" s="63"/>
      <c r="AT100" s="1427" t="str">
        <f t="shared" si="301"/>
        <v/>
      </c>
      <c r="AU100" s="1351" t="str">
        <f t="shared" si="302"/>
        <v/>
      </c>
      <c r="AV100" s="63"/>
      <c r="AW100" s="1427" t="str">
        <f t="shared" si="303"/>
        <v/>
      </c>
      <c r="AX100" s="1351" t="str">
        <f t="shared" si="304"/>
        <v/>
      </c>
      <c r="AY100" s="63"/>
      <c r="AZ100" s="1427" t="str">
        <f t="shared" si="305"/>
        <v/>
      </c>
      <c r="BA100" s="1351" t="str">
        <f t="shared" si="306"/>
        <v/>
      </c>
      <c r="BB100" s="63"/>
      <c r="BC100" s="1427" t="str">
        <f t="shared" si="307"/>
        <v/>
      </c>
      <c r="BD100" s="1351" t="str">
        <f t="shared" si="308"/>
        <v/>
      </c>
      <c r="BE100" s="63"/>
      <c r="BF100" s="1427" t="str">
        <f t="shared" si="309"/>
        <v/>
      </c>
      <c r="BG100" s="1351" t="str">
        <f t="shared" si="310"/>
        <v/>
      </c>
      <c r="BH100" s="63"/>
      <c r="BI100" s="1427" t="str">
        <f t="shared" si="311"/>
        <v/>
      </c>
      <c r="BJ100" s="1351" t="str">
        <f t="shared" si="312"/>
        <v/>
      </c>
      <c r="BK100" s="63"/>
      <c r="BL100" s="1427" t="str">
        <f t="shared" si="313"/>
        <v/>
      </c>
      <c r="BM100" s="1351" t="str">
        <f t="shared" si="314"/>
        <v/>
      </c>
      <c r="BN100" s="63"/>
      <c r="BO100" s="1427" t="str">
        <f t="shared" si="315"/>
        <v/>
      </c>
      <c r="BP100" s="1351" t="str">
        <f t="shared" si="316"/>
        <v/>
      </c>
      <c r="BQ100" s="63"/>
      <c r="BR100" s="1427" t="str">
        <f t="shared" si="317"/>
        <v/>
      </c>
      <c r="BS100" s="1351" t="str">
        <f t="shared" si="318"/>
        <v/>
      </c>
      <c r="BT100" s="63"/>
      <c r="BU100" s="1427" t="str">
        <f t="shared" si="319"/>
        <v/>
      </c>
      <c r="BV100" s="1351" t="str">
        <f t="shared" si="320"/>
        <v/>
      </c>
      <c r="BW100" s="63"/>
      <c r="BX100" s="1427" t="str">
        <f t="shared" si="321"/>
        <v/>
      </c>
      <c r="BY100" s="1351" t="str">
        <f t="shared" si="322"/>
        <v/>
      </c>
      <c r="BZ100" s="63"/>
      <c r="CA100" s="1427" t="str">
        <f t="shared" si="323"/>
        <v/>
      </c>
      <c r="CB100" s="1351" t="str">
        <f t="shared" si="324"/>
        <v/>
      </c>
      <c r="CC100" s="63">
        <v>6</v>
      </c>
      <c r="CD100" s="1594">
        <f t="shared" si="325"/>
        <v>0</v>
      </c>
      <c r="CE100" s="1939" t="str">
        <f t="shared" si="326"/>
        <v/>
      </c>
      <c r="CF100" s="1939"/>
      <c r="CG100" s="1895"/>
      <c r="CH100" s="1815"/>
      <c r="CI100" s="2039" t="str">
        <f>IFERROR(IF(OR(CI$3-$F100=1,CI$3-$F100=-11),(CH100-AS100)/AS100,((CH100-BZ100)-(AS100-AN100))/(AS100-AN100)),"")</f>
        <v/>
      </c>
      <c r="CJ100" s="2041" t="str">
        <f>IF(CH100&gt;0,((CH100-AS100)/AS100),"")</f>
        <v/>
      </c>
      <c r="CK100" s="1815"/>
      <c r="CL100" s="2039" t="str">
        <f>IFERROR(IF(OR(CL$3-$F100=1,CL$3-$F100=-11),(CK100-AV100)/AV100,((CK100-CH100)-(AV100-AS100))/(AV100-AS100)),"")</f>
        <v/>
      </c>
      <c r="CM100" s="2041" t="str">
        <f>IF(CK100&gt;0,((CK100-AV100)/AV100),"")</f>
        <v/>
      </c>
      <c r="CN100" s="1815"/>
      <c r="CO100" s="2039" t="str">
        <f>IFERROR(IF(OR(CO$3-$F100=1,CO$3-$F100=-11),(CN100-AY100)/AY100,((CN100-CK100)-(AY100-AV100))/(AY100-AV100)),"")</f>
        <v/>
      </c>
      <c r="CP100" s="2041" t="str">
        <f>IF(CN100&gt;0,((CN100-AY100)/AY100),"")</f>
        <v/>
      </c>
      <c r="CQ100" s="1815"/>
      <c r="CR100" s="2039" t="str">
        <f>IFERROR(IF(OR(CR$3-$F100=1,CR$3-$F100=-11),(CQ100-BB100)/BB100,((CQ100-CN100)-(BB100-AY100))/(BB100-AY100)),"")</f>
        <v/>
      </c>
      <c r="CS100" s="2041" t="str">
        <f>IF(CQ100&gt;0,((CQ100-BB100)/BB100),"")</f>
        <v/>
      </c>
      <c r="CU100" s="1948" t="str">
        <f>IFERROR(IF(CS100&gt;-100,CS100-CP100,""),"")</f>
        <v/>
      </c>
      <c r="CV100" s="1940" t="str">
        <f t="shared" si="276"/>
        <v/>
      </c>
      <c r="CW100" s="1580"/>
      <c r="CX100" s="1799"/>
      <c r="CY100" s="1794"/>
      <c r="CZ100" s="1245"/>
      <c r="DA100" s="1802"/>
      <c r="DB100" s="1529"/>
      <c r="DC100" s="1529"/>
      <c r="DD100" s="1529"/>
      <c r="DE100" s="1529"/>
      <c r="DF100" s="1529"/>
      <c r="DG100" s="1529"/>
      <c r="DH100" s="1529"/>
      <c r="DI100" s="1529"/>
      <c r="DJ100" s="1529"/>
      <c r="DK100" s="1529"/>
      <c r="DL100" s="1529" t="str">
        <f>BY100</f>
        <v/>
      </c>
      <c r="DM100" s="1529" t="str">
        <f>CB100</f>
        <v/>
      </c>
      <c r="DN100" s="1529" t="str">
        <f>CJ100</f>
        <v/>
      </c>
      <c r="DO100" s="1529" t="str">
        <f>CM100</f>
        <v/>
      </c>
      <c r="DP100" s="1529" t="str">
        <f>CP100</f>
        <v/>
      </c>
      <c r="DQ100" s="1529" t="str">
        <f t="shared" si="272"/>
        <v/>
      </c>
      <c r="DS100" s="1583" t="s">
        <v>609</v>
      </c>
      <c r="DT100" s="1736"/>
      <c r="DU100" s="1580">
        <f>_xlfn.XLOOKUP(E100,E100:E185,CW100:CW185,"")</f>
        <v>0</v>
      </c>
      <c r="DV100" s="1943"/>
      <c r="DW100" s="1730" t="str">
        <f t="shared" si="329"/>
        <v>NEW</v>
      </c>
      <c r="DX100" s="1860">
        <f t="shared" si="330"/>
        <v>0</v>
      </c>
      <c r="DY100" s="1683" t="str">
        <f>_xlfn.XLOOKUP(E100,MOPFRA!$R$7:$R$56,MOPFRA!$D$7:$D$56,"")</f>
        <v/>
      </c>
      <c r="DZ100" s="1583" t="s">
        <v>609</v>
      </c>
    </row>
  </sheetData>
  <autoFilter ref="B36:EA36" xr:uid="{054DAE2D-7E8C-DD45-841E-CFDCF3945E9D}">
    <sortState xmlns:xlrd2="http://schemas.microsoft.com/office/spreadsheetml/2017/richdata2" ref="B37:EA86">
      <sortCondition descending="1" ref="B36:B86"/>
    </sortState>
  </autoFilter>
  <phoneticPr fontId="39" type="noConversion"/>
  <conditionalFormatting sqref="B29:F32 G31:BT32 CV36:CV87 B37:CS87 CU37:CU87">
    <cfRule type="expression" dxfId="131" priority="1">
      <formula>ROW()=EVEN(ROW())</formula>
    </cfRule>
  </conditionalFormatting>
  <conditionalFormatting sqref="B4:CH4 CK4:CK32 CN4:CN32 CQ4:CQ32 AU5:BV5 B5:AT28 BW5:CH32 AU6:BK6 BL6:BV7 BA7:BK9 AU7:AZ30 BL8:BT9 BU8:BV32 BA10:BT30 G29:AT30 CD33:CF33">
    <cfRule type="expression" dxfId="130" priority="37">
      <formula>ROW()=EVEN(ROW())</formula>
    </cfRule>
  </conditionalFormatting>
  <conditionalFormatting sqref="S1:T1">
    <cfRule type="expression" dxfId="129" priority="115">
      <formula>ROW()=EVEN(ROW())</formula>
    </cfRule>
  </conditionalFormatting>
  <conditionalFormatting sqref="AS90:CS100">
    <cfRule type="expression" dxfId="128" priority="10">
      <formula>ROW()=EVEN(ROW())</formula>
    </cfRule>
  </conditionalFormatting>
  <conditionalFormatting sqref="AT1:AU1">
    <cfRule type="expression" dxfId="127" priority="12">
      <formula>ROW()=EVEN(ROW())</formula>
    </cfRule>
  </conditionalFormatting>
  <conditionalFormatting sqref="AW1:CB1 J34">
    <cfRule type="expression" dxfId="126" priority="75">
      <formula>ROW()=EVEN(ROW())</formula>
    </cfRule>
  </conditionalFormatting>
  <conditionalFormatting sqref="CI1:CJ1 CL1:CM1 CO1:CP1 CR1:CS1 CI4:CJ33 CL4:CM33 CO4:CP33 CR4:CS33 B91:AR100">
    <cfRule type="expression" dxfId="125" priority="4">
      <formula>ROW()=EVEN(ROW())</formula>
    </cfRule>
  </conditionalFormatting>
  <conditionalFormatting sqref="CU4:CV33 CU90:CV100">
    <cfRule type="expression" dxfId="124" priority="7">
      <formula>ROW()=EVEN(ROW())</formula>
    </cfRule>
  </conditionalFormatting>
  <conditionalFormatting sqref="DS4:DS33 DZ4:DZ33 DS35 DZ35:DZ100 DS37:DS100">
    <cfRule type="cellIs" dxfId="123" priority="44" operator="equal">
      <formula>"SS"</formula>
    </cfRule>
    <cfRule type="cellIs" dxfId="122" priority="45" operator="equal">
      <formula>"BB"</formula>
    </cfRule>
    <cfRule type="cellIs" dxfId="121" priority="46" operator="equal">
      <formula>"B"</formula>
    </cfRule>
    <cfRule type="cellIs" dxfId="120" priority="47" operator="equal">
      <formula>"S"</formula>
    </cfRule>
    <cfRule type="cellIs" dxfId="119" priority="48" operator="equal">
      <formula>"N"</formula>
    </cfRule>
    <cfRule type="expression" dxfId="118" priority="49">
      <formula>ROW()=EVEN(ROW())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C43EBB0-77AA-A14D-B4C7-4E97757EA6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Rec'!DA4:DQ4</xm:f>
              <xm:sqref>DR4</xm:sqref>
            </x14:sparkline>
            <x14:sparkline>
              <xm:f>'Sales Rec'!DA5:DQ5</xm:f>
              <xm:sqref>DR5</xm:sqref>
            </x14:sparkline>
            <x14:sparkline>
              <xm:f>'Sales Rec'!DA6:DQ6</xm:f>
              <xm:sqref>DR6</xm:sqref>
            </x14:sparkline>
            <x14:sparkline>
              <xm:f>'Sales Rec'!DA7:DQ7</xm:f>
              <xm:sqref>DR7</xm:sqref>
            </x14:sparkline>
            <x14:sparkline>
              <xm:f>'Sales Rec'!DA8:DQ8</xm:f>
              <xm:sqref>DR8</xm:sqref>
            </x14:sparkline>
            <x14:sparkline>
              <xm:f>'Sales Rec'!DA9:DQ9</xm:f>
              <xm:sqref>DR9</xm:sqref>
            </x14:sparkline>
            <x14:sparkline>
              <xm:f>'Sales Rec'!DA10:DQ10</xm:f>
              <xm:sqref>DR10</xm:sqref>
            </x14:sparkline>
            <x14:sparkline>
              <xm:f>'Sales Rec'!DA11:DQ11</xm:f>
              <xm:sqref>DR11</xm:sqref>
            </x14:sparkline>
            <x14:sparkline>
              <xm:f>'Sales Rec'!DA12:DQ12</xm:f>
              <xm:sqref>DR12</xm:sqref>
            </x14:sparkline>
            <x14:sparkline>
              <xm:f>'Sales Rec'!DA13:DQ13</xm:f>
              <xm:sqref>DR13</xm:sqref>
            </x14:sparkline>
            <x14:sparkline>
              <xm:f>'Sales Rec'!DA14:DQ14</xm:f>
              <xm:sqref>DR14</xm:sqref>
            </x14:sparkline>
            <x14:sparkline>
              <xm:f>'Sales Rec'!DA15:DQ15</xm:f>
              <xm:sqref>DR15</xm:sqref>
            </x14:sparkline>
            <x14:sparkline>
              <xm:f>'Sales Rec'!DA16:DQ16</xm:f>
              <xm:sqref>DR16</xm:sqref>
            </x14:sparkline>
            <x14:sparkline>
              <xm:f>'Sales Rec'!DA17:DQ17</xm:f>
              <xm:sqref>DR17</xm:sqref>
            </x14:sparkline>
            <x14:sparkline>
              <xm:f>'Sales Rec'!DA18:DQ18</xm:f>
              <xm:sqref>DR18</xm:sqref>
            </x14:sparkline>
            <x14:sparkline>
              <xm:f>'Sales Rec'!DA19:DQ19</xm:f>
              <xm:sqref>DR19</xm:sqref>
            </x14:sparkline>
            <x14:sparkline>
              <xm:f>'Sales Rec'!DA20:DQ20</xm:f>
              <xm:sqref>DR20</xm:sqref>
            </x14:sparkline>
            <x14:sparkline>
              <xm:f>'Sales Rec'!DA21:DQ21</xm:f>
              <xm:sqref>DR21</xm:sqref>
            </x14:sparkline>
            <x14:sparkline>
              <xm:f>'Sales Rec'!DA22:DQ22</xm:f>
              <xm:sqref>DR22</xm:sqref>
            </x14:sparkline>
            <x14:sparkline>
              <xm:f>'Sales Rec'!DA23:DQ23</xm:f>
              <xm:sqref>DR23</xm:sqref>
            </x14:sparkline>
            <x14:sparkline>
              <xm:f>'Sales Rec'!DA24:DQ24</xm:f>
              <xm:sqref>DR24</xm:sqref>
            </x14:sparkline>
            <x14:sparkline>
              <xm:f>'Sales Rec'!DA25:DQ25</xm:f>
              <xm:sqref>DR25</xm:sqref>
            </x14:sparkline>
            <x14:sparkline>
              <xm:f>'Sales Rec'!DA26:DQ26</xm:f>
              <xm:sqref>DR26</xm:sqref>
            </x14:sparkline>
            <x14:sparkline>
              <xm:f>'Sales Rec'!DA27:DQ27</xm:f>
              <xm:sqref>DR27</xm:sqref>
            </x14:sparkline>
            <x14:sparkline>
              <xm:f>'Sales Rec'!DA28:DQ28</xm:f>
              <xm:sqref>DR28</xm:sqref>
            </x14:sparkline>
            <x14:sparkline>
              <xm:f>'Sales Rec'!DA29:DQ29</xm:f>
              <xm:sqref>DR29</xm:sqref>
            </x14:sparkline>
            <x14:sparkline>
              <xm:f>'Sales Rec'!DA30:DQ30</xm:f>
              <xm:sqref>DR30</xm:sqref>
            </x14:sparkline>
            <x14:sparkline>
              <xm:f>'Sales Rec'!DA31:DQ31</xm:f>
              <xm:sqref>DR31</xm:sqref>
            </x14:sparkline>
            <x14:sparkline>
              <xm:f>'Sales Rec'!DA32:DQ32</xm:f>
              <xm:sqref>DR32</xm:sqref>
            </x14:sparkline>
            <x14:sparkline>
              <xm:f>'Sales Rec'!DA33:DQ33</xm:f>
              <xm:sqref>DR33</xm:sqref>
            </x14:sparkline>
            <x14:sparkline>
              <xm:f>'Sales Rec'!DA34:DQ34</xm:f>
              <xm:sqref>DR34</xm:sqref>
            </x14:sparkline>
            <x14:sparkline>
              <xm:f>'Sales Rec'!DA35:DQ35</xm:f>
              <xm:sqref>DR35</xm:sqref>
            </x14:sparkline>
            <x14:sparkline>
              <xm:f>'Sales Rec'!DA36:DQ36</xm:f>
              <xm:sqref>DR36</xm:sqref>
            </x14:sparkline>
            <x14:sparkline>
              <xm:f>'Sales Rec'!DA37:DQ37</xm:f>
              <xm:sqref>DR37</xm:sqref>
            </x14:sparkline>
            <x14:sparkline>
              <xm:f>'Sales Rec'!DA38:DQ38</xm:f>
              <xm:sqref>DR38</xm:sqref>
            </x14:sparkline>
            <x14:sparkline>
              <xm:f>'Sales Rec'!DA39:DQ39</xm:f>
              <xm:sqref>DR39</xm:sqref>
            </x14:sparkline>
            <x14:sparkline>
              <xm:f>'Sales Rec'!DA40:DQ40</xm:f>
              <xm:sqref>DR40</xm:sqref>
            </x14:sparkline>
            <x14:sparkline>
              <xm:f>'Sales Rec'!DA41:DQ41</xm:f>
              <xm:sqref>DR41</xm:sqref>
            </x14:sparkline>
            <x14:sparkline>
              <xm:f>'Sales Rec'!DA42:DQ42</xm:f>
              <xm:sqref>DR42</xm:sqref>
            </x14:sparkline>
            <x14:sparkline>
              <xm:f>'Sales Rec'!DA43:DQ43</xm:f>
              <xm:sqref>DR43</xm:sqref>
            </x14:sparkline>
            <x14:sparkline>
              <xm:f>'Sales Rec'!DA44:DQ44</xm:f>
              <xm:sqref>DR44</xm:sqref>
            </x14:sparkline>
            <x14:sparkline>
              <xm:f>'Sales Rec'!DA45:DQ45</xm:f>
              <xm:sqref>DR45</xm:sqref>
            </x14:sparkline>
            <x14:sparkline>
              <xm:f>'Sales Rec'!DA46:DQ46</xm:f>
              <xm:sqref>DR46</xm:sqref>
            </x14:sparkline>
            <x14:sparkline>
              <xm:f>'Sales Rec'!DA47:DQ47</xm:f>
              <xm:sqref>DR47</xm:sqref>
            </x14:sparkline>
            <x14:sparkline>
              <xm:f>'Sales Rec'!DA48:DQ48</xm:f>
              <xm:sqref>DR48</xm:sqref>
            </x14:sparkline>
            <x14:sparkline>
              <xm:f>'Sales Rec'!DA49:DQ49</xm:f>
              <xm:sqref>DR49</xm:sqref>
            </x14:sparkline>
            <x14:sparkline>
              <xm:f>'Sales Rec'!DA50:DQ50</xm:f>
              <xm:sqref>DR50</xm:sqref>
            </x14:sparkline>
            <x14:sparkline>
              <xm:f>'Sales Rec'!DA51:DQ51</xm:f>
              <xm:sqref>DR51</xm:sqref>
            </x14:sparkline>
            <x14:sparkline>
              <xm:f>'Sales Rec'!DA52:DQ52</xm:f>
              <xm:sqref>DR52</xm:sqref>
            </x14:sparkline>
            <x14:sparkline>
              <xm:f>'Sales Rec'!DA53:DQ53</xm:f>
              <xm:sqref>DR53</xm:sqref>
            </x14:sparkline>
            <x14:sparkline>
              <xm:f>'Sales Rec'!DA54:DQ54</xm:f>
              <xm:sqref>DR54</xm:sqref>
            </x14:sparkline>
            <x14:sparkline>
              <xm:f>'Sales Rec'!DA55:DQ55</xm:f>
              <xm:sqref>DR55</xm:sqref>
            </x14:sparkline>
            <x14:sparkline>
              <xm:f>'Sales Rec'!DA56:DQ56</xm:f>
              <xm:sqref>DR56</xm:sqref>
            </x14:sparkline>
            <x14:sparkline>
              <xm:f>'Sales Rec'!DA57:DQ57</xm:f>
              <xm:sqref>DR57</xm:sqref>
            </x14:sparkline>
            <x14:sparkline>
              <xm:f>'Sales Rec'!DA58:DQ58</xm:f>
              <xm:sqref>DR58</xm:sqref>
            </x14:sparkline>
            <x14:sparkline>
              <xm:f>'Sales Rec'!DA59:DQ59</xm:f>
              <xm:sqref>DR59</xm:sqref>
            </x14:sparkline>
            <x14:sparkline>
              <xm:f>'Sales Rec'!DA60:DQ60</xm:f>
              <xm:sqref>DR60</xm:sqref>
            </x14:sparkline>
            <x14:sparkline>
              <xm:f>'Sales Rec'!DA61:DQ61</xm:f>
              <xm:sqref>DR61</xm:sqref>
            </x14:sparkline>
            <x14:sparkline>
              <xm:f>'Sales Rec'!DA62:DQ62</xm:f>
              <xm:sqref>DR62</xm:sqref>
            </x14:sparkline>
            <x14:sparkline>
              <xm:f>'Sales Rec'!DA63:DQ63</xm:f>
              <xm:sqref>DR63</xm:sqref>
            </x14:sparkline>
            <x14:sparkline>
              <xm:f>'Sales Rec'!DA64:DQ64</xm:f>
              <xm:sqref>DR64</xm:sqref>
            </x14:sparkline>
            <x14:sparkline>
              <xm:f>'Sales Rec'!DA65:DQ65</xm:f>
              <xm:sqref>DR65</xm:sqref>
            </x14:sparkline>
            <x14:sparkline>
              <xm:f>'Sales Rec'!DA66:DQ66</xm:f>
              <xm:sqref>DR66</xm:sqref>
            </x14:sparkline>
            <x14:sparkline>
              <xm:f>'Sales Rec'!DA67:DQ67</xm:f>
              <xm:sqref>DR67</xm:sqref>
            </x14:sparkline>
            <x14:sparkline>
              <xm:f>'Sales Rec'!DA68:DQ68</xm:f>
              <xm:sqref>DR68</xm:sqref>
            </x14:sparkline>
            <x14:sparkline>
              <xm:f>'Sales Rec'!DA69:DQ69</xm:f>
              <xm:sqref>DR69</xm:sqref>
            </x14:sparkline>
            <x14:sparkline>
              <xm:f>'Sales Rec'!DA70:DQ70</xm:f>
              <xm:sqref>DR70</xm:sqref>
            </x14:sparkline>
            <x14:sparkline>
              <xm:f>'Sales Rec'!DA71:DQ71</xm:f>
              <xm:sqref>DR71</xm:sqref>
            </x14:sparkline>
            <x14:sparkline>
              <xm:f>'Sales Rec'!DA72:DQ72</xm:f>
              <xm:sqref>DR72</xm:sqref>
            </x14:sparkline>
            <x14:sparkline>
              <xm:f>'Sales Rec'!DA73:DQ73</xm:f>
              <xm:sqref>DR73</xm:sqref>
            </x14:sparkline>
            <x14:sparkline>
              <xm:f>'Sales Rec'!DA74:DQ74</xm:f>
              <xm:sqref>DR74</xm:sqref>
            </x14:sparkline>
            <x14:sparkline>
              <xm:f>'Sales Rec'!DA75:DQ75</xm:f>
              <xm:sqref>DR75</xm:sqref>
            </x14:sparkline>
            <x14:sparkline>
              <xm:f>'Sales Rec'!DA76:DQ76</xm:f>
              <xm:sqref>DR76</xm:sqref>
            </x14:sparkline>
            <x14:sparkline>
              <xm:f>'Sales Rec'!DA77:DQ77</xm:f>
              <xm:sqref>DR77</xm:sqref>
            </x14:sparkline>
            <x14:sparkline>
              <xm:f>'Sales Rec'!DA78:DQ78</xm:f>
              <xm:sqref>DR78</xm:sqref>
            </x14:sparkline>
            <x14:sparkline>
              <xm:f>'Sales Rec'!DA79:DQ79</xm:f>
              <xm:sqref>DR79</xm:sqref>
            </x14:sparkline>
            <x14:sparkline>
              <xm:f>'Sales Rec'!DA80:DQ80</xm:f>
              <xm:sqref>DR80</xm:sqref>
            </x14:sparkline>
            <x14:sparkline>
              <xm:f>'Sales Rec'!DA81:DQ81</xm:f>
              <xm:sqref>DR81</xm:sqref>
            </x14:sparkline>
            <x14:sparkline>
              <xm:f>'Sales Rec'!DA82:DQ82</xm:f>
              <xm:sqref>DR82</xm:sqref>
            </x14:sparkline>
            <x14:sparkline>
              <xm:f>'Sales Rec'!DA83:DQ83</xm:f>
              <xm:sqref>DR83</xm:sqref>
            </x14:sparkline>
            <x14:sparkline>
              <xm:f>'Sales Rec'!DA84:DQ84</xm:f>
              <xm:sqref>DR84</xm:sqref>
            </x14:sparkline>
            <x14:sparkline>
              <xm:f>'Sales Rec'!DA85:DQ85</xm:f>
              <xm:sqref>DR85</xm:sqref>
            </x14:sparkline>
            <x14:sparkline>
              <xm:f>'Sales Rec'!DA86:DQ86</xm:f>
              <xm:sqref>DR86</xm:sqref>
            </x14:sparkline>
            <x14:sparkline>
              <xm:f>'Sales Rec'!DA87:DQ87</xm:f>
              <xm:sqref>DR87</xm:sqref>
            </x14:sparkline>
            <x14:sparkline>
              <xm:f>'Sales Rec'!DA88:DQ88</xm:f>
              <xm:sqref>DR88</xm:sqref>
            </x14:sparkline>
            <x14:sparkline>
              <xm:f>'Sales Rec'!DA89:DQ89</xm:f>
              <xm:sqref>DR89</xm:sqref>
            </x14:sparkline>
            <x14:sparkline>
              <xm:f>'Sales Rec'!DA90:DQ90</xm:f>
              <xm:sqref>DR90</xm:sqref>
            </x14:sparkline>
            <x14:sparkline>
              <xm:f>'Sales Rec'!DA91:DQ91</xm:f>
              <xm:sqref>DR91</xm:sqref>
            </x14:sparkline>
            <x14:sparkline>
              <xm:f>'Sales Rec'!DA92:DQ92</xm:f>
              <xm:sqref>DR92</xm:sqref>
            </x14:sparkline>
            <x14:sparkline>
              <xm:f>'Sales Rec'!DA93:DQ93</xm:f>
              <xm:sqref>DR93</xm:sqref>
            </x14:sparkline>
            <x14:sparkline>
              <xm:f>'Sales Rec'!DA94:DQ94</xm:f>
              <xm:sqref>DR94</xm:sqref>
            </x14:sparkline>
            <x14:sparkline>
              <xm:f>'Sales Rec'!DA95:DQ95</xm:f>
              <xm:sqref>DR95</xm:sqref>
            </x14:sparkline>
            <x14:sparkline>
              <xm:f>'Sales Rec'!DA96:DQ96</xm:f>
              <xm:sqref>DR96</xm:sqref>
            </x14:sparkline>
            <x14:sparkline>
              <xm:f>'Sales Rec'!DA97:DQ97</xm:f>
              <xm:sqref>DR97</xm:sqref>
            </x14:sparkline>
            <x14:sparkline>
              <xm:f>'Sales Rec'!DA98:DQ98</xm:f>
              <xm:sqref>DR98</xm:sqref>
            </x14:sparkline>
            <x14:sparkline>
              <xm:f>'Sales Rec'!DA99:DQ99</xm:f>
              <xm:sqref>DR99</xm:sqref>
            </x14:sparkline>
            <x14:sparkline>
              <xm:f>'Sales Rec'!DA100:DQ100</xm:f>
              <xm:sqref>DR100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CB47-9422-2D4A-9A89-9CB07705B3B5}">
  <sheetPr>
    <tabColor theme="7"/>
    <pageSetUpPr fitToPage="1"/>
  </sheetPr>
  <dimension ref="A1:T83"/>
  <sheetViews>
    <sheetView zoomScale="40" zoomScaleNormal="40" workbookViewId="0">
      <pane xSplit="7" ySplit="2" topLeftCell="H70" activePane="bottomRight" state="frozen"/>
      <selection pane="topRight" activeCell="I1" sqref="I1"/>
      <selection pane="bottomLeft" activeCell="A3" sqref="A3"/>
      <selection pane="bottomRight" activeCell="G83" sqref="G83"/>
    </sheetView>
  </sheetViews>
  <sheetFormatPr baseColWidth="10" defaultColWidth="11" defaultRowHeight="31"/>
  <cols>
    <col min="1" max="1" width="7.5" bestFit="1" customWidth="1"/>
    <col min="2" max="2" width="34.1640625" customWidth="1"/>
    <col min="3" max="3" width="24" customWidth="1"/>
    <col min="4" max="4" width="11.5" customWidth="1"/>
    <col min="5" max="5" width="20" customWidth="1"/>
    <col min="6" max="6" width="13.33203125" customWidth="1"/>
    <col min="7" max="7" width="15.5" style="102" customWidth="1"/>
    <col min="8" max="8" width="34.33203125" customWidth="1"/>
    <col min="9" max="9" width="36.6640625" customWidth="1"/>
    <col min="10" max="10" width="29.83203125" customWidth="1"/>
    <col min="11" max="11" width="34.5" customWidth="1"/>
    <col min="12" max="12" width="32.5" customWidth="1"/>
    <col min="13" max="13" width="30.83203125" customWidth="1"/>
    <col min="14" max="14" width="26.1640625" customWidth="1"/>
    <col min="15" max="15" width="3.83203125" style="102" customWidth="1"/>
    <col min="16" max="16" width="19.5" style="2162" customWidth="1"/>
    <col min="17" max="17" width="26.5" style="102" customWidth="1"/>
    <col min="18" max="18" width="19" style="2162" customWidth="1"/>
    <col min="19" max="19" width="30" style="102" customWidth="1"/>
    <col min="20" max="20" width="24" style="102" customWidth="1"/>
  </cols>
  <sheetData>
    <row r="1" spans="1:20" s="552" customFormat="1" ht="218" customHeight="1" thickBot="1">
      <c r="A1" s="2185"/>
      <c r="B1" s="2179" t="s">
        <v>511</v>
      </c>
      <c r="C1" s="2179" t="s">
        <v>11</v>
      </c>
      <c r="D1" s="2179" t="s">
        <v>512</v>
      </c>
      <c r="E1" s="2179" t="s">
        <v>1617</v>
      </c>
      <c r="F1" s="2179" t="s">
        <v>517</v>
      </c>
      <c r="G1" s="2180" t="s">
        <v>518</v>
      </c>
      <c r="H1" s="2179" t="s">
        <v>519</v>
      </c>
      <c r="I1" s="2179" t="s">
        <v>520</v>
      </c>
      <c r="J1" s="2179" t="s">
        <v>1618</v>
      </c>
      <c r="K1" s="2179" t="s">
        <v>1619</v>
      </c>
      <c r="L1" s="2179" t="s">
        <v>1620</v>
      </c>
      <c r="M1" s="2179" t="s">
        <v>1621</v>
      </c>
      <c r="N1" s="2179" t="s">
        <v>1622</v>
      </c>
      <c r="O1" s="2181"/>
      <c r="P1" s="2182" t="s">
        <v>1623</v>
      </c>
      <c r="Q1" s="2183" t="s">
        <v>1624</v>
      </c>
      <c r="R1" s="2163" t="s">
        <v>586</v>
      </c>
      <c r="S1" s="2184" t="s">
        <v>1625</v>
      </c>
      <c r="T1" s="2180" t="s">
        <v>1626</v>
      </c>
    </row>
    <row r="2" spans="1:20" s="552" customFormat="1" ht="27" customHeight="1">
      <c r="B2" s="1805"/>
      <c r="C2" s="1805"/>
      <c r="D2" s="1805"/>
      <c r="E2" s="1805"/>
      <c r="F2" s="1805"/>
      <c r="G2" s="1806"/>
      <c r="H2" s="1805"/>
      <c r="I2" s="1805"/>
      <c r="J2" s="1805"/>
      <c r="K2" s="1805"/>
      <c r="L2" s="1805"/>
      <c r="M2" s="1805"/>
      <c r="N2" s="1805"/>
      <c r="O2" s="1807"/>
      <c r="P2" s="2161"/>
      <c r="Q2" s="2051"/>
      <c r="R2" s="2161"/>
      <c r="S2" s="2038"/>
      <c r="T2" s="2038"/>
    </row>
    <row r="3" spans="1:20" ht="100" customHeight="1">
      <c r="A3" s="2146">
        <v>1</v>
      </c>
      <c r="B3" s="2164" t="s">
        <v>76</v>
      </c>
      <c r="C3" s="2164" t="s">
        <v>77</v>
      </c>
      <c r="D3" s="2165">
        <v>12</v>
      </c>
      <c r="E3" s="2166">
        <v>1524</v>
      </c>
      <c r="F3" s="2167">
        <v>4</v>
      </c>
      <c r="G3" s="2168">
        <f t="shared" ref="G3:G31" si="0">IF(F3&gt;D3,(F3-D3),((12-D3)+F3))</f>
        <v>4</v>
      </c>
      <c r="H3" s="2268">
        <v>370</v>
      </c>
      <c r="I3" s="2269">
        <v>799</v>
      </c>
      <c r="J3" s="2270">
        <v>234</v>
      </c>
      <c r="K3" s="2271">
        <v>565</v>
      </c>
      <c r="L3" s="2268">
        <v>57</v>
      </c>
      <c r="M3" s="2269">
        <v>217</v>
      </c>
      <c r="N3" s="2270">
        <v>90</v>
      </c>
      <c r="O3" s="2151"/>
      <c r="P3" s="2186">
        <f>_xlfn.XLOOKUP($C3,'Sales History'!$C$4:$C$83,'Sales History'!$AL$4:$AL$83,"")</f>
        <v>225</v>
      </c>
      <c r="Q3" s="2273">
        <f>IF(J3&lt;1,"",J3-P3)</f>
        <v>9</v>
      </c>
      <c r="R3" s="2266">
        <f>_xlfn.XLOOKUP($C3,'Sales History'!$C$4:$C$83,'Sales History'!$AM$4:$AM$83,"")</f>
        <v>1.0250896057347669</v>
      </c>
      <c r="S3" s="2283">
        <f>_xlfn.XLOOKUP($C3,'Sales History'!$C$4:$C$83,'Sales History'!$AQ$4:$AQ$83,"")</f>
        <v>1.1594594594594594</v>
      </c>
      <c r="T3" s="2284">
        <f>IFERROR((S3-R3)*100,"")</f>
        <v>13.436985372469245</v>
      </c>
    </row>
    <row r="4" spans="1:20" ht="100" customHeight="1">
      <c r="A4" s="2146">
        <v>2</v>
      </c>
      <c r="B4" s="2164" t="s">
        <v>62</v>
      </c>
      <c r="C4" s="2164" t="s">
        <v>63</v>
      </c>
      <c r="D4" s="2165">
        <v>12</v>
      </c>
      <c r="E4" s="2166">
        <v>2268</v>
      </c>
      <c r="F4" s="2167">
        <v>4</v>
      </c>
      <c r="G4" s="2168">
        <f t="shared" si="0"/>
        <v>4</v>
      </c>
      <c r="H4" s="2268">
        <v>640</v>
      </c>
      <c r="I4" s="2269">
        <v>1219</v>
      </c>
      <c r="J4" s="2270">
        <v>327</v>
      </c>
      <c r="K4" s="2271">
        <v>892</v>
      </c>
      <c r="L4" s="2268">
        <v>26</v>
      </c>
      <c r="M4" s="2269">
        <v>0</v>
      </c>
      <c r="N4" s="2270">
        <v>0</v>
      </c>
      <c r="O4" s="2151"/>
      <c r="P4" s="2186">
        <f>_xlfn.XLOOKUP($C4,'Sales History'!$C$4:$C$83,'Sales History'!$AL$4:$AL$83,"")</f>
        <v>369</v>
      </c>
      <c r="Q4" s="2273">
        <f t="shared" ref="Q4:Q67" si="1">IF(J4&lt;1,"",J4-P4)</f>
        <v>-42</v>
      </c>
      <c r="R4" s="2266">
        <f>_xlfn.XLOOKUP($C4,'Sales History'!$C$4:$C$83,'Sales History'!$AM$4:$AM$83,"")</f>
        <v>0.85062240663900412</v>
      </c>
      <c r="S4" s="2283">
        <f>_xlfn.XLOOKUP($C4,'Sales History'!$C$4:$C$83,'Sales History'!$AQ$4:$AQ$83,"")</f>
        <v>0.90468749999999998</v>
      </c>
      <c r="T4" s="2284">
        <f t="shared" ref="T4:T67" si="2">IFERROR((S4-R4)*100,"")</f>
        <v>5.4065093360995853</v>
      </c>
    </row>
    <row r="5" spans="1:20" ht="100" customHeight="1">
      <c r="A5" s="2146">
        <v>3</v>
      </c>
      <c r="B5" s="2164" t="s">
        <v>34</v>
      </c>
      <c r="C5" s="2164" t="s">
        <v>35</v>
      </c>
      <c r="D5" s="2165">
        <v>12</v>
      </c>
      <c r="E5" s="2166">
        <v>1870</v>
      </c>
      <c r="F5" s="2167">
        <v>4</v>
      </c>
      <c r="G5" s="2168">
        <f t="shared" si="0"/>
        <v>4</v>
      </c>
      <c r="H5" s="2268">
        <v>494</v>
      </c>
      <c r="I5" s="2269">
        <v>778</v>
      </c>
      <c r="J5" s="2270">
        <v>122</v>
      </c>
      <c r="K5" s="2271">
        <v>656</v>
      </c>
      <c r="L5" s="2268">
        <v>225</v>
      </c>
      <c r="M5" s="2269">
        <v>324</v>
      </c>
      <c r="N5" s="2270">
        <v>8</v>
      </c>
      <c r="O5" s="2151"/>
      <c r="P5" s="2186">
        <f>_xlfn.XLOOKUP($C5,'Sales History'!$C$4:$C$83,'Sales History'!$AL$4:$AL$83,"")</f>
        <v>260</v>
      </c>
      <c r="Q5" s="2273">
        <f t="shared" si="1"/>
        <v>-138</v>
      </c>
      <c r="R5" s="2266">
        <f>_xlfn.XLOOKUP($C5,'Sales History'!$C$4:$C$83,'Sales History'!$AM$4:$AM$83,"")</f>
        <v>0.66075949367088604</v>
      </c>
      <c r="S5" s="2283">
        <f>_xlfn.XLOOKUP($C5,'Sales History'!$C$4:$C$83,'Sales History'!$AQ$4:$AQ$83,"")</f>
        <v>0.5748987854251012</v>
      </c>
      <c r="T5" s="2284">
        <f t="shared" si="2"/>
        <v>-8.5860708245784849</v>
      </c>
    </row>
    <row r="6" spans="1:20" ht="100" customHeight="1">
      <c r="A6" s="2146">
        <v>4</v>
      </c>
      <c r="B6" s="2164" t="s">
        <v>38</v>
      </c>
      <c r="C6" s="2164" t="s">
        <v>39</v>
      </c>
      <c r="D6" s="2165">
        <v>12</v>
      </c>
      <c r="E6" s="2166">
        <v>4210</v>
      </c>
      <c r="F6" s="2167">
        <v>4</v>
      </c>
      <c r="G6" s="2168">
        <f t="shared" si="0"/>
        <v>4</v>
      </c>
      <c r="H6" s="2268">
        <v>1398</v>
      </c>
      <c r="I6" s="2269">
        <v>2790</v>
      </c>
      <c r="J6" s="2270">
        <v>661</v>
      </c>
      <c r="K6" s="2271">
        <v>2130</v>
      </c>
      <c r="L6" s="2268">
        <v>793</v>
      </c>
      <c r="M6" s="2269">
        <v>1881</v>
      </c>
      <c r="N6" s="2270">
        <v>432</v>
      </c>
      <c r="O6" s="2151"/>
      <c r="P6" s="2186">
        <f>_xlfn.XLOOKUP($C6,'Sales History'!$C$4:$C$83,'Sales History'!$AL$4:$AL$83,"")</f>
        <v>654</v>
      </c>
      <c r="Q6" s="2273">
        <f t="shared" si="1"/>
        <v>7</v>
      </c>
      <c r="R6" s="2266">
        <f>_xlfn.XLOOKUP($C6,'Sales History'!$C$4:$C$83,'Sales History'!$AM$4:$AM$83,"")</f>
        <v>1.1646341463414633</v>
      </c>
      <c r="S6" s="2283">
        <f>_xlfn.XLOOKUP($C6,'Sales History'!$C$4:$C$83,'Sales History'!$AQ$4:$AQ$83,"")</f>
        <v>0.99570815450643779</v>
      </c>
      <c r="T6" s="2284">
        <f t="shared" si="2"/>
        <v>-16.892599183502554</v>
      </c>
    </row>
    <row r="7" spans="1:20" ht="100" customHeight="1">
      <c r="A7" s="2146">
        <v>5</v>
      </c>
      <c r="B7" s="2164" t="s">
        <v>78</v>
      </c>
      <c r="C7" s="2164" t="s">
        <v>79</v>
      </c>
      <c r="D7" s="2165">
        <v>9</v>
      </c>
      <c r="E7" s="2166">
        <v>1690</v>
      </c>
      <c r="F7" s="2167">
        <v>4</v>
      </c>
      <c r="G7" s="2168">
        <f t="shared" si="0"/>
        <v>7</v>
      </c>
      <c r="H7" s="2268">
        <v>738</v>
      </c>
      <c r="I7" s="2269">
        <v>1296</v>
      </c>
      <c r="J7" s="2270">
        <v>156</v>
      </c>
      <c r="K7" s="2271">
        <v>1140</v>
      </c>
      <c r="L7" s="2268">
        <v>212</v>
      </c>
      <c r="M7" s="2269">
        <v>512</v>
      </c>
      <c r="N7" s="2270">
        <v>28</v>
      </c>
      <c r="O7" s="2151"/>
      <c r="P7" s="2186">
        <f>_xlfn.XLOOKUP($C7,'Sales History'!$C$4:$C$83,'Sales History'!$AL$4:$AL$83,"")</f>
        <v>247</v>
      </c>
      <c r="Q7" s="2273">
        <f t="shared" si="1"/>
        <v>-91</v>
      </c>
      <c r="R7" s="2266">
        <f>_xlfn.XLOOKUP($C7,'Sales History'!$C$4:$C$83,'Sales History'!$AM$4:$AM$83,"")</f>
        <v>0.91596638655462181</v>
      </c>
      <c r="S7" s="2283">
        <f>_xlfn.XLOOKUP($C7,'Sales History'!$C$4:$C$83,'Sales History'!$AQ$4:$AQ$83,"")</f>
        <v>0.75609756097560976</v>
      </c>
      <c r="T7" s="2284">
        <f t="shared" si="2"/>
        <v>-15.986882557901206</v>
      </c>
    </row>
    <row r="8" spans="1:20" ht="100" customHeight="1">
      <c r="A8" s="2146">
        <v>6</v>
      </c>
      <c r="B8" s="2164" t="s">
        <v>46</v>
      </c>
      <c r="C8" s="2164" t="s">
        <v>47</v>
      </c>
      <c r="D8" s="2165">
        <v>12</v>
      </c>
      <c r="E8" s="2166">
        <v>2832</v>
      </c>
      <c r="F8" s="2167">
        <v>4</v>
      </c>
      <c r="G8" s="2168">
        <f t="shared" si="0"/>
        <v>4</v>
      </c>
      <c r="H8" s="2268">
        <v>793</v>
      </c>
      <c r="I8" s="2269">
        <v>1609</v>
      </c>
      <c r="J8" s="2270">
        <v>388</v>
      </c>
      <c r="K8" s="2271">
        <v>1221</v>
      </c>
      <c r="L8" s="2268">
        <v>550</v>
      </c>
      <c r="M8" s="2269">
        <v>1372</v>
      </c>
      <c r="N8" s="2270">
        <v>321</v>
      </c>
      <c r="O8" s="2151"/>
      <c r="P8" s="2186">
        <f>_xlfn.XLOOKUP($C8,'Sales History'!$C$4:$C$83,'Sales History'!$AL$4:$AL$83,"")</f>
        <v>340</v>
      </c>
      <c r="Q8" s="2273">
        <f t="shared" si="1"/>
        <v>48</v>
      </c>
      <c r="R8" s="2266">
        <f>_xlfn.XLOOKUP($C8,'Sales History'!$C$4:$C$83,'Sales History'!$AM$4:$AM$83,"")</f>
        <v>1.130890052356021</v>
      </c>
      <c r="S8" s="2283">
        <f>_xlfn.XLOOKUP($C8,'Sales History'!$C$4:$C$83,'Sales History'!$AQ$4:$AQ$83,"")</f>
        <v>1.0290037831021437</v>
      </c>
      <c r="T8" s="2284">
        <f t="shared" si="2"/>
        <v>-10.188626925387734</v>
      </c>
    </row>
    <row r="9" spans="1:20" ht="100" customHeight="1">
      <c r="A9" s="2146">
        <v>7</v>
      </c>
      <c r="B9" s="2164" t="s">
        <v>64</v>
      </c>
      <c r="C9" s="2164" t="s">
        <v>65</v>
      </c>
      <c r="D9" s="2165">
        <v>9</v>
      </c>
      <c r="E9" s="2166">
        <v>4210</v>
      </c>
      <c r="F9" s="2167">
        <v>4</v>
      </c>
      <c r="G9" s="2168">
        <f t="shared" si="0"/>
        <v>7</v>
      </c>
      <c r="H9" s="2268">
        <v>2187</v>
      </c>
      <c r="I9" s="2269">
        <v>3998</v>
      </c>
      <c r="J9" s="2270">
        <v>729</v>
      </c>
      <c r="K9" s="2271">
        <v>3269</v>
      </c>
      <c r="L9" s="2268">
        <v>223</v>
      </c>
      <c r="M9" s="2269">
        <v>486</v>
      </c>
      <c r="N9" s="2270">
        <v>107</v>
      </c>
      <c r="O9" s="2151"/>
      <c r="P9" s="2186">
        <f>_xlfn.XLOOKUP($C9,'Sales History'!$C$4:$C$83,'Sales History'!$AL$4:$AL$83,"")</f>
        <v>707</v>
      </c>
      <c r="Q9" s="2273">
        <f t="shared" si="1"/>
        <v>22</v>
      </c>
      <c r="R9" s="2266">
        <f>_xlfn.XLOOKUP($C9,'Sales History'!$C$4:$C$83,'Sales History'!$AM$4:$AM$83,"")</f>
        <v>0.82015590200445432</v>
      </c>
      <c r="S9" s="2283">
        <f>_xlfn.XLOOKUP($C9,'Sales History'!$C$4:$C$83,'Sales History'!$AQ$4:$AQ$83,"")</f>
        <v>0.82807498856881578</v>
      </c>
      <c r="T9" s="2284">
        <f t="shared" si="2"/>
        <v>0.79190865643614661</v>
      </c>
    </row>
    <row r="10" spans="1:20" ht="100" customHeight="1">
      <c r="A10" s="2146">
        <v>8</v>
      </c>
      <c r="B10" s="2164" t="s">
        <v>74</v>
      </c>
      <c r="C10" s="2164" t="s">
        <v>75</v>
      </c>
      <c r="D10" s="2165">
        <v>12</v>
      </c>
      <c r="E10" s="2166">
        <v>6294</v>
      </c>
      <c r="F10" s="2167">
        <v>4</v>
      </c>
      <c r="G10" s="2168">
        <f t="shared" si="0"/>
        <v>4</v>
      </c>
      <c r="H10" s="2268">
        <v>2063</v>
      </c>
      <c r="I10" s="2269">
        <v>3197</v>
      </c>
      <c r="J10" s="2270">
        <v>867</v>
      </c>
      <c r="K10" s="2271">
        <v>2330</v>
      </c>
      <c r="L10" s="2268">
        <v>0</v>
      </c>
      <c r="M10" s="2269">
        <v>0</v>
      </c>
      <c r="N10" s="2270">
        <v>0</v>
      </c>
      <c r="O10" s="2151"/>
      <c r="P10" s="2186">
        <f>_xlfn.XLOOKUP($C10,'Sales History'!$C$4:$C$83,'Sales History'!$AL$4:$AL$83,"")</f>
        <v>988</v>
      </c>
      <c r="Q10" s="2273">
        <f t="shared" si="1"/>
        <v>-121</v>
      </c>
      <c r="R10" s="2266">
        <f>_xlfn.XLOOKUP($C10,'Sales History'!$C$4:$C$83,'Sales History'!$AM$4:$AM$83,"")</f>
        <v>0.45989974937343359</v>
      </c>
      <c r="S10" s="2283">
        <f>_xlfn.XLOOKUP($C10,'Sales History'!$C$4:$C$83,'Sales History'!$AQ$4:$AQ$83,"")</f>
        <v>0.54968492486669895</v>
      </c>
      <c r="T10" s="2284">
        <f t="shared" si="2"/>
        <v>8.9785175493265363</v>
      </c>
    </row>
    <row r="11" spans="1:20" ht="100" customHeight="1">
      <c r="A11" s="2146">
        <v>9</v>
      </c>
      <c r="B11" s="2164" t="s">
        <v>70</v>
      </c>
      <c r="C11" s="2164" t="s">
        <v>71</v>
      </c>
      <c r="D11" s="2165">
        <v>10</v>
      </c>
      <c r="E11" s="2166">
        <v>3363</v>
      </c>
      <c r="F11" s="2167">
        <v>4</v>
      </c>
      <c r="G11" s="2168">
        <f t="shared" si="0"/>
        <v>6</v>
      </c>
      <c r="H11" s="2268">
        <v>1737</v>
      </c>
      <c r="I11" s="2269">
        <v>2086</v>
      </c>
      <c r="J11" s="2270">
        <v>407</v>
      </c>
      <c r="K11" s="2271">
        <v>1679</v>
      </c>
      <c r="L11" s="2268">
        <v>2</v>
      </c>
      <c r="M11" s="2269">
        <v>0</v>
      </c>
      <c r="N11" s="2270">
        <v>0</v>
      </c>
      <c r="O11" s="2151"/>
      <c r="P11" s="2186">
        <f>_xlfn.XLOOKUP($C11,'Sales History'!$C$4:$C$83,'Sales History'!$AL$4:$AL$83,"")</f>
        <v>456</v>
      </c>
      <c r="Q11" s="2273">
        <f t="shared" si="1"/>
        <v>-49</v>
      </c>
      <c r="R11" s="2266">
        <f>_xlfn.XLOOKUP($C11,'Sales History'!$C$4:$C$83,'Sales History'!$AM$4:$AM$83,"")</f>
        <v>0.16354816354816354</v>
      </c>
      <c r="S11" s="2283">
        <f>_xlfn.XLOOKUP($C11,'Sales History'!$C$4:$C$83,'Sales History'!$AQ$4:$AQ$83,"")</f>
        <v>0.20092112838226828</v>
      </c>
      <c r="T11" s="2284">
        <f t="shared" si="2"/>
        <v>3.737296483410474</v>
      </c>
    </row>
    <row r="12" spans="1:20" ht="100" customHeight="1">
      <c r="A12" s="2146">
        <v>10</v>
      </c>
      <c r="B12" s="2164" t="s">
        <v>27</v>
      </c>
      <c r="C12" s="2164" t="s">
        <v>28</v>
      </c>
      <c r="D12" s="2165">
        <v>9</v>
      </c>
      <c r="E12" s="2166">
        <v>3079</v>
      </c>
      <c r="F12" s="2167">
        <v>4</v>
      </c>
      <c r="G12" s="2168">
        <f t="shared" si="0"/>
        <v>7</v>
      </c>
      <c r="H12" s="2268">
        <v>1907</v>
      </c>
      <c r="I12" s="2269">
        <v>1667</v>
      </c>
      <c r="J12" s="2270">
        <v>126</v>
      </c>
      <c r="K12" s="2271">
        <v>1541</v>
      </c>
      <c r="L12" s="2268">
        <v>1485</v>
      </c>
      <c r="M12" s="2269">
        <v>982</v>
      </c>
      <c r="N12" s="2270">
        <v>0</v>
      </c>
      <c r="O12" s="2151"/>
      <c r="P12" s="2186">
        <f>_xlfn.XLOOKUP($C12,'Sales History'!$C$4:$C$83,'Sales History'!$AL$4:$AL$83,"")</f>
        <v>124</v>
      </c>
      <c r="Q12" s="2273">
        <f t="shared" si="1"/>
        <v>2</v>
      </c>
      <c r="R12" s="2266">
        <f>_xlfn.XLOOKUP($C12,'Sales History'!$C$4:$C$83,'Sales History'!$AM$4:$AM$83,"")</f>
        <v>-4.4044665012406947E-2</v>
      </c>
      <c r="S12" s="2283">
        <f>_xlfn.XLOOKUP($C12,'Sales History'!$C$4:$C$83,'Sales History'!$AQ$4:$AQ$83,"")</f>
        <v>-0.12585212375458835</v>
      </c>
      <c r="T12" s="2284">
        <f t="shared" si="2"/>
        <v>-8.1807458742181396</v>
      </c>
    </row>
    <row r="13" spans="1:20" ht="100" customHeight="1">
      <c r="A13" s="2146">
        <v>11</v>
      </c>
      <c r="B13" s="2164" t="s">
        <v>42</v>
      </c>
      <c r="C13" s="2164" t="s">
        <v>43</v>
      </c>
      <c r="D13" s="2165">
        <v>12</v>
      </c>
      <c r="E13" s="2166">
        <v>4048</v>
      </c>
      <c r="F13" s="2167">
        <v>4</v>
      </c>
      <c r="G13" s="2168">
        <f t="shared" si="0"/>
        <v>4</v>
      </c>
      <c r="H13" s="2268">
        <v>1477</v>
      </c>
      <c r="I13" s="2269">
        <v>2438</v>
      </c>
      <c r="J13" s="2270">
        <v>698</v>
      </c>
      <c r="K13" s="2271">
        <v>1740</v>
      </c>
      <c r="L13" s="2268">
        <v>242</v>
      </c>
      <c r="M13" s="2269">
        <v>619</v>
      </c>
      <c r="N13" s="2270">
        <v>206</v>
      </c>
      <c r="O13" s="2151"/>
      <c r="P13" s="2186">
        <f>_xlfn.XLOOKUP($C13,'Sales History'!$C$4:$C$83,'Sales History'!$AL$4:$AL$83,"")</f>
        <v>699</v>
      </c>
      <c r="Q13" s="2273">
        <f t="shared" si="1"/>
        <v>-1</v>
      </c>
      <c r="R13" s="2266">
        <f>_xlfn.XLOOKUP($C13,'Sales History'!$C$4:$C$83,'Sales History'!$AM$4:$AM$83,"")</f>
        <v>0.54255319148936165</v>
      </c>
      <c r="S13" s="2283">
        <f>_xlfn.XLOOKUP($C13,'Sales History'!$C$4:$C$83,'Sales History'!$AQ$4:$AQ$83,"")</f>
        <v>0.65064319566689233</v>
      </c>
      <c r="T13" s="2284">
        <f t="shared" si="2"/>
        <v>10.809000417753067</v>
      </c>
    </row>
    <row r="14" spans="1:20" ht="100" customHeight="1">
      <c r="A14" s="2146">
        <v>12</v>
      </c>
      <c r="B14" s="2164" t="s">
        <v>32</v>
      </c>
      <c r="C14" s="2164" t="s">
        <v>33</v>
      </c>
      <c r="D14" s="2165">
        <v>12</v>
      </c>
      <c r="E14" s="2166">
        <v>1971</v>
      </c>
      <c r="F14" s="2167">
        <v>4</v>
      </c>
      <c r="G14" s="2168">
        <f t="shared" si="0"/>
        <v>4</v>
      </c>
      <c r="H14" s="2268">
        <v>443</v>
      </c>
      <c r="I14" s="2269">
        <v>913</v>
      </c>
      <c r="J14" s="2270">
        <v>166</v>
      </c>
      <c r="K14" s="2271">
        <v>747</v>
      </c>
      <c r="L14" s="2268">
        <v>0</v>
      </c>
      <c r="M14" s="2269">
        <v>209</v>
      </c>
      <c r="N14" s="2270">
        <v>32</v>
      </c>
      <c r="O14" s="2151"/>
      <c r="P14" s="2186">
        <f>_xlfn.XLOOKUP($C14,'Sales History'!$C$4:$C$83,'Sales History'!$AL$4:$AL$83,"")</f>
        <v>236</v>
      </c>
      <c r="Q14" s="2273">
        <f t="shared" si="1"/>
        <v>-70</v>
      </c>
      <c r="R14" s="2266">
        <f>_xlfn.XLOOKUP($C14,'Sales History'!$C$4:$C$83,'Sales History'!$AM$4:$AM$83,"")</f>
        <v>1.2984615384615386</v>
      </c>
      <c r="S14" s="2283">
        <f>_xlfn.XLOOKUP($C14,'Sales History'!$C$4:$C$83,'Sales History'!$AQ$4:$AQ$83,"")</f>
        <v>1.0609480812641083</v>
      </c>
      <c r="T14" s="2284">
        <f t="shared" si="2"/>
        <v>-23.751345719743021</v>
      </c>
    </row>
    <row r="15" spans="1:20" ht="100" customHeight="1">
      <c r="A15" s="2146">
        <v>13</v>
      </c>
      <c r="B15" s="2164" t="s">
        <v>80</v>
      </c>
      <c r="C15" s="2164" t="s">
        <v>81</v>
      </c>
      <c r="D15" s="2165">
        <v>12</v>
      </c>
      <c r="E15" s="2166">
        <v>3291</v>
      </c>
      <c r="F15" s="2167">
        <v>4</v>
      </c>
      <c r="G15" s="2168">
        <f t="shared" si="0"/>
        <v>4</v>
      </c>
      <c r="H15" s="2268">
        <v>973</v>
      </c>
      <c r="I15" s="2269">
        <v>1327</v>
      </c>
      <c r="J15" s="2270">
        <v>328</v>
      </c>
      <c r="K15" s="2271">
        <v>999</v>
      </c>
      <c r="L15" s="2268">
        <v>268</v>
      </c>
      <c r="M15" s="2269">
        <v>158</v>
      </c>
      <c r="N15" s="2270">
        <v>48</v>
      </c>
      <c r="O15" s="2151"/>
      <c r="P15" s="2186">
        <f>_xlfn.XLOOKUP($C15,'Sales History'!$C$4:$C$83,'Sales History'!$AL$4:$AL$83,"")</f>
        <v>364</v>
      </c>
      <c r="Q15" s="2273">
        <f t="shared" si="1"/>
        <v>-36</v>
      </c>
      <c r="R15" s="2266">
        <f>_xlfn.XLOOKUP($C15,'Sales History'!$C$4:$C$83,'Sales History'!$AM$4:$AM$83,"")</f>
        <v>0.53692307692307695</v>
      </c>
      <c r="S15" s="2283">
        <f>_xlfn.XLOOKUP($C15,'Sales History'!$C$4:$C$83,'Sales History'!$AQ$4:$AQ$83,"")</f>
        <v>0.36382322713257964</v>
      </c>
      <c r="T15" s="2284">
        <f t="shared" si="2"/>
        <v>-17.30998497904973</v>
      </c>
    </row>
    <row r="16" spans="1:20" ht="100" customHeight="1">
      <c r="A16" s="2146">
        <v>14</v>
      </c>
      <c r="B16" s="2164" t="s">
        <v>66</v>
      </c>
      <c r="C16" s="2164" t="s">
        <v>67</v>
      </c>
      <c r="D16" s="2165">
        <v>9</v>
      </c>
      <c r="E16" s="2166">
        <v>1852</v>
      </c>
      <c r="F16" s="2167">
        <v>4</v>
      </c>
      <c r="G16" s="2168">
        <f t="shared" si="0"/>
        <v>7</v>
      </c>
      <c r="H16" s="2268">
        <v>1037</v>
      </c>
      <c r="I16" s="2269">
        <v>1741</v>
      </c>
      <c r="J16" s="2270">
        <v>274</v>
      </c>
      <c r="K16" s="2271">
        <v>1467</v>
      </c>
      <c r="L16" s="2268">
        <v>1</v>
      </c>
      <c r="M16" s="2269">
        <v>5</v>
      </c>
      <c r="N16" s="2270">
        <v>0</v>
      </c>
      <c r="O16" s="2151"/>
      <c r="P16" s="2186">
        <f>_xlfn.XLOOKUP($C16,'Sales History'!$C$4:$C$83,'Sales History'!$AL$4:$AL$83,"")</f>
        <v>325</v>
      </c>
      <c r="Q16" s="2273">
        <f t="shared" si="1"/>
        <v>-51</v>
      </c>
      <c r="R16" s="2266">
        <f>_xlfn.XLOOKUP($C16,'Sales History'!$C$4:$C$83,'Sales History'!$AM$4:$AM$83,"")</f>
        <v>0.69988412514484355</v>
      </c>
      <c r="S16" s="2283">
        <f>_xlfn.XLOOKUP($C16,'Sales History'!$C$4:$C$83,'Sales History'!$AQ$4:$AQ$83,"")</f>
        <v>0.67888138862102221</v>
      </c>
      <c r="T16" s="2284">
        <f t="shared" si="2"/>
        <v>-2.1002736523821341</v>
      </c>
    </row>
    <row r="17" spans="1:20" ht="100" customHeight="1">
      <c r="A17" s="2146">
        <v>15</v>
      </c>
      <c r="B17" s="2164" t="s">
        <v>52</v>
      </c>
      <c r="C17" s="2164" t="s">
        <v>53</v>
      </c>
      <c r="D17" s="2165">
        <v>12</v>
      </c>
      <c r="E17" s="2166">
        <v>5941</v>
      </c>
      <c r="F17" s="2167">
        <v>4</v>
      </c>
      <c r="G17" s="2168">
        <f t="shared" si="0"/>
        <v>4</v>
      </c>
      <c r="H17" s="2268">
        <v>1645</v>
      </c>
      <c r="I17" s="2269">
        <v>2652</v>
      </c>
      <c r="J17" s="2270">
        <v>641</v>
      </c>
      <c r="K17" s="2271">
        <v>2011</v>
      </c>
      <c r="L17" s="2268">
        <v>144</v>
      </c>
      <c r="M17" s="2269">
        <v>140</v>
      </c>
      <c r="N17" s="2270">
        <v>15</v>
      </c>
      <c r="O17" s="2151"/>
      <c r="P17" s="2186">
        <f>_xlfn.XLOOKUP($C17,'Sales History'!$C$4:$C$83,'Sales History'!$AL$4:$AL$83,"")</f>
        <v>769</v>
      </c>
      <c r="Q17" s="2273">
        <f t="shared" si="1"/>
        <v>-128</v>
      </c>
      <c r="R17" s="2266">
        <f>_xlfn.XLOOKUP($C17,'Sales History'!$C$4:$C$83,'Sales History'!$AM$4:$AM$83,"")</f>
        <v>0.76868953386103778</v>
      </c>
      <c r="S17" s="2283">
        <f>_xlfn.XLOOKUP($C17,'Sales History'!$C$4:$C$83,'Sales History'!$AQ$4:$AQ$83,"")</f>
        <v>0.61215805471124618</v>
      </c>
      <c r="T17" s="2284">
        <f t="shared" si="2"/>
        <v>-15.65314791497916</v>
      </c>
    </row>
    <row r="18" spans="1:20" ht="100" customHeight="1">
      <c r="A18" s="2146">
        <v>16</v>
      </c>
      <c r="B18" s="2164" t="s">
        <v>44</v>
      </c>
      <c r="C18" s="2164" t="s">
        <v>45</v>
      </c>
      <c r="D18" s="2165">
        <v>12</v>
      </c>
      <c r="E18" s="2166">
        <v>2306</v>
      </c>
      <c r="F18" s="2167">
        <v>4</v>
      </c>
      <c r="G18" s="2168">
        <f t="shared" si="0"/>
        <v>4</v>
      </c>
      <c r="H18" s="2268">
        <v>766</v>
      </c>
      <c r="I18" s="2269">
        <v>1160</v>
      </c>
      <c r="J18" s="2270">
        <v>330</v>
      </c>
      <c r="K18" s="2271">
        <v>830</v>
      </c>
      <c r="L18" s="2268">
        <v>8</v>
      </c>
      <c r="M18" s="2269">
        <v>0</v>
      </c>
      <c r="N18" s="2270">
        <v>0</v>
      </c>
      <c r="O18" s="2151"/>
      <c r="P18" s="2186">
        <f>_xlfn.XLOOKUP($C18,'Sales History'!$C$4:$C$83,'Sales History'!$AL$4:$AL$83,"")</f>
        <v>324</v>
      </c>
      <c r="Q18" s="2273">
        <f t="shared" si="1"/>
        <v>6</v>
      </c>
      <c r="R18" s="2266">
        <f>_xlfn.XLOOKUP($C18,'Sales History'!$C$4:$C$83,'Sales History'!$AM$4:$AM$83,"")</f>
        <v>0.50362318840579712</v>
      </c>
      <c r="S18" s="2283">
        <f>_xlfn.XLOOKUP($C18,'Sales History'!$C$4:$C$83,'Sales History'!$AQ$4:$AQ$83,"")</f>
        <v>0.52031454783748365</v>
      </c>
      <c r="T18" s="2284">
        <f t="shared" si="2"/>
        <v>1.6691359431686537</v>
      </c>
    </row>
    <row r="19" spans="1:20" ht="100" customHeight="1">
      <c r="A19" s="2146">
        <v>17</v>
      </c>
      <c r="B19" s="2164" t="s">
        <v>40</v>
      </c>
      <c r="C19" s="2164" t="s">
        <v>41</v>
      </c>
      <c r="D19" s="2165">
        <v>12</v>
      </c>
      <c r="E19" s="2166">
        <v>4414</v>
      </c>
      <c r="F19" s="2167">
        <v>4</v>
      </c>
      <c r="G19" s="2168">
        <f t="shared" si="0"/>
        <v>4</v>
      </c>
      <c r="H19" s="2268">
        <v>1405</v>
      </c>
      <c r="I19" s="2269">
        <v>1270</v>
      </c>
      <c r="J19" s="2270">
        <v>344</v>
      </c>
      <c r="K19" s="2271">
        <v>926</v>
      </c>
      <c r="L19" s="2268">
        <v>552</v>
      </c>
      <c r="M19" s="2269">
        <v>76</v>
      </c>
      <c r="N19" s="2270">
        <v>76</v>
      </c>
      <c r="O19" s="2151"/>
      <c r="P19" s="2186">
        <f>_xlfn.XLOOKUP($C19,'Sales History'!$C$4:$C$83,'Sales History'!$AL$4:$AL$83,"")</f>
        <v>377</v>
      </c>
      <c r="Q19" s="2273">
        <f t="shared" si="1"/>
        <v>-33</v>
      </c>
      <c r="R19" s="2266">
        <f>_xlfn.XLOOKUP($C19,'Sales History'!$C$4:$C$83,'Sales History'!$AM$4:$AM$83,"")</f>
        <v>-5.0256410256410255E-2</v>
      </c>
      <c r="S19" s="2283">
        <f>_xlfn.XLOOKUP($C19,'Sales History'!$C$4:$C$83,'Sales History'!$AQ$4:$AQ$83,"")</f>
        <v>-9.6085409252669035E-2</v>
      </c>
      <c r="T19" s="2284">
        <f t="shared" si="2"/>
        <v>-4.5828998996258781</v>
      </c>
    </row>
    <row r="20" spans="1:20" ht="100" customHeight="1">
      <c r="A20" s="2146">
        <v>18</v>
      </c>
      <c r="B20" s="2164" t="s">
        <v>56</v>
      </c>
      <c r="C20" s="2164" t="s">
        <v>57</v>
      </c>
      <c r="D20" s="2165">
        <v>12</v>
      </c>
      <c r="E20" s="2166">
        <v>5049</v>
      </c>
      <c r="F20" s="2167">
        <v>4</v>
      </c>
      <c r="G20" s="2168">
        <f t="shared" si="0"/>
        <v>4</v>
      </c>
      <c r="H20" s="2268">
        <v>1763</v>
      </c>
      <c r="I20" s="2269">
        <v>2335</v>
      </c>
      <c r="J20" s="2270">
        <v>560</v>
      </c>
      <c r="K20" s="2271">
        <v>1775</v>
      </c>
      <c r="L20" s="2268">
        <v>176</v>
      </c>
      <c r="M20" s="2269">
        <v>153</v>
      </c>
      <c r="N20" s="2270">
        <v>29</v>
      </c>
      <c r="O20" s="2151"/>
      <c r="P20" s="2186">
        <f>_xlfn.XLOOKUP($C20,'Sales History'!$C$4:$C$83,'Sales History'!$AL$4:$AL$83,"")</f>
        <v>613</v>
      </c>
      <c r="Q20" s="2273">
        <f t="shared" si="1"/>
        <v>-53</v>
      </c>
      <c r="R20" s="2266">
        <f>_xlfn.XLOOKUP($C20,'Sales History'!$C$4:$C$83,'Sales History'!$AM$4:$AM$83,"")</f>
        <v>0.29941434846266474</v>
      </c>
      <c r="S20" s="2283">
        <f>_xlfn.XLOOKUP($C20,'Sales History'!$C$4:$C$83,'Sales History'!$AQ$4:$AQ$83,"")</f>
        <v>0.32444696539988654</v>
      </c>
      <c r="T20" s="2284">
        <f t="shared" si="2"/>
        <v>2.5032616937221808</v>
      </c>
    </row>
    <row r="21" spans="1:20" ht="100" customHeight="1">
      <c r="A21" s="2146">
        <v>19</v>
      </c>
      <c r="B21" s="2164" t="s">
        <v>50</v>
      </c>
      <c r="C21" s="2164" t="s">
        <v>51</v>
      </c>
      <c r="D21" s="2165">
        <v>9</v>
      </c>
      <c r="E21" s="2166">
        <v>1727</v>
      </c>
      <c r="F21" s="2167">
        <v>4</v>
      </c>
      <c r="G21" s="2168">
        <f t="shared" si="0"/>
        <v>7</v>
      </c>
      <c r="H21" s="2268">
        <v>883</v>
      </c>
      <c r="I21" s="2269">
        <v>1400</v>
      </c>
      <c r="J21" s="2270">
        <v>218</v>
      </c>
      <c r="K21" s="2271">
        <v>1182</v>
      </c>
      <c r="L21" s="2268">
        <v>0</v>
      </c>
      <c r="M21" s="2269">
        <v>0</v>
      </c>
      <c r="N21" s="2270">
        <v>0</v>
      </c>
      <c r="O21" s="2151"/>
      <c r="P21" s="2186">
        <f>_xlfn.XLOOKUP($C21,'Sales History'!$C$4:$C$83,'Sales History'!$AL$4:$AL$83,"")</f>
        <v>268</v>
      </c>
      <c r="Q21" s="2273">
        <f t="shared" si="1"/>
        <v>-50</v>
      </c>
      <c r="R21" s="2266">
        <f>_xlfn.XLOOKUP($C21,'Sales History'!$C$4:$C$83,'Sales History'!$AM$4:$AM$83,"")</f>
        <v>0.58445040214477206</v>
      </c>
      <c r="S21" s="2283">
        <f>_xlfn.XLOOKUP($C21,'Sales History'!$C$4:$C$83,'Sales History'!$AQ$4:$AQ$83,"")</f>
        <v>0.58550396375990943</v>
      </c>
      <c r="T21" s="2284">
        <f t="shared" si="2"/>
        <v>0.10535616151373661</v>
      </c>
    </row>
    <row r="22" spans="1:20" ht="100" customHeight="1">
      <c r="A22" s="2146">
        <v>20</v>
      </c>
      <c r="B22" s="2164" t="s">
        <v>54</v>
      </c>
      <c r="C22" s="2164" t="s">
        <v>55</v>
      </c>
      <c r="D22" s="2165">
        <v>12</v>
      </c>
      <c r="E22" s="2166">
        <v>2496</v>
      </c>
      <c r="F22" s="2167">
        <v>4</v>
      </c>
      <c r="G22" s="2168">
        <f t="shared" si="0"/>
        <v>4</v>
      </c>
      <c r="H22" s="2268">
        <v>641</v>
      </c>
      <c r="I22" s="2269">
        <v>1246</v>
      </c>
      <c r="J22" s="2270">
        <v>380</v>
      </c>
      <c r="K22" s="2271">
        <v>865</v>
      </c>
      <c r="L22" s="2268">
        <v>9</v>
      </c>
      <c r="M22" s="2269">
        <v>189</v>
      </c>
      <c r="N22" s="2270">
        <v>84</v>
      </c>
      <c r="O22" s="2151"/>
      <c r="P22" s="2186">
        <f>_xlfn.XLOOKUP($C22,'Sales History'!$C$4:$C$83,'Sales History'!$AL$4:$AL$83,"")</f>
        <v>339</v>
      </c>
      <c r="Q22" s="2273">
        <f t="shared" si="1"/>
        <v>41</v>
      </c>
      <c r="R22" s="2266">
        <f>_xlfn.XLOOKUP($C22,'Sales History'!$C$4:$C$83,'Sales History'!$AM$4:$AM$83,"")</f>
        <v>0.81684210526315792</v>
      </c>
      <c r="S22" s="2283">
        <f>_xlfn.XLOOKUP($C22,'Sales History'!$C$4:$C$83,'Sales History'!$AQ$4:$AQ$83,"")</f>
        <v>0.94383775351014043</v>
      </c>
      <c r="T22" s="2284">
        <f t="shared" si="2"/>
        <v>12.69956482469825</v>
      </c>
    </row>
    <row r="23" spans="1:20" ht="100" customHeight="1">
      <c r="A23" s="2146">
        <v>21</v>
      </c>
      <c r="B23" s="2164" t="s">
        <v>82</v>
      </c>
      <c r="C23" s="2164" t="s">
        <v>83</v>
      </c>
      <c r="D23" s="2165">
        <v>6</v>
      </c>
      <c r="E23" s="2166">
        <v>1201</v>
      </c>
      <c r="F23" s="2167">
        <v>4</v>
      </c>
      <c r="G23" s="2168">
        <f t="shared" si="0"/>
        <v>10</v>
      </c>
      <c r="H23" s="2268">
        <v>907</v>
      </c>
      <c r="I23" s="2269">
        <v>1539</v>
      </c>
      <c r="J23" s="2270">
        <v>224</v>
      </c>
      <c r="K23" s="2271">
        <v>1315</v>
      </c>
      <c r="L23" s="2268">
        <v>92</v>
      </c>
      <c r="M23" s="2269">
        <v>62</v>
      </c>
      <c r="N23" s="2270">
        <v>38</v>
      </c>
      <c r="O23" s="2151"/>
      <c r="P23" s="2186">
        <f>_xlfn.XLOOKUP($C23,'Sales History'!$C$4:$C$83,'Sales History'!$AL$4:$AL$83,"")</f>
        <v>192</v>
      </c>
      <c r="Q23" s="2273">
        <f t="shared" si="1"/>
        <v>32</v>
      </c>
      <c r="R23" s="2266">
        <f>_xlfn.XLOOKUP($C23,'Sales History'!$C$4:$C$83,'Sales History'!$AM$4:$AM$83,"")</f>
        <v>0.62345679012345678</v>
      </c>
      <c r="S23" s="2283">
        <f>_xlfn.XLOOKUP($C23,'Sales History'!$C$4:$C$83,'Sales History'!$AQ$4:$AQ$83,"")</f>
        <v>0.69680264608599785</v>
      </c>
      <c r="T23" s="2284">
        <f t="shared" si="2"/>
        <v>7.3345855962541062</v>
      </c>
    </row>
    <row r="24" spans="1:20" ht="100" customHeight="1">
      <c r="A24" s="2146">
        <v>22</v>
      </c>
      <c r="B24" s="2164" t="s">
        <v>68</v>
      </c>
      <c r="C24" s="2164" t="s">
        <v>69</v>
      </c>
      <c r="D24" s="2165">
        <v>12</v>
      </c>
      <c r="E24" s="2166">
        <v>6056</v>
      </c>
      <c r="F24" s="2167">
        <v>4</v>
      </c>
      <c r="G24" s="2168">
        <f t="shared" si="0"/>
        <v>4</v>
      </c>
      <c r="H24" s="2268">
        <v>2104</v>
      </c>
      <c r="I24" s="2269">
        <v>3063</v>
      </c>
      <c r="J24" s="2270">
        <v>812</v>
      </c>
      <c r="K24" s="2271">
        <v>2250</v>
      </c>
      <c r="L24" s="2268">
        <v>14</v>
      </c>
      <c r="M24" s="2269">
        <v>69</v>
      </c>
      <c r="N24" s="2270">
        <v>30</v>
      </c>
      <c r="O24" s="2151"/>
      <c r="P24" s="2186">
        <f>_xlfn.XLOOKUP($C24,'Sales History'!$C$4:$C$83,'Sales History'!$AL$4:$AL$83,"")</f>
        <v>841</v>
      </c>
      <c r="Q24" s="2273">
        <f t="shared" si="1"/>
        <v>-29</v>
      </c>
      <c r="R24" s="2266">
        <f>_xlfn.XLOOKUP($C24,'Sales History'!$C$4:$C$83,'Sales History'!$AM$4:$AM$83,"")</f>
        <v>0.42947903430749684</v>
      </c>
      <c r="S24" s="2283">
        <f>_xlfn.XLOOKUP($C24,'Sales History'!$C$4:$C$83,'Sales History'!$AQ$4:$AQ$83,"")</f>
        <v>0.45579847908745247</v>
      </c>
      <c r="T24" s="2284">
        <f t="shared" si="2"/>
        <v>2.6319444779955625</v>
      </c>
    </row>
    <row r="25" spans="1:20" ht="100" customHeight="1">
      <c r="A25" s="2146">
        <v>23</v>
      </c>
      <c r="B25" s="2164" t="s">
        <v>58</v>
      </c>
      <c r="C25" s="2164" t="s">
        <v>59</v>
      </c>
      <c r="D25" s="2165">
        <v>9</v>
      </c>
      <c r="E25" s="2166">
        <v>3939</v>
      </c>
      <c r="F25" s="2167">
        <v>4</v>
      </c>
      <c r="G25" s="2168">
        <f t="shared" si="0"/>
        <v>7</v>
      </c>
      <c r="H25" s="2268">
        <v>2151</v>
      </c>
      <c r="I25" s="2269">
        <v>3086</v>
      </c>
      <c r="J25" s="2270">
        <v>403</v>
      </c>
      <c r="K25" s="2271">
        <v>2683</v>
      </c>
      <c r="L25" s="2268">
        <v>243</v>
      </c>
      <c r="M25" s="2269">
        <v>572</v>
      </c>
      <c r="N25" s="2270">
        <v>32</v>
      </c>
      <c r="O25" s="2151"/>
      <c r="P25" s="2186">
        <f>_xlfn.XLOOKUP($C25,'Sales History'!$C$4:$C$83,'Sales History'!$AL$4:$AL$83,"")</f>
        <v>394</v>
      </c>
      <c r="Q25" s="2273">
        <f t="shared" si="1"/>
        <v>9</v>
      </c>
      <c r="R25" s="2266">
        <f>_xlfn.XLOOKUP($C25,'Sales History'!$C$4:$C$83,'Sales History'!$AM$4:$AM$83,"")</f>
        <v>0.40692186680650239</v>
      </c>
      <c r="S25" s="2283">
        <f>_xlfn.XLOOKUP($C25,'Sales History'!$C$4:$C$83,'Sales History'!$AQ$4:$AQ$83,"")</f>
        <v>0.43468154346815435</v>
      </c>
      <c r="T25" s="2284">
        <f t="shared" si="2"/>
        <v>2.7759676661651964</v>
      </c>
    </row>
    <row r="26" spans="1:20" ht="100" customHeight="1">
      <c r="A26" s="2146">
        <v>24</v>
      </c>
      <c r="B26" s="2164" t="s">
        <v>30</v>
      </c>
      <c r="C26" s="2164" t="s">
        <v>31</v>
      </c>
      <c r="D26" s="2165">
        <v>6</v>
      </c>
      <c r="E26" s="2166">
        <v>2170</v>
      </c>
      <c r="F26" s="2167">
        <v>4</v>
      </c>
      <c r="G26" s="2168">
        <f t="shared" si="0"/>
        <v>10</v>
      </c>
      <c r="H26" s="2268">
        <v>1779</v>
      </c>
      <c r="I26" s="2269">
        <v>3164</v>
      </c>
      <c r="J26" s="2270">
        <v>413</v>
      </c>
      <c r="K26" s="2271">
        <v>2751</v>
      </c>
      <c r="L26" s="2268">
        <v>38</v>
      </c>
      <c r="M26" s="2269">
        <v>381</v>
      </c>
      <c r="N26" s="2270">
        <v>73</v>
      </c>
      <c r="O26" s="2151"/>
      <c r="P26" s="2186">
        <f>_xlfn.XLOOKUP($C26,'Sales History'!$C$4:$C$83,'Sales History'!$AL$4:$AL$83,"")</f>
        <v>418</v>
      </c>
      <c r="Q26" s="2273">
        <f t="shared" si="1"/>
        <v>-5</v>
      </c>
      <c r="R26" s="2266">
        <f>_xlfn.XLOOKUP($C26,'Sales History'!$C$4:$C$83,'Sales History'!$AM$4:$AM$83,"")</f>
        <v>0.80756686236138286</v>
      </c>
      <c r="S26" s="2283">
        <f>_xlfn.XLOOKUP($C26,'Sales History'!$C$4:$C$83,'Sales History'!$AQ$4:$AQ$83,"")</f>
        <v>0.77852726250702642</v>
      </c>
      <c r="T26" s="2284">
        <f t="shared" si="2"/>
        <v>-2.9039599854356446</v>
      </c>
    </row>
    <row r="27" spans="1:20" ht="100" customHeight="1">
      <c r="A27" s="2146">
        <v>25</v>
      </c>
      <c r="B27" s="2164" t="s">
        <v>48</v>
      </c>
      <c r="C27" s="2164" t="s">
        <v>49</v>
      </c>
      <c r="D27" s="2165">
        <v>12</v>
      </c>
      <c r="E27" s="2166">
        <v>1894</v>
      </c>
      <c r="F27" s="2167">
        <v>4</v>
      </c>
      <c r="G27" s="2168">
        <f t="shared" si="0"/>
        <v>4</v>
      </c>
      <c r="H27" s="2268">
        <v>626</v>
      </c>
      <c r="I27" s="2269">
        <v>902</v>
      </c>
      <c r="J27" s="2270">
        <v>258</v>
      </c>
      <c r="K27" s="2271">
        <v>643</v>
      </c>
      <c r="L27" s="2268">
        <v>0</v>
      </c>
      <c r="M27" s="2269">
        <v>45</v>
      </c>
      <c r="N27" s="2270">
        <v>22</v>
      </c>
      <c r="O27" s="2151"/>
      <c r="P27" s="2186">
        <f>_xlfn.XLOOKUP($C27,'Sales History'!$C$4:$C$83,'Sales History'!$AL$4:$AL$83,"")</f>
        <v>271</v>
      </c>
      <c r="Q27" s="2273">
        <f t="shared" si="1"/>
        <v>-13</v>
      </c>
      <c r="R27" s="2266">
        <f>_xlfn.XLOOKUP($C27,'Sales History'!$C$4:$C$83,'Sales History'!$AM$4:$AM$83,"")</f>
        <v>0.34800838574423482</v>
      </c>
      <c r="S27" s="2283">
        <f>_xlfn.XLOOKUP($C27,'Sales History'!$C$4:$C$83,'Sales History'!$AQ$4:$AQ$83,"")</f>
        <v>0.44089456869009586</v>
      </c>
      <c r="T27" s="2284">
        <f t="shared" si="2"/>
        <v>9.2886182945861044</v>
      </c>
    </row>
    <row r="28" spans="1:20" ht="100" customHeight="1">
      <c r="A28" s="2146">
        <v>26</v>
      </c>
      <c r="B28" s="2164" t="s">
        <v>72</v>
      </c>
      <c r="C28" s="2164" t="s">
        <v>73</v>
      </c>
      <c r="D28" s="2165">
        <v>12</v>
      </c>
      <c r="E28" s="2166">
        <v>1957</v>
      </c>
      <c r="F28" s="2167">
        <v>4</v>
      </c>
      <c r="G28" s="2168">
        <f t="shared" si="0"/>
        <v>4</v>
      </c>
      <c r="H28" s="2268">
        <v>686</v>
      </c>
      <c r="I28" s="2269">
        <v>832</v>
      </c>
      <c r="J28" s="2270">
        <v>224</v>
      </c>
      <c r="K28" s="2271">
        <v>608</v>
      </c>
      <c r="L28" s="2268">
        <v>0</v>
      </c>
      <c r="M28" s="2269">
        <v>0</v>
      </c>
      <c r="N28" s="2270">
        <v>0</v>
      </c>
      <c r="O28" s="2151"/>
      <c r="P28" s="2186">
        <f>_xlfn.XLOOKUP($C28,'Sales History'!$C$4:$C$83,'Sales History'!$AL$4:$AL$83,"")</f>
        <v>230</v>
      </c>
      <c r="Q28" s="2273">
        <f t="shared" si="1"/>
        <v>-6</v>
      </c>
      <c r="R28" s="2266">
        <f>_xlfn.XLOOKUP($C28,'Sales History'!$C$4:$C$83,'Sales History'!$AM$4:$AM$83,"")</f>
        <v>0.18982387475538159</v>
      </c>
      <c r="S28" s="2283">
        <f>_xlfn.XLOOKUP($C28,'Sales History'!$C$4:$C$83,'Sales History'!$AQ$4:$AQ$83,"")</f>
        <v>0.21282798833819241</v>
      </c>
      <c r="T28" s="2284">
        <f t="shared" si="2"/>
        <v>2.3004113582810821</v>
      </c>
    </row>
    <row r="29" spans="1:20" ht="100" customHeight="1">
      <c r="A29" s="2146">
        <v>27</v>
      </c>
      <c r="B29" s="2164" t="s">
        <v>84</v>
      </c>
      <c r="C29" s="2164" t="s">
        <v>85</v>
      </c>
      <c r="D29" s="2165">
        <v>9</v>
      </c>
      <c r="E29" s="2166">
        <v>2711</v>
      </c>
      <c r="F29" s="2167">
        <v>4</v>
      </c>
      <c r="G29" s="2168">
        <f t="shared" si="0"/>
        <v>7</v>
      </c>
      <c r="H29" s="2268">
        <v>1265</v>
      </c>
      <c r="I29" s="2269">
        <v>2129</v>
      </c>
      <c r="J29" s="2270">
        <v>409</v>
      </c>
      <c r="K29" s="2271">
        <v>1720</v>
      </c>
      <c r="L29" s="2268">
        <v>34</v>
      </c>
      <c r="M29" s="2269">
        <v>510</v>
      </c>
      <c r="N29" s="2270">
        <v>89</v>
      </c>
      <c r="O29" s="2151"/>
      <c r="P29" s="2186">
        <f>_xlfn.XLOOKUP($C29,'Sales History'!$C$4:$C$83,'Sales History'!$AL$4:$AL$83,"")</f>
        <v>421</v>
      </c>
      <c r="Q29" s="2273">
        <f t="shared" si="1"/>
        <v>-12</v>
      </c>
      <c r="R29" s="2266">
        <f>_xlfn.XLOOKUP($C29,'Sales History'!$C$4:$C$83,'Sales History'!$AM$4:$AM$83,"")</f>
        <v>0.71656686626746502</v>
      </c>
      <c r="S29" s="2283">
        <f>_xlfn.XLOOKUP($C29,'Sales History'!$C$4:$C$83,'Sales History'!$AQ$4:$AQ$83,"")</f>
        <v>0.68300395256917001</v>
      </c>
      <c r="T29" s="2284">
        <f t="shared" si="2"/>
        <v>-3.3562913698295005</v>
      </c>
    </row>
    <row r="30" spans="1:20" ht="100" customHeight="1">
      <c r="A30" s="2146">
        <v>28</v>
      </c>
      <c r="B30" s="2164" t="s">
        <v>60</v>
      </c>
      <c r="C30" s="2164" t="s">
        <v>61</v>
      </c>
      <c r="D30" s="2165">
        <v>6</v>
      </c>
      <c r="E30" s="2166">
        <v>1751</v>
      </c>
      <c r="F30" s="2167">
        <v>4</v>
      </c>
      <c r="G30" s="2168">
        <f t="shared" si="0"/>
        <v>10</v>
      </c>
      <c r="H30" s="2268">
        <v>560</v>
      </c>
      <c r="I30" s="2269">
        <v>962</v>
      </c>
      <c r="J30" s="2270">
        <v>246</v>
      </c>
      <c r="K30" s="2271">
        <v>716</v>
      </c>
      <c r="L30" s="2268">
        <v>37</v>
      </c>
      <c r="M30" s="2269">
        <v>42</v>
      </c>
      <c r="N30" s="2270">
        <v>0</v>
      </c>
      <c r="O30" s="2151"/>
      <c r="P30" s="2186">
        <f>_xlfn.XLOOKUP($C30,'Sales History'!$C$4:$C$83,'Sales History'!$AL$4:$AL$83,"")</f>
        <v>324</v>
      </c>
      <c r="Q30" s="2273">
        <f t="shared" si="1"/>
        <v>-78</v>
      </c>
      <c r="R30" s="2266">
        <f>_xlfn.XLOOKUP($C30,'Sales History'!$C$4:$C$83,'Sales History'!$AM$4:$AM$83,"")</f>
        <v>0.68470588235294116</v>
      </c>
      <c r="S30" s="2283">
        <f>_xlfn.XLOOKUP($C30,'Sales History'!$C$4:$C$83,'Sales History'!$AQ$4:$AQ$83,"")</f>
        <v>0.71785714285714286</v>
      </c>
      <c r="T30" s="2284">
        <f t="shared" si="2"/>
        <v>3.3151260504201696</v>
      </c>
    </row>
    <row r="31" spans="1:20" ht="100" customHeight="1">
      <c r="A31" s="2146">
        <v>29</v>
      </c>
      <c r="B31" s="2164" t="s">
        <v>36</v>
      </c>
      <c r="C31" s="2164" t="s">
        <v>37</v>
      </c>
      <c r="D31" s="2165">
        <v>6</v>
      </c>
      <c r="E31" s="2166">
        <v>3658</v>
      </c>
      <c r="F31" s="2167">
        <v>4</v>
      </c>
      <c r="G31" s="2168">
        <f t="shared" si="0"/>
        <v>10</v>
      </c>
      <c r="H31" s="2268">
        <v>2814</v>
      </c>
      <c r="I31" s="2269">
        <v>3886</v>
      </c>
      <c r="J31" s="2270">
        <v>585</v>
      </c>
      <c r="K31" s="2271">
        <v>3301</v>
      </c>
      <c r="L31" s="2268">
        <v>350</v>
      </c>
      <c r="M31" s="2269">
        <v>861</v>
      </c>
      <c r="N31" s="2270">
        <v>82</v>
      </c>
      <c r="O31" s="2151"/>
      <c r="P31" s="2186">
        <f>_xlfn.XLOOKUP($C31,'Sales History'!$C$4:$C$83,'Sales History'!$AL$4:$AL$83,"")</f>
        <v>522</v>
      </c>
      <c r="Q31" s="2273">
        <f t="shared" si="1"/>
        <v>63</v>
      </c>
      <c r="R31" s="2266">
        <f>_xlfn.XLOOKUP($C31,'Sales History'!$C$4:$C$83,'Sales History'!$AM$4:$AM$83,"")</f>
        <v>0.29654359780047135</v>
      </c>
      <c r="S31" s="2283">
        <f>_xlfn.XLOOKUP($C31,'Sales History'!$C$4:$C$83,'Sales History'!$AQ$4:$AQ$83,"")</f>
        <v>0.38095238095238093</v>
      </c>
      <c r="T31" s="2284">
        <f t="shared" si="2"/>
        <v>8.4408783151909574</v>
      </c>
    </row>
    <row r="32" spans="1:20" ht="58" customHeight="1">
      <c r="A32" s="2153"/>
      <c r="B32" s="2169"/>
      <c r="C32" s="2169"/>
      <c r="D32" s="2169"/>
      <c r="E32" s="2169"/>
      <c r="F32" s="2169"/>
      <c r="G32" s="2169"/>
      <c r="H32" s="2169"/>
      <c r="I32" s="2272"/>
      <c r="J32" s="2272"/>
      <c r="K32" s="2272"/>
      <c r="L32" s="2272"/>
      <c r="M32" s="2272"/>
      <c r="N32" s="2272"/>
      <c r="O32" s="2272"/>
      <c r="P32" s="2272"/>
      <c r="Q32" s="2272"/>
      <c r="R32" s="2272"/>
      <c r="S32" s="2272"/>
      <c r="T32" s="2285"/>
    </row>
    <row r="33" spans="1:20" ht="100" customHeight="1">
      <c r="A33" s="2146">
        <v>1</v>
      </c>
      <c r="B33" s="2164" t="s">
        <v>114</v>
      </c>
      <c r="C33" s="2164" t="s">
        <v>115</v>
      </c>
      <c r="D33" s="2170">
        <v>12</v>
      </c>
      <c r="E33" s="2171">
        <v>4747</v>
      </c>
      <c r="F33" s="2167">
        <v>4</v>
      </c>
      <c r="G33" s="2168">
        <f t="shared" ref="G33:G82" si="3">IF(F33&gt;D33,(F33-D33),((12-D33)+F33))</f>
        <v>4</v>
      </c>
      <c r="H33" s="2268">
        <v>1327</v>
      </c>
      <c r="I33" s="2269">
        <v>1923</v>
      </c>
      <c r="J33" s="2270">
        <v>556</v>
      </c>
      <c r="K33" s="2271">
        <v>1366</v>
      </c>
      <c r="L33" s="2268">
        <v>198</v>
      </c>
      <c r="M33" s="2269">
        <v>87</v>
      </c>
      <c r="N33" s="2270">
        <v>20</v>
      </c>
      <c r="O33" s="2151"/>
      <c r="P33" s="2186">
        <f>_xlfn.XLOOKUP($C33,'Sales History'!$C$4:$C$83,'Sales History'!$AL$4:$AL$83,"")</f>
        <v>442</v>
      </c>
      <c r="Q33" s="2273">
        <f t="shared" si="1"/>
        <v>114</v>
      </c>
      <c r="R33" s="2266">
        <f>_xlfn.XLOOKUP($C33,'Sales History'!$C$4:$C$83,'Sales History'!$AM$4:$AM$83,"")</f>
        <v>0.94586894586894588</v>
      </c>
      <c r="S33" s="2283">
        <f>_xlfn.XLOOKUP($C33,'Sales History'!$C$4:$C$83,'Sales History'!$AQ$4:$AQ$83,"")</f>
        <v>1.0879478827361564</v>
      </c>
      <c r="T33" s="2284">
        <f t="shared" si="2"/>
        <v>14.207893686721052</v>
      </c>
    </row>
    <row r="34" spans="1:20" ht="100" customHeight="1">
      <c r="A34" s="2146">
        <v>2</v>
      </c>
      <c r="B34" s="2164" t="s">
        <v>160</v>
      </c>
      <c r="C34" s="2164" t="s">
        <v>161</v>
      </c>
      <c r="D34" s="2170">
        <v>12</v>
      </c>
      <c r="E34" s="2171">
        <v>3615</v>
      </c>
      <c r="F34" s="2167">
        <v>4</v>
      </c>
      <c r="G34" s="2168">
        <f t="shared" si="3"/>
        <v>4</v>
      </c>
      <c r="H34" s="2268">
        <v>1113</v>
      </c>
      <c r="I34" s="2269">
        <v>3810</v>
      </c>
      <c r="J34" s="2270">
        <v>1007</v>
      </c>
      <c r="K34" s="2271">
        <v>2803</v>
      </c>
      <c r="L34" s="2268">
        <v>586</v>
      </c>
      <c r="M34" s="2269">
        <v>0</v>
      </c>
      <c r="N34" s="2270">
        <v>0</v>
      </c>
      <c r="O34" s="2151"/>
      <c r="P34" s="2186">
        <f>_xlfn.XLOOKUP($C34,'Sales History'!$C$4:$C$83,'Sales History'!$AL$4:$AL$83,"")</f>
        <v>1200</v>
      </c>
      <c r="Q34" s="2273">
        <f t="shared" si="1"/>
        <v>-193</v>
      </c>
      <c r="R34" s="2266">
        <f>_xlfn.XLOOKUP($C34,'Sales History'!$C$4:$C$83,'Sales History'!$AM$4:$AM$83,"")</f>
        <v>2.4477244772447726</v>
      </c>
      <c r="S34" s="2283">
        <f>_xlfn.XLOOKUP($C34,'Sales History'!$C$4:$C$83,'Sales History'!$AQ$4:$AQ$83,"")</f>
        <v>2.4231805929919137</v>
      </c>
      <c r="T34" s="2284">
        <f t="shared" si="2"/>
        <v>-2.4543884252858916</v>
      </c>
    </row>
    <row r="35" spans="1:20" ht="100" customHeight="1">
      <c r="A35" s="2146">
        <v>3</v>
      </c>
      <c r="B35" s="2164" t="s">
        <v>96</v>
      </c>
      <c r="C35" s="2164" t="s">
        <v>97</v>
      </c>
      <c r="D35" s="2170">
        <v>12</v>
      </c>
      <c r="E35" s="2171">
        <v>3210</v>
      </c>
      <c r="F35" s="2167">
        <v>4</v>
      </c>
      <c r="G35" s="2168">
        <f t="shared" si="3"/>
        <v>4</v>
      </c>
      <c r="H35" s="2268">
        <v>871</v>
      </c>
      <c r="I35" s="2269">
        <v>2045</v>
      </c>
      <c r="J35" s="2270">
        <v>563</v>
      </c>
      <c r="K35" s="2271">
        <v>1482</v>
      </c>
      <c r="L35" s="2268">
        <v>0</v>
      </c>
      <c r="M35" s="2269">
        <v>0</v>
      </c>
      <c r="N35" s="2270">
        <v>0</v>
      </c>
      <c r="O35" s="2151"/>
      <c r="P35" s="2186">
        <f>_xlfn.XLOOKUP($C35,'Sales History'!$C$4:$C$83,'Sales History'!$AL$4:$AL$83,"")</f>
        <v>592</v>
      </c>
      <c r="Q35" s="2273">
        <f t="shared" si="1"/>
        <v>-29</v>
      </c>
      <c r="R35" s="2266">
        <f>_xlfn.XLOOKUP($C35,'Sales History'!$C$4:$C$83,'Sales History'!$AM$4:$AM$83,"")</f>
        <v>1.4295081967213115</v>
      </c>
      <c r="S35" s="2283">
        <f>_xlfn.XLOOKUP($C35,'Sales History'!$C$4:$C$83,'Sales History'!$AQ$4:$AQ$83,"")</f>
        <v>1.3478760045924225</v>
      </c>
      <c r="T35" s="2284">
        <f t="shared" si="2"/>
        <v>-8.1632192128888938</v>
      </c>
    </row>
    <row r="36" spans="1:20" ht="100" customHeight="1">
      <c r="A36" s="2146">
        <v>4</v>
      </c>
      <c r="B36" s="2164" t="s">
        <v>171</v>
      </c>
      <c r="C36" s="2164" t="s">
        <v>172</v>
      </c>
      <c r="D36" s="2170">
        <v>12</v>
      </c>
      <c r="E36" s="2171">
        <v>456866</v>
      </c>
      <c r="F36" s="2167">
        <v>4</v>
      </c>
      <c r="G36" s="2168">
        <f t="shared" si="3"/>
        <v>4</v>
      </c>
      <c r="H36" s="2268">
        <v>143277</v>
      </c>
      <c r="I36" s="2269">
        <v>220517</v>
      </c>
      <c r="J36" s="2270">
        <v>75082</v>
      </c>
      <c r="K36" s="2271">
        <v>145436</v>
      </c>
      <c r="L36" s="2268">
        <v>0</v>
      </c>
      <c r="M36" s="2269">
        <v>0</v>
      </c>
      <c r="N36" s="2270">
        <v>0</v>
      </c>
      <c r="O36" s="2151"/>
      <c r="P36" s="2186">
        <f>_xlfn.XLOOKUP($C36,'Sales History'!$C$4:$C$83,'Sales History'!$AL$4:$AL$83,"")</f>
        <v>64976</v>
      </c>
      <c r="Q36" s="2273">
        <f t="shared" si="1"/>
        <v>10106</v>
      </c>
      <c r="R36" s="2266">
        <f>_xlfn.XLOOKUP($C36,'Sales History'!$C$4:$C$83,'Sales History'!$AM$4:$AM$83,"")</f>
        <v>0.32827969166697113</v>
      </c>
      <c r="S36" s="2283">
        <f>_xlfn.XLOOKUP($C36,'Sales History'!$C$4:$C$83,'Sales History'!$AQ$4:$AQ$83,"")</f>
        <v>0.5212685228621099</v>
      </c>
      <c r="T36" s="2284">
        <f t="shared" si="2"/>
        <v>19.298883119513878</v>
      </c>
    </row>
    <row r="37" spans="1:20" ht="100" customHeight="1">
      <c r="A37" s="2146">
        <v>5</v>
      </c>
      <c r="B37" s="2164" t="s">
        <v>116</v>
      </c>
      <c r="C37" s="2164" t="s">
        <v>117</v>
      </c>
      <c r="D37" s="2170">
        <v>12</v>
      </c>
      <c r="E37" s="2171">
        <v>9834</v>
      </c>
      <c r="F37" s="2167">
        <v>4</v>
      </c>
      <c r="G37" s="2168">
        <f t="shared" si="3"/>
        <v>4</v>
      </c>
      <c r="H37" s="2268">
        <v>2381</v>
      </c>
      <c r="I37" s="2269">
        <v>4369</v>
      </c>
      <c r="J37" s="2270">
        <v>1616</v>
      </c>
      <c r="K37" s="2271">
        <v>2753</v>
      </c>
      <c r="L37" s="2268">
        <v>117</v>
      </c>
      <c r="M37" s="2269">
        <v>86</v>
      </c>
      <c r="N37" s="2270">
        <v>0</v>
      </c>
      <c r="O37" s="2151"/>
      <c r="P37" s="2186">
        <f>_xlfn.XLOOKUP($C37,'Sales History'!$C$4:$C$83,'Sales History'!$AL$4:$AL$83,"")</f>
        <v>1299</v>
      </c>
      <c r="Q37" s="2273">
        <f t="shared" si="1"/>
        <v>317</v>
      </c>
      <c r="R37" s="2266">
        <f>_xlfn.XLOOKUP($C37,'Sales History'!$C$4:$C$83,'Sales History'!$AM$4:$AM$83,"")</f>
        <v>0.56154282473057293</v>
      </c>
      <c r="S37" s="2283">
        <f>_xlfn.XLOOKUP($C37,'Sales History'!$C$4:$C$83,'Sales History'!$AQ$4:$AQ$83,"")</f>
        <v>0.8349433011339773</v>
      </c>
      <c r="T37" s="2284">
        <f t="shared" si="2"/>
        <v>27.340047640340437</v>
      </c>
    </row>
    <row r="38" spans="1:20" ht="100" customHeight="1">
      <c r="A38" s="2146">
        <v>6</v>
      </c>
      <c r="B38" s="2164" t="s">
        <v>108</v>
      </c>
      <c r="C38" s="2164" t="s">
        <v>109</v>
      </c>
      <c r="D38" s="2170">
        <v>12</v>
      </c>
      <c r="E38" s="2171">
        <v>5461</v>
      </c>
      <c r="F38" s="2167">
        <v>4</v>
      </c>
      <c r="G38" s="2168">
        <f t="shared" si="3"/>
        <v>4</v>
      </c>
      <c r="H38" s="2268">
        <v>1403</v>
      </c>
      <c r="I38" s="2269">
        <v>2641</v>
      </c>
      <c r="J38" s="2270">
        <v>648</v>
      </c>
      <c r="K38" s="2271">
        <v>1992</v>
      </c>
      <c r="L38" s="2268">
        <v>0</v>
      </c>
      <c r="M38" s="2269">
        <v>0</v>
      </c>
      <c r="N38" s="2270">
        <v>0</v>
      </c>
      <c r="O38" s="2151"/>
      <c r="P38" s="2186">
        <f>_xlfn.XLOOKUP($C38,'Sales History'!$C$4:$C$83,'Sales History'!$AL$4:$AL$83,"")</f>
        <v>664</v>
      </c>
      <c r="Q38" s="2273">
        <f t="shared" si="1"/>
        <v>-16</v>
      </c>
      <c r="R38" s="2266">
        <f>_xlfn.XLOOKUP($C38,'Sales History'!$C$4:$C$83,'Sales History'!$AM$4:$AM$83,"")</f>
        <v>0.98604187437686941</v>
      </c>
      <c r="S38" s="2283">
        <f>_xlfn.XLOOKUP($C38,'Sales History'!$C$4:$C$83,'Sales History'!$AQ$4:$AQ$83,"")</f>
        <v>0.88239486813970069</v>
      </c>
      <c r="T38" s="2284">
        <f t="shared" si="2"/>
        <v>-10.364700623716871</v>
      </c>
    </row>
    <row r="39" spans="1:20" ht="100" customHeight="1">
      <c r="A39" s="2146">
        <v>7</v>
      </c>
      <c r="B39" s="2164" t="s">
        <v>142</v>
      </c>
      <c r="C39" s="2164" t="s">
        <v>143</v>
      </c>
      <c r="D39" s="2170">
        <v>6</v>
      </c>
      <c r="E39" s="2171">
        <v>60047</v>
      </c>
      <c r="F39" s="2167">
        <v>4</v>
      </c>
      <c r="G39" s="2168">
        <f t="shared" si="3"/>
        <v>10</v>
      </c>
      <c r="H39" s="2268">
        <v>44361</v>
      </c>
      <c r="I39" s="2269">
        <v>71717</v>
      </c>
      <c r="J39" s="2270">
        <v>5644</v>
      </c>
      <c r="K39" s="2271">
        <v>66073</v>
      </c>
      <c r="L39" s="2268">
        <v>32412</v>
      </c>
      <c r="M39" s="2269">
        <v>47569</v>
      </c>
      <c r="N39" s="2270">
        <v>5437</v>
      </c>
      <c r="O39" s="2151"/>
      <c r="P39" s="2186">
        <f>_xlfn.XLOOKUP($C39,'Sales History'!$C$4:$C$83,'Sales History'!$AL$4:$AL$83,"")</f>
        <v>3910</v>
      </c>
      <c r="Q39" s="2273">
        <f t="shared" si="1"/>
        <v>1734</v>
      </c>
      <c r="R39" s="2266">
        <f>_xlfn.XLOOKUP($C39,'Sales History'!$C$4:$C$83,'Sales History'!$AM$4:$AM$83,"")</f>
        <v>0.72316398915084501</v>
      </c>
      <c r="S39" s="2283">
        <f>_xlfn.XLOOKUP($C39,'Sales History'!$C$4:$C$83,'Sales History'!$AQ$4:$AQ$83,"")</f>
        <v>0.61666779378282721</v>
      </c>
      <c r="T39" s="2284">
        <f t="shared" si="2"/>
        <v>-10.649619536801779</v>
      </c>
    </row>
    <row r="40" spans="1:20" ht="100" customHeight="1">
      <c r="A40" s="2146">
        <v>8</v>
      </c>
      <c r="B40" s="2164" t="s">
        <v>130</v>
      </c>
      <c r="C40" s="2164" t="s">
        <v>131</v>
      </c>
      <c r="D40" s="2170">
        <v>12</v>
      </c>
      <c r="E40" s="2171">
        <v>1055</v>
      </c>
      <c r="F40" s="2167">
        <v>4</v>
      </c>
      <c r="G40" s="2168">
        <f t="shared" si="3"/>
        <v>4</v>
      </c>
      <c r="H40" s="2268">
        <v>310</v>
      </c>
      <c r="I40" s="2269">
        <v>522</v>
      </c>
      <c r="J40" s="2270">
        <v>151</v>
      </c>
      <c r="K40" s="2271">
        <v>371</v>
      </c>
      <c r="L40" s="2268">
        <v>0</v>
      </c>
      <c r="M40" s="2269">
        <v>0</v>
      </c>
      <c r="N40" s="2270">
        <v>0</v>
      </c>
      <c r="O40" s="2151"/>
      <c r="P40" s="2186">
        <f>_xlfn.XLOOKUP($C40,'Sales History'!$C$4:$C$83,'Sales History'!$AL$4:$AL$83,"")</f>
        <v>168</v>
      </c>
      <c r="Q40" s="2273">
        <f t="shared" si="1"/>
        <v>-17</v>
      </c>
      <c r="R40" s="2266">
        <f>_xlfn.XLOOKUP($C40,'Sales History'!$C$4:$C$83,'Sales History'!$AM$4:$AM$83,"")</f>
        <v>0.52674897119341568</v>
      </c>
      <c r="S40" s="2283">
        <f>_xlfn.XLOOKUP($C40,'Sales History'!$C$4:$C$83,'Sales History'!$AQ$4:$AQ$83,"")</f>
        <v>0.68387096774193545</v>
      </c>
      <c r="T40" s="2284">
        <f t="shared" si="2"/>
        <v>15.712199654851977</v>
      </c>
    </row>
    <row r="41" spans="1:20" ht="100" customHeight="1">
      <c r="A41" s="2146">
        <v>9</v>
      </c>
      <c r="B41" s="2164" t="s">
        <v>173</v>
      </c>
      <c r="C41" s="2164" t="s">
        <v>174</v>
      </c>
      <c r="D41" s="2170">
        <v>12</v>
      </c>
      <c r="E41" s="2171">
        <v>654407</v>
      </c>
      <c r="F41" s="2167">
        <v>4</v>
      </c>
      <c r="G41" s="2168">
        <f t="shared" si="3"/>
        <v>4</v>
      </c>
      <c r="H41" s="2268">
        <v>194305</v>
      </c>
      <c r="I41" s="2269">
        <v>389656</v>
      </c>
      <c r="J41" s="2270">
        <v>123254</v>
      </c>
      <c r="K41" s="2271">
        <v>266403</v>
      </c>
      <c r="L41" s="2268">
        <v>0</v>
      </c>
      <c r="M41" s="2269">
        <v>0</v>
      </c>
      <c r="N41" s="2270">
        <v>0</v>
      </c>
      <c r="O41" s="2151"/>
      <c r="P41" s="2186">
        <f>_xlfn.XLOOKUP($C41,'Sales History'!$C$4:$C$83,'Sales History'!$AL$4:$AL$83,"")</f>
        <v>92092</v>
      </c>
      <c r="Q41" s="2273">
        <f t="shared" si="1"/>
        <v>31162</v>
      </c>
      <c r="R41" s="2266">
        <f>_xlfn.XLOOKUP($C41,'Sales History'!$C$4:$C$83,'Sales History'!$AM$4:$AM$83,"")</f>
        <v>0.84650734019989737</v>
      </c>
      <c r="S41" s="2283">
        <f>_xlfn.XLOOKUP($C41,'Sales History'!$C$4:$C$83,'Sales History'!$AQ$4:$AQ$83,"")</f>
        <v>1.0160182119205299</v>
      </c>
      <c r="T41" s="2284">
        <f t="shared" si="2"/>
        <v>16.95108717206325</v>
      </c>
    </row>
    <row r="42" spans="1:20" ht="100" customHeight="1">
      <c r="A42" s="2146">
        <v>10</v>
      </c>
      <c r="B42" s="2164" t="s">
        <v>120</v>
      </c>
      <c r="C42" s="2164" t="s">
        <v>121</v>
      </c>
      <c r="D42" s="2170">
        <v>9</v>
      </c>
      <c r="E42" s="2171">
        <v>14130</v>
      </c>
      <c r="F42" s="2167">
        <v>4</v>
      </c>
      <c r="G42" s="2168">
        <f t="shared" si="3"/>
        <v>7</v>
      </c>
      <c r="H42" s="2268">
        <v>7954</v>
      </c>
      <c r="I42" s="2269">
        <v>15001</v>
      </c>
      <c r="J42" s="2270">
        <v>2776</v>
      </c>
      <c r="K42" s="2271">
        <v>12225</v>
      </c>
      <c r="L42" s="2268">
        <v>8</v>
      </c>
      <c r="M42" s="2269">
        <v>0</v>
      </c>
      <c r="N42" s="2270">
        <v>0</v>
      </c>
      <c r="O42" s="2151"/>
      <c r="P42" s="2186">
        <f>_xlfn.XLOOKUP($C42,'Sales History'!$C$4:$C$83,'Sales History'!$AL$4:$AL$83,"")</f>
        <v>3162</v>
      </c>
      <c r="Q42" s="2273">
        <f t="shared" si="1"/>
        <v>-386</v>
      </c>
      <c r="R42" s="2266">
        <f>_xlfn.XLOOKUP($C42,'Sales History'!$C$4:$C$83,'Sales History'!$AM$4:$AM$83,"")</f>
        <v>0.83283358320839584</v>
      </c>
      <c r="S42" s="2283">
        <f>_xlfn.XLOOKUP($C42,'Sales History'!$C$4:$C$83,'Sales History'!$AQ$4:$AQ$83,"")</f>
        <v>0.88596932361076186</v>
      </c>
      <c r="T42" s="2284">
        <f t="shared" si="2"/>
        <v>5.3135740402366016</v>
      </c>
    </row>
    <row r="43" spans="1:20" ht="100" customHeight="1">
      <c r="A43" s="2146">
        <v>11</v>
      </c>
      <c r="B43" s="2164" t="s">
        <v>98</v>
      </c>
      <c r="C43" s="2164" t="s">
        <v>99</v>
      </c>
      <c r="D43" s="2170">
        <v>12</v>
      </c>
      <c r="E43" s="2171">
        <v>1820</v>
      </c>
      <c r="F43" s="2167">
        <v>4</v>
      </c>
      <c r="G43" s="2168">
        <f t="shared" si="3"/>
        <v>4</v>
      </c>
      <c r="H43" s="2268">
        <v>412</v>
      </c>
      <c r="I43" s="2269">
        <v>1297</v>
      </c>
      <c r="J43" s="2270">
        <v>321</v>
      </c>
      <c r="K43" s="2271">
        <v>977</v>
      </c>
      <c r="L43" s="2268">
        <v>49</v>
      </c>
      <c r="M43" s="2269">
        <v>169</v>
      </c>
      <c r="N43" s="2270">
        <v>39</v>
      </c>
      <c r="O43" s="2151"/>
      <c r="P43" s="2186">
        <f>_xlfn.XLOOKUP($C43,'Sales History'!$C$4:$C$83,'Sales History'!$AL$4:$AL$83,"")</f>
        <v>318</v>
      </c>
      <c r="Q43" s="2273">
        <f t="shared" si="1"/>
        <v>3</v>
      </c>
      <c r="R43" s="2266">
        <f>_xlfn.XLOOKUP($C43,'Sales History'!$C$4:$C$83,'Sales History'!$AM$4:$AM$83,"")</f>
        <v>1.9339339339339339</v>
      </c>
      <c r="S43" s="2283">
        <f>_xlfn.XLOOKUP($C43,'Sales History'!$C$4:$C$83,'Sales History'!$AQ$4:$AQ$83,"")</f>
        <v>2.1480582524271843</v>
      </c>
      <c r="T43" s="2284">
        <f t="shared" si="2"/>
        <v>21.412431849325042</v>
      </c>
    </row>
    <row r="44" spans="1:20" ht="100" customHeight="1">
      <c r="A44" s="2146">
        <v>12</v>
      </c>
      <c r="B44" s="2164" t="s">
        <v>90</v>
      </c>
      <c r="C44" s="2164" t="s">
        <v>91</v>
      </c>
      <c r="D44" s="2170">
        <v>9</v>
      </c>
      <c r="E44" s="2171">
        <v>5721</v>
      </c>
      <c r="F44" s="2167">
        <v>4</v>
      </c>
      <c r="G44" s="2168">
        <f t="shared" si="3"/>
        <v>7</v>
      </c>
      <c r="H44" s="2268">
        <v>2906</v>
      </c>
      <c r="I44" s="2269">
        <v>6240</v>
      </c>
      <c r="J44" s="2270">
        <v>1027</v>
      </c>
      <c r="K44" s="2271">
        <v>5214</v>
      </c>
      <c r="L44" s="2268">
        <v>330</v>
      </c>
      <c r="M44" s="2269">
        <v>740</v>
      </c>
      <c r="N44" s="2270">
        <v>81</v>
      </c>
      <c r="O44" s="2151"/>
      <c r="P44" s="2186">
        <f>_xlfn.XLOOKUP($C44,'Sales History'!$C$4:$C$83,'Sales History'!$AL$4:$AL$83,"")</f>
        <v>1440</v>
      </c>
      <c r="Q44" s="2273">
        <f t="shared" si="1"/>
        <v>-413</v>
      </c>
      <c r="R44" s="2266">
        <f>_xlfn.XLOOKUP($C44,'Sales History'!$C$4:$C$83,'Sales History'!$AM$4:$AM$83,"")</f>
        <v>1.1752190237797246</v>
      </c>
      <c r="S44" s="2283">
        <f>_xlfn.XLOOKUP($C44,'Sales History'!$C$4:$C$83,'Sales History'!$AQ$4:$AQ$83,"")</f>
        <v>1.1472814865794907</v>
      </c>
      <c r="T44" s="2284">
        <f t="shared" si="2"/>
        <v>-2.7937537200233953</v>
      </c>
    </row>
    <row r="45" spans="1:20" ht="100" customHeight="1">
      <c r="A45" s="2146">
        <v>13</v>
      </c>
      <c r="B45" s="2164" t="s">
        <v>183</v>
      </c>
      <c r="C45" s="2164" t="s">
        <v>184</v>
      </c>
      <c r="D45" s="2170">
        <v>9</v>
      </c>
      <c r="E45" s="2171">
        <v>9231</v>
      </c>
      <c r="F45" s="2167">
        <v>4</v>
      </c>
      <c r="G45" s="2168">
        <f t="shared" si="3"/>
        <v>7</v>
      </c>
      <c r="H45" s="2268">
        <v>5215</v>
      </c>
      <c r="I45" s="2269">
        <v>7122</v>
      </c>
      <c r="J45" s="2270">
        <v>1227</v>
      </c>
      <c r="K45" s="2271">
        <v>5894</v>
      </c>
      <c r="L45" s="2268">
        <v>57</v>
      </c>
      <c r="M45" s="2269">
        <v>218</v>
      </c>
      <c r="N45" s="2270">
        <v>45</v>
      </c>
      <c r="O45" s="2151"/>
      <c r="P45" s="2186">
        <f>_xlfn.XLOOKUP($C45,'Sales History'!$C$4:$C$83,'Sales History'!$AL$4:$AL$83,"")</f>
        <v>1268</v>
      </c>
      <c r="Q45" s="2273">
        <f t="shared" si="1"/>
        <v>-41</v>
      </c>
      <c r="R45" s="2266">
        <f>_xlfn.XLOOKUP($C45,'Sales History'!$C$4:$C$83,'Sales History'!$AM$4:$AM$83,"")</f>
        <v>0.31503792949576082</v>
      </c>
      <c r="S45" s="2283">
        <f>_xlfn.XLOOKUP($C45,'Sales History'!$C$4:$C$83,'Sales History'!$AQ$4:$AQ$83,"")</f>
        <v>0.36567593480345156</v>
      </c>
      <c r="T45" s="2284">
        <f t="shared" si="2"/>
        <v>5.0638005307690745</v>
      </c>
    </row>
    <row r="46" spans="1:20" ht="100" customHeight="1">
      <c r="A46" s="2146">
        <v>14</v>
      </c>
      <c r="B46" s="2164" t="s">
        <v>185</v>
      </c>
      <c r="C46" s="2164" t="s">
        <v>186</v>
      </c>
      <c r="D46" s="2170">
        <v>12</v>
      </c>
      <c r="E46" s="2171">
        <v>4479</v>
      </c>
      <c r="F46" s="2167">
        <v>4</v>
      </c>
      <c r="G46" s="2168">
        <f t="shared" si="3"/>
        <v>4</v>
      </c>
      <c r="H46" s="2268">
        <v>1148</v>
      </c>
      <c r="I46" s="2269">
        <v>1570</v>
      </c>
      <c r="J46" s="2270">
        <v>338</v>
      </c>
      <c r="K46" s="2271">
        <v>1232</v>
      </c>
      <c r="L46" s="2268">
        <v>177</v>
      </c>
      <c r="M46" s="2269">
        <v>387</v>
      </c>
      <c r="N46" s="2270">
        <v>102</v>
      </c>
      <c r="O46" s="2151"/>
      <c r="P46" s="2186">
        <f>_xlfn.XLOOKUP($C46,'Sales History'!$C$4:$C$83,'Sales History'!$AL$4:$AL$83,"")</f>
        <v>462</v>
      </c>
      <c r="Q46" s="2273">
        <f t="shared" si="1"/>
        <v>-124</v>
      </c>
      <c r="R46" s="2266">
        <f>_xlfn.XLOOKUP($C46,'Sales History'!$C$4:$C$83,'Sales History'!$AM$4:$AM$83,"")</f>
        <v>0.5209876543209877</v>
      </c>
      <c r="S46" s="2283">
        <f>_xlfn.XLOOKUP($C46,'Sales History'!$C$4:$C$83,'Sales History'!$AQ$4:$AQ$83,"")</f>
        <v>0.36759581881533099</v>
      </c>
      <c r="T46" s="2284">
        <f t="shared" si="2"/>
        <v>-15.339183550565672</v>
      </c>
    </row>
    <row r="47" spans="1:20" ht="100" customHeight="1">
      <c r="A47" s="2146">
        <v>15</v>
      </c>
      <c r="B47" s="2164" t="s">
        <v>138</v>
      </c>
      <c r="C47" s="2164" t="s">
        <v>139</v>
      </c>
      <c r="D47" s="2170">
        <v>12</v>
      </c>
      <c r="E47" s="2171">
        <v>6843</v>
      </c>
      <c r="F47" s="2167">
        <v>4</v>
      </c>
      <c r="G47" s="2168">
        <f t="shared" si="3"/>
        <v>4</v>
      </c>
      <c r="H47" s="2268">
        <v>1618</v>
      </c>
      <c r="I47" s="2269">
        <v>3192</v>
      </c>
      <c r="J47" s="2270">
        <v>766</v>
      </c>
      <c r="K47" s="2271">
        <v>2426</v>
      </c>
      <c r="L47" s="2268">
        <v>80</v>
      </c>
      <c r="M47" s="2269">
        <v>5</v>
      </c>
      <c r="N47" s="2270">
        <v>0</v>
      </c>
      <c r="O47" s="2151"/>
      <c r="P47" s="2186">
        <f>_xlfn.XLOOKUP($C47,'Sales History'!$C$4:$C$83,'Sales History'!$AL$4:$AL$83,"")</f>
        <v>832</v>
      </c>
      <c r="Q47" s="2273">
        <f t="shared" si="1"/>
        <v>-66</v>
      </c>
      <c r="R47" s="2266">
        <f>_xlfn.XLOOKUP($C47,'Sales History'!$C$4:$C$83,'Sales History'!$AM$4:$AM$83,"")</f>
        <v>0.93769968051118213</v>
      </c>
      <c r="S47" s="2283">
        <f>_xlfn.XLOOKUP($C47,'Sales History'!$C$4:$C$83,'Sales History'!$AQ$4:$AQ$83,"")</f>
        <v>0.97280593325092712</v>
      </c>
      <c r="T47" s="2284">
        <f t="shared" si="2"/>
        <v>3.5106252739744992</v>
      </c>
    </row>
    <row r="48" spans="1:20" ht="100" customHeight="1">
      <c r="A48" s="2146">
        <v>16</v>
      </c>
      <c r="B48" s="2164" t="s">
        <v>148</v>
      </c>
      <c r="C48" s="2164" t="s">
        <v>149</v>
      </c>
      <c r="D48" s="2170">
        <v>12</v>
      </c>
      <c r="E48" s="2171">
        <v>48825</v>
      </c>
      <c r="F48" s="2167">
        <v>4</v>
      </c>
      <c r="G48" s="2168">
        <f t="shared" si="3"/>
        <v>4</v>
      </c>
      <c r="H48" s="2268">
        <v>11696</v>
      </c>
      <c r="I48" s="2269">
        <v>32573</v>
      </c>
      <c r="J48" s="2270">
        <v>9787</v>
      </c>
      <c r="K48" s="2271">
        <v>22786</v>
      </c>
      <c r="L48" s="2268">
        <v>2535</v>
      </c>
      <c r="M48" s="2269">
        <v>2712</v>
      </c>
      <c r="N48" s="2270">
        <v>1248</v>
      </c>
      <c r="O48" s="2151"/>
      <c r="P48" s="2186">
        <f>_xlfn.XLOOKUP($C48,'Sales History'!$C$4:$C$83,'Sales History'!$AL$4:$AL$83,"")</f>
        <v>9988</v>
      </c>
      <c r="Q48" s="2273">
        <f t="shared" si="1"/>
        <v>-201</v>
      </c>
      <c r="R48" s="2266">
        <f>_xlfn.XLOOKUP($C48,'Sales History'!$C$4:$C$83,'Sales History'!$AM$4:$AM$83,"")</f>
        <v>1.2721327967806841</v>
      </c>
      <c r="S48" s="2283">
        <f>_xlfn.XLOOKUP($C48,'Sales History'!$C$4:$C$83,'Sales History'!$AQ$4:$AQ$83,"")</f>
        <v>1.7849692202462379</v>
      </c>
      <c r="T48" s="2284">
        <f t="shared" si="2"/>
        <v>51.283642346555382</v>
      </c>
    </row>
    <row r="49" spans="1:20" ht="100" customHeight="1">
      <c r="A49" s="2146">
        <v>17</v>
      </c>
      <c r="B49" s="2164" t="s">
        <v>175</v>
      </c>
      <c r="C49" s="2164" t="s">
        <v>176</v>
      </c>
      <c r="D49" s="2170">
        <v>12</v>
      </c>
      <c r="E49" s="2171">
        <v>847187</v>
      </c>
      <c r="F49" s="2167">
        <v>4</v>
      </c>
      <c r="G49" s="2168">
        <f t="shared" si="3"/>
        <v>4</v>
      </c>
      <c r="H49" s="2268">
        <v>224194</v>
      </c>
      <c r="I49" s="2269">
        <v>562720</v>
      </c>
      <c r="J49" s="2270">
        <v>176043</v>
      </c>
      <c r="K49" s="2271">
        <v>386677</v>
      </c>
      <c r="L49" s="2268">
        <v>0</v>
      </c>
      <c r="M49" s="2269">
        <v>0</v>
      </c>
      <c r="N49" s="2270">
        <v>0</v>
      </c>
      <c r="O49" s="2151"/>
      <c r="P49" s="2186">
        <f>_xlfn.XLOOKUP($C49,'Sales History'!$C$4:$C$83,'Sales History'!$AL$4:$AL$83,"")</f>
        <v>143879</v>
      </c>
      <c r="Q49" s="2273">
        <f t="shared" si="1"/>
        <v>32164</v>
      </c>
      <c r="R49" s="2266">
        <f>_xlfn.XLOOKUP($C49,'Sales History'!$C$4:$C$83,'Sales History'!$AM$4:$AM$83,"")</f>
        <v>1.3879858700888059</v>
      </c>
      <c r="S49" s="2283">
        <f>_xlfn.XLOOKUP($C49,'Sales History'!$C$4:$C$83,'Sales History'!$AQ$4:$AQ$83,"")</f>
        <v>1.5242796840164541</v>
      </c>
      <c r="T49" s="2284">
        <f t="shared" si="2"/>
        <v>13.629381392764817</v>
      </c>
    </row>
    <row r="50" spans="1:20" ht="100" customHeight="1">
      <c r="A50" s="2146">
        <v>18</v>
      </c>
      <c r="B50" s="2164" t="s">
        <v>94</v>
      </c>
      <c r="C50" s="2164" t="s">
        <v>95</v>
      </c>
      <c r="D50" s="2170">
        <v>9</v>
      </c>
      <c r="E50" s="2171">
        <v>3315</v>
      </c>
      <c r="F50" s="2167">
        <v>4</v>
      </c>
      <c r="G50" s="2168">
        <f t="shared" si="3"/>
        <v>7</v>
      </c>
      <c r="H50" s="2268">
        <v>1672</v>
      </c>
      <c r="I50" s="2269">
        <v>3648</v>
      </c>
      <c r="J50" s="2270">
        <v>599</v>
      </c>
      <c r="K50" s="2271">
        <v>3048</v>
      </c>
      <c r="L50" s="2268">
        <v>74</v>
      </c>
      <c r="M50" s="2269">
        <v>146</v>
      </c>
      <c r="N50" s="2270">
        <v>0</v>
      </c>
      <c r="O50" s="2151"/>
      <c r="P50" s="2186">
        <f>_xlfn.XLOOKUP($C50,'Sales History'!$C$4:$C$83,'Sales History'!$AL$4:$AL$83,"")</f>
        <v>801</v>
      </c>
      <c r="Q50" s="2273">
        <f t="shared" si="1"/>
        <v>-202</v>
      </c>
      <c r="R50" s="2266">
        <f>_xlfn.XLOOKUP($C50,'Sales History'!$C$4:$C$83,'Sales History'!$AM$4:$AM$83,"")</f>
        <v>1.3320581484315226</v>
      </c>
      <c r="S50" s="2283">
        <f>_xlfn.XLOOKUP($C50,'Sales History'!$C$4:$C$83,'Sales History'!$AQ$4:$AQ$83,"")</f>
        <v>1.1870503597122302</v>
      </c>
      <c r="T50" s="2284">
        <f t="shared" si="2"/>
        <v>-14.500778871929242</v>
      </c>
    </row>
    <row r="51" spans="1:20" ht="100" customHeight="1">
      <c r="A51" s="2146">
        <v>19</v>
      </c>
      <c r="B51" s="2164" t="s">
        <v>177</v>
      </c>
      <c r="C51" s="2164" t="s">
        <v>178</v>
      </c>
      <c r="D51" s="2170">
        <v>12</v>
      </c>
      <c r="E51" s="2171">
        <v>34215</v>
      </c>
      <c r="F51" s="2167">
        <v>4</v>
      </c>
      <c r="G51" s="2168">
        <f t="shared" si="3"/>
        <v>4</v>
      </c>
      <c r="H51" s="2268">
        <v>9687</v>
      </c>
      <c r="I51" s="2269">
        <v>15719</v>
      </c>
      <c r="J51" s="2270">
        <v>5118</v>
      </c>
      <c r="K51" s="2271">
        <v>10601</v>
      </c>
      <c r="L51" s="2268">
        <v>2442</v>
      </c>
      <c r="M51" s="2269">
        <v>3604</v>
      </c>
      <c r="N51" s="2270">
        <v>1608</v>
      </c>
      <c r="O51" s="2151"/>
      <c r="P51" s="2186">
        <f>_xlfn.XLOOKUP($C51,'Sales History'!$C$4:$C$83,'Sales History'!$AL$4:$AL$83,"")</f>
        <v>3772</v>
      </c>
      <c r="Q51" s="2273">
        <f t="shared" si="1"/>
        <v>1346</v>
      </c>
      <c r="R51" s="2266">
        <f>_xlfn.XLOOKUP($C51,'Sales History'!$C$4:$C$83,'Sales History'!$AM$4:$AM$83,"")</f>
        <v>0.48224272930648771</v>
      </c>
      <c r="S51" s="2283">
        <f>_xlfn.XLOOKUP($C51,'Sales History'!$C$4:$C$83,'Sales History'!$AQ$4:$AQ$83,"")</f>
        <v>0.62269020336533498</v>
      </c>
      <c r="T51" s="2284">
        <f t="shared" si="2"/>
        <v>14.044747405884728</v>
      </c>
    </row>
    <row r="52" spans="1:20" ht="100" customHeight="1">
      <c r="A52" s="2146">
        <v>20</v>
      </c>
      <c r="B52" s="2164" t="s">
        <v>110</v>
      </c>
      <c r="C52" s="2164" t="s">
        <v>111</v>
      </c>
      <c r="D52" s="2170">
        <v>12</v>
      </c>
      <c r="E52" s="2171">
        <v>3938</v>
      </c>
      <c r="F52" s="2167">
        <v>4</v>
      </c>
      <c r="G52" s="2168">
        <f t="shared" si="3"/>
        <v>4</v>
      </c>
      <c r="H52" s="2268">
        <v>847</v>
      </c>
      <c r="I52" s="2269">
        <v>1674</v>
      </c>
      <c r="J52" s="2270">
        <v>420</v>
      </c>
      <c r="K52" s="2271">
        <v>1254</v>
      </c>
      <c r="L52" s="2268">
        <v>0</v>
      </c>
      <c r="M52" s="2269">
        <v>0</v>
      </c>
      <c r="N52" s="2270">
        <v>0</v>
      </c>
      <c r="O52" s="2151"/>
      <c r="P52" s="2186">
        <f>_xlfn.XLOOKUP($C52,'Sales History'!$C$4:$C$83,'Sales History'!$AL$4:$AL$83,"")</f>
        <v>512</v>
      </c>
      <c r="Q52" s="2273">
        <f t="shared" si="1"/>
        <v>-92</v>
      </c>
      <c r="R52" s="2266">
        <f>_xlfn.XLOOKUP($C52,'Sales History'!$C$4:$C$83,'Sales History'!$AM$4:$AM$83,"")</f>
        <v>0.90544871794871795</v>
      </c>
      <c r="S52" s="2283">
        <f>_xlfn.XLOOKUP($C52,'Sales History'!$C$4:$C$83,'Sales History'!$AQ$4:$AQ$83,"")</f>
        <v>1.0925</v>
      </c>
      <c r="T52" s="2284">
        <f t="shared" si="2"/>
        <v>18.705128205128208</v>
      </c>
    </row>
    <row r="53" spans="1:20" ht="100" customHeight="1">
      <c r="A53" s="2146">
        <v>21</v>
      </c>
      <c r="B53" s="2164" t="s">
        <v>162</v>
      </c>
      <c r="C53" s="2164" t="s">
        <v>163</v>
      </c>
      <c r="D53" s="2170">
        <v>12</v>
      </c>
      <c r="E53" s="2171">
        <v>8636</v>
      </c>
      <c r="F53" s="2167">
        <v>4</v>
      </c>
      <c r="G53" s="2168">
        <f t="shared" si="3"/>
        <v>4</v>
      </c>
      <c r="H53" s="2268">
        <v>2270</v>
      </c>
      <c r="I53" s="2269">
        <v>7660</v>
      </c>
      <c r="J53" s="2270">
        <v>2350</v>
      </c>
      <c r="K53" s="2271">
        <v>5310</v>
      </c>
      <c r="L53" s="2268">
        <v>13</v>
      </c>
      <c r="M53" s="2269">
        <v>2</v>
      </c>
      <c r="N53" s="2270">
        <v>2</v>
      </c>
      <c r="O53" s="2151"/>
      <c r="P53" s="2186">
        <f>_xlfn.XLOOKUP($C53,'Sales History'!$C$4:$C$83,'Sales History'!$AL$4:$AL$83,"")</f>
        <v>2310</v>
      </c>
      <c r="Q53" s="2273">
        <f t="shared" si="1"/>
        <v>40</v>
      </c>
      <c r="R53" s="2266">
        <f>_xlfn.XLOOKUP($C53,'Sales History'!$C$4:$C$83,'Sales History'!$AM$4:$AM$83,"")</f>
        <v>2.2181818181818183</v>
      </c>
      <c r="S53" s="2283">
        <f>_xlfn.XLOOKUP($C53,'Sales History'!$C$4:$C$83,'Sales History'!$AQ$4:$AQ$83,"")</f>
        <v>2.3744493392070485</v>
      </c>
      <c r="T53" s="2284">
        <f t="shared" si="2"/>
        <v>15.626752102523023</v>
      </c>
    </row>
    <row r="54" spans="1:20" ht="100" customHeight="1">
      <c r="A54" s="2146">
        <v>22</v>
      </c>
      <c r="B54" s="2164" t="s">
        <v>124</v>
      </c>
      <c r="C54" s="2164" t="s">
        <v>125</v>
      </c>
      <c r="D54" s="2170">
        <v>9</v>
      </c>
      <c r="E54" s="2171">
        <v>41084</v>
      </c>
      <c r="F54" s="2167">
        <v>4</v>
      </c>
      <c r="G54" s="2168">
        <f t="shared" si="3"/>
        <v>7</v>
      </c>
      <c r="H54" s="2268">
        <v>18124</v>
      </c>
      <c r="I54" s="2269">
        <v>38001</v>
      </c>
      <c r="J54" s="2270">
        <v>4979</v>
      </c>
      <c r="K54" s="2271">
        <v>33022</v>
      </c>
      <c r="L54" s="2268">
        <v>2676</v>
      </c>
      <c r="M54" s="2269">
        <v>10015</v>
      </c>
      <c r="N54" s="2270">
        <v>1084</v>
      </c>
      <c r="O54" s="2151"/>
      <c r="P54" s="2186">
        <f>_xlfn.XLOOKUP($C54,'Sales History'!$C$4:$C$83,'Sales History'!$AL$4:$AL$83,"")</f>
        <v>6643</v>
      </c>
      <c r="Q54" s="2273">
        <f t="shared" si="1"/>
        <v>-1664</v>
      </c>
      <c r="R54" s="2266">
        <f>_xlfn.XLOOKUP($C54,'Sales History'!$C$4:$C$83,'Sales History'!$AM$4:$AM$83,"")</f>
        <v>1.1947361424963445</v>
      </c>
      <c r="S54" s="2283">
        <f>_xlfn.XLOOKUP($C54,'Sales History'!$C$4:$C$83,'Sales History'!$AQ$4:$AQ$83,"")</f>
        <v>1.0967225777973957</v>
      </c>
      <c r="T54" s="2284">
        <f t="shared" si="2"/>
        <v>-9.8013564698948841</v>
      </c>
    </row>
    <row r="55" spans="1:20" ht="100" customHeight="1">
      <c r="A55" s="2146">
        <v>23</v>
      </c>
      <c r="B55" s="2164" t="s">
        <v>106</v>
      </c>
      <c r="C55" s="2164" t="s">
        <v>107</v>
      </c>
      <c r="D55" s="2170">
        <v>12</v>
      </c>
      <c r="E55" s="2171">
        <v>2136</v>
      </c>
      <c r="F55" s="2167">
        <v>4</v>
      </c>
      <c r="G55" s="2168">
        <f t="shared" si="3"/>
        <v>4</v>
      </c>
      <c r="H55" s="2268">
        <v>479</v>
      </c>
      <c r="I55" s="2269">
        <v>1164</v>
      </c>
      <c r="J55" s="2270">
        <v>290</v>
      </c>
      <c r="K55" s="2271">
        <v>874</v>
      </c>
      <c r="L55" s="2268">
        <v>0</v>
      </c>
      <c r="M55" s="2269">
        <v>0</v>
      </c>
      <c r="N55" s="2270">
        <v>0</v>
      </c>
      <c r="O55" s="2151"/>
      <c r="P55" s="2186">
        <f>_xlfn.XLOOKUP($C55,'Sales History'!$C$4:$C$83,'Sales History'!$AL$4:$AL$83,"")</f>
        <v>365</v>
      </c>
      <c r="Q55" s="2273">
        <f t="shared" si="1"/>
        <v>-75</v>
      </c>
      <c r="R55" s="2266">
        <f>_xlfn.XLOOKUP($C55,'Sales History'!$C$4:$C$83,'Sales History'!$AM$4:$AM$83,"")</f>
        <v>1.5555555555555556</v>
      </c>
      <c r="S55" s="2283">
        <f>_xlfn.XLOOKUP($C55,'Sales History'!$C$4:$C$83,'Sales History'!$AQ$4:$AQ$83,"")</f>
        <v>1.4300626304801669</v>
      </c>
      <c r="T55" s="2284">
        <f t="shared" si="2"/>
        <v>-12.549292507538867</v>
      </c>
    </row>
    <row r="56" spans="1:20" ht="100" customHeight="1">
      <c r="A56" s="2146">
        <v>24</v>
      </c>
      <c r="B56" s="2164" t="s">
        <v>104</v>
      </c>
      <c r="C56" s="2164" t="s">
        <v>105</v>
      </c>
      <c r="D56" s="2170">
        <v>12</v>
      </c>
      <c r="E56" s="2171">
        <v>11147</v>
      </c>
      <c r="F56" s="2167">
        <v>4</v>
      </c>
      <c r="G56" s="2168">
        <f t="shared" si="3"/>
        <v>4</v>
      </c>
      <c r="H56" s="2268">
        <v>2808</v>
      </c>
      <c r="I56" s="2269">
        <v>3968</v>
      </c>
      <c r="J56" s="2270">
        <v>1205</v>
      </c>
      <c r="K56" s="2271">
        <v>2763</v>
      </c>
      <c r="L56" s="2268">
        <v>0</v>
      </c>
      <c r="M56" s="2269">
        <v>0</v>
      </c>
      <c r="N56" s="2270">
        <v>0</v>
      </c>
      <c r="O56" s="2151"/>
      <c r="P56" s="2186">
        <f>_xlfn.XLOOKUP($C56,'Sales History'!$C$4:$C$83,'Sales History'!$AL$4:$AL$83,"")</f>
        <v>1368</v>
      </c>
      <c r="Q56" s="2273">
        <f t="shared" si="1"/>
        <v>-163</v>
      </c>
      <c r="R56" s="2266">
        <f>_xlfn.XLOOKUP($C56,'Sales History'!$C$4:$C$83,'Sales History'!$AM$4:$AM$83,"")</f>
        <v>0.5645526613816535</v>
      </c>
      <c r="S56" s="2283">
        <f>_xlfn.XLOOKUP($C56,'Sales History'!$C$4:$C$83,'Sales History'!$AQ$4:$AQ$83,"")</f>
        <v>0.4131054131054131</v>
      </c>
      <c r="T56" s="2284">
        <f t="shared" si="2"/>
        <v>-15.14472482762404</v>
      </c>
    </row>
    <row r="57" spans="1:20" ht="100" customHeight="1">
      <c r="A57" s="2146">
        <v>25</v>
      </c>
      <c r="B57" s="2164" t="s">
        <v>92</v>
      </c>
      <c r="C57" s="2164" t="s">
        <v>93</v>
      </c>
      <c r="D57" s="2170">
        <v>9</v>
      </c>
      <c r="E57" s="2171">
        <v>1600</v>
      </c>
      <c r="F57" s="2167">
        <v>4</v>
      </c>
      <c r="G57" s="2168">
        <f t="shared" si="3"/>
        <v>7</v>
      </c>
      <c r="H57" s="2268">
        <v>834</v>
      </c>
      <c r="I57" s="2269">
        <v>1757</v>
      </c>
      <c r="J57" s="2270">
        <v>266</v>
      </c>
      <c r="K57" s="2271">
        <v>1490</v>
      </c>
      <c r="L57" s="2268">
        <v>132</v>
      </c>
      <c r="M57" s="2269">
        <v>220</v>
      </c>
      <c r="N57" s="2270">
        <v>2</v>
      </c>
      <c r="O57" s="2151"/>
      <c r="P57" s="2186">
        <f>_xlfn.XLOOKUP($C57,'Sales History'!$C$4:$C$83,'Sales History'!$AL$4:$AL$83,"")</f>
        <v>381</v>
      </c>
      <c r="Q57" s="2273">
        <f t="shared" si="1"/>
        <v>-115</v>
      </c>
      <c r="R57" s="2266">
        <f>_xlfn.XLOOKUP($C57,'Sales History'!$C$4:$C$83,'Sales History'!$AM$4:$AM$83,"")</f>
        <v>1.0956399437412097</v>
      </c>
      <c r="S57" s="2283">
        <f>_xlfn.XLOOKUP($C57,'Sales History'!$C$4:$C$83,'Sales History'!$AQ$4:$AQ$83,"")</f>
        <v>1.1067146282973621</v>
      </c>
      <c r="T57" s="2284">
        <f t="shared" si="2"/>
        <v>1.1074684556152459</v>
      </c>
    </row>
    <row r="58" spans="1:20" ht="100" customHeight="1">
      <c r="A58" s="2146">
        <v>26</v>
      </c>
      <c r="B58" s="2164" t="s">
        <v>158</v>
      </c>
      <c r="C58" s="2164" t="s">
        <v>159</v>
      </c>
      <c r="D58" s="2170">
        <v>12</v>
      </c>
      <c r="E58" s="2171">
        <v>2410</v>
      </c>
      <c r="F58" s="2167">
        <v>4</v>
      </c>
      <c r="G58" s="2168">
        <f t="shared" si="3"/>
        <v>4</v>
      </c>
      <c r="H58" s="2268">
        <v>672</v>
      </c>
      <c r="I58" s="2269">
        <v>2174</v>
      </c>
      <c r="J58" s="2270">
        <v>810</v>
      </c>
      <c r="K58" s="2271">
        <v>1364</v>
      </c>
      <c r="L58" s="2268">
        <v>5</v>
      </c>
      <c r="M58" s="2269">
        <v>51</v>
      </c>
      <c r="N58" s="2270">
        <v>0</v>
      </c>
      <c r="O58" s="2151"/>
      <c r="P58" s="2186">
        <f>_xlfn.XLOOKUP($C58,'Sales History'!$C$4:$C$83,'Sales History'!$AL$4:$AL$83,"")</f>
        <v>804</v>
      </c>
      <c r="Q58" s="2273">
        <f t="shared" si="1"/>
        <v>6</v>
      </c>
      <c r="R58" s="2266">
        <f>_xlfn.XLOOKUP($C58,'Sales History'!$C$4:$C$83,'Sales History'!$AM$4:$AM$83,"")</f>
        <v>1.8123711340206186</v>
      </c>
      <c r="S58" s="2283">
        <f>_xlfn.XLOOKUP($C58,'Sales History'!$C$4:$C$83,'Sales History'!$AQ$4:$AQ$83,"")</f>
        <v>2.2351190476190474</v>
      </c>
      <c r="T58" s="2284">
        <f t="shared" si="2"/>
        <v>42.274791359842887</v>
      </c>
    </row>
    <row r="59" spans="1:20" ht="100" customHeight="1">
      <c r="A59" s="2146">
        <v>28</v>
      </c>
      <c r="B59" s="2164" t="s">
        <v>164</v>
      </c>
      <c r="C59" s="2164" t="s">
        <v>165</v>
      </c>
      <c r="D59" s="2170">
        <v>12</v>
      </c>
      <c r="E59" s="2171">
        <v>4859</v>
      </c>
      <c r="F59" s="2167">
        <v>4</v>
      </c>
      <c r="G59" s="2168">
        <f t="shared" si="3"/>
        <v>4</v>
      </c>
      <c r="H59" s="2268">
        <v>1387</v>
      </c>
      <c r="I59" s="2269">
        <v>4037</v>
      </c>
      <c r="J59" s="2270">
        <v>1270</v>
      </c>
      <c r="K59" s="2271">
        <v>2767</v>
      </c>
      <c r="L59" s="2268">
        <v>1</v>
      </c>
      <c r="M59" s="2269">
        <v>2</v>
      </c>
      <c r="N59" s="2270">
        <v>0</v>
      </c>
      <c r="O59" s="2151"/>
      <c r="P59" s="2186">
        <f>_xlfn.XLOOKUP($C59,'Sales History'!$C$4:$C$83,'Sales History'!$AL$4:$AL$83,"")</f>
        <v>1251</v>
      </c>
      <c r="Q59" s="2273">
        <f t="shared" si="1"/>
        <v>19</v>
      </c>
      <c r="R59" s="2266">
        <f>_xlfn.XLOOKUP($C59,'Sales History'!$C$4:$C$83,'Sales History'!$AM$4:$AM$83,"")</f>
        <v>1.7532338308457711</v>
      </c>
      <c r="S59" s="2283">
        <f>_xlfn.XLOOKUP($C59,'Sales History'!$C$4:$C$83,'Sales History'!$AQ$4:$AQ$83,"")</f>
        <v>1.9105984138428262</v>
      </c>
      <c r="T59" s="2284">
        <f t="shared" si="2"/>
        <v>15.736458299705514</v>
      </c>
    </row>
    <row r="60" spans="1:20" ht="100" customHeight="1">
      <c r="A60" s="2146">
        <v>29</v>
      </c>
      <c r="B60" s="2164" t="s">
        <v>166</v>
      </c>
      <c r="C60" s="2164" t="s">
        <v>167</v>
      </c>
      <c r="D60" s="2170">
        <v>12</v>
      </c>
      <c r="E60" s="2171">
        <v>4221</v>
      </c>
      <c r="F60" s="2167">
        <v>4</v>
      </c>
      <c r="G60" s="2168">
        <f t="shared" si="3"/>
        <v>4</v>
      </c>
      <c r="H60" s="2268">
        <v>1238</v>
      </c>
      <c r="I60" s="2269">
        <v>2208</v>
      </c>
      <c r="J60" s="2270">
        <v>701</v>
      </c>
      <c r="K60" s="2271">
        <v>1507</v>
      </c>
      <c r="L60" s="2268">
        <v>0</v>
      </c>
      <c r="M60" s="2269">
        <v>0</v>
      </c>
      <c r="N60" s="2270">
        <v>0</v>
      </c>
      <c r="O60" s="2151"/>
      <c r="P60" s="2186">
        <f>_xlfn.XLOOKUP($C60,'Sales History'!$C$4:$C$83,'Sales History'!$AL$4:$AL$83,"")</f>
        <v>659</v>
      </c>
      <c r="Q60" s="2273">
        <f t="shared" si="1"/>
        <v>42</v>
      </c>
      <c r="R60" s="2266">
        <f>_xlfn.XLOOKUP($C60,'Sales History'!$C$4:$C$83,'Sales History'!$AM$4:$AM$83,"")</f>
        <v>0.6894618834080718</v>
      </c>
      <c r="S60" s="2283">
        <f>_xlfn.XLOOKUP($C60,'Sales History'!$C$4:$C$83,'Sales History'!$AQ$4:$AQ$83,"")</f>
        <v>0.78352180936995153</v>
      </c>
      <c r="T60" s="2284">
        <f t="shared" si="2"/>
        <v>9.4059925961879731</v>
      </c>
    </row>
    <row r="61" spans="1:20" ht="100" customHeight="1">
      <c r="A61" s="2146">
        <v>30</v>
      </c>
      <c r="B61" s="2164" t="s">
        <v>132</v>
      </c>
      <c r="C61" s="2164" t="s">
        <v>133</v>
      </c>
      <c r="D61" s="2170">
        <v>3</v>
      </c>
      <c r="E61" s="2171">
        <v>3002</v>
      </c>
      <c r="F61" s="2167">
        <v>4</v>
      </c>
      <c r="G61" s="2168">
        <f t="shared" si="3"/>
        <v>1</v>
      </c>
      <c r="H61" s="2268">
        <v>280</v>
      </c>
      <c r="I61" s="2269">
        <v>417</v>
      </c>
      <c r="J61" s="2270">
        <v>417</v>
      </c>
      <c r="K61" s="2271">
        <v>3002</v>
      </c>
      <c r="L61" s="2268">
        <v>127</v>
      </c>
      <c r="M61" s="2269">
        <v>192</v>
      </c>
      <c r="N61" s="2270">
        <v>192</v>
      </c>
      <c r="O61" s="2151"/>
      <c r="P61" s="2186">
        <f>_xlfn.XLOOKUP($C61,'Sales History'!$C$4:$C$83,'Sales History'!$AL$4:$AL$83,"")</f>
        <v>374</v>
      </c>
      <c r="Q61" s="2273">
        <f t="shared" si="1"/>
        <v>43</v>
      </c>
      <c r="R61" s="2266">
        <f>_xlfn.XLOOKUP($C61,'Sales History'!$C$4:$C$83,'Sales History'!$AM$4:$AM$83,"")</f>
        <v>0.32831858407079645</v>
      </c>
      <c r="S61" s="2283">
        <f>_xlfn.XLOOKUP($C61,'Sales History'!$C$4:$C$83,'Sales History'!$AQ$4:$AQ$83,"")</f>
        <v>0.48928571428571427</v>
      </c>
      <c r="T61" s="2284">
        <f t="shared" si="2"/>
        <v>16.09671302149178</v>
      </c>
    </row>
    <row r="62" spans="1:20" ht="100" customHeight="1">
      <c r="A62" s="2146">
        <v>31</v>
      </c>
      <c r="B62" s="2164" t="s">
        <v>179</v>
      </c>
      <c r="C62" s="2164" t="s">
        <v>180</v>
      </c>
      <c r="D62" s="2170">
        <v>12</v>
      </c>
      <c r="E62" s="2171">
        <v>44617</v>
      </c>
      <c r="F62" s="2167">
        <v>4</v>
      </c>
      <c r="G62" s="2168">
        <f t="shared" si="3"/>
        <v>4</v>
      </c>
      <c r="H62" s="2268">
        <v>11897</v>
      </c>
      <c r="I62" s="2269">
        <v>24738</v>
      </c>
      <c r="J62" s="2270">
        <v>7486</v>
      </c>
      <c r="K62" s="2271">
        <v>17253</v>
      </c>
      <c r="L62" s="2268">
        <v>2200</v>
      </c>
      <c r="M62" s="2269">
        <v>4281</v>
      </c>
      <c r="N62" s="2270">
        <v>1769</v>
      </c>
      <c r="O62" s="2151"/>
      <c r="P62" s="2186">
        <f>_xlfn.XLOOKUP($C62,'Sales History'!$C$4:$C$83,'Sales History'!$AL$4:$AL$83,"")</f>
        <v>8602</v>
      </c>
      <c r="Q62" s="2273">
        <f t="shared" si="1"/>
        <v>-1116</v>
      </c>
      <c r="R62" s="2266">
        <f>_xlfn.XLOOKUP($C62,'Sales History'!$C$4:$C$83,'Sales History'!$AM$4:$AM$83,"")</f>
        <v>1.1644712081294692</v>
      </c>
      <c r="S62" s="2283">
        <f>_xlfn.XLOOKUP($C62,'Sales History'!$C$4:$C$83,'Sales History'!$AQ$4:$AQ$83,"")</f>
        <v>1.0793477347230394</v>
      </c>
      <c r="T62" s="2284">
        <f t="shared" si="2"/>
        <v>-8.5123473406429895</v>
      </c>
    </row>
    <row r="63" spans="1:20" ht="100" customHeight="1">
      <c r="A63" s="2146">
        <v>32</v>
      </c>
      <c r="B63" s="2164" t="s">
        <v>86</v>
      </c>
      <c r="C63" s="2164" t="s">
        <v>87</v>
      </c>
      <c r="D63" s="2170">
        <v>12</v>
      </c>
      <c r="E63" s="2171">
        <v>2996</v>
      </c>
      <c r="F63" s="2167">
        <v>4</v>
      </c>
      <c r="G63" s="2168">
        <f t="shared" si="3"/>
        <v>4</v>
      </c>
      <c r="H63" s="2268">
        <v>913</v>
      </c>
      <c r="I63" s="2269">
        <v>1346</v>
      </c>
      <c r="J63" s="2270">
        <v>564</v>
      </c>
      <c r="K63" s="2271">
        <v>782</v>
      </c>
      <c r="L63" s="2268">
        <v>6</v>
      </c>
      <c r="M63" s="2269">
        <v>51</v>
      </c>
      <c r="N63" s="2270">
        <v>24</v>
      </c>
      <c r="O63" s="2151"/>
      <c r="P63" s="2186">
        <f>_xlfn.XLOOKUP($C63,'Sales History'!$C$4:$C$83,'Sales History'!$AL$4:$AL$83,"")</f>
        <v>359</v>
      </c>
      <c r="Q63" s="2273">
        <f t="shared" si="1"/>
        <v>205</v>
      </c>
      <c r="R63" s="2266">
        <f>_xlfn.XLOOKUP($C63,'Sales History'!$C$4:$C$83,'Sales History'!$AM$4:$AM$83,"")</f>
        <v>0.31208053691275167</v>
      </c>
      <c r="S63" s="2283">
        <f>_xlfn.XLOOKUP($C63,'Sales History'!$C$4:$C$83,'Sales History'!$AQ$4:$AQ$83,"")</f>
        <v>0.47426067907995617</v>
      </c>
      <c r="T63" s="2284">
        <f t="shared" si="2"/>
        <v>16.218014216720452</v>
      </c>
    </row>
    <row r="64" spans="1:20" ht="100" customHeight="1">
      <c r="A64" s="2146">
        <v>33</v>
      </c>
      <c r="B64" s="2164" t="s">
        <v>88</v>
      </c>
      <c r="C64" s="2164" t="s">
        <v>89</v>
      </c>
      <c r="D64" s="2170">
        <v>12</v>
      </c>
      <c r="E64" s="2171">
        <v>19019</v>
      </c>
      <c r="F64" s="2167">
        <v>4</v>
      </c>
      <c r="G64" s="2168">
        <f t="shared" si="3"/>
        <v>4</v>
      </c>
      <c r="H64" s="2268">
        <v>6048</v>
      </c>
      <c r="I64" s="2269">
        <v>8500</v>
      </c>
      <c r="J64" s="2270">
        <v>2190</v>
      </c>
      <c r="K64" s="2271">
        <v>6311</v>
      </c>
      <c r="L64" s="2268">
        <v>0</v>
      </c>
      <c r="M64" s="2269">
        <v>842</v>
      </c>
      <c r="N64" s="2270">
        <v>0</v>
      </c>
      <c r="O64" s="2151"/>
      <c r="P64" s="2186">
        <f>_xlfn.XLOOKUP($C64,'Sales History'!$C$4:$C$83,'Sales History'!$AL$4:$AL$83,"")</f>
        <v>1972</v>
      </c>
      <c r="Q64" s="2273">
        <f t="shared" si="1"/>
        <v>218</v>
      </c>
      <c r="R64" s="2266">
        <f>_xlfn.XLOOKUP($C64,'Sales History'!$C$4:$C$83,'Sales History'!$AM$4:$AM$83,"")</f>
        <v>0.34649029229784511</v>
      </c>
      <c r="S64" s="2283">
        <f>_xlfn.XLOOKUP($C64,'Sales History'!$C$4:$C$83,'Sales History'!$AQ$4:$AQ$83,"")</f>
        <v>0.37074665376552168</v>
      </c>
      <c r="T64" s="2284">
        <f t="shared" si="2"/>
        <v>2.4256361467676566</v>
      </c>
    </row>
    <row r="65" spans="1:20" ht="100" customHeight="1">
      <c r="A65" s="2146">
        <v>34</v>
      </c>
      <c r="B65" s="2164" t="s">
        <v>122</v>
      </c>
      <c r="C65" s="2164" t="s">
        <v>123</v>
      </c>
      <c r="D65" s="2170">
        <v>9</v>
      </c>
      <c r="E65" s="2171">
        <v>18602</v>
      </c>
      <c r="F65" s="2167">
        <v>4</v>
      </c>
      <c r="G65" s="2168">
        <f t="shared" si="3"/>
        <v>7</v>
      </c>
      <c r="H65" s="2268">
        <v>6571</v>
      </c>
      <c r="I65" s="2269">
        <v>15471</v>
      </c>
      <c r="J65" s="2270">
        <v>4408</v>
      </c>
      <c r="K65" s="2271">
        <v>11063</v>
      </c>
      <c r="L65" s="2268">
        <v>3446</v>
      </c>
      <c r="M65" s="2269">
        <v>6590</v>
      </c>
      <c r="N65" s="2270">
        <v>0</v>
      </c>
      <c r="O65" s="2151"/>
      <c r="P65" s="2186">
        <f>_xlfn.XLOOKUP($C65,'Sales History'!$C$4:$C$83,'Sales History'!$AL$4:$AL$83,"")</f>
        <v>1857</v>
      </c>
      <c r="Q65" s="2273">
        <f t="shared" si="1"/>
        <v>2551</v>
      </c>
      <c r="R65" s="2266">
        <f>_xlfn.XLOOKUP($C65,'Sales History'!$C$4:$C$83,'Sales History'!$AM$4:$AM$83,"")</f>
        <v>0.88402588555858308</v>
      </c>
      <c r="S65" s="2283">
        <f>_xlfn.XLOOKUP($C65,'Sales History'!$C$4:$C$83,'Sales History'!$AQ$4:$AQ$83,"")</f>
        <v>1.354436158879927</v>
      </c>
      <c r="T65" s="2284">
        <f t="shared" si="2"/>
        <v>47.041027332134391</v>
      </c>
    </row>
    <row r="66" spans="1:20" ht="100" customHeight="1">
      <c r="A66" s="2146">
        <v>35</v>
      </c>
      <c r="B66" s="2164" t="s">
        <v>102</v>
      </c>
      <c r="C66" s="2164" t="s">
        <v>103</v>
      </c>
      <c r="D66" s="2170">
        <v>12</v>
      </c>
      <c r="E66" s="2171">
        <v>46676</v>
      </c>
      <c r="F66" s="2167">
        <v>4</v>
      </c>
      <c r="G66" s="2168">
        <f t="shared" si="3"/>
        <v>4</v>
      </c>
      <c r="H66" s="2268">
        <v>8747</v>
      </c>
      <c r="I66" s="2269">
        <v>37983</v>
      </c>
      <c r="J66" s="2270">
        <v>9008</v>
      </c>
      <c r="K66" s="2271">
        <v>289753</v>
      </c>
      <c r="L66" s="2268">
        <v>0</v>
      </c>
      <c r="M66" s="2269">
        <v>0</v>
      </c>
      <c r="N66" s="2270">
        <v>0</v>
      </c>
      <c r="O66" s="2151"/>
      <c r="P66" s="2186">
        <f>_xlfn.XLOOKUP($C66,'Sales History'!$C$4:$C$83,'Sales History'!$AL$4:$AL$83,"")</f>
        <v>9502</v>
      </c>
      <c r="Q66" s="2273">
        <f t="shared" si="1"/>
        <v>-494</v>
      </c>
      <c r="R66" s="2266">
        <f>_xlfn.XLOOKUP($C66,'Sales History'!$C$4:$C$83,'Sales History'!$AM$4:$AM$83,"")</f>
        <v>4.4098207617625089</v>
      </c>
      <c r="S66" s="2283">
        <f>_xlfn.XLOOKUP($C66,'Sales History'!$C$4:$C$83,'Sales History'!$AQ$4:$AQ$83,"")</f>
        <v>3.3424031096375901</v>
      </c>
      <c r="T66" s="2284">
        <f t="shared" si="2"/>
        <v>-106.74176521249188</v>
      </c>
    </row>
    <row r="67" spans="1:20" ht="100" customHeight="1">
      <c r="A67" s="2146">
        <v>36</v>
      </c>
      <c r="B67" s="2164" t="s">
        <v>136</v>
      </c>
      <c r="C67" s="2164" t="s">
        <v>137</v>
      </c>
      <c r="D67" s="2170">
        <v>9</v>
      </c>
      <c r="E67" s="2171">
        <v>65607</v>
      </c>
      <c r="F67" s="2167">
        <v>4</v>
      </c>
      <c r="G67" s="2168">
        <f t="shared" si="3"/>
        <v>7</v>
      </c>
      <c r="H67" s="2268">
        <v>47876</v>
      </c>
      <c r="I67" s="2269">
        <v>57518</v>
      </c>
      <c r="J67" s="2270">
        <v>7000</v>
      </c>
      <c r="K67" s="2271">
        <v>50519</v>
      </c>
      <c r="L67" s="2268">
        <v>669</v>
      </c>
      <c r="M67" s="2269">
        <v>552</v>
      </c>
      <c r="N67" s="2270">
        <v>0</v>
      </c>
      <c r="O67" s="2151"/>
      <c r="P67" s="2186">
        <f>_xlfn.XLOOKUP($C67,'Sales History'!$C$4:$C$83,'Sales History'!$AL$4:$AL$83,"")</f>
        <v>11168</v>
      </c>
      <c r="Q67" s="2273">
        <f t="shared" si="1"/>
        <v>-4168</v>
      </c>
      <c r="R67" s="2266">
        <f>_xlfn.XLOOKUP($C67,'Sales History'!$C$4:$C$83,'Sales History'!$AM$4:$AM$83,"")</f>
        <v>0.23906112037672914</v>
      </c>
      <c r="S67" s="2283">
        <f>_xlfn.XLOOKUP($C67,'Sales History'!$C$4:$C$83,'Sales History'!$AQ$4:$AQ$83,"")</f>
        <v>0.25472829999345564</v>
      </c>
      <c r="T67" s="2284">
        <f t="shared" si="2"/>
        <v>1.5667179616726505</v>
      </c>
    </row>
    <row r="68" spans="1:20" ht="100" customHeight="1">
      <c r="A68" s="2146">
        <v>37</v>
      </c>
      <c r="B68" s="2164" t="s">
        <v>150</v>
      </c>
      <c r="C68" s="2164" t="s">
        <v>151</v>
      </c>
      <c r="D68" s="2170">
        <v>12</v>
      </c>
      <c r="E68" s="2171">
        <v>88332</v>
      </c>
      <c r="F68" s="2167">
        <v>4</v>
      </c>
      <c r="G68" s="2168">
        <f t="shared" si="3"/>
        <v>4</v>
      </c>
      <c r="H68" s="2268">
        <v>21375</v>
      </c>
      <c r="I68" s="2269">
        <v>27497</v>
      </c>
      <c r="J68" s="2270">
        <v>9897</v>
      </c>
      <c r="K68" s="2271">
        <v>176000</v>
      </c>
      <c r="L68" s="2268">
        <v>3992</v>
      </c>
      <c r="M68" s="2269">
        <v>2535</v>
      </c>
      <c r="N68" s="2270">
        <v>1141</v>
      </c>
      <c r="O68" s="2151"/>
      <c r="P68" s="2186">
        <f>_xlfn.XLOOKUP($C68,'Sales History'!$C$4:$C$83,'Sales History'!$AL$4:$AL$83,"")</f>
        <v>7458</v>
      </c>
      <c r="Q68" s="2273">
        <f t="shared" ref="Q68:Q82" si="4">IF(J68&lt;1,"",J68-P68)</f>
        <v>2439</v>
      </c>
      <c r="R68" s="2266">
        <f>_xlfn.XLOOKUP($C68,'Sales History'!$C$4:$C$83,'Sales History'!$AM$4:$AM$83,"")</f>
        <v>7.4556213017751477E-2</v>
      </c>
      <c r="S68" s="2283">
        <f>_xlfn.XLOOKUP($C68,'Sales History'!$C$4:$C$83,'Sales History'!$AQ$4:$AQ$83,"")</f>
        <v>0.28713195712212702</v>
      </c>
      <c r="T68" s="2284">
        <f t="shared" ref="T68:T82" si="5">IFERROR((S68-R68)*100,"")</f>
        <v>21.257574410437556</v>
      </c>
    </row>
    <row r="69" spans="1:20" ht="100" customHeight="1">
      <c r="A69" s="2146">
        <v>38</v>
      </c>
      <c r="B69" s="2164" t="s">
        <v>181</v>
      </c>
      <c r="C69" s="2164" t="s">
        <v>182</v>
      </c>
      <c r="D69" s="2170">
        <v>12</v>
      </c>
      <c r="E69" s="2171">
        <v>5814</v>
      </c>
      <c r="F69" s="2167">
        <v>4</v>
      </c>
      <c r="G69" s="2168">
        <f t="shared" si="3"/>
        <v>4</v>
      </c>
      <c r="H69" s="2268">
        <v>1672</v>
      </c>
      <c r="I69" s="2269">
        <v>2675</v>
      </c>
      <c r="J69" s="2270">
        <v>872</v>
      </c>
      <c r="K69" s="2271">
        <v>1803</v>
      </c>
      <c r="L69" s="2268">
        <v>14</v>
      </c>
      <c r="M69" s="2269">
        <v>125</v>
      </c>
      <c r="N69" s="2270">
        <v>34</v>
      </c>
      <c r="O69" s="2151"/>
      <c r="P69" s="2186">
        <f>_xlfn.XLOOKUP($C69,'Sales History'!$C$4:$C$83,'Sales History'!$AL$4:$AL$83,"")</f>
        <v>791</v>
      </c>
      <c r="Q69" s="2273">
        <f t="shared" si="4"/>
        <v>81</v>
      </c>
      <c r="R69" s="2266">
        <f>_xlfn.XLOOKUP($C69,'Sales History'!$C$4:$C$83,'Sales History'!$AM$4:$AM$83,"")</f>
        <v>0.48151191454396058</v>
      </c>
      <c r="S69" s="2283">
        <f>_xlfn.XLOOKUP($C69,'Sales History'!$C$4:$C$83,'Sales History'!$AQ$4:$AQ$83,"")</f>
        <v>0.59988038277511957</v>
      </c>
      <c r="T69" s="2284">
        <f t="shared" si="5"/>
        <v>11.836846823115899</v>
      </c>
    </row>
    <row r="70" spans="1:20" ht="100" customHeight="1">
      <c r="A70" s="2146">
        <v>39</v>
      </c>
      <c r="B70" s="2164" t="s">
        <v>169</v>
      </c>
      <c r="C70" s="2164" t="s">
        <v>170</v>
      </c>
      <c r="D70" s="2170">
        <v>12</v>
      </c>
      <c r="E70" s="2171">
        <v>3120</v>
      </c>
      <c r="F70" s="2167">
        <v>4</v>
      </c>
      <c r="G70" s="2168">
        <f t="shared" si="3"/>
        <v>4</v>
      </c>
      <c r="H70" s="2268">
        <v>936</v>
      </c>
      <c r="I70" s="2269">
        <v>2307</v>
      </c>
      <c r="J70" s="2270">
        <v>730</v>
      </c>
      <c r="K70" s="2271">
        <v>1577</v>
      </c>
      <c r="L70" s="2268">
        <v>154</v>
      </c>
      <c r="M70" s="2269">
        <v>117</v>
      </c>
      <c r="N70" s="2270">
        <v>38</v>
      </c>
      <c r="O70" s="2151"/>
      <c r="P70" s="2186">
        <f>_xlfn.XLOOKUP($C70,'Sales History'!$C$4:$C$83,'Sales History'!$AL$4:$AL$83,"")</f>
        <v>709</v>
      </c>
      <c r="Q70" s="2273">
        <f t="shared" si="4"/>
        <v>21</v>
      </c>
      <c r="R70" s="2266">
        <f>_xlfn.XLOOKUP($C70,'Sales History'!$C$4:$C$83,'Sales History'!$AM$4:$AM$83,"")</f>
        <v>1.353731343283582</v>
      </c>
      <c r="S70" s="2283">
        <f>_xlfn.XLOOKUP($C70,'Sales History'!$C$4:$C$83,'Sales History'!$AQ$4:$AQ$83,"")</f>
        <v>1.4647435897435896</v>
      </c>
      <c r="T70" s="2284">
        <f t="shared" si="5"/>
        <v>11.101224646000762</v>
      </c>
    </row>
    <row r="71" spans="1:20" ht="100" customHeight="1">
      <c r="A71" s="2146">
        <v>40</v>
      </c>
      <c r="B71" s="2164" t="s">
        <v>144</v>
      </c>
      <c r="C71" s="2164" t="s">
        <v>145</v>
      </c>
      <c r="D71" s="2170">
        <v>12</v>
      </c>
      <c r="E71" s="2171">
        <v>47988</v>
      </c>
      <c r="F71" s="2167">
        <v>4</v>
      </c>
      <c r="G71" s="2168">
        <f t="shared" si="3"/>
        <v>4</v>
      </c>
      <c r="H71" s="2268">
        <v>7574</v>
      </c>
      <c r="I71" s="2269">
        <v>11597</v>
      </c>
      <c r="J71" s="2270">
        <v>3190</v>
      </c>
      <c r="K71" s="2271">
        <v>8407</v>
      </c>
      <c r="L71" s="2268">
        <v>2472</v>
      </c>
      <c r="M71" s="2269">
        <v>4482</v>
      </c>
      <c r="N71" s="2270">
        <v>1991</v>
      </c>
      <c r="O71" s="2151"/>
      <c r="P71" s="2186">
        <f>_xlfn.XLOOKUP($C71,'Sales History'!$C$4:$C$83,'Sales History'!$AL$4:$AL$83,"")</f>
        <v>1428</v>
      </c>
      <c r="Q71" s="2273">
        <f t="shared" si="4"/>
        <v>1762</v>
      </c>
      <c r="R71" s="2266">
        <f>_xlfn.XLOOKUP($C71,'Sales History'!$C$4:$C$83,'Sales History'!$AM$4:$AM$83,"")</f>
        <v>0.18927712547743669</v>
      </c>
      <c r="S71" s="2283">
        <f>_xlfn.XLOOKUP($C71,'Sales History'!$C$4:$C$83,'Sales History'!$AQ$4:$AQ$83,"")</f>
        <v>0.53115922894111434</v>
      </c>
      <c r="T71" s="2284">
        <f t="shared" si="5"/>
        <v>34.188210346367768</v>
      </c>
    </row>
    <row r="72" spans="1:20" ht="100" customHeight="1">
      <c r="A72" s="2146">
        <v>41</v>
      </c>
      <c r="B72" s="2164" t="s">
        <v>156</v>
      </c>
      <c r="C72" s="2164" t="s">
        <v>157</v>
      </c>
      <c r="D72" s="2170">
        <v>12</v>
      </c>
      <c r="E72" s="2171">
        <v>4060</v>
      </c>
      <c r="F72" s="2167">
        <v>4</v>
      </c>
      <c r="G72" s="2168">
        <f t="shared" si="3"/>
        <v>4</v>
      </c>
      <c r="H72" s="2268">
        <v>1106</v>
      </c>
      <c r="I72" s="2269">
        <v>2087</v>
      </c>
      <c r="J72" s="2270">
        <v>654</v>
      </c>
      <c r="K72" s="2271">
        <v>1434</v>
      </c>
      <c r="L72" s="2268">
        <v>0</v>
      </c>
      <c r="M72" s="2269">
        <v>0</v>
      </c>
      <c r="N72" s="2270">
        <v>0</v>
      </c>
      <c r="O72" s="2151"/>
      <c r="P72" s="2186">
        <f>_xlfn.XLOOKUP($C72,'Sales History'!$C$4:$C$83,'Sales History'!$AL$4:$AL$83,"")</f>
        <v>667</v>
      </c>
      <c r="Q72" s="2273">
        <f t="shared" si="4"/>
        <v>-13</v>
      </c>
      <c r="R72" s="2266">
        <f>_xlfn.XLOOKUP($C72,'Sales History'!$C$4:$C$83,'Sales History'!$AM$4:$AM$83,"")</f>
        <v>0.67523364485981308</v>
      </c>
      <c r="S72" s="2283">
        <f>_xlfn.XLOOKUP($C72,'Sales History'!$C$4:$C$83,'Sales History'!$AQ$4:$AQ$83,"")</f>
        <v>0.88698010849909581</v>
      </c>
      <c r="T72" s="2284">
        <f t="shared" si="5"/>
        <v>21.174646363928275</v>
      </c>
    </row>
    <row r="73" spans="1:20" ht="100" customHeight="1">
      <c r="A73" s="2146">
        <v>42</v>
      </c>
      <c r="B73" s="2164" t="s">
        <v>118</v>
      </c>
      <c r="C73" s="2164" t="s">
        <v>119</v>
      </c>
      <c r="D73" s="2170">
        <v>12</v>
      </c>
      <c r="E73" s="2171">
        <v>366886</v>
      </c>
      <c r="F73" s="2167">
        <v>4</v>
      </c>
      <c r="G73" s="2168">
        <f t="shared" si="3"/>
        <v>4</v>
      </c>
      <c r="H73" s="2268">
        <v>111055</v>
      </c>
      <c r="I73" s="2269">
        <v>132573</v>
      </c>
      <c r="J73" s="2270">
        <v>50904</v>
      </c>
      <c r="K73" s="2271">
        <v>81669</v>
      </c>
      <c r="L73" s="2268">
        <v>14882</v>
      </c>
      <c r="M73" s="2269">
        <v>5563</v>
      </c>
      <c r="N73" s="2270">
        <v>2321</v>
      </c>
      <c r="O73" s="2151"/>
      <c r="P73" s="2186">
        <f>_xlfn.XLOOKUP($C73,'Sales History'!$C$4:$C$83,'Sales History'!$AL$4:$AL$83,"")</f>
        <v>54529</v>
      </c>
      <c r="Q73" s="2273">
        <f t="shared" si="4"/>
        <v>-3625</v>
      </c>
      <c r="R73" s="2266">
        <f>_xlfn.XLOOKUP($C73,'Sales History'!$C$4:$C$83,'Sales History'!$AM$4:$AM$83,"")</f>
        <v>1.4912575028893114E-2</v>
      </c>
      <c r="S73" s="2283">
        <f>_xlfn.XLOOKUP($C73,'Sales History'!$C$4:$C$83,'Sales History'!$AQ$4:$AQ$83,"")</f>
        <v>0.25667567183278828</v>
      </c>
      <c r="T73" s="2284">
        <f t="shared" si="5"/>
        <v>24.176309680389515</v>
      </c>
    </row>
    <row r="74" spans="1:20" ht="100" customHeight="1">
      <c r="A74" s="2146">
        <v>43</v>
      </c>
      <c r="B74" s="2164" t="s">
        <v>128</v>
      </c>
      <c r="C74" s="2164" t="s">
        <v>129</v>
      </c>
      <c r="D74" s="2170">
        <v>12</v>
      </c>
      <c r="E74" s="2171">
        <v>21022</v>
      </c>
      <c r="F74" s="2167">
        <v>4</v>
      </c>
      <c r="G74" s="2168">
        <f t="shared" si="3"/>
        <v>4</v>
      </c>
      <c r="H74" s="2268">
        <v>5242</v>
      </c>
      <c r="I74" s="2269">
        <v>9533</v>
      </c>
      <c r="J74" s="2270">
        <v>2495</v>
      </c>
      <c r="K74" s="2271">
        <v>7038</v>
      </c>
      <c r="L74" s="2268">
        <v>78</v>
      </c>
      <c r="M74" s="2269">
        <v>63</v>
      </c>
      <c r="N74" s="2270">
        <v>31</v>
      </c>
      <c r="O74" s="2151"/>
      <c r="P74" s="2186">
        <f>_xlfn.XLOOKUP($C74,'Sales History'!$C$4:$C$83,'Sales History'!$AL$4:$AL$83,"")</f>
        <v>2572</v>
      </c>
      <c r="Q74" s="2273">
        <f t="shared" si="4"/>
        <v>-77</v>
      </c>
      <c r="R74" s="2266">
        <f>_xlfn.XLOOKUP($C74,'Sales History'!$C$4:$C$83,'Sales History'!$AM$4:$AM$83,"")</f>
        <v>0.80786026200873362</v>
      </c>
      <c r="S74" s="2283">
        <f>_xlfn.XLOOKUP($C74,'Sales History'!$C$4:$C$83,'Sales History'!$AQ$4:$AQ$83,"")</f>
        <v>0.78721409823772026</v>
      </c>
      <c r="T74" s="2284">
        <f t="shared" si="5"/>
        <v>-2.0646163771013359</v>
      </c>
    </row>
    <row r="75" spans="1:20" ht="100" customHeight="1">
      <c r="A75" s="2146">
        <v>44</v>
      </c>
      <c r="B75" s="2164" t="s">
        <v>134</v>
      </c>
      <c r="C75" s="2164" t="s">
        <v>135</v>
      </c>
      <c r="D75" s="2170">
        <v>12</v>
      </c>
      <c r="E75" s="2171">
        <v>1266</v>
      </c>
      <c r="F75" s="2167">
        <v>4</v>
      </c>
      <c r="G75" s="2168">
        <f t="shared" si="3"/>
        <v>4</v>
      </c>
      <c r="H75" s="2268">
        <v>195</v>
      </c>
      <c r="I75" s="2269">
        <v>266</v>
      </c>
      <c r="J75" s="2270">
        <v>81</v>
      </c>
      <c r="K75" s="2271">
        <v>184</v>
      </c>
      <c r="L75" s="2268">
        <v>0</v>
      </c>
      <c r="M75" s="2269">
        <v>0</v>
      </c>
      <c r="N75" s="2270">
        <v>0</v>
      </c>
      <c r="O75" s="2151"/>
      <c r="P75" s="2186">
        <f>_xlfn.XLOOKUP($C75,'Sales History'!$C$4:$C$83,'Sales History'!$AL$4:$AL$83,"")</f>
        <v>94</v>
      </c>
      <c r="Q75" s="2273">
        <f t="shared" si="4"/>
        <v>-13</v>
      </c>
      <c r="R75" s="2266">
        <f>_xlfn.XLOOKUP($C75,'Sales History'!$C$4:$C$83,'Sales History'!$AM$4:$AM$83,"")</f>
        <v>0.2348993288590604</v>
      </c>
      <c r="S75" s="2283">
        <f>_xlfn.XLOOKUP($C75,'Sales History'!$C$4:$C$83,'Sales History'!$AQ$4:$AQ$83,"")</f>
        <v>0.36410256410256409</v>
      </c>
      <c r="T75" s="2284">
        <f t="shared" si="5"/>
        <v>12.920323524350369</v>
      </c>
    </row>
    <row r="76" spans="1:20" ht="100" customHeight="1">
      <c r="A76" s="2146">
        <v>45</v>
      </c>
      <c r="B76" s="2164" t="s">
        <v>100</v>
      </c>
      <c r="C76" s="2164" t="s">
        <v>101</v>
      </c>
      <c r="D76" s="2170">
        <v>12</v>
      </c>
      <c r="E76" s="2171">
        <v>7000</v>
      </c>
      <c r="F76" s="2167">
        <v>4</v>
      </c>
      <c r="G76" s="2168">
        <f t="shared" si="3"/>
        <v>4</v>
      </c>
      <c r="H76" s="2268">
        <v>1732</v>
      </c>
      <c r="I76" s="2269">
        <v>4712</v>
      </c>
      <c r="J76" s="2270">
        <v>1036</v>
      </c>
      <c r="K76" s="2271">
        <v>3676</v>
      </c>
      <c r="L76" s="2268">
        <v>0</v>
      </c>
      <c r="M76" s="2269">
        <v>19</v>
      </c>
      <c r="N76" s="2270">
        <v>14</v>
      </c>
      <c r="O76" s="2151"/>
      <c r="P76" s="2186">
        <f>_xlfn.XLOOKUP($C76,'Sales History'!$C$4:$C$83,'Sales History'!$AL$4:$AL$83,"")</f>
        <v>1607</v>
      </c>
      <c r="Q76" s="2273">
        <f t="shared" si="4"/>
        <v>-571</v>
      </c>
      <c r="R76" s="2266">
        <f>_xlfn.XLOOKUP($C76,'Sales History'!$C$4:$C$83,'Sales History'!$AM$4:$AM$83,"")</f>
        <v>1.9059288537549408</v>
      </c>
      <c r="S76" s="2283">
        <f>_xlfn.XLOOKUP($C76,'Sales History'!$C$4:$C$83,'Sales History'!$AQ$4:$AQ$83,"")</f>
        <v>1.7205542725173211</v>
      </c>
      <c r="T76" s="2284">
        <f t="shared" si="5"/>
        <v>-18.537458123761972</v>
      </c>
    </row>
    <row r="77" spans="1:20" ht="100" customHeight="1">
      <c r="A77" s="2146">
        <v>47</v>
      </c>
      <c r="B77" s="2164" t="s">
        <v>187</v>
      </c>
      <c r="C77" s="2164" t="s">
        <v>188</v>
      </c>
      <c r="D77" s="2170">
        <v>12</v>
      </c>
      <c r="E77" s="2171">
        <v>18091</v>
      </c>
      <c r="F77" s="2167">
        <v>4</v>
      </c>
      <c r="G77" s="2168">
        <f t="shared" si="3"/>
        <v>4</v>
      </c>
      <c r="H77" s="2268">
        <v>5529</v>
      </c>
      <c r="I77" s="2269">
        <v>7118</v>
      </c>
      <c r="J77" s="2270">
        <v>1249</v>
      </c>
      <c r="K77" s="2271">
        <v>5869</v>
      </c>
      <c r="L77" s="2268">
        <v>50</v>
      </c>
      <c r="M77" s="2269">
        <v>176</v>
      </c>
      <c r="N77" s="2270">
        <v>18</v>
      </c>
      <c r="O77" s="2151"/>
      <c r="P77" s="2186">
        <f>_xlfn.XLOOKUP($C77,'Sales History'!$C$4:$C$83,'Sales History'!$AL$4:$AL$83,"")</f>
        <v>1948</v>
      </c>
      <c r="Q77" s="2273">
        <f t="shared" si="4"/>
        <v>-699</v>
      </c>
      <c r="R77" s="2266">
        <f>_xlfn.XLOOKUP($C77,'Sales History'!$C$4:$C$83,'Sales History'!$AM$4:$AM$83,"")</f>
        <v>0.53759496987162692</v>
      </c>
      <c r="S77" s="2283">
        <f>_xlfn.XLOOKUP($C77,'Sales History'!$C$4:$C$83,'Sales History'!$AQ$4:$AQ$83,"")</f>
        <v>0.28739374208717672</v>
      </c>
      <c r="T77" s="2284">
        <f t="shared" si="5"/>
        <v>-25.020122778445021</v>
      </c>
    </row>
    <row r="78" spans="1:20" ht="100" customHeight="1">
      <c r="A78" s="2146">
        <v>49</v>
      </c>
      <c r="B78" s="2164" t="s">
        <v>112</v>
      </c>
      <c r="C78" s="2164" t="s">
        <v>113</v>
      </c>
      <c r="D78" s="2170">
        <v>9</v>
      </c>
      <c r="E78" s="2171">
        <v>5066</v>
      </c>
      <c r="F78" s="2167">
        <v>4</v>
      </c>
      <c r="G78" s="2168">
        <f t="shared" si="3"/>
        <v>7</v>
      </c>
      <c r="H78" s="2268">
        <v>2549</v>
      </c>
      <c r="I78" s="2269">
        <v>4906</v>
      </c>
      <c r="J78" s="2270">
        <v>522</v>
      </c>
      <c r="K78" s="2271">
        <v>4384</v>
      </c>
      <c r="L78" s="2268">
        <v>0</v>
      </c>
      <c r="M78" s="2269">
        <v>0</v>
      </c>
      <c r="N78" s="2270">
        <v>0</v>
      </c>
      <c r="O78" s="2151"/>
      <c r="P78" s="2186">
        <f>_xlfn.XLOOKUP($C78,'Sales History'!$C$4:$C$83,'Sales History'!$AL$4:$AL$83,"")</f>
        <v>871</v>
      </c>
      <c r="Q78" s="2273">
        <f t="shared" si="4"/>
        <v>-349</v>
      </c>
      <c r="R78" s="2266">
        <f>_xlfn.XLOOKUP($C78,'Sales History'!$C$4:$C$83,'Sales History'!$AM$4:$AM$83,"")</f>
        <v>1.123002421307506</v>
      </c>
      <c r="S78" s="2283">
        <f>_xlfn.XLOOKUP($C78,'Sales History'!$C$4:$C$83,'Sales History'!$AQ$4:$AQ$83,"")</f>
        <v>0.92467634366418205</v>
      </c>
      <c r="T78" s="2284">
        <f t="shared" si="5"/>
        <v>-19.832607764332401</v>
      </c>
    </row>
    <row r="79" spans="1:20" ht="100" customHeight="1">
      <c r="A79" s="2146">
        <v>50</v>
      </c>
      <c r="B79" s="2164" t="s">
        <v>126</v>
      </c>
      <c r="C79" s="2164" t="s">
        <v>127</v>
      </c>
      <c r="D79" s="2170">
        <v>12</v>
      </c>
      <c r="E79" s="2171">
        <v>321889</v>
      </c>
      <c r="F79" s="2167">
        <v>4</v>
      </c>
      <c r="G79" s="2168">
        <f t="shared" si="3"/>
        <v>4</v>
      </c>
      <c r="H79" s="2268">
        <v>60482</v>
      </c>
      <c r="I79" s="2269">
        <v>181128</v>
      </c>
      <c r="J79" s="2270">
        <v>51370</v>
      </c>
      <c r="K79" s="2271">
        <v>129757</v>
      </c>
      <c r="L79" s="2268">
        <v>12215</v>
      </c>
      <c r="M79" s="2269">
        <v>54329</v>
      </c>
      <c r="N79" s="2270">
        <v>20561</v>
      </c>
      <c r="O79" s="2151"/>
      <c r="P79" s="2186">
        <f>_xlfn.XLOOKUP($C79,'Sales History'!$C$4:$C$83,'Sales History'!$AL$4:$AL$83,"")</f>
        <v>41943</v>
      </c>
      <c r="Q79" s="2273">
        <f t="shared" si="4"/>
        <v>9427</v>
      </c>
      <c r="R79" s="2266">
        <f>_xlfn.XLOOKUP($C79,'Sales History'!$C$4:$C$83,'Sales History'!$AM$4:$AM$83,"")</f>
        <v>1.8275659185007627</v>
      </c>
      <c r="S79" s="2283">
        <f>_xlfn.XLOOKUP($C79,'Sales History'!$C$4:$C$83,'Sales History'!$AQ$4:$AQ$83,"")</f>
        <v>1.9947422373598758</v>
      </c>
      <c r="T79" s="2284">
        <f t="shared" si="5"/>
        <v>16.71763188591131</v>
      </c>
    </row>
    <row r="80" spans="1:20" ht="100" customHeight="1">
      <c r="A80" s="2146">
        <v>52</v>
      </c>
      <c r="B80" s="2164" t="s">
        <v>146</v>
      </c>
      <c r="C80" s="2164" t="s">
        <v>147</v>
      </c>
      <c r="D80" s="2170">
        <v>12</v>
      </c>
      <c r="E80" s="2171">
        <v>68119</v>
      </c>
      <c r="F80" s="2167">
        <v>4</v>
      </c>
      <c r="G80" s="2168">
        <f t="shared" si="3"/>
        <v>4</v>
      </c>
      <c r="H80" s="2268">
        <v>20175</v>
      </c>
      <c r="I80" s="2269">
        <v>10298</v>
      </c>
      <c r="J80" s="2270">
        <v>4674</v>
      </c>
      <c r="K80" s="2271">
        <v>5624</v>
      </c>
      <c r="L80" s="2268">
        <v>10618</v>
      </c>
      <c r="M80" s="2269">
        <v>2812</v>
      </c>
      <c r="N80" s="2270">
        <v>1033</v>
      </c>
      <c r="O80" s="2151"/>
      <c r="P80" s="2186">
        <f>_xlfn.XLOOKUP($C80,'Sales History'!$C$4:$C$83,'Sales History'!$AL$4:$AL$83,"")</f>
        <v>645</v>
      </c>
      <c r="Q80" s="2273">
        <f t="shared" si="4"/>
        <v>4029</v>
      </c>
      <c r="R80" s="2266">
        <f>_xlfn.XLOOKUP($C80,'Sales History'!$C$4:$C$83,'Sales History'!$AM$4:$AM$83,"")</f>
        <v>-0.61001317523056653</v>
      </c>
      <c r="S80" s="2283">
        <f>_xlfn.XLOOKUP($C80,'Sales History'!$C$4:$C$83,'Sales History'!$AQ$4:$AQ$83,"")</f>
        <v>-0.48956629491945475</v>
      </c>
      <c r="T80" s="2284">
        <f t="shared" si="5"/>
        <v>12.044688031111178</v>
      </c>
    </row>
    <row r="81" spans="1:20" ht="100" customHeight="1">
      <c r="A81" s="2146">
        <v>54</v>
      </c>
      <c r="B81" s="2164" t="s">
        <v>152</v>
      </c>
      <c r="C81" s="2164" t="s">
        <v>153</v>
      </c>
      <c r="D81" s="2170">
        <v>12</v>
      </c>
      <c r="E81" s="2171">
        <v>48139</v>
      </c>
      <c r="F81" s="2167">
        <v>4</v>
      </c>
      <c r="G81" s="2168">
        <f t="shared" si="3"/>
        <v>4</v>
      </c>
      <c r="H81" s="2268">
        <v>11173</v>
      </c>
      <c r="I81" s="2269">
        <v>9747</v>
      </c>
      <c r="J81" s="2270">
        <v>1539</v>
      </c>
      <c r="K81" s="2271">
        <v>8208</v>
      </c>
      <c r="L81" s="2268">
        <v>0</v>
      </c>
      <c r="M81" s="2269">
        <v>0</v>
      </c>
      <c r="N81" s="2270">
        <v>0</v>
      </c>
      <c r="O81" s="2151"/>
      <c r="P81" s="2186">
        <f>_xlfn.XLOOKUP($C81,'Sales History'!$C$4:$C$83,'Sales History'!$AL$4:$AL$83,"")</f>
        <v>3901</v>
      </c>
      <c r="Q81" s="2273">
        <f t="shared" si="4"/>
        <v>-2362</v>
      </c>
      <c r="R81" s="2266">
        <f>_xlfn.XLOOKUP($C81,'Sales History'!$C$4:$C$83,'Sales History'!$AM$4:$AM$83,"")</f>
        <v>-5.8391648502925317E-2</v>
      </c>
      <c r="S81" s="2283">
        <f>_xlfn.XLOOKUP($C81,'Sales History'!$C$4:$C$83,'Sales History'!$AQ$4:$AQ$83,"")</f>
        <v>-0.12762910588024703</v>
      </c>
      <c r="T81" s="2284">
        <f t="shared" si="5"/>
        <v>-6.9237457377321716</v>
      </c>
    </row>
    <row r="82" spans="1:20" ht="100" customHeight="1">
      <c r="A82" s="2146">
        <v>54</v>
      </c>
      <c r="B82" s="2164" t="s">
        <v>140</v>
      </c>
      <c r="C82" s="2164" t="s">
        <v>141</v>
      </c>
      <c r="D82" s="2170">
        <v>12</v>
      </c>
      <c r="E82" s="2171">
        <v>35014</v>
      </c>
      <c r="F82" s="2167">
        <v>4</v>
      </c>
      <c r="G82" s="2168">
        <f t="shared" si="3"/>
        <v>4</v>
      </c>
      <c r="H82" s="2268">
        <v>10575</v>
      </c>
      <c r="I82" s="2269">
        <v>6927</v>
      </c>
      <c r="J82" s="2270">
        <v>2527</v>
      </c>
      <c r="K82" s="2271">
        <v>4400</v>
      </c>
      <c r="L82" s="2268">
        <v>1296</v>
      </c>
      <c r="M82" s="2269">
        <v>0</v>
      </c>
      <c r="N82" s="2270">
        <v>0</v>
      </c>
      <c r="O82" s="2151"/>
      <c r="P82" s="2186">
        <f>_xlfn.XLOOKUP($C82,'Sales History'!$C$4:$C$83,'Sales History'!$AL$4:$AL$83,"")</f>
        <v>2938</v>
      </c>
      <c r="Q82" s="2273">
        <f t="shared" si="4"/>
        <v>-411</v>
      </c>
      <c r="R82" s="2266">
        <f>_xlfn.XLOOKUP($C82,'Sales History'!$C$4:$C$83,'Sales History'!$AM$4:$AM$83,"")</f>
        <v>-0.44765252322370075</v>
      </c>
      <c r="S82" s="2283">
        <f>_xlfn.XLOOKUP($C82,'Sales History'!$C$4:$C$83,'Sales History'!$AQ$4:$AQ$83,"")</f>
        <v>-0.34496453900709217</v>
      </c>
      <c r="T82" s="2284">
        <f t="shared" si="5"/>
        <v>10.268798421660858</v>
      </c>
    </row>
    <row r="83" spans="1:20" ht="27" customHeight="1">
      <c r="A83" s="2156"/>
      <c r="B83" s="2172"/>
      <c r="C83" s="2172"/>
      <c r="D83" s="2172"/>
      <c r="E83" s="2174"/>
      <c r="F83" s="2174"/>
      <c r="G83" s="2175"/>
      <c r="H83" s="2157"/>
      <c r="I83" s="2157"/>
      <c r="J83" s="2157"/>
      <c r="K83" s="2157"/>
      <c r="L83" s="2157"/>
      <c r="M83" s="2157"/>
      <c r="N83" s="2157"/>
      <c r="O83" s="2157"/>
      <c r="P83" s="2267"/>
      <c r="Q83" s="2267"/>
      <c r="R83" s="2190"/>
      <c r="S83" s="2158"/>
      <c r="T83" s="2158"/>
    </row>
  </sheetData>
  <autoFilter ref="A32:V32" xr:uid="{B9968149-1428-D44F-BA05-408460D2AE39}"/>
  <conditionalFormatting sqref="A3:T31 A33:T83">
    <cfRule type="expression" dxfId="117" priority="2">
      <formula>ROW()=EVEN(ROW())</formula>
    </cfRule>
  </conditionalFormatting>
  <pageMargins left="0.25" right="0.25" top="0.75" bottom="0.75" header="0.3" footer="0.3"/>
  <pageSetup paperSize="9" scale="16" fitToHeight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F61A-C94F-B94E-B2FA-E1C2FBC02C02}">
  <dimension ref="A1:AX84"/>
  <sheetViews>
    <sheetView zoomScale="80" zoomScaleNormal="80" workbookViewId="0">
      <pane xSplit="4" ySplit="2" topLeftCell="AH59" activePane="bottomRight" state="frozen"/>
      <selection pane="topRight" activeCell="E1" sqref="E1"/>
      <selection pane="bottomLeft" activeCell="A3" sqref="A3"/>
      <selection pane="bottomRight" activeCell="AL82" sqref="AL82"/>
    </sheetView>
  </sheetViews>
  <sheetFormatPr baseColWidth="10" defaultColWidth="11" defaultRowHeight="24"/>
  <cols>
    <col min="1" max="1" width="9.1640625" style="2265" customWidth="1"/>
    <col min="2" max="2" width="39.5" style="2265" customWidth="1"/>
    <col min="3" max="3" width="24" style="2265" customWidth="1"/>
    <col min="4" max="4" width="11.5" style="2265" customWidth="1"/>
    <col min="5" max="5" width="13.83203125" bestFit="1" customWidth="1"/>
    <col min="6" max="6" width="14.83203125" bestFit="1" customWidth="1"/>
    <col min="7" max="7" width="13.83203125" customWidth="1"/>
    <col min="8" max="8" width="14.83203125" customWidth="1"/>
    <col min="9" max="9" width="13.83203125" customWidth="1"/>
    <col min="10" max="10" width="14.83203125" customWidth="1"/>
    <col min="11" max="11" width="13.83203125" customWidth="1"/>
    <col min="12" max="12" width="14.83203125" customWidth="1"/>
    <col min="13" max="13" width="13.83203125" customWidth="1"/>
    <col min="14" max="14" width="14.83203125" customWidth="1"/>
    <col min="15" max="15" width="13.83203125" customWidth="1"/>
    <col min="16" max="16" width="14.83203125" customWidth="1"/>
    <col min="17" max="17" width="13.83203125" customWidth="1"/>
    <col min="18" max="18" width="14.83203125" customWidth="1"/>
    <col min="19" max="19" width="13.83203125" customWidth="1"/>
    <col min="20" max="20" width="14.83203125" customWidth="1"/>
    <col min="21" max="21" width="13.83203125" customWidth="1"/>
    <col min="22" max="22" width="14.83203125" customWidth="1"/>
    <col min="23" max="23" width="15" customWidth="1"/>
    <col min="24" max="24" width="15.83203125" customWidth="1"/>
    <col min="25" max="25" width="15" customWidth="1"/>
    <col min="26" max="26" width="15.83203125" customWidth="1"/>
    <col min="27" max="27" width="15" bestFit="1" customWidth="1"/>
    <col min="28" max="28" width="15.83203125" bestFit="1" customWidth="1"/>
    <col min="29" max="29" width="13.83203125" bestFit="1" customWidth="1"/>
    <col min="30" max="30" width="14.83203125" bestFit="1" customWidth="1"/>
    <col min="31" max="31" width="15.5" bestFit="1" customWidth="1"/>
    <col min="32" max="32" width="16.1640625" bestFit="1" customWidth="1"/>
    <col min="33" max="33" width="13.83203125" bestFit="1" customWidth="1"/>
    <col min="34" max="34" width="14.83203125" bestFit="1" customWidth="1"/>
    <col min="35" max="35" width="15.5" bestFit="1" customWidth="1"/>
    <col min="36" max="36" width="14.1640625" bestFit="1" customWidth="1"/>
    <col min="37" max="37" width="13.83203125" bestFit="1" customWidth="1"/>
    <col min="38" max="38" width="14.83203125" bestFit="1" customWidth="1"/>
    <col min="39" max="39" width="15.5" bestFit="1" customWidth="1"/>
    <col min="40" max="40" width="14.1640625" bestFit="1" customWidth="1"/>
    <col min="41" max="41" width="13.83203125" bestFit="1" customWidth="1"/>
    <col min="42" max="42" width="14.83203125" bestFit="1" customWidth="1"/>
    <col min="43" max="43" width="15.5" bestFit="1" customWidth="1"/>
    <col min="44" max="44" width="14.1640625" bestFit="1" customWidth="1"/>
    <col min="45" max="45" width="10.6640625" bestFit="1" customWidth="1"/>
    <col min="46" max="46" width="11.1640625" bestFit="1" customWidth="1"/>
    <col min="47" max="48" width="11.1640625" hidden="1" customWidth="1"/>
    <col min="49" max="50" width="11.1640625" customWidth="1"/>
  </cols>
  <sheetData>
    <row r="1" spans="1:50" s="2247" customFormat="1" ht="101" customHeight="1" thickBot="1">
      <c r="A1" s="2275" t="s">
        <v>267</v>
      </c>
      <c r="B1" s="2275" t="s">
        <v>511</v>
      </c>
      <c r="C1" s="2275" t="s">
        <v>11</v>
      </c>
      <c r="D1" s="2275" t="s">
        <v>512</v>
      </c>
      <c r="E1" s="2242" t="s">
        <v>7810</v>
      </c>
      <c r="F1" s="2243" t="s">
        <v>7809</v>
      </c>
      <c r="G1" s="2242" t="s">
        <v>7808</v>
      </c>
      <c r="H1" s="2243" t="s">
        <v>7807</v>
      </c>
      <c r="I1" s="2242" t="s">
        <v>7806</v>
      </c>
      <c r="J1" s="2243" t="s">
        <v>7805</v>
      </c>
      <c r="K1" s="2242" t="s">
        <v>7804</v>
      </c>
      <c r="L1" s="2243" t="s">
        <v>7803</v>
      </c>
      <c r="M1" s="2242" t="s">
        <v>7802</v>
      </c>
      <c r="N1" s="2243" t="s">
        <v>7801</v>
      </c>
      <c r="O1" s="2242" t="s">
        <v>1627</v>
      </c>
      <c r="P1" s="2243" t="s">
        <v>7800</v>
      </c>
      <c r="Q1" s="2242" t="s">
        <v>1628</v>
      </c>
      <c r="R1" s="2243" t="s">
        <v>1629</v>
      </c>
      <c r="S1" s="2242" t="s">
        <v>1630</v>
      </c>
      <c r="T1" s="2243" t="s">
        <v>1631</v>
      </c>
      <c r="U1" s="2242" t="s">
        <v>1632</v>
      </c>
      <c r="V1" s="2243" t="s">
        <v>1633</v>
      </c>
      <c r="W1" s="2242" t="s">
        <v>1634</v>
      </c>
      <c r="X1" s="2243" t="s">
        <v>1635</v>
      </c>
      <c r="Y1" s="2242" t="s">
        <v>1636</v>
      </c>
      <c r="Z1" s="2243" t="s">
        <v>1637</v>
      </c>
      <c r="AA1" s="2242" t="s">
        <v>1638</v>
      </c>
      <c r="AB1" s="2243" t="s">
        <v>1639</v>
      </c>
      <c r="AC1" s="2242" t="s">
        <v>1640</v>
      </c>
      <c r="AD1" s="2243" t="s">
        <v>1641</v>
      </c>
      <c r="AE1" s="2244" t="s">
        <v>8150</v>
      </c>
      <c r="AF1" s="2245" t="s">
        <v>1642</v>
      </c>
      <c r="AG1" s="2242" t="s">
        <v>1643</v>
      </c>
      <c r="AH1" s="2243" t="s">
        <v>1644</v>
      </c>
      <c r="AI1" s="2244" t="s">
        <v>8150</v>
      </c>
      <c r="AJ1" s="2245" t="s">
        <v>1642</v>
      </c>
      <c r="AK1" s="2242" t="s">
        <v>1645</v>
      </c>
      <c r="AL1" s="2243" t="s">
        <v>1646</v>
      </c>
      <c r="AM1" s="2244" t="s">
        <v>8150</v>
      </c>
      <c r="AN1" s="2245" t="s">
        <v>1642</v>
      </c>
      <c r="AO1" s="2242" t="s">
        <v>8190</v>
      </c>
      <c r="AP1" s="2243" t="s">
        <v>8189</v>
      </c>
      <c r="AQ1" s="2244" t="s">
        <v>8150</v>
      </c>
      <c r="AR1" s="2245" t="s">
        <v>1642</v>
      </c>
      <c r="AS1" s="2246" t="s">
        <v>1647</v>
      </c>
      <c r="AT1" s="2246" t="s">
        <v>8151</v>
      </c>
      <c r="AU1" s="2246"/>
      <c r="AV1" s="2246"/>
      <c r="AW1" s="2246" t="s">
        <v>8277</v>
      </c>
      <c r="AX1" s="2246" t="s">
        <v>8278</v>
      </c>
    </row>
    <row r="2" spans="1:50" s="2249" customFormat="1" ht="29" customHeight="1" thickBot="1">
      <c r="A2" s="2296"/>
      <c r="B2" s="2297"/>
      <c r="C2" s="2297"/>
      <c r="D2" s="2298"/>
      <c r="E2" s="2279" t="s">
        <v>8152</v>
      </c>
      <c r="F2" s="2280" t="s">
        <v>8153</v>
      </c>
      <c r="G2" s="2276" t="s">
        <v>8154</v>
      </c>
      <c r="H2" s="2280" t="s">
        <v>8155</v>
      </c>
      <c r="I2" s="2276" t="s">
        <v>8156</v>
      </c>
      <c r="J2" s="2280" t="s">
        <v>8157</v>
      </c>
      <c r="K2" s="2276" t="s">
        <v>8158</v>
      </c>
      <c r="L2" s="2280" t="s">
        <v>8159</v>
      </c>
      <c r="M2" s="2276" t="s">
        <v>8160</v>
      </c>
      <c r="N2" s="2280" t="s">
        <v>8161</v>
      </c>
      <c r="O2" s="2276" t="s">
        <v>8162</v>
      </c>
      <c r="P2" s="2280" t="s">
        <v>8163</v>
      </c>
      <c r="Q2" s="2276" t="s">
        <v>8164</v>
      </c>
      <c r="R2" s="2280" t="s">
        <v>8165</v>
      </c>
      <c r="S2" s="2276" t="s">
        <v>8166</v>
      </c>
      <c r="T2" s="2280" t="s">
        <v>8167</v>
      </c>
      <c r="U2" s="2276" t="s">
        <v>8168</v>
      </c>
      <c r="V2" s="2280" t="s">
        <v>8169</v>
      </c>
      <c r="W2" s="2276" t="s">
        <v>8170</v>
      </c>
      <c r="X2" s="2280" t="s">
        <v>8171</v>
      </c>
      <c r="Y2" s="2276" t="s">
        <v>8172</v>
      </c>
      <c r="Z2" s="2280" t="s">
        <v>8173</v>
      </c>
      <c r="AA2" s="2276" t="s">
        <v>8174</v>
      </c>
      <c r="AB2" s="2280" t="s">
        <v>8175</v>
      </c>
      <c r="AC2" s="2276" t="s">
        <v>8176</v>
      </c>
      <c r="AD2" s="2280" t="s">
        <v>8177</v>
      </c>
      <c r="AE2" s="2281" t="s">
        <v>8178</v>
      </c>
      <c r="AF2" s="2282" t="s">
        <v>8179</v>
      </c>
      <c r="AG2" s="2276" t="s">
        <v>8180</v>
      </c>
      <c r="AH2" s="2276" t="s">
        <v>8181</v>
      </c>
      <c r="AI2" s="2281" t="s">
        <v>8178</v>
      </c>
      <c r="AJ2" s="2282" t="s">
        <v>8182</v>
      </c>
      <c r="AK2" s="2276" t="s">
        <v>8183</v>
      </c>
      <c r="AL2" s="2276" t="s">
        <v>8184</v>
      </c>
      <c r="AM2" s="2281" t="s">
        <v>8178</v>
      </c>
      <c r="AN2" s="2282" t="s">
        <v>8185</v>
      </c>
      <c r="AO2" s="2276" t="s">
        <v>8186</v>
      </c>
      <c r="AP2" s="2276" t="s">
        <v>8187</v>
      </c>
      <c r="AQ2" s="2281" t="s">
        <v>8178</v>
      </c>
      <c r="AR2" s="2282" t="s">
        <v>8188</v>
      </c>
      <c r="AS2" s="2276"/>
      <c r="AT2" s="2276"/>
      <c r="AU2" s="2276"/>
      <c r="AV2" s="2276"/>
      <c r="AW2" s="2276"/>
      <c r="AX2" s="2276"/>
    </row>
    <row r="3" spans="1:50" s="2249" customFormat="1" ht="21" customHeight="1">
      <c r="A3" s="2299"/>
      <c r="B3" s="2300"/>
      <c r="C3" s="2300"/>
      <c r="D3" s="2300"/>
      <c r="E3" s="2290">
        <v>1</v>
      </c>
      <c r="F3" s="2291">
        <v>1</v>
      </c>
      <c r="G3" s="2292">
        <v>2</v>
      </c>
      <c r="H3" s="2291">
        <v>2</v>
      </c>
      <c r="I3" s="2292">
        <v>3</v>
      </c>
      <c r="J3" s="2291">
        <v>3</v>
      </c>
      <c r="K3" s="2292">
        <v>4</v>
      </c>
      <c r="L3" s="2291">
        <v>4</v>
      </c>
      <c r="M3" s="2292">
        <v>5</v>
      </c>
      <c r="N3" s="2291">
        <v>5</v>
      </c>
      <c r="O3" s="2292">
        <v>6</v>
      </c>
      <c r="P3" s="2291">
        <v>6</v>
      </c>
      <c r="Q3" s="2292">
        <v>7</v>
      </c>
      <c r="R3" s="2291">
        <v>7</v>
      </c>
      <c r="S3" s="2292">
        <v>8</v>
      </c>
      <c r="T3" s="2291">
        <v>8</v>
      </c>
      <c r="U3" s="2292">
        <v>9</v>
      </c>
      <c r="V3" s="2291">
        <v>9</v>
      </c>
      <c r="W3" s="2292">
        <v>10</v>
      </c>
      <c r="X3" s="2291">
        <v>10</v>
      </c>
      <c r="Y3" s="2292">
        <v>11</v>
      </c>
      <c r="Z3" s="2291">
        <v>11</v>
      </c>
      <c r="AA3" s="2292">
        <v>12</v>
      </c>
      <c r="AB3" s="2291">
        <v>12</v>
      </c>
      <c r="AC3" s="2292">
        <v>1</v>
      </c>
      <c r="AD3" s="2291">
        <v>1</v>
      </c>
      <c r="AE3" s="2293">
        <v>1</v>
      </c>
      <c r="AF3" s="2294">
        <v>1</v>
      </c>
      <c r="AG3" s="2292">
        <v>2</v>
      </c>
      <c r="AH3" s="2292">
        <v>2</v>
      </c>
      <c r="AI3" s="2293">
        <v>2</v>
      </c>
      <c r="AJ3" s="2294">
        <v>2</v>
      </c>
      <c r="AK3" s="2292">
        <v>3</v>
      </c>
      <c r="AL3" s="2292">
        <v>3</v>
      </c>
      <c r="AM3" s="2293">
        <v>3</v>
      </c>
      <c r="AN3" s="2294">
        <v>3</v>
      </c>
      <c r="AO3" s="2292">
        <v>4</v>
      </c>
      <c r="AP3" s="2292">
        <v>4</v>
      </c>
      <c r="AQ3" s="2293">
        <v>4</v>
      </c>
      <c r="AR3" s="2294">
        <v>4</v>
      </c>
      <c r="AS3" s="2295"/>
      <c r="AT3" s="2295"/>
      <c r="AU3" s="1167"/>
      <c r="AV3" s="1167"/>
      <c r="AW3" s="2295"/>
      <c r="AX3" s="1167"/>
    </row>
    <row r="4" spans="1:50" ht="25">
      <c r="A4" s="100">
        <f>_xlfn.XLOOKUP($C4,Cement!$Q$7:$Q$35,Cement!$A$7:$A$35,"")</f>
        <v>44.669651090194165</v>
      </c>
      <c r="B4" s="2278" t="s">
        <v>46</v>
      </c>
      <c r="C4" s="2278" t="s">
        <v>47</v>
      </c>
      <c r="D4" s="2277">
        <f>_xlfn.XLOOKUP(C4,'Sales Rec'!$E$4:$E$86,'Sales Rec'!$F$4:$F$86,"")</f>
        <v>12</v>
      </c>
      <c r="E4" s="2251">
        <v>162</v>
      </c>
      <c r="F4" s="2252">
        <v>162</v>
      </c>
      <c r="G4" s="2251">
        <v>362</v>
      </c>
      <c r="H4" s="2252">
        <f>G4-E4</f>
        <v>200</v>
      </c>
      <c r="I4" s="2251">
        <v>573</v>
      </c>
      <c r="J4" s="2252">
        <f>I4-G4</f>
        <v>211</v>
      </c>
      <c r="K4" s="2251">
        <v>793</v>
      </c>
      <c r="L4" s="2252">
        <f>K4-I4</f>
        <v>220</v>
      </c>
      <c r="M4" s="2251">
        <v>953</v>
      </c>
      <c r="N4" s="2252">
        <f>M4-K4</f>
        <v>160</v>
      </c>
      <c r="O4" s="2251">
        <v>1215</v>
      </c>
      <c r="P4" s="2252">
        <f>O4-M4</f>
        <v>262</v>
      </c>
      <c r="Q4" s="2251">
        <v>1487</v>
      </c>
      <c r="R4" s="2252">
        <f>IFERROR(IF(OR(R$3-$D4=1,R$3-$D4=-11),Q4,(Q4-O4)),"")</f>
        <v>272</v>
      </c>
      <c r="S4" s="2251">
        <v>1823</v>
      </c>
      <c r="T4" s="2252">
        <f>IFERROR(IF(OR(T$3-$D4=1,T$3-$D4=-11),S4,(S4-Q4)),"")</f>
        <v>336</v>
      </c>
      <c r="U4" s="2251">
        <v>2062</v>
      </c>
      <c r="V4" s="2252">
        <f>IFERROR(IF(OR(V$3-$D4=1,V$3-$D4=-11),U4,(U4-S4)),"")</f>
        <v>239</v>
      </c>
      <c r="W4" s="2251">
        <v>2300</v>
      </c>
      <c r="X4" s="2252">
        <f>IFERROR(IF(OR(X$3-$D4=1,X$3-$D4=-11),W4,(W4-U4)),"")</f>
        <v>238</v>
      </c>
      <c r="Y4" s="2251">
        <v>2504</v>
      </c>
      <c r="Z4" s="2252">
        <f>IFERROR(IF(OR(Z$3-$D4=1,Z$3-$D4=-11),Y4,(Y4-W4)),"")</f>
        <v>204</v>
      </c>
      <c r="AA4" s="2251">
        <v>2832</v>
      </c>
      <c r="AB4" s="2252">
        <f>IFERROR(IF(OR(AB$3-$D4=1,AB$3-$D4=-11),AA4,(AA4-Y4)),"")</f>
        <v>328</v>
      </c>
      <c r="AC4" s="2251">
        <f>_xlfn.XLOOKUP($C4,'Sales Rec'!$E$4:$E$86,'Sales Rec'!$CH$4:$CH$86,"")</f>
        <v>426</v>
      </c>
      <c r="AD4" s="2252">
        <f>IFERROR(IF(OR(AD$3-$D4=1,AD$3-$D4=-11),AC4,(AC4-AA4)),"")</f>
        <v>426</v>
      </c>
      <c r="AE4" s="2253">
        <f t="shared" ref="AE4:AE32" si="0">(AC4-E4)/E4</f>
        <v>1.6296296296296295</v>
      </c>
      <c r="AF4" s="2254">
        <v>0.29878048780487804</v>
      </c>
      <c r="AG4" s="2251">
        <v>881</v>
      </c>
      <c r="AH4" s="2252">
        <f>IFERROR(IF(OR(AH$3-$D4=1,AH$3-$D4=-11),AG4,(AG4-AC4)),"")</f>
        <v>455</v>
      </c>
      <c r="AI4" s="2253">
        <f>(AG4-I4)/I4</f>
        <v>0.53752181500872598</v>
      </c>
      <c r="AJ4" s="2254">
        <v>6.8075117370892016E-2</v>
      </c>
      <c r="AK4" s="2251">
        <v>1221</v>
      </c>
      <c r="AL4" s="2252">
        <f>IFERROR(IF(OR(AL$3-$D4=1,AL$3-$D4=-11),AK4,(AK4-AG4)),"")</f>
        <v>340</v>
      </c>
      <c r="AM4" s="2253">
        <f t="shared" ref="AM4:AM32" si="1">(AK4-I4)/I4</f>
        <v>1.130890052356021</v>
      </c>
      <c r="AN4" s="2254">
        <v>-0.25274725274725274</v>
      </c>
      <c r="AO4" s="2251">
        <f>_xlfn.XLOOKUP($C4,'Last M. Sales'!$C$3:$C$82,'Last M. Sales'!$I$3:$I$82,"")</f>
        <v>1609</v>
      </c>
      <c r="AP4" s="2252">
        <f>IF(AO4=0,0,(IF(OR(AP$3-$D4=1,AP$3-$D4=-11),AO4,(AO4-AK4))))</f>
        <v>388</v>
      </c>
      <c r="AQ4" s="2253">
        <f t="shared" ref="AQ4:AQ32" si="2">IF(AO4&gt;0,(AO4-K4)/K4,"")</f>
        <v>1.0290037831021437</v>
      </c>
      <c r="AR4" s="2254">
        <f t="shared" ref="AR4:AR32" si="3">IFERROR(IF(AO4&gt;0,(AP4-AL4)/AL4,""),"")</f>
        <v>0.14117647058823529</v>
      </c>
      <c r="AS4" s="2255">
        <f>((AD4+AH4+AL4)-(X4+Z4+AB4))/(X4+Z4+AB4)</f>
        <v>0.58571428571428574</v>
      </c>
      <c r="AT4" s="2256">
        <f t="shared" ref="AT4:AT32" si="4">RANK(AS4,$AS$4:$AS$32, 0)</f>
        <v>6</v>
      </c>
      <c r="AU4" s="2289"/>
      <c r="AV4" s="2289"/>
      <c r="AW4" s="2255">
        <f>((AH4+AL4+AP4)-(Z4+AB4+AD4))/(Z4+AB4+AD4)</f>
        <v>0.23486430062630481</v>
      </c>
      <c r="AX4" s="2289"/>
    </row>
    <row r="5" spans="1:50" ht="25">
      <c r="A5" s="100">
        <f>_xlfn.XLOOKUP($C5,Cement!$Q$7:$Q$35,Cement!$A$7:$A$35,"")</f>
        <v>35.869705787560406</v>
      </c>
      <c r="B5" s="2250" t="s">
        <v>34</v>
      </c>
      <c r="C5" s="2250" t="s">
        <v>35</v>
      </c>
      <c r="D5" s="2277">
        <f>_xlfn.XLOOKUP(C5,'Sales Rec'!$E$4:$E$86,'Sales Rec'!$F$4:$F$86,"")</f>
        <v>12</v>
      </c>
      <c r="E5" s="2251">
        <v>117</v>
      </c>
      <c r="F5" s="2252">
        <v>117</v>
      </c>
      <c r="G5" s="2251">
        <v>259</v>
      </c>
      <c r="H5" s="2252">
        <f t="shared" ref="H5:H68" si="5">G5-E5</f>
        <v>142</v>
      </c>
      <c r="I5" s="2251">
        <v>395</v>
      </c>
      <c r="J5" s="2252">
        <f t="shared" ref="J5:J68" si="6">I5-G5</f>
        <v>136</v>
      </c>
      <c r="K5" s="2251">
        <v>494</v>
      </c>
      <c r="L5" s="2252">
        <f t="shared" ref="L5:L68" si="7">K5-I5</f>
        <v>99</v>
      </c>
      <c r="M5" s="2251">
        <v>599</v>
      </c>
      <c r="N5" s="2252">
        <f t="shared" ref="N5:N68" si="8">M5-K5</f>
        <v>105</v>
      </c>
      <c r="O5" s="2251">
        <v>810</v>
      </c>
      <c r="P5" s="2252">
        <f t="shared" ref="P5:P68" si="9">O5-M5</f>
        <v>211</v>
      </c>
      <c r="Q5" s="2251">
        <v>974</v>
      </c>
      <c r="R5" s="2252">
        <f>IFERROR(IF(OR(R$3-$D5=1,R$3-$D5=-11),Q5,(Q5-O5)),"")</f>
        <v>164</v>
      </c>
      <c r="S5" s="2251">
        <v>1144</v>
      </c>
      <c r="T5" s="2252">
        <f t="shared" ref="T5:T68" si="10">IFERROR(IF(OR(T$3-$D5=1,T$3-$D5=-11),S5,(S5-Q5)),"")</f>
        <v>170</v>
      </c>
      <c r="U5" s="2251">
        <v>1333</v>
      </c>
      <c r="V5" s="2252">
        <f t="shared" ref="V5:V68" si="11">IFERROR(IF(OR(V$3-$D5=1,V$3-$D5=-11),U5,(U5-S5)),"")</f>
        <v>189</v>
      </c>
      <c r="W5" s="2251">
        <v>1483</v>
      </c>
      <c r="X5" s="2252">
        <f t="shared" ref="X5:X68" si="12">IFERROR(IF(OR(X$3-$D5=1,X$3-$D5=-11),W5,(W5-U5)),"")</f>
        <v>150</v>
      </c>
      <c r="Y5" s="2251">
        <v>1672</v>
      </c>
      <c r="Z5" s="2252">
        <f t="shared" ref="Z5:Z68" si="13">IFERROR(IF(OR(Z$3-$D5=1,Z$3-$D5=-11),Y5,(Y5-W5)),"")</f>
        <v>189</v>
      </c>
      <c r="AA5" s="2251">
        <v>1844</v>
      </c>
      <c r="AB5" s="2252">
        <f t="shared" ref="AB5:AB68" si="14">IFERROR(IF(OR(AB$3-$D5=1,AB$3-$D5=-11),AA5,(AA5-Y5)),"")</f>
        <v>172</v>
      </c>
      <c r="AC5" s="2251">
        <f>_xlfn.XLOOKUP($C5,'Sales Rec'!$E$4:$E$86,'Sales Rec'!$CH$4:$CH$86,"")</f>
        <v>143</v>
      </c>
      <c r="AD5" s="2252">
        <f t="shared" ref="AD5:AD68" si="15">IFERROR(IF(OR(AD$3-$D5=1,AD$3-$D5=-11),AC5,(AC5-AA5)),"")</f>
        <v>143</v>
      </c>
      <c r="AE5" s="2253">
        <f t="shared" si="0"/>
        <v>0.22222222222222221</v>
      </c>
      <c r="AF5" s="2254">
        <v>-0.16860465116279069</v>
      </c>
      <c r="AG5" s="2251">
        <v>396</v>
      </c>
      <c r="AH5" s="2252">
        <f t="shared" ref="AH5:AH68" si="16">IFERROR(IF(OR(AH$3-$D5=1,AH$3-$D5=-11),AG5,(AG5-AC5)),"")</f>
        <v>253</v>
      </c>
      <c r="AI5" s="2253">
        <f>(AG5-I5)/I5</f>
        <v>2.5316455696202532E-3</v>
      </c>
      <c r="AJ5" s="2254">
        <v>0.76923076923076927</v>
      </c>
      <c r="AK5" s="2251">
        <v>656</v>
      </c>
      <c r="AL5" s="2252">
        <f t="shared" ref="AL5:AL68" si="17">IFERROR(IF(OR(AL$3-$D5=1,AL$3-$D5=-11),AK5,(AK5-AG5)),"")</f>
        <v>260</v>
      </c>
      <c r="AM5" s="2253">
        <f t="shared" si="1"/>
        <v>0.66075949367088604</v>
      </c>
      <c r="AN5" s="2254">
        <v>2.766798418972332E-2</v>
      </c>
      <c r="AO5" s="2251">
        <f>_xlfn.XLOOKUP($C5,'Last M. Sales'!$C$3:$C$82,'Last M. Sales'!$I$3:$I$82,"")</f>
        <v>778</v>
      </c>
      <c r="AP5" s="2252">
        <f t="shared" ref="AP5:AP68" si="18">IF(AO5=0,0,(IF(OR(AP$3-$D5=1,AP$3-$D5=-11),AO5,(AO5-AK5))))</f>
        <v>122</v>
      </c>
      <c r="AQ5" s="2253">
        <f t="shared" si="2"/>
        <v>0.5748987854251012</v>
      </c>
      <c r="AR5" s="2254">
        <f t="shared" si="3"/>
        <v>-0.53076923076923077</v>
      </c>
      <c r="AS5" s="2255">
        <f t="shared" ref="AS5:AS32" si="19">((AD5+AL5+AH5)-(X5+Z5+AB5))/(X5+Z5+AB5)</f>
        <v>0.28375733855185908</v>
      </c>
      <c r="AT5" s="2256">
        <f t="shared" si="4"/>
        <v>21</v>
      </c>
      <c r="AU5" s="2289"/>
      <c r="AV5" s="2289"/>
      <c r="AW5" s="2255">
        <f t="shared" ref="AW5:AW68" si="20">((AH5+AL5+AP5)-(Z5+AB5+AD5))/(Z5+AB5+AD5)</f>
        <v>0.25992063492063494</v>
      </c>
      <c r="AX5" s="2289"/>
    </row>
    <row r="6" spans="1:50" ht="25">
      <c r="A6" s="100">
        <f>_xlfn.XLOOKUP($C6,Cement!$Q$7:$Q$35,Cement!$A$7:$A$35,"")</f>
        <v>36.791772247933693</v>
      </c>
      <c r="B6" s="2250" t="s">
        <v>62</v>
      </c>
      <c r="C6" s="2250" t="s">
        <v>63</v>
      </c>
      <c r="D6" s="2277">
        <f>_xlfn.XLOOKUP(C6,'Sales Rec'!$E$4:$E$86,'Sales Rec'!$F$4:$F$86,"")</f>
        <v>12</v>
      </c>
      <c r="E6" s="2251">
        <v>105</v>
      </c>
      <c r="F6" s="2252">
        <v>105</v>
      </c>
      <c r="G6" s="2251">
        <v>238</v>
      </c>
      <c r="H6" s="2252">
        <f t="shared" si="5"/>
        <v>133</v>
      </c>
      <c r="I6" s="2251">
        <v>482</v>
      </c>
      <c r="J6" s="2252">
        <f t="shared" si="6"/>
        <v>244</v>
      </c>
      <c r="K6" s="2251">
        <v>640</v>
      </c>
      <c r="L6" s="2252">
        <f t="shared" si="7"/>
        <v>158</v>
      </c>
      <c r="M6" s="2251">
        <v>809</v>
      </c>
      <c r="N6" s="2252">
        <f t="shared" si="8"/>
        <v>169</v>
      </c>
      <c r="O6" s="2251">
        <v>988</v>
      </c>
      <c r="P6" s="2252">
        <f t="shared" si="9"/>
        <v>179</v>
      </c>
      <c r="Q6" s="2251">
        <v>1163</v>
      </c>
      <c r="R6" s="2252">
        <f t="shared" ref="R6:R69" si="21">IFERROR(IF(OR(R$3-$D6=1,R$3-$D6=-11),Q6,(Q6-O6)),"")</f>
        <v>175</v>
      </c>
      <c r="S6" s="2251">
        <v>1375</v>
      </c>
      <c r="T6" s="2252">
        <f t="shared" si="10"/>
        <v>212</v>
      </c>
      <c r="U6" s="2251">
        <v>1519</v>
      </c>
      <c r="V6" s="2252">
        <f t="shared" si="11"/>
        <v>144</v>
      </c>
      <c r="W6" s="2251">
        <v>1740</v>
      </c>
      <c r="X6" s="2252">
        <f t="shared" si="12"/>
        <v>221</v>
      </c>
      <c r="Y6" s="2251">
        <v>2079</v>
      </c>
      <c r="Z6" s="2252">
        <f t="shared" si="13"/>
        <v>339</v>
      </c>
      <c r="AA6" s="2251">
        <v>2268</v>
      </c>
      <c r="AB6" s="2252">
        <f t="shared" si="14"/>
        <v>189</v>
      </c>
      <c r="AC6" s="2251">
        <f>_xlfn.XLOOKUP($C6,'Sales Rec'!$E$4:$E$86,'Sales Rec'!$CH$4:$CH$86,"")</f>
        <v>171</v>
      </c>
      <c r="AD6" s="2252">
        <f t="shared" si="15"/>
        <v>171</v>
      </c>
      <c r="AE6" s="2253">
        <f t="shared" si="0"/>
        <v>0.62857142857142856</v>
      </c>
      <c r="AF6" s="2254">
        <v>-9.5238095238095233E-2</v>
      </c>
      <c r="AG6" s="2251">
        <v>523</v>
      </c>
      <c r="AH6" s="2252">
        <f t="shared" si="16"/>
        <v>352</v>
      </c>
      <c r="AI6" s="2253">
        <f>(AG6-I6)/I6</f>
        <v>8.5062240663900418E-2</v>
      </c>
      <c r="AJ6" s="2254">
        <v>1.0584795321637428</v>
      </c>
      <c r="AK6" s="2251">
        <v>892</v>
      </c>
      <c r="AL6" s="2252">
        <f t="shared" si="17"/>
        <v>369</v>
      </c>
      <c r="AM6" s="2253">
        <f t="shared" si="1"/>
        <v>0.85062240663900412</v>
      </c>
      <c r="AN6" s="2254">
        <v>4.8295454545454544E-2</v>
      </c>
      <c r="AO6" s="2251">
        <f>_xlfn.XLOOKUP($C6,'Last M. Sales'!$C$3:$C$82,'Last M. Sales'!$I$3:$I$82,"")</f>
        <v>1219</v>
      </c>
      <c r="AP6" s="2252">
        <f t="shared" si="18"/>
        <v>327</v>
      </c>
      <c r="AQ6" s="2253">
        <f t="shared" si="2"/>
        <v>0.90468749999999998</v>
      </c>
      <c r="AR6" s="2254">
        <f t="shared" si="3"/>
        <v>-0.11382113821138211</v>
      </c>
      <c r="AS6" s="2255">
        <f t="shared" si="19"/>
        <v>0.19092122830440589</v>
      </c>
      <c r="AT6" s="2256">
        <f t="shared" si="4"/>
        <v>24</v>
      </c>
      <c r="AU6" s="2289"/>
      <c r="AV6" s="2289"/>
      <c r="AW6" s="2255">
        <f t="shared" si="20"/>
        <v>0.49928469241773965</v>
      </c>
      <c r="AX6" s="2289"/>
    </row>
    <row r="7" spans="1:50" ht="25">
      <c r="A7" s="100">
        <f>_xlfn.XLOOKUP($C7,Cement!$Q$7:$Q$35,Cement!$A$7:$A$35,"")</f>
        <v>26.677279402578577</v>
      </c>
      <c r="B7" s="2250" t="s">
        <v>76</v>
      </c>
      <c r="C7" s="2250" t="s">
        <v>77</v>
      </c>
      <c r="D7" s="2277">
        <f>_xlfn.XLOOKUP(C7,'Sales Rec'!$E$4:$E$86,'Sales Rec'!$F$4:$F$86,"")</f>
        <v>12</v>
      </c>
      <c r="E7" s="2251">
        <v>72</v>
      </c>
      <c r="F7" s="2252">
        <v>72</v>
      </c>
      <c r="G7" s="2251">
        <v>190</v>
      </c>
      <c r="H7" s="2252">
        <f t="shared" si="5"/>
        <v>118</v>
      </c>
      <c r="I7" s="2251">
        <v>279</v>
      </c>
      <c r="J7" s="2252">
        <f t="shared" si="6"/>
        <v>89</v>
      </c>
      <c r="K7" s="2251">
        <v>370</v>
      </c>
      <c r="L7" s="2252">
        <f t="shared" si="7"/>
        <v>91</v>
      </c>
      <c r="M7" s="2251">
        <v>505</v>
      </c>
      <c r="N7" s="2252">
        <f t="shared" si="8"/>
        <v>135</v>
      </c>
      <c r="O7" s="2251">
        <v>650</v>
      </c>
      <c r="P7" s="2252">
        <f t="shared" si="9"/>
        <v>145</v>
      </c>
      <c r="Q7" s="2251">
        <v>804</v>
      </c>
      <c r="R7" s="2252">
        <f t="shared" si="21"/>
        <v>154</v>
      </c>
      <c r="S7" s="2251">
        <v>986</v>
      </c>
      <c r="T7" s="2252">
        <f t="shared" si="10"/>
        <v>182</v>
      </c>
      <c r="U7" s="2251">
        <v>1125</v>
      </c>
      <c r="V7" s="2252">
        <f t="shared" si="11"/>
        <v>139</v>
      </c>
      <c r="W7" s="2251">
        <v>1251</v>
      </c>
      <c r="X7" s="2252">
        <f t="shared" si="12"/>
        <v>126</v>
      </c>
      <c r="Y7" s="2251">
        <v>1391</v>
      </c>
      <c r="Z7" s="2252">
        <f t="shared" si="13"/>
        <v>140</v>
      </c>
      <c r="AA7" s="2251">
        <v>1524</v>
      </c>
      <c r="AB7" s="2252">
        <f t="shared" si="14"/>
        <v>133</v>
      </c>
      <c r="AC7" s="2251">
        <f>_xlfn.XLOOKUP($C7,'Sales Rec'!$E$4:$E$86,'Sales Rec'!$CH$4:$CH$86,"")</f>
        <v>134</v>
      </c>
      <c r="AD7" s="2252">
        <f t="shared" si="15"/>
        <v>134</v>
      </c>
      <c r="AE7" s="2253">
        <f t="shared" si="0"/>
        <v>0.86111111111111116</v>
      </c>
      <c r="AF7" s="2254">
        <v>7.5187969924812026E-3</v>
      </c>
      <c r="AG7" s="2251">
        <v>340</v>
      </c>
      <c r="AH7" s="2252">
        <f t="shared" si="16"/>
        <v>206</v>
      </c>
      <c r="AI7" s="2253">
        <f>(AG7-G7)/G7</f>
        <v>0.78947368421052633</v>
      </c>
      <c r="AJ7" s="2254">
        <v>0.53731343283582089</v>
      </c>
      <c r="AK7" s="2251">
        <v>565</v>
      </c>
      <c r="AL7" s="2252">
        <f t="shared" si="17"/>
        <v>225</v>
      </c>
      <c r="AM7" s="2253">
        <f t="shared" si="1"/>
        <v>1.0250896057347669</v>
      </c>
      <c r="AN7" s="2254">
        <v>9.2233009708737865E-2</v>
      </c>
      <c r="AO7" s="2251">
        <f>_xlfn.XLOOKUP($C7,'Last M. Sales'!$C$3:$C$82,'Last M. Sales'!$I$3:$I$82,"")</f>
        <v>799</v>
      </c>
      <c r="AP7" s="2252">
        <f t="shared" si="18"/>
        <v>234</v>
      </c>
      <c r="AQ7" s="2253">
        <f t="shared" si="2"/>
        <v>1.1594594594594594</v>
      </c>
      <c r="AR7" s="2254">
        <f t="shared" si="3"/>
        <v>0.04</v>
      </c>
      <c r="AS7" s="2255">
        <f t="shared" si="19"/>
        <v>0.41604010025062654</v>
      </c>
      <c r="AT7" s="2256">
        <f t="shared" si="4"/>
        <v>14</v>
      </c>
      <c r="AU7" s="2289"/>
      <c r="AV7" s="2289"/>
      <c r="AW7" s="2255">
        <f t="shared" si="20"/>
        <v>0.63390663390663393</v>
      </c>
      <c r="AX7" s="2289"/>
    </row>
    <row r="8" spans="1:50" ht="25">
      <c r="A8" s="100">
        <f>_xlfn.XLOOKUP($C8,Cement!$Q$7:$Q$35,Cement!$A$7:$A$35,"")</f>
        <v>24.771966889234456</v>
      </c>
      <c r="B8" s="2250" t="s">
        <v>80</v>
      </c>
      <c r="C8" s="2250" t="s">
        <v>81</v>
      </c>
      <c r="D8" s="2277">
        <f>_xlfn.XLOOKUP(C8,'Sales Rec'!$E$4:$E$86,'Sales Rec'!$F$4:$F$86,"")</f>
        <v>12</v>
      </c>
      <c r="E8" s="2251">
        <v>138</v>
      </c>
      <c r="F8" s="2252">
        <v>138</v>
      </c>
      <c r="G8" s="2251">
        <v>366</v>
      </c>
      <c r="H8" s="2252">
        <f t="shared" si="5"/>
        <v>228</v>
      </c>
      <c r="I8" s="2251">
        <v>650</v>
      </c>
      <c r="J8" s="2252">
        <f t="shared" si="6"/>
        <v>284</v>
      </c>
      <c r="K8" s="2251">
        <v>973</v>
      </c>
      <c r="L8" s="2252">
        <f t="shared" si="7"/>
        <v>323</v>
      </c>
      <c r="M8" s="2251">
        <v>1331</v>
      </c>
      <c r="N8" s="2252">
        <f t="shared" si="8"/>
        <v>358</v>
      </c>
      <c r="O8" s="2251">
        <v>1670</v>
      </c>
      <c r="P8" s="2252">
        <f t="shared" si="9"/>
        <v>339</v>
      </c>
      <c r="Q8" s="2251">
        <v>1961</v>
      </c>
      <c r="R8" s="2252">
        <f t="shared" si="21"/>
        <v>291</v>
      </c>
      <c r="S8" s="2251">
        <v>2221</v>
      </c>
      <c r="T8" s="2252">
        <f t="shared" si="10"/>
        <v>260</v>
      </c>
      <c r="U8" s="2251">
        <v>2454</v>
      </c>
      <c r="V8" s="2252">
        <f t="shared" si="11"/>
        <v>233</v>
      </c>
      <c r="W8" s="2251">
        <v>2669</v>
      </c>
      <c r="X8" s="2252">
        <f t="shared" si="12"/>
        <v>215</v>
      </c>
      <c r="Y8" s="2251">
        <v>2896</v>
      </c>
      <c r="Z8" s="2252">
        <f t="shared" si="13"/>
        <v>227</v>
      </c>
      <c r="AA8" s="2251">
        <v>3291</v>
      </c>
      <c r="AB8" s="2252">
        <f t="shared" si="14"/>
        <v>395</v>
      </c>
      <c r="AC8" s="2251">
        <f>_xlfn.XLOOKUP($C8,'Sales Rec'!$E$4:$E$86,'Sales Rec'!$CH$4:$CH$86,"")</f>
        <v>238</v>
      </c>
      <c r="AD8" s="2252">
        <f t="shared" si="15"/>
        <v>238</v>
      </c>
      <c r="AE8" s="2253">
        <f t="shared" si="0"/>
        <v>0.72463768115942029</v>
      </c>
      <c r="AF8" s="2254">
        <v>-0.39746835443037976</v>
      </c>
      <c r="AG8" s="2251">
        <v>635</v>
      </c>
      <c r="AH8" s="2252">
        <f t="shared" si="16"/>
        <v>397</v>
      </c>
      <c r="AI8" s="2253">
        <f t="shared" ref="AI8:AI32" si="22">(AG8-I8)/I8</f>
        <v>-2.3076923076923078E-2</v>
      </c>
      <c r="AJ8" s="2254">
        <v>0.66806722689075626</v>
      </c>
      <c r="AK8" s="2251">
        <v>999</v>
      </c>
      <c r="AL8" s="2252">
        <f t="shared" si="17"/>
        <v>364</v>
      </c>
      <c r="AM8" s="2253">
        <f t="shared" si="1"/>
        <v>0.53692307692307695</v>
      </c>
      <c r="AN8" s="2254">
        <v>-8.3123425692695208E-2</v>
      </c>
      <c r="AO8" s="2251">
        <f>_xlfn.XLOOKUP($C8,'Last M. Sales'!$C$3:$C$82,'Last M. Sales'!$I$3:$I$82,"")</f>
        <v>1327</v>
      </c>
      <c r="AP8" s="2252">
        <f t="shared" si="18"/>
        <v>328</v>
      </c>
      <c r="AQ8" s="2253">
        <f t="shared" si="2"/>
        <v>0.36382322713257964</v>
      </c>
      <c r="AR8" s="2254">
        <f t="shared" si="3"/>
        <v>-9.8901098901098897E-2</v>
      </c>
      <c r="AS8" s="2255">
        <f t="shared" si="19"/>
        <v>0.19354838709677419</v>
      </c>
      <c r="AT8" s="2256">
        <f t="shared" si="4"/>
        <v>23</v>
      </c>
      <c r="AU8" s="2289"/>
      <c r="AV8" s="2289"/>
      <c r="AW8" s="2255">
        <f t="shared" si="20"/>
        <v>0.26627906976744187</v>
      </c>
      <c r="AX8" s="2289"/>
    </row>
    <row r="9" spans="1:50" ht="25">
      <c r="A9" s="100">
        <f>_xlfn.XLOOKUP($C9,Cement!$Q$7:$Q$35,Cement!$A$7:$A$35,"")</f>
        <v>25.396087084183005</v>
      </c>
      <c r="B9" s="2250" t="s">
        <v>38</v>
      </c>
      <c r="C9" s="2250" t="s">
        <v>39</v>
      </c>
      <c r="D9" s="2277">
        <f>_xlfn.XLOOKUP(C9,'Sales Rec'!$E$4:$E$86,'Sales Rec'!$F$4:$F$86,"")</f>
        <v>12</v>
      </c>
      <c r="E9" s="2251">
        <v>244</v>
      </c>
      <c r="F9" s="2252">
        <v>244</v>
      </c>
      <c r="G9" s="2251">
        <v>590</v>
      </c>
      <c r="H9" s="2252">
        <f t="shared" si="5"/>
        <v>346</v>
      </c>
      <c r="I9" s="2251">
        <v>984</v>
      </c>
      <c r="J9" s="2252">
        <f t="shared" si="6"/>
        <v>394</v>
      </c>
      <c r="K9" s="2251">
        <v>1398</v>
      </c>
      <c r="L9" s="2252">
        <f t="shared" si="7"/>
        <v>414</v>
      </c>
      <c r="M9" s="2251">
        <v>1707</v>
      </c>
      <c r="N9" s="2252">
        <f t="shared" si="8"/>
        <v>309</v>
      </c>
      <c r="O9" s="2251">
        <v>2102</v>
      </c>
      <c r="P9" s="2252">
        <f t="shared" si="9"/>
        <v>395</v>
      </c>
      <c r="Q9" s="2251">
        <v>2425</v>
      </c>
      <c r="R9" s="2252">
        <f t="shared" si="21"/>
        <v>323</v>
      </c>
      <c r="S9" s="2251">
        <v>2765</v>
      </c>
      <c r="T9" s="2252">
        <f t="shared" si="10"/>
        <v>340</v>
      </c>
      <c r="U9" s="2251">
        <v>3173</v>
      </c>
      <c r="V9" s="2252">
        <f t="shared" si="11"/>
        <v>408</v>
      </c>
      <c r="W9" s="2251">
        <v>3482</v>
      </c>
      <c r="X9" s="2252">
        <f t="shared" si="12"/>
        <v>309</v>
      </c>
      <c r="Y9" s="2251">
        <v>3808</v>
      </c>
      <c r="Z9" s="2252">
        <f t="shared" si="13"/>
        <v>326</v>
      </c>
      <c r="AA9" s="2251">
        <v>4210</v>
      </c>
      <c r="AB9" s="2252">
        <f t="shared" si="14"/>
        <v>402</v>
      </c>
      <c r="AC9" s="2251">
        <f>_xlfn.XLOOKUP($C9,'Sales Rec'!$E$4:$E$86,'Sales Rec'!$CH$4:$CH$86,"")</f>
        <v>583</v>
      </c>
      <c r="AD9" s="2252">
        <f t="shared" si="15"/>
        <v>583</v>
      </c>
      <c r="AE9" s="2253">
        <f t="shared" si="0"/>
        <v>1.389344262295082</v>
      </c>
      <c r="AF9" s="2254">
        <v>0.45024875621890548</v>
      </c>
      <c r="AG9" s="2251">
        <v>1476</v>
      </c>
      <c r="AH9" s="2252">
        <f t="shared" si="16"/>
        <v>893</v>
      </c>
      <c r="AI9" s="2253">
        <f t="shared" si="22"/>
        <v>0.5</v>
      </c>
      <c r="AJ9" s="2254">
        <v>0.53173241852487141</v>
      </c>
      <c r="AK9" s="2251">
        <v>2130</v>
      </c>
      <c r="AL9" s="2252">
        <f t="shared" si="17"/>
        <v>654</v>
      </c>
      <c r="AM9" s="2253">
        <f t="shared" si="1"/>
        <v>1.1646341463414633</v>
      </c>
      <c r="AN9" s="2254">
        <v>-0.26763717805151177</v>
      </c>
      <c r="AO9" s="2251">
        <f>_xlfn.XLOOKUP($C9,'Last M. Sales'!$C$3:$C$82,'Last M. Sales'!$I$3:$I$82,"")</f>
        <v>2790</v>
      </c>
      <c r="AP9" s="2252">
        <f t="shared" si="18"/>
        <v>660</v>
      </c>
      <c r="AQ9" s="2253">
        <f t="shared" si="2"/>
        <v>0.99570815450643779</v>
      </c>
      <c r="AR9" s="2254">
        <f t="shared" si="3"/>
        <v>9.1743119266055051E-3</v>
      </c>
      <c r="AS9" s="2255">
        <f t="shared" si="19"/>
        <v>1.0540019286403086</v>
      </c>
      <c r="AT9" s="2256">
        <f t="shared" si="4"/>
        <v>4</v>
      </c>
      <c r="AU9" s="2289"/>
      <c r="AV9" s="2289"/>
      <c r="AW9" s="2255">
        <f t="shared" si="20"/>
        <v>0.68344774980930589</v>
      </c>
      <c r="AX9" s="2289"/>
    </row>
    <row r="10" spans="1:50" ht="25">
      <c r="A10" s="100">
        <f>_xlfn.XLOOKUP($C10,Cement!$Q$7:$Q$35,Cement!$A$7:$A$35,"")</f>
        <v>21.545827737635289</v>
      </c>
      <c r="B10" s="2250" t="s">
        <v>78</v>
      </c>
      <c r="C10" s="2250" t="s">
        <v>79</v>
      </c>
      <c r="D10" s="2277">
        <f>_xlfn.XLOOKUP(C10,'Sales Rec'!$E$4:$E$86,'Sales Rec'!$F$4:$F$86,"")</f>
        <v>9</v>
      </c>
      <c r="E10" s="2251">
        <v>290</v>
      </c>
      <c r="F10" s="2252">
        <v>290</v>
      </c>
      <c r="G10" s="2251">
        <v>432</v>
      </c>
      <c r="H10" s="2252">
        <f t="shared" si="5"/>
        <v>142</v>
      </c>
      <c r="I10" s="2251">
        <v>595</v>
      </c>
      <c r="J10" s="2252">
        <f t="shared" si="6"/>
        <v>163</v>
      </c>
      <c r="K10" s="2251">
        <v>738</v>
      </c>
      <c r="L10" s="2252">
        <f t="shared" si="7"/>
        <v>143</v>
      </c>
      <c r="M10" s="2251">
        <v>904</v>
      </c>
      <c r="N10" s="2252">
        <f t="shared" si="8"/>
        <v>166</v>
      </c>
      <c r="O10" s="2251">
        <v>1112</v>
      </c>
      <c r="P10" s="2252">
        <f t="shared" si="9"/>
        <v>208</v>
      </c>
      <c r="Q10" s="2251">
        <v>1319</v>
      </c>
      <c r="R10" s="2252">
        <f t="shared" si="21"/>
        <v>207</v>
      </c>
      <c r="S10" s="2251">
        <v>1511</v>
      </c>
      <c r="T10" s="2252">
        <f t="shared" si="10"/>
        <v>192</v>
      </c>
      <c r="U10" s="2251">
        <v>1690</v>
      </c>
      <c r="V10" s="2252">
        <f t="shared" si="11"/>
        <v>179</v>
      </c>
      <c r="W10" s="2251">
        <v>152</v>
      </c>
      <c r="X10" s="2252">
        <f t="shared" si="12"/>
        <v>152</v>
      </c>
      <c r="Y10" s="2251">
        <v>327</v>
      </c>
      <c r="Z10" s="2252">
        <f t="shared" si="13"/>
        <v>175</v>
      </c>
      <c r="AA10" s="2251">
        <v>460</v>
      </c>
      <c r="AB10" s="2252">
        <f t="shared" si="14"/>
        <v>133</v>
      </c>
      <c r="AC10" s="2251">
        <f>_xlfn.XLOOKUP($C10,'Sales Rec'!$E$4:$E$86,'Sales Rec'!$CH$4:$CH$86,"")</f>
        <v>653</v>
      </c>
      <c r="AD10" s="2252">
        <f t="shared" si="15"/>
        <v>193</v>
      </c>
      <c r="AE10" s="2253">
        <f t="shared" si="0"/>
        <v>1.2517241379310344</v>
      </c>
      <c r="AF10" s="2254">
        <v>0.45112781954887216</v>
      </c>
      <c r="AG10" s="2251">
        <v>893</v>
      </c>
      <c r="AH10" s="2252">
        <f t="shared" si="16"/>
        <v>240</v>
      </c>
      <c r="AI10" s="2253">
        <f t="shared" si="22"/>
        <v>0.50084033613445378</v>
      </c>
      <c r="AJ10" s="2254">
        <v>0.24352331606217617</v>
      </c>
      <c r="AK10" s="2251">
        <v>1140</v>
      </c>
      <c r="AL10" s="2252">
        <f t="shared" si="17"/>
        <v>247</v>
      </c>
      <c r="AM10" s="2253">
        <f t="shared" si="1"/>
        <v>0.91596638655462181</v>
      </c>
      <c r="AN10" s="2254">
        <v>2.9166666666666667E-2</v>
      </c>
      <c r="AO10" s="2251">
        <f>_xlfn.XLOOKUP($C10,'Last M. Sales'!$C$3:$C$82,'Last M. Sales'!$I$3:$I$82,"")</f>
        <v>1296</v>
      </c>
      <c r="AP10" s="2252">
        <f t="shared" si="18"/>
        <v>156</v>
      </c>
      <c r="AQ10" s="2253">
        <f t="shared" si="2"/>
        <v>0.75609756097560976</v>
      </c>
      <c r="AR10" s="2254">
        <f t="shared" si="3"/>
        <v>-0.36842105263157893</v>
      </c>
      <c r="AS10" s="2255">
        <f t="shared" si="19"/>
        <v>0.47826086956521741</v>
      </c>
      <c r="AT10" s="2256">
        <f t="shared" si="4"/>
        <v>11</v>
      </c>
      <c r="AU10" s="2289"/>
      <c r="AV10" s="2289"/>
      <c r="AW10" s="2255">
        <f t="shared" si="20"/>
        <v>0.28343313373253493</v>
      </c>
      <c r="AX10" s="2289"/>
    </row>
    <row r="11" spans="1:50" ht="25">
      <c r="A11" s="100">
        <f>_xlfn.XLOOKUP($C11,Cement!$Q$7:$Q$35,Cement!$A$7:$A$35,"")</f>
        <v>36.336966923937055</v>
      </c>
      <c r="B11" s="2250" t="s">
        <v>60</v>
      </c>
      <c r="C11" s="2250" t="s">
        <v>61</v>
      </c>
      <c r="D11" s="2277">
        <f>_xlfn.XLOOKUP(C11,'Sales Rec'!$E$4:$E$86,'Sales Rec'!$F$4:$F$86,"")</f>
        <v>12</v>
      </c>
      <c r="E11" s="2251">
        <v>109</v>
      </c>
      <c r="F11" s="2252">
        <v>109</v>
      </c>
      <c r="G11" s="2251">
        <v>293</v>
      </c>
      <c r="H11" s="2252">
        <f t="shared" si="5"/>
        <v>184</v>
      </c>
      <c r="I11" s="2251">
        <v>425</v>
      </c>
      <c r="J11" s="2252">
        <f t="shared" si="6"/>
        <v>132</v>
      </c>
      <c r="K11" s="2251">
        <v>560</v>
      </c>
      <c r="L11" s="2252">
        <f t="shared" si="7"/>
        <v>135</v>
      </c>
      <c r="M11" s="2251">
        <v>673</v>
      </c>
      <c r="N11" s="2252">
        <f t="shared" si="8"/>
        <v>113</v>
      </c>
      <c r="O11" s="2251">
        <v>796</v>
      </c>
      <c r="P11" s="2252">
        <f t="shared" si="9"/>
        <v>123</v>
      </c>
      <c r="Q11" s="2251">
        <v>925</v>
      </c>
      <c r="R11" s="2252">
        <f t="shared" si="21"/>
        <v>129</v>
      </c>
      <c r="S11" s="2251">
        <v>1047</v>
      </c>
      <c r="T11" s="2252">
        <f t="shared" si="10"/>
        <v>122</v>
      </c>
      <c r="U11" s="2251">
        <v>1176</v>
      </c>
      <c r="V11" s="2252">
        <f t="shared" si="11"/>
        <v>129</v>
      </c>
      <c r="W11" s="2251">
        <v>1359</v>
      </c>
      <c r="X11" s="2252">
        <f t="shared" si="12"/>
        <v>183</v>
      </c>
      <c r="Y11" s="2251">
        <v>1593</v>
      </c>
      <c r="Z11" s="2252">
        <f t="shared" si="13"/>
        <v>234</v>
      </c>
      <c r="AA11" s="2251">
        <v>1751</v>
      </c>
      <c r="AB11" s="2252">
        <f t="shared" si="14"/>
        <v>158</v>
      </c>
      <c r="AC11" s="2251">
        <f>_xlfn.XLOOKUP($C11,'Sales Rec'!$E$4:$E$86,'Sales Rec'!$CH$4:$CH$86,"")</f>
        <v>138</v>
      </c>
      <c r="AD11" s="2252">
        <f t="shared" si="15"/>
        <v>138</v>
      </c>
      <c r="AE11" s="2253">
        <f t="shared" si="0"/>
        <v>0.26605504587155965</v>
      </c>
      <c r="AF11" s="2254">
        <v>-0.12658227848101267</v>
      </c>
      <c r="AG11" s="2251">
        <v>392</v>
      </c>
      <c r="AH11" s="2252">
        <f t="shared" si="16"/>
        <v>254</v>
      </c>
      <c r="AI11" s="2253">
        <f t="shared" si="22"/>
        <v>-7.7647058823529416E-2</v>
      </c>
      <c r="AJ11" s="2254">
        <v>0.84057971014492749</v>
      </c>
      <c r="AK11" s="2251">
        <v>716</v>
      </c>
      <c r="AL11" s="2252">
        <f t="shared" si="17"/>
        <v>324</v>
      </c>
      <c r="AM11" s="2253">
        <f t="shared" si="1"/>
        <v>0.68470588235294116</v>
      </c>
      <c r="AN11" s="2254">
        <v>0.27559055118110237</v>
      </c>
      <c r="AO11" s="2251">
        <f>_xlfn.XLOOKUP($C11,'Last M. Sales'!$C$3:$C$82,'Last M. Sales'!$I$3:$I$82,"")</f>
        <v>962</v>
      </c>
      <c r="AP11" s="2252">
        <f t="shared" si="18"/>
        <v>246</v>
      </c>
      <c r="AQ11" s="2253">
        <f t="shared" si="2"/>
        <v>0.71785714285714286</v>
      </c>
      <c r="AR11" s="2254">
        <f t="shared" si="3"/>
        <v>-0.24074074074074073</v>
      </c>
      <c r="AS11" s="2255">
        <f t="shared" si="19"/>
        <v>0.24521739130434783</v>
      </c>
      <c r="AT11" s="2256">
        <f t="shared" si="4"/>
        <v>22</v>
      </c>
      <c r="AU11" s="2289"/>
      <c r="AV11" s="2289"/>
      <c r="AW11" s="2255">
        <f t="shared" si="20"/>
        <v>0.55471698113207546</v>
      </c>
      <c r="AX11" s="2289"/>
    </row>
    <row r="12" spans="1:50" ht="25">
      <c r="A12" s="100">
        <f>_xlfn.XLOOKUP($C12,Cement!$Q$7:$Q$35,Cement!$A$7:$A$35,"")</f>
        <v>16.477230296443544</v>
      </c>
      <c r="B12" s="2250" t="s">
        <v>70</v>
      </c>
      <c r="C12" s="2250" t="s">
        <v>71</v>
      </c>
      <c r="D12" s="2277">
        <f>_xlfn.XLOOKUP(C12,'Sales Rec'!$E$4:$E$86,'Sales Rec'!$F$4:$F$86,"")</f>
        <v>10</v>
      </c>
      <c r="E12" s="2251">
        <v>543</v>
      </c>
      <c r="F12" s="2252">
        <v>543</v>
      </c>
      <c r="G12" s="2251">
        <v>939</v>
      </c>
      <c r="H12" s="2252">
        <f t="shared" si="5"/>
        <v>396</v>
      </c>
      <c r="I12" s="2251">
        <v>1443</v>
      </c>
      <c r="J12" s="2252">
        <f t="shared" si="6"/>
        <v>504</v>
      </c>
      <c r="K12" s="2251">
        <v>1737</v>
      </c>
      <c r="L12" s="2252">
        <f t="shared" si="7"/>
        <v>294</v>
      </c>
      <c r="M12" s="2251">
        <v>1977</v>
      </c>
      <c r="N12" s="2252">
        <f t="shared" si="8"/>
        <v>240</v>
      </c>
      <c r="O12" s="2251">
        <v>2278</v>
      </c>
      <c r="P12" s="2252">
        <f t="shared" si="9"/>
        <v>301</v>
      </c>
      <c r="Q12" s="2251">
        <v>2587</v>
      </c>
      <c r="R12" s="2252">
        <f t="shared" si="21"/>
        <v>309</v>
      </c>
      <c r="S12" s="2251">
        <v>2880</v>
      </c>
      <c r="T12" s="2252">
        <f t="shared" si="10"/>
        <v>293</v>
      </c>
      <c r="U12" s="2251">
        <v>3142</v>
      </c>
      <c r="V12" s="2252">
        <f t="shared" si="11"/>
        <v>262</v>
      </c>
      <c r="W12" s="2251">
        <v>3363</v>
      </c>
      <c r="X12" s="2252">
        <f t="shared" si="12"/>
        <v>221</v>
      </c>
      <c r="Y12" s="2251">
        <v>240</v>
      </c>
      <c r="Z12" s="2252">
        <f t="shared" si="13"/>
        <v>240</v>
      </c>
      <c r="AA12" s="2251">
        <v>517</v>
      </c>
      <c r="AB12" s="2252">
        <f t="shared" si="14"/>
        <v>277</v>
      </c>
      <c r="AC12" s="2251">
        <f>_xlfn.XLOOKUP($C12,'Sales Rec'!$E$4:$E$86,'Sales Rec'!$CH$4:$CH$86,"")</f>
        <v>754</v>
      </c>
      <c r="AD12" s="2252">
        <f t="shared" si="15"/>
        <v>237</v>
      </c>
      <c r="AE12" s="2253">
        <f t="shared" si="0"/>
        <v>0.38858195211786373</v>
      </c>
      <c r="AF12" s="2254">
        <v>-0.1444043321299639</v>
      </c>
      <c r="AG12" s="2251">
        <v>1223</v>
      </c>
      <c r="AH12" s="2252">
        <f t="shared" si="16"/>
        <v>469</v>
      </c>
      <c r="AI12" s="2253">
        <f t="shared" si="22"/>
        <v>-0.15246015246015246</v>
      </c>
      <c r="AJ12" s="2254">
        <v>0.97890295358649793</v>
      </c>
      <c r="AK12" s="2251">
        <v>1679</v>
      </c>
      <c r="AL12" s="2252">
        <f t="shared" si="17"/>
        <v>456</v>
      </c>
      <c r="AM12" s="2253">
        <f t="shared" si="1"/>
        <v>0.16354816354816354</v>
      </c>
      <c r="AN12" s="2254">
        <v>-2.7718550106609809E-2</v>
      </c>
      <c r="AO12" s="2251">
        <f>_xlfn.XLOOKUP($C12,'Last M. Sales'!$C$3:$C$82,'Last M. Sales'!$I$3:$I$82,"")</f>
        <v>2086</v>
      </c>
      <c r="AP12" s="2252">
        <f t="shared" si="18"/>
        <v>407</v>
      </c>
      <c r="AQ12" s="2253">
        <f t="shared" si="2"/>
        <v>0.20092112838226828</v>
      </c>
      <c r="AR12" s="2254">
        <f t="shared" si="3"/>
        <v>-0.10745614035087719</v>
      </c>
      <c r="AS12" s="2255">
        <f t="shared" si="19"/>
        <v>0.57452574525745259</v>
      </c>
      <c r="AT12" s="2256">
        <f t="shared" si="4"/>
        <v>7</v>
      </c>
      <c r="AU12" s="2289"/>
      <c r="AV12" s="2289"/>
      <c r="AW12" s="2255">
        <f t="shared" si="20"/>
        <v>0.76657824933687002</v>
      </c>
      <c r="AX12" s="2256">
        <f>RANK(AW12,$AW$4:$AW$32, 0)</f>
        <v>6</v>
      </c>
    </row>
    <row r="13" spans="1:50" ht="25">
      <c r="A13" s="100">
        <f>_xlfn.XLOOKUP($C13,Cement!$Q$7:$Q$35,Cement!$A$7:$A$35,"")</f>
        <v>23.654691596536299</v>
      </c>
      <c r="B13" s="2250" t="s">
        <v>32</v>
      </c>
      <c r="C13" s="2250" t="s">
        <v>33</v>
      </c>
      <c r="D13" s="2277">
        <f>_xlfn.XLOOKUP(C13,'Sales Rec'!$E$4:$E$86,'Sales Rec'!$F$4:$F$86,"")</f>
        <v>12</v>
      </c>
      <c r="E13" s="2251">
        <v>85</v>
      </c>
      <c r="F13" s="2252">
        <v>85</v>
      </c>
      <c r="G13" s="2251">
        <v>206</v>
      </c>
      <c r="H13" s="2252">
        <f t="shared" si="5"/>
        <v>121</v>
      </c>
      <c r="I13" s="2251">
        <v>325</v>
      </c>
      <c r="J13" s="2252">
        <f t="shared" si="6"/>
        <v>119</v>
      </c>
      <c r="K13" s="2251">
        <v>443</v>
      </c>
      <c r="L13" s="2252">
        <f t="shared" si="7"/>
        <v>118</v>
      </c>
      <c r="M13" s="2251">
        <v>582</v>
      </c>
      <c r="N13" s="2252">
        <f t="shared" si="8"/>
        <v>139</v>
      </c>
      <c r="O13" s="2251">
        <v>723</v>
      </c>
      <c r="P13" s="2252">
        <f t="shared" si="9"/>
        <v>141</v>
      </c>
      <c r="Q13" s="2251">
        <v>901</v>
      </c>
      <c r="R13" s="2252">
        <f t="shared" si="21"/>
        <v>178</v>
      </c>
      <c r="S13" s="2251">
        <v>1085</v>
      </c>
      <c r="T13" s="2252">
        <f t="shared" si="10"/>
        <v>184</v>
      </c>
      <c r="U13" s="2251">
        <v>1294</v>
      </c>
      <c r="V13" s="2252">
        <f t="shared" si="11"/>
        <v>209</v>
      </c>
      <c r="W13" s="2251">
        <v>1533</v>
      </c>
      <c r="X13" s="2252">
        <f t="shared" si="12"/>
        <v>239</v>
      </c>
      <c r="Y13" s="2251">
        <v>1799</v>
      </c>
      <c r="Z13" s="2252">
        <f t="shared" si="13"/>
        <v>266</v>
      </c>
      <c r="AA13" s="2251">
        <v>1971</v>
      </c>
      <c r="AB13" s="2252">
        <f t="shared" si="14"/>
        <v>172</v>
      </c>
      <c r="AC13" s="2251">
        <f>_xlfn.XLOOKUP($C13,'Sales Rec'!$E$4:$E$86,'Sales Rec'!$CH$4:$CH$86,"")</f>
        <v>193</v>
      </c>
      <c r="AD13" s="2252">
        <f t="shared" si="15"/>
        <v>193</v>
      </c>
      <c r="AE13" s="2253">
        <f t="shared" si="0"/>
        <v>1.2705882352941176</v>
      </c>
      <c r="AF13" s="2254">
        <v>0.12209302325581395</v>
      </c>
      <c r="AG13" s="2251">
        <v>511</v>
      </c>
      <c r="AH13" s="2252">
        <f t="shared" si="16"/>
        <v>318</v>
      </c>
      <c r="AI13" s="2253">
        <f t="shared" si="22"/>
        <v>0.5723076923076923</v>
      </c>
      <c r="AJ13" s="2254">
        <v>0.64766839378238339</v>
      </c>
      <c r="AK13" s="2251">
        <v>747</v>
      </c>
      <c r="AL13" s="2252">
        <f t="shared" si="17"/>
        <v>236</v>
      </c>
      <c r="AM13" s="2253">
        <f t="shared" si="1"/>
        <v>1.2984615384615386</v>
      </c>
      <c r="AN13" s="2254">
        <v>-0.25786163522012578</v>
      </c>
      <c r="AO13" s="2251">
        <f>_xlfn.XLOOKUP($C13,'Last M. Sales'!$C$3:$C$82,'Last M. Sales'!$I$3:$I$82,"")</f>
        <v>913</v>
      </c>
      <c r="AP13" s="2252">
        <f t="shared" si="18"/>
        <v>166</v>
      </c>
      <c r="AQ13" s="2253">
        <f t="shared" si="2"/>
        <v>1.0609480812641083</v>
      </c>
      <c r="AR13" s="2254">
        <f t="shared" si="3"/>
        <v>-0.29661016949152541</v>
      </c>
      <c r="AS13" s="2255">
        <f t="shared" si="19"/>
        <v>0.103397341211226</v>
      </c>
      <c r="AT13" s="2256">
        <f t="shared" si="4"/>
        <v>25</v>
      </c>
      <c r="AU13" s="2289"/>
      <c r="AV13" s="2289"/>
      <c r="AW13" s="2255">
        <f t="shared" si="20"/>
        <v>0.14104595879556259</v>
      </c>
      <c r="AX13" s="2256">
        <f t="shared" ref="AX13:AX32" si="23">RANK(AW13,$AW$4:$AW$32, 0)</f>
        <v>27</v>
      </c>
    </row>
    <row r="14" spans="1:50" ht="25">
      <c r="A14" s="100">
        <f>_xlfn.XLOOKUP($C14,Cement!$Q$7:$Q$35,Cement!$A$7:$A$35,"")</f>
        <v>8.9839762773261249</v>
      </c>
      <c r="B14" s="2250" t="s">
        <v>64</v>
      </c>
      <c r="C14" s="2250" t="s">
        <v>65</v>
      </c>
      <c r="D14" s="2277">
        <f>_xlfn.XLOOKUP(C14,'Sales Rec'!$E$4:$E$86,'Sales Rec'!$F$4:$F$86,"")</f>
        <v>9</v>
      </c>
      <c r="E14" s="2251">
        <v>1049</v>
      </c>
      <c r="F14" s="2252">
        <v>1049</v>
      </c>
      <c r="G14" s="2251">
        <v>1329</v>
      </c>
      <c r="H14" s="2252">
        <f t="shared" si="5"/>
        <v>280</v>
      </c>
      <c r="I14" s="2251">
        <v>1796</v>
      </c>
      <c r="J14" s="2252">
        <f t="shared" si="6"/>
        <v>467</v>
      </c>
      <c r="K14" s="2251">
        <v>2187</v>
      </c>
      <c r="L14" s="2252">
        <f t="shared" si="7"/>
        <v>391</v>
      </c>
      <c r="M14" s="2251">
        <v>2555</v>
      </c>
      <c r="N14" s="2252">
        <f t="shared" si="8"/>
        <v>368</v>
      </c>
      <c r="O14" s="2251">
        <v>2968</v>
      </c>
      <c r="P14" s="2252">
        <f t="shared" si="9"/>
        <v>413</v>
      </c>
      <c r="Q14" s="2251">
        <v>3364</v>
      </c>
      <c r="R14" s="2252">
        <f t="shared" si="21"/>
        <v>396</v>
      </c>
      <c r="S14" s="2251">
        <v>3796</v>
      </c>
      <c r="T14" s="2252">
        <f t="shared" si="10"/>
        <v>432</v>
      </c>
      <c r="U14" s="2251">
        <v>4256</v>
      </c>
      <c r="V14" s="2252">
        <f t="shared" si="11"/>
        <v>460</v>
      </c>
      <c r="W14" s="2251">
        <v>449</v>
      </c>
      <c r="X14" s="2252">
        <f t="shared" si="12"/>
        <v>449</v>
      </c>
      <c r="Y14" s="2251">
        <v>847</v>
      </c>
      <c r="Z14" s="2252">
        <f t="shared" si="13"/>
        <v>398</v>
      </c>
      <c r="AA14" s="2251">
        <v>1284</v>
      </c>
      <c r="AB14" s="2252">
        <f t="shared" si="14"/>
        <v>437</v>
      </c>
      <c r="AC14" s="2251">
        <f>_xlfn.XLOOKUP($C14,'Sales Rec'!$E$4:$E$86,'Sales Rec'!$CH$4:$CH$86,"")</f>
        <v>1777</v>
      </c>
      <c r="AD14" s="2252">
        <f t="shared" si="15"/>
        <v>493</v>
      </c>
      <c r="AE14" s="2253">
        <f t="shared" si="0"/>
        <v>0.69399428026692089</v>
      </c>
      <c r="AF14" s="2254">
        <v>0.12814645308924486</v>
      </c>
      <c r="AG14" s="2251">
        <v>2562</v>
      </c>
      <c r="AH14" s="2252">
        <f t="shared" si="16"/>
        <v>785</v>
      </c>
      <c r="AI14" s="2253">
        <f t="shared" si="22"/>
        <v>0.42650334075723828</v>
      </c>
      <c r="AJ14" s="2254">
        <v>0.59229208924949295</v>
      </c>
      <c r="AK14" s="2251">
        <v>3269</v>
      </c>
      <c r="AL14" s="2252">
        <f t="shared" si="17"/>
        <v>707</v>
      </c>
      <c r="AM14" s="2253">
        <f t="shared" si="1"/>
        <v>0.82015590200445432</v>
      </c>
      <c r="AN14" s="2254">
        <v>-9.936305732484077E-2</v>
      </c>
      <c r="AO14" s="2251">
        <f>_xlfn.XLOOKUP($C14,'Last M. Sales'!$C$3:$C$82,'Last M. Sales'!$I$3:$I$82,"")</f>
        <v>3998</v>
      </c>
      <c r="AP14" s="2252">
        <f t="shared" si="18"/>
        <v>729</v>
      </c>
      <c r="AQ14" s="2253">
        <f t="shared" si="2"/>
        <v>0.82807498856881578</v>
      </c>
      <c r="AR14" s="2254">
        <f t="shared" si="3"/>
        <v>3.1117397454031116E-2</v>
      </c>
      <c r="AS14" s="2255">
        <f t="shared" si="19"/>
        <v>0.54595015576323991</v>
      </c>
      <c r="AT14" s="2256">
        <f t="shared" si="4"/>
        <v>9</v>
      </c>
      <c r="AU14" s="2289"/>
      <c r="AV14" s="2289"/>
      <c r="AW14" s="2255">
        <f t="shared" si="20"/>
        <v>0.67243975903614461</v>
      </c>
      <c r="AX14" s="2256">
        <f t="shared" si="23"/>
        <v>10</v>
      </c>
    </row>
    <row r="15" spans="1:50" ht="25">
      <c r="A15" s="100">
        <f>_xlfn.XLOOKUP($C15,Cement!$Q$7:$Q$35,Cement!$A$7:$A$35,"")</f>
        <v>21.12491215339011</v>
      </c>
      <c r="B15" s="2250" t="s">
        <v>27</v>
      </c>
      <c r="C15" s="2250" t="s">
        <v>28</v>
      </c>
      <c r="D15" s="2277">
        <f>_xlfn.XLOOKUP(C15,'Sales Rec'!$E$4:$E$86,'Sales Rec'!$F$4:$F$86,"")</f>
        <v>9</v>
      </c>
      <c r="E15" s="2251">
        <v>1025</v>
      </c>
      <c r="F15" s="2252">
        <v>1025</v>
      </c>
      <c r="G15" s="2251">
        <v>1369</v>
      </c>
      <c r="H15" s="2252">
        <f t="shared" si="5"/>
        <v>344</v>
      </c>
      <c r="I15" s="2251">
        <v>1612</v>
      </c>
      <c r="J15" s="2252">
        <f t="shared" si="6"/>
        <v>243</v>
      </c>
      <c r="K15" s="2251">
        <v>1907</v>
      </c>
      <c r="L15" s="2252">
        <f t="shared" si="7"/>
        <v>295</v>
      </c>
      <c r="M15" s="2251">
        <v>2018</v>
      </c>
      <c r="N15" s="2252">
        <f t="shared" si="8"/>
        <v>111</v>
      </c>
      <c r="O15" s="2251">
        <v>2270</v>
      </c>
      <c r="P15" s="2252">
        <f t="shared" si="9"/>
        <v>252</v>
      </c>
      <c r="Q15" s="2251">
        <v>2564</v>
      </c>
      <c r="R15" s="2252">
        <f t="shared" si="21"/>
        <v>294</v>
      </c>
      <c r="S15" s="2251">
        <v>2849</v>
      </c>
      <c r="T15" s="2252">
        <f t="shared" si="10"/>
        <v>285</v>
      </c>
      <c r="U15" s="2251">
        <v>3079</v>
      </c>
      <c r="V15" s="2252">
        <f t="shared" si="11"/>
        <v>230</v>
      </c>
      <c r="W15" s="2251">
        <v>301</v>
      </c>
      <c r="X15" s="2252">
        <f t="shared" si="12"/>
        <v>301</v>
      </c>
      <c r="Y15" s="2251">
        <v>993</v>
      </c>
      <c r="Z15" s="2252">
        <f t="shared" si="13"/>
        <v>692</v>
      </c>
      <c r="AA15" s="2251">
        <v>1066</v>
      </c>
      <c r="AB15" s="2252">
        <f t="shared" si="14"/>
        <v>73</v>
      </c>
      <c r="AC15" s="2251">
        <f>_xlfn.XLOOKUP($C15,'Sales Rec'!$E$4:$E$86,'Sales Rec'!$CH$4:$CH$86,"")</f>
        <v>1127</v>
      </c>
      <c r="AD15" s="2252">
        <f t="shared" si="15"/>
        <v>61</v>
      </c>
      <c r="AE15" s="2253">
        <f t="shared" si="0"/>
        <v>9.9512195121951225E-2</v>
      </c>
      <c r="AF15" s="2254">
        <v>-0.16438356164383561</v>
      </c>
      <c r="AG15" s="2251">
        <v>1417</v>
      </c>
      <c r="AH15" s="2252">
        <f t="shared" si="16"/>
        <v>290</v>
      </c>
      <c r="AI15" s="2253">
        <f t="shared" si="22"/>
        <v>-0.12096774193548387</v>
      </c>
      <c r="AJ15" s="2254">
        <v>3.7540983606557377</v>
      </c>
      <c r="AK15" s="2251">
        <v>1541</v>
      </c>
      <c r="AL15" s="2252">
        <f t="shared" si="17"/>
        <v>124</v>
      </c>
      <c r="AM15" s="2253">
        <f t="shared" si="1"/>
        <v>-4.4044665012406947E-2</v>
      </c>
      <c r="AN15" s="2254">
        <v>-0.57241379310344831</v>
      </c>
      <c r="AO15" s="2251">
        <f>_xlfn.XLOOKUP($C15,'Last M. Sales'!$C$3:$C$82,'Last M. Sales'!$I$3:$I$82,"")</f>
        <v>1667</v>
      </c>
      <c r="AP15" s="2252">
        <f t="shared" si="18"/>
        <v>126</v>
      </c>
      <c r="AQ15" s="2253">
        <f t="shared" si="2"/>
        <v>-0.12585212375458835</v>
      </c>
      <c r="AR15" s="2254">
        <f t="shared" si="3"/>
        <v>1.6129032258064516E-2</v>
      </c>
      <c r="AS15" s="2255">
        <f t="shared" si="19"/>
        <v>-0.5544090056285178</v>
      </c>
      <c r="AT15" s="2256">
        <f t="shared" si="4"/>
        <v>29</v>
      </c>
      <c r="AU15" s="2289"/>
      <c r="AV15" s="2289"/>
      <c r="AW15" s="2255">
        <f t="shared" si="20"/>
        <v>-0.34624697336561744</v>
      </c>
      <c r="AX15" s="2256">
        <f t="shared" si="23"/>
        <v>29</v>
      </c>
    </row>
    <row r="16" spans="1:50" ht="25">
      <c r="A16" s="100">
        <f>_xlfn.XLOOKUP($C16,Cement!$Q$7:$Q$35,Cement!$A$7:$A$35,"")</f>
        <v>21.208110025072855</v>
      </c>
      <c r="B16" s="2250" t="s">
        <v>42</v>
      </c>
      <c r="C16" s="2250" t="s">
        <v>43</v>
      </c>
      <c r="D16" s="2277">
        <f>_xlfn.XLOOKUP(C16,'Sales Rec'!$E$4:$E$86,'Sales Rec'!$F$4:$F$86,"")</f>
        <v>12</v>
      </c>
      <c r="E16" s="2251">
        <v>294</v>
      </c>
      <c r="F16" s="2252">
        <v>294</v>
      </c>
      <c r="G16" s="2251">
        <v>689</v>
      </c>
      <c r="H16" s="2252">
        <f t="shared" si="5"/>
        <v>395</v>
      </c>
      <c r="I16" s="2251">
        <v>1128</v>
      </c>
      <c r="J16" s="2252">
        <f t="shared" si="6"/>
        <v>439</v>
      </c>
      <c r="K16" s="2251">
        <v>1477</v>
      </c>
      <c r="L16" s="2252">
        <f t="shared" si="7"/>
        <v>349</v>
      </c>
      <c r="M16" s="2251">
        <v>1862</v>
      </c>
      <c r="N16" s="2252">
        <f t="shared" si="8"/>
        <v>385</v>
      </c>
      <c r="O16" s="2251">
        <v>2277</v>
      </c>
      <c r="P16" s="2252">
        <f t="shared" si="9"/>
        <v>415</v>
      </c>
      <c r="Q16" s="2251">
        <v>2671</v>
      </c>
      <c r="R16" s="2252">
        <f t="shared" si="21"/>
        <v>394</v>
      </c>
      <c r="S16" s="2251">
        <v>3039</v>
      </c>
      <c r="T16" s="2252">
        <f t="shared" si="10"/>
        <v>368</v>
      </c>
      <c r="U16" s="2251">
        <v>3324</v>
      </c>
      <c r="V16" s="2252">
        <f t="shared" si="11"/>
        <v>285</v>
      </c>
      <c r="W16" s="2251">
        <v>3494</v>
      </c>
      <c r="X16" s="2252">
        <f>IFERROR(IF(OR(X$3-$D16=1,X$3-$D16=-11),W16,(W16-U16)),"")</f>
        <v>170</v>
      </c>
      <c r="Y16" s="2251">
        <v>3724</v>
      </c>
      <c r="Z16" s="2252">
        <f t="shared" si="13"/>
        <v>230</v>
      </c>
      <c r="AA16" s="2251">
        <v>4048</v>
      </c>
      <c r="AB16" s="2252">
        <f t="shared" si="14"/>
        <v>324</v>
      </c>
      <c r="AC16" s="2251">
        <f>_xlfn.XLOOKUP($C16,'Sales Rec'!$E$4:$E$86,'Sales Rec'!$CH$4:$CH$86,"")</f>
        <v>462</v>
      </c>
      <c r="AD16" s="2252">
        <f t="shared" si="15"/>
        <v>462</v>
      </c>
      <c r="AE16" s="2253">
        <f t="shared" si="0"/>
        <v>0.5714285714285714</v>
      </c>
      <c r="AF16" s="2254">
        <v>0.42592592592592593</v>
      </c>
      <c r="AG16" s="2251">
        <v>1041</v>
      </c>
      <c r="AH16" s="2252">
        <f t="shared" si="16"/>
        <v>579</v>
      </c>
      <c r="AI16" s="2253">
        <f t="shared" si="22"/>
        <v>-7.7127659574468085E-2</v>
      </c>
      <c r="AJ16" s="2254">
        <v>0.25324675324675322</v>
      </c>
      <c r="AK16" s="2251">
        <v>1740</v>
      </c>
      <c r="AL16" s="2252">
        <f t="shared" si="17"/>
        <v>699</v>
      </c>
      <c r="AM16" s="2253">
        <f t="shared" si="1"/>
        <v>0.54255319148936165</v>
      </c>
      <c r="AN16" s="2254">
        <v>0.20725388601036268</v>
      </c>
      <c r="AO16" s="2251">
        <f>_xlfn.XLOOKUP($C16,'Last M. Sales'!$C$3:$C$82,'Last M. Sales'!$I$3:$I$82,"")</f>
        <v>2438</v>
      </c>
      <c r="AP16" s="2252">
        <f t="shared" si="18"/>
        <v>698</v>
      </c>
      <c r="AQ16" s="2253">
        <f t="shared" si="2"/>
        <v>0.65064319566689233</v>
      </c>
      <c r="AR16" s="2254">
        <f t="shared" si="3"/>
        <v>-1.4306151645207439E-3</v>
      </c>
      <c r="AS16" s="2255">
        <f t="shared" si="19"/>
        <v>1.4033149171270718</v>
      </c>
      <c r="AT16" s="2256">
        <f t="shared" si="4"/>
        <v>1</v>
      </c>
      <c r="AU16" s="2289"/>
      <c r="AV16" s="2289"/>
      <c r="AW16" s="2255">
        <f t="shared" si="20"/>
        <v>0.94488188976377951</v>
      </c>
      <c r="AX16" s="2256">
        <f t="shared" si="23"/>
        <v>2</v>
      </c>
    </row>
    <row r="17" spans="1:50" ht="25">
      <c r="A17" s="100">
        <f>_xlfn.XLOOKUP($C17,Cement!$Q$7:$Q$35,Cement!$A$7:$A$35,"")</f>
        <v>9.2730653097207458</v>
      </c>
      <c r="B17" s="2250" t="s">
        <v>52</v>
      </c>
      <c r="C17" s="2250" t="s">
        <v>53</v>
      </c>
      <c r="D17" s="2277">
        <f>_xlfn.XLOOKUP(C17,'Sales Rec'!$E$4:$E$86,'Sales Rec'!$F$4:$F$86,"")</f>
        <v>12</v>
      </c>
      <c r="E17" s="2251">
        <v>265</v>
      </c>
      <c r="F17" s="2252">
        <v>265</v>
      </c>
      <c r="G17" s="2251">
        <v>618</v>
      </c>
      <c r="H17" s="2252">
        <f t="shared" si="5"/>
        <v>353</v>
      </c>
      <c r="I17" s="2251">
        <v>1137</v>
      </c>
      <c r="J17" s="2252">
        <f t="shared" si="6"/>
        <v>519</v>
      </c>
      <c r="K17" s="2251">
        <v>1645</v>
      </c>
      <c r="L17" s="2252">
        <f t="shared" si="7"/>
        <v>508</v>
      </c>
      <c r="M17" s="2251">
        <v>2205</v>
      </c>
      <c r="N17" s="2252">
        <f t="shared" si="8"/>
        <v>560</v>
      </c>
      <c r="O17" s="2251">
        <v>2775</v>
      </c>
      <c r="P17" s="2252">
        <f t="shared" si="9"/>
        <v>570</v>
      </c>
      <c r="Q17" s="2251">
        <v>3354</v>
      </c>
      <c r="R17" s="2252">
        <f t="shared" si="21"/>
        <v>579</v>
      </c>
      <c r="S17" s="2251">
        <v>3915</v>
      </c>
      <c r="T17" s="2252">
        <f t="shared" si="10"/>
        <v>561</v>
      </c>
      <c r="U17" s="2251">
        <v>4468</v>
      </c>
      <c r="V17" s="2252">
        <f t="shared" si="11"/>
        <v>553</v>
      </c>
      <c r="W17" s="2251">
        <v>4957</v>
      </c>
      <c r="X17" s="2252">
        <f t="shared" si="12"/>
        <v>489</v>
      </c>
      <c r="Y17" s="2251">
        <v>5470</v>
      </c>
      <c r="Z17" s="2252">
        <f t="shared" si="13"/>
        <v>513</v>
      </c>
      <c r="AA17" s="2251">
        <v>5941</v>
      </c>
      <c r="AB17" s="2252">
        <f t="shared" si="14"/>
        <v>471</v>
      </c>
      <c r="AC17" s="2251">
        <f>_xlfn.XLOOKUP($C17,'Sales Rec'!$E$4:$E$86,'Sales Rec'!$CH$4:$CH$86,"")</f>
        <v>439</v>
      </c>
      <c r="AD17" s="2252">
        <f>IFERROR(IF(OR(AD$3-$D17=1,AD$3-$D17=-11),AC17,(AC17-AA17)),"")</f>
        <v>439</v>
      </c>
      <c r="AE17" s="2253">
        <f t="shared" si="0"/>
        <v>0.65660377358490563</v>
      </c>
      <c r="AF17" s="2254">
        <v>-6.7940552016985137E-2</v>
      </c>
      <c r="AG17" s="2251">
        <v>1242</v>
      </c>
      <c r="AH17" s="2252">
        <f t="shared" si="16"/>
        <v>803</v>
      </c>
      <c r="AI17" s="2253">
        <f t="shared" si="22"/>
        <v>9.2348284960422161E-2</v>
      </c>
      <c r="AJ17" s="2254">
        <v>0.82915717539863321</v>
      </c>
      <c r="AK17" s="2251">
        <v>2011</v>
      </c>
      <c r="AL17" s="2252">
        <f t="shared" si="17"/>
        <v>769</v>
      </c>
      <c r="AM17" s="2253">
        <f t="shared" si="1"/>
        <v>0.76868953386103778</v>
      </c>
      <c r="AN17" s="2254">
        <v>-4.2341220423412207E-2</v>
      </c>
      <c r="AO17" s="2251">
        <f>_xlfn.XLOOKUP($C17,'Last M. Sales'!$C$3:$C$82,'Last M. Sales'!$I$3:$I$82,"")</f>
        <v>2652</v>
      </c>
      <c r="AP17" s="2252">
        <f t="shared" si="18"/>
        <v>641</v>
      </c>
      <c r="AQ17" s="2253">
        <f t="shared" si="2"/>
        <v>0.61215805471124618</v>
      </c>
      <c r="AR17" s="2254">
        <f t="shared" si="3"/>
        <v>-0.16644993498049415</v>
      </c>
      <c r="AS17" s="2255">
        <f t="shared" si="19"/>
        <v>0.36524100475220639</v>
      </c>
      <c r="AT17" s="2256">
        <f t="shared" si="4"/>
        <v>17</v>
      </c>
      <c r="AU17" s="2289"/>
      <c r="AV17" s="2289"/>
      <c r="AW17" s="2255">
        <f t="shared" si="20"/>
        <v>0.55516514406184114</v>
      </c>
      <c r="AX17" s="2256">
        <f t="shared" si="23"/>
        <v>13</v>
      </c>
    </row>
    <row r="18" spans="1:50" ht="25">
      <c r="A18" s="100">
        <f>_xlfn.XLOOKUP($C18,Cement!$Q$7:$Q$35,Cement!$A$7:$A$35,"")</f>
        <v>14.380222800984832</v>
      </c>
      <c r="B18" s="2250" t="s">
        <v>66</v>
      </c>
      <c r="C18" s="2250" t="s">
        <v>67</v>
      </c>
      <c r="D18" s="2277">
        <f>_xlfn.XLOOKUP(C18,'Sales Rec'!$E$4:$E$86,'Sales Rec'!$F$4:$F$86,"")</f>
        <v>9</v>
      </c>
      <c r="E18" s="2251">
        <v>537</v>
      </c>
      <c r="F18" s="2252">
        <v>537</v>
      </c>
      <c r="G18" s="2251">
        <v>692</v>
      </c>
      <c r="H18" s="2252">
        <f t="shared" si="5"/>
        <v>155</v>
      </c>
      <c r="I18" s="2251">
        <v>863</v>
      </c>
      <c r="J18" s="2252">
        <f t="shared" si="6"/>
        <v>171</v>
      </c>
      <c r="K18" s="2251">
        <v>1037</v>
      </c>
      <c r="L18" s="2252">
        <f t="shared" si="7"/>
        <v>174</v>
      </c>
      <c r="M18" s="2251">
        <v>1182</v>
      </c>
      <c r="N18" s="2252">
        <f t="shared" si="8"/>
        <v>145</v>
      </c>
      <c r="O18" s="2251">
        <v>1339</v>
      </c>
      <c r="P18" s="2252">
        <f t="shared" si="9"/>
        <v>157</v>
      </c>
      <c r="Q18" s="2251">
        <v>1514</v>
      </c>
      <c r="R18" s="2252">
        <f t="shared" si="21"/>
        <v>175</v>
      </c>
      <c r="S18" s="2251">
        <v>1689</v>
      </c>
      <c r="T18" s="2252">
        <f t="shared" si="10"/>
        <v>175</v>
      </c>
      <c r="U18" s="2251">
        <v>1852</v>
      </c>
      <c r="V18" s="2252">
        <f t="shared" si="11"/>
        <v>163</v>
      </c>
      <c r="W18" s="2251">
        <v>220</v>
      </c>
      <c r="X18" s="2252">
        <f t="shared" si="12"/>
        <v>220</v>
      </c>
      <c r="Y18" s="2251">
        <v>404</v>
      </c>
      <c r="Z18" s="2252">
        <f t="shared" si="13"/>
        <v>184</v>
      </c>
      <c r="AA18" s="2251">
        <v>618</v>
      </c>
      <c r="AB18" s="2252">
        <f t="shared" si="14"/>
        <v>214</v>
      </c>
      <c r="AC18" s="2251">
        <f>_xlfn.XLOOKUP($C18,'Sales Rec'!$E$4:$E$86,'Sales Rec'!$CH$4:$CH$86,"")</f>
        <v>825</v>
      </c>
      <c r="AD18" s="2252">
        <f t="shared" si="15"/>
        <v>207</v>
      </c>
      <c r="AE18" s="2253">
        <f t="shared" si="0"/>
        <v>0.53631284916201116</v>
      </c>
      <c r="AF18" s="2254">
        <v>-3.2710280373831772E-2</v>
      </c>
      <c r="AG18" s="2251">
        <v>1142</v>
      </c>
      <c r="AH18" s="2252">
        <f t="shared" si="16"/>
        <v>317</v>
      </c>
      <c r="AI18" s="2253">
        <f t="shared" si="22"/>
        <v>0.32329084588644263</v>
      </c>
      <c r="AJ18" s="2254">
        <v>0.53140096618357491</v>
      </c>
      <c r="AK18" s="2251">
        <v>1467</v>
      </c>
      <c r="AL18" s="2252">
        <f t="shared" si="17"/>
        <v>325</v>
      </c>
      <c r="AM18" s="2253">
        <f t="shared" si="1"/>
        <v>0.69988412514484355</v>
      </c>
      <c r="AN18" s="2254">
        <v>2.5236593059936908E-2</v>
      </c>
      <c r="AO18" s="2251">
        <f>_xlfn.XLOOKUP($C18,'Last M. Sales'!$C$3:$C$82,'Last M. Sales'!$I$3:$I$82,"")</f>
        <v>1741</v>
      </c>
      <c r="AP18" s="2252">
        <f t="shared" si="18"/>
        <v>274</v>
      </c>
      <c r="AQ18" s="2253">
        <f t="shared" si="2"/>
        <v>0.67888138862102221</v>
      </c>
      <c r="AR18" s="2254">
        <f t="shared" si="3"/>
        <v>-0.15692307692307692</v>
      </c>
      <c r="AS18" s="2255">
        <f t="shared" si="19"/>
        <v>0.37378640776699029</v>
      </c>
      <c r="AT18" s="2256">
        <f t="shared" si="4"/>
        <v>15</v>
      </c>
      <c r="AU18" s="2289"/>
      <c r="AV18" s="2289"/>
      <c r="AW18" s="2255">
        <f t="shared" si="20"/>
        <v>0.51404958677685952</v>
      </c>
      <c r="AX18" s="2256">
        <f t="shared" si="23"/>
        <v>19</v>
      </c>
    </row>
    <row r="19" spans="1:50" ht="25">
      <c r="A19" s="100">
        <f>_xlfn.XLOOKUP($C19,Cement!$Q$7:$Q$35,Cement!$A$7:$A$35,"")</f>
        <v>15.202117459117378</v>
      </c>
      <c r="B19" s="2250" t="s">
        <v>56</v>
      </c>
      <c r="C19" s="2250" t="s">
        <v>57</v>
      </c>
      <c r="D19" s="2277">
        <f>_xlfn.XLOOKUP(C19,'Sales Rec'!$E$4:$E$86,'Sales Rec'!$F$4:$F$86,"")</f>
        <v>12</v>
      </c>
      <c r="E19" s="2251">
        <v>342</v>
      </c>
      <c r="F19" s="2252">
        <v>342</v>
      </c>
      <c r="G19" s="2251">
        <v>799</v>
      </c>
      <c r="H19" s="2252">
        <f t="shared" si="5"/>
        <v>457</v>
      </c>
      <c r="I19" s="2251">
        <v>1366</v>
      </c>
      <c r="J19" s="2252">
        <f t="shared" si="6"/>
        <v>567</v>
      </c>
      <c r="K19" s="2251">
        <v>1763</v>
      </c>
      <c r="L19" s="2252">
        <f t="shared" si="7"/>
        <v>397</v>
      </c>
      <c r="M19" s="2251">
        <v>2216</v>
      </c>
      <c r="N19" s="2252">
        <f t="shared" si="8"/>
        <v>453</v>
      </c>
      <c r="O19" s="2251">
        <v>2716</v>
      </c>
      <c r="P19" s="2252">
        <f t="shared" si="9"/>
        <v>500</v>
      </c>
      <c r="Q19" s="2251">
        <v>3206</v>
      </c>
      <c r="R19" s="2252">
        <f t="shared" si="21"/>
        <v>490</v>
      </c>
      <c r="S19" s="2251">
        <v>3687</v>
      </c>
      <c r="T19" s="2252">
        <f t="shared" si="10"/>
        <v>481</v>
      </c>
      <c r="U19" s="2251">
        <v>4055</v>
      </c>
      <c r="V19" s="2252">
        <f t="shared" si="11"/>
        <v>368</v>
      </c>
      <c r="W19" s="2251">
        <v>4310</v>
      </c>
      <c r="X19" s="2252">
        <f t="shared" si="12"/>
        <v>255</v>
      </c>
      <c r="Y19" s="2251">
        <v>4643</v>
      </c>
      <c r="Z19" s="2252">
        <f t="shared" si="13"/>
        <v>333</v>
      </c>
      <c r="AA19" s="2251">
        <v>5049</v>
      </c>
      <c r="AB19" s="2252">
        <f t="shared" si="14"/>
        <v>406</v>
      </c>
      <c r="AC19" s="2251">
        <f>_xlfn.XLOOKUP($C19,'Sales Rec'!$E$4:$E$86,'Sales Rec'!$CH$4:$CH$86,"")</f>
        <v>488</v>
      </c>
      <c r="AD19" s="2252">
        <f t="shared" si="15"/>
        <v>488</v>
      </c>
      <c r="AE19" s="2253">
        <f t="shared" si="0"/>
        <v>0.42690058479532161</v>
      </c>
      <c r="AF19" s="2254">
        <v>0.2019704433497537</v>
      </c>
      <c r="AG19" s="2251">
        <v>1162</v>
      </c>
      <c r="AH19" s="2252">
        <f>IFERROR(IF(OR(AH$3-$D19=1,AH$3-$D19=-11),AG19,(AG19-AC19)),"")</f>
        <v>674</v>
      </c>
      <c r="AI19" s="2253">
        <f t="shared" si="22"/>
        <v>-0.14934114202049781</v>
      </c>
      <c r="AJ19" s="2254">
        <v>0.38114754098360654</v>
      </c>
      <c r="AK19" s="2251">
        <v>1775</v>
      </c>
      <c r="AL19" s="2252">
        <f t="shared" si="17"/>
        <v>613</v>
      </c>
      <c r="AM19" s="2253">
        <f t="shared" si="1"/>
        <v>0.29941434846266474</v>
      </c>
      <c r="AN19" s="2254">
        <v>-9.050445103857567E-2</v>
      </c>
      <c r="AO19" s="2251">
        <f>_xlfn.XLOOKUP($C19,'Last M. Sales'!$C$3:$C$82,'Last M. Sales'!$I$3:$I$82,"")</f>
        <v>2335</v>
      </c>
      <c r="AP19" s="2252">
        <f t="shared" si="18"/>
        <v>560</v>
      </c>
      <c r="AQ19" s="2253">
        <f t="shared" si="2"/>
        <v>0.32444696539988654</v>
      </c>
      <c r="AR19" s="2254">
        <f t="shared" si="3"/>
        <v>-8.6460032626427402E-2</v>
      </c>
      <c r="AS19" s="2255">
        <f t="shared" si="19"/>
        <v>0.7857142857142857</v>
      </c>
      <c r="AT19" s="2256">
        <f t="shared" si="4"/>
        <v>5</v>
      </c>
      <c r="AU19" s="2289"/>
      <c r="AV19" s="2289"/>
      <c r="AW19" s="2255">
        <f t="shared" si="20"/>
        <v>0.50529747351263243</v>
      </c>
      <c r="AX19" s="2256">
        <f t="shared" si="23"/>
        <v>20</v>
      </c>
    </row>
    <row r="20" spans="1:50" ht="25">
      <c r="A20" s="100">
        <f>_xlfn.XLOOKUP($C20,Cement!$Q$7:$Q$35,Cement!$A$7:$A$35,"")</f>
        <v>14.841666562736975</v>
      </c>
      <c r="B20" s="2250" t="s">
        <v>54</v>
      </c>
      <c r="C20" s="2250" t="s">
        <v>55</v>
      </c>
      <c r="D20" s="2277">
        <f>_xlfn.XLOOKUP(C20,'Sales Rec'!$E$4:$E$86,'Sales Rec'!$F$4:$F$86,"")</f>
        <v>12</v>
      </c>
      <c r="E20" s="2251">
        <v>106</v>
      </c>
      <c r="F20" s="2252">
        <v>106</v>
      </c>
      <c r="G20" s="2251">
        <v>275</v>
      </c>
      <c r="H20" s="2252">
        <f t="shared" si="5"/>
        <v>169</v>
      </c>
      <c r="I20" s="2251">
        <v>475</v>
      </c>
      <c r="J20" s="2252">
        <f t="shared" si="6"/>
        <v>200</v>
      </c>
      <c r="K20" s="2251">
        <v>641</v>
      </c>
      <c r="L20" s="2252">
        <f t="shared" si="7"/>
        <v>166</v>
      </c>
      <c r="M20" s="2251">
        <v>829</v>
      </c>
      <c r="N20" s="2252">
        <f t="shared" si="8"/>
        <v>188</v>
      </c>
      <c r="O20" s="2251">
        <v>1028</v>
      </c>
      <c r="P20" s="2252">
        <f t="shared" si="9"/>
        <v>199</v>
      </c>
      <c r="Q20" s="2251">
        <v>1216</v>
      </c>
      <c r="R20" s="2252">
        <f t="shared" si="21"/>
        <v>188</v>
      </c>
      <c r="S20" s="2251">
        <v>1437</v>
      </c>
      <c r="T20" s="2252">
        <f t="shared" si="10"/>
        <v>221</v>
      </c>
      <c r="U20" s="2251">
        <v>1648</v>
      </c>
      <c r="V20" s="2252">
        <f t="shared" si="11"/>
        <v>211</v>
      </c>
      <c r="W20" s="2251">
        <v>1890</v>
      </c>
      <c r="X20" s="2252">
        <f t="shared" si="12"/>
        <v>242</v>
      </c>
      <c r="Y20" s="2251">
        <v>2181</v>
      </c>
      <c r="Z20" s="2252">
        <f t="shared" si="13"/>
        <v>291</v>
      </c>
      <c r="AA20" s="2251">
        <v>2495</v>
      </c>
      <c r="AB20" s="2252">
        <f t="shared" si="14"/>
        <v>314</v>
      </c>
      <c r="AC20" s="2251">
        <f>_xlfn.XLOOKUP($C20,'Sales Rec'!$E$4:$E$86,'Sales Rec'!$CH$4:$CH$86,"")</f>
        <v>227</v>
      </c>
      <c r="AD20" s="2252">
        <f t="shared" si="15"/>
        <v>227</v>
      </c>
      <c r="AE20" s="2253">
        <f t="shared" si="0"/>
        <v>1.1415094339622642</v>
      </c>
      <c r="AF20" s="2254">
        <v>-0.27707006369426751</v>
      </c>
      <c r="AG20" s="2251">
        <v>524</v>
      </c>
      <c r="AH20" s="2252">
        <f t="shared" si="16"/>
        <v>297</v>
      </c>
      <c r="AI20" s="2253">
        <f t="shared" si="22"/>
        <v>0.1031578947368421</v>
      </c>
      <c r="AJ20" s="2254">
        <v>0.30837004405286345</v>
      </c>
      <c r="AK20" s="2251">
        <v>863</v>
      </c>
      <c r="AL20" s="2252">
        <f t="shared" si="17"/>
        <v>339</v>
      </c>
      <c r="AM20" s="2253">
        <f t="shared" si="1"/>
        <v>0.81684210526315792</v>
      </c>
      <c r="AN20" s="2254">
        <v>0.14141414141414141</v>
      </c>
      <c r="AO20" s="2251">
        <f>_xlfn.XLOOKUP($C20,'Last M. Sales'!$C$3:$C$82,'Last M. Sales'!$I$3:$I$82,"")</f>
        <v>1246</v>
      </c>
      <c r="AP20" s="2252">
        <f t="shared" si="18"/>
        <v>383</v>
      </c>
      <c r="AQ20" s="2253">
        <f t="shared" si="2"/>
        <v>0.94383775351014043</v>
      </c>
      <c r="AR20" s="2254">
        <f t="shared" si="3"/>
        <v>0.12979351032448377</v>
      </c>
      <c r="AS20" s="2255">
        <f t="shared" si="19"/>
        <v>1.8890200708382526E-2</v>
      </c>
      <c r="AT20" s="2256">
        <f t="shared" si="4"/>
        <v>26</v>
      </c>
      <c r="AU20" s="2289"/>
      <c r="AV20" s="2289"/>
      <c r="AW20" s="2255">
        <f t="shared" si="20"/>
        <v>0.22475961538461539</v>
      </c>
      <c r="AX20" s="2256">
        <f t="shared" si="23"/>
        <v>26</v>
      </c>
    </row>
    <row r="21" spans="1:50" ht="25">
      <c r="A21" s="100">
        <f>_xlfn.XLOOKUP($C21,Cement!$Q$7:$Q$35,Cement!$A$7:$A$35,"")</f>
        <v>0.28480263281042628</v>
      </c>
      <c r="B21" s="2250" t="s">
        <v>44</v>
      </c>
      <c r="C21" s="2250" t="s">
        <v>45</v>
      </c>
      <c r="D21" s="2277">
        <f>_xlfn.XLOOKUP(C21,'Sales Rec'!$E$4:$E$86,'Sales Rec'!$F$4:$F$86,"")</f>
        <v>12</v>
      </c>
      <c r="E21" s="2251">
        <v>115</v>
      </c>
      <c r="F21" s="2252">
        <v>115</v>
      </c>
      <c r="G21" s="2251">
        <v>287</v>
      </c>
      <c r="H21" s="2252">
        <f t="shared" si="5"/>
        <v>172</v>
      </c>
      <c r="I21" s="2251">
        <v>552</v>
      </c>
      <c r="J21" s="2252">
        <f t="shared" si="6"/>
        <v>265</v>
      </c>
      <c r="K21" s="2251">
        <v>763</v>
      </c>
      <c r="L21" s="2252">
        <f t="shared" si="7"/>
        <v>211</v>
      </c>
      <c r="M21" s="2251">
        <v>964</v>
      </c>
      <c r="N21" s="2252">
        <f t="shared" si="8"/>
        <v>201</v>
      </c>
      <c r="O21" s="2251">
        <v>1142</v>
      </c>
      <c r="P21" s="2252">
        <f t="shared" si="9"/>
        <v>178</v>
      </c>
      <c r="Q21" s="2251">
        <v>1342</v>
      </c>
      <c r="R21" s="2252">
        <f t="shared" si="21"/>
        <v>200</v>
      </c>
      <c r="S21" s="2251">
        <v>1561</v>
      </c>
      <c r="T21" s="2252">
        <f t="shared" si="10"/>
        <v>219</v>
      </c>
      <c r="U21" s="2251">
        <v>1758</v>
      </c>
      <c r="V21" s="2252">
        <f t="shared" si="11"/>
        <v>197</v>
      </c>
      <c r="W21" s="2251">
        <v>1961</v>
      </c>
      <c r="X21" s="2252">
        <f t="shared" si="12"/>
        <v>203</v>
      </c>
      <c r="Y21" s="2251">
        <v>2133</v>
      </c>
      <c r="Z21" s="2252">
        <f t="shared" si="13"/>
        <v>172</v>
      </c>
      <c r="AA21" s="2251">
        <v>2306</v>
      </c>
      <c r="AB21" s="2252">
        <f t="shared" si="14"/>
        <v>173</v>
      </c>
      <c r="AC21" s="2251">
        <f>_xlfn.XLOOKUP($C21,'Sales Rec'!$E$4:$E$86,'Sales Rec'!$CH$4:$CH$86,"")</f>
        <v>191</v>
      </c>
      <c r="AD21" s="2252">
        <f t="shared" si="15"/>
        <v>191</v>
      </c>
      <c r="AE21" s="2253">
        <f t="shared" si="0"/>
        <v>0.66086956521739126</v>
      </c>
      <c r="AF21" s="2254">
        <v>0.10404624277456648</v>
      </c>
      <c r="AG21" s="2251">
        <v>506</v>
      </c>
      <c r="AH21" s="2252">
        <f t="shared" si="16"/>
        <v>315</v>
      </c>
      <c r="AI21" s="2253">
        <f t="shared" si="22"/>
        <v>-8.3333333333333329E-2</v>
      </c>
      <c r="AJ21" s="2254">
        <v>0.64921465968586389</v>
      </c>
      <c r="AK21" s="2251">
        <v>830</v>
      </c>
      <c r="AL21" s="2252">
        <f t="shared" si="17"/>
        <v>324</v>
      </c>
      <c r="AM21" s="2253">
        <f t="shared" si="1"/>
        <v>0.50362318840579712</v>
      </c>
      <c r="AN21" s="2254">
        <v>2.8571428571428571E-2</v>
      </c>
      <c r="AO21" s="2251">
        <f>_xlfn.XLOOKUP($C21,'Last M. Sales'!$C$3:$C$82,'Last M. Sales'!$I$3:$I$82,"")</f>
        <v>1160</v>
      </c>
      <c r="AP21" s="2252">
        <f t="shared" si="18"/>
        <v>330</v>
      </c>
      <c r="AQ21" s="2253">
        <f t="shared" si="2"/>
        <v>0.52031454783748365</v>
      </c>
      <c r="AR21" s="2254">
        <f t="shared" si="3"/>
        <v>1.8518518518518517E-2</v>
      </c>
      <c r="AS21" s="2255">
        <f t="shared" si="19"/>
        <v>0.51459854014598538</v>
      </c>
      <c r="AT21" s="2256">
        <f t="shared" si="4"/>
        <v>10</v>
      </c>
      <c r="AU21" s="2289"/>
      <c r="AV21" s="2289"/>
      <c r="AW21" s="2255">
        <f t="shared" si="20"/>
        <v>0.80783582089552242</v>
      </c>
      <c r="AX21" s="2256">
        <f t="shared" si="23"/>
        <v>5</v>
      </c>
    </row>
    <row r="22" spans="1:50" ht="25">
      <c r="A22" s="100">
        <f>_xlfn.XLOOKUP($C22,Cement!$Q$7:$Q$35,Cement!$A$7:$A$35,"")</f>
        <v>-5.1465409578434347</v>
      </c>
      <c r="B22" s="2250" t="s">
        <v>50</v>
      </c>
      <c r="C22" s="2250" t="s">
        <v>51</v>
      </c>
      <c r="D22" s="2277">
        <f>_xlfn.XLOOKUP(C22,'Sales Rec'!$E$4:$E$86,'Sales Rec'!$F$4:$F$86,"")</f>
        <v>9</v>
      </c>
      <c r="E22" s="2251">
        <v>454</v>
      </c>
      <c r="F22" s="2252">
        <v>454</v>
      </c>
      <c r="G22" s="2251">
        <v>597</v>
      </c>
      <c r="H22" s="2252">
        <f t="shared" si="5"/>
        <v>143</v>
      </c>
      <c r="I22" s="2251">
        <v>746</v>
      </c>
      <c r="J22" s="2252">
        <f t="shared" si="6"/>
        <v>149</v>
      </c>
      <c r="K22" s="2251">
        <v>883</v>
      </c>
      <c r="L22" s="2252">
        <f t="shared" si="7"/>
        <v>137</v>
      </c>
      <c r="M22" s="2251">
        <v>1035</v>
      </c>
      <c r="N22" s="2252">
        <f t="shared" si="8"/>
        <v>152</v>
      </c>
      <c r="O22" s="2251">
        <v>1164</v>
      </c>
      <c r="P22" s="2252">
        <f t="shared" si="9"/>
        <v>129</v>
      </c>
      <c r="Q22" s="2251">
        <v>1331</v>
      </c>
      <c r="R22" s="2252">
        <f t="shared" si="21"/>
        <v>167</v>
      </c>
      <c r="S22" s="2251">
        <v>1523</v>
      </c>
      <c r="T22" s="2252">
        <f t="shared" si="10"/>
        <v>192</v>
      </c>
      <c r="U22" s="2251">
        <v>1727</v>
      </c>
      <c r="V22" s="2252">
        <f t="shared" si="11"/>
        <v>204</v>
      </c>
      <c r="W22" s="2251">
        <v>169</v>
      </c>
      <c r="X22" s="2252">
        <f t="shared" si="12"/>
        <v>169</v>
      </c>
      <c r="Y22" s="2251">
        <v>348</v>
      </c>
      <c r="Z22" s="2252">
        <f t="shared" si="13"/>
        <v>179</v>
      </c>
      <c r="AA22" s="2251">
        <v>503</v>
      </c>
      <c r="AB22" s="2252">
        <f t="shared" si="14"/>
        <v>155</v>
      </c>
      <c r="AC22" s="2251">
        <f>_xlfn.XLOOKUP($C22,'Sales Rec'!$E$4:$E$86,'Sales Rec'!$CH$4:$CH$86,"")</f>
        <v>620</v>
      </c>
      <c r="AD22" s="2252">
        <f t="shared" si="15"/>
        <v>117</v>
      </c>
      <c r="AE22" s="2253">
        <f t="shared" si="0"/>
        <v>0.3656387665198238</v>
      </c>
      <c r="AF22" s="2254">
        <v>-0.24516129032258063</v>
      </c>
      <c r="AG22" s="2251">
        <v>914</v>
      </c>
      <c r="AH22" s="2252">
        <f t="shared" si="16"/>
        <v>294</v>
      </c>
      <c r="AI22" s="2253">
        <f t="shared" si="22"/>
        <v>0.22520107238605899</v>
      </c>
      <c r="AJ22" s="2254">
        <v>1.5128205128205128</v>
      </c>
      <c r="AK22" s="2251">
        <v>1182</v>
      </c>
      <c r="AL22" s="2252">
        <f t="shared" si="17"/>
        <v>268</v>
      </c>
      <c r="AM22" s="2253">
        <f t="shared" si="1"/>
        <v>0.58445040214477206</v>
      </c>
      <c r="AN22" s="2254">
        <v>-8.8435374149659865E-2</v>
      </c>
      <c r="AO22" s="2251">
        <f>_xlfn.XLOOKUP($C22,'Last M. Sales'!$C$3:$C$82,'Last M. Sales'!$I$3:$I$82,"")</f>
        <v>1400</v>
      </c>
      <c r="AP22" s="2252">
        <f t="shared" si="18"/>
        <v>218</v>
      </c>
      <c r="AQ22" s="2253">
        <f t="shared" si="2"/>
        <v>0.58550396375990943</v>
      </c>
      <c r="AR22" s="2254">
        <f t="shared" si="3"/>
        <v>-0.18656716417910449</v>
      </c>
      <c r="AS22" s="2255">
        <f t="shared" si="19"/>
        <v>0.3499005964214712</v>
      </c>
      <c r="AT22" s="2256">
        <f t="shared" si="4"/>
        <v>18</v>
      </c>
      <c r="AU22" s="2289"/>
      <c r="AV22" s="2289"/>
      <c r="AW22" s="2255">
        <f t="shared" si="20"/>
        <v>0.729490022172949</v>
      </c>
      <c r="AX22" s="2256">
        <f t="shared" si="23"/>
        <v>7</v>
      </c>
    </row>
    <row r="23" spans="1:50" ht="25">
      <c r="A23" s="100">
        <f>_xlfn.XLOOKUP($C23,Cement!$Q$7:$Q$35,Cement!$A$7:$A$35,"")</f>
        <v>-6.5171615294243201</v>
      </c>
      <c r="B23" s="2250" t="s">
        <v>82</v>
      </c>
      <c r="C23" s="2250" t="s">
        <v>83</v>
      </c>
      <c r="D23" s="2277">
        <f>_xlfn.XLOOKUP(C23,'Sales Rec'!$E$4:$E$86,'Sales Rec'!$F$4:$F$86,"")</f>
        <v>6</v>
      </c>
      <c r="E23" s="2251">
        <v>561</v>
      </c>
      <c r="F23" s="2252">
        <v>561</v>
      </c>
      <c r="G23" s="2251">
        <v>683</v>
      </c>
      <c r="H23" s="2252">
        <f t="shared" si="5"/>
        <v>122</v>
      </c>
      <c r="I23" s="2251">
        <v>810</v>
      </c>
      <c r="J23" s="2252">
        <f t="shared" si="6"/>
        <v>127</v>
      </c>
      <c r="K23" s="2251">
        <v>907</v>
      </c>
      <c r="L23" s="2252">
        <f t="shared" si="7"/>
        <v>97</v>
      </c>
      <c r="M23" s="2251">
        <v>1051</v>
      </c>
      <c r="N23" s="2252">
        <f t="shared" si="8"/>
        <v>144</v>
      </c>
      <c r="O23" s="2251">
        <v>1201</v>
      </c>
      <c r="P23" s="2252">
        <f t="shared" si="9"/>
        <v>150</v>
      </c>
      <c r="Q23" s="2251">
        <v>157</v>
      </c>
      <c r="R23" s="2252">
        <f t="shared" si="21"/>
        <v>157</v>
      </c>
      <c r="S23" s="2251">
        <v>295</v>
      </c>
      <c r="T23" s="2252">
        <f t="shared" si="10"/>
        <v>138</v>
      </c>
      <c r="U23" s="2251">
        <v>400</v>
      </c>
      <c r="V23" s="2252">
        <f t="shared" si="11"/>
        <v>105</v>
      </c>
      <c r="W23" s="2251">
        <v>450</v>
      </c>
      <c r="X23" s="2252">
        <f t="shared" si="12"/>
        <v>50</v>
      </c>
      <c r="Y23" s="2251">
        <v>545</v>
      </c>
      <c r="Z23" s="2252">
        <f t="shared" si="13"/>
        <v>95</v>
      </c>
      <c r="AA23" s="2251">
        <v>694</v>
      </c>
      <c r="AB23" s="2252">
        <f t="shared" si="14"/>
        <v>149</v>
      </c>
      <c r="AC23" s="2251">
        <f>_xlfn.XLOOKUP($C23,'Sales Rec'!$E$4:$E$86,'Sales Rec'!$CH$4:$CH$86,"")</f>
        <v>860</v>
      </c>
      <c r="AD23" s="2252">
        <f t="shared" si="15"/>
        <v>166</v>
      </c>
      <c r="AE23" s="2253">
        <f t="shared" si="0"/>
        <v>0.53297682709447414</v>
      </c>
      <c r="AF23" s="2254">
        <v>0.11409395973154363</v>
      </c>
      <c r="AG23" s="2251">
        <v>1123</v>
      </c>
      <c r="AH23" s="2252">
        <f t="shared" si="16"/>
        <v>263</v>
      </c>
      <c r="AI23" s="2253">
        <f t="shared" si="22"/>
        <v>0.38641975308641974</v>
      </c>
      <c r="AJ23" s="2254">
        <v>0.58433734939759041</v>
      </c>
      <c r="AK23" s="2251">
        <v>1315</v>
      </c>
      <c r="AL23" s="2252">
        <f t="shared" si="17"/>
        <v>192</v>
      </c>
      <c r="AM23" s="2253">
        <f t="shared" si="1"/>
        <v>0.62345679012345678</v>
      </c>
      <c r="AN23" s="2254">
        <v>-0.26996197718631176</v>
      </c>
      <c r="AO23" s="2251">
        <f>_xlfn.XLOOKUP($C23,'Last M. Sales'!$C$3:$C$82,'Last M. Sales'!$I$3:$I$82,"")</f>
        <v>1539</v>
      </c>
      <c r="AP23" s="2252">
        <f t="shared" si="18"/>
        <v>224</v>
      </c>
      <c r="AQ23" s="2253">
        <f t="shared" si="2"/>
        <v>0.69680264608599785</v>
      </c>
      <c r="AR23" s="2254">
        <f t="shared" si="3"/>
        <v>0.16666666666666666</v>
      </c>
      <c r="AS23" s="2255">
        <f t="shared" si="19"/>
        <v>1.1122448979591837</v>
      </c>
      <c r="AT23" s="2256">
        <f t="shared" si="4"/>
        <v>3</v>
      </c>
      <c r="AU23" s="2289"/>
      <c r="AV23" s="2289"/>
      <c r="AW23" s="2255">
        <f t="shared" si="20"/>
        <v>0.65609756097560978</v>
      </c>
      <c r="AX23" s="2256">
        <f t="shared" si="23"/>
        <v>11</v>
      </c>
    </row>
    <row r="24" spans="1:50" ht="25">
      <c r="A24" s="100">
        <f>_xlfn.XLOOKUP($C24,Cement!$Q$7:$Q$35,Cement!$A$7:$A$35,"")</f>
        <v>-0.73633515948652661</v>
      </c>
      <c r="B24" s="2250" t="s">
        <v>72</v>
      </c>
      <c r="C24" s="2250" t="s">
        <v>73</v>
      </c>
      <c r="D24" s="2277">
        <f>_xlfn.XLOOKUP(C24,'Sales Rec'!$E$4:$E$86,'Sales Rec'!$F$4:$F$86,"")</f>
        <v>12</v>
      </c>
      <c r="E24" s="2251">
        <v>126</v>
      </c>
      <c r="F24" s="2252">
        <v>126</v>
      </c>
      <c r="G24" s="2251">
        <v>328</v>
      </c>
      <c r="H24" s="2252">
        <f t="shared" si="5"/>
        <v>202</v>
      </c>
      <c r="I24" s="2251">
        <v>511</v>
      </c>
      <c r="J24" s="2252">
        <f t="shared" si="6"/>
        <v>183</v>
      </c>
      <c r="K24" s="2251">
        <v>686</v>
      </c>
      <c r="L24" s="2252">
        <f t="shared" si="7"/>
        <v>175</v>
      </c>
      <c r="M24" s="2251">
        <v>830</v>
      </c>
      <c r="N24" s="2252">
        <f t="shared" si="8"/>
        <v>144</v>
      </c>
      <c r="O24" s="2251">
        <v>1001</v>
      </c>
      <c r="P24" s="2252">
        <f t="shared" si="9"/>
        <v>171</v>
      </c>
      <c r="Q24" s="2251">
        <v>1181</v>
      </c>
      <c r="R24" s="2252">
        <f t="shared" si="21"/>
        <v>180</v>
      </c>
      <c r="S24" s="2251">
        <v>1359</v>
      </c>
      <c r="T24" s="2252">
        <f t="shared" si="10"/>
        <v>178</v>
      </c>
      <c r="U24" s="2251">
        <v>1513</v>
      </c>
      <c r="V24" s="2252">
        <f t="shared" si="11"/>
        <v>154</v>
      </c>
      <c r="W24" s="2251">
        <v>1644</v>
      </c>
      <c r="X24" s="2252">
        <f t="shared" si="12"/>
        <v>131</v>
      </c>
      <c r="Y24" s="2251">
        <v>1794</v>
      </c>
      <c r="Z24" s="2252">
        <f t="shared" si="13"/>
        <v>150</v>
      </c>
      <c r="AA24" s="2251">
        <v>1957</v>
      </c>
      <c r="AB24" s="2252">
        <f t="shared" si="14"/>
        <v>163</v>
      </c>
      <c r="AC24" s="2251">
        <f>_xlfn.XLOOKUP($C24,'Sales Rec'!$E$4:$E$86,'Sales Rec'!$CH$4:$CH$86,"")</f>
        <v>140</v>
      </c>
      <c r="AD24" s="2252">
        <f t="shared" si="15"/>
        <v>140</v>
      </c>
      <c r="AE24" s="2253">
        <f t="shared" si="0"/>
        <v>0.1111111111111111</v>
      </c>
      <c r="AF24" s="2254">
        <v>-0.1411042944785276</v>
      </c>
      <c r="AG24" s="2251">
        <v>378</v>
      </c>
      <c r="AH24" s="2252">
        <f t="shared" si="16"/>
        <v>238</v>
      </c>
      <c r="AI24" s="2253">
        <f t="shared" si="22"/>
        <v>-0.26027397260273971</v>
      </c>
      <c r="AJ24" s="2254">
        <v>0.7</v>
      </c>
      <c r="AK24" s="2251">
        <v>608</v>
      </c>
      <c r="AL24" s="2252">
        <f t="shared" si="17"/>
        <v>230</v>
      </c>
      <c r="AM24" s="2253">
        <f t="shared" si="1"/>
        <v>0.18982387475538159</v>
      </c>
      <c r="AN24" s="2254">
        <v>-3.3613445378151259E-2</v>
      </c>
      <c r="AO24" s="2251">
        <f>_xlfn.XLOOKUP($C24,'Last M. Sales'!$C$3:$C$82,'Last M. Sales'!$I$3:$I$82,"")</f>
        <v>832</v>
      </c>
      <c r="AP24" s="2252">
        <f t="shared" si="18"/>
        <v>224</v>
      </c>
      <c r="AQ24" s="2253">
        <f t="shared" si="2"/>
        <v>0.21282798833819241</v>
      </c>
      <c r="AR24" s="2254">
        <f t="shared" si="3"/>
        <v>-2.6086956521739129E-2</v>
      </c>
      <c r="AS24" s="2255">
        <f t="shared" si="19"/>
        <v>0.36936936936936937</v>
      </c>
      <c r="AT24" s="2256">
        <f t="shared" si="4"/>
        <v>16</v>
      </c>
      <c r="AU24" s="2289"/>
      <c r="AV24" s="2289"/>
      <c r="AW24" s="2255">
        <f t="shared" si="20"/>
        <v>0.52759381898454749</v>
      </c>
      <c r="AX24" s="2256">
        <f t="shared" si="23"/>
        <v>17</v>
      </c>
    </row>
    <row r="25" spans="1:50" ht="25">
      <c r="A25" s="100">
        <f>_xlfn.XLOOKUP($C25,Cement!$Q$7:$Q$35,Cement!$A$7:$A$35,"")</f>
        <v>-0.3801749626398081</v>
      </c>
      <c r="B25" s="2250" t="s">
        <v>68</v>
      </c>
      <c r="C25" s="2250" t="s">
        <v>69</v>
      </c>
      <c r="D25" s="2277">
        <f>_xlfn.XLOOKUP(C25,'Sales Rec'!$E$4:$E$86,'Sales Rec'!$F$4:$F$86,"")</f>
        <v>12</v>
      </c>
      <c r="E25" s="2251">
        <v>388</v>
      </c>
      <c r="F25" s="2252">
        <v>388</v>
      </c>
      <c r="G25" s="2251">
        <v>885</v>
      </c>
      <c r="H25" s="2252">
        <f t="shared" si="5"/>
        <v>497</v>
      </c>
      <c r="I25" s="2251">
        <v>1574</v>
      </c>
      <c r="J25" s="2252">
        <f t="shared" si="6"/>
        <v>689</v>
      </c>
      <c r="K25" s="2251">
        <v>2104</v>
      </c>
      <c r="L25" s="2252">
        <f t="shared" si="7"/>
        <v>530</v>
      </c>
      <c r="M25" s="2251">
        <v>2597</v>
      </c>
      <c r="N25" s="2252">
        <f t="shared" si="8"/>
        <v>493</v>
      </c>
      <c r="O25" s="2251">
        <v>3086</v>
      </c>
      <c r="P25" s="2252">
        <f t="shared" si="9"/>
        <v>489</v>
      </c>
      <c r="Q25" s="2251">
        <v>3621</v>
      </c>
      <c r="R25" s="2252">
        <f t="shared" si="21"/>
        <v>535</v>
      </c>
      <c r="S25" s="2251">
        <v>4133</v>
      </c>
      <c r="T25" s="2252">
        <f t="shared" si="10"/>
        <v>512</v>
      </c>
      <c r="U25" s="2251">
        <v>4609</v>
      </c>
      <c r="V25" s="2252">
        <f t="shared" si="11"/>
        <v>476</v>
      </c>
      <c r="W25" s="2251">
        <v>5066</v>
      </c>
      <c r="X25" s="2252">
        <f t="shared" si="12"/>
        <v>457</v>
      </c>
      <c r="Y25" s="2251">
        <v>5554</v>
      </c>
      <c r="Z25" s="2252">
        <f t="shared" si="13"/>
        <v>488</v>
      </c>
      <c r="AA25" s="2251">
        <v>6056</v>
      </c>
      <c r="AB25" s="2252">
        <f t="shared" si="14"/>
        <v>502</v>
      </c>
      <c r="AC25" s="2251">
        <f>_xlfn.XLOOKUP($C25,'Sales Rec'!$E$4:$E$86,'Sales Rec'!$CH$4:$CH$86,"")</f>
        <v>402</v>
      </c>
      <c r="AD25" s="2252">
        <f t="shared" si="15"/>
        <v>402</v>
      </c>
      <c r="AE25" s="2253">
        <f t="shared" si="0"/>
        <v>3.608247422680412E-2</v>
      </c>
      <c r="AF25" s="2254">
        <v>-0.19920318725099601</v>
      </c>
      <c r="AG25" s="2251">
        <v>1409</v>
      </c>
      <c r="AH25" s="2252">
        <f t="shared" si="16"/>
        <v>1007</v>
      </c>
      <c r="AI25" s="2253">
        <f t="shared" si="22"/>
        <v>-0.1048284625158831</v>
      </c>
      <c r="AJ25" s="2254">
        <v>1.5049751243781095</v>
      </c>
      <c r="AK25" s="2251">
        <v>2250</v>
      </c>
      <c r="AL25" s="2252">
        <f t="shared" si="17"/>
        <v>841</v>
      </c>
      <c r="AM25" s="2253">
        <f t="shared" si="1"/>
        <v>0.42947903430749684</v>
      </c>
      <c r="AN25" s="2254">
        <v>-0.16484607745779542</v>
      </c>
      <c r="AO25" s="2251">
        <f>_xlfn.XLOOKUP($C25,'Last M. Sales'!$C$3:$C$82,'Last M. Sales'!$I$3:$I$82,"")</f>
        <v>3063</v>
      </c>
      <c r="AP25" s="2252">
        <f t="shared" si="18"/>
        <v>813</v>
      </c>
      <c r="AQ25" s="2253">
        <f t="shared" si="2"/>
        <v>0.45579847908745247</v>
      </c>
      <c r="AR25" s="2254">
        <f t="shared" si="3"/>
        <v>-3.3293697978596909E-2</v>
      </c>
      <c r="AS25" s="2255">
        <f t="shared" si="19"/>
        <v>0.55494125777470626</v>
      </c>
      <c r="AT25" s="2256">
        <f t="shared" si="4"/>
        <v>8</v>
      </c>
      <c r="AU25" s="2289"/>
      <c r="AV25" s="2289"/>
      <c r="AW25" s="2255">
        <f t="shared" si="20"/>
        <v>0.91163793103448276</v>
      </c>
      <c r="AX25" s="2256">
        <f t="shared" si="23"/>
        <v>3</v>
      </c>
    </row>
    <row r="26" spans="1:50" ht="25">
      <c r="A26" s="100">
        <f>_xlfn.XLOOKUP($C26,Cement!$Q$7:$Q$35,Cement!$A$7:$A$35,"")</f>
        <v>-2.4994308049222735</v>
      </c>
      <c r="B26" s="2250" t="s">
        <v>58</v>
      </c>
      <c r="C26" s="2250" t="s">
        <v>59</v>
      </c>
      <c r="D26" s="2277">
        <f>_xlfn.XLOOKUP(C26,'Sales Rec'!$E$4:$E$86,'Sales Rec'!$F$4:$F$86,"")</f>
        <v>9</v>
      </c>
      <c r="E26" s="2251">
        <v>1232</v>
      </c>
      <c r="F26" s="2252">
        <v>1232</v>
      </c>
      <c r="G26" s="2251">
        <v>1577</v>
      </c>
      <c r="H26" s="2252">
        <f t="shared" si="5"/>
        <v>345</v>
      </c>
      <c r="I26" s="2251">
        <v>1907</v>
      </c>
      <c r="J26" s="2252">
        <f t="shared" si="6"/>
        <v>330</v>
      </c>
      <c r="K26" s="2251">
        <v>2151</v>
      </c>
      <c r="L26" s="2252">
        <f t="shared" si="7"/>
        <v>244</v>
      </c>
      <c r="M26" s="2251">
        <v>2412</v>
      </c>
      <c r="N26" s="2252">
        <f t="shared" si="8"/>
        <v>261</v>
      </c>
      <c r="O26" s="2251">
        <v>2729</v>
      </c>
      <c r="P26" s="2252">
        <f t="shared" si="9"/>
        <v>317</v>
      </c>
      <c r="Q26" s="2251">
        <v>3081</v>
      </c>
      <c r="R26" s="2252">
        <f t="shared" si="21"/>
        <v>352</v>
      </c>
      <c r="S26" s="2251">
        <v>3566</v>
      </c>
      <c r="T26" s="2252">
        <f t="shared" si="10"/>
        <v>485</v>
      </c>
      <c r="U26" s="2251">
        <v>3939</v>
      </c>
      <c r="V26" s="2252">
        <f t="shared" si="11"/>
        <v>373</v>
      </c>
      <c r="W26" s="2251">
        <v>617</v>
      </c>
      <c r="X26" s="2252">
        <f t="shared" si="12"/>
        <v>617</v>
      </c>
      <c r="Y26" s="2251">
        <v>1312</v>
      </c>
      <c r="Z26" s="2252">
        <f t="shared" si="13"/>
        <v>695</v>
      </c>
      <c r="AA26" s="2251">
        <v>1555</v>
      </c>
      <c r="AB26" s="2252">
        <f t="shared" si="14"/>
        <v>243</v>
      </c>
      <c r="AC26" s="2251">
        <f>_xlfn.XLOOKUP($C26,'Sales Rec'!$E$4:$E$86,'Sales Rec'!$CH$4:$CH$86,"")</f>
        <v>1844</v>
      </c>
      <c r="AD26" s="2252">
        <f t="shared" si="15"/>
        <v>289</v>
      </c>
      <c r="AE26" s="2253">
        <f t="shared" si="0"/>
        <v>0.49675324675324678</v>
      </c>
      <c r="AF26" s="2254">
        <v>0.18930041152263374</v>
      </c>
      <c r="AG26" s="2251">
        <v>2289</v>
      </c>
      <c r="AH26" s="2252">
        <f t="shared" si="16"/>
        <v>445</v>
      </c>
      <c r="AI26" s="2253">
        <f t="shared" si="22"/>
        <v>0.20031463030938648</v>
      </c>
      <c r="AJ26" s="2254">
        <v>0.53979238754325265</v>
      </c>
      <c r="AK26" s="2251">
        <v>2683</v>
      </c>
      <c r="AL26" s="2252">
        <f t="shared" si="17"/>
        <v>394</v>
      </c>
      <c r="AM26" s="2253">
        <f t="shared" si="1"/>
        <v>0.40692186680650239</v>
      </c>
      <c r="AN26" s="2254">
        <v>-0.1146067415730337</v>
      </c>
      <c r="AO26" s="2251">
        <f>_xlfn.XLOOKUP($C26,'Last M. Sales'!$C$3:$C$82,'Last M. Sales'!$I$3:$I$82,"")</f>
        <v>3086</v>
      </c>
      <c r="AP26" s="2252">
        <f t="shared" si="18"/>
        <v>403</v>
      </c>
      <c r="AQ26" s="2253">
        <f t="shared" si="2"/>
        <v>0.43468154346815435</v>
      </c>
      <c r="AR26" s="2254">
        <f t="shared" si="3"/>
        <v>2.2842639593908629E-2</v>
      </c>
      <c r="AS26" s="2255">
        <f t="shared" si="19"/>
        <v>-0.27459807073954984</v>
      </c>
      <c r="AT26" s="2256">
        <f t="shared" si="4"/>
        <v>28</v>
      </c>
      <c r="AU26" s="2289"/>
      <c r="AV26" s="2289"/>
      <c r="AW26" s="2255">
        <f t="shared" si="20"/>
        <v>1.2224938875305624E-2</v>
      </c>
      <c r="AX26" s="2256">
        <f t="shared" si="23"/>
        <v>28</v>
      </c>
    </row>
    <row r="27" spans="1:50" ht="25">
      <c r="A27" s="100">
        <f>_xlfn.XLOOKUP($C27,Cement!$Q$7:$Q$35,Cement!$A$7:$A$35,"")</f>
        <v>-24.973469046703357</v>
      </c>
      <c r="B27" s="2250" t="s">
        <v>74</v>
      </c>
      <c r="C27" s="2250" t="s">
        <v>75</v>
      </c>
      <c r="D27" s="2277">
        <f>_xlfn.XLOOKUP(C27,'Sales Rec'!$E$4:$E$86,'Sales Rec'!$F$4:$F$86,"")</f>
        <v>12</v>
      </c>
      <c r="E27" s="2251">
        <v>324</v>
      </c>
      <c r="F27" s="2252">
        <v>324</v>
      </c>
      <c r="G27" s="2251">
        <v>927</v>
      </c>
      <c r="H27" s="2252">
        <f t="shared" si="5"/>
        <v>603</v>
      </c>
      <c r="I27" s="2251">
        <v>1596</v>
      </c>
      <c r="J27" s="2252">
        <f t="shared" si="6"/>
        <v>669</v>
      </c>
      <c r="K27" s="2251">
        <v>2063</v>
      </c>
      <c r="L27" s="2252">
        <f t="shared" si="7"/>
        <v>467</v>
      </c>
      <c r="M27" s="2251">
        <v>2500</v>
      </c>
      <c r="N27" s="2252">
        <f t="shared" si="8"/>
        <v>437</v>
      </c>
      <c r="O27" s="2251">
        <v>2969</v>
      </c>
      <c r="P27" s="2252">
        <f t="shared" si="9"/>
        <v>469</v>
      </c>
      <c r="Q27" s="2251">
        <v>3516</v>
      </c>
      <c r="R27" s="2252">
        <f t="shared" si="21"/>
        <v>547</v>
      </c>
      <c r="S27" s="2251">
        <v>4089</v>
      </c>
      <c r="T27" s="2252">
        <f t="shared" si="10"/>
        <v>573</v>
      </c>
      <c r="U27" s="2251">
        <v>4660</v>
      </c>
      <c r="V27" s="2252">
        <f t="shared" si="11"/>
        <v>571</v>
      </c>
      <c r="W27" s="2251">
        <v>5211</v>
      </c>
      <c r="X27" s="2252">
        <f t="shared" si="12"/>
        <v>551</v>
      </c>
      <c r="Y27" s="2251">
        <v>5803</v>
      </c>
      <c r="Z27" s="2252">
        <f t="shared" si="13"/>
        <v>592</v>
      </c>
      <c r="AA27" s="2251">
        <v>6294</v>
      </c>
      <c r="AB27" s="2252">
        <f t="shared" si="14"/>
        <v>491</v>
      </c>
      <c r="AC27" s="2251">
        <f>_xlfn.XLOOKUP($C27,'Sales Rec'!$E$4:$E$86,'Sales Rec'!$CH$4:$CH$86,"")</f>
        <v>404</v>
      </c>
      <c r="AD27" s="2252">
        <f t="shared" si="15"/>
        <v>404</v>
      </c>
      <c r="AE27" s="2253">
        <f t="shared" si="0"/>
        <v>0.24691358024691357</v>
      </c>
      <c r="AF27" s="2254">
        <v>-0.17718940936863545</v>
      </c>
      <c r="AG27" s="2251">
        <v>1342</v>
      </c>
      <c r="AH27" s="2252">
        <f t="shared" si="16"/>
        <v>938</v>
      </c>
      <c r="AI27" s="2253">
        <f t="shared" si="22"/>
        <v>-0.15914786967418545</v>
      </c>
      <c r="AJ27" s="2254">
        <v>1.3217821782178218</v>
      </c>
      <c r="AK27" s="2251">
        <v>2330</v>
      </c>
      <c r="AL27" s="2252">
        <f t="shared" si="17"/>
        <v>988</v>
      </c>
      <c r="AM27" s="2253">
        <f t="shared" si="1"/>
        <v>0.45989974937343359</v>
      </c>
      <c r="AN27" s="2254">
        <v>5.3304904051172705E-2</v>
      </c>
      <c r="AO27" s="2251">
        <f>_xlfn.XLOOKUP($C27,'Last M. Sales'!$C$3:$C$82,'Last M. Sales'!$I$3:$I$82,"")</f>
        <v>3197</v>
      </c>
      <c r="AP27" s="2252">
        <f t="shared" si="18"/>
        <v>867</v>
      </c>
      <c r="AQ27" s="2253">
        <f t="shared" si="2"/>
        <v>0.54968492486669895</v>
      </c>
      <c r="AR27" s="2254">
        <f t="shared" si="3"/>
        <v>-0.12246963562753037</v>
      </c>
      <c r="AS27" s="2255">
        <f t="shared" si="19"/>
        <v>0.42594859241126071</v>
      </c>
      <c r="AT27" s="2256">
        <f t="shared" si="4"/>
        <v>12</v>
      </c>
      <c r="AU27" s="2289"/>
      <c r="AV27" s="2289"/>
      <c r="AW27" s="2255">
        <f t="shared" si="20"/>
        <v>0.87827841291190312</v>
      </c>
      <c r="AX27" s="2256">
        <f t="shared" si="23"/>
        <v>4</v>
      </c>
    </row>
    <row r="28" spans="1:50" ht="25">
      <c r="A28" s="100">
        <f>_xlfn.XLOOKUP($C28,Cement!$Q$7:$Q$35,Cement!$A$7:$A$35,"")</f>
        <v>4.272015472959688</v>
      </c>
      <c r="B28" s="2250" t="s">
        <v>48</v>
      </c>
      <c r="C28" s="2250" t="s">
        <v>49</v>
      </c>
      <c r="D28" s="2277">
        <f>_xlfn.XLOOKUP(C28,'Sales Rec'!$E$4:$E$86,'Sales Rec'!$F$4:$F$86,"")</f>
        <v>12</v>
      </c>
      <c r="E28" s="2251">
        <v>108</v>
      </c>
      <c r="F28" s="2252">
        <v>108</v>
      </c>
      <c r="G28" s="2251">
        <v>314</v>
      </c>
      <c r="H28" s="2252">
        <f t="shared" si="5"/>
        <v>206</v>
      </c>
      <c r="I28" s="2251">
        <v>477</v>
      </c>
      <c r="J28" s="2252">
        <f t="shared" si="6"/>
        <v>163</v>
      </c>
      <c r="K28" s="2251">
        <v>626</v>
      </c>
      <c r="L28" s="2252">
        <f t="shared" si="7"/>
        <v>149</v>
      </c>
      <c r="M28" s="2251">
        <v>765</v>
      </c>
      <c r="N28" s="2252">
        <f t="shared" si="8"/>
        <v>139</v>
      </c>
      <c r="O28" s="2251">
        <v>904</v>
      </c>
      <c r="P28" s="2252">
        <f t="shared" si="9"/>
        <v>139</v>
      </c>
      <c r="Q28" s="2251">
        <v>1079</v>
      </c>
      <c r="R28" s="2252">
        <f t="shared" si="21"/>
        <v>175</v>
      </c>
      <c r="S28" s="2251">
        <v>1245</v>
      </c>
      <c r="T28" s="2252">
        <f t="shared" si="10"/>
        <v>166</v>
      </c>
      <c r="U28" s="2251">
        <v>1405</v>
      </c>
      <c r="V28" s="2252">
        <f t="shared" si="11"/>
        <v>160</v>
      </c>
      <c r="W28" s="2251">
        <v>1566</v>
      </c>
      <c r="X28" s="2252">
        <f t="shared" si="12"/>
        <v>161</v>
      </c>
      <c r="Y28" s="2251">
        <v>1731</v>
      </c>
      <c r="Z28" s="2252">
        <f t="shared" si="13"/>
        <v>165</v>
      </c>
      <c r="AA28" s="2251">
        <v>1894</v>
      </c>
      <c r="AB28" s="2252">
        <f t="shared" si="14"/>
        <v>163</v>
      </c>
      <c r="AC28" s="2251">
        <f>_xlfn.XLOOKUP($C28,'Sales Rec'!$E$4:$E$86,'Sales Rec'!$CH$4:$CH$86,"")</f>
        <v>128</v>
      </c>
      <c r="AD28" s="2252">
        <f t="shared" si="15"/>
        <v>128</v>
      </c>
      <c r="AE28" s="2253">
        <f t="shared" si="0"/>
        <v>0.18518518518518517</v>
      </c>
      <c r="AF28" s="2254">
        <v>-0.21472392638036811</v>
      </c>
      <c r="AG28" s="2251">
        <v>372</v>
      </c>
      <c r="AH28" s="2252">
        <f t="shared" si="16"/>
        <v>244</v>
      </c>
      <c r="AI28" s="2253">
        <f t="shared" si="22"/>
        <v>-0.22012578616352202</v>
      </c>
      <c r="AJ28" s="2254">
        <v>0.90625</v>
      </c>
      <c r="AK28" s="2251">
        <v>643</v>
      </c>
      <c r="AL28" s="2252">
        <f t="shared" si="17"/>
        <v>271</v>
      </c>
      <c r="AM28" s="2253">
        <f t="shared" si="1"/>
        <v>0.34800838574423482</v>
      </c>
      <c r="AN28" s="2254">
        <v>0.11065573770491803</v>
      </c>
      <c r="AO28" s="2251">
        <f>_xlfn.XLOOKUP($C28,'Last M. Sales'!$C$3:$C$82,'Last M. Sales'!$I$3:$I$82,"")</f>
        <v>902</v>
      </c>
      <c r="AP28" s="2252">
        <f t="shared" si="18"/>
        <v>259</v>
      </c>
      <c r="AQ28" s="2253">
        <f t="shared" si="2"/>
        <v>0.44089456869009586</v>
      </c>
      <c r="AR28" s="2254">
        <f t="shared" si="3"/>
        <v>-4.4280442804428041E-2</v>
      </c>
      <c r="AS28" s="2255">
        <f t="shared" si="19"/>
        <v>0.31492842535787319</v>
      </c>
      <c r="AT28" s="2256">
        <f t="shared" si="4"/>
        <v>20</v>
      </c>
      <c r="AU28" s="2289"/>
      <c r="AV28" s="2289"/>
      <c r="AW28" s="2255">
        <f t="shared" si="20"/>
        <v>0.69736842105263153</v>
      </c>
      <c r="AX28" s="2256">
        <f t="shared" si="23"/>
        <v>8</v>
      </c>
    </row>
    <row r="29" spans="1:50" ht="25">
      <c r="A29" s="100">
        <f>_xlfn.XLOOKUP($C29,Cement!$Q$7:$Q$35,Cement!$A$7:$A$35,"")</f>
        <v>-5.0680802798950131</v>
      </c>
      <c r="B29" s="2250" t="s">
        <v>30</v>
      </c>
      <c r="C29" s="2250" t="s">
        <v>31</v>
      </c>
      <c r="D29" s="2277">
        <f>_xlfn.XLOOKUP(C29,'Sales Rec'!$E$4:$E$86,'Sales Rec'!$F$4:$F$86,"")</f>
        <v>6</v>
      </c>
      <c r="E29" s="2251">
        <v>1046</v>
      </c>
      <c r="F29" s="2252">
        <v>1046</v>
      </c>
      <c r="G29" s="2251">
        <v>1225</v>
      </c>
      <c r="H29" s="2252">
        <f t="shared" si="5"/>
        <v>179</v>
      </c>
      <c r="I29" s="2251">
        <v>1533</v>
      </c>
      <c r="J29" s="2252">
        <f t="shared" si="6"/>
        <v>308</v>
      </c>
      <c r="K29" s="2251">
        <v>1779</v>
      </c>
      <c r="L29" s="2252">
        <f t="shared" si="7"/>
        <v>246</v>
      </c>
      <c r="M29" s="2251">
        <v>1952</v>
      </c>
      <c r="N29" s="2252">
        <f t="shared" si="8"/>
        <v>173</v>
      </c>
      <c r="O29" s="2251">
        <v>2170</v>
      </c>
      <c r="P29" s="2252">
        <f t="shared" si="9"/>
        <v>218</v>
      </c>
      <c r="Q29" s="2251">
        <v>313</v>
      </c>
      <c r="R29" s="2252">
        <f t="shared" si="21"/>
        <v>313</v>
      </c>
      <c r="S29" s="2251">
        <v>619</v>
      </c>
      <c r="T29" s="2252">
        <f t="shared" si="10"/>
        <v>306</v>
      </c>
      <c r="U29" s="2251">
        <v>895</v>
      </c>
      <c r="V29" s="2252">
        <f t="shared" si="11"/>
        <v>276</v>
      </c>
      <c r="W29" s="2251">
        <v>1106</v>
      </c>
      <c r="X29" s="2252">
        <f t="shared" si="12"/>
        <v>211</v>
      </c>
      <c r="Y29" s="2251">
        <v>1358</v>
      </c>
      <c r="Z29" s="2252">
        <f t="shared" si="13"/>
        <v>252</v>
      </c>
      <c r="AA29" s="2251">
        <v>1671</v>
      </c>
      <c r="AB29" s="2252">
        <f t="shared" si="14"/>
        <v>313</v>
      </c>
      <c r="AC29" s="2251">
        <f>_xlfn.XLOOKUP($C29,'Sales Rec'!$E$4:$E$86,'Sales Rec'!$CH$4:$CH$86,"")</f>
        <v>1919</v>
      </c>
      <c r="AD29" s="2252">
        <f t="shared" si="15"/>
        <v>248</v>
      </c>
      <c r="AE29" s="2253">
        <f t="shared" si="0"/>
        <v>0.83460803059273425</v>
      </c>
      <c r="AF29" s="2254">
        <v>-0.20766773162939298</v>
      </c>
      <c r="AG29" s="2251">
        <v>2353</v>
      </c>
      <c r="AH29" s="2252">
        <f t="shared" si="16"/>
        <v>434</v>
      </c>
      <c r="AI29" s="2253">
        <f t="shared" si="22"/>
        <v>0.5348988910632746</v>
      </c>
      <c r="AJ29" s="2254">
        <v>0.75</v>
      </c>
      <c r="AK29" s="2251">
        <v>2771</v>
      </c>
      <c r="AL29" s="2252">
        <f t="shared" si="17"/>
        <v>418</v>
      </c>
      <c r="AM29" s="2253">
        <f t="shared" si="1"/>
        <v>0.80756686236138286</v>
      </c>
      <c r="AN29" s="2254">
        <v>-3.6866359447004608E-2</v>
      </c>
      <c r="AO29" s="2251">
        <f>_xlfn.XLOOKUP($C29,'Last M. Sales'!$C$3:$C$82,'Last M. Sales'!$I$3:$I$82,"")</f>
        <v>3164</v>
      </c>
      <c r="AP29" s="2252">
        <f t="shared" si="18"/>
        <v>393</v>
      </c>
      <c r="AQ29" s="2253">
        <f t="shared" si="2"/>
        <v>0.77852726250702642</v>
      </c>
      <c r="AR29" s="2254">
        <f t="shared" si="3"/>
        <v>-5.9808612440191387E-2</v>
      </c>
      <c r="AS29" s="2255">
        <f t="shared" si="19"/>
        <v>0.4175257731958763</v>
      </c>
      <c r="AT29" s="2256">
        <f t="shared" si="4"/>
        <v>13</v>
      </c>
      <c r="AU29" s="2289"/>
      <c r="AV29" s="2289"/>
      <c r="AW29" s="2255">
        <f t="shared" si="20"/>
        <v>0.53136531365313655</v>
      </c>
      <c r="AX29" s="2256">
        <f t="shared" si="23"/>
        <v>16</v>
      </c>
    </row>
    <row r="30" spans="1:50" ht="25">
      <c r="A30" s="100">
        <f>_xlfn.XLOOKUP($C30,Cement!$Q$7:$Q$35,Cement!$A$7:$A$35,"")</f>
        <v>-12.195856599294064</v>
      </c>
      <c r="B30" s="2250" t="s">
        <v>84</v>
      </c>
      <c r="C30" s="2250" t="s">
        <v>85</v>
      </c>
      <c r="D30" s="2277">
        <f>_xlfn.XLOOKUP(C30,'Sales Rec'!$E$4:$E$86,'Sales Rec'!$F$4:$F$86,"")</f>
        <v>9</v>
      </c>
      <c r="E30" s="2251">
        <v>515</v>
      </c>
      <c r="F30" s="2252">
        <v>515</v>
      </c>
      <c r="G30" s="2251">
        <v>750</v>
      </c>
      <c r="H30" s="2252">
        <f t="shared" si="5"/>
        <v>235</v>
      </c>
      <c r="I30" s="2251">
        <v>1002</v>
      </c>
      <c r="J30" s="2252">
        <f t="shared" si="6"/>
        <v>252</v>
      </c>
      <c r="K30" s="2251">
        <v>1265</v>
      </c>
      <c r="L30" s="2252">
        <f t="shared" si="7"/>
        <v>263</v>
      </c>
      <c r="M30" s="2251">
        <v>1551</v>
      </c>
      <c r="N30" s="2252">
        <f t="shared" si="8"/>
        <v>286</v>
      </c>
      <c r="O30" s="2251">
        <v>1868</v>
      </c>
      <c r="P30" s="2252">
        <f t="shared" si="9"/>
        <v>317</v>
      </c>
      <c r="Q30" s="2251">
        <v>2165</v>
      </c>
      <c r="R30" s="2252">
        <f t="shared" si="21"/>
        <v>297</v>
      </c>
      <c r="S30" s="2251">
        <v>2474</v>
      </c>
      <c r="T30" s="2252">
        <f t="shared" si="10"/>
        <v>309</v>
      </c>
      <c r="U30" s="2251">
        <v>2711</v>
      </c>
      <c r="V30" s="2252">
        <f t="shared" si="11"/>
        <v>237</v>
      </c>
      <c r="W30" s="2251">
        <v>122</v>
      </c>
      <c r="X30" s="2252">
        <f t="shared" si="12"/>
        <v>122</v>
      </c>
      <c r="Y30" s="2251">
        <v>279</v>
      </c>
      <c r="Z30" s="2252">
        <f t="shared" si="13"/>
        <v>157</v>
      </c>
      <c r="AA30" s="2251">
        <v>518</v>
      </c>
      <c r="AB30" s="2252">
        <f t="shared" si="14"/>
        <v>239</v>
      </c>
      <c r="AC30" s="2251">
        <f>_xlfn.XLOOKUP($C30,'Sales Rec'!$E$4:$E$86,'Sales Rec'!$CH$4:$CH$86,"")</f>
        <v>796</v>
      </c>
      <c r="AD30" s="2252">
        <f t="shared" si="15"/>
        <v>278</v>
      </c>
      <c r="AE30" s="2253">
        <f t="shared" si="0"/>
        <v>0.54563106796116501</v>
      </c>
      <c r="AF30" s="2254">
        <v>0.16317991631799164</v>
      </c>
      <c r="AG30" s="2251">
        <v>1299</v>
      </c>
      <c r="AH30" s="2252">
        <f t="shared" si="16"/>
        <v>503</v>
      </c>
      <c r="AI30" s="2253">
        <f t="shared" si="22"/>
        <v>0.29640718562874252</v>
      </c>
      <c r="AJ30" s="2254">
        <v>0.80935251798561147</v>
      </c>
      <c r="AK30" s="2251">
        <v>1720</v>
      </c>
      <c r="AL30" s="2252">
        <f t="shared" si="17"/>
        <v>421</v>
      </c>
      <c r="AM30" s="2253">
        <f t="shared" si="1"/>
        <v>0.71656686626746502</v>
      </c>
      <c r="AN30" s="2254">
        <v>-0.16302186878727634</v>
      </c>
      <c r="AO30" s="2251">
        <f>_xlfn.XLOOKUP($C30,'Last M. Sales'!$C$3:$C$82,'Last M. Sales'!$I$3:$I$82,"")</f>
        <v>2129</v>
      </c>
      <c r="AP30" s="2252">
        <f t="shared" si="18"/>
        <v>409</v>
      </c>
      <c r="AQ30" s="2253">
        <f t="shared" si="2"/>
        <v>0.68300395256917001</v>
      </c>
      <c r="AR30" s="2254">
        <f t="shared" si="3"/>
        <v>-2.8503562945368172E-2</v>
      </c>
      <c r="AS30" s="2255">
        <f t="shared" si="19"/>
        <v>1.3204633204633205</v>
      </c>
      <c r="AT30" s="2256">
        <f t="shared" si="4"/>
        <v>2</v>
      </c>
      <c r="AU30" s="2289"/>
      <c r="AV30" s="2289"/>
      <c r="AW30" s="2255">
        <f t="shared" si="20"/>
        <v>0.97774480712166167</v>
      </c>
      <c r="AX30" s="2256">
        <f t="shared" si="23"/>
        <v>1</v>
      </c>
    </row>
    <row r="31" spans="1:50" ht="25">
      <c r="A31" s="100">
        <f>_xlfn.XLOOKUP($C31,Cement!$Q$7:$Q$35,Cement!$A$7:$A$35,"")</f>
        <v>-20.805999036870038</v>
      </c>
      <c r="B31" s="2250" t="s">
        <v>36</v>
      </c>
      <c r="C31" s="2250" t="s">
        <v>37</v>
      </c>
      <c r="D31" s="2277">
        <f>_xlfn.XLOOKUP(C31,'Sales Rec'!$E$4:$E$86,'Sales Rec'!$F$4:$F$86,"")</f>
        <v>6</v>
      </c>
      <c r="E31" s="2251">
        <v>1864</v>
      </c>
      <c r="F31" s="2252">
        <v>1864</v>
      </c>
      <c r="G31" s="2251">
        <v>2254</v>
      </c>
      <c r="H31" s="2252">
        <f t="shared" si="5"/>
        <v>390</v>
      </c>
      <c r="I31" s="2251">
        <v>2546</v>
      </c>
      <c r="J31" s="2252">
        <f t="shared" si="6"/>
        <v>292</v>
      </c>
      <c r="K31" s="2251">
        <v>2814</v>
      </c>
      <c r="L31" s="2252">
        <f t="shared" si="7"/>
        <v>268</v>
      </c>
      <c r="M31" s="2251">
        <v>3217</v>
      </c>
      <c r="N31" s="2252">
        <f t="shared" si="8"/>
        <v>403</v>
      </c>
      <c r="O31" s="2251">
        <v>3658</v>
      </c>
      <c r="P31" s="2252">
        <f t="shared" si="9"/>
        <v>441</v>
      </c>
      <c r="Q31" s="2251">
        <v>388</v>
      </c>
      <c r="R31" s="2252">
        <f t="shared" si="21"/>
        <v>388</v>
      </c>
      <c r="S31" s="2251">
        <v>630</v>
      </c>
      <c r="T31" s="2252">
        <f t="shared" si="10"/>
        <v>242</v>
      </c>
      <c r="U31" s="2251">
        <v>846</v>
      </c>
      <c r="V31" s="2252">
        <f t="shared" si="11"/>
        <v>216</v>
      </c>
      <c r="W31" s="2251">
        <v>1135</v>
      </c>
      <c r="X31" s="2252">
        <f t="shared" si="12"/>
        <v>289</v>
      </c>
      <c r="Y31" s="2251">
        <v>1556</v>
      </c>
      <c r="Z31" s="2252">
        <f t="shared" si="13"/>
        <v>421</v>
      </c>
      <c r="AA31" s="2251">
        <v>1900</v>
      </c>
      <c r="AB31" s="2252">
        <f t="shared" si="14"/>
        <v>344</v>
      </c>
      <c r="AC31" s="2251">
        <f>_xlfn.XLOOKUP($C31,'Sales Rec'!$E$4:$E$86,'Sales Rec'!$CH$4:$CH$86,"")</f>
        <v>2212</v>
      </c>
      <c r="AD31" s="2252">
        <f t="shared" si="15"/>
        <v>312</v>
      </c>
      <c r="AE31" s="2253">
        <f t="shared" si="0"/>
        <v>0.18669527896995708</v>
      </c>
      <c r="AF31" s="2254">
        <v>-9.3023255813953487E-2</v>
      </c>
      <c r="AG31" s="2251">
        <v>2779</v>
      </c>
      <c r="AH31" s="2252">
        <f t="shared" si="16"/>
        <v>567</v>
      </c>
      <c r="AI31" s="2253">
        <f t="shared" si="22"/>
        <v>9.1516103692065989E-2</v>
      </c>
      <c r="AJ31" s="2254">
        <v>0.81730769230769229</v>
      </c>
      <c r="AK31" s="2251">
        <v>3301</v>
      </c>
      <c r="AL31" s="2252">
        <f t="shared" si="17"/>
        <v>522</v>
      </c>
      <c r="AM31" s="2253">
        <f t="shared" si="1"/>
        <v>0.29654359780047135</v>
      </c>
      <c r="AN31" s="2254">
        <v>-7.9365079365079361E-2</v>
      </c>
      <c r="AO31" s="2251">
        <f>_xlfn.XLOOKUP($C31,'Last M. Sales'!$C$3:$C$82,'Last M. Sales'!$I$3:$I$82,"")</f>
        <v>3886</v>
      </c>
      <c r="AP31" s="2252">
        <f t="shared" si="18"/>
        <v>585</v>
      </c>
      <c r="AQ31" s="2253">
        <f t="shared" si="2"/>
        <v>0.38095238095238093</v>
      </c>
      <c r="AR31" s="2254">
        <f t="shared" si="3"/>
        <v>0.1206896551724138</v>
      </c>
      <c r="AS31" s="2255">
        <f t="shared" si="19"/>
        <v>0.32922201138519924</v>
      </c>
      <c r="AT31" s="2256">
        <f t="shared" si="4"/>
        <v>19</v>
      </c>
      <c r="AU31" s="2289"/>
      <c r="AV31" s="2289"/>
      <c r="AW31" s="2255">
        <f t="shared" si="20"/>
        <v>0.55431754874651806</v>
      </c>
      <c r="AX31" s="2256">
        <f t="shared" si="23"/>
        <v>15</v>
      </c>
    </row>
    <row r="32" spans="1:50" ht="25">
      <c r="A32" s="100">
        <f>_xlfn.XLOOKUP($C32,Cement!$Q$7:$Q$35,Cement!$A$7:$A$35,"")</f>
        <v>-29.487824380399573</v>
      </c>
      <c r="B32" s="2250" t="s">
        <v>40</v>
      </c>
      <c r="C32" s="2250" t="s">
        <v>41</v>
      </c>
      <c r="D32" s="2277">
        <f>_xlfn.XLOOKUP(C32,'Sales Rec'!$E$4:$E$86,'Sales Rec'!$F$4:$F$86,"")</f>
        <v>12</v>
      </c>
      <c r="E32" s="2251">
        <v>301</v>
      </c>
      <c r="F32" s="2252">
        <v>301</v>
      </c>
      <c r="G32" s="2251">
        <v>629</v>
      </c>
      <c r="H32" s="2252">
        <f t="shared" si="5"/>
        <v>328</v>
      </c>
      <c r="I32" s="2251">
        <v>975</v>
      </c>
      <c r="J32" s="2252">
        <f t="shared" si="6"/>
        <v>346</v>
      </c>
      <c r="K32" s="2251">
        <v>1405</v>
      </c>
      <c r="L32" s="2252">
        <f t="shared" si="7"/>
        <v>430</v>
      </c>
      <c r="M32" s="2251">
        <v>1676</v>
      </c>
      <c r="N32" s="2252">
        <f t="shared" si="8"/>
        <v>271</v>
      </c>
      <c r="O32" s="2251">
        <v>2001</v>
      </c>
      <c r="P32" s="2252">
        <f t="shared" si="9"/>
        <v>325</v>
      </c>
      <c r="Q32" s="2251">
        <v>2445</v>
      </c>
      <c r="R32" s="2252">
        <f t="shared" si="21"/>
        <v>444</v>
      </c>
      <c r="S32" s="2251">
        <v>2930</v>
      </c>
      <c r="T32" s="2252">
        <f t="shared" si="10"/>
        <v>485</v>
      </c>
      <c r="U32" s="2251">
        <v>3394</v>
      </c>
      <c r="V32" s="2252">
        <f t="shared" si="11"/>
        <v>464</v>
      </c>
      <c r="W32" s="2251">
        <v>3851</v>
      </c>
      <c r="X32" s="2252">
        <f t="shared" si="12"/>
        <v>457</v>
      </c>
      <c r="Y32" s="2251">
        <v>4158</v>
      </c>
      <c r="Z32" s="2252">
        <f t="shared" si="13"/>
        <v>307</v>
      </c>
      <c r="AA32" s="2251">
        <v>4414</v>
      </c>
      <c r="AB32" s="2252">
        <f t="shared" si="14"/>
        <v>256</v>
      </c>
      <c r="AC32" s="2251">
        <f>_xlfn.XLOOKUP($C32,'Sales Rec'!$E$4:$E$86,'Sales Rec'!$CH$4:$CH$86,"")</f>
        <v>165</v>
      </c>
      <c r="AD32" s="2252">
        <f t="shared" si="15"/>
        <v>165</v>
      </c>
      <c r="AE32" s="2253">
        <f t="shared" si="0"/>
        <v>-0.45182724252491696</v>
      </c>
      <c r="AF32" s="2254">
        <v>-0.35546875</v>
      </c>
      <c r="AG32" s="2251">
        <v>549</v>
      </c>
      <c r="AH32" s="2252">
        <f t="shared" si="16"/>
        <v>384</v>
      </c>
      <c r="AI32" s="2253">
        <f t="shared" si="22"/>
        <v>-0.43692307692307691</v>
      </c>
      <c r="AJ32" s="2254">
        <v>1.3272727272727274</v>
      </c>
      <c r="AK32" s="2251">
        <v>926</v>
      </c>
      <c r="AL32" s="2252">
        <f t="shared" si="17"/>
        <v>377</v>
      </c>
      <c r="AM32" s="2253">
        <f t="shared" si="1"/>
        <v>-5.0256410256410255E-2</v>
      </c>
      <c r="AN32" s="2254">
        <v>-1.8229166666666668E-2</v>
      </c>
      <c r="AO32" s="2251">
        <f>_xlfn.XLOOKUP($C32,'Last M. Sales'!$C$3:$C$82,'Last M. Sales'!$I$3:$I$82,"")</f>
        <v>1270</v>
      </c>
      <c r="AP32" s="2252">
        <f t="shared" si="18"/>
        <v>344</v>
      </c>
      <c r="AQ32" s="2253">
        <f t="shared" si="2"/>
        <v>-9.6085409252669035E-2</v>
      </c>
      <c r="AR32" s="2254">
        <f t="shared" si="3"/>
        <v>-8.7533156498673742E-2</v>
      </c>
      <c r="AS32" s="2255">
        <f t="shared" si="19"/>
        <v>-9.2156862745098045E-2</v>
      </c>
      <c r="AT32" s="2256">
        <f t="shared" si="4"/>
        <v>27</v>
      </c>
      <c r="AU32" s="2289"/>
      <c r="AV32" s="2289"/>
      <c r="AW32" s="2255">
        <f t="shared" si="20"/>
        <v>0.5178571428571429</v>
      </c>
      <c r="AX32" s="2256">
        <f t="shared" si="23"/>
        <v>18</v>
      </c>
    </row>
    <row r="33" spans="1:50">
      <c r="A33" s="2274"/>
      <c r="B33" s="2248"/>
      <c r="C33" s="2257" t="s">
        <v>192</v>
      </c>
      <c r="D33" s="2257" t="s">
        <v>192</v>
      </c>
      <c r="E33" s="2257" t="s">
        <v>192</v>
      </c>
      <c r="F33" s="2257" t="s">
        <v>192</v>
      </c>
      <c r="G33" s="2257" t="s">
        <v>192</v>
      </c>
      <c r="H33" s="2257" t="s">
        <v>192</v>
      </c>
      <c r="I33" s="2257" t="s">
        <v>192</v>
      </c>
      <c r="J33" s="2257" t="s">
        <v>192</v>
      </c>
      <c r="K33" s="2257" t="s">
        <v>192</v>
      </c>
      <c r="L33" s="2257" t="s">
        <v>192</v>
      </c>
      <c r="M33" s="2257" t="s">
        <v>192</v>
      </c>
      <c r="N33" s="2257" t="s">
        <v>192</v>
      </c>
      <c r="O33" s="2257" t="s">
        <v>192</v>
      </c>
      <c r="P33" s="2257" t="s">
        <v>192</v>
      </c>
      <c r="Q33" s="2257" t="s">
        <v>192</v>
      </c>
      <c r="R33" s="2257" t="s">
        <v>192</v>
      </c>
      <c r="S33" s="2257" t="s">
        <v>192</v>
      </c>
      <c r="T33" s="2257" t="s">
        <v>192</v>
      </c>
      <c r="U33" s="2257" t="s">
        <v>192</v>
      </c>
      <c r="V33" s="2257" t="s">
        <v>192</v>
      </c>
      <c r="W33" s="2257" t="s">
        <v>192</v>
      </c>
      <c r="X33" s="2257" t="s">
        <v>192</v>
      </c>
      <c r="Y33" s="2257" t="s">
        <v>192</v>
      </c>
      <c r="Z33" s="2257" t="s">
        <v>192</v>
      </c>
      <c r="AA33" s="2257" t="s">
        <v>192</v>
      </c>
      <c r="AB33" s="2257" t="s">
        <v>192</v>
      </c>
      <c r="AC33" s="2257" t="s">
        <v>192</v>
      </c>
      <c r="AD33" s="2257" t="s">
        <v>192</v>
      </c>
      <c r="AE33" s="2257" t="s">
        <v>192</v>
      </c>
      <c r="AF33" s="2257" t="s">
        <v>192</v>
      </c>
      <c r="AG33" s="2257" t="s">
        <v>192</v>
      </c>
      <c r="AH33" s="2257" t="s">
        <v>192</v>
      </c>
      <c r="AI33" s="2257" t="s">
        <v>192</v>
      </c>
      <c r="AJ33" s="2257" t="s">
        <v>192</v>
      </c>
      <c r="AK33" s="2257" t="s">
        <v>192</v>
      </c>
      <c r="AL33" s="2257" t="s">
        <v>192</v>
      </c>
      <c r="AM33" s="2257" t="s">
        <v>192</v>
      </c>
      <c r="AN33" s="2257" t="s">
        <v>192</v>
      </c>
      <c r="AO33" s="2257" t="s">
        <v>192</v>
      </c>
      <c r="AP33" s="2257" t="s">
        <v>192</v>
      </c>
      <c r="AQ33" s="2257" t="s">
        <v>192</v>
      </c>
      <c r="AR33" s="2257" t="s">
        <v>192</v>
      </c>
      <c r="AS33" s="2257" t="s">
        <v>192</v>
      </c>
      <c r="AT33" s="2257" t="s">
        <v>192</v>
      </c>
      <c r="AU33" s="2257" t="s">
        <v>192</v>
      </c>
      <c r="AV33" s="2257" t="s">
        <v>192</v>
      </c>
      <c r="AW33" s="2257" t="s">
        <v>192</v>
      </c>
      <c r="AX33" s="2257" t="s">
        <v>192</v>
      </c>
    </row>
    <row r="34" spans="1:50" ht="25">
      <c r="A34" s="100">
        <f>_xlfn.XLOOKUP($C34,MOPFRA!$R$7:$R$56,MOPFRA!$A$7:$A$56,"")</f>
        <v>48.716544797266323</v>
      </c>
      <c r="B34" s="2250" t="s">
        <v>114</v>
      </c>
      <c r="C34" s="2250" t="s">
        <v>115</v>
      </c>
      <c r="D34" s="2277">
        <f>_xlfn.XLOOKUP(C34,'Sales Rec'!$E$4:$E$86,'Sales Rec'!$F$4:$F$86,"")</f>
        <v>12</v>
      </c>
      <c r="E34" s="2258">
        <v>114</v>
      </c>
      <c r="F34" s="2259">
        <v>114</v>
      </c>
      <c r="G34" s="2258">
        <v>403</v>
      </c>
      <c r="H34" s="2252">
        <f t="shared" si="5"/>
        <v>289</v>
      </c>
      <c r="I34" s="2258">
        <v>702</v>
      </c>
      <c r="J34" s="2252">
        <f t="shared" si="6"/>
        <v>299</v>
      </c>
      <c r="K34" s="2258">
        <v>921</v>
      </c>
      <c r="L34" s="2252">
        <f t="shared" si="7"/>
        <v>219</v>
      </c>
      <c r="M34" s="2258">
        <v>1235</v>
      </c>
      <c r="N34" s="2252">
        <f t="shared" si="8"/>
        <v>314</v>
      </c>
      <c r="O34" s="2258">
        <v>1618</v>
      </c>
      <c r="P34" s="2252">
        <f t="shared" si="9"/>
        <v>383</v>
      </c>
      <c r="Q34" s="2258">
        <v>2090</v>
      </c>
      <c r="R34" s="2252">
        <f t="shared" si="21"/>
        <v>472</v>
      </c>
      <c r="S34" s="2258">
        <v>2566</v>
      </c>
      <c r="T34" s="2252">
        <f t="shared" si="10"/>
        <v>476</v>
      </c>
      <c r="U34" s="2258">
        <v>3118</v>
      </c>
      <c r="V34" s="2252">
        <f t="shared" si="11"/>
        <v>552</v>
      </c>
      <c r="W34" s="2258">
        <v>3628</v>
      </c>
      <c r="X34" s="2252">
        <f t="shared" si="12"/>
        <v>510</v>
      </c>
      <c r="Y34" s="2258">
        <v>4180</v>
      </c>
      <c r="Z34" s="2252">
        <f t="shared" si="13"/>
        <v>552</v>
      </c>
      <c r="AA34" s="2258">
        <v>4747</v>
      </c>
      <c r="AB34" s="2252">
        <f t="shared" si="14"/>
        <v>567</v>
      </c>
      <c r="AC34" s="2251">
        <f>_xlfn.XLOOKUP($C34,'Sales Rec'!$E$4:$E$86,'Sales Rec'!$CH$4:$CH$86,"")</f>
        <v>238</v>
      </c>
      <c r="AD34" s="2252">
        <f t="shared" si="15"/>
        <v>238</v>
      </c>
      <c r="AE34" s="2253">
        <f t="shared" ref="AE34:AE65" si="24">(AC34-E34)/E34</f>
        <v>1.0877192982456141</v>
      </c>
      <c r="AF34" s="2260">
        <v>-0.58024691358024694</v>
      </c>
      <c r="AG34" s="2258">
        <v>924</v>
      </c>
      <c r="AH34" s="2252">
        <f t="shared" si="16"/>
        <v>686</v>
      </c>
      <c r="AI34" s="2253">
        <f t="shared" ref="AI34:AI65" si="25">(AG34-I34)/I34</f>
        <v>0.31623931623931623</v>
      </c>
      <c r="AJ34" s="2260">
        <v>1.8823529411764706</v>
      </c>
      <c r="AK34" s="2258">
        <v>1366</v>
      </c>
      <c r="AL34" s="2252">
        <f t="shared" si="17"/>
        <v>442</v>
      </c>
      <c r="AM34" s="2253">
        <f t="shared" ref="AM34:AM65" si="26">(AK34-I34)/I34</f>
        <v>0.94586894586894588</v>
      </c>
      <c r="AN34" s="2260">
        <v>-0.35568513119533529</v>
      </c>
      <c r="AO34" s="2251">
        <f>_xlfn.XLOOKUP($C34,'Last M. Sales'!$C$3:$C$82,'Last M. Sales'!$I$3:$I$82,"")</f>
        <v>1923</v>
      </c>
      <c r="AP34" s="2252">
        <f t="shared" si="18"/>
        <v>557</v>
      </c>
      <c r="AQ34" s="2253">
        <f t="shared" ref="AQ34:AQ65" si="27">IF(AO34&gt;0,(AO34-K34)/K34,"")</f>
        <v>1.0879478827361564</v>
      </c>
      <c r="AR34" s="2254">
        <f t="shared" ref="AR34:AR65" si="28">IFERROR(IF(AO34&gt;0,(AP34-AL34)/AL34,""),"")</f>
        <v>0.26018099547511314</v>
      </c>
      <c r="AS34" s="2255">
        <f t="shared" ref="AS34:AS65" si="29">((AD34+AL34+AH34)-(X34+Z34+AB34))/(X34+Z34+AB34)</f>
        <v>-0.1614487415592388</v>
      </c>
      <c r="AT34" s="1575">
        <f t="shared" ref="AT34:AT65" si="30">RANK(AS34,$AS$34:$AS$83, 0)</f>
        <v>39</v>
      </c>
      <c r="AU34" s="2289"/>
      <c r="AV34" s="2289"/>
      <c r="AW34" s="2255">
        <f t="shared" si="20"/>
        <v>0.2417096536477524</v>
      </c>
      <c r="AX34" s="1575">
        <f t="shared" ref="AX34:AX65" si="31">RANK(AW34,$AW$34:$AW$83, 0)</f>
        <v>39</v>
      </c>
    </row>
    <row r="35" spans="1:50" ht="25">
      <c r="A35" s="100">
        <f>_xlfn.XLOOKUP($C35,MOPFRA!$R$7:$R$56,MOPFRA!$A$7:$A$56,"")</f>
        <v>34.139725881635457</v>
      </c>
      <c r="B35" s="2250" t="s">
        <v>148</v>
      </c>
      <c r="C35" s="2250" t="s">
        <v>149</v>
      </c>
      <c r="D35" s="2277">
        <f>_xlfn.XLOOKUP(C35,'Sales Rec'!$E$4:$E$86,'Sales Rec'!$F$4:$F$86,"")</f>
        <v>12</v>
      </c>
      <c r="E35" s="2258">
        <v>3344</v>
      </c>
      <c r="F35" s="2259">
        <v>3344</v>
      </c>
      <c r="G35" s="2258">
        <v>5553</v>
      </c>
      <c r="H35" s="2252">
        <f t="shared" si="5"/>
        <v>2209</v>
      </c>
      <c r="I35" s="2258">
        <v>9940</v>
      </c>
      <c r="J35" s="2252">
        <f t="shared" si="6"/>
        <v>4387</v>
      </c>
      <c r="K35" s="2258">
        <v>11696</v>
      </c>
      <c r="L35" s="2252">
        <f t="shared" si="7"/>
        <v>1756</v>
      </c>
      <c r="M35" s="2258">
        <v>15046</v>
      </c>
      <c r="N35" s="2252">
        <f t="shared" si="8"/>
        <v>3350</v>
      </c>
      <c r="O35" s="2258">
        <v>18770</v>
      </c>
      <c r="P35" s="2252">
        <f t="shared" si="9"/>
        <v>3724</v>
      </c>
      <c r="Q35" s="2258">
        <v>23220</v>
      </c>
      <c r="R35" s="2252">
        <f t="shared" si="21"/>
        <v>4450</v>
      </c>
      <c r="S35" s="2258">
        <v>27621</v>
      </c>
      <c r="T35" s="2252">
        <f t="shared" si="10"/>
        <v>4401</v>
      </c>
      <c r="U35" s="2258">
        <v>32740</v>
      </c>
      <c r="V35" s="2252">
        <f t="shared" si="11"/>
        <v>5119</v>
      </c>
      <c r="W35" s="2258">
        <v>37340</v>
      </c>
      <c r="X35" s="2252">
        <f t="shared" si="12"/>
        <v>4600</v>
      </c>
      <c r="Y35" s="2258">
        <v>43578</v>
      </c>
      <c r="Z35" s="2252">
        <f t="shared" si="13"/>
        <v>6238</v>
      </c>
      <c r="AA35" s="2258">
        <v>48809</v>
      </c>
      <c r="AB35" s="2252">
        <f t="shared" si="14"/>
        <v>5231</v>
      </c>
      <c r="AC35" s="2251">
        <f>_xlfn.XLOOKUP($C35,'Sales Rec'!$E$4:$E$86,'Sales Rec'!$CH$4:$CH$86,"")</f>
        <v>3207</v>
      </c>
      <c r="AD35" s="2252">
        <f t="shared" si="15"/>
        <v>3207</v>
      </c>
      <c r="AE35" s="2253">
        <f t="shared" si="24"/>
        <v>-4.0968899521531099E-2</v>
      </c>
      <c r="AF35" s="2260">
        <v>-0.38692410628942842</v>
      </c>
      <c r="AG35" s="2258">
        <v>12597</v>
      </c>
      <c r="AH35" s="2252">
        <f t="shared" si="16"/>
        <v>9390</v>
      </c>
      <c r="AI35" s="2253">
        <f t="shared" si="25"/>
        <v>0.26730382293762578</v>
      </c>
      <c r="AJ35" s="2260">
        <v>1.9279700654817586</v>
      </c>
      <c r="AK35" s="2258">
        <v>22585</v>
      </c>
      <c r="AL35" s="2252">
        <f t="shared" si="17"/>
        <v>9988</v>
      </c>
      <c r="AM35" s="2253">
        <f t="shared" si="26"/>
        <v>1.2721327967806841</v>
      </c>
      <c r="AN35" s="2260">
        <v>6.3684771033013843E-2</v>
      </c>
      <c r="AO35" s="2251">
        <f>_xlfn.XLOOKUP($C35,'Last M. Sales'!$C$3:$C$82,'Last M. Sales'!$I$3:$I$82,"")</f>
        <v>32573</v>
      </c>
      <c r="AP35" s="2252">
        <f t="shared" si="18"/>
        <v>9988</v>
      </c>
      <c r="AQ35" s="2253">
        <f t="shared" si="27"/>
        <v>1.7849692202462379</v>
      </c>
      <c r="AR35" s="2254">
        <f t="shared" si="28"/>
        <v>0</v>
      </c>
      <c r="AS35" s="2255">
        <f t="shared" si="29"/>
        <v>0.40550127574833528</v>
      </c>
      <c r="AT35" s="1575">
        <f t="shared" si="30"/>
        <v>13</v>
      </c>
      <c r="AU35" s="2289"/>
      <c r="AV35" s="2289"/>
      <c r="AW35" s="2255">
        <f t="shared" si="20"/>
        <v>1.0009539384028345</v>
      </c>
      <c r="AX35" s="1575">
        <f t="shared" si="31"/>
        <v>12</v>
      </c>
    </row>
    <row r="36" spans="1:50" ht="25">
      <c r="A36" s="100">
        <f>_xlfn.XLOOKUP($C36,MOPFRA!$R$7:$R$56,MOPFRA!$A$7:$A$56,"")</f>
        <v>28.21227651390776</v>
      </c>
      <c r="B36" s="2250" t="s">
        <v>108</v>
      </c>
      <c r="C36" s="2250" t="s">
        <v>109</v>
      </c>
      <c r="D36" s="2277">
        <f>_xlfn.XLOOKUP(C36,'Sales Rec'!$E$4:$E$86,'Sales Rec'!$F$4:$F$86,"")</f>
        <v>12</v>
      </c>
      <c r="E36" s="2258">
        <v>242</v>
      </c>
      <c r="F36" s="2259">
        <v>242</v>
      </c>
      <c r="G36" s="2258">
        <v>746</v>
      </c>
      <c r="H36" s="2252">
        <f t="shared" si="5"/>
        <v>504</v>
      </c>
      <c r="I36" s="2258">
        <v>1003</v>
      </c>
      <c r="J36" s="2252">
        <f t="shared" si="6"/>
        <v>257</v>
      </c>
      <c r="K36" s="2258">
        <v>1403</v>
      </c>
      <c r="L36" s="2252">
        <f t="shared" si="7"/>
        <v>400</v>
      </c>
      <c r="M36" s="2258">
        <v>1926</v>
      </c>
      <c r="N36" s="2252">
        <f t="shared" si="8"/>
        <v>523</v>
      </c>
      <c r="O36" s="2258">
        <v>2530</v>
      </c>
      <c r="P36" s="2252">
        <f t="shared" si="9"/>
        <v>604</v>
      </c>
      <c r="Q36" s="2258">
        <v>3018</v>
      </c>
      <c r="R36" s="2252">
        <f t="shared" si="21"/>
        <v>488</v>
      </c>
      <c r="S36" s="2258">
        <v>3448</v>
      </c>
      <c r="T36" s="2252">
        <f t="shared" si="10"/>
        <v>430</v>
      </c>
      <c r="U36" s="2258">
        <v>4023</v>
      </c>
      <c r="V36" s="2252">
        <f t="shared" si="11"/>
        <v>575</v>
      </c>
      <c r="W36" s="2258">
        <v>4668</v>
      </c>
      <c r="X36" s="2252">
        <f t="shared" si="12"/>
        <v>645</v>
      </c>
      <c r="Y36" s="2258">
        <v>5359</v>
      </c>
      <c r="Z36" s="2252">
        <f t="shared" si="13"/>
        <v>691</v>
      </c>
      <c r="AA36" s="2258">
        <v>5461</v>
      </c>
      <c r="AB36" s="2252">
        <f t="shared" si="14"/>
        <v>102</v>
      </c>
      <c r="AC36" s="2251">
        <f>_xlfn.XLOOKUP($C36,'Sales Rec'!$E$4:$E$86,'Sales Rec'!$CH$4:$CH$86,"")</f>
        <v>383</v>
      </c>
      <c r="AD36" s="2252">
        <f t="shared" si="15"/>
        <v>383</v>
      </c>
      <c r="AE36" s="2253">
        <f t="shared" si="24"/>
        <v>0.5826446280991735</v>
      </c>
      <c r="AF36" s="2260">
        <v>2.7549019607843137</v>
      </c>
      <c r="AG36" s="2258">
        <v>1328</v>
      </c>
      <c r="AH36" s="2252">
        <f t="shared" si="16"/>
        <v>945</v>
      </c>
      <c r="AI36" s="2253">
        <f t="shared" si="25"/>
        <v>0.32402791625124627</v>
      </c>
      <c r="AJ36" s="2260">
        <v>1.4673629242819843</v>
      </c>
      <c r="AK36" s="2258">
        <v>1992</v>
      </c>
      <c r="AL36" s="2252">
        <f t="shared" si="17"/>
        <v>664</v>
      </c>
      <c r="AM36" s="2253">
        <f t="shared" si="26"/>
        <v>0.98604187437686941</v>
      </c>
      <c r="AN36" s="2260">
        <v>-0.41693121693121693</v>
      </c>
      <c r="AO36" s="2251">
        <f>_xlfn.XLOOKUP($C36,'Last M. Sales'!$C$3:$C$82,'Last M. Sales'!$I$3:$I$82,"")</f>
        <v>2641</v>
      </c>
      <c r="AP36" s="2252">
        <f t="shared" si="18"/>
        <v>649</v>
      </c>
      <c r="AQ36" s="2253">
        <f t="shared" si="27"/>
        <v>0.88239486813970069</v>
      </c>
      <c r="AR36" s="2254">
        <f t="shared" si="28"/>
        <v>-2.2590361445783132E-2</v>
      </c>
      <c r="AS36" s="2255">
        <f t="shared" si="29"/>
        <v>0.38525730180806678</v>
      </c>
      <c r="AT36" s="1575">
        <f t="shared" si="30"/>
        <v>14</v>
      </c>
      <c r="AU36" s="2289"/>
      <c r="AV36" s="2289"/>
      <c r="AW36" s="2255">
        <f t="shared" si="20"/>
        <v>0.92006802721088432</v>
      </c>
      <c r="AX36" s="1575">
        <f t="shared" si="31"/>
        <v>15</v>
      </c>
    </row>
    <row r="37" spans="1:50" ht="25">
      <c r="A37" s="100">
        <f>_xlfn.XLOOKUP($C37,MOPFRA!$R$7:$R$56,MOPFRA!$A$7:$A$56,"")</f>
        <v>16.038839843918019</v>
      </c>
      <c r="B37" s="2250" t="s">
        <v>185</v>
      </c>
      <c r="C37" s="2250" t="s">
        <v>186</v>
      </c>
      <c r="D37" s="2277">
        <f>_xlfn.XLOOKUP(C37,'Sales Rec'!$E$4:$E$86,'Sales Rec'!$F$4:$F$86,"")</f>
        <v>12</v>
      </c>
      <c r="E37" s="2258">
        <v>89</v>
      </c>
      <c r="F37" s="2259">
        <v>89</v>
      </c>
      <c r="G37" s="2258">
        <v>429</v>
      </c>
      <c r="H37" s="2252">
        <f t="shared" si="5"/>
        <v>340</v>
      </c>
      <c r="I37" s="2258">
        <v>810</v>
      </c>
      <c r="J37" s="2252">
        <f t="shared" si="6"/>
        <v>381</v>
      </c>
      <c r="K37" s="2258">
        <v>1148</v>
      </c>
      <c r="L37" s="2252">
        <f t="shared" si="7"/>
        <v>338</v>
      </c>
      <c r="M37" s="2258">
        <v>1498</v>
      </c>
      <c r="N37" s="2252">
        <f t="shared" si="8"/>
        <v>350</v>
      </c>
      <c r="O37" s="2258">
        <v>2080</v>
      </c>
      <c r="P37" s="2252">
        <f t="shared" si="9"/>
        <v>582</v>
      </c>
      <c r="Q37" s="2258">
        <v>2486</v>
      </c>
      <c r="R37" s="2252">
        <f t="shared" si="21"/>
        <v>406</v>
      </c>
      <c r="S37" s="2258">
        <v>2882</v>
      </c>
      <c r="T37" s="2252">
        <f t="shared" si="10"/>
        <v>396</v>
      </c>
      <c r="U37" s="2258">
        <v>3356</v>
      </c>
      <c r="V37" s="2252">
        <f t="shared" si="11"/>
        <v>474</v>
      </c>
      <c r="W37" s="2258">
        <v>3839</v>
      </c>
      <c r="X37" s="2252">
        <f t="shared" si="12"/>
        <v>483</v>
      </c>
      <c r="Y37" s="2258">
        <v>4358</v>
      </c>
      <c r="Z37" s="2252">
        <f t="shared" si="13"/>
        <v>519</v>
      </c>
      <c r="AA37" s="2258">
        <v>4479</v>
      </c>
      <c r="AB37" s="2252">
        <f t="shared" si="14"/>
        <v>121</v>
      </c>
      <c r="AC37" s="2251">
        <f>_xlfn.XLOOKUP($C37,'Sales Rec'!$E$4:$E$86,'Sales Rec'!$CH$4:$CH$86,"")</f>
        <v>234</v>
      </c>
      <c r="AD37" s="2252">
        <f t="shared" si="15"/>
        <v>234</v>
      </c>
      <c r="AE37" s="2253">
        <f t="shared" si="24"/>
        <v>1.6292134831460674</v>
      </c>
      <c r="AF37" s="2260">
        <v>0.93388429752066116</v>
      </c>
      <c r="AG37" s="2258">
        <v>770</v>
      </c>
      <c r="AH37" s="2252">
        <f t="shared" si="16"/>
        <v>536</v>
      </c>
      <c r="AI37" s="2253">
        <f t="shared" si="25"/>
        <v>-4.9382716049382713E-2</v>
      </c>
      <c r="AJ37" s="2260">
        <v>1.2905982905982907</v>
      </c>
      <c r="AK37" s="2258">
        <v>1232</v>
      </c>
      <c r="AL37" s="2252">
        <f t="shared" si="17"/>
        <v>462</v>
      </c>
      <c r="AM37" s="2253">
        <f t="shared" si="26"/>
        <v>0.5209876543209877</v>
      </c>
      <c r="AN37" s="2260">
        <v>-0.13805970149253732</v>
      </c>
      <c r="AO37" s="2251">
        <f>_xlfn.XLOOKUP($C37,'Last M. Sales'!$C$3:$C$82,'Last M. Sales'!$I$3:$I$82,"")</f>
        <v>1570</v>
      </c>
      <c r="AP37" s="2252">
        <f t="shared" si="18"/>
        <v>338</v>
      </c>
      <c r="AQ37" s="2253">
        <f t="shared" si="27"/>
        <v>0.36759581881533099</v>
      </c>
      <c r="AR37" s="2254">
        <f t="shared" si="28"/>
        <v>-0.26839826839826841</v>
      </c>
      <c r="AS37" s="2255">
        <f t="shared" si="29"/>
        <v>9.7061442564559217E-2</v>
      </c>
      <c r="AT37" s="1575">
        <f t="shared" si="30"/>
        <v>29</v>
      </c>
      <c r="AU37" s="2289"/>
      <c r="AV37" s="2289"/>
      <c r="AW37" s="2255">
        <f t="shared" si="20"/>
        <v>0.52860411899313497</v>
      </c>
      <c r="AX37" s="1575">
        <f t="shared" si="31"/>
        <v>26</v>
      </c>
    </row>
    <row r="38" spans="1:50" ht="25">
      <c r="A38" s="100">
        <f>_xlfn.XLOOKUP($C38,MOPFRA!$R$7:$R$56,MOPFRA!$A$7:$A$56,"")</f>
        <v>21.915394470166301</v>
      </c>
      <c r="B38" s="2250" t="s">
        <v>160</v>
      </c>
      <c r="C38" s="2250" t="s">
        <v>161</v>
      </c>
      <c r="D38" s="2277">
        <f>_xlfn.XLOOKUP(C38,'Sales Rec'!$E$4:$E$86,'Sales Rec'!$F$4:$F$86,"")</f>
        <v>12</v>
      </c>
      <c r="E38" s="2258">
        <v>280</v>
      </c>
      <c r="F38" s="2259">
        <v>280</v>
      </c>
      <c r="G38" s="2258">
        <v>600</v>
      </c>
      <c r="H38" s="2252">
        <f t="shared" si="5"/>
        <v>320</v>
      </c>
      <c r="I38" s="2258">
        <v>813</v>
      </c>
      <c r="J38" s="2252">
        <f t="shared" si="6"/>
        <v>213</v>
      </c>
      <c r="K38" s="2258">
        <v>1113</v>
      </c>
      <c r="L38" s="2252">
        <f t="shared" si="7"/>
        <v>300</v>
      </c>
      <c r="M38" s="2258">
        <v>1375</v>
      </c>
      <c r="N38" s="2252">
        <f t="shared" si="8"/>
        <v>262</v>
      </c>
      <c r="O38" s="2258">
        <v>1806</v>
      </c>
      <c r="P38" s="2252">
        <f t="shared" si="9"/>
        <v>431</v>
      </c>
      <c r="Q38" s="2258">
        <v>2044</v>
      </c>
      <c r="R38" s="2252">
        <f t="shared" si="21"/>
        <v>238</v>
      </c>
      <c r="S38" s="2258">
        <v>2502</v>
      </c>
      <c r="T38" s="2252">
        <f t="shared" si="10"/>
        <v>458</v>
      </c>
      <c r="U38" s="2258">
        <v>2869</v>
      </c>
      <c r="V38" s="2252">
        <f t="shared" si="11"/>
        <v>367</v>
      </c>
      <c r="W38" s="2258">
        <v>3115</v>
      </c>
      <c r="X38" s="2252">
        <f t="shared" si="12"/>
        <v>246</v>
      </c>
      <c r="Y38" s="2258">
        <v>3518</v>
      </c>
      <c r="Z38" s="2252">
        <f t="shared" si="13"/>
        <v>403</v>
      </c>
      <c r="AA38" s="2258">
        <v>3621</v>
      </c>
      <c r="AB38" s="2252">
        <f t="shared" si="14"/>
        <v>103</v>
      </c>
      <c r="AC38" s="2251">
        <f>_xlfn.XLOOKUP($C38,'Sales Rec'!$E$4:$E$86,'Sales Rec'!$CH$4:$CH$86,"")</f>
        <v>550</v>
      </c>
      <c r="AD38" s="2252">
        <f t="shared" si="15"/>
        <v>550</v>
      </c>
      <c r="AE38" s="2253">
        <f t="shared" si="24"/>
        <v>0.9642857142857143</v>
      </c>
      <c r="AF38" s="2260">
        <v>4.3398058252427187</v>
      </c>
      <c r="AG38" s="2258">
        <v>1603</v>
      </c>
      <c r="AH38" s="2252">
        <f t="shared" si="16"/>
        <v>1053</v>
      </c>
      <c r="AI38" s="2253">
        <f t="shared" si="25"/>
        <v>0.97170971709717102</v>
      </c>
      <c r="AJ38" s="2260">
        <v>0.91454545454545455</v>
      </c>
      <c r="AK38" s="2258">
        <v>2803</v>
      </c>
      <c r="AL38" s="2252">
        <f t="shared" si="17"/>
        <v>1200</v>
      </c>
      <c r="AM38" s="2253">
        <f t="shared" si="26"/>
        <v>2.4477244772447726</v>
      </c>
      <c r="AN38" s="2260">
        <v>0.1396011396011396</v>
      </c>
      <c r="AO38" s="2251">
        <f>_xlfn.XLOOKUP($C38,'Last M. Sales'!$C$3:$C$82,'Last M. Sales'!$I$3:$I$82,"")</f>
        <v>3810</v>
      </c>
      <c r="AP38" s="2252">
        <f t="shared" si="18"/>
        <v>1007</v>
      </c>
      <c r="AQ38" s="2253">
        <f t="shared" si="27"/>
        <v>2.4231805929919137</v>
      </c>
      <c r="AR38" s="2254">
        <f t="shared" si="28"/>
        <v>-0.16083333333333333</v>
      </c>
      <c r="AS38" s="2255">
        <f t="shared" si="29"/>
        <v>2.7273936170212765</v>
      </c>
      <c r="AT38" s="1575">
        <f t="shared" si="30"/>
        <v>1</v>
      </c>
      <c r="AU38" s="2289"/>
      <c r="AV38" s="2289"/>
      <c r="AW38" s="2255">
        <f t="shared" si="20"/>
        <v>2.0871212121212119</v>
      </c>
      <c r="AX38" s="1575">
        <f t="shared" si="31"/>
        <v>4</v>
      </c>
    </row>
    <row r="39" spans="1:50" ht="25">
      <c r="A39" s="100">
        <f>_xlfn.XLOOKUP($C39,MOPFRA!$R$7:$R$56,MOPFRA!$A$7:$A$56,"")</f>
        <v>25.720175838287016</v>
      </c>
      <c r="B39" s="2250" t="s">
        <v>162</v>
      </c>
      <c r="C39" s="2250" t="s">
        <v>163</v>
      </c>
      <c r="D39" s="2277">
        <f>_xlfn.XLOOKUP(C39,'Sales Rec'!$E$4:$E$86,'Sales Rec'!$F$4:$F$86,"")</f>
        <v>12</v>
      </c>
      <c r="E39" s="2258">
        <v>400</v>
      </c>
      <c r="F39" s="2259">
        <v>400</v>
      </c>
      <c r="G39" s="2258">
        <v>1050</v>
      </c>
      <c r="H39" s="2252">
        <f t="shared" si="5"/>
        <v>650</v>
      </c>
      <c r="I39" s="2258">
        <v>1650</v>
      </c>
      <c r="J39" s="2252">
        <f t="shared" si="6"/>
        <v>600</v>
      </c>
      <c r="K39" s="2258">
        <v>2270</v>
      </c>
      <c r="L39" s="2252">
        <f t="shared" si="7"/>
        <v>620</v>
      </c>
      <c r="M39" s="2258">
        <v>2910</v>
      </c>
      <c r="N39" s="2252">
        <f t="shared" si="8"/>
        <v>640</v>
      </c>
      <c r="O39" s="2258">
        <v>3570</v>
      </c>
      <c r="P39" s="2252">
        <f t="shared" si="9"/>
        <v>660</v>
      </c>
      <c r="Q39" s="2258">
        <v>4271</v>
      </c>
      <c r="R39" s="2252">
        <f t="shared" si="21"/>
        <v>701</v>
      </c>
      <c r="S39" s="2258">
        <v>5271</v>
      </c>
      <c r="T39" s="2252">
        <f t="shared" si="10"/>
        <v>1000</v>
      </c>
      <c r="U39" s="2258">
        <v>6271</v>
      </c>
      <c r="V39" s="2252">
        <f t="shared" si="11"/>
        <v>1000</v>
      </c>
      <c r="W39" s="2258">
        <v>7271</v>
      </c>
      <c r="X39" s="2252">
        <f t="shared" si="12"/>
        <v>1000</v>
      </c>
      <c r="Y39" s="2258">
        <v>8271</v>
      </c>
      <c r="Z39" s="2252">
        <f t="shared" si="13"/>
        <v>1000</v>
      </c>
      <c r="AA39" s="2258">
        <v>8636</v>
      </c>
      <c r="AB39" s="2252">
        <f t="shared" si="14"/>
        <v>365</v>
      </c>
      <c r="AC39" s="2251">
        <f>_xlfn.XLOOKUP($C39,'Sales Rec'!$E$4:$E$86,'Sales Rec'!$CH$4:$CH$86,"")</f>
        <v>1000</v>
      </c>
      <c r="AD39" s="2252">
        <f t="shared" si="15"/>
        <v>1000</v>
      </c>
      <c r="AE39" s="2253">
        <f t="shared" si="24"/>
        <v>1.5</v>
      </c>
      <c r="AF39" s="2260">
        <v>1.7397260273972603</v>
      </c>
      <c r="AG39" s="2258">
        <v>3000</v>
      </c>
      <c r="AH39" s="2252">
        <f t="shared" si="16"/>
        <v>2000</v>
      </c>
      <c r="AI39" s="2253">
        <f t="shared" si="25"/>
        <v>0.81818181818181823</v>
      </c>
      <c r="AJ39" s="2260">
        <v>1</v>
      </c>
      <c r="AK39" s="2258">
        <v>5310</v>
      </c>
      <c r="AL39" s="2252">
        <f t="shared" si="17"/>
        <v>2310</v>
      </c>
      <c r="AM39" s="2253">
        <f t="shared" si="26"/>
        <v>2.2181818181818183</v>
      </c>
      <c r="AN39" s="2260">
        <v>0.155</v>
      </c>
      <c r="AO39" s="2251">
        <f>_xlfn.XLOOKUP($C39,'Last M. Sales'!$C$3:$C$82,'Last M. Sales'!$I$3:$I$82,"")</f>
        <v>7660</v>
      </c>
      <c r="AP39" s="2252">
        <f t="shared" si="18"/>
        <v>2350</v>
      </c>
      <c r="AQ39" s="2253">
        <f t="shared" si="27"/>
        <v>2.3744493392070485</v>
      </c>
      <c r="AR39" s="2254">
        <f t="shared" si="28"/>
        <v>1.7316017316017316E-2</v>
      </c>
      <c r="AS39" s="2255">
        <f t="shared" si="29"/>
        <v>1.2452431289640591</v>
      </c>
      <c r="AT39" s="1575">
        <f t="shared" si="30"/>
        <v>4</v>
      </c>
      <c r="AU39" s="2289"/>
      <c r="AV39" s="2289"/>
      <c r="AW39" s="2255">
        <f t="shared" si="20"/>
        <v>1.8160676532769555</v>
      </c>
      <c r="AX39" s="1575">
        <f t="shared" si="31"/>
        <v>5</v>
      </c>
    </row>
    <row r="40" spans="1:50" ht="25">
      <c r="A40" s="100">
        <f>_xlfn.XLOOKUP($C40,MOPFRA!$R$7:$R$56,MOPFRA!$A$7:$A$56,"")</f>
        <v>24.251489960105612</v>
      </c>
      <c r="B40" s="2250" t="s">
        <v>96</v>
      </c>
      <c r="C40" s="2250" t="s">
        <v>97</v>
      </c>
      <c r="D40" s="2277">
        <f>_xlfn.XLOOKUP(C40,'Sales Rec'!$E$4:$E$86,'Sales Rec'!$F$4:$F$86,"")</f>
        <v>12</v>
      </c>
      <c r="E40" s="2258">
        <v>135</v>
      </c>
      <c r="F40" s="2259">
        <v>135</v>
      </c>
      <c r="G40" s="2258">
        <v>405</v>
      </c>
      <c r="H40" s="2252">
        <f t="shared" si="5"/>
        <v>270</v>
      </c>
      <c r="I40" s="2258">
        <v>610</v>
      </c>
      <c r="J40" s="2252">
        <f t="shared" si="6"/>
        <v>205</v>
      </c>
      <c r="K40" s="2258">
        <v>871</v>
      </c>
      <c r="L40" s="2252">
        <f t="shared" si="7"/>
        <v>261</v>
      </c>
      <c r="M40" s="2258">
        <v>1114</v>
      </c>
      <c r="N40" s="2252">
        <f t="shared" si="8"/>
        <v>243</v>
      </c>
      <c r="O40" s="2258">
        <v>1376</v>
      </c>
      <c r="P40" s="2252">
        <f t="shared" si="9"/>
        <v>262</v>
      </c>
      <c r="Q40" s="2258">
        <v>1680</v>
      </c>
      <c r="R40" s="2252">
        <f t="shared" si="21"/>
        <v>304</v>
      </c>
      <c r="S40" s="2258">
        <v>2008</v>
      </c>
      <c r="T40" s="2252">
        <f t="shared" si="10"/>
        <v>328</v>
      </c>
      <c r="U40" s="2258">
        <v>2326</v>
      </c>
      <c r="V40" s="2252">
        <f t="shared" si="11"/>
        <v>318</v>
      </c>
      <c r="W40" s="2258">
        <v>2599</v>
      </c>
      <c r="X40" s="2252">
        <f t="shared" si="12"/>
        <v>273</v>
      </c>
      <c r="Y40" s="2258">
        <v>2924</v>
      </c>
      <c r="Z40" s="2252">
        <f t="shared" si="13"/>
        <v>325</v>
      </c>
      <c r="AA40" s="2258">
        <v>3199</v>
      </c>
      <c r="AB40" s="2252">
        <f t="shared" si="14"/>
        <v>275</v>
      </c>
      <c r="AC40" s="2251">
        <f>_xlfn.XLOOKUP($C40,'Sales Rec'!$E$4:$E$86,'Sales Rec'!$CH$4:$CH$86,"")</f>
        <v>247</v>
      </c>
      <c r="AD40" s="2252">
        <f t="shared" si="15"/>
        <v>247</v>
      </c>
      <c r="AE40" s="2253">
        <f t="shared" si="24"/>
        <v>0.82962962962962961</v>
      </c>
      <c r="AF40" s="2260">
        <v>-0.10181818181818182</v>
      </c>
      <c r="AG40" s="2258">
        <v>890</v>
      </c>
      <c r="AH40" s="2252">
        <f t="shared" si="16"/>
        <v>643</v>
      </c>
      <c r="AI40" s="2253">
        <f t="shared" si="25"/>
        <v>0.45901639344262296</v>
      </c>
      <c r="AJ40" s="2260">
        <v>1.6032388663967612</v>
      </c>
      <c r="AK40" s="2258">
        <v>1482</v>
      </c>
      <c r="AL40" s="2252">
        <f t="shared" si="17"/>
        <v>592</v>
      </c>
      <c r="AM40" s="2253">
        <f t="shared" si="26"/>
        <v>1.4295081967213115</v>
      </c>
      <c r="AN40" s="2260">
        <v>-7.9315707620528766E-2</v>
      </c>
      <c r="AO40" s="2251">
        <f>_xlfn.XLOOKUP($C40,'Last M. Sales'!$C$3:$C$82,'Last M. Sales'!$I$3:$I$82,"")</f>
        <v>2045</v>
      </c>
      <c r="AP40" s="2252">
        <f t="shared" si="18"/>
        <v>563</v>
      </c>
      <c r="AQ40" s="2253">
        <f t="shared" si="27"/>
        <v>1.3478760045924225</v>
      </c>
      <c r="AR40" s="2254">
        <f t="shared" si="28"/>
        <v>-4.8986486486486486E-2</v>
      </c>
      <c r="AS40" s="2255">
        <f t="shared" si="29"/>
        <v>0.69759450171821302</v>
      </c>
      <c r="AT40" s="1575">
        <f t="shared" si="30"/>
        <v>10</v>
      </c>
      <c r="AU40" s="2289"/>
      <c r="AV40" s="2289"/>
      <c r="AW40" s="2255">
        <f t="shared" si="20"/>
        <v>1.1227863046044864</v>
      </c>
      <c r="AX40" s="1575">
        <f t="shared" si="31"/>
        <v>8</v>
      </c>
    </row>
    <row r="41" spans="1:50" ht="25">
      <c r="A41" s="100">
        <f>_xlfn.XLOOKUP($C41,MOPFRA!$R$7:$R$56,MOPFRA!$A$7:$A$56,"")</f>
        <v>15.917114604278469</v>
      </c>
      <c r="B41" s="2250" t="s">
        <v>130</v>
      </c>
      <c r="C41" s="2250" t="s">
        <v>131</v>
      </c>
      <c r="D41" s="2277">
        <f>_xlfn.XLOOKUP(C41,'Sales Rec'!$E$4:$E$86,'Sales Rec'!$F$4:$F$86,"")</f>
        <v>12</v>
      </c>
      <c r="E41" s="2258">
        <v>84</v>
      </c>
      <c r="F41" s="2259">
        <v>84</v>
      </c>
      <c r="G41" s="2258">
        <v>186</v>
      </c>
      <c r="H41" s="2252">
        <f t="shared" si="5"/>
        <v>102</v>
      </c>
      <c r="I41" s="2258">
        <v>243</v>
      </c>
      <c r="J41" s="2252">
        <f t="shared" si="6"/>
        <v>57</v>
      </c>
      <c r="K41" s="2258">
        <v>310</v>
      </c>
      <c r="L41" s="2252">
        <f t="shared" si="7"/>
        <v>67</v>
      </c>
      <c r="M41" s="2258">
        <v>349</v>
      </c>
      <c r="N41" s="2252">
        <f t="shared" si="8"/>
        <v>39</v>
      </c>
      <c r="O41" s="2258">
        <v>415</v>
      </c>
      <c r="P41" s="2252">
        <f t="shared" si="9"/>
        <v>66</v>
      </c>
      <c r="Q41" s="2258">
        <v>510</v>
      </c>
      <c r="R41" s="2252">
        <f t="shared" si="21"/>
        <v>95</v>
      </c>
      <c r="S41" s="2258">
        <v>650</v>
      </c>
      <c r="T41" s="2252">
        <f t="shared" si="10"/>
        <v>140</v>
      </c>
      <c r="U41" s="2258">
        <v>783</v>
      </c>
      <c r="V41" s="2252">
        <f t="shared" si="11"/>
        <v>133</v>
      </c>
      <c r="W41" s="2258">
        <v>900</v>
      </c>
      <c r="X41" s="2252">
        <f t="shared" si="12"/>
        <v>117</v>
      </c>
      <c r="Y41" s="2258">
        <v>1009</v>
      </c>
      <c r="Z41" s="2252">
        <f t="shared" si="13"/>
        <v>109</v>
      </c>
      <c r="AA41" s="2258">
        <v>1055</v>
      </c>
      <c r="AB41" s="2252">
        <f t="shared" si="14"/>
        <v>46</v>
      </c>
      <c r="AC41" s="2251">
        <f>_xlfn.XLOOKUP($C41,'Sales Rec'!$E$4:$E$86,'Sales Rec'!$CH$4:$CH$86,"")</f>
        <v>83</v>
      </c>
      <c r="AD41" s="2252">
        <f t="shared" si="15"/>
        <v>83</v>
      </c>
      <c r="AE41" s="2253">
        <f t="shared" si="24"/>
        <v>-1.1904761904761904E-2</v>
      </c>
      <c r="AF41" s="2260">
        <v>0.80434782608695654</v>
      </c>
      <c r="AG41" s="2258">
        <v>203</v>
      </c>
      <c r="AH41" s="2252">
        <f t="shared" si="16"/>
        <v>120</v>
      </c>
      <c r="AI41" s="2253">
        <f t="shared" si="25"/>
        <v>-0.16460905349794239</v>
      </c>
      <c r="AJ41" s="2260">
        <v>0.44578313253012047</v>
      </c>
      <c r="AK41" s="2258">
        <v>371</v>
      </c>
      <c r="AL41" s="2252">
        <f t="shared" si="17"/>
        <v>168</v>
      </c>
      <c r="AM41" s="2253">
        <f t="shared" si="26"/>
        <v>0.52674897119341568</v>
      </c>
      <c r="AN41" s="2260">
        <v>0.17499999999999999</v>
      </c>
      <c r="AO41" s="2251">
        <f>_xlfn.XLOOKUP($C41,'Last M. Sales'!$C$3:$C$82,'Last M. Sales'!$I$3:$I$82,"")</f>
        <v>522</v>
      </c>
      <c r="AP41" s="2252">
        <f t="shared" si="18"/>
        <v>151</v>
      </c>
      <c r="AQ41" s="2253">
        <f t="shared" si="27"/>
        <v>0.68387096774193545</v>
      </c>
      <c r="AR41" s="2254">
        <f t="shared" si="28"/>
        <v>-0.10119047619047619</v>
      </c>
      <c r="AS41" s="2255">
        <f t="shared" si="29"/>
        <v>0.3639705882352941</v>
      </c>
      <c r="AT41" s="1575">
        <f t="shared" si="30"/>
        <v>16</v>
      </c>
      <c r="AU41" s="2289"/>
      <c r="AV41" s="2289"/>
      <c r="AW41" s="2255">
        <f t="shared" si="20"/>
        <v>0.84453781512605042</v>
      </c>
      <c r="AX41" s="1575">
        <f t="shared" si="31"/>
        <v>16</v>
      </c>
    </row>
    <row r="42" spans="1:50" ht="25">
      <c r="A42" s="100">
        <f>_xlfn.XLOOKUP($C42,MOPFRA!$R$7:$R$56,MOPFRA!$A$7:$A$56,"")</f>
        <v>-19.430894563608156</v>
      </c>
      <c r="B42" s="2250" t="s">
        <v>94</v>
      </c>
      <c r="C42" s="2250" t="s">
        <v>95</v>
      </c>
      <c r="D42" s="2277">
        <f>_xlfn.XLOOKUP(C42,'Sales Rec'!$E$4:$E$86,'Sales Rec'!$F$4:$F$86,"")</f>
        <v>9</v>
      </c>
      <c r="E42" s="2258">
        <v>713</v>
      </c>
      <c r="F42" s="2259">
        <v>713</v>
      </c>
      <c r="G42" s="2258">
        <v>995</v>
      </c>
      <c r="H42" s="2252">
        <f t="shared" si="5"/>
        <v>282</v>
      </c>
      <c r="I42" s="2258">
        <v>1307</v>
      </c>
      <c r="J42" s="2252">
        <f t="shared" si="6"/>
        <v>312</v>
      </c>
      <c r="K42" s="2258">
        <v>1668</v>
      </c>
      <c r="L42" s="2252">
        <f t="shared" si="7"/>
        <v>361</v>
      </c>
      <c r="M42" s="2258">
        <v>1998</v>
      </c>
      <c r="N42" s="2252">
        <f t="shared" si="8"/>
        <v>330</v>
      </c>
      <c r="O42" s="2258">
        <v>2317</v>
      </c>
      <c r="P42" s="2252">
        <f t="shared" si="9"/>
        <v>319</v>
      </c>
      <c r="Q42" s="2258">
        <v>2671</v>
      </c>
      <c r="R42" s="2252">
        <f t="shared" si="21"/>
        <v>354</v>
      </c>
      <c r="S42" s="2258">
        <v>3008</v>
      </c>
      <c r="T42" s="2252">
        <f t="shared" si="10"/>
        <v>337</v>
      </c>
      <c r="U42" s="2258">
        <v>3315</v>
      </c>
      <c r="V42" s="2252">
        <f t="shared" si="11"/>
        <v>307</v>
      </c>
      <c r="W42" s="2258">
        <v>268</v>
      </c>
      <c r="X42" s="2252">
        <f t="shared" si="12"/>
        <v>268</v>
      </c>
      <c r="Y42" s="2258">
        <v>871</v>
      </c>
      <c r="Z42" s="2252">
        <f t="shared" si="13"/>
        <v>603</v>
      </c>
      <c r="AA42" s="2258">
        <v>1117</v>
      </c>
      <c r="AB42" s="2252">
        <f t="shared" si="14"/>
        <v>246</v>
      </c>
      <c r="AC42" s="2251">
        <f>_xlfn.XLOOKUP($C42,'Sales Rec'!$E$4:$E$86,'Sales Rec'!$CH$4:$CH$86,"")</f>
        <v>1489</v>
      </c>
      <c r="AD42" s="2252">
        <f t="shared" si="15"/>
        <v>372</v>
      </c>
      <c r="AE42" s="2253">
        <f t="shared" si="24"/>
        <v>1.0883590462833099</v>
      </c>
      <c r="AF42" s="2260">
        <v>0.51219512195121952</v>
      </c>
      <c r="AG42" s="2258">
        <v>2247</v>
      </c>
      <c r="AH42" s="2252">
        <f t="shared" si="16"/>
        <v>758</v>
      </c>
      <c r="AI42" s="2253">
        <f t="shared" si="25"/>
        <v>0.71920428462127006</v>
      </c>
      <c r="AJ42" s="2260">
        <v>1.0376344086021505</v>
      </c>
      <c r="AK42" s="2258">
        <v>3048</v>
      </c>
      <c r="AL42" s="2252">
        <f t="shared" si="17"/>
        <v>801</v>
      </c>
      <c r="AM42" s="2253">
        <f t="shared" si="26"/>
        <v>1.3320581484315226</v>
      </c>
      <c r="AN42" s="2260">
        <v>0.16490765171503957</v>
      </c>
      <c r="AO42" s="2251">
        <f>_xlfn.XLOOKUP($C42,'Last M. Sales'!$C$3:$C$82,'Last M. Sales'!$I$3:$I$82,"")</f>
        <v>3648</v>
      </c>
      <c r="AP42" s="2252">
        <f t="shared" si="18"/>
        <v>600</v>
      </c>
      <c r="AQ42" s="2253">
        <f t="shared" si="27"/>
        <v>1.1870503597122302</v>
      </c>
      <c r="AR42" s="2254">
        <f t="shared" si="28"/>
        <v>-0.25093632958801498</v>
      </c>
      <c r="AS42" s="2255">
        <f t="shared" si="29"/>
        <v>0.72873769024171886</v>
      </c>
      <c r="AT42" s="1575">
        <f t="shared" si="30"/>
        <v>7</v>
      </c>
      <c r="AU42" s="2289"/>
      <c r="AV42" s="2289"/>
      <c r="AW42" s="2255">
        <f t="shared" si="20"/>
        <v>0.76822276822276825</v>
      </c>
      <c r="AX42" s="1575">
        <f t="shared" si="31"/>
        <v>21</v>
      </c>
    </row>
    <row r="43" spans="1:50" ht="25">
      <c r="A43" s="100">
        <f>_xlfn.XLOOKUP($C43,MOPFRA!$R$7:$R$56,MOPFRA!$A$7:$A$56,"")</f>
        <v>17.984453865135521</v>
      </c>
      <c r="B43" s="2250" t="s">
        <v>102</v>
      </c>
      <c r="C43" s="2250" t="s">
        <v>103</v>
      </c>
      <c r="D43" s="2277">
        <f>_xlfn.XLOOKUP(C43,'Sales Rec'!$E$4:$E$86,'Sales Rec'!$F$4:$F$86,"")</f>
        <v>12</v>
      </c>
      <c r="E43" s="2258">
        <v>1002</v>
      </c>
      <c r="F43" s="2259">
        <v>1002</v>
      </c>
      <c r="G43" s="2258">
        <v>3844</v>
      </c>
      <c r="H43" s="2252">
        <f t="shared" si="5"/>
        <v>2842</v>
      </c>
      <c r="I43" s="2258">
        <v>5356</v>
      </c>
      <c r="J43" s="2252">
        <f t="shared" si="6"/>
        <v>1512</v>
      </c>
      <c r="K43" s="2258">
        <v>8747</v>
      </c>
      <c r="L43" s="2252">
        <f t="shared" si="7"/>
        <v>3391</v>
      </c>
      <c r="M43" s="2258">
        <v>11647</v>
      </c>
      <c r="N43" s="2252">
        <f t="shared" si="8"/>
        <v>2900</v>
      </c>
      <c r="O43" s="2258">
        <v>14020</v>
      </c>
      <c r="P43" s="2252">
        <f t="shared" si="9"/>
        <v>2373</v>
      </c>
      <c r="Q43" s="2258">
        <v>15895</v>
      </c>
      <c r="R43" s="2252">
        <f t="shared" si="21"/>
        <v>1875</v>
      </c>
      <c r="S43" s="2258">
        <v>18203</v>
      </c>
      <c r="T43" s="2252">
        <f t="shared" si="10"/>
        <v>2308</v>
      </c>
      <c r="U43" s="2258">
        <v>19878</v>
      </c>
      <c r="V43" s="2252">
        <f t="shared" si="11"/>
        <v>1675</v>
      </c>
      <c r="W43" s="2258">
        <v>25389</v>
      </c>
      <c r="X43" s="2252">
        <f t="shared" si="12"/>
        <v>5511</v>
      </c>
      <c r="Y43" s="2258">
        <v>35426</v>
      </c>
      <c r="Z43" s="2252">
        <f t="shared" si="13"/>
        <v>10037</v>
      </c>
      <c r="AA43" s="2258">
        <v>46101</v>
      </c>
      <c r="AB43" s="2252">
        <f t="shared" si="14"/>
        <v>10675</v>
      </c>
      <c r="AC43" s="2251">
        <f>_xlfn.XLOOKUP($C43,'Sales Rec'!$E$4:$E$86,'Sales Rec'!$CH$4:$CH$86,"")</f>
        <v>8727</v>
      </c>
      <c r="AD43" s="2252">
        <f t="shared" si="15"/>
        <v>8727</v>
      </c>
      <c r="AE43" s="2253">
        <f t="shared" si="24"/>
        <v>7.7095808383233537</v>
      </c>
      <c r="AF43" s="2260">
        <v>-0.18248243559718968</v>
      </c>
      <c r="AG43" s="2258">
        <v>19473</v>
      </c>
      <c r="AH43" s="2252">
        <f t="shared" si="16"/>
        <v>10746</v>
      </c>
      <c r="AI43" s="2253">
        <f t="shared" si="25"/>
        <v>2.6357356235997011</v>
      </c>
      <c r="AJ43" s="2260">
        <v>0.23135097971811619</v>
      </c>
      <c r="AK43" s="2258">
        <v>28975</v>
      </c>
      <c r="AL43" s="2252">
        <f t="shared" si="17"/>
        <v>9502</v>
      </c>
      <c r="AM43" s="2253">
        <f t="shared" si="26"/>
        <v>4.4098207617625089</v>
      </c>
      <c r="AN43" s="2260">
        <v>-0.11455425274520752</v>
      </c>
      <c r="AO43" s="2251">
        <f>_xlfn.XLOOKUP($C43,'Last M. Sales'!$C$3:$C$82,'Last M. Sales'!$I$3:$I$82,"")</f>
        <v>37983</v>
      </c>
      <c r="AP43" s="2252">
        <f t="shared" si="18"/>
        <v>9008</v>
      </c>
      <c r="AQ43" s="2253">
        <f t="shared" si="27"/>
        <v>3.3424031096375901</v>
      </c>
      <c r="AR43" s="2254">
        <f t="shared" si="28"/>
        <v>-5.198905493580299E-2</v>
      </c>
      <c r="AS43" s="2255">
        <f t="shared" si="29"/>
        <v>0.10494603973610953</v>
      </c>
      <c r="AT43" s="1575">
        <f t="shared" si="30"/>
        <v>28</v>
      </c>
      <c r="AU43" s="2289"/>
      <c r="AV43" s="2289"/>
      <c r="AW43" s="2255">
        <f t="shared" si="20"/>
        <v>-6.2162437582798328E-3</v>
      </c>
      <c r="AX43" s="1575">
        <f t="shared" si="31"/>
        <v>44</v>
      </c>
    </row>
    <row r="44" spans="1:50" ht="25">
      <c r="A44" s="100">
        <f>_xlfn.XLOOKUP($C44,MOPFRA!$R$7:$R$56,MOPFRA!$A$7:$A$56,"")</f>
        <v>21.973793847562622</v>
      </c>
      <c r="B44" s="2250" t="s">
        <v>116</v>
      </c>
      <c r="C44" s="2250" t="s">
        <v>117</v>
      </c>
      <c r="D44" s="2277">
        <f>_xlfn.XLOOKUP(C44,'Sales Rec'!$E$4:$E$86,'Sales Rec'!$F$4:$F$86,"")</f>
        <v>12</v>
      </c>
      <c r="E44" s="2258">
        <v>483</v>
      </c>
      <c r="F44" s="2259">
        <v>483</v>
      </c>
      <c r="G44" s="2258">
        <v>1105</v>
      </c>
      <c r="H44" s="2252">
        <f t="shared" si="5"/>
        <v>622</v>
      </c>
      <c r="I44" s="2258">
        <v>1763</v>
      </c>
      <c r="J44" s="2252">
        <f t="shared" si="6"/>
        <v>658</v>
      </c>
      <c r="K44" s="2258">
        <v>2381</v>
      </c>
      <c r="L44" s="2252">
        <f t="shared" si="7"/>
        <v>618</v>
      </c>
      <c r="M44" s="2258">
        <v>3109</v>
      </c>
      <c r="N44" s="2252">
        <f t="shared" si="8"/>
        <v>728</v>
      </c>
      <c r="O44" s="2258">
        <v>4126</v>
      </c>
      <c r="P44" s="2252">
        <f t="shared" si="9"/>
        <v>1017</v>
      </c>
      <c r="Q44" s="2258">
        <v>5206</v>
      </c>
      <c r="R44" s="2252">
        <f t="shared" si="21"/>
        <v>1080</v>
      </c>
      <c r="S44" s="2258">
        <v>6132</v>
      </c>
      <c r="T44" s="2252">
        <f t="shared" si="10"/>
        <v>926</v>
      </c>
      <c r="U44" s="2258">
        <v>7140</v>
      </c>
      <c r="V44" s="2252">
        <f t="shared" si="11"/>
        <v>1008</v>
      </c>
      <c r="W44" s="2258">
        <v>8124</v>
      </c>
      <c r="X44" s="2252">
        <f t="shared" si="12"/>
        <v>984</v>
      </c>
      <c r="Y44" s="2258">
        <v>9119</v>
      </c>
      <c r="Z44" s="2252">
        <f t="shared" si="13"/>
        <v>995</v>
      </c>
      <c r="AA44" s="2258">
        <v>9834</v>
      </c>
      <c r="AB44" s="2252">
        <f t="shared" si="14"/>
        <v>715</v>
      </c>
      <c r="AC44" s="2251">
        <f>_xlfn.XLOOKUP($C44,'Sales Rec'!$E$4:$E$86,'Sales Rec'!$CH$4:$CH$86,"")</f>
        <v>299</v>
      </c>
      <c r="AD44" s="2252">
        <f t="shared" si="15"/>
        <v>299</v>
      </c>
      <c r="AE44" s="2253">
        <f t="shared" si="24"/>
        <v>-0.38095238095238093</v>
      </c>
      <c r="AF44" s="2260">
        <v>-0.58181818181818179</v>
      </c>
      <c r="AG44" s="2258">
        <v>1454</v>
      </c>
      <c r="AH44" s="2252">
        <f t="shared" si="16"/>
        <v>1155</v>
      </c>
      <c r="AI44" s="2253">
        <f t="shared" si="25"/>
        <v>-0.17526942711287577</v>
      </c>
      <c r="AJ44" s="2260">
        <v>2.8628762541806019</v>
      </c>
      <c r="AK44" s="2258">
        <v>2753</v>
      </c>
      <c r="AL44" s="2252">
        <f t="shared" si="17"/>
        <v>1299</v>
      </c>
      <c r="AM44" s="2253">
        <f t="shared" si="26"/>
        <v>0.56154282473057293</v>
      </c>
      <c r="AN44" s="2260">
        <v>0.12467532467532468</v>
      </c>
      <c r="AO44" s="2251">
        <f>_xlfn.XLOOKUP($C44,'Last M. Sales'!$C$3:$C$82,'Last M. Sales'!$I$3:$I$82,"")</f>
        <v>4369</v>
      </c>
      <c r="AP44" s="2252">
        <f t="shared" si="18"/>
        <v>1616</v>
      </c>
      <c r="AQ44" s="2253">
        <f t="shared" si="27"/>
        <v>0.8349433011339773</v>
      </c>
      <c r="AR44" s="2254">
        <f t="shared" si="28"/>
        <v>0.24403387220939185</v>
      </c>
      <c r="AS44" s="2255">
        <f t="shared" si="29"/>
        <v>2.190051967334818E-2</v>
      </c>
      <c r="AT44" s="1575">
        <f t="shared" si="30"/>
        <v>31</v>
      </c>
      <c r="AU44" s="2289"/>
      <c r="AV44" s="2289"/>
      <c r="AW44" s="2255">
        <f t="shared" si="20"/>
        <v>1.025883524141364</v>
      </c>
      <c r="AX44" s="1575">
        <f t="shared" si="31"/>
        <v>11</v>
      </c>
    </row>
    <row r="45" spans="1:50" ht="25">
      <c r="A45" s="100">
        <f>_xlfn.XLOOKUP($C45,MOPFRA!$R$7:$R$56,MOPFRA!$A$7:$A$56,"")</f>
        <v>22.537123972438035</v>
      </c>
      <c r="B45" s="2250" t="s">
        <v>86</v>
      </c>
      <c r="C45" s="2250" t="s">
        <v>87</v>
      </c>
      <c r="D45" s="2277">
        <f>_xlfn.XLOOKUP(C45,'Sales Rec'!$E$4:$E$86,'Sales Rec'!$F$4:$F$86,"")</f>
        <v>12</v>
      </c>
      <c r="E45" s="2258">
        <v>105</v>
      </c>
      <c r="F45" s="2259">
        <v>105</v>
      </c>
      <c r="G45" s="2258">
        <v>314</v>
      </c>
      <c r="H45" s="2252">
        <f t="shared" si="5"/>
        <v>209</v>
      </c>
      <c r="I45" s="2258">
        <v>596</v>
      </c>
      <c r="J45" s="2252">
        <f t="shared" si="6"/>
        <v>282</v>
      </c>
      <c r="K45" s="2258">
        <v>913</v>
      </c>
      <c r="L45" s="2252">
        <f t="shared" si="7"/>
        <v>317</v>
      </c>
      <c r="M45" s="2258">
        <v>1366</v>
      </c>
      <c r="N45" s="2252">
        <f t="shared" si="8"/>
        <v>453</v>
      </c>
      <c r="O45" s="2258">
        <v>1807</v>
      </c>
      <c r="P45" s="2252">
        <f t="shared" si="9"/>
        <v>441</v>
      </c>
      <c r="Q45" s="2258">
        <v>2221</v>
      </c>
      <c r="R45" s="2252">
        <f t="shared" si="21"/>
        <v>414</v>
      </c>
      <c r="S45" s="2258">
        <v>2441</v>
      </c>
      <c r="T45" s="2252">
        <f t="shared" si="10"/>
        <v>220</v>
      </c>
      <c r="U45" s="2258">
        <v>2705</v>
      </c>
      <c r="V45" s="2252">
        <f t="shared" si="11"/>
        <v>264</v>
      </c>
      <c r="W45" s="2258">
        <v>2878</v>
      </c>
      <c r="X45" s="2252">
        <f t="shared" si="12"/>
        <v>173</v>
      </c>
      <c r="Y45" s="2258">
        <v>2974</v>
      </c>
      <c r="Z45" s="2252">
        <f t="shared" si="13"/>
        <v>96</v>
      </c>
      <c r="AA45" s="2258">
        <v>2996</v>
      </c>
      <c r="AB45" s="2252">
        <f t="shared" si="14"/>
        <v>22</v>
      </c>
      <c r="AC45" s="2251">
        <f>_xlfn.XLOOKUP($C45,'Sales Rec'!$E$4:$E$86,'Sales Rec'!$CH$4:$CH$86,"")</f>
        <v>1</v>
      </c>
      <c r="AD45" s="2252">
        <f t="shared" si="15"/>
        <v>1</v>
      </c>
      <c r="AE45" s="2253">
        <f t="shared" si="24"/>
        <v>-0.99047619047619051</v>
      </c>
      <c r="AF45" s="2260">
        <v>-0.95454545454545459</v>
      </c>
      <c r="AG45" s="2258">
        <v>423</v>
      </c>
      <c r="AH45" s="2252">
        <f t="shared" si="16"/>
        <v>422</v>
      </c>
      <c r="AI45" s="2253">
        <f t="shared" si="25"/>
        <v>-0.29026845637583892</v>
      </c>
      <c r="AJ45" s="2260">
        <v>421</v>
      </c>
      <c r="AK45" s="2258">
        <v>782</v>
      </c>
      <c r="AL45" s="2252">
        <f t="shared" si="17"/>
        <v>359</v>
      </c>
      <c r="AM45" s="2253">
        <f t="shared" si="26"/>
        <v>0.31208053691275167</v>
      </c>
      <c r="AN45" s="2260">
        <v>-0.14928909952606634</v>
      </c>
      <c r="AO45" s="2251">
        <f>_xlfn.XLOOKUP($C45,'Last M. Sales'!$C$3:$C$82,'Last M. Sales'!$I$3:$I$82,"")</f>
        <v>1346</v>
      </c>
      <c r="AP45" s="2252">
        <f t="shared" si="18"/>
        <v>564</v>
      </c>
      <c r="AQ45" s="2253">
        <f t="shared" si="27"/>
        <v>0.47426067907995617</v>
      </c>
      <c r="AR45" s="2254">
        <f t="shared" si="28"/>
        <v>0.57103064066852371</v>
      </c>
      <c r="AS45" s="2255">
        <f t="shared" si="29"/>
        <v>1.6872852233676976</v>
      </c>
      <c r="AT45" s="1575">
        <f t="shared" si="30"/>
        <v>2</v>
      </c>
      <c r="AU45" s="2289"/>
      <c r="AV45" s="2289"/>
      <c r="AW45" s="2255">
        <f t="shared" si="20"/>
        <v>10.302521008403362</v>
      </c>
      <c r="AX45" s="1575">
        <f t="shared" si="31"/>
        <v>1</v>
      </c>
    </row>
    <row r="46" spans="1:50" ht="25">
      <c r="A46" s="100">
        <f>_xlfn.XLOOKUP($C46,MOPFRA!$R$7:$R$56,MOPFRA!$A$7:$A$56,"")</f>
        <v>16.387529442051104</v>
      </c>
      <c r="B46" s="2250" t="s">
        <v>175</v>
      </c>
      <c r="C46" s="2250" t="s">
        <v>176</v>
      </c>
      <c r="D46" s="2277">
        <f>_xlfn.XLOOKUP(C46,'Sales Rec'!$E$4:$E$86,'Sales Rec'!$F$4:$F$86,"")</f>
        <v>12</v>
      </c>
      <c r="E46" s="2258">
        <v>60095</v>
      </c>
      <c r="F46" s="2259">
        <v>60095</v>
      </c>
      <c r="G46" s="2258">
        <v>112467</v>
      </c>
      <c r="H46" s="2252">
        <f t="shared" si="5"/>
        <v>52372</v>
      </c>
      <c r="I46" s="2258">
        <v>161926</v>
      </c>
      <c r="J46" s="2252">
        <f t="shared" si="6"/>
        <v>49459</v>
      </c>
      <c r="K46" s="2258">
        <v>222923</v>
      </c>
      <c r="L46" s="2252">
        <f t="shared" si="7"/>
        <v>60997</v>
      </c>
      <c r="M46" s="2258">
        <v>285335</v>
      </c>
      <c r="N46" s="2252">
        <f t="shared" si="8"/>
        <v>62412</v>
      </c>
      <c r="O46" s="2258">
        <v>347746</v>
      </c>
      <c r="P46" s="2252">
        <f t="shared" si="9"/>
        <v>62411</v>
      </c>
      <c r="Q46" s="2258">
        <v>412967</v>
      </c>
      <c r="R46" s="2252">
        <f t="shared" si="21"/>
        <v>65221</v>
      </c>
      <c r="S46" s="2258">
        <v>478188</v>
      </c>
      <c r="T46" s="2252">
        <f t="shared" si="10"/>
        <v>65221</v>
      </c>
      <c r="U46" s="2258">
        <v>543411</v>
      </c>
      <c r="V46" s="2252">
        <f t="shared" si="11"/>
        <v>65223</v>
      </c>
      <c r="W46" s="2258">
        <v>608631</v>
      </c>
      <c r="X46" s="2252">
        <f t="shared" si="12"/>
        <v>65220</v>
      </c>
      <c r="Y46" s="2258">
        <v>732326</v>
      </c>
      <c r="Z46" s="2252">
        <f t="shared" si="13"/>
        <v>123695</v>
      </c>
      <c r="AA46" s="2258">
        <v>847187</v>
      </c>
      <c r="AB46" s="2252">
        <f t="shared" si="14"/>
        <v>114861</v>
      </c>
      <c r="AC46" s="2251">
        <f>_xlfn.XLOOKUP($C46,'Sales Rec'!$E$4:$E$86,'Sales Rec'!$CH$4:$CH$86,"")</f>
        <v>108560</v>
      </c>
      <c r="AD46" s="2252">
        <f t="shared" si="15"/>
        <v>108560</v>
      </c>
      <c r="AE46" s="2253">
        <f t="shared" si="24"/>
        <v>0.80647308428321829</v>
      </c>
      <c r="AF46" s="2260">
        <v>-5.4857610503129872E-2</v>
      </c>
      <c r="AG46" s="2258">
        <v>242798</v>
      </c>
      <c r="AH46" s="2252">
        <f t="shared" si="16"/>
        <v>134238</v>
      </c>
      <c r="AI46" s="2253">
        <f t="shared" si="25"/>
        <v>0.49943801489569312</v>
      </c>
      <c r="AJ46" s="2260">
        <v>0.23653279292557111</v>
      </c>
      <c r="AK46" s="2258">
        <v>386677</v>
      </c>
      <c r="AL46" s="2252">
        <f t="shared" si="17"/>
        <v>143879</v>
      </c>
      <c r="AM46" s="2253">
        <f t="shared" si="26"/>
        <v>1.3879858700888059</v>
      </c>
      <c r="AN46" s="2260">
        <v>0.30787109462298307</v>
      </c>
      <c r="AO46" s="2251">
        <f>_xlfn.XLOOKUP($C46,'Last M. Sales'!$C$3:$C$82,'Last M. Sales'!$I$3:$I$82,"")</f>
        <v>562720</v>
      </c>
      <c r="AP46" s="2252">
        <f t="shared" si="18"/>
        <v>176043</v>
      </c>
      <c r="AQ46" s="2253">
        <f t="shared" si="27"/>
        <v>1.5242796840164541</v>
      </c>
      <c r="AR46" s="2254">
        <f t="shared" si="28"/>
        <v>0.22354895432967981</v>
      </c>
      <c r="AS46" s="2255">
        <f t="shared" si="29"/>
        <v>0.27290174338986622</v>
      </c>
      <c r="AT46" s="1575">
        <f t="shared" si="30"/>
        <v>20</v>
      </c>
      <c r="AU46" s="2289"/>
      <c r="AV46" s="2289"/>
      <c r="AW46" s="2255">
        <f t="shared" si="20"/>
        <v>0.30838105993385495</v>
      </c>
      <c r="AX46" s="1575">
        <f t="shared" si="31"/>
        <v>35</v>
      </c>
    </row>
    <row r="47" spans="1:50" ht="25">
      <c r="A47" s="100">
        <f>_xlfn.XLOOKUP($C47,MOPFRA!$R$7:$R$56,MOPFRA!$A$7:$A$56,"")</f>
        <v>12.65688189714186</v>
      </c>
      <c r="B47" s="2250" t="s">
        <v>98</v>
      </c>
      <c r="C47" s="2250" t="s">
        <v>99</v>
      </c>
      <c r="D47" s="2277">
        <f>_xlfn.XLOOKUP(C47,'Sales Rec'!$E$4:$E$86,'Sales Rec'!$F$4:$F$86,"")</f>
        <v>12</v>
      </c>
      <c r="E47" s="2258">
        <v>60</v>
      </c>
      <c r="F47" s="2259">
        <v>60</v>
      </c>
      <c r="G47" s="2258">
        <v>159</v>
      </c>
      <c r="H47" s="2252">
        <f t="shared" si="5"/>
        <v>99</v>
      </c>
      <c r="I47" s="2258">
        <v>333</v>
      </c>
      <c r="J47" s="2252">
        <f t="shared" si="6"/>
        <v>174</v>
      </c>
      <c r="K47" s="2258">
        <v>412</v>
      </c>
      <c r="L47" s="2252">
        <f t="shared" si="7"/>
        <v>79</v>
      </c>
      <c r="M47" s="2258">
        <v>501</v>
      </c>
      <c r="N47" s="2252">
        <f t="shared" si="8"/>
        <v>89</v>
      </c>
      <c r="O47" s="2258">
        <v>732</v>
      </c>
      <c r="P47" s="2252">
        <f t="shared" si="9"/>
        <v>231</v>
      </c>
      <c r="Q47" s="2258">
        <v>875</v>
      </c>
      <c r="R47" s="2252">
        <f t="shared" si="21"/>
        <v>143</v>
      </c>
      <c r="S47" s="2258">
        <v>1027</v>
      </c>
      <c r="T47" s="2252">
        <f t="shared" si="10"/>
        <v>152</v>
      </c>
      <c r="U47" s="2258">
        <v>1189</v>
      </c>
      <c r="V47" s="2252">
        <f t="shared" si="11"/>
        <v>162</v>
      </c>
      <c r="W47" s="2258">
        <v>1364</v>
      </c>
      <c r="X47" s="2252">
        <f t="shared" si="12"/>
        <v>175</v>
      </c>
      <c r="Y47" s="2258">
        <v>1578</v>
      </c>
      <c r="Z47" s="2252">
        <f t="shared" si="13"/>
        <v>214</v>
      </c>
      <c r="AA47" s="2258">
        <v>1820</v>
      </c>
      <c r="AB47" s="2252">
        <f t="shared" si="14"/>
        <v>242</v>
      </c>
      <c r="AC47" s="2251">
        <f>_xlfn.XLOOKUP($C47,'Sales Rec'!$E$4:$E$86,'Sales Rec'!$CH$4:$CH$86,"")</f>
        <v>218</v>
      </c>
      <c r="AD47" s="2252">
        <f t="shared" si="15"/>
        <v>218</v>
      </c>
      <c r="AE47" s="2253">
        <f t="shared" si="24"/>
        <v>2.6333333333333333</v>
      </c>
      <c r="AF47" s="2260">
        <v>-9.9173553719008267E-2</v>
      </c>
      <c r="AG47" s="2258">
        <v>659</v>
      </c>
      <c r="AH47" s="2252">
        <f t="shared" si="16"/>
        <v>441</v>
      </c>
      <c r="AI47" s="2253">
        <f t="shared" si="25"/>
        <v>0.97897897897897901</v>
      </c>
      <c r="AJ47" s="2260">
        <v>1.0229357798165137</v>
      </c>
      <c r="AK47" s="2258">
        <v>977</v>
      </c>
      <c r="AL47" s="2252">
        <f t="shared" si="17"/>
        <v>318</v>
      </c>
      <c r="AM47" s="2253">
        <f t="shared" si="26"/>
        <v>1.9339339339339339</v>
      </c>
      <c r="AN47" s="2260">
        <v>-0.27891156462585032</v>
      </c>
      <c r="AO47" s="2251">
        <f>_xlfn.XLOOKUP($C47,'Last M. Sales'!$C$3:$C$82,'Last M. Sales'!$I$3:$I$82,"")</f>
        <v>1297</v>
      </c>
      <c r="AP47" s="2252">
        <f t="shared" si="18"/>
        <v>320</v>
      </c>
      <c r="AQ47" s="2253">
        <f t="shared" si="27"/>
        <v>2.1480582524271843</v>
      </c>
      <c r="AR47" s="2254">
        <f t="shared" si="28"/>
        <v>6.2893081761006293E-3</v>
      </c>
      <c r="AS47" s="2255">
        <f t="shared" si="29"/>
        <v>0.5483359746434231</v>
      </c>
      <c r="AT47" s="1575">
        <f t="shared" si="30"/>
        <v>12</v>
      </c>
      <c r="AU47" s="2289"/>
      <c r="AV47" s="2289"/>
      <c r="AW47" s="2255">
        <f t="shared" si="20"/>
        <v>0.60089020771513357</v>
      </c>
      <c r="AX47" s="1575">
        <f t="shared" si="31"/>
        <v>24</v>
      </c>
    </row>
    <row r="48" spans="1:50" ht="25">
      <c r="A48" s="100">
        <f>_xlfn.XLOOKUP($C48,MOPFRA!$R$7:$R$56,MOPFRA!$A$7:$A$56,"")</f>
        <v>11.948830102828419</v>
      </c>
      <c r="B48" s="2250" t="s">
        <v>177</v>
      </c>
      <c r="C48" s="2250" t="s">
        <v>178</v>
      </c>
      <c r="D48" s="2277">
        <f>_xlfn.XLOOKUP(C48,'Sales Rec'!$E$4:$E$86,'Sales Rec'!$F$4:$F$86,"")</f>
        <v>12</v>
      </c>
      <c r="E48" s="2258">
        <v>1969</v>
      </c>
      <c r="F48" s="2259">
        <v>1969</v>
      </c>
      <c r="G48" s="2258">
        <v>4752</v>
      </c>
      <c r="H48" s="2252">
        <f t="shared" si="5"/>
        <v>2783</v>
      </c>
      <c r="I48" s="2258">
        <v>7152</v>
      </c>
      <c r="J48" s="2252">
        <f t="shared" si="6"/>
        <v>2400</v>
      </c>
      <c r="K48" s="2258">
        <v>9687</v>
      </c>
      <c r="L48" s="2252">
        <f t="shared" si="7"/>
        <v>2535</v>
      </c>
      <c r="M48" s="2258">
        <v>12432</v>
      </c>
      <c r="N48" s="2252">
        <f t="shared" si="8"/>
        <v>2745</v>
      </c>
      <c r="O48" s="2258">
        <v>15233</v>
      </c>
      <c r="P48" s="2252">
        <f t="shared" si="9"/>
        <v>2801</v>
      </c>
      <c r="Q48" s="2258">
        <v>18463</v>
      </c>
      <c r="R48" s="2252">
        <f t="shared" si="21"/>
        <v>3230</v>
      </c>
      <c r="S48" s="2258">
        <v>21022</v>
      </c>
      <c r="T48" s="2252">
        <f t="shared" si="10"/>
        <v>2559</v>
      </c>
      <c r="U48" s="2258">
        <v>23770</v>
      </c>
      <c r="V48" s="2252">
        <f t="shared" si="11"/>
        <v>2748</v>
      </c>
      <c r="W48" s="2258">
        <v>27304</v>
      </c>
      <c r="X48" s="2252">
        <f t="shared" si="12"/>
        <v>3534</v>
      </c>
      <c r="Y48" s="2258">
        <v>32044</v>
      </c>
      <c r="Z48" s="2252">
        <f t="shared" si="13"/>
        <v>4740</v>
      </c>
      <c r="AA48" s="2258">
        <v>34215</v>
      </c>
      <c r="AB48" s="2252">
        <f t="shared" si="14"/>
        <v>2171</v>
      </c>
      <c r="AC48" s="2251">
        <f>_xlfn.XLOOKUP($C48,'Sales Rec'!$E$4:$E$86,'Sales Rec'!$CH$4:$CH$86,"")</f>
        <v>2138</v>
      </c>
      <c r="AD48" s="2252">
        <f t="shared" si="15"/>
        <v>2138</v>
      </c>
      <c r="AE48" s="2253">
        <f t="shared" si="24"/>
        <v>8.5830370746571863E-2</v>
      </c>
      <c r="AF48" s="2260">
        <v>-1.5200368493781667E-2</v>
      </c>
      <c r="AG48" s="2258">
        <v>6829</v>
      </c>
      <c r="AH48" s="2252">
        <f t="shared" si="16"/>
        <v>4691</v>
      </c>
      <c r="AI48" s="2253">
        <f t="shared" si="25"/>
        <v>-4.516219239373602E-2</v>
      </c>
      <c r="AJ48" s="2260">
        <v>1.1941066417212347</v>
      </c>
      <c r="AK48" s="2258">
        <v>10601</v>
      </c>
      <c r="AL48" s="2252">
        <f t="shared" si="17"/>
        <v>3772</v>
      </c>
      <c r="AM48" s="2253">
        <f t="shared" si="26"/>
        <v>0.48224272930648771</v>
      </c>
      <c r="AN48" s="2260">
        <v>-0.19590705606480494</v>
      </c>
      <c r="AO48" s="2251">
        <f>_xlfn.XLOOKUP($C48,'Last M. Sales'!$C$3:$C$82,'Last M. Sales'!$I$3:$I$82,"")</f>
        <v>15719</v>
      </c>
      <c r="AP48" s="2252">
        <f t="shared" si="18"/>
        <v>5118</v>
      </c>
      <c r="AQ48" s="2253">
        <f t="shared" si="27"/>
        <v>0.62269020336533498</v>
      </c>
      <c r="AR48" s="2254">
        <f t="shared" si="28"/>
        <v>0.35683987274655354</v>
      </c>
      <c r="AS48" s="2255">
        <f t="shared" si="29"/>
        <v>1.4935375777884155E-2</v>
      </c>
      <c r="AT48" s="1575">
        <f t="shared" si="30"/>
        <v>33</v>
      </c>
      <c r="AU48" s="2289"/>
      <c r="AV48" s="2289"/>
      <c r="AW48" s="2255">
        <f t="shared" si="20"/>
        <v>0.5008288208641839</v>
      </c>
      <c r="AX48" s="1575">
        <f t="shared" si="31"/>
        <v>28</v>
      </c>
    </row>
    <row r="49" spans="1:50" ht="25">
      <c r="A49" s="100">
        <f>_xlfn.XLOOKUP($C49,MOPFRA!$R$7:$R$56,MOPFRA!$A$7:$A$56,"")</f>
        <v>13.443311016965691</v>
      </c>
      <c r="B49" s="2250" t="s">
        <v>173</v>
      </c>
      <c r="C49" s="2250" t="s">
        <v>174</v>
      </c>
      <c r="D49" s="2277">
        <f>_xlfn.XLOOKUP(C49,'Sales Rec'!$E$4:$E$86,'Sales Rec'!$F$4:$F$86,"")</f>
        <v>12</v>
      </c>
      <c r="E49" s="2258">
        <v>49510</v>
      </c>
      <c r="F49" s="2259">
        <v>49510</v>
      </c>
      <c r="G49" s="2258">
        <v>97546</v>
      </c>
      <c r="H49" s="2252">
        <f t="shared" si="5"/>
        <v>48036</v>
      </c>
      <c r="I49" s="2258">
        <v>144274</v>
      </c>
      <c r="J49" s="2252">
        <f t="shared" si="6"/>
        <v>46728</v>
      </c>
      <c r="K49" s="2258">
        <v>193280</v>
      </c>
      <c r="L49" s="2252">
        <f t="shared" si="7"/>
        <v>49006</v>
      </c>
      <c r="M49" s="2258">
        <v>242301</v>
      </c>
      <c r="N49" s="2252">
        <f t="shared" si="8"/>
        <v>49021</v>
      </c>
      <c r="O49" s="2258">
        <v>291322</v>
      </c>
      <c r="P49" s="2252">
        <f t="shared" si="9"/>
        <v>49021</v>
      </c>
      <c r="Q49" s="2258">
        <v>337107</v>
      </c>
      <c r="R49" s="2252">
        <f t="shared" si="21"/>
        <v>45785</v>
      </c>
      <c r="S49" s="2258">
        <v>382892</v>
      </c>
      <c r="T49" s="2252">
        <f t="shared" si="10"/>
        <v>45785</v>
      </c>
      <c r="U49" s="2258">
        <v>428677</v>
      </c>
      <c r="V49" s="2252">
        <f t="shared" si="11"/>
        <v>45785</v>
      </c>
      <c r="W49" s="2258">
        <v>474462</v>
      </c>
      <c r="X49" s="2252">
        <f t="shared" si="12"/>
        <v>45785</v>
      </c>
      <c r="Y49" s="2258">
        <v>572383</v>
      </c>
      <c r="Z49" s="2252">
        <f t="shared" si="13"/>
        <v>97921</v>
      </c>
      <c r="AA49" s="2258">
        <v>654407</v>
      </c>
      <c r="AB49" s="2252">
        <f t="shared" si="14"/>
        <v>82024</v>
      </c>
      <c r="AC49" s="2251">
        <f>_xlfn.XLOOKUP($C49,'Sales Rec'!$E$4:$E$86,'Sales Rec'!$CH$4:$CH$86,"")</f>
        <v>83806</v>
      </c>
      <c r="AD49" s="2252">
        <f t="shared" si="15"/>
        <v>83806</v>
      </c>
      <c r="AE49" s="2253">
        <f t="shared" si="24"/>
        <v>0.69270854372853974</v>
      </c>
      <c r="AF49" s="2260">
        <v>2.1725348678435581E-2</v>
      </c>
      <c r="AG49" s="2258">
        <v>174311</v>
      </c>
      <c r="AH49" s="2252">
        <f t="shared" si="16"/>
        <v>90505</v>
      </c>
      <c r="AI49" s="2253">
        <f t="shared" si="25"/>
        <v>0.20819413061258438</v>
      </c>
      <c r="AJ49" s="2260">
        <v>7.993461088704866E-2</v>
      </c>
      <c r="AK49" s="2258">
        <v>266403</v>
      </c>
      <c r="AL49" s="2252">
        <f t="shared" si="17"/>
        <v>92092</v>
      </c>
      <c r="AM49" s="2253">
        <f t="shared" si="26"/>
        <v>0.84650734019989737</v>
      </c>
      <c r="AN49" s="2260">
        <v>1.7534942820838628E-2</v>
      </c>
      <c r="AO49" s="2251">
        <f>_xlfn.XLOOKUP($C49,'Last M. Sales'!$C$3:$C$82,'Last M. Sales'!$I$3:$I$82,"")</f>
        <v>389656</v>
      </c>
      <c r="AP49" s="2252">
        <f t="shared" si="18"/>
        <v>123253</v>
      </c>
      <c r="AQ49" s="2253">
        <f t="shared" si="27"/>
        <v>1.0160182119205299</v>
      </c>
      <c r="AR49" s="2254">
        <f t="shared" si="28"/>
        <v>0.3383681535855449</v>
      </c>
      <c r="AS49" s="2255">
        <f t="shared" si="29"/>
        <v>0.18018429096708458</v>
      </c>
      <c r="AT49" s="1575">
        <f t="shared" si="30"/>
        <v>23</v>
      </c>
      <c r="AU49" s="2289"/>
      <c r="AV49" s="2289"/>
      <c r="AW49" s="2255">
        <f t="shared" si="20"/>
        <v>0.15961645643049693</v>
      </c>
      <c r="AX49" s="1575">
        <f t="shared" si="31"/>
        <v>43</v>
      </c>
    </row>
    <row r="50" spans="1:50" ht="25">
      <c r="A50" s="100">
        <f>_xlfn.XLOOKUP($C50,MOPFRA!$R$7:$R$56,MOPFRA!$A$7:$A$56,"")</f>
        <v>18.611866641113266</v>
      </c>
      <c r="B50" s="2250" t="s">
        <v>171</v>
      </c>
      <c r="C50" s="2250" t="s">
        <v>172</v>
      </c>
      <c r="D50" s="2277">
        <f>_xlfn.XLOOKUP(C50,'Sales Rec'!$E$4:$E$86,'Sales Rec'!$F$4:$F$86,"")</f>
        <v>12</v>
      </c>
      <c r="E50" s="2258">
        <v>36943</v>
      </c>
      <c r="F50" s="2259">
        <v>36943</v>
      </c>
      <c r="G50" s="2258">
        <v>72629</v>
      </c>
      <c r="H50" s="2252">
        <f t="shared" si="5"/>
        <v>35686</v>
      </c>
      <c r="I50" s="2258">
        <v>109492</v>
      </c>
      <c r="J50" s="2252">
        <f t="shared" si="6"/>
        <v>36863</v>
      </c>
      <c r="K50" s="2258">
        <v>144956</v>
      </c>
      <c r="L50" s="2252">
        <f t="shared" si="7"/>
        <v>35464</v>
      </c>
      <c r="M50" s="2258">
        <v>180418</v>
      </c>
      <c r="N50" s="2252">
        <f t="shared" si="8"/>
        <v>35462</v>
      </c>
      <c r="O50" s="2258">
        <v>215880</v>
      </c>
      <c r="P50" s="2252">
        <f t="shared" si="9"/>
        <v>35462</v>
      </c>
      <c r="Q50" s="2258">
        <v>247139</v>
      </c>
      <c r="R50" s="2252">
        <f t="shared" si="21"/>
        <v>31259</v>
      </c>
      <c r="S50" s="2258">
        <v>278396</v>
      </c>
      <c r="T50" s="2252">
        <f t="shared" si="10"/>
        <v>31257</v>
      </c>
      <c r="U50" s="2258">
        <v>309653</v>
      </c>
      <c r="V50" s="2252">
        <f t="shared" si="11"/>
        <v>31257</v>
      </c>
      <c r="W50" s="2258">
        <v>340910</v>
      </c>
      <c r="X50" s="2252">
        <f t="shared" si="12"/>
        <v>31257</v>
      </c>
      <c r="Y50" s="2258">
        <v>419597</v>
      </c>
      <c r="Z50" s="2252">
        <f t="shared" si="13"/>
        <v>78687</v>
      </c>
      <c r="AA50" s="2258">
        <v>456866</v>
      </c>
      <c r="AB50" s="2252">
        <f t="shared" si="14"/>
        <v>37269</v>
      </c>
      <c r="AC50" s="2251">
        <f>_xlfn.XLOOKUP($C50,'Sales Rec'!$E$4:$E$86,'Sales Rec'!$CH$4:$CH$86,"")</f>
        <v>20144</v>
      </c>
      <c r="AD50" s="2252">
        <f t="shared" si="15"/>
        <v>20144</v>
      </c>
      <c r="AE50" s="2253">
        <f t="shared" si="24"/>
        <v>-0.45472755325772135</v>
      </c>
      <c r="AF50" s="2260">
        <v>-0.45949716922911804</v>
      </c>
      <c r="AG50" s="2258">
        <v>80460</v>
      </c>
      <c r="AH50" s="2252">
        <f t="shared" si="16"/>
        <v>60316</v>
      </c>
      <c r="AI50" s="2253">
        <f t="shared" si="25"/>
        <v>-0.26515179191173782</v>
      </c>
      <c r="AJ50" s="2260">
        <v>1.9942414614773629</v>
      </c>
      <c r="AK50" s="2258">
        <v>145436</v>
      </c>
      <c r="AL50" s="2252">
        <f t="shared" si="17"/>
        <v>64976</v>
      </c>
      <c r="AM50" s="2253">
        <f t="shared" si="26"/>
        <v>0.32827969166697113</v>
      </c>
      <c r="AN50" s="2260">
        <v>7.8884541415213213E-2</v>
      </c>
      <c r="AO50" s="2251">
        <f>_xlfn.XLOOKUP($C50,'Last M. Sales'!$C$3:$C$82,'Last M. Sales'!$I$3:$I$82,"")</f>
        <v>220517</v>
      </c>
      <c r="AP50" s="2252">
        <f t="shared" si="18"/>
        <v>75081</v>
      </c>
      <c r="AQ50" s="2253">
        <f t="shared" si="27"/>
        <v>0.5212685228621099</v>
      </c>
      <c r="AR50" s="2254">
        <f t="shared" si="28"/>
        <v>0.155518960847082</v>
      </c>
      <c r="AS50" s="2255">
        <f t="shared" si="29"/>
        <v>-1.2070944821449194E-2</v>
      </c>
      <c r="AT50" s="1575">
        <f t="shared" si="30"/>
        <v>35</v>
      </c>
      <c r="AU50" s="2289"/>
      <c r="AV50" s="2289"/>
      <c r="AW50" s="2255">
        <f t="shared" si="20"/>
        <v>0.47224834680382072</v>
      </c>
      <c r="AX50" s="1575">
        <f t="shared" si="31"/>
        <v>29</v>
      </c>
    </row>
    <row r="51" spans="1:50" ht="25">
      <c r="A51" s="100">
        <f>_xlfn.XLOOKUP($C51,MOPFRA!$R$7:$R$56,MOPFRA!$A$7:$A$56,"")</f>
        <v>11.736609338117248</v>
      </c>
      <c r="B51" s="2250" t="s">
        <v>164</v>
      </c>
      <c r="C51" s="2250" t="s">
        <v>165</v>
      </c>
      <c r="D51" s="2277">
        <f>_xlfn.XLOOKUP(C51,'Sales Rec'!$E$4:$E$86,'Sales Rec'!$F$4:$F$86,"")</f>
        <v>12</v>
      </c>
      <c r="E51" s="2258">
        <v>316</v>
      </c>
      <c r="F51" s="2259">
        <v>316</v>
      </c>
      <c r="G51" s="2258">
        <v>639</v>
      </c>
      <c r="H51" s="2252">
        <f t="shared" si="5"/>
        <v>323</v>
      </c>
      <c r="I51" s="2258">
        <v>1005</v>
      </c>
      <c r="J51" s="2252">
        <f t="shared" si="6"/>
        <v>366</v>
      </c>
      <c r="K51" s="2258">
        <v>1387</v>
      </c>
      <c r="L51" s="2252">
        <f t="shared" si="7"/>
        <v>382</v>
      </c>
      <c r="M51" s="2258">
        <v>1772</v>
      </c>
      <c r="N51" s="2252">
        <f t="shared" si="8"/>
        <v>385</v>
      </c>
      <c r="O51" s="2258">
        <v>2196</v>
      </c>
      <c r="P51" s="2252">
        <f t="shared" si="9"/>
        <v>424</v>
      </c>
      <c r="Q51" s="2258">
        <v>2619</v>
      </c>
      <c r="R51" s="2252">
        <f t="shared" si="21"/>
        <v>423</v>
      </c>
      <c r="S51" s="2258">
        <v>3043</v>
      </c>
      <c r="T51" s="2252">
        <f t="shared" si="10"/>
        <v>424</v>
      </c>
      <c r="U51" s="2258">
        <v>3490</v>
      </c>
      <c r="V51" s="2252">
        <f t="shared" si="11"/>
        <v>447</v>
      </c>
      <c r="W51" s="2258">
        <v>3954</v>
      </c>
      <c r="X51" s="2252">
        <f t="shared" si="12"/>
        <v>464</v>
      </c>
      <c r="Y51" s="2258">
        <v>4462</v>
      </c>
      <c r="Z51" s="2252">
        <f t="shared" si="13"/>
        <v>508</v>
      </c>
      <c r="AA51" s="2258">
        <v>4859</v>
      </c>
      <c r="AB51" s="2252">
        <f t="shared" si="14"/>
        <v>397</v>
      </c>
      <c r="AC51" s="2251">
        <f>_xlfn.XLOOKUP($C51,'Sales Rec'!$E$4:$E$86,'Sales Rec'!$CH$4:$CH$86,"")</f>
        <v>616</v>
      </c>
      <c r="AD51" s="2252">
        <f t="shared" si="15"/>
        <v>616</v>
      </c>
      <c r="AE51" s="2253">
        <f t="shared" si="24"/>
        <v>0.94936708860759489</v>
      </c>
      <c r="AF51" s="2260">
        <v>0.55163727959697728</v>
      </c>
      <c r="AG51" s="2258">
        <v>1516</v>
      </c>
      <c r="AH51" s="2252">
        <f t="shared" si="16"/>
        <v>900</v>
      </c>
      <c r="AI51" s="2253">
        <f t="shared" si="25"/>
        <v>0.50845771144278606</v>
      </c>
      <c r="AJ51" s="2260">
        <v>0.46103896103896103</v>
      </c>
      <c r="AK51" s="2258">
        <v>2767</v>
      </c>
      <c r="AL51" s="2252">
        <f t="shared" si="17"/>
        <v>1251</v>
      </c>
      <c r="AM51" s="2253">
        <f t="shared" si="26"/>
        <v>1.7532338308457711</v>
      </c>
      <c r="AN51" s="2260">
        <v>0.39</v>
      </c>
      <c r="AO51" s="2251">
        <f>_xlfn.XLOOKUP($C51,'Last M. Sales'!$C$3:$C$82,'Last M. Sales'!$I$3:$I$82,"")</f>
        <v>4037</v>
      </c>
      <c r="AP51" s="2252">
        <f t="shared" si="18"/>
        <v>1270</v>
      </c>
      <c r="AQ51" s="2253">
        <f t="shared" si="27"/>
        <v>1.9105984138428262</v>
      </c>
      <c r="AR51" s="2254">
        <f t="shared" si="28"/>
        <v>1.5187849720223821E-2</v>
      </c>
      <c r="AS51" s="2255">
        <f t="shared" si="29"/>
        <v>1.0211833455076698</v>
      </c>
      <c r="AT51" s="1575">
        <f t="shared" si="30"/>
        <v>5</v>
      </c>
      <c r="AU51" s="2289"/>
      <c r="AV51" s="2289"/>
      <c r="AW51" s="2255">
        <f t="shared" si="20"/>
        <v>1.2491781722550954</v>
      </c>
      <c r="AX51" s="1575">
        <f t="shared" si="31"/>
        <v>7</v>
      </c>
    </row>
    <row r="52" spans="1:50" ht="25">
      <c r="A52" s="100">
        <f>_xlfn.XLOOKUP($C52,MOPFRA!$R$7:$R$56,MOPFRA!$A$7:$A$56,"")</f>
        <v>40.089609914804811</v>
      </c>
      <c r="B52" s="2250" t="s">
        <v>138</v>
      </c>
      <c r="C52" s="2250" t="s">
        <v>139</v>
      </c>
      <c r="D52" s="2277">
        <f>_xlfn.XLOOKUP(C52,'Sales Rec'!$E$4:$E$86,'Sales Rec'!$F$4:$F$86,"")</f>
        <v>12</v>
      </c>
      <c r="E52" s="2258">
        <v>293</v>
      </c>
      <c r="F52" s="2259">
        <v>293</v>
      </c>
      <c r="G52" s="2258">
        <v>830</v>
      </c>
      <c r="H52" s="2252">
        <f t="shared" si="5"/>
        <v>537</v>
      </c>
      <c r="I52" s="2258">
        <v>1252</v>
      </c>
      <c r="J52" s="2252">
        <f t="shared" si="6"/>
        <v>422</v>
      </c>
      <c r="K52" s="2258">
        <v>1618</v>
      </c>
      <c r="L52" s="2252">
        <f t="shared" si="7"/>
        <v>366</v>
      </c>
      <c r="M52" s="2258">
        <v>1968</v>
      </c>
      <c r="N52" s="2252">
        <f t="shared" si="8"/>
        <v>350</v>
      </c>
      <c r="O52" s="2258">
        <v>2460</v>
      </c>
      <c r="P52" s="2252">
        <f t="shared" si="9"/>
        <v>492</v>
      </c>
      <c r="Q52" s="2258">
        <v>3244</v>
      </c>
      <c r="R52" s="2252">
        <f t="shared" si="21"/>
        <v>784</v>
      </c>
      <c r="S52" s="2258">
        <v>3923</v>
      </c>
      <c r="T52" s="2252">
        <f t="shared" si="10"/>
        <v>679</v>
      </c>
      <c r="U52" s="2258">
        <v>4724</v>
      </c>
      <c r="V52" s="2252">
        <f t="shared" si="11"/>
        <v>801</v>
      </c>
      <c r="W52" s="2258">
        <v>5668</v>
      </c>
      <c r="X52" s="2252">
        <f t="shared" si="12"/>
        <v>944</v>
      </c>
      <c r="Y52" s="2258">
        <v>6603</v>
      </c>
      <c r="Z52" s="2252">
        <f t="shared" si="13"/>
        <v>935</v>
      </c>
      <c r="AA52" s="2258">
        <v>6843</v>
      </c>
      <c r="AB52" s="2252">
        <f t="shared" si="14"/>
        <v>240</v>
      </c>
      <c r="AC52" s="2251">
        <f>_xlfn.XLOOKUP($C52,'Sales Rec'!$E$4:$E$86,'Sales Rec'!$CH$4:$CH$86,"")</f>
        <v>418</v>
      </c>
      <c r="AD52" s="2252">
        <f t="shared" si="15"/>
        <v>418</v>
      </c>
      <c r="AE52" s="2253">
        <f t="shared" si="24"/>
        <v>0.42662116040955633</v>
      </c>
      <c r="AF52" s="2260">
        <v>0.7416666666666667</v>
      </c>
      <c r="AG52" s="2258">
        <v>1594</v>
      </c>
      <c r="AH52" s="2252">
        <f t="shared" si="16"/>
        <v>1176</v>
      </c>
      <c r="AI52" s="2253">
        <f t="shared" si="25"/>
        <v>0.2731629392971246</v>
      </c>
      <c r="AJ52" s="2260">
        <v>1.8133971291866029</v>
      </c>
      <c r="AK52" s="2258">
        <v>2426</v>
      </c>
      <c r="AL52" s="2252">
        <f t="shared" si="17"/>
        <v>832</v>
      </c>
      <c r="AM52" s="2253">
        <f t="shared" si="26"/>
        <v>0.93769968051118213</v>
      </c>
      <c r="AN52" s="2260">
        <v>-0.29251700680272108</v>
      </c>
      <c r="AO52" s="2251">
        <f>_xlfn.XLOOKUP($C52,'Last M. Sales'!$C$3:$C$82,'Last M. Sales'!$I$3:$I$82,"")</f>
        <v>3192</v>
      </c>
      <c r="AP52" s="2252">
        <f t="shared" si="18"/>
        <v>766</v>
      </c>
      <c r="AQ52" s="2253">
        <f t="shared" si="27"/>
        <v>0.97280593325092712</v>
      </c>
      <c r="AR52" s="2254">
        <f t="shared" si="28"/>
        <v>-7.9326923076923073E-2</v>
      </c>
      <c r="AS52" s="2255">
        <f t="shared" si="29"/>
        <v>0.14487966021708354</v>
      </c>
      <c r="AT52" s="1575">
        <f t="shared" si="30"/>
        <v>26</v>
      </c>
      <c r="AU52" s="2289"/>
      <c r="AV52" s="2289"/>
      <c r="AW52" s="2255">
        <f t="shared" si="20"/>
        <v>0.74136848713119896</v>
      </c>
      <c r="AX52" s="1575">
        <f t="shared" si="31"/>
        <v>22</v>
      </c>
    </row>
    <row r="53" spans="1:50" ht="25">
      <c r="A53" s="100">
        <f>_xlfn.XLOOKUP($C53,MOPFRA!$R$7:$R$56,MOPFRA!$A$7:$A$56,"")</f>
        <v>8.9948642701746628</v>
      </c>
      <c r="B53" s="2250" t="s">
        <v>92</v>
      </c>
      <c r="C53" s="2250" t="s">
        <v>93</v>
      </c>
      <c r="D53" s="2277">
        <f>_xlfn.XLOOKUP(C53,'Sales Rec'!$E$4:$E$86,'Sales Rec'!$F$4:$F$86,"")</f>
        <v>9</v>
      </c>
      <c r="E53" s="2258">
        <v>412</v>
      </c>
      <c r="F53" s="2259">
        <v>412</v>
      </c>
      <c r="G53" s="2258">
        <v>575</v>
      </c>
      <c r="H53" s="2252">
        <f t="shared" si="5"/>
        <v>163</v>
      </c>
      <c r="I53" s="2258">
        <v>711</v>
      </c>
      <c r="J53" s="2252">
        <f t="shared" si="6"/>
        <v>136</v>
      </c>
      <c r="K53" s="2258">
        <v>834</v>
      </c>
      <c r="L53" s="2252">
        <f t="shared" si="7"/>
        <v>123</v>
      </c>
      <c r="M53" s="2258">
        <v>975</v>
      </c>
      <c r="N53" s="2252">
        <f t="shared" si="8"/>
        <v>141</v>
      </c>
      <c r="O53" s="2258">
        <v>1090</v>
      </c>
      <c r="P53" s="2252">
        <f t="shared" si="9"/>
        <v>115</v>
      </c>
      <c r="Q53" s="2258">
        <v>1252</v>
      </c>
      <c r="R53" s="2252">
        <f t="shared" si="21"/>
        <v>162</v>
      </c>
      <c r="S53" s="2258">
        <v>1569</v>
      </c>
      <c r="T53" s="2252">
        <f t="shared" si="10"/>
        <v>317</v>
      </c>
      <c r="U53" s="2258">
        <v>1600</v>
      </c>
      <c r="V53" s="2252">
        <f t="shared" si="11"/>
        <v>31</v>
      </c>
      <c r="W53" s="2258">
        <v>108</v>
      </c>
      <c r="X53" s="2252">
        <f t="shared" si="12"/>
        <v>108</v>
      </c>
      <c r="Y53" s="2258">
        <v>371</v>
      </c>
      <c r="Z53" s="2252">
        <f t="shared" si="13"/>
        <v>263</v>
      </c>
      <c r="AA53" s="2258">
        <v>572</v>
      </c>
      <c r="AB53" s="2252">
        <f t="shared" si="14"/>
        <v>201</v>
      </c>
      <c r="AC53" s="2251">
        <f>_xlfn.XLOOKUP($C53,'Sales Rec'!$E$4:$E$86,'Sales Rec'!$CH$4:$CH$86,"")</f>
        <v>731</v>
      </c>
      <c r="AD53" s="2252">
        <f t="shared" si="15"/>
        <v>159</v>
      </c>
      <c r="AE53" s="2253">
        <f t="shared" si="24"/>
        <v>0.77427184466019416</v>
      </c>
      <c r="AF53" s="2260">
        <v>-0.20895522388059701</v>
      </c>
      <c r="AG53" s="2258">
        <v>1109</v>
      </c>
      <c r="AH53" s="2252">
        <f t="shared" si="16"/>
        <v>378</v>
      </c>
      <c r="AI53" s="2253">
        <f t="shared" si="25"/>
        <v>0.55977496483825595</v>
      </c>
      <c r="AJ53" s="2260">
        <v>1.3773584905660377</v>
      </c>
      <c r="AK53" s="2258">
        <v>1490</v>
      </c>
      <c r="AL53" s="2252">
        <f t="shared" si="17"/>
        <v>381</v>
      </c>
      <c r="AM53" s="2253">
        <f t="shared" si="26"/>
        <v>1.0956399437412097</v>
      </c>
      <c r="AN53" s="2260">
        <v>7.9365079365079361E-3</v>
      </c>
      <c r="AO53" s="2251">
        <f>_xlfn.XLOOKUP($C53,'Last M. Sales'!$C$3:$C$82,'Last M. Sales'!$I$3:$I$82,"")</f>
        <v>1757</v>
      </c>
      <c r="AP53" s="2252">
        <f t="shared" si="18"/>
        <v>267</v>
      </c>
      <c r="AQ53" s="2253">
        <f t="shared" si="27"/>
        <v>1.1067146282973621</v>
      </c>
      <c r="AR53" s="2254">
        <f t="shared" si="28"/>
        <v>-0.29921259842519687</v>
      </c>
      <c r="AS53" s="2255">
        <f t="shared" si="29"/>
        <v>0.6048951048951049</v>
      </c>
      <c r="AT53" s="1575">
        <f t="shared" si="30"/>
        <v>11</v>
      </c>
      <c r="AU53" s="2289"/>
      <c r="AV53" s="2289"/>
      <c r="AW53" s="2255">
        <f t="shared" si="20"/>
        <v>0.6468699839486356</v>
      </c>
      <c r="AX53" s="1575">
        <f t="shared" si="31"/>
        <v>23</v>
      </c>
    </row>
    <row r="54" spans="1:50" ht="25">
      <c r="A54" s="100">
        <f>_xlfn.XLOOKUP($C54,MOPFRA!$R$7:$R$56,MOPFRA!$A$7:$A$56,"")</f>
        <v>-5.9376752563919073</v>
      </c>
      <c r="B54" s="2250" t="s">
        <v>90</v>
      </c>
      <c r="C54" s="2250" t="s">
        <v>91</v>
      </c>
      <c r="D54" s="2277">
        <f>_xlfn.XLOOKUP(C54,'Sales Rec'!$E$4:$E$86,'Sales Rec'!$F$4:$F$86,"")</f>
        <v>9</v>
      </c>
      <c r="E54" s="2258">
        <v>1378</v>
      </c>
      <c r="F54" s="2259">
        <v>1378</v>
      </c>
      <c r="G54" s="2258">
        <v>1895</v>
      </c>
      <c r="H54" s="2252">
        <f t="shared" si="5"/>
        <v>517</v>
      </c>
      <c r="I54" s="2258">
        <v>2397</v>
      </c>
      <c r="J54" s="2252">
        <f t="shared" si="6"/>
        <v>502</v>
      </c>
      <c r="K54" s="2258">
        <v>2906</v>
      </c>
      <c r="L54" s="2252">
        <f t="shared" si="7"/>
        <v>509</v>
      </c>
      <c r="M54" s="2258">
        <v>3462</v>
      </c>
      <c r="N54" s="2252">
        <f t="shared" si="8"/>
        <v>556</v>
      </c>
      <c r="O54" s="2258">
        <v>4032</v>
      </c>
      <c r="P54" s="2252">
        <f t="shared" si="9"/>
        <v>570</v>
      </c>
      <c r="Q54" s="2258">
        <v>4631</v>
      </c>
      <c r="R54" s="2252">
        <f t="shared" si="21"/>
        <v>599</v>
      </c>
      <c r="S54" s="2258">
        <v>5234</v>
      </c>
      <c r="T54" s="2252">
        <f t="shared" si="10"/>
        <v>603</v>
      </c>
      <c r="U54" s="2258">
        <v>5721</v>
      </c>
      <c r="V54" s="2252">
        <f t="shared" si="11"/>
        <v>487</v>
      </c>
      <c r="W54" s="2258">
        <v>479</v>
      </c>
      <c r="X54" s="2252">
        <f t="shared" si="12"/>
        <v>479</v>
      </c>
      <c r="Y54" s="2258">
        <v>1560</v>
      </c>
      <c r="Z54" s="2252">
        <f t="shared" si="13"/>
        <v>1081</v>
      </c>
      <c r="AA54" s="2258">
        <v>2299</v>
      </c>
      <c r="AB54" s="2252">
        <f t="shared" si="14"/>
        <v>739</v>
      </c>
      <c r="AC54" s="2251">
        <f>_xlfn.XLOOKUP($C54,'Sales Rec'!$E$4:$E$86,'Sales Rec'!$CH$4:$CH$86,"")</f>
        <v>2706</v>
      </c>
      <c r="AD54" s="2252">
        <f t="shared" si="15"/>
        <v>407</v>
      </c>
      <c r="AE54" s="2253">
        <f t="shared" si="24"/>
        <v>0.96371552975326558</v>
      </c>
      <c r="AF54" s="2260">
        <v>-0.44925575101488496</v>
      </c>
      <c r="AG54" s="2258">
        <v>3774</v>
      </c>
      <c r="AH54" s="2252">
        <f t="shared" si="16"/>
        <v>1068</v>
      </c>
      <c r="AI54" s="2253">
        <f t="shared" si="25"/>
        <v>0.57446808510638303</v>
      </c>
      <c r="AJ54" s="2260">
        <v>1.624078624078624</v>
      </c>
      <c r="AK54" s="2258">
        <v>5214</v>
      </c>
      <c r="AL54" s="2252">
        <f t="shared" si="17"/>
        <v>1440</v>
      </c>
      <c r="AM54" s="2253">
        <f t="shared" si="26"/>
        <v>1.1752190237797246</v>
      </c>
      <c r="AN54" s="2260">
        <v>0.34831460674157305</v>
      </c>
      <c r="AO54" s="2251">
        <f>_xlfn.XLOOKUP($C54,'Last M. Sales'!$C$3:$C$82,'Last M. Sales'!$I$3:$I$82,"")</f>
        <v>6240</v>
      </c>
      <c r="AP54" s="2252">
        <f t="shared" si="18"/>
        <v>1026</v>
      </c>
      <c r="AQ54" s="2253">
        <f t="shared" si="27"/>
        <v>1.1472814865794907</v>
      </c>
      <c r="AR54" s="2254">
        <f t="shared" si="28"/>
        <v>-0.28749999999999998</v>
      </c>
      <c r="AS54" s="2255">
        <f t="shared" si="29"/>
        <v>0.26794258373205743</v>
      </c>
      <c r="AT54" s="1575">
        <f t="shared" si="30"/>
        <v>21</v>
      </c>
      <c r="AU54" s="2289"/>
      <c r="AV54" s="2289"/>
      <c r="AW54" s="2255">
        <f t="shared" si="20"/>
        <v>0.58688819039066009</v>
      </c>
      <c r="AX54" s="1575">
        <f t="shared" si="31"/>
        <v>25</v>
      </c>
    </row>
    <row r="55" spans="1:50" ht="25">
      <c r="A55" s="100">
        <f>_xlfn.XLOOKUP($C55,MOPFRA!$R$7:$R$56,MOPFRA!$A$7:$A$56,"")</f>
        <v>3.7897457124291933</v>
      </c>
      <c r="B55" s="2250" t="s">
        <v>142</v>
      </c>
      <c r="C55" s="2250" t="s">
        <v>143</v>
      </c>
      <c r="D55" s="2277">
        <f>_xlfn.XLOOKUP(C55,'Sales Rec'!$E$4:$E$86,'Sales Rec'!$F$4:$F$86,"")</f>
        <v>6</v>
      </c>
      <c r="E55" s="2258">
        <v>27429</v>
      </c>
      <c r="F55" s="2259">
        <v>27429</v>
      </c>
      <c r="G55" s="2258">
        <v>34670</v>
      </c>
      <c r="H55" s="2252">
        <f t="shared" si="5"/>
        <v>7241</v>
      </c>
      <c r="I55" s="2258">
        <v>38344</v>
      </c>
      <c r="J55" s="2252">
        <f t="shared" si="6"/>
        <v>3674</v>
      </c>
      <c r="K55" s="2258">
        <v>44361</v>
      </c>
      <c r="L55" s="2252">
        <f t="shared" si="7"/>
        <v>6017</v>
      </c>
      <c r="M55" s="2258">
        <v>53424</v>
      </c>
      <c r="N55" s="2252">
        <f t="shared" si="8"/>
        <v>9063</v>
      </c>
      <c r="O55" s="2258">
        <v>60115</v>
      </c>
      <c r="P55" s="2252">
        <f t="shared" si="9"/>
        <v>6691</v>
      </c>
      <c r="Q55" s="2258">
        <v>7988</v>
      </c>
      <c r="R55" s="2252">
        <f t="shared" si="21"/>
        <v>7988</v>
      </c>
      <c r="S55" s="2258">
        <v>16381</v>
      </c>
      <c r="T55" s="2252">
        <f t="shared" si="10"/>
        <v>8393</v>
      </c>
      <c r="U55" s="2258">
        <v>24585</v>
      </c>
      <c r="V55" s="2252">
        <f t="shared" si="11"/>
        <v>8204</v>
      </c>
      <c r="W55" s="2258">
        <v>33659</v>
      </c>
      <c r="X55" s="2252">
        <f t="shared" si="12"/>
        <v>9074</v>
      </c>
      <c r="Y55" s="2258">
        <v>39912</v>
      </c>
      <c r="Z55" s="2252">
        <f t="shared" si="13"/>
        <v>6253</v>
      </c>
      <c r="AA55" s="2258">
        <v>56586</v>
      </c>
      <c r="AB55" s="2252">
        <f t="shared" si="14"/>
        <v>16674</v>
      </c>
      <c r="AC55" s="2251">
        <f>_xlfn.XLOOKUP($C55,'Sales Rec'!$E$4:$E$86,'Sales Rec'!$CH$4:$CH$86,"")</f>
        <v>61637</v>
      </c>
      <c r="AD55" s="2252">
        <f t="shared" si="15"/>
        <v>5051</v>
      </c>
      <c r="AE55" s="2253">
        <f t="shared" si="24"/>
        <v>1.2471471799919793</v>
      </c>
      <c r="AF55" s="2260">
        <v>-0.6970732877533885</v>
      </c>
      <c r="AG55" s="2258">
        <v>62163</v>
      </c>
      <c r="AH55" s="2252">
        <f t="shared" si="16"/>
        <v>526</v>
      </c>
      <c r="AI55" s="2253">
        <f t="shared" si="25"/>
        <v>0.62119236386396826</v>
      </c>
      <c r="AJ55" s="2260">
        <v>-0.89586220550386064</v>
      </c>
      <c r="AK55" s="2258">
        <v>66073</v>
      </c>
      <c r="AL55" s="2252">
        <f t="shared" si="17"/>
        <v>3910</v>
      </c>
      <c r="AM55" s="2253">
        <f t="shared" si="26"/>
        <v>0.72316398915084501</v>
      </c>
      <c r="AN55" s="2260">
        <v>6.4334600760456278</v>
      </c>
      <c r="AO55" s="2251">
        <f>_xlfn.XLOOKUP($C55,'Last M. Sales'!$C$3:$C$82,'Last M. Sales'!$I$3:$I$82,"")</f>
        <v>71717</v>
      </c>
      <c r="AP55" s="2252">
        <f t="shared" si="18"/>
        <v>5644</v>
      </c>
      <c r="AQ55" s="2253">
        <f t="shared" si="27"/>
        <v>0.61666779378282721</v>
      </c>
      <c r="AR55" s="2254">
        <f t="shared" si="28"/>
        <v>0.44347826086956521</v>
      </c>
      <c r="AS55" s="2255">
        <f t="shared" si="29"/>
        <v>-0.70354051435892628</v>
      </c>
      <c r="AT55" s="1575">
        <f t="shared" si="30"/>
        <v>48</v>
      </c>
      <c r="AU55" s="2289"/>
      <c r="AV55" s="2289"/>
      <c r="AW55" s="2255">
        <f t="shared" si="20"/>
        <v>-0.63971692043748662</v>
      </c>
      <c r="AX55" s="1575">
        <f t="shared" si="31"/>
        <v>49</v>
      </c>
    </row>
    <row r="56" spans="1:50" ht="25">
      <c r="A56" s="100">
        <f>_xlfn.XLOOKUP($C56,MOPFRA!$R$7:$R$56,MOPFRA!$A$7:$A$56,"")</f>
        <v>27.307134554074281</v>
      </c>
      <c r="B56" s="2250" t="s">
        <v>110</v>
      </c>
      <c r="C56" s="2250" t="s">
        <v>111</v>
      </c>
      <c r="D56" s="2277">
        <f>_xlfn.XLOOKUP(C56,'Sales Rec'!$E$4:$E$86,'Sales Rec'!$F$4:$F$86,"")</f>
        <v>12</v>
      </c>
      <c r="E56" s="2258">
        <v>74</v>
      </c>
      <c r="F56" s="2259">
        <v>74</v>
      </c>
      <c r="G56" s="2258">
        <v>402</v>
      </c>
      <c r="H56" s="2252">
        <f t="shared" si="5"/>
        <v>328</v>
      </c>
      <c r="I56" s="2258">
        <v>624</v>
      </c>
      <c r="J56" s="2252">
        <f t="shared" si="6"/>
        <v>222</v>
      </c>
      <c r="K56" s="2258">
        <v>800</v>
      </c>
      <c r="L56" s="2252">
        <f t="shared" si="7"/>
        <v>176</v>
      </c>
      <c r="M56" s="2258">
        <v>1125</v>
      </c>
      <c r="N56" s="2252">
        <f t="shared" si="8"/>
        <v>325</v>
      </c>
      <c r="O56" s="2258">
        <v>1511</v>
      </c>
      <c r="P56" s="2252">
        <f t="shared" si="9"/>
        <v>386</v>
      </c>
      <c r="Q56" s="2258">
        <v>1893</v>
      </c>
      <c r="R56" s="2252">
        <f t="shared" si="21"/>
        <v>382</v>
      </c>
      <c r="S56" s="2258">
        <v>2217</v>
      </c>
      <c r="T56" s="2252">
        <f t="shared" si="10"/>
        <v>324</v>
      </c>
      <c r="U56" s="2258">
        <v>2581</v>
      </c>
      <c r="V56" s="2252">
        <f t="shared" si="11"/>
        <v>364</v>
      </c>
      <c r="W56" s="2258">
        <v>3080</v>
      </c>
      <c r="X56" s="2252">
        <f t="shared" si="12"/>
        <v>499</v>
      </c>
      <c r="Y56" s="2258">
        <v>3605</v>
      </c>
      <c r="Z56" s="2252">
        <f t="shared" si="13"/>
        <v>525</v>
      </c>
      <c r="AA56" s="2258">
        <v>3938</v>
      </c>
      <c r="AB56" s="2252">
        <f t="shared" si="14"/>
        <v>333</v>
      </c>
      <c r="AC56" s="2251">
        <f>_xlfn.XLOOKUP($C56,'Sales Rec'!$E$4:$E$86,'Sales Rec'!$CH$4:$CH$86,"")</f>
        <v>56</v>
      </c>
      <c r="AD56" s="2252">
        <f t="shared" si="15"/>
        <v>56</v>
      </c>
      <c r="AE56" s="2253">
        <f t="shared" si="24"/>
        <v>-0.24324324324324326</v>
      </c>
      <c r="AF56" s="2260">
        <v>-0.83183183183183185</v>
      </c>
      <c r="AG56" s="2258">
        <v>677</v>
      </c>
      <c r="AH56" s="2252">
        <f t="shared" si="16"/>
        <v>621</v>
      </c>
      <c r="AI56" s="2253">
        <f t="shared" si="25"/>
        <v>8.4935897435897439E-2</v>
      </c>
      <c r="AJ56" s="2260">
        <v>10.089285714285714</v>
      </c>
      <c r="AK56" s="2258">
        <v>1189</v>
      </c>
      <c r="AL56" s="2252">
        <f t="shared" si="17"/>
        <v>512</v>
      </c>
      <c r="AM56" s="2253">
        <f t="shared" si="26"/>
        <v>0.90544871794871795</v>
      </c>
      <c r="AN56" s="2260">
        <v>-0.17552334943639292</v>
      </c>
      <c r="AO56" s="2251">
        <f>_xlfn.XLOOKUP($C56,'Last M. Sales'!$C$3:$C$82,'Last M. Sales'!$I$3:$I$82,"")</f>
        <v>1674</v>
      </c>
      <c r="AP56" s="2252">
        <f t="shared" si="18"/>
        <v>485</v>
      </c>
      <c r="AQ56" s="2253">
        <f t="shared" si="27"/>
        <v>1.0925</v>
      </c>
      <c r="AR56" s="2254">
        <f t="shared" si="28"/>
        <v>-5.2734375E-2</v>
      </c>
      <c r="AS56" s="2255">
        <f t="shared" si="29"/>
        <v>-0.12380250552689757</v>
      </c>
      <c r="AT56" s="1575">
        <f t="shared" si="30"/>
        <v>38</v>
      </c>
      <c r="AU56" s="2289"/>
      <c r="AV56" s="2289"/>
      <c r="AW56" s="2255">
        <f t="shared" si="20"/>
        <v>0.77024070021881841</v>
      </c>
      <c r="AX56" s="1575">
        <f t="shared" si="31"/>
        <v>20</v>
      </c>
    </row>
    <row r="57" spans="1:50" ht="25">
      <c r="A57" s="100">
        <f>_xlfn.XLOOKUP($C57,MOPFRA!$R$7:$R$56,MOPFRA!$A$7:$A$56,"")</f>
        <v>-2.1757077800753883</v>
      </c>
      <c r="B57" s="2250" t="s">
        <v>183</v>
      </c>
      <c r="C57" s="2250" t="s">
        <v>184</v>
      </c>
      <c r="D57" s="2277">
        <f>_xlfn.XLOOKUP(C57,'Sales Rec'!$E$4:$E$86,'Sales Rec'!$F$4:$F$86,"")</f>
        <v>9</v>
      </c>
      <c r="E57" s="2258">
        <v>2935</v>
      </c>
      <c r="F57" s="2259">
        <v>2935</v>
      </c>
      <c r="G57" s="2258">
        <v>3728</v>
      </c>
      <c r="H57" s="2252">
        <f t="shared" si="5"/>
        <v>793</v>
      </c>
      <c r="I57" s="2258">
        <v>4482</v>
      </c>
      <c r="J57" s="2252">
        <f t="shared" si="6"/>
        <v>754</v>
      </c>
      <c r="K57" s="2258">
        <v>5215</v>
      </c>
      <c r="L57" s="2252">
        <f t="shared" si="7"/>
        <v>733</v>
      </c>
      <c r="M57" s="2258">
        <v>6002</v>
      </c>
      <c r="N57" s="2252">
        <f t="shared" si="8"/>
        <v>787</v>
      </c>
      <c r="O57" s="2258">
        <v>6780</v>
      </c>
      <c r="P57" s="2252">
        <f t="shared" si="9"/>
        <v>778</v>
      </c>
      <c r="Q57" s="2258">
        <v>7691</v>
      </c>
      <c r="R57" s="2252">
        <f t="shared" si="21"/>
        <v>911</v>
      </c>
      <c r="S57" s="2258">
        <v>8469</v>
      </c>
      <c r="T57" s="2252">
        <f t="shared" si="10"/>
        <v>778</v>
      </c>
      <c r="U57" s="2258">
        <v>9231</v>
      </c>
      <c r="V57" s="2252">
        <f t="shared" si="11"/>
        <v>762</v>
      </c>
      <c r="W57" s="2258">
        <v>906</v>
      </c>
      <c r="X57" s="2252">
        <f t="shared" si="12"/>
        <v>906</v>
      </c>
      <c r="Y57" s="2258">
        <v>1992</v>
      </c>
      <c r="Z57" s="2252">
        <f t="shared" si="13"/>
        <v>1086</v>
      </c>
      <c r="AA57" s="2258">
        <v>2947</v>
      </c>
      <c r="AB57" s="2252">
        <f t="shared" si="14"/>
        <v>955</v>
      </c>
      <c r="AC57" s="2251">
        <f>_xlfn.XLOOKUP($C57,'Sales Rec'!$E$4:$E$86,'Sales Rec'!$CH$4:$CH$86,"")</f>
        <v>3519</v>
      </c>
      <c r="AD57" s="2252">
        <f t="shared" si="15"/>
        <v>572</v>
      </c>
      <c r="AE57" s="2253">
        <f t="shared" si="24"/>
        <v>0.19897785349233391</v>
      </c>
      <c r="AF57" s="2260">
        <v>-0.40104712041884816</v>
      </c>
      <c r="AG57" s="2258">
        <v>4626</v>
      </c>
      <c r="AH57" s="2252">
        <f t="shared" si="16"/>
        <v>1107</v>
      </c>
      <c r="AI57" s="2253">
        <f t="shared" si="25"/>
        <v>3.2128514056224897E-2</v>
      </c>
      <c r="AJ57" s="2260">
        <v>0.93531468531468531</v>
      </c>
      <c r="AK57" s="2258">
        <v>5894</v>
      </c>
      <c r="AL57" s="2252">
        <f t="shared" si="17"/>
        <v>1268</v>
      </c>
      <c r="AM57" s="2253">
        <f t="shared" si="26"/>
        <v>0.31503792949576082</v>
      </c>
      <c r="AN57" s="2260">
        <v>0.14543812104787715</v>
      </c>
      <c r="AO57" s="2251">
        <f>_xlfn.XLOOKUP($C57,'Last M. Sales'!$C$3:$C$82,'Last M. Sales'!$I$3:$I$82,"")</f>
        <v>7122</v>
      </c>
      <c r="AP57" s="2252">
        <f t="shared" si="18"/>
        <v>1228</v>
      </c>
      <c r="AQ57" s="2253">
        <f t="shared" si="27"/>
        <v>0.36567593480345156</v>
      </c>
      <c r="AR57" s="2254">
        <f t="shared" si="28"/>
        <v>-3.1545741324921134E-2</v>
      </c>
      <c r="AS57" s="2255">
        <f t="shared" si="29"/>
        <v>0</v>
      </c>
      <c r="AT57" s="1575">
        <f t="shared" si="30"/>
        <v>34</v>
      </c>
      <c r="AU57" s="2289"/>
      <c r="AV57" s="2289"/>
      <c r="AW57" s="2255">
        <f t="shared" si="20"/>
        <v>0.37887485648679681</v>
      </c>
      <c r="AX57" s="1575">
        <f t="shared" si="31"/>
        <v>32</v>
      </c>
    </row>
    <row r="58" spans="1:50" ht="25">
      <c r="A58" s="100">
        <f>_xlfn.XLOOKUP($C58,MOPFRA!$R$7:$R$56,MOPFRA!$A$7:$A$56,"")</f>
        <v>2.361815286894287</v>
      </c>
      <c r="B58" s="2250" t="s">
        <v>104</v>
      </c>
      <c r="C58" s="2250" t="s">
        <v>105</v>
      </c>
      <c r="D58" s="2277">
        <f>_xlfn.XLOOKUP(C58,'Sales Rec'!$E$4:$E$86,'Sales Rec'!$F$4:$F$86,"")</f>
        <v>12</v>
      </c>
      <c r="E58" s="2258">
        <v>383</v>
      </c>
      <c r="F58" s="2259">
        <v>383</v>
      </c>
      <c r="G58" s="2258">
        <v>930</v>
      </c>
      <c r="H58" s="2252">
        <f t="shared" si="5"/>
        <v>547</v>
      </c>
      <c r="I58" s="2258">
        <v>1766</v>
      </c>
      <c r="J58" s="2252">
        <f t="shared" si="6"/>
        <v>836</v>
      </c>
      <c r="K58" s="2258">
        <v>2808</v>
      </c>
      <c r="L58" s="2252">
        <f t="shared" si="7"/>
        <v>1042</v>
      </c>
      <c r="M58" s="2258">
        <v>3613</v>
      </c>
      <c r="N58" s="2252">
        <f t="shared" si="8"/>
        <v>805</v>
      </c>
      <c r="O58" s="2258">
        <v>4590</v>
      </c>
      <c r="P58" s="2252">
        <f t="shared" si="9"/>
        <v>977</v>
      </c>
      <c r="Q58" s="2258">
        <v>5702</v>
      </c>
      <c r="R58" s="2252">
        <f t="shared" si="21"/>
        <v>1112</v>
      </c>
      <c r="S58" s="2258">
        <v>6594</v>
      </c>
      <c r="T58" s="2252">
        <f t="shared" si="10"/>
        <v>892</v>
      </c>
      <c r="U58" s="2258">
        <v>7550</v>
      </c>
      <c r="V58" s="2252">
        <f t="shared" si="11"/>
        <v>956</v>
      </c>
      <c r="W58" s="2258">
        <v>8722</v>
      </c>
      <c r="X58" s="2252">
        <f t="shared" si="12"/>
        <v>1172</v>
      </c>
      <c r="Y58" s="2258">
        <v>10236</v>
      </c>
      <c r="Z58" s="2252">
        <f t="shared" si="13"/>
        <v>1514</v>
      </c>
      <c r="AA58" s="2258">
        <v>11147</v>
      </c>
      <c r="AB58" s="2252">
        <f t="shared" si="14"/>
        <v>911</v>
      </c>
      <c r="AC58" s="2251">
        <f>_xlfn.XLOOKUP($C58,'Sales Rec'!$E$4:$E$86,'Sales Rec'!$CH$4:$CH$86,"")</f>
        <v>382</v>
      </c>
      <c r="AD58" s="2252">
        <f t="shared" si="15"/>
        <v>382</v>
      </c>
      <c r="AE58" s="2253">
        <f t="shared" si="24"/>
        <v>-2.6109660574412533E-3</v>
      </c>
      <c r="AF58" s="2260">
        <v>-0.58068057080131719</v>
      </c>
      <c r="AG58" s="2258">
        <v>1395</v>
      </c>
      <c r="AH58" s="2252">
        <f t="shared" si="16"/>
        <v>1013</v>
      </c>
      <c r="AI58" s="2253">
        <f t="shared" si="25"/>
        <v>-0.210079275198188</v>
      </c>
      <c r="AJ58" s="2260">
        <v>1.6518324607329844</v>
      </c>
      <c r="AK58" s="2258">
        <v>2763</v>
      </c>
      <c r="AL58" s="2252">
        <f t="shared" si="17"/>
        <v>1368</v>
      </c>
      <c r="AM58" s="2253">
        <f t="shared" si="26"/>
        <v>0.5645526613816535</v>
      </c>
      <c r="AN58" s="2260">
        <v>0.3504442250740375</v>
      </c>
      <c r="AO58" s="2251">
        <f>_xlfn.XLOOKUP($C58,'Last M. Sales'!$C$3:$C$82,'Last M. Sales'!$I$3:$I$82,"")</f>
        <v>3968</v>
      </c>
      <c r="AP58" s="2252">
        <f t="shared" si="18"/>
        <v>1205</v>
      </c>
      <c r="AQ58" s="2253">
        <f t="shared" si="27"/>
        <v>0.4131054131054131</v>
      </c>
      <c r="AR58" s="2254">
        <f t="shared" si="28"/>
        <v>-0.11915204678362573</v>
      </c>
      <c r="AS58" s="2255">
        <f t="shared" si="29"/>
        <v>-0.23185988323603002</v>
      </c>
      <c r="AT58" s="1575">
        <f t="shared" si="30"/>
        <v>41</v>
      </c>
      <c r="AU58" s="2289"/>
      <c r="AV58" s="2289"/>
      <c r="AW58" s="2255">
        <f t="shared" si="20"/>
        <v>0.27752048450302813</v>
      </c>
      <c r="AX58" s="1575">
        <f t="shared" si="31"/>
        <v>37</v>
      </c>
    </row>
    <row r="59" spans="1:50" ht="25">
      <c r="A59" s="100">
        <f>_xlfn.XLOOKUP($C59,MOPFRA!$R$7:$R$56,MOPFRA!$A$7:$A$56,"")</f>
        <v>1.0347963292789695</v>
      </c>
      <c r="B59" s="2250" t="s">
        <v>120</v>
      </c>
      <c r="C59" s="2250" t="s">
        <v>121</v>
      </c>
      <c r="D59" s="2277">
        <f>_xlfn.XLOOKUP(C59,'Sales Rec'!$E$4:$E$86,'Sales Rec'!$F$4:$F$86,"")</f>
        <v>9</v>
      </c>
      <c r="E59" s="2258">
        <v>3724</v>
      </c>
      <c r="F59" s="2259">
        <v>3724</v>
      </c>
      <c r="G59" s="2258">
        <v>5352</v>
      </c>
      <c r="H59" s="2252">
        <f t="shared" si="5"/>
        <v>1628</v>
      </c>
      <c r="I59" s="2258">
        <v>6670</v>
      </c>
      <c r="J59" s="2252">
        <f t="shared" si="6"/>
        <v>1318</v>
      </c>
      <c r="K59" s="2258">
        <v>7954</v>
      </c>
      <c r="L59" s="2252">
        <f t="shared" si="7"/>
        <v>1284</v>
      </c>
      <c r="M59" s="2258">
        <v>8920</v>
      </c>
      <c r="N59" s="2252">
        <f t="shared" si="8"/>
        <v>966</v>
      </c>
      <c r="O59" s="2258">
        <v>10414</v>
      </c>
      <c r="P59" s="2252">
        <f t="shared" si="9"/>
        <v>1494</v>
      </c>
      <c r="Q59" s="2258">
        <v>12142</v>
      </c>
      <c r="R59" s="2252">
        <f t="shared" si="21"/>
        <v>1728</v>
      </c>
      <c r="S59" s="2258">
        <v>13719</v>
      </c>
      <c r="T59" s="2252">
        <f t="shared" si="10"/>
        <v>1577</v>
      </c>
      <c r="U59" s="2258">
        <v>14464</v>
      </c>
      <c r="V59" s="2252">
        <f t="shared" si="11"/>
        <v>745</v>
      </c>
      <c r="W59" s="2258">
        <v>592</v>
      </c>
      <c r="X59" s="2252">
        <f t="shared" si="12"/>
        <v>592</v>
      </c>
      <c r="Y59" s="2258">
        <v>2853</v>
      </c>
      <c r="Z59" s="2252">
        <f t="shared" si="13"/>
        <v>2261</v>
      </c>
      <c r="AA59" s="2258">
        <v>5401</v>
      </c>
      <c r="AB59" s="2252">
        <f t="shared" si="14"/>
        <v>2548</v>
      </c>
      <c r="AC59" s="2251">
        <f>_xlfn.XLOOKUP($C59,'Sales Rec'!$E$4:$E$86,'Sales Rec'!$CH$4:$CH$86,"")</f>
        <v>6621</v>
      </c>
      <c r="AD59" s="2252">
        <f t="shared" si="15"/>
        <v>1220</v>
      </c>
      <c r="AE59" s="2253">
        <f t="shared" si="24"/>
        <v>0.77792696025778729</v>
      </c>
      <c r="AF59" s="2260">
        <v>-0.52119309262166402</v>
      </c>
      <c r="AG59" s="2258">
        <v>9063</v>
      </c>
      <c r="AH59" s="2252">
        <f t="shared" si="16"/>
        <v>2442</v>
      </c>
      <c r="AI59" s="2253">
        <f t="shared" si="25"/>
        <v>0.3587706146926537</v>
      </c>
      <c r="AJ59" s="2260">
        <v>1.0016393442622951</v>
      </c>
      <c r="AK59" s="2258">
        <v>12225</v>
      </c>
      <c r="AL59" s="2252">
        <f t="shared" si="17"/>
        <v>3162</v>
      </c>
      <c r="AM59" s="2253">
        <f t="shared" si="26"/>
        <v>0.83283358320839584</v>
      </c>
      <c r="AN59" s="2260">
        <v>0.29484029484029484</v>
      </c>
      <c r="AO59" s="2251">
        <f>_xlfn.XLOOKUP($C59,'Last M. Sales'!$C$3:$C$82,'Last M. Sales'!$I$3:$I$82,"")</f>
        <v>15001</v>
      </c>
      <c r="AP59" s="2252">
        <f t="shared" si="18"/>
        <v>2776</v>
      </c>
      <c r="AQ59" s="2253">
        <f t="shared" si="27"/>
        <v>0.88596932361076186</v>
      </c>
      <c r="AR59" s="2254">
        <f t="shared" si="28"/>
        <v>-0.12207463630613535</v>
      </c>
      <c r="AS59" s="2255">
        <f t="shared" si="29"/>
        <v>0.26346972782817996</v>
      </c>
      <c r="AT59" s="1575">
        <f t="shared" si="30"/>
        <v>22</v>
      </c>
      <c r="AU59" s="2289"/>
      <c r="AV59" s="2289"/>
      <c r="AW59" s="2255">
        <f t="shared" si="20"/>
        <v>0.38994858185437054</v>
      </c>
      <c r="AX59" s="1575">
        <f t="shared" si="31"/>
        <v>31</v>
      </c>
    </row>
    <row r="60" spans="1:50" ht="25">
      <c r="A60" s="100">
        <f>_xlfn.XLOOKUP($C60,MOPFRA!$R$7:$R$56,MOPFRA!$A$7:$A$56,"")</f>
        <v>1.2283214162342571E-2</v>
      </c>
      <c r="B60" s="2250" t="s">
        <v>106</v>
      </c>
      <c r="C60" s="2250" t="s">
        <v>107</v>
      </c>
      <c r="D60" s="2277">
        <f>_xlfn.XLOOKUP(C60,'Sales Rec'!$E$4:$E$86,'Sales Rec'!$F$4:$F$86,"")</f>
        <v>12</v>
      </c>
      <c r="E60" s="2258">
        <v>152</v>
      </c>
      <c r="F60" s="2259">
        <v>152</v>
      </c>
      <c r="G60" s="2258">
        <v>209</v>
      </c>
      <c r="H60" s="2252">
        <f t="shared" si="5"/>
        <v>57</v>
      </c>
      <c r="I60" s="2258">
        <v>342</v>
      </c>
      <c r="J60" s="2252">
        <f t="shared" si="6"/>
        <v>133</v>
      </c>
      <c r="K60" s="2258">
        <v>479</v>
      </c>
      <c r="L60" s="2252">
        <f t="shared" si="7"/>
        <v>137</v>
      </c>
      <c r="M60" s="2258">
        <v>600</v>
      </c>
      <c r="N60" s="2252">
        <f t="shared" si="8"/>
        <v>121</v>
      </c>
      <c r="O60" s="2258">
        <v>746</v>
      </c>
      <c r="P60" s="2252">
        <f t="shared" si="9"/>
        <v>146</v>
      </c>
      <c r="Q60" s="2258">
        <v>890</v>
      </c>
      <c r="R60" s="2252">
        <f t="shared" si="21"/>
        <v>144</v>
      </c>
      <c r="S60" s="2258">
        <v>1105</v>
      </c>
      <c r="T60" s="2252">
        <f t="shared" si="10"/>
        <v>215</v>
      </c>
      <c r="U60" s="2258">
        <v>1326</v>
      </c>
      <c r="V60" s="2252">
        <f t="shared" si="11"/>
        <v>221</v>
      </c>
      <c r="W60" s="2258">
        <v>1543</v>
      </c>
      <c r="X60" s="2252">
        <f t="shared" si="12"/>
        <v>217</v>
      </c>
      <c r="Y60" s="2258">
        <v>1807</v>
      </c>
      <c r="Z60" s="2252">
        <f t="shared" si="13"/>
        <v>264</v>
      </c>
      <c r="AA60" s="2258">
        <v>2069</v>
      </c>
      <c r="AB60" s="2252">
        <f t="shared" si="14"/>
        <v>262</v>
      </c>
      <c r="AC60" s="2251">
        <f>_xlfn.XLOOKUP($C60,'Sales Rec'!$E$4:$E$86,'Sales Rec'!$CH$4:$CH$86,"")</f>
        <v>240</v>
      </c>
      <c r="AD60" s="2252">
        <f t="shared" si="15"/>
        <v>240</v>
      </c>
      <c r="AE60" s="2253">
        <f t="shared" si="24"/>
        <v>0.57894736842105265</v>
      </c>
      <c r="AF60" s="2260">
        <v>-8.3969465648854963E-2</v>
      </c>
      <c r="AG60" s="2258">
        <v>509</v>
      </c>
      <c r="AH60" s="2252">
        <f t="shared" si="16"/>
        <v>269</v>
      </c>
      <c r="AI60" s="2253">
        <f t="shared" si="25"/>
        <v>0.48830409356725146</v>
      </c>
      <c r="AJ60" s="2260">
        <v>0.12083333333333333</v>
      </c>
      <c r="AK60" s="2258">
        <v>874</v>
      </c>
      <c r="AL60" s="2252">
        <f t="shared" si="17"/>
        <v>365</v>
      </c>
      <c r="AM60" s="2253">
        <f t="shared" si="26"/>
        <v>1.5555555555555556</v>
      </c>
      <c r="AN60" s="2260">
        <v>0.35687732342007433</v>
      </c>
      <c r="AO60" s="2251">
        <f>_xlfn.XLOOKUP($C60,'Last M. Sales'!$C$3:$C$82,'Last M. Sales'!$I$3:$I$82,"")</f>
        <v>1164</v>
      </c>
      <c r="AP60" s="2252">
        <f t="shared" si="18"/>
        <v>290</v>
      </c>
      <c r="AQ60" s="2253">
        <f t="shared" si="27"/>
        <v>1.4300626304801669</v>
      </c>
      <c r="AR60" s="2254">
        <f t="shared" si="28"/>
        <v>-0.20547945205479451</v>
      </c>
      <c r="AS60" s="2255">
        <f t="shared" si="29"/>
        <v>0.17631224764468373</v>
      </c>
      <c r="AT60" s="1575">
        <f t="shared" si="30"/>
        <v>24</v>
      </c>
      <c r="AU60" s="2289"/>
      <c r="AV60" s="2289"/>
      <c r="AW60" s="2255">
        <f t="shared" si="20"/>
        <v>0.20626631853785901</v>
      </c>
      <c r="AX60" s="1575">
        <f t="shared" si="31"/>
        <v>40</v>
      </c>
    </row>
    <row r="61" spans="1:50" ht="25">
      <c r="A61" s="100">
        <f>_xlfn.XLOOKUP($C61,MOPFRA!$R$7:$R$56,MOPFRA!$A$7:$A$56,"")</f>
        <v>-1.2993818292259467</v>
      </c>
      <c r="B61" s="2250" t="s">
        <v>166</v>
      </c>
      <c r="C61" s="2250" t="s">
        <v>167</v>
      </c>
      <c r="D61" s="2277">
        <f>_xlfn.XLOOKUP(C61,'Sales Rec'!$E$4:$E$86,'Sales Rec'!$F$4:$F$86,"")</f>
        <v>12</v>
      </c>
      <c r="E61" s="2258">
        <v>240</v>
      </c>
      <c r="F61" s="2259">
        <v>240</v>
      </c>
      <c r="G61" s="2258">
        <v>591</v>
      </c>
      <c r="H61" s="2252">
        <f t="shared" si="5"/>
        <v>351</v>
      </c>
      <c r="I61" s="2258">
        <v>892</v>
      </c>
      <c r="J61" s="2252">
        <f t="shared" si="6"/>
        <v>301</v>
      </c>
      <c r="K61" s="2258">
        <v>1238</v>
      </c>
      <c r="L61" s="2252">
        <f t="shared" si="7"/>
        <v>346</v>
      </c>
      <c r="M61" s="2258">
        <v>1579</v>
      </c>
      <c r="N61" s="2252">
        <f t="shared" si="8"/>
        <v>341</v>
      </c>
      <c r="O61" s="2258">
        <v>1999</v>
      </c>
      <c r="P61" s="2252">
        <f t="shared" si="9"/>
        <v>420</v>
      </c>
      <c r="Q61" s="2258">
        <v>2455</v>
      </c>
      <c r="R61" s="2252">
        <f t="shared" si="21"/>
        <v>456</v>
      </c>
      <c r="S61" s="2258">
        <v>2918</v>
      </c>
      <c r="T61" s="2252">
        <f t="shared" si="10"/>
        <v>463</v>
      </c>
      <c r="U61" s="2258">
        <v>3339</v>
      </c>
      <c r="V61" s="2252">
        <f t="shared" si="11"/>
        <v>421</v>
      </c>
      <c r="W61" s="2258">
        <v>3739</v>
      </c>
      <c r="X61" s="2252">
        <f t="shared" si="12"/>
        <v>400</v>
      </c>
      <c r="Y61" s="2258">
        <v>4142</v>
      </c>
      <c r="Z61" s="2252">
        <f t="shared" si="13"/>
        <v>403</v>
      </c>
      <c r="AA61" s="2258">
        <v>4221</v>
      </c>
      <c r="AB61" s="2252">
        <f t="shared" si="14"/>
        <v>79</v>
      </c>
      <c r="AC61" s="2251">
        <f>_xlfn.XLOOKUP($C61,'Sales Rec'!$E$4:$E$86,'Sales Rec'!$CH$4:$CH$86,"")</f>
        <v>286</v>
      </c>
      <c r="AD61" s="2252">
        <f t="shared" si="15"/>
        <v>286</v>
      </c>
      <c r="AE61" s="2253">
        <f t="shared" si="24"/>
        <v>0.19166666666666668</v>
      </c>
      <c r="AF61" s="2260">
        <v>2.6202531645569622</v>
      </c>
      <c r="AG61" s="2258">
        <v>848</v>
      </c>
      <c r="AH61" s="2252">
        <f t="shared" si="16"/>
        <v>562</v>
      </c>
      <c r="AI61" s="2253">
        <f t="shared" si="25"/>
        <v>-4.9327354260089683E-2</v>
      </c>
      <c r="AJ61" s="2260">
        <v>0.965034965034965</v>
      </c>
      <c r="AK61" s="2258">
        <v>1507</v>
      </c>
      <c r="AL61" s="2252">
        <f t="shared" si="17"/>
        <v>659</v>
      </c>
      <c r="AM61" s="2253">
        <f t="shared" si="26"/>
        <v>0.6894618834080718</v>
      </c>
      <c r="AN61" s="2260">
        <v>0.17259786476868327</v>
      </c>
      <c r="AO61" s="2251">
        <f>_xlfn.XLOOKUP($C61,'Last M. Sales'!$C$3:$C$82,'Last M. Sales'!$I$3:$I$82,"")</f>
        <v>2208</v>
      </c>
      <c r="AP61" s="2252">
        <f t="shared" si="18"/>
        <v>701</v>
      </c>
      <c r="AQ61" s="2253">
        <f t="shared" si="27"/>
        <v>0.78352180936995153</v>
      </c>
      <c r="AR61" s="2254">
        <f t="shared" si="28"/>
        <v>6.3732928679817905E-2</v>
      </c>
      <c r="AS61" s="2255">
        <f t="shared" si="29"/>
        <v>0.70861678004535145</v>
      </c>
      <c r="AT61" s="1575">
        <f t="shared" si="30"/>
        <v>9</v>
      </c>
      <c r="AU61" s="2289"/>
      <c r="AV61" s="2289"/>
      <c r="AW61" s="2255">
        <f t="shared" si="20"/>
        <v>1.5026041666666667</v>
      </c>
      <c r="AX61" s="1575">
        <f t="shared" si="31"/>
        <v>6</v>
      </c>
    </row>
    <row r="62" spans="1:50" ht="25">
      <c r="A62" s="100">
        <f>_xlfn.XLOOKUP($C62,MOPFRA!$R$7:$R$56,MOPFRA!$A$7:$A$56,"")</f>
        <v>1.5067957015240805</v>
      </c>
      <c r="B62" s="2250" t="s">
        <v>158</v>
      </c>
      <c r="C62" s="2250" t="s">
        <v>159</v>
      </c>
      <c r="D62" s="2277">
        <f>_xlfn.XLOOKUP(C62,'Sales Rec'!$E$4:$E$86,'Sales Rec'!$F$4:$F$86,"")</f>
        <v>12</v>
      </c>
      <c r="E62" s="2258">
        <v>113</v>
      </c>
      <c r="F62" s="2259">
        <v>113</v>
      </c>
      <c r="G62" s="2258">
        <v>296</v>
      </c>
      <c r="H62" s="2252">
        <f t="shared" si="5"/>
        <v>183</v>
      </c>
      <c r="I62" s="2258">
        <v>485</v>
      </c>
      <c r="J62" s="2252">
        <f t="shared" si="6"/>
        <v>189</v>
      </c>
      <c r="K62" s="2258">
        <v>672</v>
      </c>
      <c r="L62" s="2252">
        <f t="shared" si="7"/>
        <v>187</v>
      </c>
      <c r="M62" s="2258">
        <v>881</v>
      </c>
      <c r="N62" s="2252">
        <f t="shared" si="8"/>
        <v>209</v>
      </c>
      <c r="O62" s="2258">
        <v>1006</v>
      </c>
      <c r="P62" s="2252">
        <f t="shared" si="9"/>
        <v>125</v>
      </c>
      <c r="Q62" s="2258">
        <v>1205</v>
      </c>
      <c r="R62" s="2252">
        <f t="shared" si="21"/>
        <v>199</v>
      </c>
      <c r="S62" s="2258">
        <v>1474</v>
      </c>
      <c r="T62" s="2252">
        <f t="shared" si="10"/>
        <v>269</v>
      </c>
      <c r="U62" s="2258">
        <v>1730</v>
      </c>
      <c r="V62" s="2252">
        <f t="shared" si="11"/>
        <v>256</v>
      </c>
      <c r="W62" s="2258">
        <v>1983</v>
      </c>
      <c r="X62" s="2252">
        <f t="shared" si="12"/>
        <v>253</v>
      </c>
      <c r="Y62" s="2258">
        <v>2271</v>
      </c>
      <c r="Z62" s="2252">
        <f t="shared" si="13"/>
        <v>288</v>
      </c>
      <c r="AA62" s="2258">
        <v>2410</v>
      </c>
      <c r="AB62" s="2252">
        <f t="shared" si="14"/>
        <v>139</v>
      </c>
      <c r="AC62" s="2251">
        <f>_xlfn.XLOOKUP($C62,'Sales Rec'!$E$4:$E$86,'Sales Rec'!$CH$4:$CH$86,"")</f>
        <v>159</v>
      </c>
      <c r="AD62" s="2252">
        <f t="shared" si="15"/>
        <v>159</v>
      </c>
      <c r="AE62" s="2253">
        <f t="shared" si="24"/>
        <v>0.40707964601769914</v>
      </c>
      <c r="AF62" s="2260">
        <v>0.14388489208633093</v>
      </c>
      <c r="AG62" s="2258">
        <v>560</v>
      </c>
      <c r="AH62" s="2252">
        <f t="shared" si="16"/>
        <v>401</v>
      </c>
      <c r="AI62" s="2253">
        <f t="shared" si="25"/>
        <v>0.15463917525773196</v>
      </c>
      <c r="AJ62" s="2260">
        <v>1.5220125786163523</v>
      </c>
      <c r="AK62" s="2258">
        <v>1364</v>
      </c>
      <c r="AL62" s="2252">
        <f t="shared" si="17"/>
        <v>804</v>
      </c>
      <c r="AM62" s="2253">
        <f t="shared" si="26"/>
        <v>1.8123711340206186</v>
      </c>
      <c r="AN62" s="2260">
        <v>1.0049875311720697</v>
      </c>
      <c r="AO62" s="2251">
        <f>_xlfn.XLOOKUP($C62,'Last M. Sales'!$C$3:$C$82,'Last M. Sales'!$I$3:$I$82,"")</f>
        <v>2174</v>
      </c>
      <c r="AP62" s="2252">
        <f t="shared" si="18"/>
        <v>810</v>
      </c>
      <c r="AQ62" s="2253">
        <f t="shared" si="27"/>
        <v>2.2351190476190474</v>
      </c>
      <c r="AR62" s="2254">
        <f t="shared" si="28"/>
        <v>7.462686567164179E-3</v>
      </c>
      <c r="AS62" s="2255">
        <f t="shared" si="29"/>
        <v>1.0058823529411764</v>
      </c>
      <c r="AT62" s="1575">
        <f t="shared" si="30"/>
        <v>6</v>
      </c>
      <c r="AU62" s="2289"/>
      <c r="AV62" s="2289"/>
      <c r="AW62" s="2255">
        <f t="shared" si="20"/>
        <v>2.4385665529010239</v>
      </c>
      <c r="AX62" s="1575">
        <f t="shared" si="31"/>
        <v>3</v>
      </c>
    </row>
    <row r="63" spans="1:50" ht="25">
      <c r="A63" s="100">
        <f>_xlfn.XLOOKUP($C63,MOPFRA!$R$7:$R$56,MOPFRA!$A$7:$A$56,"")</f>
        <v>-5.7512781330747558</v>
      </c>
      <c r="B63" s="2250" t="s">
        <v>132</v>
      </c>
      <c r="C63" s="2250" t="s">
        <v>133</v>
      </c>
      <c r="D63" s="2277">
        <f>_xlfn.XLOOKUP(C63,'Sales Rec'!$E$4:$E$86,'Sales Rec'!$F$4:$F$86,"")</f>
        <v>3</v>
      </c>
      <c r="E63" s="2258">
        <v>1889</v>
      </c>
      <c r="F63" s="2259">
        <v>1889</v>
      </c>
      <c r="G63" s="2258">
        <v>2097</v>
      </c>
      <c r="H63" s="2252">
        <f t="shared" si="5"/>
        <v>208</v>
      </c>
      <c r="I63" s="2258">
        <v>2260</v>
      </c>
      <c r="J63" s="2252">
        <f t="shared" si="6"/>
        <v>163</v>
      </c>
      <c r="K63" s="2258">
        <v>280</v>
      </c>
      <c r="L63" s="2252">
        <f t="shared" si="7"/>
        <v>-1980</v>
      </c>
      <c r="M63" s="2258">
        <v>520</v>
      </c>
      <c r="N63" s="2252">
        <f t="shared" si="8"/>
        <v>240</v>
      </c>
      <c r="O63" s="2258">
        <v>771</v>
      </c>
      <c r="P63" s="2252">
        <f t="shared" si="9"/>
        <v>251</v>
      </c>
      <c r="Q63" s="2258">
        <v>1010</v>
      </c>
      <c r="R63" s="2252">
        <f t="shared" si="21"/>
        <v>239</v>
      </c>
      <c r="S63" s="2258">
        <v>1185</v>
      </c>
      <c r="T63" s="2252">
        <f t="shared" si="10"/>
        <v>175</v>
      </c>
      <c r="U63" s="2258">
        <v>1396</v>
      </c>
      <c r="V63" s="2252">
        <f t="shared" si="11"/>
        <v>211</v>
      </c>
      <c r="W63" s="2258">
        <v>1610</v>
      </c>
      <c r="X63" s="2252">
        <f t="shared" si="12"/>
        <v>214</v>
      </c>
      <c r="Y63" s="2258">
        <v>1916</v>
      </c>
      <c r="Z63" s="2252">
        <f t="shared" si="13"/>
        <v>306</v>
      </c>
      <c r="AA63" s="2258">
        <v>2204</v>
      </c>
      <c r="AB63" s="2252">
        <f t="shared" si="14"/>
        <v>288</v>
      </c>
      <c r="AC63" s="2251">
        <f>_xlfn.XLOOKUP($C63,'Sales Rec'!$E$4:$E$86,'Sales Rec'!$CH$4:$CH$86,"")</f>
        <v>2403</v>
      </c>
      <c r="AD63" s="2252">
        <f t="shared" si="15"/>
        <v>199</v>
      </c>
      <c r="AE63" s="2253">
        <f t="shared" si="24"/>
        <v>0.27210164107993645</v>
      </c>
      <c r="AF63" s="2260">
        <v>-0.30902777777777779</v>
      </c>
      <c r="AG63" s="2258">
        <v>2628</v>
      </c>
      <c r="AH63" s="2252">
        <f t="shared" si="16"/>
        <v>225</v>
      </c>
      <c r="AI63" s="2253">
        <f t="shared" si="25"/>
        <v>0.16283185840707964</v>
      </c>
      <c r="AJ63" s="2260">
        <v>0.1306532663316583</v>
      </c>
      <c r="AK63" s="2258">
        <v>3002</v>
      </c>
      <c r="AL63" s="2252">
        <f t="shared" si="17"/>
        <v>374</v>
      </c>
      <c r="AM63" s="2253">
        <f t="shared" si="26"/>
        <v>0.32831858407079645</v>
      </c>
      <c r="AN63" s="2260">
        <v>0.66222222222222227</v>
      </c>
      <c r="AO63" s="2251">
        <f>_xlfn.XLOOKUP($C63,'Last M. Sales'!$C$3:$C$82,'Last M. Sales'!$I$3:$I$82,"")</f>
        <v>417</v>
      </c>
      <c r="AP63" s="2252">
        <f t="shared" si="18"/>
        <v>417</v>
      </c>
      <c r="AQ63" s="2253">
        <f t="shared" si="27"/>
        <v>0.48928571428571427</v>
      </c>
      <c r="AR63" s="2254">
        <f t="shared" si="28"/>
        <v>0.11497326203208556</v>
      </c>
      <c r="AS63" s="2255">
        <f t="shared" si="29"/>
        <v>-1.2376237623762377E-2</v>
      </c>
      <c r="AT63" s="1575">
        <f t="shared" si="30"/>
        <v>36</v>
      </c>
      <c r="AU63" s="2289"/>
      <c r="AV63" s="2289"/>
      <c r="AW63" s="2255">
        <f t="shared" si="20"/>
        <v>0.28121059268600251</v>
      </c>
      <c r="AX63" s="1575">
        <f t="shared" si="31"/>
        <v>36</v>
      </c>
    </row>
    <row r="64" spans="1:50" ht="25">
      <c r="A64" s="100">
        <f>_xlfn.XLOOKUP($C64,MOPFRA!$R$7:$R$56,MOPFRA!$A$7:$A$56,"")</f>
        <v>6.5163029754594088</v>
      </c>
      <c r="B64" s="2250" t="s">
        <v>124</v>
      </c>
      <c r="C64" s="2250" t="s">
        <v>125</v>
      </c>
      <c r="D64" s="2277">
        <f>_xlfn.XLOOKUP(C64,'Sales Rec'!$E$4:$E$86,'Sales Rec'!$F$4:$F$86,"")</f>
        <v>9</v>
      </c>
      <c r="E64" s="2258">
        <v>9676</v>
      </c>
      <c r="F64" s="2259">
        <v>9676</v>
      </c>
      <c r="G64" s="2258">
        <v>12592</v>
      </c>
      <c r="H64" s="2252">
        <f t="shared" si="5"/>
        <v>2916</v>
      </c>
      <c r="I64" s="2258">
        <v>15046</v>
      </c>
      <c r="J64" s="2252">
        <f t="shared" si="6"/>
        <v>2454</v>
      </c>
      <c r="K64" s="2258">
        <v>18124</v>
      </c>
      <c r="L64" s="2252">
        <f t="shared" si="7"/>
        <v>3078</v>
      </c>
      <c r="M64" s="2258">
        <v>22539</v>
      </c>
      <c r="N64" s="2252">
        <f t="shared" si="8"/>
        <v>4415</v>
      </c>
      <c r="O64" s="2258">
        <v>26917</v>
      </c>
      <c r="P64" s="2252">
        <f t="shared" si="9"/>
        <v>4378</v>
      </c>
      <c r="Q64" s="2258">
        <v>31688</v>
      </c>
      <c r="R64" s="2252">
        <f t="shared" si="21"/>
        <v>4771</v>
      </c>
      <c r="S64" s="2258">
        <v>36441</v>
      </c>
      <c r="T64" s="2252">
        <f t="shared" si="10"/>
        <v>4753</v>
      </c>
      <c r="U64" s="2258">
        <v>41084</v>
      </c>
      <c r="V64" s="2252">
        <f t="shared" si="11"/>
        <v>4643</v>
      </c>
      <c r="W64" s="2258">
        <v>3476</v>
      </c>
      <c r="X64" s="2252">
        <f t="shared" si="12"/>
        <v>3476</v>
      </c>
      <c r="Y64" s="2258">
        <v>8071</v>
      </c>
      <c r="Z64" s="2252">
        <f t="shared" si="13"/>
        <v>4595</v>
      </c>
      <c r="AA64" s="2258">
        <v>12132</v>
      </c>
      <c r="AB64" s="2252">
        <f t="shared" si="14"/>
        <v>4061</v>
      </c>
      <c r="AC64" s="2251">
        <f>_xlfn.XLOOKUP($C64,'Sales Rec'!$E$4:$E$86,'Sales Rec'!$CH$4:$CH$86,"")</f>
        <v>14637</v>
      </c>
      <c r="AD64" s="2252">
        <f t="shared" si="15"/>
        <v>2505</v>
      </c>
      <c r="AE64" s="2253">
        <f t="shared" si="24"/>
        <v>0.51271186440677963</v>
      </c>
      <c r="AF64" s="2260">
        <v>-0.38315685791676929</v>
      </c>
      <c r="AG64" s="2258">
        <v>26379</v>
      </c>
      <c r="AH64" s="2252">
        <f t="shared" si="16"/>
        <v>11742</v>
      </c>
      <c r="AI64" s="2253">
        <f t="shared" si="25"/>
        <v>0.75322344809251629</v>
      </c>
      <c r="AJ64" s="2260">
        <v>3.6874251497005988</v>
      </c>
      <c r="AK64" s="2258">
        <v>33022</v>
      </c>
      <c r="AL64" s="2252">
        <f t="shared" si="17"/>
        <v>6643</v>
      </c>
      <c r="AM64" s="2253">
        <f t="shared" si="26"/>
        <v>1.1947361424963445</v>
      </c>
      <c r="AN64" s="2260">
        <v>-0.43425310849940385</v>
      </c>
      <c r="AO64" s="2251">
        <f>_xlfn.XLOOKUP($C64,'Last M. Sales'!$C$3:$C$82,'Last M. Sales'!$I$3:$I$82,"")</f>
        <v>38001</v>
      </c>
      <c r="AP64" s="2252">
        <f t="shared" si="18"/>
        <v>4979</v>
      </c>
      <c r="AQ64" s="2253">
        <f t="shared" si="27"/>
        <v>1.0967225777973957</v>
      </c>
      <c r="AR64" s="2254">
        <f t="shared" si="28"/>
        <v>-0.25048923679060664</v>
      </c>
      <c r="AS64" s="2255">
        <f t="shared" si="29"/>
        <v>0.72189251566106161</v>
      </c>
      <c r="AT64" s="1575">
        <f t="shared" si="30"/>
        <v>8</v>
      </c>
      <c r="AU64" s="2289"/>
      <c r="AV64" s="2289"/>
      <c r="AW64" s="2255">
        <f t="shared" si="20"/>
        <v>1.093360809963265</v>
      </c>
      <c r="AX64" s="1575">
        <f t="shared" si="31"/>
        <v>9</v>
      </c>
    </row>
    <row r="65" spans="1:50" ht="25">
      <c r="A65" s="100">
        <f>_xlfn.XLOOKUP($C65,MOPFRA!$R$7:$R$56,MOPFRA!$A$7:$A$56,"")</f>
        <v>11.047850751719084</v>
      </c>
      <c r="B65" s="2250" t="s">
        <v>156</v>
      </c>
      <c r="C65" s="2250" t="s">
        <v>157</v>
      </c>
      <c r="D65" s="2277">
        <f>_xlfn.XLOOKUP(C65,'Sales Rec'!$E$4:$E$86,'Sales Rec'!$F$4:$F$86,"")</f>
        <v>12</v>
      </c>
      <c r="E65" s="2258">
        <v>150</v>
      </c>
      <c r="F65" s="2259">
        <v>150</v>
      </c>
      <c r="G65" s="2258">
        <v>525</v>
      </c>
      <c r="H65" s="2252">
        <f t="shared" si="5"/>
        <v>375</v>
      </c>
      <c r="I65" s="2258">
        <v>856</v>
      </c>
      <c r="J65" s="2252">
        <f t="shared" si="6"/>
        <v>331</v>
      </c>
      <c r="K65" s="2258">
        <v>1106</v>
      </c>
      <c r="L65" s="2252">
        <f t="shared" si="7"/>
        <v>250</v>
      </c>
      <c r="M65" s="2258">
        <v>1392</v>
      </c>
      <c r="N65" s="2252">
        <f t="shared" si="8"/>
        <v>286</v>
      </c>
      <c r="O65" s="2258">
        <v>1793</v>
      </c>
      <c r="P65" s="2252">
        <f t="shared" si="9"/>
        <v>401</v>
      </c>
      <c r="Q65" s="2258">
        <v>2244</v>
      </c>
      <c r="R65" s="2252">
        <f t="shared" si="21"/>
        <v>451</v>
      </c>
      <c r="S65" s="2258">
        <v>2674</v>
      </c>
      <c r="T65" s="2252">
        <f t="shared" si="10"/>
        <v>430</v>
      </c>
      <c r="U65" s="2258">
        <v>2979</v>
      </c>
      <c r="V65" s="2252">
        <f t="shared" si="11"/>
        <v>305</v>
      </c>
      <c r="W65" s="2258">
        <v>3260</v>
      </c>
      <c r="X65" s="2252">
        <f t="shared" si="12"/>
        <v>281</v>
      </c>
      <c r="Y65" s="2258">
        <v>3962</v>
      </c>
      <c r="Z65" s="2252">
        <f t="shared" si="13"/>
        <v>702</v>
      </c>
      <c r="AA65" s="2258">
        <v>4060</v>
      </c>
      <c r="AB65" s="2252">
        <f t="shared" si="14"/>
        <v>98</v>
      </c>
      <c r="AC65" s="2251">
        <f>_xlfn.XLOOKUP($C65,'Sales Rec'!$E$4:$E$86,'Sales Rec'!$CH$4:$CH$86,"")</f>
        <v>222</v>
      </c>
      <c r="AD65" s="2252">
        <f t="shared" si="15"/>
        <v>222</v>
      </c>
      <c r="AE65" s="2253">
        <f t="shared" si="24"/>
        <v>0.48</v>
      </c>
      <c r="AF65" s="2260">
        <v>1.2653061224489797</v>
      </c>
      <c r="AG65" s="2258">
        <v>767</v>
      </c>
      <c r="AH65" s="2252">
        <f t="shared" si="16"/>
        <v>545</v>
      </c>
      <c r="AI65" s="2253">
        <f t="shared" si="25"/>
        <v>-0.10397196261682243</v>
      </c>
      <c r="AJ65" s="2260">
        <v>1.454954954954955</v>
      </c>
      <c r="AK65" s="2258">
        <v>1434</v>
      </c>
      <c r="AL65" s="2252">
        <f t="shared" si="17"/>
        <v>667</v>
      </c>
      <c r="AM65" s="2253">
        <f t="shared" si="26"/>
        <v>0.67523364485981308</v>
      </c>
      <c r="AN65" s="2260">
        <v>0.22385321100917432</v>
      </c>
      <c r="AO65" s="2251">
        <f>_xlfn.XLOOKUP($C65,'Last M. Sales'!$C$3:$C$82,'Last M. Sales'!$I$3:$I$82,"")</f>
        <v>2087</v>
      </c>
      <c r="AP65" s="2252">
        <f t="shared" si="18"/>
        <v>653</v>
      </c>
      <c r="AQ65" s="2253">
        <f t="shared" si="27"/>
        <v>0.88698010849909581</v>
      </c>
      <c r="AR65" s="2254">
        <f t="shared" si="28"/>
        <v>-2.0989505247376312E-2</v>
      </c>
      <c r="AS65" s="2255">
        <f t="shared" si="29"/>
        <v>0.3265494912118409</v>
      </c>
      <c r="AT65" s="1575">
        <f t="shared" si="30"/>
        <v>18</v>
      </c>
      <c r="AU65" s="2289"/>
      <c r="AV65" s="2289"/>
      <c r="AW65" s="2255">
        <f t="shared" si="20"/>
        <v>0.82485322896281799</v>
      </c>
      <c r="AX65" s="1575">
        <f t="shared" si="31"/>
        <v>18</v>
      </c>
    </row>
    <row r="66" spans="1:50" ht="25">
      <c r="A66" s="100">
        <f>_xlfn.XLOOKUP($C66,MOPFRA!$R$7:$R$56,MOPFRA!$A$7:$A$56,"")</f>
        <v>-12.256156490777114</v>
      </c>
      <c r="B66" s="2250" t="s">
        <v>122</v>
      </c>
      <c r="C66" s="2250" t="s">
        <v>123</v>
      </c>
      <c r="D66" s="2277">
        <f>_xlfn.XLOOKUP(C66,'Sales Rec'!$E$4:$E$86,'Sales Rec'!$F$4:$F$86,"")</f>
        <v>9</v>
      </c>
      <c r="E66" s="2258">
        <v>3096</v>
      </c>
      <c r="F66" s="2259">
        <v>3096</v>
      </c>
      <c r="G66" s="2258">
        <v>4149</v>
      </c>
      <c r="H66" s="2252">
        <f t="shared" si="5"/>
        <v>1053</v>
      </c>
      <c r="I66" s="2258">
        <v>5872</v>
      </c>
      <c r="J66" s="2252">
        <f t="shared" si="6"/>
        <v>1723</v>
      </c>
      <c r="K66" s="2258">
        <v>6571</v>
      </c>
      <c r="L66" s="2252">
        <f t="shared" si="7"/>
        <v>699</v>
      </c>
      <c r="M66" s="2258">
        <v>7950</v>
      </c>
      <c r="N66" s="2252">
        <f t="shared" si="8"/>
        <v>1379</v>
      </c>
      <c r="O66" s="2258">
        <v>10564</v>
      </c>
      <c r="P66" s="2252">
        <f t="shared" si="9"/>
        <v>2614</v>
      </c>
      <c r="Q66" s="2258">
        <v>13990</v>
      </c>
      <c r="R66" s="2252">
        <f t="shared" si="21"/>
        <v>3426</v>
      </c>
      <c r="S66" s="2258">
        <v>16530</v>
      </c>
      <c r="T66" s="2252">
        <f t="shared" si="10"/>
        <v>2540</v>
      </c>
      <c r="U66" s="2258">
        <v>18602</v>
      </c>
      <c r="V66" s="2252">
        <f t="shared" si="11"/>
        <v>2072</v>
      </c>
      <c r="W66" s="2258">
        <v>3742</v>
      </c>
      <c r="X66" s="2252">
        <f t="shared" si="12"/>
        <v>3742</v>
      </c>
      <c r="Y66" s="2258">
        <v>6142</v>
      </c>
      <c r="Z66" s="2252">
        <f t="shared" si="13"/>
        <v>2400</v>
      </c>
      <c r="AA66" s="2258">
        <v>6162</v>
      </c>
      <c r="AB66" s="2252">
        <f t="shared" si="14"/>
        <v>20</v>
      </c>
      <c r="AC66" s="2251">
        <f>_xlfn.XLOOKUP($C66,'Sales Rec'!$E$4:$E$86,'Sales Rec'!$CH$4:$CH$86,"")</f>
        <v>7667</v>
      </c>
      <c r="AD66" s="2252">
        <f t="shared" si="15"/>
        <v>1505</v>
      </c>
      <c r="AE66" s="2253">
        <f t="shared" ref="AE66:AE83" si="32">(AC66-E66)/E66</f>
        <v>1.476421188630491</v>
      </c>
      <c r="AF66" s="2260">
        <v>74.25</v>
      </c>
      <c r="AG66" s="2258">
        <v>9206</v>
      </c>
      <c r="AH66" s="2252">
        <f t="shared" si="16"/>
        <v>1539</v>
      </c>
      <c r="AI66" s="2253">
        <f t="shared" ref="AI66:AI83" si="33">(AG66-I66)/I66</f>
        <v>0.56777929155313356</v>
      </c>
      <c r="AJ66" s="2260">
        <v>2.2591362126245847E-2</v>
      </c>
      <c r="AK66" s="2258">
        <v>11063</v>
      </c>
      <c r="AL66" s="2252">
        <f t="shared" si="17"/>
        <v>1857</v>
      </c>
      <c r="AM66" s="2253">
        <f t="shared" ref="AM66:AM83" si="34">(AK66-I66)/I66</f>
        <v>0.88402588555858308</v>
      </c>
      <c r="AN66" s="2260">
        <v>0.20662768031189083</v>
      </c>
      <c r="AO66" s="2251">
        <f>_xlfn.XLOOKUP($C66,'Last M. Sales'!$C$3:$C$82,'Last M. Sales'!$I$3:$I$82,"")</f>
        <v>15471</v>
      </c>
      <c r="AP66" s="2252">
        <f t="shared" si="18"/>
        <v>4408</v>
      </c>
      <c r="AQ66" s="2253">
        <f t="shared" ref="AQ66:AQ83" si="35">IF(AO66&gt;0,(AO66-K66)/K66,"")</f>
        <v>1.354436158879927</v>
      </c>
      <c r="AR66" s="2254">
        <f t="shared" ref="AR66:AR83" si="36">IFERROR(IF(AO66&gt;0,(AP66-AL66)/AL66,""),"")</f>
        <v>1.373721055465805</v>
      </c>
      <c r="AS66" s="2255">
        <f t="shared" ref="AS66:AS83" si="37">((AD66+AL66+AH66)-(X66+Z66+AB66))/(X66+Z66+AB66)</f>
        <v>-0.20464135021097046</v>
      </c>
      <c r="AT66" s="1575">
        <f t="shared" ref="AT66:AT83" si="38">RANK(AS66,$AS$34:$AS$83, 0)</f>
        <v>40</v>
      </c>
      <c r="AU66" s="2289"/>
      <c r="AV66" s="2289"/>
      <c r="AW66" s="2255">
        <f t="shared" si="20"/>
        <v>0.98828025477707004</v>
      </c>
      <c r="AX66" s="1575">
        <f t="shared" ref="AX66:AX83" si="39">RANK(AW66,$AW$34:$AW$83, 0)</f>
        <v>13</v>
      </c>
    </row>
    <row r="67" spans="1:50" ht="25">
      <c r="A67" s="100">
        <f>_xlfn.XLOOKUP($C67,MOPFRA!$R$7:$R$56,MOPFRA!$A$7:$A$56,"")</f>
        <v>-8.6546666382605597</v>
      </c>
      <c r="B67" s="2250" t="s">
        <v>88</v>
      </c>
      <c r="C67" s="2250" t="s">
        <v>89</v>
      </c>
      <c r="D67" s="2277">
        <f>_xlfn.XLOOKUP(C67,'Sales Rec'!$E$4:$E$86,'Sales Rec'!$F$4:$F$86,"")</f>
        <v>12</v>
      </c>
      <c r="E67" s="2258">
        <v>1214</v>
      </c>
      <c r="F67" s="2259">
        <v>1214</v>
      </c>
      <c r="G67" s="2258">
        <v>3336</v>
      </c>
      <c r="H67" s="2252">
        <f t="shared" si="5"/>
        <v>2122</v>
      </c>
      <c r="I67" s="2258">
        <v>4687</v>
      </c>
      <c r="J67" s="2252">
        <f t="shared" si="6"/>
        <v>1351</v>
      </c>
      <c r="K67" s="2258">
        <v>6201</v>
      </c>
      <c r="L67" s="2252">
        <f t="shared" si="7"/>
        <v>1514</v>
      </c>
      <c r="M67" s="2258">
        <v>7213</v>
      </c>
      <c r="N67" s="2252">
        <f t="shared" si="8"/>
        <v>1012</v>
      </c>
      <c r="O67" s="2258">
        <v>8303</v>
      </c>
      <c r="P67" s="2252">
        <f t="shared" si="9"/>
        <v>1090</v>
      </c>
      <c r="Q67" s="2258">
        <v>9476</v>
      </c>
      <c r="R67" s="2252">
        <f t="shared" si="21"/>
        <v>1173</v>
      </c>
      <c r="S67" s="2258">
        <v>11731</v>
      </c>
      <c r="T67" s="2252">
        <f t="shared" si="10"/>
        <v>2255</v>
      </c>
      <c r="U67" s="2258">
        <v>12766</v>
      </c>
      <c r="V67" s="2252">
        <f t="shared" si="11"/>
        <v>1035</v>
      </c>
      <c r="W67" s="2258">
        <v>14946</v>
      </c>
      <c r="X67" s="2252">
        <f t="shared" si="12"/>
        <v>2180</v>
      </c>
      <c r="Y67" s="2258">
        <v>16559</v>
      </c>
      <c r="Z67" s="2252">
        <f t="shared" si="13"/>
        <v>1613</v>
      </c>
      <c r="AA67" s="2258">
        <v>18461</v>
      </c>
      <c r="AB67" s="2252">
        <f t="shared" si="14"/>
        <v>1902</v>
      </c>
      <c r="AC67" s="2251">
        <f>_xlfn.XLOOKUP($C67,'Sales Rec'!$E$4:$E$86,'Sales Rec'!$CH$4:$CH$86,"")</f>
        <v>762</v>
      </c>
      <c r="AD67" s="2252">
        <f t="shared" si="15"/>
        <v>762</v>
      </c>
      <c r="AE67" s="2253">
        <f t="shared" si="32"/>
        <v>-0.37232289950576608</v>
      </c>
      <c r="AF67" s="2260">
        <v>-0.59936908517350163</v>
      </c>
      <c r="AG67" s="2258">
        <v>4339</v>
      </c>
      <c r="AH67" s="2252">
        <f t="shared" si="16"/>
        <v>3577</v>
      </c>
      <c r="AI67" s="2253">
        <f t="shared" si="33"/>
        <v>-7.4247919778109669E-2</v>
      </c>
      <c r="AJ67" s="2260">
        <v>3.6942257217847767</v>
      </c>
      <c r="AK67" s="2258">
        <v>6311</v>
      </c>
      <c r="AL67" s="2252">
        <f t="shared" si="17"/>
        <v>1972</v>
      </c>
      <c r="AM67" s="2253">
        <f t="shared" si="34"/>
        <v>0.34649029229784511</v>
      </c>
      <c r="AN67" s="2260">
        <v>-0.52362314788929265</v>
      </c>
      <c r="AO67" s="2251">
        <f>_xlfn.XLOOKUP($C67,'Last M. Sales'!$C$3:$C$82,'Last M. Sales'!$I$3:$I$82,"")</f>
        <v>8500</v>
      </c>
      <c r="AP67" s="2252">
        <f t="shared" si="18"/>
        <v>2189</v>
      </c>
      <c r="AQ67" s="2253">
        <f t="shared" si="35"/>
        <v>0.37074665376552168</v>
      </c>
      <c r="AR67" s="2254">
        <f t="shared" si="36"/>
        <v>0.11004056795131846</v>
      </c>
      <c r="AS67" s="2255">
        <f t="shared" si="37"/>
        <v>0.10816505706760315</v>
      </c>
      <c r="AT67" s="1575">
        <f t="shared" si="38"/>
        <v>27</v>
      </c>
      <c r="AU67" s="2289"/>
      <c r="AV67" s="2289"/>
      <c r="AW67" s="2255">
        <f t="shared" si="20"/>
        <v>0.80921206453121342</v>
      </c>
      <c r="AX67" s="1575">
        <f t="shared" si="39"/>
        <v>19</v>
      </c>
    </row>
    <row r="68" spans="1:50" ht="25">
      <c r="A68" s="100">
        <f>_xlfn.XLOOKUP($C68,MOPFRA!$R$7:$R$56,MOPFRA!$A$7:$A$56,"")</f>
        <v>6.6054331585631454</v>
      </c>
      <c r="B68" s="2250" t="s">
        <v>179</v>
      </c>
      <c r="C68" s="2250" t="s">
        <v>180</v>
      </c>
      <c r="D68" s="2277">
        <f>_xlfn.XLOOKUP(C68,'Sales Rec'!$E$4:$E$86,'Sales Rec'!$F$4:$F$86,"")</f>
        <v>12</v>
      </c>
      <c r="E68" s="2258">
        <v>1681</v>
      </c>
      <c r="F68" s="2259">
        <v>1681</v>
      </c>
      <c r="G68" s="2258">
        <v>5111</v>
      </c>
      <c r="H68" s="2252">
        <f t="shared" si="5"/>
        <v>3430</v>
      </c>
      <c r="I68" s="2258">
        <v>7971</v>
      </c>
      <c r="J68" s="2252">
        <f t="shared" si="6"/>
        <v>2860</v>
      </c>
      <c r="K68" s="2258">
        <v>11897</v>
      </c>
      <c r="L68" s="2252">
        <f t="shared" si="7"/>
        <v>3926</v>
      </c>
      <c r="M68" s="2258">
        <v>15270</v>
      </c>
      <c r="N68" s="2252">
        <f t="shared" si="8"/>
        <v>3373</v>
      </c>
      <c r="O68" s="2258">
        <v>19787</v>
      </c>
      <c r="P68" s="2252">
        <f t="shared" si="9"/>
        <v>4517</v>
      </c>
      <c r="Q68" s="2258">
        <v>23767</v>
      </c>
      <c r="R68" s="2252">
        <f t="shared" si="21"/>
        <v>3980</v>
      </c>
      <c r="S68" s="2258">
        <v>27417</v>
      </c>
      <c r="T68" s="2252">
        <f t="shared" si="10"/>
        <v>3650</v>
      </c>
      <c r="U68" s="2258">
        <v>31286</v>
      </c>
      <c r="V68" s="2252">
        <f t="shared" si="11"/>
        <v>3869</v>
      </c>
      <c r="W68" s="2258">
        <v>35001</v>
      </c>
      <c r="X68" s="2252">
        <f t="shared" si="12"/>
        <v>3715</v>
      </c>
      <c r="Y68" s="2258">
        <v>41177</v>
      </c>
      <c r="Z68" s="2252">
        <f t="shared" si="13"/>
        <v>6176</v>
      </c>
      <c r="AA68" s="2258">
        <v>44054</v>
      </c>
      <c r="AB68" s="2252">
        <f t="shared" si="14"/>
        <v>2877</v>
      </c>
      <c r="AC68" s="2251">
        <f>_xlfn.XLOOKUP($C68,'Sales Rec'!$E$4:$E$86,'Sales Rec'!$CH$4:$CH$86,"")</f>
        <v>1984</v>
      </c>
      <c r="AD68" s="2252">
        <f t="shared" si="15"/>
        <v>1984</v>
      </c>
      <c r="AE68" s="2253">
        <f t="shared" si="32"/>
        <v>0.18024985127900059</v>
      </c>
      <c r="AF68" s="2260">
        <v>-0.31039277024678485</v>
      </c>
      <c r="AG68" s="2258">
        <v>8651</v>
      </c>
      <c r="AH68" s="2252">
        <f t="shared" si="16"/>
        <v>6667</v>
      </c>
      <c r="AI68" s="2253">
        <f t="shared" si="33"/>
        <v>8.5309246016810933E-2</v>
      </c>
      <c r="AJ68" s="2260">
        <v>2.360383064516129</v>
      </c>
      <c r="AK68" s="2258">
        <v>17253</v>
      </c>
      <c r="AL68" s="2252">
        <f t="shared" si="17"/>
        <v>8602</v>
      </c>
      <c r="AM68" s="2253">
        <f t="shared" si="34"/>
        <v>1.1644712081294692</v>
      </c>
      <c r="AN68" s="2260">
        <v>0.2902354882255887</v>
      </c>
      <c r="AO68" s="2251">
        <f>_xlfn.XLOOKUP($C68,'Last M. Sales'!$C$3:$C$82,'Last M. Sales'!$I$3:$I$82,"")</f>
        <v>24738</v>
      </c>
      <c r="AP68" s="2252">
        <f t="shared" si="18"/>
        <v>7485</v>
      </c>
      <c r="AQ68" s="2253">
        <f t="shared" si="35"/>
        <v>1.0793477347230394</v>
      </c>
      <c r="AR68" s="2254">
        <f t="shared" si="36"/>
        <v>-0.12985352243664264</v>
      </c>
      <c r="AS68" s="2255">
        <f t="shared" si="37"/>
        <v>0.3512687969924812</v>
      </c>
      <c r="AT68" s="1575">
        <f t="shared" si="38"/>
        <v>17</v>
      </c>
      <c r="AU68" s="2289"/>
      <c r="AV68" s="2289"/>
      <c r="AW68" s="2255">
        <f t="shared" si="20"/>
        <v>1.0616109450031712</v>
      </c>
      <c r="AX68" s="1575">
        <f t="shared" si="39"/>
        <v>10</v>
      </c>
    </row>
    <row r="69" spans="1:50" ht="25">
      <c r="A69" s="100">
        <f>_xlfn.XLOOKUP($C69,MOPFRA!$R$7:$R$56,MOPFRA!$A$7:$A$56,"")</f>
        <v>-21.000719895593619</v>
      </c>
      <c r="B69" s="2250" t="s">
        <v>136</v>
      </c>
      <c r="C69" s="2250" t="s">
        <v>137</v>
      </c>
      <c r="D69" s="2277">
        <f>_xlfn.XLOOKUP(C69,'Sales Rec'!$E$4:$E$86,'Sales Rec'!$F$4:$F$86,"")</f>
        <v>9</v>
      </c>
      <c r="E69" s="2258">
        <v>26184</v>
      </c>
      <c r="F69" s="2259">
        <v>26184</v>
      </c>
      <c r="G69" s="2258">
        <v>34199</v>
      </c>
      <c r="H69" s="2252">
        <f t="shared" ref="H69:H83" si="40">G69-E69</f>
        <v>8015</v>
      </c>
      <c r="I69" s="2258">
        <v>40772</v>
      </c>
      <c r="J69" s="2252">
        <f t="shared" ref="J69:J83" si="41">I69-G69</f>
        <v>6573</v>
      </c>
      <c r="K69" s="2258">
        <v>45841</v>
      </c>
      <c r="L69" s="2252">
        <f t="shared" ref="L69:L83" si="42">K69-I69</f>
        <v>5069</v>
      </c>
      <c r="M69" s="2258">
        <v>52763</v>
      </c>
      <c r="N69" s="2252">
        <f t="shared" ref="N69:N83" si="43">M69-K69</f>
        <v>6922</v>
      </c>
      <c r="O69" s="2258">
        <v>61290</v>
      </c>
      <c r="P69" s="2252">
        <f t="shared" ref="P69:P83" si="44">O69-M69</f>
        <v>8527</v>
      </c>
      <c r="Q69" s="2258">
        <v>68521</v>
      </c>
      <c r="R69" s="2252">
        <f t="shared" si="21"/>
        <v>7231</v>
      </c>
      <c r="S69" s="2258">
        <v>77043</v>
      </c>
      <c r="T69" s="2252">
        <f t="shared" ref="T69:T79" si="45">IFERROR(IF(OR(T$3-$D69=1,T$3-$D69=-11),S69,(S69-Q69)),"")</f>
        <v>8522</v>
      </c>
      <c r="U69" s="2258">
        <v>84606</v>
      </c>
      <c r="V69" s="2252">
        <f t="shared" ref="V69:V83" si="46">IFERROR(IF(OR(V$3-$D69=1,V$3-$D69=-11),U69,(U69-S69)),"")</f>
        <v>7563</v>
      </c>
      <c r="W69" s="2258">
        <v>8522</v>
      </c>
      <c r="X69" s="2252">
        <f t="shared" ref="X69:X83" si="47">IFERROR(IF(OR(X$3-$D69=1,X$3-$D69=-11),W69,(W69-U69)),"")</f>
        <v>8522</v>
      </c>
      <c r="Y69" s="2258">
        <v>16899</v>
      </c>
      <c r="Z69" s="2252">
        <f t="shared" ref="Z69:Z83" si="48">IFERROR(IF(OR(Z$3-$D69=1,Z$3-$D69=-11),Y69,(Y69-W69)),"")</f>
        <v>8377</v>
      </c>
      <c r="AA69" s="2258">
        <v>25053</v>
      </c>
      <c r="AB69" s="2252">
        <f t="shared" ref="AB69:AB83" si="49">IFERROR(IF(OR(AB$3-$D69=1,AB$3-$D69=-11),AA69,(AA69-Y69)),"")</f>
        <v>8154</v>
      </c>
      <c r="AC69" s="2251">
        <f>_xlfn.XLOOKUP($C69,'Sales Rec'!$E$4:$E$86,'Sales Rec'!$CH$4:$CH$86,"")</f>
        <v>30267</v>
      </c>
      <c r="AD69" s="2252">
        <f t="shared" ref="AD69:AD83" si="50">IFERROR(IF(OR(AD$3-$D69=1,AD$3-$D69=-11),AC69,(AC69-AA69)),"")</f>
        <v>5214</v>
      </c>
      <c r="AE69" s="2253">
        <f t="shared" si="32"/>
        <v>0.15593492208982584</v>
      </c>
      <c r="AF69" s="2260">
        <v>-0.36055923473142015</v>
      </c>
      <c r="AG69" s="2258">
        <v>39351</v>
      </c>
      <c r="AH69" s="2252">
        <f t="shared" ref="AH69:AH83" si="51">IFERROR(IF(OR(AH$3-$D69=1,AH$3-$D69=-11),AG69,(AG69-AC69)),"")</f>
        <v>9084</v>
      </c>
      <c r="AI69" s="2253">
        <f t="shared" si="33"/>
        <v>-3.4852349651721772E-2</v>
      </c>
      <c r="AJ69" s="2260">
        <v>0.74223245109321057</v>
      </c>
      <c r="AK69" s="2258">
        <v>50519</v>
      </c>
      <c r="AL69" s="2252">
        <f t="shared" ref="AL69:AL83" si="52">IFERROR(IF(OR(AL$3-$D69=1,AL$3-$D69=-11),AK69,(AK69-AG69)),"")</f>
        <v>11168</v>
      </c>
      <c r="AM69" s="2253">
        <f t="shared" si="34"/>
        <v>0.23906112037672914</v>
      </c>
      <c r="AN69" s="2260">
        <v>0.22941435490973139</v>
      </c>
      <c r="AO69" s="2251">
        <f>_xlfn.XLOOKUP($C69,'Last M. Sales'!$C$3:$C$82,'Last M. Sales'!$I$3:$I$82,"")</f>
        <v>57518</v>
      </c>
      <c r="AP69" s="2252">
        <f t="shared" ref="AP69:AP83" si="53">IF(AO69=0,0,(IF(OR(AP$3-$D69=1,AP$3-$D69=-11),AO69,(AO69-AK69))))</f>
        <v>6999</v>
      </c>
      <c r="AQ69" s="2253">
        <f t="shared" si="35"/>
        <v>0.25472829999345564</v>
      </c>
      <c r="AR69" s="2254">
        <f t="shared" si="36"/>
        <v>-0.37329871060171921</v>
      </c>
      <c r="AS69" s="2255">
        <f t="shared" si="37"/>
        <v>1.6485051690416318E-2</v>
      </c>
      <c r="AT69" s="1575">
        <f t="shared" si="38"/>
        <v>32</v>
      </c>
      <c r="AU69" s="2289"/>
      <c r="AV69" s="2289"/>
      <c r="AW69" s="2255">
        <f t="shared" ref="AW69:AW83" si="54">((AH69+AL69+AP69)-(Z69+AB69+AD69))/(Z69+AB69+AD69)</f>
        <v>0.2532076339388365</v>
      </c>
      <c r="AX69" s="1575">
        <f t="shared" si="39"/>
        <v>38</v>
      </c>
    </row>
    <row r="70" spans="1:50" ht="25">
      <c r="A70" s="100">
        <f>_xlfn.XLOOKUP($C70,MOPFRA!$R$7:$R$56,MOPFRA!$A$7:$A$56,"")</f>
        <v>-37.21765493050718</v>
      </c>
      <c r="B70" s="2250" t="s">
        <v>150</v>
      </c>
      <c r="C70" s="2250" t="s">
        <v>151</v>
      </c>
      <c r="D70" s="2277">
        <f>_xlfn.XLOOKUP(C70,'Sales Rec'!$E$4:$E$86,'Sales Rec'!$F$4:$F$86,"")</f>
        <v>12</v>
      </c>
      <c r="E70" s="2258">
        <v>5790</v>
      </c>
      <c r="F70" s="2259">
        <v>5790</v>
      </c>
      <c r="G70" s="2258">
        <v>9708</v>
      </c>
      <c r="H70" s="2252">
        <f t="shared" si="40"/>
        <v>3918</v>
      </c>
      <c r="I70" s="2258">
        <v>14365</v>
      </c>
      <c r="J70" s="2252">
        <f t="shared" si="41"/>
        <v>4657</v>
      </c>
      <c r="K70" s="2258">
        <v>21363</v>
      </c>
      <c r="L70" s="2252">
        <f t="shared" si="42"/>
        <v>6998</v>
      </c>
      <c r="M70" s="2258">
        <v>28060</v>
      </c>
      <c r="N70" s="2252">
        <f t="shared" si="43"/>
        <v>6697</v>
      </c>
      <c r="O70" s="2258">
        <v>35626</v>
      </c>
      <c r="P70" s="2252">
        <f t="shared" si="44"/>
        <v>7566</v>
      </c>
      <c r="Q70" s="2258">
        <v>42993</v>
      </c>
      <c r="R70" s="2252">
        <f t="shared" ref="R70:R83" si="55">IFERROR(IF(OR(R$3-$D70=1,R$3-$D70=-11),Q70,(Q70-O70)),"")</f>
        <v>7367</v>
      </c>
      <c r="S70" s="2258">
        <v>50217</v>
      </c>
      <c r="T70" s="2252">
        <f t="shared" si="45"/>
        <v>7224</v>
      </c>
      <c r="U70" s="2258">
        <v>58277</v>
      </c>
      <c r="V70" s="2252">
        <f t="shared" si="46"/>
        <v>8060</v>
      </c>
      <c r="W70" s="2258">
        <v>68940</v>
      </c>
      <c r="X70" s="2252">
        <f t="shared" si="47"/>
        <v>10663</v>
      </c>
      <c r="Y70" s="2258">
        <v>78550</v>
      </c>
      <c r="Z70" s="2252">
        <f t="shared" si="48"/>
        <v>9610</v>
      </c>
      <c r="AA70" s="2258">
        <v>88332</v>
      </c>
      <c r="AB70" s="2252">
        <f t="shared" si="49"/>
        <v>9782</v>
      </c>
      <c r="AC70" s="2251">
        <f>_xlfn.XLOOKUP($C70,'Sales Rec'!$E$4:$E$86,'Sales Rec'!$CH$4:$CH$86,"")</f>
        <v>4901</v>
      </c>
      <c r="AD70" s="2252">
        <f t="shared" si="50"/>
        <v>4901</v>
      </c>
      <c r="AE70" s="2253">
        <f t="shared" si="32"/>
        <v>-0.15354058721934369</v>
      </c>
      <c r="AF70" s="2260">
        <v>-0.49897771416888159</v>
      </c>
      <c r="AG70" s="2258">
        <v>7978</v>
      </c>
      <c r="AH70" s="2252">
        <f t="shared" si="51"/>
        <v>3077</v>
      </c>
      <c r="AI70" s="2253">
        <f t="shared" si="33"/>
        <v>-0.44462234597981204</v>
      </c>
      <c r="AJ70" s="2260">
        <v>-0.37216894511324222</v>
      </c>
      <c r="AK70" s="2258">
        <v>15436</v>
      </c>
      <c r="AL70" s="2252">
        <f t="shared" si="52"/>
        <v>7458</v>
      </c>
      <c r="AM70" s="2253">
        <f t="shared" si="34"/>
        <v>7.4556213017751477E-2</v>
      </c>
      <c r="AN70" s="2260">
        <v>1.4237894052648683</v>
      </c>
      <c r="AO70" s="2251">
        <f>_xlfn.XLOOKUP($C70,'Last M. Sales'!$C$3:$C$82,'Last M. Sales'!$I$3:$I$82,"")</f>
        <v>27497</v>
      </c>
      <c r="AP70" s="2252">
        <f t="shared" si="53"/>
        <v>12061</v>
      </c>
      <c r="AQ70" s="2253">
        <f t="shared" si="35"/>
        <v>0.28713195712212702</v>
      </c>
      <c r="AR70" s="2254">
        <f t="shared" si="36"/>
        <v>0.61718959506570126</v>
      </c>
      <c r="AS70" s="2255">
        <f t="shared" si="37"/>
        <v>-0.48640825153884543</v>
      </c>
      <c r="AT70" s="1575">
        <f t="shared" si="38"/>
        <v>46</v>
      </c>
      <c r="AU70" s="2289"/>
      <c r="AV70" s="2289"/>
      <c r="AW70" s="2255">
        <f t="shared" si="54"/>
        <v>-6.9855513934055077E-2</v>
      </c>
      <c r="AX70" s="1575">
        <f t="shared" si="39"/>
        <v>45</v>
      </c>
    </row>
    <row r="71" spans="1:50" ht="25">
      <c r="A71" s="100">
        <f>_xlfn.XLOOKUP($C71,MOPFRA!$R$7:$R$56,MOPFRA!$A$7:$A$56,"")</f>
        <v>3.3763719181679717</v>
      </c>
      <c r="B71" s="2250" t="s">
        <v>169</v>
      </c>
      <c r="C71" s="2250" t="s">
        <v>170</v>
      </c>
      <c r="D71" s="2277">
        <f>_xlfn.XLOOKUP(C71,'Sales Rec'!$E$4:$E$86,'Sales Rec'!$F$4:$F$86,"")</f>
        <v>12</v>
      </c>
      <c r="E71" s="2258">
        <v>206</v>
      </c>
      <c r="F71" s="2259">
        <v>206</v>
      </c>
      <c r="G71" s="2258">
        <v>429</v>
      </c>
      <c r="H71" s="2252">
        <f t="shared" si="40"/>
        <v>223</v>
      </c>
      <c r="I71" s="2258">
        <v>670</v>
      </c>
      <c r="J71" s="2252">
        <f t="shared" si="41"/>
        <v>241</v>
      </c>
      <c r="K71" s="2258">
        <v>936</v>
      </c>
      <c r="L71" s="2252">
        <f t="shared" si="42"/>
        <v>266</v>
      </c>
      <c r="M71" s="2258">
        <v>1200</v>
      </c>
      <c r="N71" s="2252">
        <f t="shared" si="43"/>
        <v>264</v>
      </c>
      <c r="O71" s="2258">
        <v>1502</v>
      </c>
      <c r="P71" s="2252">
        <f t="shared" si="44"/>
        <v>302</v>
      </c>
      <c r="Q71" s="2258">
        <v>1824</v>
      </c>
      <c r="R71" s="2252">
        <f t="shared" si="55"/>
        <v>322</v>
      </c>
      <c r="S71" s="2258">
        <v>2165</v>
      </c>
      <c r="T71" s="2252">
        <f t="shared" si="45"/>
        <v>341</v>
      </c>
      <c r="U71" s="2258">
        <v>2515</v>
      </c>
      <c r="V71" s="2252">
        <f t="shared" si="46"/>
        <v>350</v>
      </c>
      <c r="W71" s="2258">
        <v>2815</v>
      </c>
      <c r="X71" s="2252">
        <f t="shared" si="47"/>
        <v>300</v>
      </c>
      <c r="Y71" s="2258">
        <v>3019</v>
      </c>
      <c r="Z71" s="2252">
        <f t="shared" si="48"/>
        <v>204</v>
      </c>
      <c r="AA71" s="2258">
        <v>3120</v>
      </c>
      <c r="AB71" s="2252">
        <f t="shared" si="49"/>
        <v>101</v>
      </c>
      <c r="AC71" s="2251">
        <f>_xlfn.XLOOKUP($C71,'Sales Rec'!$E$4:$E$86,'Sales Rec'!$CH$4:$CH$86,"")</f>
        <v>215</v>
      </c>
      <c r="AD71" s="2252">
        <f t="shared" si="50"/>
        <v>215</v>
      </c>
      <c r="AE71" s="2253">
        <f t="shared" si="32"/>
        <v>4.3689320388349516E-2</v>
      </c>
      <c r="AF71" s="2260">
        <v>1.1287128712871286</v>
      </c>
      <c r="AG71" s="2258">
        <v>868</v>
      </c>
      <c r="AH71" s="2252">
        <f t="shared" si="51"/>
        <v>653</v>
      </c>
      <c r="AI71" s="2253">
        <f t="shared" si="33"/>
        <v>0.29552238805970149</v>
      </c>
      <c r="AJ71" s="2260">
        <v>2.0372093023255813</v>
      </c>
      <c r="AK71" s="2258">
        <v>1577</v>
      </c>
      <c r="AL71" s="2252">
        <f t="shared" si="52"/>
        <v>709</v>
      </c>
      <c r="AM71" s="2253">
        <f t="shared" si="34"/>
        <v>1.353731343283582</v>
      </c>
      <c r="AN71" s="2260">
        <v>8.575803981623277E-2</v>
      </c>
      <c r="AO71" s="2251">
        <f>_xlfn.XLOOKUP($C71,'Last M. Sales'!$C$3:$C$82,'Last M. Sales'!$I$3:$I$82,"")</f>
        <v>2307</v>
      </c>
      <c r="AP71" s="2252">
        <f t="shared" si="53"/>
        <v>730</v>
      </c>
      <c r="AQ71" s="2253">
        <f t="shared" si="35"/>
        <v>1.4647435897435896</v>
      </c>
      <c r="AR71" s="2254">
        <f t="shared" si="36"/>
        <v>2.9619181946403384E-2</v>
      </c>
      <c r="AS71" s="2255">
        <f t="shared" si="37"/>
        <v>1.6066115702479338</v>
      </c>
      <c r="AT71" s="1575">
        <f t="shared" si="38"/>
        <v>3</v>
      </c>
      <c r="AU71" s="2289"/>
      <c r="AV71" s="2289"/>
      <c r="AW71" s="2255">
        <f t="shared" si="54"/>
        <v>3.023076923076923</v>
      </c>
      <c r="AX71" s="1575">
        <f t="shared" si="39"/>
        <v>2</v>
      </c>
    </row>
    <row r="72" spans="1:50" ht="25">
      <c r="A72" s="100">
        <f>_xlfn.XLOOKUP($C72,MOPFRA!$R$7:$R$56,MOPFRA!$A$7:$A$56,"")</f>
        <v>10.895140384574557</v>
      </c>
      <c r="B72" s="2250" t="s">
        <v>181</v>
      </c>
      <c r="C72" s="2250" t="s">
        <v>182</v>
      </c>
      <c r="D72" s="2277">
        <f>_xlfn.XLOOKUP(C72,'Sales Rec'!$E$4:$E$86,'Sales Rec'!$F$4:$F$86,"")</f>
        <v>12</v>
      </c>
      <c r="E72" s="2258">
        <v>346</v>
      </c>
      <c r="F72" s="2259">
        <v>346</v>
      </c>
      <c r="G72" s="2258">
        <v>871</v>
      </c>
      <c r="H72" s="2252">
        <f t="shared" si="40"/>
        <v>525</v>
      </c>
      <c r="I72" s="2258">
        <v>1217</v>
      </c>
      <c r="J72" s="2252">
        <f t="shared" si="41"/>
        <v>346</v>
      </c>
      <c r="K72" s="2258">
        <v>1672</v>
      </c>
      <c r="L72" s="2252">
        <f t="shared" si="42"/>
        <v>455</v>
      </c>
      <c r="M72" s="2258">
        <v>2103</v>
      </c>
      <c r="N72" s="2252">
        <f t="shared" si="43"/>
        <v>431</v>
      </c>
      <c r="O72" s="2258">
        <v>2567</v>
      </c>
      <c r="P72" s="2252">
        <f t="shared" si="44"/>
        <v>464</v>
      </c>
      <c r="Q72" s="2258">
        <v>3116</v>
      </c>
      <c r="R72" s="2252">
        <f t="shared" si="55"/>
        <v>549</v>
      </c>
      <c r="S72" s="2258">
        <v>3639</v>
      </c>
      <c r="T72" s="2252">
        <f t="shared" si="45"/>
        <v>523</v>
      </c>
      <c r="U72" s="2258">
        <v>4252</v>
      </c>
      <c r="V72" s="2252">
        <f t="shared" si="46"/>
        <v>613</v>
      </c>
      <c r="W72" s="2258">
        <v>4720</v>
      </c>
      <c r="X72" s="2252">
        <f t="shared" si="47"/>
        <v>468</v>
      </c>
      <c r="Y72" s="2258">
        <v>5434</v>
      </c>
      <c r="Z72" s="2252">
        <f t="shared" si="48"/>
        <v>714</v>
      </c>
      <c r="AA72" s="2258">
        <v>5814</v>
      </c>
      <c r="AB72" s="2252">
        <f t="shared" si="49"/>
        <v>380</v>
      </c>
      <c r="AC72" s="2251">
        <f>_xlfn.XLOOKUP($C72,'Sales Rec'!$E$4:$E$86,'Sales Rec'!$CH$4:$CH$86,"")</f>
        <v>240</v>
      </c>
      <c r="AD72" s="2252">
        <f t="shared" si="50"/>
        <v>240</v>
      </c>
      <c r="AE72" s="2253">
        <f t="shared" si="32"/>
        <v>-0.30635838150289019</v>
      </c>
      <c r="AF72" s="2260">
        <v>-0.36842105263157893</v>
      </c>
      <c r="AG72" s="2258">
        <v>1012</v>
      </c>
      <c r="AH72" s="2252">
        <f t="shared" si="51"/>
        <v>772</v>
      </c>
      <c r="AI72" s="2253">
        <f t="shared" si="33"/>
        <v>-0.1684470008216927</v>
      </c>
      <c r="AJ72" s="2260">
        <v>2.2166666666666668</v>
      </c>
      <c r="AK72" s="2258">
        <v>1803</v>
      </c>
      <c r="AL72" s="2252">
        <f t="shared" si="52"/>
        <v>791</v>
      </c>
      <c r="AM72" s="2253">
        <f t="shared" si="34"/>
        <v>0.48151191454396058</v>
      </c>
      <c r="AN72" s="2260">
        <v>2.4611398963730571E-2</v>
      </c>
      <c r="AO72" s="2251">
        <f>_xlfn.XLOOKUP($C72,'Last M. Sales'!$C$3:$C$82,'Last M. Sales'!$I$3:$I$82,"")</f>
        <v>2675</v>
      </c>
      <c r="AP72" s="2252">
        <f t="shared" si="53"/>
        <v>872</v>
      </c>
      <c r="AQ72" s="2253">
        <f t="shared" si="35"/>
        <v>0.59988038277511957</v>
      </c>
      <c r="AR72" s="2254">
        <f t="shared" si="36"/>
        <v>0.10240202275600506</v>
      </c>
      <c r="AS72" s="2255">
        <f t="shared" si="37"/>
        <v>0.15428937259923176</v>
      </c>
      <c r="AT72" s="1575">
        <f t="shared" si="38"/>
        <v>25</v>
      </c>
      <c r="AU72" s="2289"/>
      <c r="AV72" s="2289"/>
      <c r="AW72" s="2255">
        <f t="shared" si="54"/>
        <v>0.82533733133433285</v>
      </c>
      <c r="AX72" s="1575">
        <f t="shared" si="39"/>
        <v>17</v>
      </c>
    </row>
    <row r="73" spans="1:50" ht="25">
      <c r="A73" s="100">
        <f>_xlfn.XLOOKUP($C73,MOPFRA!$R$7:$R$56,MOPFRA!$A$7:$A$56,"")</f>
        <v>5.6361761382487128</v>
      </c>
      <c r="B73" s="2250" t="s">
        <v>100</v>
      </c>
      <c r="C73" s="2250" t="s">
        <v>101</v>
      </c>
      <c r="D73" s="2277">
        <f>_xlfn.XLOOKUP(C73,'Sales Rec'!$E$4:$E$86,'Sales Rec'!$F$4:$F$86,"")</f>
        <v>12</v>
      </c>
      <c r="E73" s="2258">
        <v>262</v>
      </c>
      <c r="F73" s="2259">
        <v>262</v>
      </c>
      <c r="G73" s="2258">
        <v>780</v>
      </c>
      <c r="H73" s="2252">
        <f t="shared" si="40"/>
        <v>518</v>
      </c>
      <c r="I73" s="2258">
        <v>1265</v>
      </c>
      <c r="J73" s="2252">
        <f t="shared" si="41"/>
        <v>485</v>
      </c>
      <c r="K73" s="2258">
        <v>1732</v>
      </c>
      <c r="L73" s="2252">
        <f t="shared" si="42"/>
        <v>467</v>
      </c>
      <c r="M73" s="2258">
        <v>2192</v>
      </c>
      <c r="N73" s="2252">
        <f t="shared" si="43"/>
        <v>460</v>
      </c>
      <c r="O73" s="2258">
        <v>2729</v>
      </c>
      <c r="P73" s="2252">
        <f t="shared" si="44"/>
        <v>537</v>
      </c>
      <c r="Q73" s="2258">
        <v>3321</v>
      </c>
      <c r="R73" s="2252">
        <f t="shared" si="55"/>
        <v>592</v>
      </c>
      <c r="S73" s="2258">
        <v>3855</v>
      </c>
      <c r="T73" s="2252">
        <f t="shared" si="45"/>
        <v>534</v>
      </c>
      <c r="U73" s="2258">
        <v>4215</v>
      </c>
      <c r="V73" s="2252">
        <f t="shared" si="46"/>
        <v>360</v>
      </c>
      <c r="W73" s="2258">
        <v>4824</v>
      </c>
      <c r="X73" s="2252">
        <f t="shared" si="47"/>
        <v>609</v>
      </c>
      <c r="Y73" s="2258">
        <v>5944</v>
      </c>
      <c r="Z73" s="2252">
        <f t="shared" si="48"/>
        <v>1120</v>
      </c>
      <c r="AA73" s="2258">
        <v>7000</v>
      </c>
      <c r="AB73" s="2252">
        <f t="shared" si="49"/>
        <v>1056</v>
      </c>
      <c r="AC73" s="2251">
        <f>_xlfn.XLOOKUP($C73,'Sales Rec'!$E$4:$E$86,'Sales Rec'!$CH$4:$CH$86,"")</f>
        <v>693</v>
      </c>
      <c r="AD73" s="2252">
        <f t="shared" si="50"/>
        <v>693</v>
      </c>
      <c r="AE73" s="2253">
        <f t="shared" si="32"/>
        <v>1.6450381679389312</v>
      </c>
      <c r="AF73" s="2260">
        <v>-0.34375</v>
      </c>
      <c r="AG73" s="2258">
        <v>2069</v>
      </c>
      <c r="AH73" s="2252">
        <f t="shared" si="51"/>
        <v>1376</v>
      </c>
      <c r="AI73" s="2253">
        <f t="shared" si="33"/>
        <v>0.63557312252964426</v>
      </c>
      <c r="AJ73" s="2260">
        <v>0.98556998556998554</v>
      </c>
      <c r="AK73" s="2258">
        <v>3676</v>
      </c>
      <c r="AL73" s="2252">
        <f t="shared" si="52"/>
        <v>1607</v>
      </c>
      <c r="AM73" s="2253">
        <f t="shared" si="34"/>
        <v>1.9059288537549408</v>
      </c>
      <c r="AN73" s="2260">
        <v>0.16787790697674418</v>
      </c>
      <c r="AO73" s="2251">
        <f>_xlfn.XLOOKUP($C73,'Last M. Sales'!$C$3:$C$82,'Last M. Sales'!$I$3:$I$82,"")</f>
        <v>4712</v>
      </c>
      <c r="AP73" s="2252">
        <f t="shared" si="53"/>
        <v>1036</v>
      </c>
      <c r="AQ73" s="2253">
        <f t="shared" si="35"/>
        <v>1.7205542725173211</v>
      </c>
      <c r="AR73" s="2254">
        <f t="shared" si="36"/>
        <v>-0.35532047293092717</v>
      </c>
      <c r="AS73" s="2255">
        <f t="shared" si="37"/>
        <v>0.31992818671454221</v>
      </c>
      <c r="AT73" s="1575">
        <f t="shared" si="38"/>
        <v>19</v>
      </c>
      <c r="AU73" s="2289"/>
      <c r="AV73" s="2289"/>
      <c r="AW73" s="2255">
        <f t="shared" si="54"/>
        <v>0.40083652840711048</v>
      </c>
      <c r="AX73" s="1575">
        <f t="shared" si="39"/>
        <v>30</v>
      </c>
    </row>
    <row r="74" spans="1:50" ht="25">
      <c r="A74" s="100">
        <f>_xlfn.XLOOKUP($C74,MOPFRA!$R$7:$R$56,MOPFRA!$A$7:$A$56,"")</f>
        <v>13.754050345773464</v>
      </c>
      <c r="B74" s="2250" t="s">
        <v>144</v>
      </c>
      <c r="C74" s="2250" t="s">
        <v>145</v>
      </c>
      <c r="D74" s="2277">
        <f>_xlfn.XLOOKUP(C74,'Sales Rec'!$E$4:$E$86,'Sales Rec'!$F$4:$F$86,"")</f>
        <v>12</v>
      </c>
      <c r="E74" s="2258">
        <v>1622</v>
      </c>
      <c r="F74" s="2259">
        <v>1622</v>
      </c>
      <c r="G74" s="2258">
        <v>4484</v>
      </c>
      <c r="H74" s="2252">
        <f t="shared" si="40"/>
        <v>2862</v>
      </c>
      <c r="I74" s="2258">
        <v>7069</v>
      </c>
      <c r="J74" s="2252">
        <f t="shared" si="41"/>
        <v>2585</v>
      </c>
      <c r="K74" s="2258">
        <v>7574</v>
      </c>
      <c r="L74" s="2252">
        <f t="shared" si="42"/>
        <v>505</v>
      </c>
      <c r="M74" s="2258">
        <v>11191</v>
      </c>
      <c r="N74" s="2252">
        <f t="shared" si="43"/>
        <v>3617</v>
      </c>
      <c r="O74" s="2258">
        <v>18097</v>
      </c>
      <c r="P74" s="2252">
        <f t="shared" si="44"/>
        <v>6906</v>
      </c>
      <c r="Q74" s="2258">
        <v>22808</v>
      </c>
      <c r="R74" s="2252">
        <f t="shared" si="55"/>
        <v>4711</v>
      </c>
      <c r="S74" s="2258">
        <v>27694</v>
      </c>
      <c r="T74" s="2252">
        <f t="shared" si="45"/>
        <v>4886</v>
      </c>
      <c r="U74" s="2258">
        <v>32303</v>
      </c>
      <c r="V74" s="2252">
        <f t="shared" si="46"/>
        <v>4609</v>
      </c>
      <c r="W74" s="2258">
        <v>38577</v>
      </c>
      <c r="X74" s="2252">
        <f t="shared" si="47"/>
        <v>6274</v>
      </c>
      <c r="Y74" s="2258">
        <v>41204</v>
      </c>
      <c r="Z74" s="2252">
        <f t="shared" si="48"/>
        <v>2627</v>
      </c>
      <c r="AA74" s="2258">
        <v>47960</v>
      </c>
      <c r="AB74" s="2252">
        <f t="shared" si="49"/>
        <v>6756</v>
      </c>
      <c r="AC74" s="2251">
        <f>_xlfn.XLOOKUP($C74,'Sales Rec'!$E$4:$E$86,'Sales Rec'!$CH$4:$CH$86,"")</f>
        <v>4012</v>
      </c>
      <c r="AD74" s="2252">
        <f t="shared" si="50"/>
        <v>4012</v>
      </c>
      <c r="AE74" s="2253">
        <f t="shared" si="32"/>
        <v>1.473489519112207</v>
      </c>
      <c r="AF74" s="2260">
        <v>-0.40615748963883958</v>
      </c>
      <c r="AG74" s="2258">
        <v>6979</v>
      </c>
      <c r="AH74" s="2252">
        <f t="shared" si="51"/>
        <v>2967</v>
      </c>
      <c r="AI74" s="2253">
        <f t="shared" si="33"/>
        <v>-1.2731645211486774E-2</v>
      </c>
      <c r="AJ74" s="2260">
        <v>-0.26046859421734797</v>
      </c>
      <c r="AK74" s="2258">
        <v>8407</v>
      </c>
      <c r="AL74" s="2252">
        <f t="shared" si="52"/>
        <v>1428</v>
      </c>
      <c r="AM74" s="2253">
        <f t="shared" si="34"/>
        <v>0.18927712547743669</v>
      </c>
      <c r="AN74" s="2260">
        <v>-0.63801820020222444</v>
      </c>
      <c r="AO74" s="2251">
        <f>_xlfn.XLOOKUP($C74,'Last M. Sales'!$C$3:$C$82,'Last M. Sales'!$I$3:$I$82,"")</f>
        <v>11597</v>
      </c>
      <c r="AP74" s="2252">
        <f t="shared" si="53"/>
        <v>3190</v>
      </c>
      <c r="AQ74" s="2253">
        <f t="shared" si="35"/>
        <v>0.53115922894111434</v>
      </c>
      <c r="AR74" s="2254">
        <f t="shared" si="36"/>
        <v>1.2338935574229692</v>
      </c>
      <c r="AS74" s="2255">
        <f t="shared" si="37"/>
        <v>-0.46305167017947246</v>
      </c>
      <c r="AT74" s="1575">
        <f t="shared" si="38"/>
        <v>44</v>
      </c>
      <c r="AU74" s="2289"/>
      <c r="AV74" s="2289"/>
      <c r="AW74" s="2255">
        <f t="shared" si="54"/>
        <v>-0.43374393430384472</v>
      </c>
      <c r="AX74" s="1575">
        <f t="shared" si="39"/>
        <v>46</v>
      </c>
    </row>
    <row r="75" spans="1:50" ht="25">
      <c r="A75" s="100">
        <f>_xlfn.XLOOKUP($C75,MOPFRA!$R$7:$R$56,MOPFRA!$A$7:$A$56,"")</f>
        <v>-19.324231968038298</v>
      </c>
      <c r="B75" s="2250" t="s">
        <v>118</v>
      </c>
      <c r="C75" s="2250" t="s">
        <v>119</v>
      </c>
      <c r="D75" s="2277">
        <f>_xlfn.XLOOKUP(C75,'Sales Rec'!$E$4:$E$86,'Sales Rec'!$F$4:$F$86,"")</f>
        <v>12</v>
      </c>
      <c r="E75" s="2258">
        <v>24057</v>
      </c>
      <c r="F75" s="2259">
        <v>24057</v>
      </c>
      <c r="G75" s="2258">
        <v>56788</v>
      </c>
      <c r="H75" s="2252">
        <f t="shared" si="40"/>
        <v>32731</v>
      </c>
      <c r="I75" s="2258">
        <v>80469</v>
      </c>
      <c r="J75" s="2252">
        <f t="shared" si="41"/>
        <v>23681</v>
      </c>
      <c r="K75" s="2258">
        <v>105495</v>
      </c>
      <c r="L75" s="2252">
        <f t="shared" si="42"/>
        <v>25026</v>
      </c>
      <c r="M75" s="2258">
        <v>127444</v>
      </c>
      <c r="N75" s="2252">
        <f t="shared" si="43"/>
        <v>21949</v>
      </c>
      <c r="O75" s="2258">
        <v>152895</v>
      </c>
      <c r="P75" s="2252">
        <f t="shared" si="44"/>
        <v>25451</v>
      </c>
      <c r="Q75" s="2258">
        <v>179828</v>
      </c>
      <c r="R75" s="2252">
        <f t="shared" si="55"/>
        <v>26933</v>
      </c>
      <c r="S75" s="2258">
        <v>209702</v>
      </c>
      <c r="T75" s="2252">
        <f t="shared" si="45"/>
        <v>29874</v>
      </c>
      <c r="U75" s="2258">
        <v>236229</v>
      </c>
      <c r="V75" s="2252">
        <f t="shared" si="46"/>
        <v>26527</v>
      </c>
      <c r="W75" s="2258">
        <v>281630</v>
      </c>
      <c r="X75" s="2252">
        <f t="shared" si="47"/>
        <v>45401</v>
      </c>
      <c r="Y75" s="2258">
        <v>325759</v>
      </c>
      <c r="Z75" s="2252">
        <f t="shared" si="48"/>
        <v>44129</v>
      </c>
      <c r="AA75" s="2258">
        <v>361460</v>
      </c>
      <c r="AB75" s="2252">
        <f t="shared" si="49"/>
        <v>35701</v>
      </c>
      <c r="AC75" s="2251">
        <f>_xlfn.XLOOKUP($C75,'Sales Rec'!$E$4:$E$86,'Sales Rec'!$CH$4:$CH$86,"")</f>
        <v>4905</v>
      </c>
      <c r="AD75" s="2252">
        <f t="shared" si="50"/>
        <v>4905</v>
      </c>
      <c r="AE75" s="2253">
        <f t="shared" si="32"/>
        <v>-0.79610924055368504</v>
      </c>
      <c r="AF75" s="2260">
        <v>-0.86260889050726874</v>
      </c>
      <c r="AG75" s="2258">
        <v>27140</v>
      </c>
      <c r="AH75" s="2252">
        <f t="shared" si="51"/>
        <v>22235</v>
      </c>
      <c r="AI75" s="2253">
        <f t="shared" si="33"/>
        <v>-0.66272726142986738</v>
      </c>
      <c r="AJ75" s="2260">
        <v>3.5331294597349645</v>
      </c>
      <c r="AK75" s="2258">
        <v>81669</v>
      </c>
      <c r="AL75" s="2252">
        <f t="shared" si="52"/>
        <v>54529</v>
      </c>
      <c r="AM75" s="2253">
        <f t="shared" si="34"/>
        <v>1.4912575028893114E-2</v>
      </c>
      <c r="AN75" s="2260">
        <v>1.4523948729480549</v>
      </c>
      <c r="AO75" s="2251">
        <f>_xlfn.XLOOKUP($C75,'Last M. Sales'!$C$3:$C$82,'Last M. Sales'!$I$3:$I$82,"")</f>
        <v>132573</v>
      </c>
      <c r="AP75" s="2252">
        <f t="shared" si="53"/>
        <v>50904</v>
      </c>
      <c r="AQ75" s="2253">
        <f t="shared" si="35"/>
        <v>0.25667567183278828</v>
      </c>
      <c r="AR75" s="2254">
        <f t="shared" si="36"/>
        <v>-6.6478387646940154E-2</v>
      </c>
      <c r="AS75" s="2255">
        <f t="shared" si="37"/>
        <v>-0.34785316734674321</v>
      </c>
      <c r="AT75" s="1575">
        <f t="shared" si="38"/>
        <v>43</v>
      </c>
      <c r="AU75" s="2289"/>
      <c r="AV75" s="2289"/>
      <c r="AW75" s="2255">
        <f t="shared" si="54"/>
        <v>0.50667374756594086</v>
      </c>
      <c r="AX75" s="1575">
        <f t="shared" si="39"/>
        <v>27</v>
      </c>
    </row>
    <row r="76" spans="1:50" ht="25">
      <c r="A76" s="100">
        <f>_xlfn.XLOOKUP($C76,MOPFRA!$R$7:$R$56,MOPFRA!$A$7:$A$56,"")</f>
        <v>-22.462275219400578</v>
      </c>
      <c r="B76" s="2250" t="s">
        <v>128</v>
      </c>
      <c r="C76" s="2250" t="s">
        <v>129</v>
      </c>
      <c r="D76" s="2277">
        <f>_xlfn.XLOOKUP(C76,'Sales Rec'!$E$4:$E$86,'Sales Rec'!$F$4:$F$86,"")</f>
        <v>12</v>
      </c>
      <c r="E76" s="2258">
        <v>705</v>
      </c>
      <c r="F76" s="2259">
        <v>705</v>
      </c>
      <c r="G76" s="2258">
        <v>2799</v>
      </c>
      <c r="H76" s="2252">
        <f t="shared" si="40"/>
        <v>2094</v>
      </c>
      <c r="I76" s="2258">
        <v>3893</v>
      </c>
      <c r="J76" s="2252">
        <f t="shared" si="41"/>
        <v>1094</v>
      </c>
      <c r="K76" s="2258">
        <v>5334</v>
      </c>
      <c r="L76" s="2252">
        <f t="shared" si="42"/>
        <v>1441</v>
      </c>
      <c r="M76" s="2258">
        <v>6637</v>
      </c>
      <c r="N76" s="2252">
        <f t="shared" si="43"/>
        <v>1303</v>
      </c>
      <c r="O76" s="2258">
        <v>8343</v>
      </c>
      <c r="P76" s="2252">
        <f t="shared" si="44"/>
        <v>1706</v>
      </c>
      <c r="Q76" s="2258">
        <v>10536</v>
      </c>
      <c r="R76" s="2252">
        <f t="shared" si="55"/>
        <v>2193</v>
      </c>
      <c r="S76" s="2258">
        <v>12390</v>
      </c>
      <c r="T76" s="2252">
        <f t="shared" si="45"/>
        <v>1854</v>
      </c>
      <c r="U76" s="2258">
        <v>14786</v>
      </c>
      <c r="V76" s="2252">
        <f t="shared" si="46"/>
        <v>2396</v>
      </c>
      <c r="W76" s="2258">
        <v>17308</v>
      </c>
      <c r="X76" s="2252">
        <f t="shared" si="47"/>
        <v>2522</v>
      </c>
      <c r="Y76" s="2258">
        <v>20101</v>
      </c>
      <c r="Z76" s="2252">
        <f t="shared" si="48"/>
        <v>2793</v>
      </c>
      <c r="AA76" s="2258">
        <v>21428</v>
      </c>
      <c r="AB76" s="2252">
        <f t="shared" si="49"/>
        <v>1327</v>
      </c>
      <c r="AC76" s="2251">
        <f>_xlfn.XLOOKUP($C76,'Sales Rec'!$E$4:$E$86,'Sales Rec'!$CH$4:$CH$86,"")</f>
        <v>496</v>
      </c>
      <c r="AD76" s="2252">
        <f t="shared" si="50"/>
        <v>496</v>
      </c>
      <c r="AE76" s="2253">
        <f t="shared" si="32"/>
        <v>-0.29645390070921984</v>
      </c>
      <c r="AF76" s="2260">
        <v>-0.62622456669178594</v>
      </c>
      <c r="AG76" s="2258">
        <v>4466</v>
      </c>
      <c r="AH76" s="2252">
        <f t="shared" si="51"/>
        <v>3970</v>
      </c>
      <c r="AI76" s="2253">
        <f t="shared" si="33"/>
        <v>0.14718725918314923</v>
      </c>
      <c r="AJ76" s="2260">
        <v>7.004032258064516</v>
      </c>
      <c r="AK76" s="2258">
        <v>7038</v>
      </c>
      <c r="AL76" s="2252">
        <f t="shared" si="52"/>
        <v>2572</v>
      </c>
      <c r="AM76" s="2253">
        <f t="shared" si="34"/>
        <v>0.80786026200873362</v>
      </c>
      <c r="AN76" s="2260">
        <v>-0.3163727959697733</v>
      </c>
      <c r="AO76" s="2251">
        <f>_xlfn.XLOOKUP($C76,'Last M. Sales'!$C$3:$C$82,'Last M. Sales'!$I$3:$I$82,"")</f>
        <v>9533</v>
      </c>
      <c r="AP76" s="2252">
        <f t="shared" si="53"/>
        <v>2495</v>
      </c>
      <c r="AQ76" s="2253">
        <f t="shared" si="35"/>
        <v>0.78721409823772026</v>
      </c>
      <c r="AR76" s="2254">
        <f t="shared" si="36"/>
        <v>-2.9937791601866253E-2</v>
      </c>
      <c r="AS76" s="2255">
        <f t="shared" si="37"/>
        <v>5.9620596205962058E-2</v>
      </c>
      <c r="AT76" s="1575">
        <f t="shared" si="38"/>
        <v>30</v>
      </c>
      <c r="AU76" s="2289"/>
      <c r="AV76" s="2289"/>
      <c r="AW76" s="2255">
        <f t="shared" si="54"/>
        <v>0.95775563258232232</v>
      </c>
      <c r="AX76" s="1575">
        <f t="shared" si="39"/>
        <v>14</v>
      </c>
    </row>
    <row r="77" spans="1:50" ht="25">
      <c r="A77" s="100">
        <f>_xlfn.XLOOKUP($C77,MOPFRA!$R$7:$R$56,MOPFRA!$A$7:$A$56,"")</f>
        <v>-40.294632979004746</v>
      </c>
      <c r="B77" s="2250" t="s">
        <v>134</v>
      </c>
      <c r="C77" s="2250" t="s">
        <v>135</v>
      </c>
      <c r="D77" s="2277">
        <f>_xlfn.XLOOKUP(C77,'Sales Rec'!$E$4:$E$86,'Sales Rec'!$F$4:$F$86,"")</f>
        <v>12</v>
      </c>
      <c r="E77" s="2258">
        <v>34</v>
      </c>
      <c r="F77" s="2259">
        <v>34</v>
      </c>
      <c r="G77" s="2258">
        <v>96</v>
      </c>
      <c r="H77" s="2252">
        <f t="shared" si="40"/>
        <v>62</v>
      </c>
      <c r="I77" s="2258">
        <v>149</v>
      </c>
      <c r="J77" s="2252">
        <f t="shared" si="41"/>
        <v>53</v>
      </c>
      <c r="K77" s="2258">
        <v>195</v>
      </c>
      <c r="L77" s="2252">
        <f t="shared" si="42"/>
        <v>46</v>
      </c>
      <c r="M77" s="2258">
        <v>248</v>
      </c>
      <c r="N77" s="2252">
        <f t="shared" si="43"/>
        <v>53</v>
      </c>
      <c r="O77" s="2258">
        <v>302</v>
      </c>
      <c r="P77" s="2252">
        <f t="shared" si="44"/>
        <v>54</v>
      </c>
      <c r="Q77" s="2258">
        <v>355</v>
      </c>
      <c r="R77" s="2252">
        <f t="shared" si="55"/>
        <v>53</v>
      </c>
      <c r="S77" s="2258">
        <v>414</v>
      </c>
      <c r="T77" s="2252">
        <f t="shared" si="45"/>
        <v>59</v>
      </c>
      <c r="U77" s="2258">
        <v>483</v>
      </c>
      <c r="V77" s="2252">
        <f t="shared" si="46"/>
        <v>69</v>
      </c>
      <c r="W77" s="2258">
        <v>550</v>
      </c>
      <c r="X77" s="2252">
        <f t="shared" si="47"/>
        <v>67</v>
      </c>
      <c r="Y77" s="2258">
        <v>619</v>
      </c>
      <c r="Z77" s="2252">
        <f t="shared" si="48"/>
        <v>69</v>
      </c>
      <c r="AA77" s="2258">
        <v>1266</v>
      </c>
      <c r="AB77" s="2252">
        <f t="shared" si="49"/>
        <v>647</v>
      </c>
      <c r="AC77" s="2251">
        <f>_xlfn.XLOOKUP($C77,'Sales Rec'!$E$4:$E$86,'Sales Rec'!$CH$4:$CH$86,"")</f>
        <v>26</v>
      </c>
      <c r="AD77" s="2252">
        <f t="shared" si="50"/>
        <v>26</v>
      </c>
      <c r="AE77" s="2253">
        <f t="shared" si="32"/>
        <v>-0.23529411764705882</v>
      </c>
      <c r="AF77" s="2260">
        <v>-0.95981452859350846</v>
      </c>
      <c r="AG77" s="2258">
        <v>90</v>
      </c>
      <c r="AH77" s="2252">
        <f t="shared" si="51"/>
        <v>64</v>
      </c>
      <c r="AI77" s="2253">
        <f t="shared" si="33"/>
        <v>-0.39597315436241609</v>
      </c>
      <c r="AJ77" s="2260">
        <v>1.4615384615384615</v>
      </c>
      <c r="AK77" s="2258">
        <v>184</v>
      </c>
      <c r="AL77" s="2252">
        <f t="shared" si="52"/>
        <v>94</v>
      </c>
      <c r="AM77" s="2253">
        <f t="shared" si="34"/>
        <v>0.2348993288590604</v>
      </c>
      <c r="AN77" s="2260">
        <v>0.46875</v>
      </c>
      <c r="AO77" s="2251">
        <f>_xlfn.XLOOKUP($C77,'Last M. Sales'!$C$3:$C$82,'Last M. Sales'!$I$3:$I$82,"")</f>
        <v>266</v>
      </c>
      <c r="AP77" s="2252">
        <f t="shared" si="53"/>
        <v>82</v>
      </c>
      <c r="AQ77" s="2253">
        <f t="shared" si="35"/>
        <v>0.36410256410256409</v>
      </c>
      <c r="AR77" s="2254">
        <f t="shared" si="36"/>
        <v>-0.1276595744680851</v>
      </c>
      <c r="AS77" s="2255">
        <f t="shared" si="37"/>
        <v>-0.76500638569604085</v>
      </c>
      <c r="AT77" s="1575">
        <f t="shared" si="38"/>
        <v>50</v>
      </c>
      <c r="AU77" s="2289"/>
      <c r="AV77" s="2289"/>
      <c r="AW77" s="2255">
        <f t="shared" si="54"/>
        <v>-0.67654986522911054</v>
      </c>
      <c r="AX77" s="1575">
        <f t="shared" si="39"/>
        <v>50</v>
      </c>
    </row>
    <row r="78" spans="1:50" ht="25">
      <c r="A78" s="100">
        <f>_xlfn.XLOOKUP($C78,MOPFRA!$R$7:$R$56,MOPFRA!$A$7:$A$56,"")</f>
        <v>-16.082359578665564</v>
      </c>
      <c r="B78" s="2250" t="s">
        <v>187</v>
      </c>
      <c r="C78" s="2250" t="s">
        <v>188</v>
      </c>
      <c r="D78" s="2277">
        <f>_xlfn.XLOOKUP(C78,'Sales Rec'!$E$4:$E$86,'Sales Rec'!$F$4:$F$86,"")</f>
        <v>12</v>
      </c>
      <c r="E78" s="2258">
        <v>910</v>
      </c>
      <c r="F78" s="2259">
        <v>910</v>
      </c>
      <c r="G78" s="2258">
        <v>2402</v>
      </c>
      <c r="H78" s="2252">
        <f t="shared" si="40"/>
        <v>1492</v>
      </c>
      <c r="I78" s="2258">
        <v>3817</v>
      </c>
      <c r="J78" s="2252">
        <f t="shared" si="41"/>
        <v>1415</v>
      </c>
      <c r="K78" s="2258">
        <v>5529</v>
      </c>
      <c r="L78" s="2252">
        <f t="shared" si="42"/>
        <v>1712</v>
      </c>
      <c r="M78" s="2258">
        <v>7123</v>
      </c>
      <c r="N78" s="2252">
        <f t="shared" si="43"/>
        <v>1594</v>
      </c>
      <c r="O78" s="2258">
        <v>8766</v>
      </c>
      <c r="P78" s="2252">
        <f t="shared" si="44"/>
        <v>1643</v>
      </c>
      <c r="Q78" s="2258">
        <v>10551</v>
      </c>
      <c r="R78" s="2252">
        <f t="shared" si="55"/>
        <v>1785</v>
      </c>
      <c r="S78" s="2258">
        <v>11950</v>
      </c>
      <c r="T78" s="2252">
        <f t="shared" si="45"/>
        <v>1399</v>
      </c>
      <c r="U78" s="2258">
        <v>13800</v>
      </c>
      <c r="V78" s="2252">
        <f t="shared" si="46"/>
        <v>1850</v>
      </c>
      <c r="W78" s="2258">
        <v>15066</v>
      </c>
      <c r="X78" s="2252">
        <f t="shared" si="47"/>
        <v>1266</v>
      </c>
      <c r="Y78" s="2258">
        <v>16565</v>
      </c>
      <c r="Z78" s="2252">
        <f t="shared" si="48"/>
        <v>1499</v>
      </c>
      <c r="AA78" s="2258">
        <v>18091</v>
      </c>
      <c r="AB78" s="2252">
        <f t="shared" si="49"/>
        <v>1526</v>
      </c>
      <c r="AC78" s="2251">
        <f>_xlfn.XLOOKUP($C78,'Sales Rec'!$E$4:$E$86,'Sales Rec'!$CH$4:$CH$86,"")</f>
        <v>1252</v>
      </c>
      <c r="AD78" s="2252">
        <f t="shared" si="50"/>
        <v>1252</v>
      </c>
      <c r="AE78" s="2253">
        <f t="shared" si="32"/>
        <v>0.37582417582417582</v>
      </c>
      <c r="AF78" s="2260">
        <v>-0.17955439056356487</v>
      </c>
      <c r="AG78" s="2258">
        <v>3921</v>
      </c>
      <c r="AH78" s="2252">
        <f t="shared" si="51"/>
        <v>2669</v>
      </c>
      <c r="AI78" s="2253">
        <f t="shared" si="33"/>
        <v>2.7246528687450876E-2</v>
      </c>
      <c r="AJ78" s="2260">
        <v>1.1317891373801916</v>
      </c>
      <c r="AK78" s="2258">
        <v>5869</v>
      </c>
      <c r="AL78" s="2252">
        <f t="shared" si="52"/>
        <v>1948</v>
      </c>
      <c r="AM78" s="2253">
        <f t="shared" si="34"/>
        <v>0.53759496987162692</v>
      </c>
      <c r="AN78" s="2260">
        <v>-0.27013862869988758</v>
      </c>
      <c r="AO78" s="2251">
        <f>_xlfn.XLOOKUP($C78,'Last M. Sales'!$C$3:$C$82,'Last M. Sales'!$I$3:$I$82,"")</f>
        <v>7118</v>
      </c>
      <c r="AP78" s="2252">
        <f t="shared" si="53"/>
        <v>1249</v>
      </c>
      <c r="AQ78" s="2253">
        <f t="shared" si="35"/>
        <v>0.28739374208717672</v>
      </c>
      <c r="AR78" s="2254">
        <f t="shared" si="36"/>
        <v>-0.35882956878850103</v>
      </c>
      <c r="AS78" s="2255">
        <f t="shared" si="37"/>
        <v>0.36774644604987183</v>
      </c>
      <c r="AT78" s="1575">
        <f t="shared" si="38"/>
        <v>15</v>
      </c>
      <c r="AU78" s="2289"/>
      <c r="AV78" s="2289"/>
      <c r="AW78" s="2255">
        <f t="shared" si="54"/>
        <v>0.37152209492635024</v>
      </c>
      <c r="AX78" s="1575">
        <f t="shared" si="39"/>
        <v>33</v>
      </c>
    </row>
    <row r="79" spans="1:50" ht="25">
      <c r="A79" s="100">
        <f>_xlfn.XLOOKUP($C79,MOPFRA!$R$7:$R$56,MOPFRA!$A$7:$A$56,"")</f>
        <v>-1.4993665976421144</v>
      </c>
      <c r="B79" s="2250" t="s">
        <v>126</v>
      </c>
      <c r="C79" s="2250" t="s">
        <v>127</v>
      </c>
      <c r="D79" s="2277">
        <f>_xlfn.XLOOKUP(C79,'Sales Rec'!$E$4:$E$86,'Sales Rec'!$F$4:$F$86,"")</f>
        <v>12</v>
      </c>
      <c r="E79" s="2258">
        <v>14353</v>
      </c>
      <c r="F79" s="2259">
        <v>14353</v>
      </c>
      <c r="G79" s="2258">
        <v>31166</v>
      </c>
      <c r="H79" s="2252">
        <f t="shared" si="40"/>
        <v>16813</v>
      </c>
      <c r="I79" s="2258">
        <v>45890</v>
      </c>
      <c r="J79" s="2252">
        <f t="shared" si="41"/>
        <v>14724</v>
      </c>
      <c r="K79" s="2258">
        <v>60482</v>
      </c>
      <c r="L79" s="2252">
        <f t="shared" si="42"/>
        <v>14592</v>
      </c>
      <c r="M79" s="2258">
        <v>79317</v>
      </c>
      <c r="N79" s="2252">
        <f t="shared" si="43"/>
        <v>18835</v>
      </c>
      <c r="O79" s="2258">
        <v>101269</v>
      </c>
      <c r="P79" s="2252">
        <f t="shared" si="44"/>
        <v>21952</v>
      </c>
      <c r="Q79" s="2258">
        <v>130484</v>
      </c>
      <c r="R79" s="2252">
        <f t="shared" si="55"/>
        <v>29215</v>
      </c>
      <c r="S79" s="2258">
        <v>161083</v>
      </c>
      <c r="T79" s="2252">
        <f t="shared" si="45"/>
        <v>30599</v>
      </c>
      <c r="U79" s="2258">
        <v>189472</v>
      </c>
      <c r="V79" s="2252">
        <f t="shared" si="46"/>
        <v>28389</v>
      </c>
      <c r="W79" s="2258">
        <v>228970</v>
      </c>
      <c r="X79" s="2252">
        <f t="shared" si="47"/>
        <v>39498</v>
      </c>
      <c r="Y79" s="2258">
        <v>271400</v>
      </c>
      <c r="Z79" s="2252">
        <f t="shared" si="48"/>
        <v>42430</v>
      </c>
      <c r="AA79" s="2258">
        <v>320989</v>
      </c>
      <c r="AB79" s="2252">
        <f t="shared" si="49"/>
        <v>49589</v>
      </c>
      <c r="AC79" s="2251">
        <f>_xlfn.XLOOKUP($C79,'Sales Rec'!$E$4:$E$86,'Sales Rec'!$CH$4:$CH$86,"")</f>
        <v>25448</v>
      </c>
      <c r="AD79" s="2252">
        <f t="shared" si="50"/>
        <v>25448</v>
      </c>
      <c r="AE79" s="2253">
        <f t="shared" si="32"/>
        <v>0.77300912701177449</v>
      </c>
      <c r="AF79" s="2260">
        <v>-0.48682167416160843</v>
      </c>
      <c r="AG79" s="2258">
        <v>87814</v>
      </c>
      <c r="AH79" s="2252">
        <f t="shared" si="51"/>
        <v>62366</v>
      </c>
      <c r="AI79" s="2253">
        <f t="shared" si="33"/>
        <v>0.91357594247112661</v>
      </c>
      <c r="AJ79" s="2260">
        <v>1.4507230430682176</v>
      </c>
      <c r="AK79" s="2258">
        <v>129757</v>
      </c>
      <c r="AL79" s="2252">
        <f t="shared" si="52"/>
        <v>41943</v>
      </c>
      <c r="AM79" s="2253">
        <f t="shared" si="34"/>
        <v>1.8275659185007627</v>
      </c>
      <c r="AN79" s="2260">
        <v>-0.32747009588557868</v>
      </c>
      <c r="AO79" s="2251">
        <f>_xlfn.XLOOKUP($C79,'Last M. Sales'!$C$3:$C$82,'Last M. Sales'!$I$3:$I$82,"")</f>
        <v>181128</v>
      </c>
      <c r="AP79" s="2252">
        <f t="shared" si="53"/>
        <v>51371</v>
      </c>
      <c r="AQ79" s="2253">
        <f t="shared" si="35"/>
        <v>1.9947422373598758</v>
      </c>
      <c r="AR79" s="2254">
        <f t="shared" si="36"/>
        <v>0.22478125074505878</v>
      </c>
      <c r="AS79" s="2255">
        <f t="shared" si="37"/>
        <v>-1.3382300387022211E-2</v>
      </c>
      <c r="AT79" s="1575">
        <f t="shared" si="38"/>
        <v>37</v>
      </c>
      <c r="AU79" s="2289"/>
      <c r="AV79" s="2289"/>
      <c r="AW79" s="2255">
        <f t="shared" si="54"/>
        <v>0.32530838448245036</v>
      </c>
      <c r="AX79" s="1575">
        <f t="shared" si="39"/>
        <v>34</v>
      </c>
    </row>
    <row r="80" spans="1:50" ht="25">
      <c r="A80" s="100">
        <f>_xlfn.XLOOKUP($C80,MOPFRA!$R$7:$R$56,MOPFRA!$A$7:$A$56,"")</f>
        <v>-24.01592737459827</v>
      </c>
      <c r="B80" s="2250" t="s">
        <v>112</v>
      </c>
      <c r="C80" s="2250" t="s">
        <v>113</v>
      </c>
      <c r="D80" s="2277">
        <f>_xlfn.XLOOKUP(C80,'Sales Rec'!$E$4:$E$86,'Sales Rec'!$F$4:$F$86,"")</f>
        <v>9</v>
      </c>
      <c r="E80" s="2258">
        <v>754</v>
      </c>
      <c r="F80" s="2259">
        <v>754</v>
      </c>
      <c r="G80" s="2258">
        <v>1119</v>
      </c>
      <c r="H80" s="2252">
        <f t="shared" si="40"/>
        <v>365</v>
      </c>
      <c r="I80" s="2258">
        <v>2065</v>
      </c>
      <c r="J80" s="2252">
        <f t="shared" si="41"/>
        <v>946</v>
      </c>
      <c r="K80" s="2258">
        <v>2549</v>
      </c>
      <c r="L80" s="2252">
        <f t="shared" si="42"/>
        <v>484</v>
      </c>
      <c r="M80" s="2258">
        <v>2823</v>
      </c>
      <c r="N80" s="2252">
        <f t="shared" si="43"/>
        <v>274</v>
      </c>
      <c r="O80" s="2258">
        <v>3130</v>
      </c>
      <c r="P80" s="2252">
        <f t="shared" si="44"/>
        <v>307</v>
      </c>
      <c r="Q80" s="2258">
        <v>3390</v>
      </c>
      <c r="R80" s="2252">
        <f t="shared" si="55"/>
        <v>260</v>
      </c>
      <c r="S80" s="2258">
        <v>4375</v>
      </c>
      <c r="T80" s="2252">
        <f>IFERROR(IF(OR(T$3-$D80=1,T$3-$D80=-11),S80,(S80-Q80)),"")</f>
        <v>985</v>
      </c>
      <c r="U80" s="2258">
        <v>5066</v>
      </c>
      <c r="V80" s="2252">
        <f t="shared" si="46"/>
        <v>691</v>
      </c>
      <c r="W80" s="2258">
        <v>667</v>
      </c>
      <c r="X80" s="2252">
        <f t="shared" si="47"/>
        <v>667</v>
      </c>
      <c r="Y80" s="2258">
        <v>1492</v>
      </c>
      <c r="Z80" s="2252">
        <f t="shared" si="48"/>
        <v>825</v>
      </c>
      <c r="AA80" s="2258">
        <v>2492</v>
      </c>
      <c r="AB80" s="2252">
        <f t="shared" si="49"/>
        <v>1000</v>
      </c>
      <c r="AC80" s="2251">
        <f>_xlfn.XLOOKUP($C80,'Sales Rec'!$E$4:$E$86,'Sales Rec'!$CH$4:$CH$86,"")</f>
        <v>2613</v>
      </c>
      <c r="AD80" s="2252">
        <f t="shared" si="50"/>
        <v>121</v>
      </c>
      <c r="AE80" s="2253">
        <f t="shared" si="32"/>
        <v>2.4655172413793105</v>
      </c>
      <c r="AF80" s="2260">
        <v>-0.879</v>
      </c>
      <c r="AG80" s="2258">
        <v>3513</v>
      </c>
      <c r="AH80" s="2252">
        <f t="shared" si="51"/>
        <v>900</v>
      </c>
      <c r="AI80" s="2253">
        <f t="shared" si="33"/>
        <v>0.7012106537530266</v>
      </c>
      <c r="AJ80" s="2260">
        <v>6.4380165289256199</v>
      </c>
      <c r="AK80" s="2258">
        <v>4384</v>
      </c>
      <c r="AL80" s="2252">
        <f t="shared" si="52"/>
        <v>871</v>
      </c>
      <c r="AM80" s="2253">
        <f t="shared" si="34"/>
        <v>1.123002421307506</v>
      </c>
      <c r="AN80" s="2260">
        <v>-3.2222222222222222E-2</v>
      </c>
      <c r="AO80" s="2251">
        <f>_xlfn.XLOOKUP($C80,'Last M. Sales'!$C$3:$C$82,'Last M. Sales'!$I$3:$I$82,"")</f>
        <v>4906</v>
      </c>
      <c r="AP80" s="2252">
        <f t="shared" si="53"/>
        <v>522</v>
      </c>
      <c r="AQ80" s="2253">
        <f t="shared" si="35"/>
        <v>0.92467634366418205</v>
      </c>
      <c r="AR80" s="2254">
        <f t="shared" si="36"/>
        <v>-0.40068886337543053</v>
      </c>
      <c r="AS80" s="2255">
        <f t="shared" si="37"/>
        <v>-0.24077046548956663</v>
      </c>
      <c r="AT80" s="1575">
        <f t="shared" si="38"/>
        <v>42</v>
      </c>
      <c r="AU80" s="2289"/>
      <c r="AV80" s="2289"/>
      <c r="AW80" s="2255">
        <f t="shared" si="54"/>
        <v>0.17831449126413154</v>
      </c>
      <c r="AX80" s="1575">
        <f t="shared" si="39"/>
        <v>42</v>
      </c>
    </row>
    <row r="81" spans="1:50" ht="25">
      <c r="A81" s="100">
        <f>_xlfn.XLOOKUP($C81,MOPFRA!$R$7:$R$56,MOPFRA!$A$7:$A$56,"")</f>
        <v>-38.669656839078094</v>
      </c>
      <c r="B81" s="2250" t="s">
        <v>152</v>
      </c>
      <c r="C81" s="2250" t="s">
        <v>153</v>
      </c>
      <c r="D81" s="2277">
        <f>_xlfn.XLOOKUP(C81,'Sales Rec'!$E$4:$E$86,'Sales Rec'!$F$4:$F$86,"")</f>
        <v>12</v>
      </c>
      <c r="E81" s="2258">
        <v>2844</v>
      </c>
      <c r="F81" s="2259">
        <v>2844</v>
      </c>
      <c r="G81" s="2258">
        <v>6287</v>
      </c>
      <c r="H81" s="2252">
        <f t="shared" si="40"/>
        <v>3443</v>
      </c>
      <c r="I81" s="2258">
        <v>8717</v>
      </c>
      <c r="J81" s="2252">
        <f t="shared" si="41"/>
        <v>2430</v>
      </c>
      <c r="K81" s="2258">
        <v>11173</v>
      </c>
      <c r="L81" s="2252">
        <f t="shared" si="42"/>
        <v>2456</v>
      </c>
      <c r="M81" s="2258">
        <v>15145</v>
      </c>
      <c r="N81" s="2252">
        <f t="shared" si="43"/>
        <v>3972</v>
      </c>
      <c r="O81" s="2258">
        <v>18245</v>
      </c>
      <c r="P81" s="2252">
        <f t="shared" si="44"/>
        <v>3100</v>
      </c>
      <c r="Q81" s="2258">
        <v>22578</v>
      </c>
      <c r="R81" s="2252">
        <f t="shared" si="55"/>
        <v>4333</v>
      </c>
      <c r="S81" s="2258">
        <v>26577</v>
      </c>
      <c r="T81" s="2252">
        <f t="shared" ref="T81:T83" si="56">IFERROR(IF(OR(T$3-$D81=1,T$3-$D81=-11),S81,(S81-Q81)),"")</f>
        <v>3999</v>
      </c>
      <c r="U81" s="2258">
        <v>32139</v>
      </c>
      <c r="V81" s="2252">
        <f t="shared" si="46"/>
        <v>5562</v>
      </c>
      <c r="W81" s="2258">
        <v>37146</v>
      </c>
      <c r="X81" s="2252">
        <f t="shared" si="47"/>
        <v>5007</v>
      </c>
      <c r="Y81" s="2258">
        <v>43007</v>
      </c>
      <c r="Z81" s="2252">
        <f t="shared" si="48"/>
        <v>5861</v>
      </c>
      <c r="AA81" s="2258">
        <v>48242</v>
      </c>
      <c r="AB81" s="2252">
        <f t="shared" si="49"/>
        <v>5235</v>
      </c>
      <c r="AC81" s="2251">
        <f>_xlfn.XLOOKUP($C81,'Sales Rec'!$E$4:$E$86,'Sales Rec'!$CH$4:$CH$86,"")</f>
        <v>2887</v>
      </c>
      <c r="AD81" s="2252">
        <f t="shared" si="50"/>
        <v>2887</v>
      </c>
      <c r="AE81" s="2253">
        <f t="shared" si="32"/>
        <v>1.5119549929676512E-2</v>
      </c>
      <c r="AF81" s="2260">
        <v>-0.44851957975167145</v>
      </c>
      <c r="AG81" s="2258">
        <v>4307</v>
      </c>
      <c r="AH81" s="2252">
        <f t="shared" si="51"/>
        <v>1420</v>
      </c>
      <c r="AI81" s="2253">
        <f t="shared" si="33"/>
        <v>-0.50590799587013879</v>
      </c>
      <c r="AJ81" s="2260">
        <v>-0.50813993765154142</v>
      </c>
      <c r="AK81" s="2258">
        <v>8208</v>
      </c>
      <c r="AL81" s="2252">
        <f t="shared" si="52"/>
        <v>3901</v>
      </c>
      <c r="AM81" s="2253">
        <f t="shared" si="34"/>
        <v>-5.8391648502925317E-2</v>
      </c>
      <c r="AN81" s="2260">
        <v>1.7471830985915493</v>
      </c>
      <c r="AO81" s="2251">
        <f>_xlfn.XLOOKUP($C81,'Last M. Sales'!$C$3:$C$82,'Last M. Sales'!$I$3:$I$82,"")</f>
        <v>9747</v>
      </c>
      <c r="AP81" s="2252">
        <f t="shared" si="53"/>
        <v>1539</v>
      </c>
      <c r="AQ81" s="2253">
        <f t="shared" si="35"/>
        <v>-0.12762910588024703</v>
      </c>
      <c r="AR81" s="2254">
        <f t="shared" si="36"/>
        <v>-0.60548577287874905</v>
      </c>
      <c r="AS81" s="2255">
        <f t="shared" si="37"/>
        <v>-0.49028131404086195</v>
      </c>
      <c r="AT81" s="1575">
        <f t="shared" si="38"/>
        <v>47</v>
      </c>
      <c r="AU81" s="2289"/>
      <c r="AV81" s="2289"/>
      <c r="AW81" s="2255">
        <f t="shared" si="54"/>
        <v>-0.50940427662161192</v>
      </c>
      <c r="AX81" s="1575">
        <f t="shared" si="39"/>
        <v>47</v>
      </c>
    </row>
    <row r="82" spans="1:50" ht="25">
      <c r="A82" s="100">
        <f>_xlfn.XLOOKUP($C82,MOPFRA!$R$7:$R$56,MOPFRA!$A$7:$A$56,"")</f>
        <v>-54.028353963789172</v>
      </c>
      <c r="B82" s="2250" t="s">
        <v>146</v>
      </c>
      <c r="C82" s="2250" t="s">
        <v>147</v>
      </c>
      <c r="D82" s="2277">
        <f>_xlfn.XLOOKUP(C82,'Sales Rec'!$E$4:$E$86,'Sales Rec'!$F$4:$F$86,"")</f>
        <v>12</v>
      </c>
      <c r="E82" s="2258">
        <v>4526</v>
      </c>
      <c r="F82" s="2259">
        <v>4526</v>
      </c>
      <c r="G82" s="2258">
        <v>9621</v>
      </c>
      <c r="H82" s="2252">
        <f t="shared" si="40"/>
        <v>5095</v>
      </c>
      <c r="I82" s="2258">
        <v>14421</v>
      </c>
      <c r="J82" s="2252">
        <f t="shared" si="41"/>
        <v>4800</v>
      </c>
      <c r="K82" s="2258">
        <v>20175</v>
      </c>
      <c r="L82" s="2252">
        <f t="shared" si="42"/>
        <v>5754</v>
      </c>
      <c r="M82" s="2258">
        <v>25516</v>
      </c>
      <c r="N82" s="2252">
        <f t="shared" si="43"/>
        <v>5341</v>
      </c>
      <c r="O82" s="2258">
        <v>29846</v>
      </c>
      <c r="P82" s="2252">
        <f t="shared" si="44"/>
        <v>4330</v>
      </c>
      <c r="Q82" s="2258">
        <v>34532</v>
      </c>
      <c r="R82" s="2252">
        <f t="shared" si="55"/>
        <v>4686</v>
      </c>
      <c r="S82" s="2258">
        <v>39424</v>
      </c>
      <c r="T82" s="2252">
        <f t="shared" si="56"/>
        <v>4892</v>
      </c>
      <c r="U82" s="2258">
        <v>45386</v>
      </c>
      <c r="V82" s="2252">
        <f t="shared" si="46"/>
        <v>5962</v>
      </c>
      <c r="W82" s="2258">
        <v>52394</v>
      </c>
      <c r="X82" s="2252">
        <f t="shared" si="47"/>
        <v>7008</v>
      </c>
      <c r="Y82" s="2258">
        <v>61321</v>
      </c>
      <c r="Z82" s="2252">
        <f t="shared" si="48"/>
        <v>8927</v>
      </c>
      <c r="AA82" s="2258">
        <v>68119</v>
      </c>
      <c r="AB82" s="2252">
        <f t="shared" si="49"/>
        <v>6798</v>
      </c>
      <c r="AC82" s="2251">
        <f>_xlfn.XLOOKUP($C82,'Sales Rec'!$E$4:$E$86,'Sales Rec'!$CH$4:$CH$86,"")</f>
        <v>1992</v>
      </c>
      <c r="AD82" s="2252">
        <f t="shared" si="50"/>
        <v>1992</v>
      </c>
      <c r="AE82" s="2253">
        <f t="shared" si="32"/>
        <v>-0.55987627043747235</v>
      </c>
      <c r="AF82" s="2260">
        <v>-0.706972639011474</v>
      </c>
      <c r="AG82" s="2258">
        <v>4979</v>
      </c>
      <c r="AH82" s="2252">
        <f t="shared" si="51"/>
        <v>2987</v>
      </c>
      <c r="AI82" s="2253">
        <f t="shared" si="33"/>
        <v>-0.65473961583801399</v>
      </c>
      <c r="AJ82" s="2260">
        <v>0.49949799196787148</v>
      </c>
      <c r="AK82" s="2258">
        <v>5624</v>
      </c>
      <c r="AL82" s="2252">
        <f t="shared" si="52"/>
        <v>645</v>
      </c>
      <c r="AM82" s="2253">
        <f t="shared" si="34"/>
        <v>-0.61001317523056653</v>
      </c>
      <c r="AN82" s="2260">
        <v>-0.62738533645798455</v>
      </c>
      <c r="AO82" s="2251">
        <f>_xlfn.XLOOKUP($C82,'Last M. Sales'!$C$3:$C$82,'Last M. Sales'!$I$3:$I$82,"")</f>
        <v>10298</v>
      </c>
      <c r="AP82" s="2252">
        <f t="shared" si="53"/>
        <v>4674</v>
      </c>
      <c r="AQ82" s="2253">
        <f t="shared" si="35"/>
        <v>-0.48956629491945475</v>
      </c>
      <c r="AR82" s="2254">
        <f t="shared" si="36"/>
        <v>6.246511627906977</v>
      </c>
      <c r="AS82" s="2255">
        <f t="shared" si="37"/>
        <v>-0.75260634320151321</v>
      </c>
      <c r="AT82" s="1575">
        <f t="shared" si="38"/>
        <v>49</v>
      </c>
      <c r="AU82" s="2289"/>
      <c r="AV82" s="2289"/>
      <c r="AW82" s="2255">
        <f t="shared" si="54"/>
        <v>-0.53118473782243047</v>
      </c>
      <c r="AX82" s="1575">
        <f t="shared" si="39"/>
        <v>48</v>
      </c>
    </row>
    <row r="83" spans="1:50" ht="25">
      <c r="A83" s="100">
        <f>_xlfn.XLOOKUP($C83,MOPFRA!$R$7:$R$56,MOPFRA!$A$7:$A$56,"")</f>
        <v>-65.423574066630209</v>
      </c>
      <c r="B83" s="2250" t="s">
        <v>140</v>
      </c>
      <c r="C83" s="2250" t="s">
        <v>141</v>
      </c>
      <c r="D83" s="2277">
        <f>_xlfn.XLOOKUP(C83,'Sales Rec'!$E$4:$E$86,'Sales Rec'!$F$4:$F$86,"")</f>
        <v>12</v>
      </c>
      <c r="E83" s="2258">
        <v>2151</v>
      </c>
      <c r="F83" s="2259">
        <v>2151</v>
      </c>
      <c r="G83" s="2258">
        <v>5499</v>
      </c>
      <c r="H83" s="2252">
        <f t="shared" si="40"/>
        <v>3348</v>
      </c>
      <c r="I83" s="2258">
        <v>7966</v>
      </c>
      <c r="J83" s="2252">
        <f t="shared" si="41"/>
        <v>2467</v>
      </c>
      <c r="K83" s="2258">
        <v>10575</v>
      </c>
      <c r="L83" s="2252">
        <f t="shared" si="42"/>
        <v>2609</v>
      </c>
      <c r="M83" s="2258">
        <v>13300</v>
      </c>
      <c r="N83" s="2252">
        <f t="shared" si="43"/>
        <v>2725</v>
      </c>
      <c r="O83" s="2258">
        <v>16045</v>
      </c>
      <c r="P83" s="2252">
        <f t="shared" si="44"/>
        <v>2745</v>
      </c>
      <c r="Q83" s="2258">
        <v>19565</v>
      </c>
      <c r="R83" s="2252">
        <f t="shared" si="55"/>
        <v>3520</v>
      </c>
      <c r="S83" s="2258">
        <v>23173</v>
      </c>
      <c r="T83" s="2252">
        <f t="shared" si="56"/>
        <v>3608</v>
      </c>
      <c r="U83" s="2258">
        <v>26459</v>
      </c>
      <c r="V83" s="2252">
        <f t="shared" si="46"/>
        <v>3286</v>
      </c>
      <c r="W83" s="2258">
        <v>29962</v>
      </c>
      <c r="X83" s="2252">
        <f t="shared" si="47"/>
        <v>3503</v>
      </c>
      <c r="Y83" s="2258">
        <v>33488</v>
      </c>
      <c r="Z83" s="2252">
        <f t="shared" si="48"/>
        <v>3526</v>
      </c>
      <c r="AA83" s="2258">
        <v>35014</v>
      </c>
      <c r="AB83" s="2252">
        <f t="shared" si="49"/>
        <v>1526</v>
      </c>
      <c r="AC83" s="2251">
        <f>_xlfn.XLOOKUP($C83,'Sales Rec'!$E$4:$E$86,'Sales Rec'!$CH$4:$CH$86,"")</f>
        <v>406</v>
      </c>
      <c r="AD83" s="2252">
        <f t="shared" si="50"/>
        <v>406</v>
      </c>
      <c r="AE83" s="2253">
        <f t="shared" si="32"/>
        <v>-0.8112505811250581</v>
      </c>
      <c r="AF83" s="2260">
        <v>-0.73394495412844041</v>
      </c>
      <c r="AG83" s="2258">
        <v>1462</v>
      </c>
      <c r="AH83" s="2252">
        <f t="shared" si="51"/>
        <v>1056</v>
      </c>
      <c r="AI83" s="2253">
        <f t="shared" si="33"/>
        <v>-0.81646999748932969</v>
      </c>
      <c r="AJ83" s="2260">
        <v>1.6009852216748768</v>
      </c>
      <c r="AK83" s="2258">
        <v>4400</v>
      </c>
      <c r="AL83" s="2252">
        <f t="shared" si="52"/>
        <v>2938</v>
      </c>
      <c r="AM83" s="2253">
        <f t="shared" si="34"/>
        <v>-0.44765252322370075</v>
      </c>
      <c r="AN83" s="2260">
        <v>1.7821969696969697</v>
      </c>
      <c r="AO83" s="2251">
        <f>_xlfn.XLOOKUP($C83,'Last M. Sales'!$C$3:$C$82,'Last M. Sales'!$I$3:$I$82,"")</f>
        <v>6927</v>
      </c>
      <c r="AP83" s="2252">
        <f t="shared" si="53"/>
        <v>2527</v>
      </c>
      <c r="AQ83" s="2253">
        <f t="shared" si="35"/>
        <v>-0.34496453900709217</v>
      </c>
      <c r="AR83" s="2254">
        <f t="shared" si="36"/>
        <v>-0.13989108236895847</v>
      </c>
      <c r="AS83" s="2255">
        <f t="shared" si="37"/>
        <v>-0.48568088836937462</v>
      </c>
      <c r="AT83" s="1575">
        <f t="shared" si="38"/>
        <v>45</v>
      </c>
      <c r="AU83" s="2289"/>
      <c r="AV83" s="2289"/>
      <c r="AW83" s="2255">
        <f t="shared" si="54"/>
        <v>0.19475998534261635</v>
      </c>
      <c r="AX83" s="1575">
        <f t="shared" si="39"/>
        <v>41</v>
      </c>
    </row>
    <row r="84" spans="1:50">
      <c r="A84" s="2261"/>
      <c r="B84" s="2262"/>
      <c r="C84" s="2262"/>
      <c r="D84" s="2262"/>
      <c r="E84" s="2263"/>
      <c r="F84" s="2264"/>
      <c r="P84" s="2048"/>
      <c r="R84" s="2048"/>
      <c r="S84" s="1815"/>
      <c r="T84" s="2048"/>
      <c r="U84" s="1815"/>
      <c r="V84" s="2048"/>
      <c r="W84" s="1815"/>
      <c r="X84" s="2048"/>
      <c r="Y84" s="1815"/>
      <c r="Z84" s="2048"/>
      <c r="AA84" s="1815"/>
      <c r="AB84" s="2048"/>
      <c r="AC84" s="1815"/>
      <c r="AD84" s="2048"/>
      <c r="AE84" s="2048"/>
      <c r="AF84" s="2050"/>
      <c r="AG84" s="1815"/>
      <c r="AH84" s="2048"/>
      <c r="AI84" s="2048"/>
      <c r="AJ84" s="2050"/>
      <c r="AK84" s="1815"/>
      <c r="AL84" s="2048"/>
      <c r="AM84" s="2048"/>
      <c r="AN84" s="2050"/>
      <c r="AO84" s="1815"/>
      <c r="AP84" s="2048"/>
      <c r="AQ84" s="2048"/>
      <c r="AR84" s="2050"/>
    </row>
  </sheetData>
  <autoFilter ref="A3:AX3" xr:uid="{60F8F61A-C94F-B94E-B2FA-E1C2FBC02C02}"/>
  <conditionalFormatting sqref="A34:AR83 A84:F84">
    <cfRule type="expression" dxfId="116" priority="16">
      <formula>ROW()=EVEN(ROW())</formula>
    </cfRule>
  </conditionalFormatting>
  <conditionalFormatting sqref="B4:AR32">
    <cfRule type="expression" dxfId="115" priority="13">
      <formula>ROW()=EVEN(ROW())</formula>
    </cfRule>
  </conditionalFormatting>
  <conditionalFormatting sqref="AS4:AS32 AS34:AS83">
    <cfRule type="cellIs" dxfId="114" priority="18" operator="lessThan">
      <formula>0</formula>
    </cfRule>
    <cfRule type="cellIs" dxfId="113" priority="19" operator="greaterThan">
      <formula>0</formula>
    </cfRule>
    <cfRule type="expression" dxfId="112" priority="20" stopIfTrue="1">
      <formula>ROW()=EVEN(ROW())</formula>
    </cfRule>
  </conditionalFormatting>
  <conditionalFormatting sqref="AT4:AW32">
    <cfRule type="expression" dxfId="111" priority="5" stopIfTrue="1">
      <formula>ROW()=EVEN(ROW())</formula>
    </cfRule>
  </conditionalFormatting>
  <conditionalFormatting sqref="AT34:AX83 A4:A32">
    <cfRule type="expression" dxfId="110" priority="12" stopIfTrue="1">
      <formula>ROW()=EVEN(ROW())</formula>
    </cfRule>
  </conditionalFormatting>
  <conditionalFormatting sqref="AW4:AW32 AW34:AW83">
    <cfRule type="cellIs" dxfId="109" priority="3" operator="lessThan">
      <formula>0</formula>
    </cfRule>
    <cfRule type="cellIs" dxfId="108" priority="4" operator="greaterThan">
      <formula>0</formula>
    </cfRule>
  </conditionalFormatting>
  <conditionalFormatting sqref="AX4:AX32">
    <cfRule type="expression" dxfId="107" priority="2" stopIfTrue="1">
      <formula>ROW()=EVEN(ROW())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28A0-0A39-4F41-A450-D985C4ACA01B}">
  <sheetPr codeName="Sheet5">
    <tabColor rgb="FFFF0000"/>
    <pageSetUpPr fitToPage="1"/>
  </sheetPr>
  <dimension ref="A1:CY124"/>
  <sheetViews>
    <sheetView zoomScale="60" zoomScaleNormal="60" workbookViewId="0">
      <pane xSplit="22" ySplit="7" topLeftCell="AL20" activePane="bottomRight" state="frozen"/>
      <selection pane="topRight" activeCell="U1" sqref="U1"/>
      <selection pane="bottomLeft" activeCell="A8" sqref="A8"/>
      <selection pane="bottomRight" activeCell="AP31" sqref="AP31"/>
    </sheetView>
  </sheetViews>
  <sheetFormatPr baseColWidth="10" defaultColWidth="11" defaultRowHeight="19"/>
  <cols>
    <col min="1" max="1" width="10" bestFit="1" customWidth="1"/>
    <col min="3" max="4" width="10.83203125" customWidth="1"/>
    <col min="5" max="5" width="10.33203125" customWidth="1"/>
    <col min="6" max="6" width="9.6640625" customWidth="1"/>
    <col min="7" max="7" width="7.6640625" customWidth="1"/>
    <col min="8" max="8" width="10.6640625" bestFit="1" customWidth="1"/>
    <col min="9" max="9" width="8.6640625" customWidth="1"/>
    <col min="10" max="10" width="9.1640625" customWidth="1"/>
    <col min="11" max="11" width="8.5" customWidth="1"/>
    <col min="12" max="13" width="7.6640625" customWidth="1"/>
    <col min="14" max="14" width="21.1640625" customWidth="1"/>
    <col min="15" max="15" width="12.33203125" bestFit="1" customWidth="1"/>
    <col min="16" max="16" width="8.6640625" customWidth="1"/>
    <col min="17" max="17" width="13.6640625" style="11" customWidth="1"/>
    <col min="18" max="18" width="10.6640625" style="11" customWidth="1"/>
    <col min="19" max="19" width="11.6640625" style="11" hidden="1" customWidth="1"/>
    <col min="20" max="20" width="13.6640625" customWidth="1"/>
    <col min="21" max="21" width="11.1640625" style="63" customWidth="1"/>
    <col min="22" max="22" width="14.5" style="63" hidden="1" customWidth="1"/>
    <col min="23" max="24" width="13.1640625" style="11" customWidth="1"/>
    <col min="25" max="25" width="12.1640625" style="63" customWidth="1"/>
    <col min="26" max="26" width="10.1640625" style="63" customWidth="1"/>
    <col min="27" max="27" width="12.5" style="63" customWidth="1"/>
    <col min="28" max="28" width="12.5" style="63" bestFit="1" customWidth="1"/>
    <col min="29" max="29" width="12.5" style="63" customWidth="1"/>
    <col min="30" max="30" width="17.6640625" style="11" hidden="1" customWidth="1"/>
    <col min="31" max="31" width="10.6640625" style="11" customWidth="1"/>
    <col min="32" max="32" width="12.33203125" style="1124" bestFit="1" customWidth="1"/>
    <col min="33" max="33" width="10.5" style="188" customWidth="1"/>
    <col min="34" max="34" width="12.33203125" style="498" bestFit="1" customWidth="1"/>
    <col min="35" max="35" width="11.83203125" style="498" customWidth="1"/>
    <col min="36" max="36" width="11.1640625" style="498" bestFit="1" customWidth="1"/>
    <col min="37" max="37" width="10" style="188" customWidth="1"/>
    <col min="38" max="38" width="12.83203125" style="446" bestFit="1" customWidth="1"/>
    <col min="39" max="40" width="13.33203125" style="412" customWidth="1"/>
    <col min="41" max="41" width="14.5" style="412" bestFit="1" customWidth="1"/>
    <col min="42" max="42" width="19.1640625" style="11" bestFit="1" customWidth="1"/>
    <col min="43" max="43" width="17.6640625" style="11" customWidth="1"/>
    <col min="44" max="44" width="14.5" style="11" customWidth="1"/>
    <col min="45" max="45" width="13.33203125" style="188" customWidth="1"/>
    <col min="46" max="46" width="16.1640625" style="188" bestFit="1" customWidth="1"/>
    <col min="47" max="47" width="14.6640625" style="188" bestFit="1" customWidth="1"/>
    <col min="48" max="48" width="14.6640625" style="188" customWidth="1"/>
    <col min="49" max="49" width="18" style="11" customWidth="1"/>
    <col min="50" max="50" width="17" style="11" bestFit="1" customWidth="1"/>
    <col min="51" max="51" width="14" style="11" customWidth="1"/>
    <col min="52" max="52" width="13.5" style="188" customWidth="1"/>
    <col min="53" max="53" width="13.5" style="188" bestFit="1" customWidth="1"/>
    <col min="54" max="54" width="15.6640625" style="188" customWidth="1"/>
    <col min="55" max="55" width="14.1640625" style="188" customWidth="1"/>
    <col min="56" max="57" width="18" style="11" customWidth="1"/>
    <col min="58" max="58" width="15.6640625" style="11" customWidth="1"/>
    <col min="59" max="59" width="13.83203125" style="11" customWidth="1"/>
    <col min="60" max="60" width="14.1640625" style="188" bestFit="1" customWidth="1"/>
    <col min="61" max="61" width="12.33203125" style="188" customWidth="1"/>
    <col min="62" max="62" width="15.6640625" style="188" customWidth="1"/>
    <col min="63" max="63" width="19.83203125" style="11" customWidth="1"/>
    <col min="64" max="64" width="20.1640625" style="11" customWidth="1"/>
    <col min="65" max="65" width="19.6640625" style="11" customWidth="1"/>
    <col min="66" max="66" width="3.83203125" style="625" customWidth="1"/>
    <col min="67" max="67" width="21" customWidth="1"/>
    <col min="68" max="68" width="18.33203125" style="11" customWidth="1"/>
    <col min="69" max="69" width="16.83203125" style="11" customWidth="1"/>
    <col min="70" max="70" width="16.1640625" style="11" customWidth="1"/>
    <col min="71" max="71" width="14.1640625" style="188" customWidth="1"/>
    <col min="72" max="72" width="16" style="188" customWidth="1"/>
    <col min="73" max="73" width="12.6640625" style="188" customWidth="1"/>
    <col min="74" max="75" width="18" style="11" customWidth="1"/>
    <col min="76" max="76" width="15.1640625" style="11" customWidth="1"/>
    <col min="77" max="77" width="18" style="11" customWidth="1"/>
    <col min="78" max="78" width="13.83203125" style="11" customWidth="1"/>
    <col min="79" max="80" width="15.6640625" style="11" customWidth="1"/>
    <col min="81" max="82" width="18" style="11" customWidth="1"/>
    <col min="83" max="83" width="14.83203125" style="11" customWidth="1"/>
    <col min="84" max="84" width="18" style="11" customWidth="1"/>
    <col min="85" max="85" width="15.33203125" style="11" customWidth="1"/>
    <col min="86" max="87" width="15.6640625" style="11" customWidth="1"/>
    <col min="88" max="88" width="19.5" style="11" customWidth="1"/>
    <col min="89" max="89" width="18" style="11" customWidth="1"/>
    <col min="90" max="90" width="14.83203125" style="11" customWidth="1"/>
    <col min="91" max="91" width="18" style="11" customWidth="1"/>
    <col min="92" max="92" width="15.33203125" style="11" customWidth="1"/>
    <col min="93" max="94" width="15.6640625" style="11" customWidth="1"/>
    <col min="95" max="95" width="11" customWidth="1"/>
    <col min="97" max="98" width="18" style="11" customWidth="1"/>
    <col min="99" max="99" width="15.6640625" style="11" customWidth="1"/>
    <col min="100" max="100" width="13.83203125" style="11" customWidth="1"/>
    <col min="101" max="101" width="14.1640625" style="188" bestFit="1" customWidth="1"/>
    <col min="102" max="102" width="12.33203125" style="188" customWidth="1"/>
    <col min="103" max="103" width="15.6640625" style="188" customWidth="1"/>
  </cols>
  <sheetData>
    <row r="1" spans="1:103" ht="24">
      <c r="A1" s="167" t="s">
        <v>614</v>
      </c>
      <c r="B1" s="167" t="s">
        <v>614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237"/>
      <c r="O1" s="168">
        <f>Cement!A2</f>
        <v>189000</v>
      </c>
      <c r="P1" s="155">
        <f>Cement!B2</f>
        <v>0</v>
      </c>
      <c r="Q1" s="1228" t="str">
        <f>Cement!U2</f>
        <v>1405/05/14</v>
      </c>
      <c r="R1" s="157"/>
      <c r="S1" s="157"/>
      <c r="T1" s="409" t="str">
        <f>Cement!W2</f>
        <v xml:space="preserve"> 13:37:15</v>
      </c>
      <c r="U1" s="157"/>
      <c r="V1" s="157"/>
      <c r="W1" s="186">
        <f>SUM(W8:W36)</f>
        <v>329404.23839199997</v>
      </c>
      <c r="X1" s="1131" t="s">
        <v>615</v>
      </c>
      <c r="Y1" s="155"/>
      <c r="Z1" s="155"/>
      <c r="AA1" s="674">
        <v>0.9</v>
      </c>
      <c r="AB1" s="155"/>
      <c r="AC1" s="786">
        <f>(SUMPRODUCT(AC8:AC36,AR8:AR36)/SUM(AR8:AR33))/100</f>
        <v>4.6727071412361029E-2</v>
      </c>
      <c r="AD1" s="156">
        <f>Cement!S2</f>
        <v>329404.23839199997</v>
      </c>
      <c r="AE1" s="156"/>
      <c r="AF1" s="1125"/>
      <c r="AG1" s="497"/>
      <c r="AH1" s="1129"/>
      <c r="AI1" s="1129"/>
      <c r="AJ1" s="1129"/>
      <c r="AK1" s="497"/>
      <c r="AL1" s="546"/>
      <c r="AM1" s="545" t="s">
        <v>616</v>
      </c>
      <c r="AN1" s="545" t="s">
        <v>616</v>
      </c>
      <c r="AO1" s="545"/>
      <c r="AP1" s="221" t="s">
        <v>611</v>
      </c>
      <c r="AQ1" s="221" t="s">
        <v>8</v>
      </c>
      <c r="AR1" s="547">
        <f ca="1">SUMPRODUCT($C$8:$C$36,AR8:AR36)</f>
        <v>0.11045377042439419</v>
      </c>
      <c r="AS1" s="221" t="s">
        <v>611</v>
      </c>
      <c r="AT1" s="221" t="s">
        <v>8</v>
      </c>
      <c r="AU1" s="221" t="s">
        <v>8</v>
      </c>
      <c r="AV1" s="221" t="s">
        <v>611</v>
      </c>
      <c r="AW1" s="221" t="s">
        <v>611</v>
      </c>
      <c r="AX1" s="221" t="s">
        <v>8</v>
      </c>
      <c r="AY1" s="547">
        <f ca="1">SUMPRODUCT($C$8:$C$36,AY8:AY36)</f>
        <v>0.15527127477021416</v>
      </c>
      <c r="AZ1" s="221" t="s">
        <v>611</v>
      </c>
      <c r="BA1" s="221" t="s">
        <v>8</v>
      </c>
      <c r="BB1" s="221" t="s">
        <v>8</v>
      </c>
      <c r="BC1" s="221" t="s">
        <v>611</v>
      </c>
      <c r="BD1" s="221" t="s">
        <v>611</v>
      </c>
      <c r="BE1" s="221" t="s">
        <v>8</v>
      </c>
      <c r="BF1" s="547">
        <f ca="1">SUMPRODUCT($C$8:$C$36,BF8:BF36)</f>
        <v>8.4110678597404134E-2</v>
      </c>
      <c r="BG1" s="294"/>
      <c r="BH1" s="221" t="s">
        <v>611</v>
      </c>
      <c r="BI1" s="221" t="s">
        <v>8</v>
      </c>
      <c r="BJ1" s="221" t="s">
        <v>8</v>
      </c>
      <c r="BK1" s="221" t="s">
        <v>8</v>
      </c>
      <c r="BL1" s="221" t="s">
        <v>617</v>
      </c>
      <c r="BM1" s="221" t="s">
        <v>234</v>
      </c>
      <c r="BN1" s="221"/>
      <c r="BO1" s="221" t="s">
        <v>611</v>
      </c>
      <c r="BP1" s="221" t="s">
        <v>8</v>
      </c>
      <c r="BQ1" s="547">
        <f ca="1">SUMPRODUCT($C$8:$C$36,BQ8:BQ36)</f>
        <v>8.4303658917107532E-2</v>
      </c>
      <c r="BR1" s="221" t="s">
        <v>611</v>
      </c>
      <c r="BS1" s="221" t="s">
        <v>8</v>
      </c>
      <c r="BT1" s="221" t="s">
        <v>8</v>
      </c>
      <c r="BU1" s="221" t="s">
        <v>611</v>
      </c>
      <c r="BV1" s="596"/>
      <c r="BW1" s="221" t="s">
        <v>8</v>
      </c>
      <c r="BX1" s="547">
        <f ca="1">SUMPRODUCT($C$8:$C$36,BX8:BX36)</f>
        <v>0.14967379146722942</v>
      </c>
      <c r="BY1" s="221" t="s">
        <v>611</v>
      </c>
      <c r="BZ1" s="221" t="s">
        <v>8</v>
      </c>
      <c r="CA1" s="221" t="s">
        <v>8</v>
      </c>
      <c r="CB1" s="221" t="s">
        <v>611</v>
      </c>
      <c r="CC1" s="596"/>
      <c r="CD1" s="221" t="s">
        <v>8</v>
      </c>
      <c r="CE1" s="547">
        <f ca="1">SUMPRODUCT($C$8:$C$36,CE8:CE36)</f>
        <v>0.13369615769127857</v>
      </c>
      <c r="CF1" s="221" t="s">
        <v>611</v>
      </c>
      <c r="CG1" s="221" t="s">
        <v>8</v>
      </c>
      <c r="CH1" s="221" t="s">
        <v>8</v>
      </c>
      <c r="CI1" s="221" t="s">
        <v>611</v>
      </c>
      <c r="CJ1" s="596"/>
      <c r="CK1" s="221" t="s">
        <v>8</v>
      </c>
      <c r="CL1" s="547">
        <f t="shared" ref="CL1" ca="1" si="0">SUMPRODUCT($C$8:$C$36,CL8:CL36)</f>
        <v>0.10372001508805398</v>
      </c>
      <c r="CM1" s="221" t="s">
        <v>611</v>
      </c>
      <c r="CN1" s="221" t="s">
        <v>8</v>
      </c>
      <c r="CO1" s="221" t="s">
        <v>8</v>
      </c>
      <c r="CP1" s="221" t="s">
        <v>611</v>
      </c>
      <c r="CS1" s="221" t="s">
        <v>611</v>
      </c>
      <c r="CT1" s="221" t="s">
        <v>8</v>
      </c>
      <c r="CU1" s="547">
        <f ca="1">SUMPRODUCT($C$8:$C$36,CU8:CU36)</f>
        <v>8.8425755336025966E-2</v>
      </c>
      <c r="CV1" s="294"/>
      <c r="CW1" s="221" t="s">
        <v>611</v>
      </c>
      <c r="CX1" s="221" t="s">
        <v>8</v>
      </c>
      <c r="CY1" s="221" t="s">
        <v>8</v>
      </c>
    </row>
    <row r="2" spans="1:103" ht="24">
      <c r="A2" s="1152">
        <f>SUM(A8:A36)/COUNT(A8:A36)</f>
        <v>10.136248103202663</v>
      </c>
      <c r="B2" s="1152">
        <f>SUM(B8:B36)/COUNT(B8:B36)</f>
        <v>3.2498107125218287</v>
      </c>
      <c r="C2" s="1455">
        <f ca="1">Cement!C2</f>
        <v>0.16696478794548919</v>
      </c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40"/>
      <c r="P2" s="241"/>
      <c r="Q2" s="1226"/>
      <c r="R2" s="242"/>
      <c r="S2" s="242"/>
      <c r="T2" s="242"/>
      <c r="U2" s="241"/>
      <c r="V2" s="241"/>
      <c r="W2" s="1227">
        <f>(W1/Cement!$Q$38)</f>
        <v>1.74287956821164</v>
      </c>
      <c r="X2" s="2064" t="s">
        <v>618</v>
      </c>
      <c r="Y2" s="241"/>
      <c r="Z2" s="241"/>
      <c r="AA2" s="241"/>
      <c r="AB2" s="241"/>
      <c r="AC2" s="241"/>
      <c r="AD2" s="243"/>
      <c r="AE2" s="243"/>
      <c r="AF2" s="1231">
        <f ca="1">SUMIF(AE8:AE62,"&lt;150",AR8:AR62)</f>
        <v>4.2480361535953684E-3</v>
      </c>
      <c r="AG2" s="539"/>
      <c r="AH2" s="1130"/>
      <c r="AI2" s="1130"/>
      <c r="AJ2" s="1130"/>
      <c r="AK2" s="539"/>
      <c r="AL2" s="540"/>
      <c r="AM2" s="547">
        <f ca="1">AR1</f>
        <v>0.11045377042439419</v>
      </c>
      <c r="AN2" s="540">
        <f>SUMPRODUCT(AN8:AN36,AP8:AP36)/10000</f>
        <v>15410865.585000001</v>
      </c>
      <c r="AO2" s="544">
        <f>(AQ2-AN2)/AN2</f>
        <v>0.77459211989798138</v>
      </c>
      <c r="AP2" s="286">
        <f t="shared" ref="AP2:BF2" si="1">SUM(AP8:AP36)</f>
        <v>14295765</v>
      </c>
      <c r="AQ2" s="286">
        <f t="shared" si="1"/>
        <v>27348000.627947997</v>
      </c>
      <c r="AR2" s="593">
        <f t="shared" si="1"/>
        <v>0.59435453592052223</v>
      </c>
      <c r="AS2" s="539">
        <f t="shared" si="1"/>
        <v>9133000</v>
      </c>
      <c r="AT2" s="539">
        <f t="shared" si="1"/>
        <v>1839140</v>
      </c>
      <c r="AU2" s="539">
        <f t="shared" si="1"/>
        <v>5893596</v>
      </c>
      <c r="AV2" s="539">
        <f t="shared" si="1"/>
        <v>71765</v>
      </c>
      <c r="AW2" s="286">
        <f t="shared" si="1"/>
        <v>8870000</v>
      </c>
      <c r="AX2" s="286">
        <f t="shared" si="1"/>
        <v>18093544.215999998</v>
      </c>
      <c r="AY2" s="593">
        <f t="shared" si="1"/>
        <v>0.81009126492958627</v>
      </c>
      <c r="AZ2" s="539">
        <f t="shared" si="1"/>
        <v>5555000</v>
      </c>
      <c r="BA2" s="539">
        <f t="shared" si="1"/>
        <v>1124810</v>
      </c>
      <c r="BB2" s="539">
        <f t="shared" si="1"/>
        <v>6731153</v>
      </c>
      <c r="BC2" s="539">
        <f t="shared" si="1"/>
        <v>0</v>
      </c>
      <c r="BD2" s="286">
        <f t="shared" si="1"/>
        <v>431000</v>
      </c>
      <c r="BE2" s="286">
        <f t="shared" si="1"/>
        <v>637548.76080000005</v>
      </c>
      <c r="BF2" s="593">
        <f t="shared" si="1"/>
        <v>0.41265423691478509</v>
      </c>
      <c r="BG2" s="544"/>
      <c r="BH2" s="539">
        <f t="shared" ref="BH2:BM2" si="2">SUM(BH8:BH36)</f>
        <v>40001</v>
      </c>
      <c r="BI2" s="539">
        <f t="shared" si="2"/>
        <v>146331</v>
      </c>
      <c r="BJ2" s="539">
        <f t="shared" si="2"/>
        <v>0</v>
      </c>
      <c r="BK2" s="286">
        <f t="shared" si="2"/>
        <v>46488188.664999999</v>
      </c>
      <c r="BL2" s="286">
        <f t="shared" si="2"/>
        <v>23596765</v>
      </c>
      <c r="BM2" s="593">
        <f t="shared" si="2"/>
        <v>0.99999999999999989</v>
      </c>
      <c r="BN2" s="539"/>
      <c r="BO2" s="286">
        <f>SUM(BO8:BO36)</f>
        <v>536000</v>
      </c>
      <c r="BP2" s="286">
        <f>SUM(BP8:BP36)</f>
        <v>872323.40159999998</v>
      </c>
      <c r="BQ2" s="593">
        <f>SUM(BQ8:BQ36)</f>
        <v>0.53005651959431632</v>
      </c>
      <c r="BR2" s="539">
        <f>SUM(BS8:BS36)</f>
        <v>97980</v>
      </c>
      <c r="BS2" s="539">
        <f t="shared" ref="BS2:BX2" si="3">SUM(BS8:BS36)</f>
        <v>97980</v>
      </c>
      <c r="BT2" s="539">
        <f t="shared" si="3"/>
        <v>126297</v>
      </c>
      <c r="BU2" s="286">
        <f t="shared" si="3"/>
        <v>0</v>
      </c>
      <c r="BV2" s="286">
        <f t="shared" si="3"/>
        <v>102500</v>
      </c>
      <c r="BW2" s="286">
        <f t="shared" si="3"/>
        <v>213446.99040000001</v>
      </c>
      <c r="BX2" s="593">
        <f t="shared" si="3"/>
        <v>0.82749994339812816</v>
      </c>
      <c r="BY2" s="539">
        <f>BZ38</f>
        <v>18883</v>
      </c>
      <c r="BZ2" s="539">
        <f>SUM(BZ8:BZ36)</f>
        <v>18883</v>
      </c>
      <c r="CA2" s="539">
        <f>SUM(CA8:CA36)</f>
        <v>36097</v>
      </c>
      <c r="CB2" s="286">
        <f>SUM(CB8:CB36)</f>
        <v>0</v>
      </c>
      <c r="CC2" s="286">
        <f t="shared" ref="CC2:CE2" si="4">SUM(CC8:CC36)</f>
        <v>3227000</v>
      </c>
      <c r="CD2" s="286">
        <f t="shared" si="4"/>
        <v>8476692.8399999999</v>
      </c>
      <c r="CE2" s="593">
        <f t="shared" si="4"/>
        <v>0.69787931155179916</v>
      </c>
      <c r="CF2" s="539">
        <f t="shared" ref="CF2:CG2" si="5">CG38</f>
        <v>391404</v>
      </c>
      <c r="CG2" s="539">
        <f t="shared" si="5"/>
        <v>657290</v>
      </c>
      <c r="CH2" s="539">
        <f t="shared" ref="CH2:CL2" si="6">SUM(CH8:CH36)</f>
        <v>657290</v>
      </c>
      <c r="CI2" s="286">
        <f t="shared" si="6"/>
        <v>0</v>
      </c>
      <c r="CJ2" s="286">
        <f t="shared" si="6"/>
        <v>28140000</v>
      </c>
      <c r="CK2" s="286">
        <f t="shared" si="6"/>
        <v>44476333.439999998</v>
      </c>
      <c r="CL2" s="593">
        <f t="shared" si="6"/>
        <v>0.58605452185721163</v>
      </c>
      <c r="CM2" s="539">
        <f t="shared" ref="CM2" si="7">CN38</f>
        <v>3287880</v>
      </c>
      <c r="CN2" s="539">
        <f t="shared" ref="CN2" si="8">CO38</f>
        <v>5911899</v>
      </c>
      <c r="CO2" s="539">
        <f t="shared" ref="CO2:CP2" si="9">SUM(CO8:CO36)</f>
        <v>5911899</v>
      </c>
      <c r="CP2" s="286">
        <f t="shared" si="9"/>
        <v>0</v>
      </c>
      <c r="CS2" s="286">
        <f t="shared" ref="CS2:CU2" si="10">SUM(CS8:CS36)</f>
        <v>453400</v>
      </c>
      <c r="CT2" s="286">
        <f t="shared" si="10"/>
        <v>667267.71216000011</v>
      </c>
      <c r="CU2" s="593">
        <f t="shared" si="10"/>
        <v>0.43188986554337799</v>
      </c>
      <c r="CV2" s="544"/>
      <c r="CW2" s="539">
        <f t="shared" ref="CW2:CY2" si="11">SUM(CW8:CW36)</f>
        <v>41301</v>
      </c>
      <c r="CX2" s="539">
        <f t="shared" si="11"/>
        <v>145031</v>
      </c>
      <c r="CY2" s="539">
        <f t="shared" si="11"/>
        <v>0</v>
      </c>
    </row>
    <row r="3" spans="1:103" ht="20.25" customHeight="1">
      <c r="A3" s="167"/>
      <c r="B3" s="167"/>
      <c r="C3" s="306"/>
      <c r="D3" s="167"/>
      <c r="E3" s="306"/>
      <c r="F3" s="306"/>
      <c r="G3" s="306"/>
      <c r="H3" s="306"/>
      <c r="I3" s="306"/>
      <c r="J3" s="306"/>
      <c r="K3" s="306"/>
      <c r="L3" s="306"/>
      <c r="M3" s="306"/>
      <c r="N3" s="237"/>
      <c r="O3" s="168"/>
      <c r="P3" s="155"/>
      <c r="Q3" s="157"/>
      <c r="R3" s="157"/>
      <c r="S3" s="157"/>
      <c r="T3" s="157"/>
      <c r="U3" s="155"/>
      <c r="V3" s="155"/>
      <c r="W3" s="157"/>
      <c r="X3" s="157"/>
      <c r="Y3" s="155"/>
      <c r="Z3" s="155"/>
      <c r="AA3" s="155"/>
      <c r="AB3" s="155"/>
      <c r="AC3" s="155"/>
      <c r="AD3" s="156"/>
      <c r="AE3" s="156"/>
      <c r="AF3" s="1231">
        <f ca="1">AF2+'MOPFRA Portfolio'!AJ2</f>
        <v>8.2293880067582592E-2</v>
      </c>
      <c r="AG3" s="186"/>
      <c r="AH3" s="1131"/>
      <c r="AI3" s="1131"/>
      <c r="AJ3" s="1131"/>
      <c r="AK3" s="186"/>
      <c r="AL3" s="158"/>
      <c r="AM3" s="158"/>
      <c r="AN3" s="158">
        <f>AN2+'MOPFRA Portfolio'!AR2</f>
        <v>30194695.873199999</v>
      </c>
      <c r="AO3" s="544">
        <f>(AQ3-AN3)/AN3</f>
        <v>0.52387498528489607</v>
      </c>
      <c r="AP3" s="221">
        <f>AP2+'MOPFRA Portfolio'!AT2</f>
        <v>35349022</v>
      </c>
      <c r="AQ3" s="221">
        <f>AQ2+'MOPFRA Portfolio'!AU2</f>
        <v>46012941.729454562</v>
      </c>
      <c r="AR3" s="845">
        <f>SUMIF($A8:$A36, "&gt;0",AR8:AR36)</f>
        <v>0.5844334830430058</v>
      </c>
      <c r="AS3" s="549"/>
      <c r="AT3" s="2399">
        <f>AT2+AU2</f>
        <v>7732736</v>
      </c>
      <c r="AU3" s="2415"/>
      <c r="AV3" s="186">
        <f>AP3-AV2-'MOPFRA Portfolio'!AZ2</f>
        <v>35216706</v>
      </c>
      <c r="AW3" s="221">
        <f>AW2+'MOPFRA Portfolio'!BA2</f>
        <v>12040556</v>
      </c>
      <c r="AX3" s="221">
        <f>AX2+'MOPFRA Portfolio'!BB2</f>
        <v>22335192.341041598</v>
      </c>
      <c r="AY3" s="845">
        <f>SUMIF($A8:$A36, "&gt;0",AY8:AY36)</f>
        <v>0.79758716343202229</v>
      </c>
      <c r="AZ3" s="549"/>
      <c r="BA3" s="2399">
        <f>BA2+BB2</f>
        <v>7855963</v>
      </c>
      <c r="BB3" s="2415"/>
      <c r="BC3" s="186">
        <f>AW3-BC2-'MOPFRA Portfolio'!BG2</f>
        <v>12040556</v>
      </c>
      <c r="BD3" s="221">
        <f>BD2+'MOPFRA Portfolio'!BH2</f>
        <v>1426994</v>
      </c>
      <c r="BE3" s="221">
        <f>BE2+'MOPFRA Portfolio'!BI2</f>
        <v>1544995.0679451199</v>
      </c>
      <c r="BF3" s="845">
        <f>SUMIF($A8:$A36, "&gt;0",BF8:BF36)</f>
        <v>0.41265423691478509</v>
      </c>
      <c r="BG3" s="544"/>
      <c r="BH3" s="2399">
        <f>BH2+BI2</f>
        <v>186332</v>
      </c>
      <c r="BI3" s="2415"/>
      <c r="BJ3" s="186">
        <f>BD3-BJ2-'MOPFRA Portfolio'!BN2</f>
        <v>1426994</v>
      </c>
      <c r="BK3" s="543"/>
      <c r="BL3" s="221"/>
      <c r="BM3" s="221"/>
      <c r="BN3" s="2218"/>
      <c r="BO3" s="221">
        <f>BO2+'MOPFRA Portfolio'!BT2</f>
        <v>1161853</v>
      </c>
      <c r="BP3" s="221">
        <f>BP2+'MOPFRA Portfolio'!BU2</f>
        <v>1645717.7100050398</v>
      </c>
      <c r="BQ3" s="845">
        <f>SUMIF($A8:$A36, "&gt;0",BQ8:BQ36)</f>
        <v>0.52653673441804683</v>
      </c>
      <c r="BR3" s="1522"/>
      <c r="BS3" s="2399">
        <f>BS2+BT2</f>
        <v>224277</v>
      </c>
      <c r="BT3" s="2415"/>
      <c r="BU3" s="221">
        <f>BO3-BU2-'MOPFRA Portfolio'!BZ2</f>
        <v>1161853</v>
      </c>
      <c r="BV3" s="221">
        <f>BV2+'MOPFRA Portfolio'!CA2</f>
        <v>257942</v>
      </c>
      <c r="BW3" s="221">
        <f>BW2+'MOPFRA Portfolio'!CC2</f>
        <v>213447.60343849045</v>
      </c>
      <c r="BX3" s="845">
        <f>SUMIF($A8:$A36, "&gt;0",BX8:BX36)</f>
        <v>0.78961068147102831</v>
      </c>
      <c r="BY3" s="2399">
        <f>BY2+BZ2</f>
        <v>37766</v>
      </c>
      <c r="BZ3" s="2415"/>
      <c r="CA3" s="670"/>
      <c r="CB3" s="221">
        <f>BV3-CB2-'MOPFRA Portfolio'!CG2</f>
        <v>257942</v>
      </c>
      <c r="CC3" s="221">
        <f>CC2+'MOPFRA Portfolio'!CH2</f>
        <v>6766829</v>
      </c>
      <c r="CD3" s="221">
        <f>CD2+'MOPFRA Portfolio'!CI2</f>
        <v>12146359.2625368</v>
      </c>
      <c r="CE3" s="845">
        <f t="shared" ref="CE3" si="12">SUMIF($A8:$A36, "&gt;0",CE8:CE36)</f>
        <v>0.59540992223949463</v>
      </c>
      <c r="CF3" s="2399">
        <f>CF2+CG2</f>
        <v>1048694</v>
      </c>
      <c r="CG3" s="2415"/>
      <c r="CH3" s="670"/>
      <c r="CI3" s="221">
        <f>CC3-CI2-'MOPFRA Portfolio'!CN2</f>
        <v>6766829</v>
      </c>
      <c r="CJ3" s="221">
        <f>CJ2+'MOPFRA Portfolio'!CO2</f>
        <v>38230000</v>
      </c>
      <c r="CK3" s="221">
        <f>CK2+'MOPFRA Portfolio'!CP2</f>
        <v>75891118.967999995</v>
      </c>
      <c r="CL3" s="845">
        <f t="shared" ref="CL3" si="13">SUMIF($A8:$A36, "&gt;0",CL8:CL36)</f>
        <v>0.58542342319044671</v>
      </c>
      <c r="CM3" s="2399">
        <f>CM2+CN2</f>
        <v>9199779</v>
      </c>
      <c r="CN3" s="2415"/>
      <c r="CO3" s="670"/>
      <c r="CP3" s="221">
        <f>CJ3-CP2-'MOPFRA Portfolio'!CU2</f>
        <v>38230000</v>
      </c>
      <c r="CS3" s="221">
        <f>CS2+'MOPFRA Portfolio'!CX2</f>
        <v>1066021</v>
      </c>
      <c r="CT3" s="221">
        <f>CT2+'MOPFRA Portfolio'!DL2</f>
        <v>667267.71216000011</v>
      </c>
      <c r="CU3" s="845">
        <f>SUMIF($A8:$A36, "&gt;0",CU8:CU36)</f>
        <v>0.41620203853158266</v>
      </c>
      <c r="CV3" s="544"/>
      <c r="CW3" s="2399">
        <f>CW2+CX2</f>
        <v>186332</v>
      </c>
      <c r="CX3" s="2415"/>
      <c r="CY3" s="186">
        <f>CS3-CY2-'MOPFRA Portfolio'!DQ2</f>
        <v>1066021</v>
      </c>
    </row>
    <row r="4" spans="1:103" s="30" customFormat="1" ht="21.75" customHeight="1" thickBot="1">
      <c r="A4" s="34"/>
      <c r="B4" s="34"/>
      <c r="C4" s="34"/>
      <c r="D4" s="34"/>
      <c r="E4" s="34" t="s">
        <v>234</v>
      </c>
      <c r="F4" s="34" t="s">
        <v>234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 t="s">
        <v>239</v>
      </c>
      <c r="R4" s="34" t="s">
        <v>234</v>
      </c>
      <c r="S4" s="34" t="s">
        <v>239</v>
      </c>
      <c r="T4" s="34" t="s">
        <v>239</v>
      </c>
      <c r="U4" s="34" t="s">
        <v>234</v>
      </c>
      <c r="V4" s="34" t="s">
        <v>239</v>
      </c>
      <c r="W4" s="34"/>
      <c r="X4" s="34"/>
      <c r="Y4" s="664"/>
      <c r="Z4" s="34"/>
      <c r="AA4" s="34"/>
      <c r="AB4" s="34"/>
      <c r="AC4" s="34"/>
      <c r="AD4" s="34" t="str">
        <f>Cement!S3</f>
        <v>IBT</v>
      </c>
      <c r="AE4" s="34" t="s">
        <v>264</v>
      </c>
      <c r="AF4" s="40" t="s">
        <v>240</v>
      </c>
      <c r="AG4" s="40" t="s">
        <v>239</v>
      </c>
      <c r="AH4" s="40" t="s">
        <v>240</v>
      </c>
      <c r="AI4" s="40"/>
      <c r="AJ4" s="40" t="s">
        <v>248</v>
      </c>
      <c r="AK4" s="40" t="s">
        <v>248</v>
      </c>
      <c r="AL4" s="575" t="s">
        <v>619</v>
      </c>
      <c r="AM4" s="575" t="s">
        <v>620</v>
      </c>
      <c r="AN4" s="575" t="s">
        <v>621</v>
      </c>
      <c r="AO4" s="575" t="s">
        <v>234</v>
      </c>
      <c r="AP4" s="35" t="s">
        <v>611</v>
      </c>
      <c r="AQ4" s="35" t="s">
        <v>622</v>
      </c>
      <c r="AR4" s="845">
        <f>SUMIF($A8:$A36, "&gt;10",AR8:AR36)</f>
        <v>0.52626533079277305</v>
      </c>
      <c r="AS4" s="40" t="s">
        <v>623</v>
      </c>
      <c r="AT4" s="40" t="s">
        <v>624</v>
      </c>
      <c r="AU4" s="40" t="s">
        <v>624</v>
      </c>
      <c r="AV4" s="40" t="s">
        <v>609</v>
      </c>
      <c r="AW4" s="35">
        <f>AW2-AW23</f>
        <v>8870000</v>
      </c>
      <c r="AX4" s="35" t="s">
        <v>622</v>
      </c>
      <c r="AY4" s="845">
        <f>SUMIF($A8:$A36, "&gt;-10",AY8:AY36)</f>
        <v>0.80633862780337784</v>
      </c>
      <c r="AZ4" s="40" t="s">
        <v>623</v>
      </c>
      <c r="BA4" s="40" t="s">
        <v>624</v>
      </c>
      <c r="BB4" s="40" t="s">
        <v>624</v>
      </c>
      <c r="BC4" s="40" t="s">
        <v>611</v>
      </c>
      <c r="BD4" s="35" t="s">
        <v>611</v>
      </c>
      <c r="BE4" s="35"/>
      <c r="BF4" s="845">
        <f>SUMIF($A8:$A36, "&gt;-10",BF8:BF36)</f>
        <v>0.41265423691478509</v>
      </c>
      <c r="BG4" s="35"/>
      <c r="BH4" s="40" t="s">
        <v>623</v>
      </c>
      <c r="BI4" s="40" t="s">
        <v>624</v>
      </c>
      <c r="BJ4" s="40" t="s">
        <v>624</v>
      </c>
      <c r="BK4" s="35" t="s">
        <v>611</v>
      </c>
      <c r="BL4" s="35" t="s">
        <v>622</v>
      </c>
      <c r="BM4" s="35" t="s">
        <v>611</v>
      </c>
      <c r="BN4" s="621"/>
      <c r="BO4" s="35" t="s">
        <v>611</v>
      </c>
      <c r="BP4" s="35"/>
      <c r="BQ4" s="845">
        <f>SUMIF($A8:$A36, "&gt;-10",BQ8:BQ36)</f>
        <v>0.53005651959431632</v>
      </c>
      <c r="BR4" s="40" t="s">
        <v>623</v>
      </c>
      <c r="BS4" s="40" t="s">
        <v>624</v>
      </c>
      <c r="BT4" s="40" t="s">
        <v>624</v>
      </c>
      <c r="BU4" s="35" t="s">
        <v>611</v>
      </c>
      <c r="BV4" s="35"/>
      <c r="BW4" s="35" t="s">
        <v>622</v>
      </c>
      <c r="BX4" s="845">
        <f>SUMIF($A8:$A36, "&gt;-10",BX8:BX36)</f>
        <v>0.82749994339812816</v>
      </c>
      <c r="BY4" s="40" t="s">
        <v>623</v>
      </c>
      <c r="BZ4" s="40" t="s">
        <v>624</v>
      </c>
      <c r="CA4" s="40" t="s">
        <v>624</v>
      </c>
      <c r="CB4" s="35" t="s">
        <v>611</v>
      </c>
      <c r="CC4" s="35"/>
      <c r="CD4" s="35" t="s">
        <v>622</v>
      </c>
      <c r="CE4" s="845">
        <f t="shared" ref="CE4" si="14">SUMIF($A8:$A36, "&gt;-10",CE8:CE36)</f>
        <v>0.6919646029179467</v>
      </c>
      <c r="CF4" s="40" t="s">
        <v>623</v>
      </c>
      <c r="CG4" s="40" t="s">
        <v>624</v>
      </c>
      <c r="CH4" s="40" t="s">
        <v>624</v>
      </c>
      <c r="CI4" s="35" t="s">
        <v>611</v>
      </c>
      <c r="CJ4" s="35"/>
      <c r="CK4" s="35" t="s">
        <v>622</v>
      </c>
      <c r="CL4" s="845">
        <f t="shared" ref="CL4" si="15">SUMIF($A8:$A36, "&gt;-10",CL8:CL36)</f>
        <v>0.58542342319044671</v>
      </c>
      <c r="CM4" s="40" t="s">
        <v>623</v>
      </c>
      <c r="CN4" s="40" t="s">
        <v>624</v>
      </c>
      <c r="CO4" s="40" t="s">
        <v>624</v>
      </c>
      <c r="CP4" s="35" t="s">
        <v>611</v>
      </c>
      <c r="CS4" s="35" t="s">
        <v>611</v>
      </c>
      <c r="CT4" s="35"/>
      <c r="CU4" s="845">
        <f>SUMIF($A8:$A36, "&gt;-10",CU8:CU36)</f>
        <v>0.43188986554337799</v>
      </c>
      <c r="CV4" s="35"/>
      <c r="CW4" s="40" t="s">
        <v>623</v>
      </c>
      <c r="CX4" s="40" t="s">
        <v>624</v>
      </c>
      <c r="CY4" s="40" t="s">
        <v>624</v>
      </c>
    </row>
    <row r="5" spans="1:103" s="94" customFormat="1" ht="84" customHeight="1" thickBot="1">
      <c r="A5" s="671" t="s">
        <v>266</v>
      </c>
      <c r="B5" s="515" t="s">
        <v>625</v>
      </c>
      <c r="C5" s="671" t="s">
        <v>626</v>
      </c>
      <c r="D5" s="671" t="s">
        <v>627</v>
      </c>
      <c r="E5" s="671" t="s">
        <v>628</v>
      </c>
      <c r="F5" s="1576" t="s">
        <v>629</v>
      </c>
      <c r="G5" s="2215" t="s">
        <v>272</v>
      </c>
      <c r="H5" s="671" t="s">
        <v>273</v>
      </c>
      <c r="I5" s="1229" t="s">
        <v>8279</v>
      </c>
      <c r="J5" s="671" t="s">
        <v>274</v>
      </c>
      <c r="K5" s="671" t="s">
        <v>275</v>
      </c>
      <c r="L5" s="2033" t="s">
        <v>276</v>
      </c>
      <c r="M5" s="1602" t="s">
        <v>277</v>
      </c>
      <c r="N5" s="413" t="s">
        <v>279</v>
      </c>
      <c r="O5" s="414" t="s">
        <v>11</v>
      </c>
      <c r="P5" s="672" t="s">
        <v>280</v>
      </c>
      <c r="Q5" s="672" t="s">
        <v>282</v>
      </c>
      <c r="R5" s="672" t="s">
        <v>283</v>
      </c>
      <c r="S5" s="672" t="s">
        <v>283</v>
      </c>
      <c r="T5" s="672" t="s">
        <v>284</v>
      </c>
      <c r="U5" s="672" t="s">
        <v>630</v>
      </c>
      <c r="V5" s="672" t="s">
        <v>631</v>
      </c>
      <c r="W5" s="672" t="s">
        <v>281</v>
      </c>
      <c r="X5" s="672" t="s">
        <v>632</v>
      </c>
      <c r="Y5" s="783" t="s">
        <v>633</v>
      </c>
      <c r="Z5" s="516" t="s">
        <v>634</v>
      </c>
      <c r="AA5" s="1454" t="s">
        <v>290</v>
      </c>
      <c r="AB5" s="1123" t="s">
        <v>635</v>
      </c>
      <c r="AC5" s="672" t="s">
        <v>636</v>
      </c>
      <c r="AD5" s="413" t="s">
        <v>301</v>
      </c>
      <c r="AE5" s="1095" t="s">
        <v>637</v>
      </c>
      <c r="AF5" s="2429" t="s">
        <v>638</v>
      </c>
      <c r="AG5" s="2393"/>
      <c r="AH5" s="2393"/>
      <c r="AI5" s="1823" t="s">
        <v>15</v>
      </c>
      <c r="AJ5" s="2430" t="s">
        <v>16</v>
      </c>
      <c r="AK5" s="2430"/>
      <c r="AL5" s="574"/>
      <c r="AM5" s="576" t="s">
        <v>639</v>
      </c>
      <c r="AN5" s="574"/>
      <c r="AO5" s="792"/>
      <c r="AP5" s="2441" t="s">
        <v>639</v>
      </c>
      <c r="AQ5" s="2441"/>
      <c r="AR5" s="2441"/>
      <c r="AS5" s="2441"/>
      <c r="AT5" s="2441"/>
      <c r="AU5" s="2441"/>
      <c r="AV5" s="2442"/>
      <c r="AW5" s="2443" t="s">
        <v>640</v>
      </c>
      <c r="AX5" s="2444"/>
      <c r="AY5" s="2444"/>
      <c r="AZ5" s="2444"/>
      <c r="BA5" s="2444"/>
      <c r="BB5" s="2444"/>
      <c r="BC5" s="2445"/>
      <c r="BD5" s="2400" t="s">
        <v>641</v>
      </c>
      <c r="BE5" s="2401"/>
      <c r="BF5" s="2401"/>
      <c r="BG5" s="2401"/>
      <c r="BH5" s="2401"/>
      <c r="BI5" s="2401"/>
      <c r="BJ5" s="2402"/>
      <c r="BK5" s="2412" t="s">
        <v>642</v>
      </c>
      <c r="BL5" s="2413"/>
      <c r="BM5" s="2414"/>
      <c r="BN5" s="622"/>
      <c r="BO5" s="2409" t="s">
        <v>643</v>
      </c>
      <c r="BP5" s="2410"/>
      <c r="BQ5" s="2410"/>
      <c r="BR5" s="2410"/>
      <c r="BS5" s="2410"/>
      <c r="BT5" s="2410"/>
      <c r="BU5" s="2411"/>
      <c r="BV5" s="2461" t="s">
        <v>644</v>
      </c>
      <c r="BW5" s="2461"/>
      <c r="BX5" s="2461"/>
      <c r="BY5" s="2461"/>
      <c r="BZ5" s="2461"/>
      <c r="CA5" s="2461"/>
      <c r="CB5" s="2462"/>
      <c r="CC5" s="2459" t="s">
        <v>645</v>
      </c>
      <c r="CD5" s="2459"/>
      <c r="CE5" s="2459"/>
      <c r="CF5" s="2459"/>
      <c r="CG5" s="2459"/>
      <c r="CH5" s="2459"/>
      <c r="CI5" s="2460"/>
      <c r="CJ5" s="2457" t="s">
        <v>646</v>
      </c>
      <c r="CK5" s="2457"/>
      <c r="CL5" s="2457"/>
      <c r="CM5" s="2457"/>
      <c r="CN5" s="2457"/>
      <c r="CO5" s="2457"/>
      <c r="CP5" s="2458"/>
      <c r="CS5" s="2400" t="s">
        <v>647</v>
      </c>
      <c r="CT5" s="2401"/>
      <c r="CU5" s="2401"/>
      <c r="CV5" s="2401"/>
      <c r="CW5" s="2401"/>
      <c r="CX5" s="2401"/>
      <c r="CY5" s="2402"/>
    </row>
    <row r="6" spans="1:103" ht="84" customHeight="1" thickBot="1">
      <c r="A6" s="209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10"/>
      <c r="P6" s="211"/>
      <c r="Q6" s="214" t="s">
        <v>265</v>
      </c>
      <c r="R6" s="214" t="s">
        <v>233</v>
      </c>
      <c r="S6" s="214" t="s">
        <v>265</v>
      </c>
      <c r="T6" s="214" t="s">
        <v>265</v>
      </c>
      <c r="U6" s="214" t="s">
        <v>234</v>
      </c>
      <c r="V6" s="214" t="s">
        <v>265</v>
      </c>
      <c r="W6" s="214" t="s">
        <v>648</v>
      </c>
      <c r="X6" s="214"/>
      <c r="Y6" s="214" t="s">
        <v>234</v>
      </c>
      <c r="Z6" s="214"/>
      <c r="AA6" s="214"/>
      <c r="AB6" s="214"/>
      <c r="AC6" s="214" t="s">
        <v>234</v>
      </c>
      <c r="AD6" s="449" t="s">
        <v>617</v>
      </c>
      <c r="AE6" s="215"/>
      <c r="AF6" s="413" t="s">
        <v>649</v>
      </c>
      <c r="AG6" s="413" t="s">
        <v>455</v>
      </c>
      <c r="AH6" s="1339" t="s">
        <v>445</v>
      </c>
      <c r="AI6" s="324" t="s">
        <v>650</v>
      </c>
      <c r="AJ6" s="324" t="s">
        <v>651</v>
      </c>
      <c r="AK6" s="324" t="s">
        <v>425</v>
      </c>
      <c r="AL6" s="522" t="s">
        <v>652</v>
      </c>
      <c r="AM6" s="522" t="s">
        <v>653</v>
      </c>
      <c r="AN6" s="522" t="s">
        <v>654</v>
      </c>
      <c r="AO6" s="522" t="s">
        <v>655</v>
      </c>
      <c r="AP6" s="442" t="s">
        <v>656</v>
      </c>
      <c r="AQ6" s="326" t="s">
        <v>657</v>
      </c>
      <c r="AR6" s="326" t="s">
        <v>658</v>
      </c>
      <c r="AS6" s="347" t="s">
        <v>659</v>
      </c>
      <c r="AT6" s="347" t="s">
        <v>660</v>
      </c>
      <c r="AU6" s="324" t="s">
        <v>661</v>
      </c>
      <c r="AV6" s="325" t="s">
        <v>662</v>
      </c>
      <c r="AW6" s="339" t="s">
        <v>640</v>
      </c>
      <c r="AX6" s="326" t="s">
        <v>663</v>
      </c>
      <c r="AY6" s="326" t="s">
        <v>658</v>
      </c>
      <c r="AZ6" s="347" t="s">
        <v>659</v>
      </c>
      <c r="BA6" s="347" t="s">
        <v>660</v>
      </c>
      <c r="BB6" s="347" t="s">
        <v>661</v>
      </c>
      <c r="BC6" s="415" t="s">
        <v>662</v>
      </c>
      <c r="BD6" s="336" t="s">
        <v>664</v>
      </c>
      <c r="BE6" s="326" t="s">
        <v>665</v>
      </c>
      <c r="BF6" s="326" t="s">
        <v>658</v>
      </c>
      <c r="BG6" s="347" t="s">
        <v>659</v>
      </c>
      <c r="BH6" s="347" t="s">
        <v>660</v>
      </c>
      <c r="BI6" s="347" t="s">
        <v>661</v>
      </c>
      <c r="BJ6" s="415" t="s">
        <v>662</v>
      </c>
      <c r="BK6" s="224" t="s">
        <v>622</v>
      </c>
      <c r="BL6" s="224" t="s">
        <v>623</v>
      </c>
      <c r="BM6" s="224" t="s">
        <v>234</v>
      </c>
      <c r="BN6" s="440"/>
      <c r="BO6" s="626" t="s">
        <v>666</v>
      </c>
      <c r="BP6" s="592" t="s">
        <v>667</v>
      </c>
      <c r="BQ6" s="592" t="s">
        <v>658</v>
      </c>
      <c r="BR6" s="137" t="s">
        <v>659</v>
      </c>
      <c r="BS6" s="97" t="s">
        <v>660</v>
      </c>
      <c r="BT6" s="137" t="s">
        <v>661</v>
      </c>
      <c r="BU6" s="717" t="s">
        <v>662</v>
      </c>
      <c r="BV6" s="627" t="s">
        <v>668</v>
      </c>
      <c r="BW6" s="592" t="s">
        <v>669</v>
      </c>
      <c r="BX6" s="592" t="s">
        <v>658</v>
      </c>
      <c r="BY6" s="137" t="s">
        <v>659</v>
      </c>
      <c r="BZ6" s="97" t="s">
        <v>660</v>
      </c>
      <c r="CA6" s="137" t="s">
        <v>661</v>
      </c>
      <c r="CB6" s="717" t="s">
        <v>662</v>
      </c>
      <c r="CC6" s="1763" t="s">
        <v>670</v>
      </c>
      <c r="CD6" s="592" t="s">
        <v>669</v>
      </c>
      <c r="CE6" s="592" t="s">
        <v>658</v>
      </c>
      <c r="CF6" s="137" t="s">
        <v>659</v>
      </c>
      <c r="CG6" s="97" t="s">
        <v>660</v>
      </c>
      <c r="CH6" s="137" t="s">
        <v>661</v>
      </c>
      <c r="CI6" s="717" t="s">
        <v>662</v>
      </c>
      <c r="CJ6" s="2072" t="s">
        <v>670</v>
      </c>
      <c r="CK6" s="592" t="s">
        <v>669</v>
      </c>
      <c r="CL6" s="592" t="s">
        <v>658</v>
      </c>
      <c r="CM6" s="137" t="s">
        <v>659</v>
      </c>
      <c r="CN6" s="97" t="s">
        <v>660</v>
      </c>
      <c r="CO6" s="137" t="s">
        <v>661</v>
      </c>
      <c r="CP6" s="717" t="s">
        <v>662</v>
      </c>
      <c r="CS6" s="336" t="s">
        <v>664</v>
      </c>
      <c r="CT6" s="326" t="s">
        <v>665</v>
      </c>
      <c r="CU6" s="326" t="s">
        <v>658</v>
      </c>
      <c r="CV6" s="347" t="s">
        <v>659</v>
      </c>
      <c r="CW6" s="347" t="s">
        <v>660</v>
      </c>
      <c r="CX6" s="347" t="s">
        <v>661</v>
      </c>
      <c r="CY6" s="415" t="s">
        <v>662</v>
      </c>
    </row>
    <row r="7" spans="1:103" s="102" customFormat="1" ht="23" customHeight="1" thickBot="1">
      <c r="A7" s="314"/>
      <c r="B7" s="314"/>
      <c r="C7" s="314"/>
      <c r="D7" s="314"/>
      <c r="E7" s="314"/>
      <c r="F7" s="314"/>
      <c r="G7" s="314"/>
      <c r="H7" s="314"/>
      <c r="I7" s="314"/>
      <c r="J7" s="1314"/>
      <c r="K7" s="314"/>
      <c r="L7" s="314"/>
      <c r="M7" s="314"/>
      <c r="N7" s="314"/>
      <c r="O7" s="315"/>
      <c r="P7" s="316"/>
      <c r="Q7" s="317"/>
      <c r="R7" s="318"/>
      <c r="S7" s="318"/>
      <c r="T7" s="319"/>
      <c r="U7" s="318"/>
      <c r="V7" s="318"/>
      <c r="W7" s="317"/>
      <c r="X7" s="317"/>
      <c r="Y7" s="318"/>
      <c r="Z7" s="318"/>
      <c r="AA7" s="318"/>
      <c r="AB7" s="318"/>
      <c r="AC7" s="318"/>
      <c r="AD7" s="320"/>
      <c r="AE7" s="320"/>
      <c r="AF7" s="1126"/>
      <c r="AG7" s="293"/>
      <c r="AH7" s="1132"/>
      <c r="AI7" s="1132"/>
      <c r="AJ7" s="1132"/>
      <c r="AK7" s="305"/>
      <c r="AL7" s="445"/>
      <c r="AM7" s="233"/>
      <c r="AN7" s="233"/>
      <c r="AO7" s="233"/>
      <c r="AP7" s="313"/>
      <c r="AQ7" s="311"/>
      <c r="AR7" s="311"/>
      <c r="AS7" s="305"/>
      <c r="AT7" s="305"/>
      <c r="AU7" s="305"/>
      <c r="AV7" s="305"/>
      <c r="AW7" s="340"/>
      <c r="AX7" s="311"/>
      <c r="AY7" s="311"/>
      <c r="AZ7" s="305"/>
      <c r="BA7" s="305"/>
      <c r="BB7" s="305"/>
      <c r="BC7" s="312"/>
      <c r="BD7" s="371"/>
      <c r="BE7" s="372"/>
      <c r="BF7" s="372"/>
      <c r="BG7" s="373"/>
      <c r="BH7" s="373"/>
      <c r="BI7" s="373"/>
      <c r="BJ7" s="374"/>
      <c r="BK7" s="322"/>
      <c r="BL7" s="322"/>
      <c r="BM7" s="322"/>
      <c r="BN7" s="305"/>
      <c r="BO7" s="321"/>
      <c r="BP7" s="372"/>
      <c r="BQ7" s="372"/>
      <c r="BR7" s="373"/>
      <c r="BS7" s="373"/>
      <c r="BT7" s="373"/>
      <c r="BU7" s="374"/>
      <c r="BV7" s="321"/>
      <c r="BW7" s="372"/>
      <c r="BX7" s="372"/>
      <c r="BY7" s="373"/>
      <c r="BZ7" s="373"/>
      <c r="CA7" s="373"/>
      <c r="CB7" s="374"/>
      <c r="CC7" s="321"/>
      <c r="CD7" s="372"/>
      <c r="CE7" s="372"/>
      <c r="CF7" s="373"/>
      <c r="CG7" s="373"/>
      <c r="CH7" s="373"/>
      <c r="CI7" s="374"/>
      <c r="CJ7" s="2073"/>
      <c r="CK7" s="372"/>
      <c r="CL7" s="372"/>
      <c r="CM7" s="373"/>
      <c r="CN7" s="373"/>
      <c r="CO7" s="373"/>
      <c r="CP7" s="374"/>
      <c r="CS7" s="371"/>
      <c r="CT7" s="372"/>
      <c r="CU7" s="372"/>
      <c r="CV7" s="373"/>
      <c r="CW7" s="373"/>
      <c r="CX7" s="373"/>
      <c r="CY7" s="374"/>
    </row>
    <row r="8" spans="1:103" ht="35" customHeight="1">
      <c r="A8" s="100">
        <f>_xlfn.XLOOKUP(O8,Cement!Q$7:Q$35,Cement!A$7:A$35,"")</f>
        <v>44.669651090194165</v>
      </c>
      <c r="B8" s="100">
        <f>_xlfn.XLOOKUP(O8,Cement!Q$7:Q$35,Cement!B$7:B$35,"")</f>
        <v>40.755421271413276</v>
      </c>
      <c r="C8" s="1585">
        <f ca="1">_xlfn.XLOOKUP(O8,Cement!Q$7:Q$35,Cement!$C$7:$C$35,"")</f>
        <v>0.16218428596692078</v>
      </c>
      <c r="D8" s="2111">
        <f>_xlfn.XLOOKUP(O8,Cement!$Q$7:$Q$35,Cement!$D$7:$D$35,"")</f>
        <v>1.3975739604619584</v>
      </c>
      <c r="E8" s="1236">
        <f>_xlfn.XLOOKUP($O8,Cement!$Q$7:$Q$35,Cement!$E$7:$E$35,"")</f>
        <v>37</v>
      </c>
      <c r="F8" s="1235">
        <f>_xlfn.XLOOKUP($O8,Cement!$Q$7:$Q$35,Cement!$F$7:$F$35,"")</f>
        <v>37.799999999999997</v>
      </c>
      <c r="G8" s="2125">
        <f>_xlfn.XLOOKUP($O8,Cement!$Q$7:$Q$35,Cement!$G$7:$G$35,"")</f>
        <v>-10.188626925387734</v>
      </c>
      <c r="H8" s="2314">
        <f>_xlfn.XLOOKUP($O8,Cement!Q$7:Q$35,Cement!H$7:H$35,"")</f>
        <v>1.0290037831021437</v>
      </c>
      <c r="I8" s="2314">
        <f>_xlfn.XLOOKUP(O8,Cement!Q$7:Q$35,Cement!J$7:J$35,"")</f>
        <v>0.23486430062630481</v>
      </c>
      <c r="J8" s="2112">
        <f>_xlfn.XLOOKUP(O8,'Sales Rec'!$E$4:$E$91,'Sales Rec'!$CV$4:$CV$91,"")</f>
        <v>3</v>
      </c>
      <c r="K8" s="2216">
        <f>_xlfn.XLOOKUP(O8,Cement!Q$7:Q$35,Cement!$L$7:$L$35,"")</f>
        <v>1</v>
      </c>
      <c r="L8" s="390" t="str">
        <f>_xlfn.XLOOKUP(O8,'Sales Rec'!$E$4:$E$32,'Sales Rec'!$DS$4:$DS$32,"")</f>
        <v>BB</v>
      </c>
      <c r="M8" s="390" t="str">
        <f>_xlfn.XLOOKUP(O8,'Sales Rec'!$E$4:$E$32,'Sales Rec'!$DZ$4:$DZ$32,"")</f>
        <v>BB</v>
      </c>
      <c r="N8" s="60" t="s">
        <v>46</v>
      </c>
      <c r="O8" s="124" t="s">
        <v>47</v>
      </c>
      <c r="P8" s="1570">
        <v>12</v>
      </c>
      <c r="Q8" s="264">
        <f>VLOOKUP(O8,Cement!$Q$7:$CC$35,4,FALSE)</f>
        <v>242800</v>
      </c>
      <c r="R8" s="292">
        <f>_xlfn.XLOOKUP(O8,Cement!$Q$7:$Q$35,Cement!$U$7:$U$35,"")</f>
        <v>2.97</v>
      </c>
      <c r="S8" s="292">
        <f>_xlfn.XLOOKUP(O8,'دیده بان بازار'!$A$8:$A$3179,'دیده بان بازار'!$L$8:$L$3179,"")</f>
        <v>7000</v>
      </c>
      <c r="T8" s="304">
        <f>VLOOKUP(O8,Cement!$Q$7:$CC$35,6,FALSE)</f>
        <v>242800</v>
      </c>
      <c r="U8" s="361">
        <f>_xlfn.XLOOKUP(O8,Cement!$Q$7:$Q$35,Cement!$W$7:$W$35,"")</f>
        <v>2.97</v>
      </c>
      <c r="V8" s="361">
        <f>_xlfn.XLOOKUP(O8,'دیده بان بازار'!$A$8:$A$3179,'دیده بان بازار'!$I$8:$I$3179,"")</f>
        <v>7000</v>
      </c>
      <c r="W8" s="66">
        <f>_xlfn.XLOOKUP(O8,Cement!$Q$7:$Q$35,Cement!$S$7:$S$35,"")</f>
        <v>14568</v>
      </c>
      <c r="X8" s="1603">
        <f>_xlfn.XLOOKUP(O8,'Sales Rec'!$E$4:$E$93,'Sales Rec'!$DW$4:$DW$93,"")</f>
        <v>5.5710419485791611</v>
      </c>
      <c r="Y8" s="850">
        <f>_xlfn.XLOOKUP(N8,Cement!$P$7:$P$35,Cement!$Z$7:$Z$35,"")</f>
        <v>0.19194894452626413</v>
      </c>
      <c r="Z8" s="1453">
        <f t="shared" ref="Z8:Z36" ca="1" si="16">IFERROR(Y8*100/(365-AE8),"")</f>
        <v>1.3710638894733154</v>
      </c>
      <c r="AA8" s="824">
        <f ca="1">_xlfn.XLOOKUP(O8,Cement!$Q$7:$Q$35,Cement!$AB$7:$AB$35,"")</f>
        <v>-112.44885470075619</v>
      </c>
      <c r="AB8" s="2010">
        <f>_xlfn.XLOOKUP(N8,Cement!$P$7:$P$35,Cement!$AG$7:$AG$35,"")</f>
        <v>19.06611570247934</v>
      </c>
      <c r="AC8" s="562">
        <f t="shared" ref="AC8:AC36" si="17">IFERROR(IF(AL8="B",(T8-(AM8*1.0088))/AM8,IF(AL8="S",(AM8-(T8*1.0037))/AM8,""))*100,"")</f>
        <v>18.646423314544521</v>
      </c>
      <c r="AD8" s="308">
        <f>_xlfn.XLOOKUP(N8,Cement!$P$7:$P$35,Cement!$AM$7:$AM$35,"")</f>
        <v>600000000</v>
      </c>
      <c r="AE8" s="1933">
        <f ca="1">_xlfn.XLOOKUP(O8,Cement!$Q$7:$Q$35,Cement!$AH$7:$AH$35,"")</f>
        <v>351</v>
      </c>
      <c r="AF8" s="2214">
        <f>_xlfn.XLOOKUP(O8,Cement!$Q$7:$Q$35,Cement!$AI$7:$AI$35,"")</f>
        <v>46225</v>
      </c>
      <c r="AG8" s="2233">
        <f>_xlfn.XLOOKUP(O8,Cement!$Q$7:$Q$35,Cement!$EI$7:$EI$35,"")</f>
        <v>22000</v>
      </c>
      <c r="AH8" s="2234">
        <f>_xlfn.XLOOKUP(O8,Cement!$Q$7:$Q$37,Cement!$AJ$7:$AJ$37,"")</f>
        <v>46346</v>
      </c>
      <c r="AI8" s="1827">
        <f>_xlfn.XLOOKUP($O8,Cement!$Q$7:$Q$35,Cement!$CB$7:$CB$35,"")</f>
        <v>44486</v>
      </c>
      <c r="AJ8" s="1340">
        <f>_xlfn.XLOOKUP($O8,Cement!$Q$7:$Q$35,Cement!$BV$7:$BV$35,"")</f>
        <v>4.0624260395380416</v>
      </c>
      <c r="AK8" s="1206">
        <f>_xlfn.XLOOKUP($O8,Cement!$Q$7:$Q$35,Cement!$CC$7:$CC$35,"")</f>
        <v>5.46</v>
      </c>
      <c r="AL8" s="681" t="s">
        <v>197</v>
      </c>
      <c r="AM8" s="682">
        <v>203135</v>
      </c>
      <c r="AN8" s="1946">
        <v>107536</v>
      </c>
      <c r="AO8" s="1947">
        <f t="shared" ref="AO8:AO19" si="18">IF(AN8&lt;1,"",(T8-AN8)/AN8)</f>
        <v>1.2578485344442791</v>
      </c>
      <c r="AP8" s="328">
        <v>230000</v>
      </c>
      <c r="AQ8" s="334">
        <f t="shared" ref="AQ8:AQ36" si="19">(AP8*$T8/10000)*0.9912</f>
        <v>5535257.2800000003</v>
      </c>
      <c r="AR8" s="330">
        <f t="shared" ref="AR8:AR36" si="20">AQ8/$AQ$3</f>
        <v>0.12029783517311349</v>
      </c>
      <c r="AS8" s="310">
        <v>230000</v>
      </c>
      <c r="AT8" s="234">
        <f t="shared" ref="AT8:AT36" si="21">$AG8*AS8/10000</f>
        <v>506000</v>
      </c>
      <c r="AU8" s="402">
        <v>71150</v>
      </c>
      <c r="AV8" s="1137">
        <v>0</v>
      </c>
      <c r="AW8" s="341">
        <v>90000</v>
      </c>
      <c r="AX8" s="334">
        <f t="shared" ref="AX8:AX36" si="22">(AW8*$T8/10000)*0.9912</f>
        <v>2165970.2399999998</v>
      </c>
      <c r="AY8" s="343">
        <f t="shared" ref="AY8:AY36" si="23">AX8/$AX$3</f>
        <v>9.6975669917109389E-2</v>
      </c>
      <c r="AZ8" s="310">
        <v>90000</v>
      </c>
      <c r="BA8" s="234">
        <f t="shared" ref="BA8:BA36" si="24">$AG8*AZ8/10000</f>
        <v>198000</v>
      </c>
      <c r="BB8" s="402">
        <v>12090</v>
      </c>
      <c r="BC8" s="1151">
        <v>0</v>
      </c>
      <c r="BD8" s="332">
        <v>5000</v>
      </c>
      <c r="BE8" s="334">
        <f t="shared" ref="BE8:BE36" si="25">(BD8*$T8/10000)*0.9912</f>
        <v>120331.68</v>
      </c>
      <c r="BF8" s="298">
        <f t="shared" ref="BF8:BF23" si="26">BE8/$BE$3</f>
        <v>7.7884831153567355E-2</v>
      </c>
      <c r="BG8" s="310">
        <v>5000</v>
      </c>
      <c r="BH8" s="234">
        <f t="shared" ref="BH8:BH36" si="27">$AG8*BG8/10000</f>
        <v>11000</v>
      </c>
      <c r="BI8" s="402">
        <v>2240</v>
      </c>
      <c r="BJ8" s="297">
        <v>0</v>
      </c>
      <c r="BK8" s="720">
        <f t="shared" ref="BK8:BK36" si="28">BL8*T8/10000</f>
        <v>7891000</v>
      </c>
      <c r="BL8" s="721">
        <f t="shared" ref="BL8:BL36" si="29">BD8+AW8+AP8</f>
        <v>325000</v>
      </c>
      <c r="BM8" s="722">
        <f t="shared" ref="BM8:BM36" si="30">BK8/$BK$38</f>
        <v>0.16974204043232538</v>
      </c>
      <c r="BN8" s="623"/>
      <c r="BO8" s="610">
        <v>12000</v>
      </c>
      <c r="BP8" s="334">
        <f t="shared" ref="BP8:BP36" si="31">(BO8*$T8/10000)*0.9912</f>
        <v>288796.03200000001</v>
      </c>
      <c r="BQ8" s="612">
        <f t="shared" ref="BQ8:BQ36" si="32">BP8/$BP$3</f>
        <v>0.17548333486616949</v>
      </c>
      <c r="BR8" s="310">
        <v>12000</v>
      </c>
      <c r="BS8" s="234">
        <f t="shared" ref="BS8:BS36" si="33">$AG8*BR8/10000</f>
        <v>26400</v>
      </c>
      <c r="BT8" s="402">
        <v>3820</v>
      </c>
      <c r="BU8" s="297">
        <v>0</v>
      </c>
      <c r="BV8" s="628">
        <v>2500</v>
      </c>
      <c r="BW8" s="334">
        <f t="shared" ref="BW8:BW36" si="34">(BV8*$T8/10000)*0.9912</f>
        <v>60165.84</v>
      </c>
      <c r="BX8" s="630">
        <f t="shared" ref="BX8:BX36" si="35">BW8/$BV$3</f>
        <v>0.23325336703600033</v>
      </c>
      <c r="BY8" s="310">
        <v>2500</v>
      </c>
      <c r="BZ8" s="234">
        <f t="shared" ref="BZ8:BZ27" si="36">$AG8*BY8/10000</f>
        <v>5500</v>
      </c>
      <c r="CA8" s="402">
        <v>1080</v>
      </c>
      <c r="CB8" s="297">
        <v>0</v>
      </c>
      <c r="CC8" s="1764">
        <v>70000</v>
      </c>
      <c r="CD8" s="334">
        <f t="shared" ref="CD8:CD36" si="37">(CC8*$T8/10000)*0.9912</f>
        <v>1684643.52</v>
      </c>
      <c r="CE8" s="1767">
        <f t="shared" ref="CE8:CE36" si="38">CD8/CD$3</f>
        <v>0.13869534760065691</v>
      </c>
      <c r="CF8" s="310">
        <v>70000</v>
      </c>
      <c r="CG8" s="234">
        <f t="shared" ref="CG8:CG27" si="39">$AG8*CF8/10000</f>
        <v>154000</v>
      </c>
      <c r="CH8" s="402"/>
      <c r="CI8" s="1780">
        <v>0</v>
      </c>
      <c r="CJ8" s="2074">
        <v>800000</v>
      </c>
      <c r="CK8" s="334">
        <f t="shared" ref="CK8:CK36" si="40">(CJ8*$T8/10000)*0.9912</f>
        <v>19253068.800000001</v>
      </c>
      <c r="CL8" s="2070">
        <f t="shared" ref="CL8:CL36" si="41">CK8/CK$3</f>
        <v>0.25369330511674482</v>
      </c>
      <c r="CM8" s="310">
        <v>800000</v>
      </c>
      <c r="CN8" s="234">
        <f>$AG8*CM8/10000</f>
        <v>1760000</v>
      </c>
      <c r="CO8" s="402">
        <v>528900</v>
      </c>
      <c r="CP8" s="1780">
        <v>0</v>
      </c>
      <c r="CS8" s="332">
        <v>5000</v>
      </c>
      <c r="CT8" s="334">
        <f t="shared" ref="CT8:CT36" si="42">(CS8*$T8/10000)*0.9912</f>
        <v>120331.68</v>
      </c>
      <c r="CU8" s="298">
        <f t="shared" ref="CU8:CU23" si="43">CT8/$BE$3</f>
        <v>7.7884831153567355E-2</v>
      </c>
      <c r="CV8" s="310">
        <v>5000</v>
      </c>
      <c r="CW8" s="234">
        <f t="shared" ref="CW8:CW36" si="44">$AG8*CV8/10000</f>
        <v>11000</v>
      </c>
      <c r="CX8" s="402">
        <v>2240</v>
      </c>
      <c r="CY8" s="297">
        <v>0</v>
      </c>
    </row>
    <row r="9" spans="1:103" ht="35" customHeight="1">
      <c r="A9" s="100">
        <f>_xlfn.XLOOKUP(O9,Cement!Q$7:Q$35,Cement!A$7:A$35,"")</f>
        <v>36.791772247933693</v>
      </c>
      <c r="B9" s="100">
        <f>_xlfn.XLOOKUP(O9,Cement!Q$7:Q$35,Cement!B$7:B$35,"")</f>
        <v>21.524546638177593</v>
      </c>
      <c r="C9" s="1585">
        <f ca="1">_xlfn.XLOOKUP(O9,Cement!Q$7:Q$35,Cement!$C$7:$C$35,"")</f>
        <v>0.1581358254865404</v>
      </c>
      <c r="D9" s="2111">
        <f>_xlfn.XLOOKUP(O9,Cement!$Q$7:$Q$35,Cement!$D$7:$D$35,"")</f>
        <v>2.069338865715685</v>
      </c>
      <c r="E9" s="1236">
        <f>_xlfn.XLOOKUP($O9,Cement!$Q$7:$Q$35,Cement!$E$7:$E$35,"")</f>
        <v>6.0000000000000053</v>
      </c>
      <c r="F9" s="1235">
        <f>_xlfn.XLOOKUP($O9,Cement!$Q$7:$Q$35,Cement!$F$7:$F$35,"")</f>
        <v>5.100000000000005</v>
      </c>
      <c r="G9" s="2125">
        <f>_xlfn.XLOOKUP($O9,Cement!$Q$7:$Q$35,Cement!$G$7:$G$35,"")</f>
        <v>5.4065093360995853</v>
      </c>
      <c r="H9" s="2314">
        <f>_xlfn.XLOOKUP($O9,Cement!Q$7:Q$35,Cement!H$7:H$35,"")</f>
        <v>0.90468749999999998</v>
      </c>
      <c r="I9" s="2314">
        <f>_xlfn.XLOOKUP(O9,Cement!Q$7:Q$35,Cement!J$7:J$35,"")</f>
        <v>0.49928469241773965</v>
      </c>
      <c r="J9" s="2112">
        <f>_xlfn.XLOOKUP(O9,'Sales Rec'!$E$4:$E$91,'Sales Rec'!$CV$4:$CV$91,"")</f>
        <v>6</v>
      </c>
      <c r="K9" s="2216">
        <f>_xlfn.XLOOKUP(O9,Cement!Q$7:Q$35,Cement!$L$7:$L$35,"")</f>
        <v>5</v>
      </c>
      <c r="L9" s="2113" t="str">
        <f>_xlfn.XLOOKUP(O9,'Sales Rec'!$E$4:$E$32,'Sales Rec'!$DS$4:$DS$32,"")</f>
        <v>B</v>
      </c>
      <c r="M9" s="2113" t="str">
        <f>_xlfn.XLOOKUP(O9,'Sales Rec'!$E$4:$E$32,'Sales Rec'!$DZ$4:$DZ$32,"")</f>
        <v>BB</v>
      </c>
      <c r="N9" s="60" t="s">
        <v>62</v>
      </c>
      <c r="O9" s="124" t="s">
        <v>63</v>
      </c>
      <c r="P9" s="1570">
        <v>12</v>
      </c>
      <c r="Q9" s="264">
        <f>VLOOKUP(O9,Cement!$Q$7:$CC$35,4,FALSE)</f>
        <v>53300</v>
      </c>
      <c r="R9" s="292">
        <f>_xlfn.XLOOKUP(O9,Cement!$Q$7:$Q$35,Cement!$U$7:$U$35,"")</f>
        <v>3</v>
      </c>
      <c r="S9" s="292">
        <f>_xlfn.XLOOKUP(O9,'دیده بان بازار'!$A$8:$A$3179,'دیده بان بازار'!$L$8:$L$3179,"")</f>
        <v>1550</v>
      </c>
      <c r="T9" s="304">
        <f>VLOOKUP(O9,Cement!$Q$7:$CC$35,6,FALSE)</f>
        <v>53300</v>
      </c>
      <c r="U9" s="361">
        <f>_xlfn.XLOOKUP(O9,Cement!$Q$7:$Q$35,Cement!$W$7:$W$35,"")</f>
        <v>3</v>
      </c>
      <c r="V9" s="361">
        <f>_xlfn.XLOOKUP(O9,'دیده بان بازار'!$A$8:$A$3179,'دیده بان بازار'!$I$8:$I$3179,"")</f>
        <v>1550</v>
      </c>
      <c r="W9" s="66">
        <f>_xlfn.XLOOKUP(O9,Cement!$Q$7:$Q$35,Cement!$S$7:$S$35,"")</f>
        <v>8528</v>
      </c>
      <c r="X9" s="1603">
        <f>_xlfn.XLOOKUP(O9,'Sales Rec'!$E$4:$E$93,'Sales Rec'!$DW$4:$DW$93,"")</f>
        <v>0.61613098847786529</v>
      </c>
      <c r="Y9" s="850">
        <f>_xlfn.XLOOKUP(N9,Cement!$P$7:$P$35,Cement!$Z$7:$Z$35,"")</f>
        <v>0.43039248574303923</v>
      </c>
      <c r="Z9" s="1453">
        <f t="shared" ca="1" si="16"/>
        <v>0.74205600990179188</v>
      </c>
      <c r="AA9" s="824">
        <f ca="1">_xlfn.XLOOKUP(O9,Cement!$Q$7:$Q$35,Cement!$AB$7:$AB$35,"")</f>
        <v>-49.548066743603833</v>
      </c>
      <c r="AB9" s="2010">
        <f>_xlfn.XLOOKUP(N9,Cement!$P$7:$P$35,Cement!$AG$7:$AG$35,"")</f>
        <v>4.010575793184489</v>
      </c>
      <c r="AC9" s="562">
        <f t="shared" si="17"/>
        <v>-23.988249472732747</v>
      </c>
      <c r="AD9" s="308">
        <f>_xlfn.XLOOKUP(N9,Cement!$P$7:$P$35,Cement!$AM$7:$AM$35,"")</f>
        <v>1600000000</v>
      </c>
      <c r="AE9" s="1933">
        <f ca="1">_xlfn.XLOOKUP(O9,Cement!$Q$7:$Q$35,Cement!$AH$7:$AH$35,"")</f>
        <v>307</v>
      </c>
      <c r="AF9" s="1612">
        <f>_xlfn.XLOOKUP(O9,Cement!$Q$7:$Q$35,Cement!$AI$7:$AI$35,"")</f>
        <v>46181</v>
      </c>
      <c r="AG9" s="2056">
        <f>_xlfn.XLOOKUP(O9,Cement!$Q$7:$Q$35,Cement!$EI$7:$EI$35,"")</f>
        <v>7435</v>
      </c>
      <c r="AH9" s="1829">
        <f>_xlfn.XLOOKUP(O9,Cement!$Q$7:$Q$37,Cement!$AJ$7:$AJ$37,"")</f>
        <v>46193</v>
      </c>
      <c r="AI9" s="1827">
        <f>_xlfn.XLOOKUP($O9,Cement!$Q$7:$Q$35,Cement!$CB$7:$CB$35,"")</f>
        <v>8458</v>
      </c>
      <c r="AJ9" s="1340">
        <f>_xlfn.XLOOKUP($O9,Cement!$Q$7:$Q$35,Cement!$BV$7:$BV$35,"")</f>
        <v>4.2306611342843148</v>
      </c>
      <c r="AK9" s="1206">
        <f>_xlfn.XLOOKUP($O9,Cement!$Q$7:$Q$35,Cement!$CC$7:$CC$35,"")</f>
        <v>6.3</v>
      </c>
      <c r="AL9" s="683" t="s">
        <v>603</v>
      </c>
      <c r="AM9" s="684">
        <v>43147</v>
      </c>
      <c r="AN9" s="793">
        <v>35742</v>
      </c>
      <c r="AO9" s="794">
        <f t="shared" si="18"/>
        <v>0.49124279559062167</v>
      </c>
      <c r="AP9" s="329">
        <v>180000</v>
      </c>
      <c r="AQ9" s="334">
        <f t="shared" si="19"/>
        <v>950957.28</v>
      </c>
      <c r="AR9" s="330">
        <f t="shared" si="20"/>
        <v>2.0667169806082134E-2</v>
      </c>
      <c r="AS9" s="272"/>
      <c r="AT9" s="234">
        <f t="shared" si="21"/>
        <v>0</v>
      </c>
      <c r="AU9" s="402">
        <v>312738</v>
      </c>
      <c r="AV9" s="1137">
        <v>0</v>
      </c>
      <c r="AW9" s="342">
        <v>70000</v>
      </c>
      <c r="AX9" s="334">
        <f t="shared" si="22"/>
        <v>369816.72</v>
      </c>
      <c r="AY9" s="343">
        <f t="shared" si="23"/>
        <v>1.655757937308874E-2</v>
      </c>
      <c r="AZ9" s="272"/>
      <c r="BA9" s="234">
        <f t="shared" si="24"/>
        <v>0</v>
      </c>
      <c r="BB9" s="402">
        <v>133204</v>
      </c>
      <c r="BC9" s="1151">
        <v>0</v>
      </c>
      <c r="BD9" s="333">
        <v>5000</v>
      </c>
      <c r="BE9" s="334">
        <f t="shared" si="25"/>
        <v>26415.48</v>
      </c>
      <c r="BF9" s="298">
        <f t="shared" si="26"/>
        <v>1.7097452637912441E-2</v>
      </c>
      <c r="BG9" s="272"/>
      <c r="BH9" s="234">
        <f t="shared" si="27"/>
        <v>0</v>
      </c>
      <c r="BI9" s="402">
        <v>8233</v>
      </c>
      <c r="BJ9" s="297">
        <v>0</v>
      </c>
      <c r="BK9" s="720">
        <f t="shared" si="28"/>
        <v>1359150</v>
      </c>
      <c r="BL9" s="721">
        <f t="shared" si="29"/>
        <v>255000</v>
      </c>
      <c r="BM9" s="722">
        <f t="shared" si="30"/>
        <v>2.9236458529159171E-2</v>
      </c>
      <c r="BN9" s="623"/>
      <c r="BO9" s="610">
        <v>5000</v>
      </c>
      <c r="BP9" s="334">
        <f t="shared" si="31"/>
        <v>26415.48</v>
      </c>
      <c r="BQ9" s="612">
        <f t="shared" si="32"/>
        <v>1.605103951875143E-2</v>
      </c>
      <c r="BR9" s="272"/>
      <c r="BS9" s="234">
        <f t="shared" si="33"/>
        <v>0</v>
      </c>
      <c r="BT9" s="402">
        <v>5976</v>
      </c>
      <c r="BU9" s="297">
        <v>0</v>
      </c>
      <c r="BV9" s="628">
        <v>4000</v>
      </c>
      <c r="BW9" s="334">
        <f t="shared" si="34"/>
        <v>21132.383999999998</v>
      </c>
      <c r="BX9" s="630">
        <f t="shared" si="35"/>
        <v>8.1926882787603406E-2</v>
      </c>
      <c r="BY9" s="272"/>
      <c r="BZ9" s="234">
        <f t="shared" si="36"/>
        <v>0</v>
      </c>
      <c r="CA9" s="402">
        <v>4780</v>
      </c>
      <c r="CB9" s="297">
        <v>0</v>
      </c>
      <c r="CC9" s="1764">
        <v>5000</v>
      </c>
      <c r="CD9" s="334">
        <f t="shared" si="37"/>
        <v>26415.48</v>
      </c>
      <c r="CE9" s="1767">
        <f t="shared" si="38"/>
        <v>2.1747652468566171E-3</v>
      </c>
      <c r="CF9" s="272"/>
      <c r="CG9" s="234">
        <f t="shared" si="39"/>
        <v>0</v>
      </c>
      <c r="CH9" s="402"/>
      <c r="CI9" s="1780">
        <v>0</v>
      </c>
      <c r="CJ9" s="2074"/>
      <c r="CK9" s="334">
        <f t="shared" si="40"/>
        <v>0</v>
      </c>
      <c r="CL9" s="2070">
        <f t="shared" si="41"/>
        <v>0</v>
      </c>
      <c r="CM9" s="272"/>
      <c r="CN9" s="234">
        <f>$AG9*CM9/10000</f>
        <v>0</v>
      </c>
      <c r="CO9" s="402"/>
      <c r="CP9" s="1780">
        <v>0</v>
      </c>
      <c r="CS9" s="333">
        <v>5000</v>
      </c>
      <c r="CT9" s="334">
        <f t="shared" si="42"/>
        <v>26415.48</v>
      </c>
      <c r="CU9" s="298">
        <f t="shared" si="43"/>
        <v>1.7097452637912441E-2</v>
      </c>
      <c r="CV9" s="272"/>
      <c r="CW9" s="234">
        <f t="shared" si="44"/>
        <v>0</v>
      </c>
      <c r="CX9" s="402">
        <v>8233</v>
      </c>
      <c r="CY9" s="297">
        <v>0</v>
      </c>
    </row>
    <row r="10" spans="1:103" ht="35" customHeight="1">
      <c r="A10" s="100">
        <f>_xlfn.XLOOKUP(O10,Cement!Q$7:Q$35,Cement!A$7:A$35,"")</f>
        <v>35.869705787560406</v>
      </c>
      <c r="B10" s="100">
        <f>_xlfn.XLOOKUP(O10,Cement!Q$7:Q$35,Cement!B$7:B$35,"")</f>
        <v>19.422334801178096</v>
      </c>
      <c r="C10" s="1585">
        <f ca="1">_xlfn.XLOOKUP(O10,Cement!Q$7:Q$35,Cement!$C$7:$C$35,"")</f>
        <v>0.14990693485591444</v>
      </c>
      <c r="D10" s="2111">
        <f>_xlfn.XLOOKUP(O10,Cement!$Q$7:$Q$35,Cement!$D$7:$D$35,"")</f>
        <v>0.91259939392789491</v>
      </c>
      <c r="E10" s="1236">
        <f>_xlfn.XLOOKUP($O10,Cement!$Q$7:$Q$35,Cement!$E$7:$E$35,"")</f>
        <v>2.7999999999999972</v>
      </c>
      <c r="F10" s="1235">
        <f>_xlfn.XLOOKUP($O10,Cement!$Q$7:$Q$35,Cement!$F$7:$F$35,"")</f>
        <v>1.100000000000001</v>
      </c>
      <c r="G10" s="2125">
        <f>_xlfn.XLOOKUP($O10,Cement!$Q$7:$Q$35,Cement!$G$7:$G$35,"")</f>
        <v>-8.5860708245784849</v>
      </c>
      <c r="H10" s="2314">
        <f>_xlfn.XLOOKUP($O10,Cement!Q$7:Q$35,Cement!H$7:H$35,"")</f>
        <v>0.5748987854251012</v>
      </c>
      <c r="I10" s="2314">
        <f>_xlfn.XLOOKUP(O10,Cement!Q$7:Q$35,Cement!J$7:J$35,"")</f>
        <v>0.25992063492063494</v>
      </c>
      <c r="J10" s="2112">
        <f>_xlfn.XLOOKUP(O10,'Sales Rec'!$E$4:$E$91,'Sales Rec'!$CV$4:$CV$91,"")</f>
        <v>17</v>
      </c>
      <c r="K10" s="2216">
        <f>_xlfn.XLOOKUP(O10,Cement!Q$7:Q$35,Cement!$L$7:$L$35,"")</f>
        <v>4</v>
      </c>
      <c r="L10" s="2114" t="str">
        <f>_xlfn.XLOOKUP(O10,'Sales Rec'!$E$4:$E$32,'Sales Rec'!$DS$4:$DS$32,"")</f>
        <v>N</v>
      </c>
      <c r="M10" s="390" t="str">
        <f>_xlfn.XLOOKUP(O10,'Sales Rec'!$E$4:$E$32,'Sales Rec'!$DZ$4:$DZ$32,"")</f>
        <v>B</v>
      </c>
      <c r="N10" s="60" t="s">
        <v>34</v>
      </c>
      <c r="O10" s="124" t="s">
        <v>35</v>
      </c>
      <c r="P10" s="1570">
        <v>12</v>
      </c>
      <c r="Q10" s="264">
        <f>VLOOKUP(O10,Cement!$Q$7:$CC$35,4,FALSE)</f>
        <v>5460</v>
      </c>
      <c r="R10" s="292">
        <f>_xlfn.XLOOKUP(O10,Cement!$Q$7:$Q$35,Cement!$U$7:$U$35,"")</f>
        <v>2.82</v>
      </c>
      <c r="S10" s="292">
        <f>_xlfn.XLOOKUP(O10,'دیده بان بازار'!$A$8:$A$3179,'دیده بان بازار'!$L$8:$L$3179,"")</f>
        <v>150</v>
      </c>
      <c r="T10" s="304">
        <f>VLOOKUP(O10,Cement!$Q$7:$CC$35,6,FALSE)</f>
        <v>5460</v>
      </c>
      <c r="U10" s="361">
        <f>_xlfn.XLOOKUP(O10,Cement!$Q$7:$Q$35,Cement!$W$7:$W$35,"")</f>
        <v>2.82</v>
      </c>
      <c r="V10" s="361">
        <f>_xlfn.XLOOKUP(O10,'دیده بان بازار'!$A$8:$A$3179,'دیده بان بازار'!$I$8:$I$3179,"")</f>
        <v>150</v>
      </c>
      <c r="W10" s="66">
        <f>_xlfn.XLOOKUP(O10,Cement!$Q$7:$Q$35,Cement!$S$7:$S$35,"")</f>
        <v>4040.4</v>
      </c>
      <c r="X10" s="1603">
        <f>_xlfn.XLOOKUP(O10,'Sales Rec'!$E$4:$E$93,'Sales Rec'!$DW$4:$DW$93,"")</f>
        <v>0.59929701230228472</v>
      </c>
      <c r="Y10" s="850">
        <f>_xlfn.XLOOKUP(N10,Cement!$P$7:$P$35,Cement!$Z$7:$Z$35,"")</f>
        <v>0.13271656854499583</v>
      </c>
      <c r="Z10" s="1453">
        <f t="shared" ca="1" si="16"/>
        <v>0.25522417027883815</v>
      </c>
      <c r="AA10" s="824">
        <f ca="1">_xlfn.XLOOKUP(O10,Cement!$Q$7:$Q$35,Cement!$AB$7:$AB$35,"")</f>
        <v>-0.86488278130847362</v>
      </c>
      <c r="AB10" s="2010">
        <f>_xlfn.XLOOKUP(N10,Cement!$P$7:$P$35,Cement!$AG$7:$AG$35,"")</f>
        <v>3.1739669421487604</v>
      </c>
      <c r="AC10" s="562">
        <f t="shared" si="17"/>
        <v>6.1998195724651977</v>
      </c>
      <c r="AD10" s="308">
        <f>_xlfn.XLOOKUP(N10,Cement!$P$7:$P$35,Cement!$AM$7:$AM$35,"")</f>
        <v>7400000000</v>
      </c>
      <c r="AE10" s="1933">
        <f ca="1">_xlfn.XLOOKUP(O10,Cement!$Q$7:$Q$35,Cement!$AH$7:$AH$35,"")</f>
        <v>313</v>
      </c>
      <c r="AF10" s="1612">
        <f>_xlfn.XLOOKUP(O10,Cement!$Q$7:$Q$35,Cement!$AI$7:$AI$35,"")</f>
        <v>46187</v>
      </c>
      <c r="AG10" s="1927">
        <f>_xlfn.XLOOKUP(O10,Cement!$Q$7:$Q$35,Cement!$EI$7:$EI$35,"")</f>
        <v>790</v>
      </c>
      <c r="AH10" s="1821">
        <f>_xlfn.XLOOKUP(O10,Cement!$Q$7:$Q$37,Cement!$AJ$7:$AJ$37,"")</f>
        <v>46266</v>
      </c>
      <c r="AI10" s="1827">
        <f>_xlfn.XLOOKUP($O10,Cement!$Q$7:$Q$35,Cement!$CB$7:$CB$35,"")</f>
        <v>989</v>
      </c>
      <c r="AJ10" s="1340">
        <f>_xlfn.XLOOKUP($O10,Cement!$Q$7:$Q$35,Cement!$BV$7:$BV$35,"")</f>
        <v>4.6074006060721047</v>
      </c>
      <c r="AK10" s="1206">
        <f>_xlfn.XLOOKUP($O10,Cement!$Q$7:$Q$35,Cement!$CC$7:$CC$35,"")</f>
        <v>5.52</v>
      </c>
      <c r="AL10" s="681" t="s">
        <v>197</v>
      </c>
      <c r="AM10" s="682">
        <v>5099</v>
      </c>
      <c r="AN10" s="793">
        <v>2927</v>
      </c>
      <c r="AO10" s="794">
        <f t="shared" si="18"/>
        <v>0.86539118551417837</v>
      </c>
      <c r="AP10" s="329">
        <v>2400000</v>
      </c>
      <c r="AQ10" s="334">
        <f t="shared" si="19"/>
        <v>1298868.48</v>
      </c>
      <c r="AR10" s="330">
        <f t="shared" si="20"/>
        <v>2.8228329491234133E-2</v>
      </c>
      <c r="AS10" s="272">
        <v>3400000</v>
      </c>
      <c r="AT10" s="234">
        <f t="shared" si="21"/>
        <v>268600</v>
      </c>
      <c r="AU10" s="402">
        <v>329435</v>
      </c>
      <c r="AV10" s="1137">
        <v>0</v>
      </c>
      <c r="AW10" s="342">
        <v>700000</v>
      </c>
      <c r="AX10" s="334">
        <f t="shared" si="22"/>
        <v>378836.64</v>
      </c>
      <c r="AY10" s="343">
        <f t="shared" si="23"/>
        <v>1.6961422772432368E-2</v>
      </c>
      <c r="AZ10" s="272">
        <v>700000</v>
      </c>
      <c r="BA10" s="234">
        <f t="shared" si="24"/>
        <v>55300</v>
      </c>
      <c r="BB10" s="402">
        <v>58420</v>
      </c>
      <c r="BC10" s="1151">
        <v>0</v>
      </c>
      <c r="BD10" s="333">
        <v>35000</v>
      </c>
      <c r="BE10" s="334">
        <f t="shared" si="25"/>
        <v>18941.831999999999</v>
      </c>
      <c r="BF10" s="298">
        <f t="shared" si="26"/>
        <v>1.2260124574503066E-2</v>
      </c>
      <c r="BG10" s="272">
        <v>35000</v>
      </c>
      <c r="BH10" s="234">
        <f t="shared" si="27"/>
        <v>2765</v>
      </c>
      <c r="BI10" s="402">
        <v>1838</v>
      </c>
      <c r="BJ10" s="297">
        <v>0</v>
      </c>
      <c r="BK10" s="720">
        <f t="shared" si="28"/>
        <v>1711710</v>
      </c>
      <c r="BL10" s="721">
        <f t="shared" si="29"/>
        <v>3135000</v>
      </c>
      <c r="BM10" s="722">
        <f t="shared" si="30"/>
        <v>3.6820320368573779E-2</v>
      </c>
      <c r="BN10" s="623"/>
      <c r="BO10" s="610">
        <v>200000</v>
      </c>
      <c r="BP10" s="334">
        <f t="shared" si="31"/>
        <v>108239.03999999999</v>
      </c>
      <c r="BQ10" s="612">
        <f t="shared" si="32"/>
        <v>6.577011315000586E-2</v>
      </c>
      <c r="BR10" s="272">
        <v>200000</v>
      </c>
      <c r="BS10" s="234">
        <f t="shared" si="33"/>
        <v>15800</v>
      </c>
      <c r="BT10" s="402">
        <v>14940</v>
      </c>
      <c r="BU10" s="297">
        <v>0</v>
      </c>
      <c r="BV10" s="628">
        <v>10000</v>
      </c>
      <c r="BW10" s="334">
        <f t="shared" si="34"/>
        <v>5411.9520000000002</v>
      </c>
      <c r="BX10" s="630">
        <f t="shared" si="35"/>
        <v>2.0981274860239901E-2</v>
      </c>
      <c r="BY10" s="272">
        <v>10000</v>
      </c>
      <c r="BZ10" s="234">
        <f t="shared" si="36"/>
        <v>790</v>
      </c>
      <c r="CA10" s="402">
        <v>525</v>
      </c>
      <c r="CB10" s="297">
        <v>0</v>
      </c>
      <c r="CC10" s="1764">
        <v>400000</v>
      </c>
      <c r="CD10" s="334">
        <f t="shared" si="37"/>
        <v>216478.07999999999</v>
      </c>
      <c r="CE10" s="1767">
        <f t="shared" si="38"/>
        <v>1.7822466413263984E-2</v>
      </c>
      <c r="CF10" s="272"/>
      <c r="CG10" s="234">
        <f t="shared" si="39"/>
        <v>0</v>
      </c>
      <c r="CH10" s="402"/>
      <c r="CI10" s="1780">
        <v>0</v>
      </c>
      <c r="CJ10" s="2074">
        <v>18000000</v>
      </c>
      <c r="CK10" s="334">
        <f t="shared" si="40"/>
        <v>9741513.5999999996</v>
      </c>
      <c r="CL10" s="2070">
        <f t="shared" si="41"/>
        <v>0.12836170730474503</v>
      </c>
      <c r="CM10" s="272">
        <v>17800000</v>
      </c>
      <c r="CN10" s="234">
        <f>$AG10*CM10/10000</f>
        <v>1406200</v>
      </c>
      <c r="CO10" s="402">
        <v>1893164</v>
      </c>
      <c r="CP10" s="1780">
        <v>0</v>
      </c>
      <c r="CS10" s="333">
        <v>35000</v>
      </c>
      <c r="CT10" s="334">
        <f t="shared" si="42"/>
        <v>18941.831999999999</v>
      </c>
      <c r="CU10" s="298">
        <f t="shared" si="43"/>
        <v>1.2260124574503066E-2</v>
      </c>
      <c r="CV10" s="272">
        <v>35000</v>
      </c>
      <c r="CW10" s="234">
        <f t="shared" si="44"/>
        <v>2765</v>
      </c>
      <c r="CX10" s="402">
        <v>1838</v>
      </c>
      <c r="CY10" s="297">
        <v>0</v>
      </c>
    </row>
    <row r="11" spans="1:103" ht="35" customHeight="1">
      <c r="A11" s="100">
        <f>_xlfn.XLOOKUP(O11,Cement!Q$7:Q$35,Cement!A$7:A$35,"")</f>
        <v>36.336966923937055</v>
      </c>
      <c r="B11" s="100">
        <f>_xlfn.XLOOKUP(O11,Cement!Q$7:Q$35,Cement!B$7:B$35,"")</f>
        <v>27.713399507308058</v>
      </c>
      <c r="C11" s="1585">
        <f ca="1">_xlfn.XLOOKUP(O11,Cement!Q$7:Q$35,Cement!$C$7:$C$35,"")</f>
        <v>0.16309594639304664</v>
      </c>
      <c r="D11" s="2111">
        <f>_xlfn.XLOOKUP(O11,Cement!$Q$7:$Q$35,Cement!$D$7:$D$35,"")</f>
        <v>2.1238767733406547</v>
      </c>
      <c r="E11" s="1236">
        <f>_xlfn.XLOOKUP($O11,Cement!$Q$7:$Q$35,Cement!$E$7:$E$35,"")</f>
        <v>6</v>
      </c>
      <c r="F11" s="1235">
        <f>_xlfn.XLOOKUP($O11,Cement!$Q$7:$Q$35,Cement!$F$7:$F$35,"")</f>
        <v>13.600000000000001</v>
      </c>
      <c r="G11" s="2125">
        <f>_xlfn.XLOOKUP($O11,Cement!$Q$7:$Q$35,Cement!$G$7:$G$35,"")</f>
        <v>3.3151260504201696</v>
      </c>
      <c r="H11" s="2314">
        <f>_xlfn.XLOOKUP($O11,Cement!Q$7:Q$35,Cement!H$7:H$35,"")</f>
        <v>0.71785714285714286</v>
      </c>
      <c r="I11" s="2314">
        <f>_xlfn.XLOOKUP(O11,Cement!Q$7:Q$35,Cement!J$7:J$35,"")</f>
        <v>0.55471698113207546</v>
      </c>
      <c r="J11" s="2112">
        <f>_xlfn.XLOOKUP(O11,'Sales Rec'!$E$4:$E$91,'Sales Rec'!$CV$4:$CV$91,"")</f>
        <v>10</v>
      </c>
      <c r="K11" s="2216">
        <f>_xlfn.XLOOKUP(O11,Cement!Q$7:Q$35,Cement!$L$7:$L$35,"")</f>
        <v>3</v>
      </c>
      <c r="L11" s="2114" t="str">
        <f>_xlfn.XLOOKUP(O11,'Sales Rec'!$E$4:$E$32,'Sales Rec'!$DS$4:$DS$32,"")</f>
        <v>B</v>
      </c>
      <c r="M11" s="390" t="str">
        <f>_xlfn.XLOOKUP(O11,'Sales Rec'!$E$4:$E$32,'Sales Rec'!$DZ$4:$DZ$32,"")</f>
        <v>B</v>
      </c>
      <c r="N11" s="60" t="s">
        <v>60</v>
      </c>
      <c r="O11" s="124" t="s">
        <v>61</v>
      </c>
      <c r="P11" s="1570">
        <v>12</v>
      </c>
      <c r="Q11" s="264">
        <f>VLOOKUP(O11,Cement!$Q$7:$CC$35,4,FALSE)</f>
        <v>15410</v>
      </c>
      <c r="R11" s="292" t="str">
        <f>_xlfn.XLOOKUP(O11,Cement!$Q$7:$Q$35,Cement!$U$7:$U$35,"")</f>
        <v/>
      </c>
      <c r="S11" s="292" t="str">
        <f>_xlfn.XLOOKUP(O11,'دیده بان بازار'!$A$8:$A$3179,'دیده بان بازار'!$L$8:$L$3179,"")</f>
        <v/>
      </c>
      <c r="T11" s="304">
        <f>VLOOKUP(O11,Cement!$Q$7:$CC$35,6,FALSE)</f>
        <v>15410</v>
      </c>
      <c r="U11" s="361" t="str">
        <f>_xlfn.XLOOKUP(O11,Cement!$Q$7:$Q$35,Cement!$W$7:$W$35,"")</f>
        <v/>
      </c>
      <c r="V11" s="361" t="str">
        <f>_xlfn.XLOOKUP(O11,'دیده بان بازار'!$A$8:$A$3179,'دیده بان بازار'!$I$8:$I$3179,"")</f>
        <v/>
      </c>
      <c r="W11" s="66">
        <f>_xlfn.XLOOKUP(O11,Cement!$Q$7:$Q$35,Cement!$S$7:$S$35,"")</f>
        <v>7705</v>
      </c>
      <c r="X11" s="1603">
        <f>_xlfn.XLOOKUP(O11,'Sales Rec'!$E$4:$E$93,'Sales Rec'!$DW$4:$DW$93,"")</f>
        <v>0.58915783915783926</v>
      </c>
      <c r="Y11" s="850">
        <f>_xlfn.XLOOKUP(N11,Cement!$P$7:$P$35,Cement!$Z$7:$Z$35,"")</f>
        <v>1.2980269989615784E-4</v>
      </c>
      <c r="Z11" s="1453">
        <f t="shared" ca="1" si="16"/>
        <v>7.6354529350681089E-4</v>
      </c>
      <c r="AA11" s="824">
        <f ca="1">_xlfn.XLOOKUP(O11,Cement!$Q$7:$Q$35,Cement!$AB$7:$AB$35,"")</f>
        <v>24.581179717224664</v>
      </c>
      <c r="AB11" s="2010">
        <f>_xlfn.XLOOKUP(N11,Cement!$P$7:$P$35,Cement!$AG$7:$AG$35,"")</f>
        <v>2.7294288480154889</v>
      </c>
      <c r="AC11" s="562" t="str">
        <f t="shared" si="17"/>
        <v/>
      </c>
      <c r="AD11" s="308">
        <f>_xlfn.XLOOKUP(N11,Cement!$P$7:$P$35,Cement!$AM$7:$AM$35,"")</f>
        <v>5000000000</v>
      </c>
      <c r="AE11" s="1933">
        <f ca="1">_xlfn.XLOOKUP(O11,Cement!$Q$7:$Q$35,Cement!$AH$7:$AH$35,"")</f>
        <v>348</v>
      </c>
      <c r="AF11" s="1612">
        <f>_xlfn.XLOOKUP(O11,Cement!$Q$7:$Q$35,Cement!$AI$7:$AI$35,"")</f>
        <v>46222</v>
      </c>
      <c r="AG11" s="1927">
        <f>_xlfn.XLOOKUP(O11,Cement!$Q$7:$Q$35,Cement!$EI$7:$EI$35,"")</f>
        <v>4860</v>
      </c>
      <c r="AH11" s="1821">
        <f>_xlfn.XLOOKUP(O11,Cement!$Q$7:$Q$37,Cement!$AJ$7:$AJ$37,"")</f>
        <v>46331</v>
      </c>
      <c r="AI11" s="1827">
        <f>_xlfn.XLOOKUP($O11,Cement!$Q$7:$Q$35,Cement!$CB$7:$CB$35,"")</f>
        <v>2361</v>
      </c>
      <c r="AJ11" s="1340">
        <f>_xlfn.XLOOKUP($O11,Cement!$Q$7:$Q$35,Cement!$BV$7:$BV$35,"")</f>
        <v>4.4061232266593455</v>
      </c>
      <c r="AK11" s="1206">
        <f>_xlfn.XLOOKUP($O11,Cement!$Q$7:$Q$35,Cement!$CC$7:$CC$35,"")</f>
        <v>6.53</v>
      </c>
      <c r="AL11" s="683"/>
      <c r="AM11" s="684"/>
      <c r="AN11" s="793"/>
      <c r="AO11" s="794" t="str">
        <f t="shared" si="18"/>
        <v/>
      </c>
      <c r="AP11" s="329"/>
      <c r="AQ11" s="334">
        <f t="shared" si="19"/>
        <v>0</v>
      </c>
      <c r="AR11" s="330">
        <f t="shared" si="20"/>
        <v>0</v>
      </c>
      <c r="AS11" s="272"/>
      <c r="AT11" s="234">
        <f t="shared" si="21"/>
        <v>0</v>
      </c>
      <c r="AU11" s="402">
        <v>495</v>
      </c>
      <c r="AV11" s="1137">
        <v>0</v>
      </c>
      <c r="AW11" s="342"/>
      <c r="AX11" s="334">
        <f t="shared" si="22"/>
        <v>0</v>
      </c>
      <c r="AY11" s="343">
        <f t="shared" si="23"/>
        <v>0</v>
      </c>
      <c r="AZ11" s="272"/>
      <c r="BA11" s="234">
        <f t="shared" si="24"/>
        <v>0</v>
      </c>
      <c r="BB11" s="402">
        <v>91000</v>
      </c>
      <c r="BC11" s="1151">
        <v>0</v>
      </c>
      <c r="BD11" s="333"/>
      <c r="BE11" s="334">
        <f t="shared" si="25"/>
        <v>0</v>
      </c>
      <c r="BF11" s="298">
        <f t="shared" si="26"/>
        <v>0</v>
      </c>
      <c r="BG11" s="272"/>
      <c r="BH11" s="234">
        <f t="shared" si="27"/>
        <v>0</v>
      </c>
      <c r="BI11" s="402"/>
      <c r="BJ11" s="297">
        <v>0</v>
      </c>
      <c r="BK11" s="720">
        <f t="shared" si="28"/>
        <v>0</v>
      </c>
      <c r="BL11" s="721">
        <f t="shared" si="29"/>
        <v>0</v>
      </c>
      <c r="BM11" s="722">
        <f t="shared" si="30"/>
        <v>0</v>
      </c>
      <c r="BN11" s="623"/>
      <c r="BO11" s="610"/>
      <c r="BP11" s="334">
        <f t="shared" si="31"/>
        <v>0</v>
      </c>
      <c r="BQ11" s="612">
        <f t="shared" si="32"/>
        <v>0</v>
      </c>
      <c r="BR11" s="272"/>
      <c r="BS11" s="234">
        <f t="shared" si="33"/>
        <v>0</v>
      </c>
      <c r="BT11" s="402"/>
      <c r="BU11" s="297">
        <v>0</v>
      </c>
      <c r="BV11" s="628"/>
      <c r="BW11" s="334">
        <f t="shared" si="34"/>
        <v>0</v>
      </c>
      <c r="BX11" s="630">
        <f t="shared" si="35"/>
        <v>0</v>
      </c>
      <c r="BY11" s="272"/>
      <c r="BZ11" s="234">
        <f t="shared" si="36"/>
        <v>0</v>
      </c>
      <c r="CA11" s="402"/>
      <c r="CB11" s="297">
        <v>0</v>
      </c>
      <c r="CC11" s="1764"/>
      <c r="CD11" s="334">
        <f t="shared" si="37"/>
        <v>0</v>
      </c>
      <c r="CE11" s="1767">
        <f t="shared" si="38"/>
        <v>0</v>
      </c>
      <c r="CF11" s="272"/>
      <c r="CG11" s="234">
        <f t="shared" si="39"/>
        <v>0</v>
      </c>
      <c r="CH11" s="402"/>
      <c r="CI11" s="1780">
        <v>0</v>
      </c>
      <c r="CJ11" s="2074"/>
      <c r="CK11" s="334">
        <f t="shared" si="40"/>
        <v>0</v>
      </c>
      <c r="CL11" s="2070">
        <f t="shared" si="41"/>
        <v>0</v>
      </c>
      <c r="CM11" s="272"/>
      <c r="CN11" s="234">
        <f>$AG11*CM11/10000</f>
        <v>0</v>
      </c>
      <c r="CO11" s="402"/>
      <c r="CP11" s="1780">
        <v>0</v>
      </c>
      <c r="CS11" s="333"/>
      <c r="CT11" s="334">
        <f t="shared" si="42"/>
        <v>0</v>
      </c>
      <c r="CU11" s="298">
        <f t="shared" si="43"/>
        <v>0</v>
      </c>
      <c r="CV11" s="272"/>
      <c r="CW11" s="234">
        <f t="shared" si="44"/>
        <v>0</v>
      </c>
      <c r="CX11" s="402"/>
      <c r="CY11" s="297">
        <v>0</v>
      </c>
    </row>
    <row r="12" spans="1:103" ht="35" customHeight="1">
      <c r="A12" s="100">
        <f>_xlfn.XLOOKUP(O12,Cement!Q$7:Q$35,Cement!A$7:A$35,"")</f>
        <v>26.677279402578577</v>
      </c>
      <c r="B12" s="100">
        <f>_xlfn.XLOOKUP(O12,Cement!Q$7:Q$35,Cement!B$7:B$35,"")</f>
        <v>19.423634427290274</v>
      </c>
      <c r="C12" s="1585">
        <f ca="1">_xlfn.XLOOKUP(O12,Cement!Q$7:Q$35,Cement!$C$7:$C$35,"")</f>
        <v>0.14937933554622385</v>
      </c>
      <c r="D12" s="2111">
        <f>_xlfn.XLOOKUP(O12,Cement!$Q$7:$Q$35,Cement!$D$7:$D$35,"")</f>
        <v>1.6808505941693221</v>
      </c>
      <c r="E12" s="1236">
        <f>_xlfn.XLOOKUP($O12,Cement!$Q$7:$Q$35,Cement!$E$7:$E$35,"")</f>
        <v>43.3</v>
      </c>
      <c r="F12" s="1235">
        <f>_xlfn.XLOOKUP($O12,Cement!$Q$7:$Q$35,Cement!$F$7:$F$35,"")</f>
        <v>39.5</v>
      </c>
      <c r="G12" s="2125">
        <f>_xlfn.XLOOKUP($O12,Cement!$Q$7:$Q$35,Cement!$G$7:$G$35,"")</f>
        <v>13.436985372469245</v>
      </c>
      <c r="H12" s="2314">
        <f>_xlfn.XLOOKUP($O12,Cement!Q$7:Q$35,Cement!H$7:H$35,"")</f>
        <v>1.1594594594594594</v>
      </c>
      <c r="I12" s="2314">
        <f>_xlfn.XLOOKUP(O12,Cement!Q$7:Q$35,Cement!J$7:J$35,"")</f>
        <v>0.63390663390663393</v>
      </c>
      <c r="J12" s="2112">
        <f>_xlfn.XLOOKUP(O12,'Sales Rec'!$E$4:$E$91,'Sales Rec'!$CV$4:$CV$91,"")</f>
        <v>1</v>
      </c>
      <c r="K12" s="2216">
        <f>_xlfn.XLOOKUP(O12,Cement!Q$7:Q$35,Cement!$L$7:$L$35,"")</f>
        <v>7</v>
      </c>
      <c r="L12" s="2113" t="str">
        <f>_xlfn.XLOOKUP(O12,'Sales Rec'!$E$4:$E$32,'Sales Rec'!$DS$4:$DS$32,"")</f>
        <v>BB</v>
      </c>
      <c r="M12" s="2114" t="str">
        <f>_xlfn.XLOOKUP(O12,'Sales Rec'!$E$4:$E$32,'Sales Rec'!$DZ$4:$DZ$32,"")</f>
        <v>BB</v>
      </c>
      <c r="N12" s="60" t="s">
        <v>76</v>
      </c>
      <c r="O12" s="124" t="s">
        <v>77</v>
      </c>
      <c r="P12" s="1570">
        <v>12</v>
      </c>
      <c r="Q12" s="264">
        <f>VLOOKUP(O12,Cement!$Q$7:$CC$35,4,FALSE)</f>
        <v>24280</v>
      </c>
      <c r="R12" s="292">
        <f>_xlfn.XLOOKUP(O12,Cement!$Q$7:$Q$35,Cement!$U$7:$U$35,"")</f>
        <v>2.97</v>
      </c>
      <c r="S12" s="292">
        <f>_xlfn.XLOOKUP(O12,'دیده بان بازار'!$A$8:$A$3179,'دیده بان بازار'!$L$8:$L$3179,"")</f>
        <v>700</v>
      </c>
      <c r="T12" s="304">
        <f>VLOOKUP(O12,Cement!$Q$7:$CC$35,6,FALSE)</f>
        <v>24280</v>
      </c>
      <c r="U12" s="361">
        <f>_xlfn.XLOOKUP(O12,Cement!$Q$7:$Q$35,Cement!$W$7:$W$35,"")</f>
        <v>2.97</v>
      </c>
      <c r="V12" s="361">
        <f>_xlfn.XLOOKUP(O12,'دیده بان بازار'!$A$8:$A$3179,'دیده بان بازار'!$I$8:$I$3179,"")</f>
        <v>700</v>
      </c>
      <c r="W12" s="66">
        <f>_xlfn.XLOOKUP(O12,Cement!$Q$7:$Q$35,Cement!$S$7:$S$35,"")</f>
        <v>9712</v>
      </c>
      <c r="X12" s="1603">
        <f>_xlfn.XLOOKUP(O12,'Sales Rec'!$E$4:$E$93,'Sales Rec'!$DW$4:$DW$93,"")</f>
        <v>3.6809331019857332</v>
      </c>
      <c r="Y12" s="850">
        <f>_xlfn.XLOOKUP(N12,Cement!$P$7:$P$35,Cement!$Z$7:$Z$35,"")</f>
        <v>0.48592411260709917</v>
      </c>
      <c r="Z12" s="1453">
        <f t="shared" ca="1" si="16"/>
        <v>1.056356766537172</v>
      </c>
      <c r="AA12" s="824">
        <f ca="1">_xlfn.XLOOKUP(O12,Cement!$Q$7:$Q$35,Cement!$AB$7:$AB$35,"")</f>
        <v>-80.978142407141874</v>
      </c>
      <c r="AB12" s="2010">
        <f>_xlfn.XLOOKUP(N12,Cement!$P$7:$P$35,Cement!$AG$7:$AG$35,"")</f>
        <v>6.807073954983923</v>
      </c>
      <c r="AC12" s="562">
        <f t="shared" si="17"/>
        <v>7.8380405677696707</v>
      </c>
      <c r="AD12" s="308">
        <f>_xlfn.XLOOKUP(N12,Cement!$P$7:$P$35,Cement!$AM$7:$AM$35,"")</f>
        <v>4000000000</v>
      </c>
      <c r="AE12" s="1933">
        <f ca="1">_xlfn.XLOOKUP(O12,Cement!$Q$7:$Q$35,Cement!$AH$7:$AH$35,"")</f>
        <v>319</v>
      </c>
      <c r="AF12" s="1612">
        <f>_xlfn.XLOOKUP(O12,Cement!$Q$7:$Q$35,Cement!$AI$7:$AI$35,"")</f>
        <v>46193</v>
      </c>
      <c r="AG12" s="2056">
        <f>_xlfn.XLOOKUP(O12,Cement!$Q$7:$Q$35,Cement!$EI$7:$EI$35,"")</f>
        <v>2600</v>
      </c>
      <c r="AH12" s="1829">
        <f>_xlfn.XLOOKUP(O12,Cement!$Q$7:$Q$37,Cement!$AJ$7:$AJ$37,"")</f>
        <v>46211</v>
      </c>
      <c r="AI12" s="1827">
        <f>_xlfn.XLOOKUP($O12,Cement!$Q$7:$Q$35,Cement!$CB$7:$CB$35,"")</f>
        <v>3814</v>
      </c>
      <c r="AJ12" s="1340">
        <f>_xlfn.XLOOKUP($O12,Cement!$Q$7:$Q$35,Cement!$BV$7:$BV$35,"")</f>
        <v>4.689149405830678</v>
      </c>
      <c r="AK12" s="1206">
        <f>_xlfn.XLOOKUP($O12,Cement!$Q$7:$Q$35,Cement!$CC$7:$CC$35,"")</f>
        <v>6.37</v>
      </c>
      <c r="AL12" s="681" t="s">
        <v>197</v>
      </c>
      <c r="AM12" s="682">
        <v>22333</v>
      </c>
      <c r="AN12" s="793">
        <v>17493</v>
      </c>
      <c r="AO12" s="794">
        <f t="shared" si="18"/>
        <v>0.38798376493454523</v>
      </c>
      <c r="AP12" s="329">
        <v>820000</v>
      </c>
      <c r="AQ12" s="334">
        <f t="shared" si="19"/>
        <v>1973439.5519999999</v>
      </c>
      <c r="AR12" s="330">
        <f t="shared" si="20"/>
        <v>4.2888793409544802E-2</v>
      </c>
      <c r="AS12" s="272"/>
      <c r="AT12" s="234">
        <f t="shared" si="21"/>
        <v>0</v>
      </c>
      <c r="AU12" s="402">
        <v>83200</v>
      </c>
      <c r="AV12" s="1137">
        <v>0</v>
      </c>
      <c r="AW12" s="342">
        <v>270000</v>
      </c>
      <c r="AX12" s="334">
        <f t="shared" si="22"/>
        <v>649791.07199999993</v>
      </c>
      <c r="AY12" s="343">
        <f t="shared" si="23"/>
        <v>2.9092700975132817E-2</v>
      </c>
      <c r="AZ12" s="272"/>
      <c r="BA12" s="234">
        <f t="shared" si="24"/>
        <v>0</v>
      </c>
      <c r="BB12" s="403">
        <v>18200</v>
      </c>
      <c r="BC12" s="1151">
        <v>0</v>
      </c>
      <c r="BD12" s="333">
        <v>5000</v>
      </c>
      <c r="BE12" s="334">
        <f t="shared" si="25"/>
        <v>12033.168</v>
      </c>
      <c r="BF12" s="298">
        <f t="shared" si="26"/>
        <v>7.788483115356736E-3</v>
      </c>
      <c r="BG12" s="272"/>
      <c r="BH12" s="234">
        <f t="shared" si="27"/>
        <v>0</v>
      </c>
      <c r="BI12" s="402">
        <v>1300</v>
      </c>
      <c r="BJ12" s="297">
        <v>0</v>
      </c>
      <c r="BK12" s="720">
        <f t="shared" si="28"/>
        <v>2658660</v>
      </c>
      <c r="BL12" s="721">
        <f t="shared" si="29"/>
        <v>1095000</v>
      </c>
      <c r="BM12" s="722">
        <f t="shared" si="30"/>
        <v>5.7190010545660398E-2</v>
      </c>
      <c r="BN12" s="623"/>
      <c r="BO12" s="610"/>
      <c r="BP12" s="334">
        <f t="shared" si="31"/>
        <v>0</v>
      </c>
      <c r="BQ12" s="612">
        <f t="shared" si="32"/>
        <v>0</v>
      </c>
      <c r="BR12" s="272"/>
      <c r="BS12" s="234">
        <f t="shared" si="33"/>
        <v>0</v>
      </c>
      <c r="BT12" s="402"/>
      <c r="BU12" s="297">
        <v>0</v>
      </c>
      <c r="BV12" s="628"/>
      <c r="BW12" s="334">
        <f t="shared" si="34"/>
        <v>0</v>
      </c>
      <c r="BX12" s="630">
        <f t="shared" si="35"/>
        <v>0</v>
      </c>
      <c r="BY12" s="272"/>
      <c r="BZ12" s="234">
        <f t="shared" si="36"/>
        <v>0</v>
      </c>
      <c r="CA12" s="402"/>
      <c r="CB12" s="297">
        <v>0</v>
      </c>
      <c r="CC12" s="1764">
        <v>100000</v>
      </c>
      <c r="CD12" s="334">
        <f t="shared" si="37"/>
        <v>240663.36</v>
      </c>
      <c r="CE12" s="1767">
        <f t="shared" si="38"/>
        <v>1.9813621085808128E-2</v>
      </c>
      <c r="CF12" s="272">
        <v>50000</v>
      </c>
      <c r="CG12" s="234">
        <f t="shared" si="39"/>
        <v>13000</v>
      </c>
      <c r="CH12" s="402"/>
      <c r="CI12" s="1780">
        <v>0</v>
      </c>
      <c r="CJ12" s="2074">
        <v>200000</v>
      </c>
      <c r="CK12" s="334">
        <f t="shared" si="40"/>
        <v>481326.72</v>
      </c>
      <c r="CL12" s="2070">
        <f t="shared" si="41"/>
        <v>6.342332627918619E-3</v>
      </c>
      <c r="CM12" s="272"/>
      <c r="CN12" s="234">
        <v>0</v>
      </c>
      <c r="CO12" s="402"/>
      <c r="CP12" s="1780">
        <v>0</v>
      </c>
      <c r="CS12" s="333">
        <v>5000</v>
      </c>
      <c r="CT12" s="334">
        <f t="shared" si="42"/>
        <v>12033.168</v>
      </c>
      <c r="CU12" s="298">
        <f t="shared" si="43"/>
        <v>7.788483115356736E-3</v>
      </c>
      <c r="CV12" s="272">
        <v>5000</v>
      </c>
      <c r="CW12" s="234">
        <f t="shared" si="44"/>
        <v>1300</v>
      </c>
      <c r="CX12" s="402"/>
      <c r="CY12" s="297">
        <v>0</v>
      </c>
    </row>
    <row r="13" spans="1:103" ht="35" customHeight="1">
      <c r="A13" s="100">
        <f>_xlfn.XLOOKUP(O13,Cement!Q$7:Q$35,Cement!A$7:A$35,"")</f>
        <v>25.396087084183005</v>
      </c>
      <c r="B13" s="100">
        <f>_xlfn.XLOOKUP(O13,Cement!Q$7:Q$35,Cement!B$7:B$35,"")</f>
        <v>14.733792852712241</v>
      </c>
      <c r="C13" s="1585">
        <f ca="1">_xlfn.XLOOKUP(O13,Cement!Q$7:Q$35,Cement!$C$7:$C$35,"")</f>
        <v>0.10886833615146292</v>
      </c>
      <c r="D13" s="2111">
        <f>_xlfn.XLOOKUP(O13,Cement!$Q$7:$Q$35,Cement!$D$7:$D$35,"")</f>
        <v>2.3289770418750795</v>
      </c>
      <c r="E13" s="1236">
        <f>_xlfn.XLOOKUP($O13,Cement!$Q$7:$Q$35,Cement!$E$7:$E$35,"")</f>
        <v>5.8</v>
      </c>
      <c r="F13" s="1235">
        <f>_xlfn.XLOOKUP($O13,Cement!$Q$7:$Q$35,Cement!$F$7:$F$35,"")</f>
        <v>6.7</v>
      </c>
      <c r="G13" s="2125">
        <f>_xlfn.XLOOKUP($O13,Cement!$Q$7:$Q$35,Cement!$G$7:$G$35,"")</f>
        <v>-16.892599183502554</v>
      </c>
      <c r="H13" s="2314">
        <f>_xlfn.XLOOKUP($O13,Cement!Q$7:Q$35,Cement!H$7:H$35,"")</f>
        <v>0.99570815450643779</v>
      </c>
      <c r="I13" s="2314">
        <f>_xlfn.XLOOKUP(O13,Cement!Q$7:Q$35,Cement!J$7:J$35,"")</f>
        <v>0.68344774980930589</v>
      </c>
      <c r="J13" s="2112">
        <f>_xlfn.XLOOKUP(O13,'Sales Rec'!$E$4:$E$91,'Sales Rec'!$CV$4:$CV$91,"")</f>
        <v>4</v>
      </c>
      <c r="K13" s="2216">
        <f>_xlfn.XLOOKUP(O13,Cement!Q$7:Q$35,Cement!$L$7:$L$35,"")</f>
        <v>14</v>
      </c>
      <c r="L13" s="2113" t="str">
        <f>_xlfn.XLOOKUP(O13,'Sales Rec'!$E$4:$E$32,'Sales Rec'!$DS$4:$DS$32,"")</f>
        <v>B</v>
      </c>
      <c r="M13" s="2113" t="str">
        <f>_xlfn.XLOOKUP(O13,'Sales Rec'!$E$4:$E$32,'Sales Rec'!$DZ$4:$DZ$32,"")</f>
        <v>BB</v>
      </c>
      <c r="N13" s="60" t="s">
        <v>38</v>
      </c>
      <c r="O13" s="124" t="s">
        <v>39</v>
      </c>
      <c r="P13" s="1570">
        <v>12</v>
      </c>
      <c r="Q13" s="264">
        <f>VLOOKUP(O13,Cement!$Q$7:$CC$35,4,FALSE)</f>
        <v>16660</v>
      </c>
      <c r="R13" s="292">
        <f>_xlfn.XLOOKUP(O13,Cement!$Q$7:$Q$35,Cement!$U$7:$U$35,"")</f>
        <v>2.97</v>
      </c>
      <c r="S13" s="292">
        <f>_xlfn.XLOOKUP(O13,'دیده بان بازار'!$A$8:$A$3179,'دیده بان بازار'!$L$8:$L$3179,"")</f>
        <v>480</v>
      </c>
      <c r="T13" s="304">
        <f>VLOOKUP(O13,Cement!$Q$7:$CC$35,6,FALSE)</f>
        <v>16660</v>
      </c>
      <c r="U13" s="361">
        <f>_xlfn.XLOOKUP(O13,Cement!$Q$7:$Q$35,Cement!$W$7:$W$35,"")</f>
        <v>2.97</v>
      </c>
      <c r="V13" s="361">
        <f>_xlfn.XLOOKUP(O13,'دیده بان بازار'!$A$8:$A$3179,'دیده بان بازار'!$I$8:$I$3179,"")</f>
        <v>480</v>
      </c>
      <c r="W13" s="66">
        <f>_xlfn.XLOOKUP(O13,Cement!$Q$7:$Q$35,Cement!$S$7:$S$35,"")</f>
        <v>15993.698294</v>
      </c>
      <c r="X13" s="1603">
        <f>_xlfn.XLOOKUP(O13,'Sales Rec'!$E$4:$E$93,'Sales Rec'!$DW$4:$DW$93,"")</f>
        <v>1.9279617556385473</v>
      </c>
      <c r="Y13" s="850">
        <f>_xlfn.XLOOKUP(N13,Cement!$P$7:$P$35,Cement!$Z$7:$Z$35,"")</f>
        <v>0.18489393198992443</v>
      </c>
      <c r="Z13" s="1453">
        <f t="shared" ca="1" si="16"/>
        <v>1.3206709427851744</v>
      </c>
      <c r="AA13" s="824">
        <f ca="1">_xlfn.XLOOKUP(O13,Cement!$Q$7:$Q$35,Cement!$AB$7:$AB$35,"")</f>
        <v>-107.40956003194211</v>
      </c>
      <c r="AB13" s="2010">
        <f>_xlfn.XLOOKUP(N13,Cement!$P$7:$P$35,Cement!$AG$7:$AG$35,"")</f>
        <v>8.4475150889007029</v>
      </c>
      <c r="AC13" s="562">
        <f t="shared" si="17"/>
        <v>-11.107255813953486</v>
      </c>
      <c r="AD13" s="308">
        <f>_xlfn.XLOOKUP(N13,Cement!$P$7:$P$35,Cement!$AM$7:$AM$35,"")</f>
        <v>9600059000</v>
      </c>
      <c r="AE13" s="1933">
        <f ca="1">_xlfn.XLOOKUP(O13,Cement!$Q$7:$Q$35,Cement!$AH$7:$AH$35,"")</f>
        <v>351</v>
      </c>
      <c r="AF13" s="1612">
        <f>_xlfn.XLOOKUP(O13,Cement!$Q$7:$Q$35,Cement!$AI$7:$AI$35,"")</f>
        <v>46225</v>
      </c>
      <c r="AG13" s="1927">
        <f>_xlfn.XLOOKUP(O13,Cement!$Q$7:$Q$35,Cement!$EI$7:$EI$35,"")</f>
        <v>1600</v>
      </c>
      <c r="AH13" s="1821">
        <f>_xlfn.XLOOKUP(O13,Cement!$Q$7:$Q$37,Cement!$AJ$7:$AJ$37,"")</f>
        <v>46346</v>
      </c>
      <c r="AI13" s="1827">
        <f>_xlfn.XLOOKUP($O13,Cement!$Q$7:$Q$35,Cement!$CB$7:$CB$35,"")</f>
        <v>2424</v>
      </c>
      <c r="AJ13" s="1340">
        <f>_xlfn.XLOOKUP($O13,Cement!$Q$7:$Q$35,Cement!$BV$7:$BV$35,"")</f>
        <v>4.5410229581249206</v>
      </c>
      <c r="AK13" s="1206">
        <f>_xlfn.XLOOKUP($O13,Cement!$Q$7:$Q$35,Cement!$CC$7:$CC$35,"")</f>
        <v>6.87</v>
      </c>
      <c r="AL13" s="683" t="s">
        <v>603</v>
      </c>
      <c r="AM13" s="684">
        <v>15050</v>
      </c>
      <c r="AN13" s="793">
        <v>7260</v>
      </c>
      <c r="AO13" s="794">
        <f t="shared" si="18"/>
        <v>1.2947658402203857</v>
      </c>
      <c r="AP13" s="329">
        <v>1000000</v>
      </c>
      <c r="AQ13" s="334">
        <f t="shared" si="19"/>
        <v>1651339.2</v>
      </c>
      <c r="AR13" s="330">
        <f t="shared" si="20"/>
        <v>3.5888581297616046E-2</v>
      </c>
      <c r="AS13" s="272">
        <v>1300000</v>
      </c>
      <c r="AT13" s="234">
        <f t="shared" si="21"/>
        <v>208000</v>
      </c>
      <c r="AU13" s="402">
        <v>460231</v>
      </c>
      <c r="AV13" s="1137">
        <v>0</v>
      </c>
      <c r="AW13" s="342">
        <v>380000</v>
      </c>
      <c r="AX13" s="334">
        <f t="shared" si="22"/>
        <v>627508.89599999995</v>
      </c>
      <c r="AY13" s="343">
        <f t="shared" si="23"/>
        <v>2.8095074643567461E-2</v>
      </c>
      <c r="AZ13" s="272">
        <v>380000</v>
      </c>
      <c r="BA13" s="234">
        <f t="shared" si="24"/>
        <v>60800</v>
      </c>
      <c r="BB13" s="402">
        <v>106534</v>
      </c>
      <c r="BC13" s="1151">
        <v>0</v>
      </c>
      <c r="BD13" s="333">
        <v>35000</v>
      </c>
      <c r="BE13" s="334">
        <f t="shared" si="25"/>
        <v>57796.871999999996</v>
      </c>
      <c r="BF13" s="298">
        <f t="shared" si="26"/>
        <v>3.7409098060663198E-2</v>
      </c>
      <c r="BG13" s="272">
        <v>35000</v>
      </c>
      <c r="BH13" s="234">
        <f t="shared" si="27"/>
        <v>5600</v>
      </c>
      <c r="BI13" s="402">
        <v>4536</v>
      </c>
      <c r="BJ13" s="297">
        <v>0</v>
      </c>
      <c r="BK13" s="720">
        <f t="shared" si="28"/>
        <v>2357390</v>
      </c>
      <c r="BL13" s="721">
        <f t="shared" si="29"/>
        <v>1415000</v>
      </c>
      <c r="BM13" s="722">
        <f t="shared" si="30"/>
        <v>5.0709439702795525E-2</v>
      </c>
      <c r="BN13" s="623"/>
      <c r="BO13" s="610">
        <v>130000</v>
      </c>
      <c r="BP13" s="334">
        <f t="shared" si="31"/>
        <v>214674.09599999999</v>
      </c>
      <c r="BQ13" s="612">
        <f t="shared" si="32"/>
        <v>0.13044405774751161</v>
      </c>
      <c r="BR13" s="272">
        <v>130000</v>
      </c>
      <c r="BS13" s="234">
        <f t="shared" si="33"/>
        <v>20800</v>
      </c>
      <c r="BT13" s="402">
        <v>10325</v>
      </c>
      <c r="BU13" s="297">
        <v>0</v>
      </c>
      <c r="BV13" s="628">
        <v>20000</v>
      </c>
      <c r="BW13" s="334">
        <f t="shared" si="34"/>
        <v>33026.784</v>
      </c>
      <c r="BX13" s="630">
        <f t="shared" si="35"/>
        <v>0.12803957478813066</v>
      </c>
      <c r="BY13" s="272">
        <v>20000</v>
      </c>
      <c r="BZ13" s="234">
        <f t="shared" si="36"/>
        <v>3200</v>
      </c>
      <c r="CA13" s="402">
        <v>2140</v>
      </c>
      <c r="CB13" s="297">
        <v>0</v>
      </c>
      <c r="CC13" s="1764">
        <v>60000</v>
      </c>
      <c r="CD13" s="334">
        <f t="shared" si="37"/>
        <v>99080.351999999999</v>
      </c>
      <c r="CE13" s="1767">
        <f t="shared" si="38"/>
        <v>8.1572057814554393E-3</v>
      </c>
      <c r="CF13" s="272">
        <v>60000</v>
      </c>
      <c r="CG13" s="234">
        <f t="shared" si="39"/>
        <v>9600</v>
      </c>
      <c r="CH13" s="402"/>
      <c r="CI13" s="1780">
        <v>0</v>
      </c>
      <c r="CJ13" s="2074"/>
      <c r="CK13" s="334">
        <f t="shared" si="40"/>
        <v>0</v>
      </c>
      <c r="CL13" s="2070">
        <f t="shared" si="41"/>
        <v>0</v>
      </c>
      <c r="CM13" s="272"/>
      <c r="CN13" s="234">
        <f t="shared" ref="CN13:CN23" si="45">$AG13*CM13/10000</f>
        <v>0</v>
      </c>
      <c r="CO13" s="402"/>
      <c r="CP13" s="1780">
        <v>0</v>
      </c>
      <c r="CS13" s="333">
        <v>35000</v>
      </c>
      <c r="CT13" s="334">
        <f t="shared" si="42"/>
        <v>57796.871999999996</v>
      </c>
      <c r="CU13" s="298">
        <f t="shared" si="43"/>
        <v>3.7409098060663198E-2</v>
      </c>
      <c r="CV13" s="272">
        <v>35000</v>
      </c>
      <c r="CW13" s="234">
        <f t="shared" si="44"/>
        <v>5600</v>
      </c>
      <c r="CX13" s="402">
        <v>4536</v>
      </c>
      <c r="CY13" s="297">
        <v>0</v>
      </c>
    </row>
    <row r="14" spans="1:103" ht="35" customHeight="1">
      <c r="A14" s="100">
        <f>_xlfn.XLOOKUP(O14,Cement!Q$7:Q$35,Cement!A$7:A$35,"")</f>
        <v>24.771966889234456</v>
      </c>
      <c r="B14" s="100">
        <f>_xlfn.XLOOKUP(O14,Cement!Q$7:Q$35,Cement!B$7:B$35,"")</f>
        <v>14.707068609003354</v>
      </c>
      <c r="C14" s="1585">
        <f ca="1">_xlfn.XLOOKUP(O14,Cement!Q$7:Q$35,Cement!$C$7:$C$35,"")</f>
        <v>0.1752689848843185</v>
      </c>
      <c r="D14" s="2111">
        <f>_xlfn.XLOOKUP(O14,Cement!$Q$7:$Q$35,Cement!$D$7:$D$35,"")</f>
        <v>1.0442858719541785</v>
      </c>
      <c r="E14" s="1236">
        <f>_xlfn.XLOOKUP($O14,Cement!$Q$7:$Q$35,Cement!$E$7:$E$35,"")</f>
        <v>11.000000000000004</v>
      </c>
      <c r="F14" s="1235">
        <f>_xlfn.XLOOKUP($O14,Cement!$Q$7:$Q$35,Cement!$F$7:$F$35,"")</f>
        <v>11.299999999999999</v>
      </c>
      <c r="G14" s="2125">
        <f>_xlfn.XLOOKUP($O14,Cement!$Q$7:$Q$35,Cement!$G$7:$G$35,"")</f>
        <v>-17.30998497904973</v>
      </c>
      <c r="H14" s="2314">
        <f>_xlfn.XLOOKUP($O14,Cement!Q$7:Q$35,Cement!H$7:H$35,"")</f>
        <v>0.36382322713257964</v>
      </c>
      <c r="I14" s="2314">
        <f>_xlfn.XLOOKUP(O14,Cement!Q$7:Q$35,Cement!J$7:J$35,"")</f>
        <v>0.26627906976744187</v>
      </c>
      <c r="J14" s="2112">
        <f>_xlfn.XLOOKUP(O14,'Sales Rec'!$E$4:$E$91,'Sales Rec'!$CV$4:$CV$91,"")</f>
        <v>24</v>
      </c>
      <c r="K14" s="2216">
        <f>_xlfn.XLOOKUP(O14,Cement!Q$7:Q$35,Cement!$L$7:$L$35,"")</f>
        <v>11</v>
      </c>
      <c r="L14" s="2113" t="str">
        <f>_xlfn.XLOOKUP(O14,'Sales Rec'!$E$4:$E$32,'Sales Rec'!$DS$4:$DS$32,"")</f>
        <v>N</v>
      </c>
      <c r="M14" s="2113" t="str">
        <f>_xlfn.XLOOKUP(O14,'Sales Rec'!$E$4:$E$32,'Sales Rec'!$DZ$4:$DZ$32,"")</f>
        <v>B</v>
      </c>
      <c r="N14" s="60" t="s">
        <v>80</v>
      </c>
      <c r="O14" s="124" t="s">
        <v>81</v>
      </c>
      <c r="P14" s="1570">
        <v>12</v>
      </c>
      <c r="Q14" s="264">
        <f>VLOOKUP(O14,Cement!$Q$7:$CC$35,4,FALSE)</f>
        <v>49180</v>
      </c>
      <c r="R14" s="292">
        <f>_xlfn.XLOOKUP(O14,Cement!$Q$7:$Q$35,Cement!$U$7:$U$35,"")</f>
        <v>2.97</v>
      </c>
      <c r="S14" s="292">
        <f>_xlfn.XLOOKUP(O14,'دیده بان بازار'!$A$8:$A$3179,'دیده بان بازار'!$L$8:$L$3179,"")</f>
        <v>1420</v>
      </c>
      <c r="T14" s="304">
        <f>VLOOKUP(O14,Cement!$Q$7:$CC$35,6,FALSE)</f>
        <v>49190</v>
      </c>
      <c r="U14" s="361">
        <f>_xlfn.XLOOKUP(O14,Cement!$Q$7:$Q$35,Cement!$W$7:$W$35,"")</f>
        <v>2.99</v>
      </c>
      <c r="V14" s="361">
        <f>_xlfn.XLOOKUP(O14,'دیده بان بازار'!$A$8:$A$3179,'دیده بان بازار'!$I$8:$I$3179,"")</f>
        <v>1430</v>
      </c>
      <c r="W14" s="66">
        <f>_xlfn.XLOOKUP(O14,Cement!$Q$7:$Q$35,Cement!$S$7:$S$35,"")</f>
        <v>9838</v>
      </c>
      <c r="X14" s="1603">
        <f>_xlfn.XLOOKUP(O14,'Sales Rec'!$E$4:$E$93,'Sales Rec'!$DW$4:$DW$93,"")</f>
        <v>0.85973534971644616</v>
      </c>
      <c r="Y14" s="850">
        <f>_xlfn.XLOOKUP(N14,Cement!$P$7:$P$35,Cement!$Z$7:$Z$35,"")</f>
        <v>0.31594435527019799</v>
      </c>
      <c r="Z14" s="1453">
        <f t="shared" ca="1" si="16"/>
        <v>0.56418634869678208</v>
      </c>
      <c r="AA14" s="824">
        <f ca="1">_xlfn.XLOOKUP(O14,Cement!$Q$7:$Q$35,Cement!$AB$7:$AB$35,"")</f>
        <v>-31.761100623102866</v>
      </c>
      <c r="AB14" s="2010">
        <f>_xlfn.XLOOKUP(N14,Cement!$P$7:$P$35,Cement!$AG$7:$AG$35,"")</f>
        <v>5.1487499999999997</v>
      </c>
      <c r="AC14" s="562">
        <f t="shared" si="17"/>
        <v>-7.1883002974316756</v>
      </c>
      <c r="AD14" s="308">
        <f>_xlfn.XLOOKUP(N14,Cement!$P$7:$P$35,Cement!$AM$7:$AM$35,"")</f>
        <v>2000000000</v>
      </c>
      <c r="AE14" s="1933">
        <f ca="1">_xlfn.XLOOKUP(O14,Cement!$Q$7:$Q$35,Cement!$AH$7:$AH$35,"")</f>
        <v>309</v>
      </c>
      <c r="AF14" s="1612">
        <f>_xlfn.XLOOKUP(O14,Cement!$Q$7:$Q$35,Cement!$AI$7:$AI$35,"")</f>
        <v>46183</v>
      </c>
      <c r="AG14" s="2056">
        <f>_xlfn.XLOOKUP(O14,Cement!$Q$7:$Q$35,Cement!$EI$7:$EI$35,"")</f>
        <v>7200</v>
      </c>
      <c r="AH14" s="1829">
        <f>_xlfn.XLOOKUP(O14,Cement!$Q$7:$Q$37,Cement!$AJ$7:$AJ$37,"")</f>
        <v>46196</v>
      </c>
      <c r="AI14" s="1827">
        <f>_xlfn.XLOOKUP($O14,Cement!$Q$7:$Q$35,Cement!$CB$7:$CB$35,"")</f>
        <v>8801</v>
      </c>
      <c r="AJ14" s="1340">
        <f>_xlfn.XLOOKUP($O14,Cement!$Q$7:$Q$35,Cement!$BV$7:$BV$35,"")</f>
        <v>4.5457141280458213</v>
      </c>
      <c r="AK14" s="1206">
        <f>_xlfn.XLOOKUP($O14,Cement!$Q$7:$Q$35,Cement!$CC$7:$CC$35,"")</f>
        <v>5.59</v>
      </c>
      <c r="AL14" s="683" t="s">
        <v>603</v>
      </c>
      <c r="AM14" s="684">
        <v>46061</v>
      </c>
      <c r="AN14" s="793">
        <v>32786</v>
      </c>
      <c r="AO14" s="794">
        <f t="shared" si="18"/>
        <v>0.50033550905874458</v>
      </c>
      <c r="AP14" s="329">
        <v>290000</v>
      </c>
      <c r="AQ14" s="334">
        <f t="shared" si="19"/>
        <v>1413956.7120000001</v>
      </c>
      <c r="AR14" s="330">
        <f t="shared" si="20"/>
        <v>3.072954388167003E-2</v>
      </c>
      <c r="AS14" s="272"/>
      <c r="AT14" s="234">
        <f t="shared" si="21"/>
        <v>0</v>
      </c>
      <c r="AU14" s="402">
        <v>297100</v>
      </c>
      <c r="AV14" s="1137">
        <v>0</v>
      </c>
      <c r="AW14" s="342">
        <v>70000</v>
      </c>
      <c r="AX14" s="334">
        <f t="shared" si="22"/>
        <v>341299.89600000001</v>
      </c>
      <c r="AY14" s="343">
        <f t="shared" si="23"/>
        <v>1.5280812933625426E-2</v>
      </c>
      <c r="AZ14" s="272"/>
      <c r="BA14" s="234">
        <f t="shared" si="24"/>
        <v>0</v>
      </c>
      <c r="BB14" s="402">
        <v>52678</v>
      </c>
      <c r="BC14" s="1151">
        <v>0</v>
      </c>
      <c r="BD14" s="333">
        <v>10000</v>
      </c>
      <c r="BE14" s="334">
        <f t="shared" si="25"/>
        <v>48757.127999999997</v>
      </c>
      <c r="BF14" s="298">
        <f t="shared" si="26"/>
        <v>3.155811239245452E-2</v>
      </c>
      <c r="BG14" s="272"/>
      <c r="BH14" s="234">
        <f t="shared" si="27"/>
        <v>0</v>
      </c>
      <c r="BI14" s="402">
        <v>7200</v>
      </c>
      <c r="BJ14" s="297">
        <v>0</v>
      </c>
      <c r="BK14" s="720">
        <f t="shared" si="28"/>
        <v>1820030</v>
      </c>
      <c r="BL14" s="721">
        <f t="shared" si="29"/>
        <v>370000</v>
      </c>
      <c r="BM14" s="722">
        <f t="shared" si="30"/>
        <v>3.9150374584722487E-2</v>
      </c>
      <c r="BN14" s="623"/>
      <c r="BO14" s="610"/>
      <c r="BP14" s="334">
        <f t="shared" si="31"/>
        <v>0</v>
      </c>
      <c r="BQ14" s="612">
        <f t="shared" si="32"/>
        <v>0</v>
      </c>
      <c r="BR14" s="272"/>
      <c r="BS14" s="234">
        <f t="shared" si="33"/>
        <v>0</v>
      </c>
      <c r="BT14" s="402">
        <v>0</v>
      </c>
      <c r="BU14" s="297">
        <v>0</v>
      </c>
      <c r="BV14" s="628">
        <v>1000</v>
      </c>
      <c r="BW14" s="334">
        <f t="shared" si="34"/>
        <v>4875.7128000000002</v>
      </c>
      <c r="BX14" s="630">
        <f t="shared" si="35"/>
        <v>1.8902360995882796E-2</v>
      </c>
      <c r="BY14" s="272"/>
      <c r="BZ14" s="234">
        <f t="shared" si="36"/>
        <v>0</v>
      </c>
      <c r="CA14" s="402">
        <v>720</v>
      </c>
      <c r="CB14" s="297">
        <v>0</v>
      </c>
      <c r="CC14" s="1764">
        <v>100000</v>
      </c>
      <c r="CD14" s="334">
        <f t="shared" si="37"/>
        <v>487571.27999999997</v>
      </c>
      <c r="CE14" s="1767">
        <f t="shared" si="38"/>
        <v>4.0141351779691178E-2</v>
      </c>
      <c r="CF14" s="272"/>
      <c r="CG14" s="234">
        <f t="shared" si="39"/>
        <v>0</v>
      </c>
      <c r="CH14" s="402">
        <v>72000</v>
      </c>
      <c r="CI14" s="1780">
        <v>0</v>
      </c>
      <c r="CJ14" s="2074">
        <v>10000</v>
      </c>
      <c r="CK14" s="334">
        <f t="shared" si="40"/>
        <v>48757.127999999997</v>
      </c>
      <c r="CL14" s="2070">
        <f t="shared" si="41"/>
        <v>6.4246157736267892E-4</v>
      </c>
      <c r="CM14" s="272"/>
      <c r="CN14" s="234">
        <f t="shared" si="45"/>
        <v>0</v>
      </c>
      <c r="CO14" s="402">
        <v>7200</v>
      </c>
      <c r="CP14" s="1780">
        <v>0</v>
      </c>
      <c r="CS14" s="333">
        <v>10000</v>
      </c>
      <c r="CT14" s="334">
        <f t="shared" si="42"/>
        <v>48757.127999999997</v>
      </c>
      <c r="CU14" s="298">
        <f t="shared" si="43"/>
        <v>3.155811239245452E-2</v>
      </c>
      <c r="CV14" s="272"/>
      <c r="CW14" s="234">
        <f t="shared" si="44"/>
        <v>0</v>
      </c>
      <c r="CX14" s="402">
        <v>7200</v>
      </c>
      <c r="CY14" s="297">
        <v>0</v>
      </c>
    </row>
    <row r="15" spans="1:103" ht="35" customHeight="1">
      <c r="A15" s="100">
        <f>_xlfn.XLOOKUP(O15,Cement!Q$7:Q$35,Cement!A$7:A$35,"")</f>
        <v>23.654691596536299</v>
      </c>
      <c r="B15" s="100">
        <f>_xlfn.XLOOKUP(O15,Cement!Q$7:Q$35,Cement!B$7:B$35,"")</f>
        <v>6.3047862625936189</v>
      </c>
      <c r="C15" s="1585">
        <f ca="1">_xlfn.XLOOKUP(O15,Cement!Q$7:Q$35,Cement!$C$7:$C$35,"")</f>
        <v>0.20131479519153345</v>
      </c>
      <c r="D15" s="2111">
        <f>_xlfn.XLOOKUP(O15,Cement!$Q$7:$Q$35,Cement!$D$7:$D$35,"")</f>
        <v>1.048300759421319</v>
      </c>
      <c r="E15" s="1236">
        <f>_xlfn.XLOOKUP($O15,Cement!$Q$7:$Q$35,Cement!$E$7:$E$35,"")</f>
        <v>-1.8000000000000016</v>
      </c>
      <c r="F15" s="1235">
        <f>_xlfn.XLOOKUP($O15,Cement!$Q$7:$Q$35,Cement!$F$7:$F$35,"")</f>
        <v>-0.80000000000000071</v>
      </c>
      <c r="G15" s="2125">
        <f>_xlfn.XLOOKUP($O15,Cement!$Q$7:$Q$35,Cement!$G$7:$G$35,"")</f>
        <v>-23.751345719743021</v>
      </c>
      <c r="H15" s="2314">
        <f>_xlfn.XLOOKUP($O15,Cement!Q$7:Q$35,Cement!H$7:H$35,"")</f>
        <v>1.0609480812641083</v>
      </c>
      <c r="I15" s="2314">
        <f>_xlfn.XLOOKUP(O15,Cement!Q$7:Q$35,Cement!J$7:J$35,"")</f>
        <v>0.14104595879556259</v>
      </c>
      <c r="J15" s="2112">
        <f>_xlfn.XLOOKUP(O15,'Sales Rec'!$E$4:$E$91,'Sales Rec'!$CV$4:$CV$91,"")</f>
        <v>2</v>
      </c>
      <c r="K15" s="2216">
        <f>_xlfn.XLOOKUP(O15,Cement!Q$7:Q$35,Cement!$L$7:$L$35,"")</f>
        <v>16</v>
      </c>
      <c r="L15" s="2114" t="str">
        <f>_xlfn.XLOOKUP(O15,'Sales Rec'!$E$4:$E$32,'Sales Rec'!$DS$4:$DS$32,"")</f>
        <v>B</v>
      </c>
      <c r="M15" s="2114" t="str">
        <f>_xlfn.XLOOKUP(O15,'Sales Rec'!$E$4:$E$32,'Sales Rec'!$DZ$4:$DZ$32,"")</f>
        <v>B</v>
      </c>
      <c r="N15" s="60" t="s">
        <v>32</v>
      </c>
      <c r="O15" s="124" t="s">
        <v>33</v>
      </c>
      <c r="P15" s="1570">
        <v>12</v>
      </c>
      <c r="Q15" s="264">
        <f>VLOOKUP(O15,Cement!$Q$7:$CC$35,4,FALSE)</f>
        <v>11520</v>
      </c>
      <c r="R15" s="292">
        <f>_xlfn.XLOOKUP(O15,Cement!$Q$7:$Q$35,Cement!$U$7:$U$35,"")</f>
        <v>2.58</v>
      </c>
      <c r="S15" s="292">
        <f>_xlfn.XLOOKUP(O15,'دیده بان بازار'!$A$8:$A$3179,'دیده بان بازار'!$L$8:$L$3179,"")</f>
        <v>290</v>
      </c>
      <c r="T15" s="304">
        <f>VLOOKUP(O15,Cement!$Q$7:$CC$35,6,FALSE)</f>
        <v>11560</v>
      </c>
      <c r="U15" s="361">
        <f>_xlfn.XLOOKUP(O15,Cement!$Q$7:$Q$35,Cement!$W$7:$W$35,"")</f>
        <v>2.94</v>
      </c>
      <c r="V15" s="361">
        <f>_xlfn.XLOOKUP(O15,'دیده بان بازار'!$A$8:$A$3179,'دیده بان بازار'!$I$8:$I$3179,"")</f>
        <v>330</v>
      </c>
      <c r="W15" s="66">
        <f>_xlfn.XLOOKUP(O15,Cement!$Q$7:$Q$35,Cement!$S$7:$S$35,"")</f>
        <v>6126.8</v>
      </c>
      <c r="X15" s="1603">
        <f>_xlfn.XLOOKUP(O15,'Sales Rec'!$E$4:$E$93,'Sales Rec'!$DW$4:$DW$93,"")</f>
        <v>1.1328413284132843</v>
      </c>
      <c r="Y15" s="850">
        <f>_xlfn.XLOOKUP(N15,Cement!$P$7:$P$35,Cement!$Z$7:$Z$35,"")</f>
        <v>0.59427530575071563</v>
      </c>
      <c r="Z15" s="1453">
        <f t="shared" ca="1" si="16"/>
        <v>0.7618914176291226</v>
      </c>
      <c r="AA15" s="824">
        <f ca="1">_xlfn.XLOOKUP(O15,Cement!$Q$7:$Q$35,Cement!$AB$7:$AB$35,"")</f>
        <v>-51.531607516336912</v>
      </c>
      <c r="AB15" s="2010">
        <f>_xlfn.XLOOKUP(N15,Cement!$P$7:$P$35,Cement!$AG$7:$AG$35,"")</f>
        <v>6.8448143405889885</v>
      </c>
      <c r="AC15" s="562">
        <f t="shared" si="17"/>
        <v>2.233014004103123</v>
      </c>
      <c r="AD15" s="308">
        <f>_xlfn.XLOOKUP(N15,Cement!$P$7:$P$35,Cement!$AM$7:$AM$35,"")</f>
        <v>5300000000</v>
      </c>
      <c r="AE15" s="1933">
        <f ca="1">_xlfn.XLOOKUP(O15,Cement!$Q$7:$Q$35,Cement!$AH$7:$AH$35,"")</f>
        <v>287</v>
      </c>
      <c r="AF15" s="1612">
        <f>_xlfn.XLOOKUP(O15,Cement!$Q$7:$Q$35,Cement!$AI$7:$AI$35,"")</f>
        <v>46161</v>
      </c>
      <c r="AG15" s="1857">
        <f>_xlfn.XLOOKUP(O15,Cement!$Q$7:$Q$35,Cement!$EI$7:$EI$35,"")</f>
        <v>1520</v>
      </c>
      <c r="AH15" s="1821">
        <f>_xlfn.XLOOKUP(O15,Cement!$Q$7:$Q$37,Cement!$AJ$7:$AJ$37,"")</f>
        <v>46264</v>
      </c>
      <c r="AI15" s="1827">
        <f>_xlfn.XLOOKUP($O15,Cement!$Q$7:$Q$35,Cement!$CB$7:$CB$35,"")</f>
        <v>1929</v>
      </c>
      <c r="AJ15" s="1340">
        <f>_xlfn.XLOOKUP($O15,Cement!$Q$7:$Q$35,Cement!$BV$7:$BV$35,"")</f>
        <v>4.9216992405786808</v>
      </c>
      <c r="AK15" s="1206">
        <f>_xlfn.XLOOKUP($O15,Cement!$Q$7:$Q$35,Cement!$CC$7:$CC$35,"")</f>
        <v>5.97</v>
      </c>
      <c r="AL15" s="681" t="s">
        <v>197</v>
      </c>
      <c r="AM15" s="682">
        <v>11211</v>
      </c>
      <c r="AN15" s="793">
        <v>4544</v>
      </c>
      <c r="AO15" s="794">
        <f t="shared" si="18"/>
        <v>1.5440140845070423</v>
      </c>
      <c r="AP15" s="329">
        <v>2650000</v>
      </c>
      <c r="AQ15" s="334">
        <f t="shared" si="19"/>
        <v>3036442.08</v>
      </c>
      <c r="AR15" s="330">
        <f t="shared" si="20"/>
        <v>6.5991044386024614E-2</v>
      </c>
      <c r="AS15" s="272">
        <v>3750000</v>
      </c>
      <c r="AT15" s="234">
        <f t="shared" si="21"/>
        <v>570000</v>
      </c>
      <c r="AU15" s="402">
        <v>352540</v>
      </c>
      <c r="AV15" s="1137">
        <v>0</v>
      </c>
      <c r="AW15" s="342">
        <v>3700000</v>
      </c>
      <c r="AX15" s="334">
        <f t="shared" si="22"/>
        <v>4239560.6399999997</v>
      </c>
      <c r="AY15" s="343">
        <f t="shared" si="23"/>
        <v>0.18981527337061152</v>
      </c>
      <c r="AZ15" s="272">
        <v>4150000</v>
      </c>
      <c r="BA15" s="234">
        <f t="shared" si="24"/>
        <v>630800</v>
      </c>
      <c r="BB15" s="402">
        <v>668781</v>
      </c>
      <c r="BC15" s="1151">
        <v>0</v>
      </c>
      <c r="BD15" s="333">
        <v>25000</v>
      </c>
      <c r="BE15" s="334">
        <f t="shared" si="25"/>
        <v>28645.68</v>
      </c>
      <c r="BF15" s="298">
        <f t="shared" si="26"/>
        <v>1.8540952391582346E-2</v>
      </c>
      <c r="BG15" s="272">
        <v>40000</v>
      </c>
      <c r="BH15" s="234">
        <f t="shared" si="27"/>
        <v>6080</v>
      </c>
      <c r="BI15" s="402">
        <v>2250</v>
      </c>
      <c r="BJ15" s="297">
        <v>0</v>
      </c>
      <c r="BK15" s="720">
        <f t="shared" si="28"/>
        <v>7369500</v>
      </c>
      <c r="BL15" s="721">
        <f t="shared" si="29"/>
        <v>6375000</v>
      </c>
      <c r="BM15" s="722">
        <f t="shared" si="30"/>
        <v>0.15852413724065667</v>
      </c>
      <c r="BN15" s="623"/>
      <c r="BO15" s="610">
        <v>40000</v>
      </c>
      <c r="BP15" s="334">
        <f t="shared" si="31"/>
        <v>45833.087999999996</v>
      </c>
      <c r="BQ15" s="612">
        <f t="shared" si="32"/>
        <v>2.7849908718464017E-2</v>
      </c>
      <c r="BR15" s="272">
        <v>150000</v>
      </c>
      <c r="BS15" s="234">
        <f t="shared" si="33"/>
        <v>22800</v>
      </c>
      <c r="BT15" s="402">
        <v>10500</v>
      </c>
      <c r="BU15" s="297">
        <v>0</v>
      </c>
      <c r="BV15" s="628">
        <v>15000</v>
      </c>
      <c r="BW15" s="334">
        <f t="shared" si="34"/>
        <v>17187.407999999999</v>
      </c>
      <c r="BX15" s="630">
        <f t="shared" si="35"/>
        <v>6.663283994076187E-2</v>
      </c>
      <c r="BY15" s="272">
        <v>17000</v>
      </c>
      <c r="BZ15" s="234">
        <f t="shared" si="36"/>
        <v>2584</v>
      </c>
      <c r="CA15" s="402">
        <v>375</v>
      </c>
      <c r="CB15" s="297">
        <v>0</v>
      </c>
      <c r="CC15" s="1764">
        <v>200000</v>
      </c>
      <c r="CD15" s="334">
        <f t="shared" si="37"/>
        <v>229165.44</v>
      </c>
      <c r="CE15" s="1767">
        <f t="shared" si="38"/>
        <v>1.8867006569352716E-2</v>
      </c>
      <c r="CF15" s="272">
        <v>100000</v>
      </c>
      <c r="CG15" s="234">
        <f t="shared" si="39"/>
        <v>15200</v>
      </c>
      <c r="CH15" s="402"/>
      <c r="CI15" s="1780">
        <v>0</v>
      </c>
      <c r="CJ15" s="2074">
        <v>550000</v>
      </c>
      <c r="CK15" s="334">
        <f t="shared" si="40"/>
        <v>630204.96</v>
      </c>
      <c r="CL15" s="2070">
        <f t="shared" si="41"/>
        <v>8.3040673081356212E-3</v>
      </c>
      <c r="CM15" s="272">
        <v>600000</v>
      </c>
      <c r="CN15" s="234">
        <f t="shared" si="45"/>
        <v>91200</v>
      </c>
      <c r="CO15" s="402">
        <v>45000</v>
      </c>
      <c r="CP15" s="1780">
        <v>0</v>
      </c>
      <c r="CS15" s="333">
        <v>25000</v>
      </c>
      <c r="CT15" s="334">
        <f t="shared" si="42"/>
        <v>28645.68</v>
      </c>
      <c r="CU15" s="298">
        <f t="shared" si="43"/>
        <v>1.8540952391582346E-2</v>
      </c>
      <c r="CV15" s="272">
        <v>40000</v>
      </c>
      <c r="CW15" s="234">
        <f t="shared" si="44"/>
        <v>6080</v>
      </c>
      <c r="CX15" s="402">
        <v>2250</v>
      </c>
      <c r="CY15" s="297">
        <v>0</v>
      </c>
    </row>
    <row r="16" spans="1:103" ht="35" customHeight="1">
      <c r="A16" s="100">
        <f>_xlfn.XLOOKUP(O16,Cement!Q$7:Q$35,Cement!A$7:A$35,"")</f>
        <v>21.208110025072855</v>
      </c>
      <c r="B16" s="100">
        <f>_xlfn.XLOOKUP(O16,Cement!Q$7:Q$35,Cement!B$7:B$35,"")</f>
        <v>15.86258882337177</v>
      </c>
      <c r="C16" s="1585">
        <f ca="1">_xlfn.XLOOKUP(O16,Cement!Q$7:Q$35,Cement!$C$7:$C$35,"")</f>
        <v>0.15496096142287855</v>
      </c>
      <c r="D16" s="2111">
        <f>_xlfn.XLOOKUP(O16,Cement!$Q$7:$Q$35,Cement!$D$7:$D$35,"")</f>
        <v>1.2220808717509213</v>
      </c>
      <c r="E16" s="1236">
        <f>_xlfn.XLOOKUP($O16,Cement!$Q$7:$Q$35,Cement!$E$7:$E$35,"")</f>
        <v>6.399999999999995</v>
      </c>
      <c r="F16" s="1235">
        <f>_xlfn.XLOOKUP($O16,Cement!$Q$7:$Q$35,Cement!$F$7:$F$35,"")</f>
        <v>6.5999999999999943</v>
      </c>
      <c r="G16" s="2125">
        <f>_xlfn.XLOOKUP($O16,Cement!$Q$7:$Q$35,Cement!$G$7:$G$35,"")</f>
        <v>10.809000417753067</v>
      </c>
      <c r="H16" s="2314">
        <f>_xlfn.XLOOKUP($O16,Cement!Q$7:Q$35,Cement!H$7:H$35,"")</f>
        <v>0.65064319566689233</v>
      </c>
      <c r="I16" s="2314">
        <f>_xlfn.XLOOKUP(O16,Cement!Q$7:Q$35,Cement!J$7:J$35,"")</f>
        <v>0.94488188976377951</v>
      </c>
      <c r="J16" s="2112">
        <f>_xlfn.XLOOKUP(O16,'Sales Rec'!$E$4:$E$91,'Sales Rec'!$CV$4:$CV$91,"")</f>
        <v>14</v>
      </c>
      <c r="K16" s="2216">
        <f>_xlfn.XLOOKUP(O16,Cement!Q$7:Q$35,Cement!$L$7:$L$35,"")</f>
        <v>9</v>
      </c>
      <c r="L16" s="390" t="str">
        <f>_xlfn.XLOOKUP(O16,'Sales Rec'!$E$4:$E$32,'Sales Rec'!$DS$4:$DS$32,"")</f>
        <v>B</v>
      </c>
      <c r="M16" s="390" t="str">
        <f>_xlfn.XLOOKUP(O16,'Sales Rec'!$E$4:$E$32,'Sales Rec'!$DZ$4:$DZ$32,"")</f>
        <v>BB</v>
      </c>
      <c r="N16" s="60" t="s">
        <v>42</v>
      </c>
      <c r="O16" s="124" t="s">
        <v>43</v>
      </c>
      <c r="P16" s="1570">
        <v>12</v>
      </c>
      <c r="Q16" s="264">
        <f>VLOOKUP(O16,Cement!$Q$7:$CC$35,4,FALSE)</f>
        <v>205300</v>
      </c>
      <c r="R16" s="292">
        <f>_xlfn.XLOOKUP(O16,Cement!$Q$7:$Q$35,Cement!$U$7:$U$35,"")</f>
        <v>2.96</v>
      </c>
      <c r="S16" s="292">
        <f>_xlfn.XLOOKUP(O16,'دیده بان بازار'!$A$8:$A$3179,'دیده بان بازار'!$L$8:$L$3179,"")</f>
        <v>5900</v>
      </c>
      <c r="T16" s="304">
        <f>VLOOKUP(O16,Cement!$Q$7:$CC$35,6,FALSE)</f>
        <v>205300</v>
      </c>
      <c r="U16" s="361">
        <f>_xlfn.XLOOKUP(O16,Cement!$Q$7:$Q$35,Cement!$W$7:$W$35,"")</f>
        <v>2.96</v>
      </c>
      <c r="V16" s="361">
        <f>_xlfn.XLOOKUP(O16,'دیده بان بازار'!$A$8:$A$3179,'دیده بان بازار'!$I$8:$I$3179,"")</f>
        <v>5900</v>
      </c>
      <c r="W16" s="66">
        <f>_xlfn.XLOOKUP(O16,Cement!$Q$7:$Q$35,Cement!$S$7:$S$35,"")</f>
        <v>20530</v>
      </c>
      <c r="X16" s="1603">
        <f>_xlfn.XLOOKUP(O16,'Sales Rec'!$E$4:$E$93,'Sales Rec'!$DW$4:$DW$93,"")</f>
        <v>1.2498630136986302</v>
      </c>
      <c r="Y16" s="850">
        <f>_xlfn.XLOOKUP(N16,Cement!$P$7:$P$35,Cement!$Z$7:$Z$35,"")</f>
        <v>0.36976247664798506</v>
      </c>
      <c r="Z16" s="1453">
        <f t="shared" ca="1" si="16"/>
        <v>0.66029013687140192</v>
      </c>
      <c r="AA16" s="824">
        <f ca="1">_xlfn.XLOOKUP(O16,Cement!$Q$7:$Q$35,Cement!$AB$7:$AB$35,"")</f>
        <v>-41.371479440564841</v>
      </c>
      <c r="AB16" s="2010">
        <f>_xlfn.XLOOKUP(N16,Cement!$P$7:$P$35,Cement!$AG$7:$AG$35,"")</f>
        <v>6.3505191550304332</v>
      </c>
      <c r="AC16" s="562">
        <f t="shared" si="17"/>
        <v>25.2241019152099</v>
      </c>
      <c r="AD16" s="308">
        <f>_xlfn.XLOOKUP(N16,Cement!$P$7:$P$35,Cement!$AM$7:$AM$35,"")</f>
        <v>1000000000</v>
      </c>
      <c r="AE16" s="1933">
        <f ca="1">_xlfn.XLOOKUP(O16,Cement!$Q$7:$Q$35,Cement!$AH$7:$AH$35,"")</f>
        <v>309</v>
      </c>
      <c r="AF16" s="1612">
        <f>_xlfn.XLOOKUP(O16,Cement!$Q$7:$Q$35,Cement!$AI$7:$AI$35,"")</f>
        <v>46183</v>
      </c>
      <c r="AG16" s="1858">
        <f>_xlfn.XLOOKUP(O16,Cement!$Q$7:$Q$35,Cement!$EI$7:$EI$35,"")</f>
        <v>28874</v>
      </c>
      <c r="AH16" s="1829">
        <f>_xlfn.XLOOKUP(O16,Cement!$Q$7:$Q$37,Cement!$AJ$7:$AJ$37,"")</f>
        <v>46216</v>
      </c>
      <c r="AI16" s="1827">
        <f>_xlfn.XLOOKUP($O16,Cement!$Q$7:$Q$35,Cement!$CB$7:$CB$35,"")</f>
        <v>34336</v>
      </c>
      <c r="AJ16" s="1340">
        <f>_xlfn.XLOOKUP($O16,Cement!$Q$7:$Q$35,Cement!$BV$7:$BV$35,"")</f>
        <v>4.7579191282490791</v>
      </c>
      <c r="AK16" s="1206">
        <f>_xlfn.XLOOKUP($O16,Cement!$Q$7:$Q$35,Cement!$CC$7:$CC$35,"")</f>
        <v>5.98</v>
      </c>
      <c r="AL16" s="681" t="s">
        <v>197</v>
      </c>
      <c r="AM16" s="682">
        <v>162802</v>
      </c>
      <c r="AN16" s="793">
        <v>142789</v>
      </c>
      <c r="AO16" s="794">
        <f t="shared" si="18"/>
        <v>0.43778582383797071</v>
      </c>
      <c r="AP16" s="329">
        <v>90000</v>
      </c>
      <c r="AQ16" s="334">
        <f t="shared" si="19"/>
        <v>1831440.24</v>
      </c>
      <c r="AR16" s="330">
        <f t="shared" si="20"/>
        <v>3.9802720086197584E-2</v>
      </c>
      <c r="AS16" s="272"/>
      <c r="AT16" s="234">
        <f t="shared" si="21"/>
        <v>0</v>
      </c>
      <c r="AU16" s="402">
        <v>183104</v>
      </c>
      <c r="AV16" s="1137">
        <v>0</v>
      </c>
      <c r="AW16" s="342">
        <v>10000</v>
      </c>
      <c r="AX16" s="334">
        <f t="shared" si="22"/>
        <v>203493.36</v>
      </c>
      <c r="AY16" s="343">
        <f t="shared" si="23"/>
        <v>9.1108846027743717E-3</v>
      </c>
      <c r="AZ16" s="272"/>
      <c r="BA16" s="234">
        <f t="shared" si="24"/>
        <v>0</v>
      </c>
      <c r="BB16" s="402">
        <v>41262</v>
      </c>
      <c r="BC16" s="1151">
        <v>0</v>
      </c>
      <c r="BD16" s="333"/>
      <c r="BE16" s="334">
        <f t="shared" si="25"/>
        <v>0</v>
      </c>
      <c r="BF16" s="298">
        <f t="shared" si="26"/>
        <v>0</v>
      </c>
      <c r="BG16" s="272"/>
      <c r="BH16" s="234">
        <f t="shared" si="27"/>
        <v>0</v>
      </c>
      <c r="BI16" s="402"/>
      <c r="BJ16" s="297">
        <v>0</v>
      </c>
      <c r="BK16" s="720">
        <f t="shared" si="28"/>
        <v>2053000</v>
      </c>
      <c r="BL16" s="721">
        <f t="shared" si="29"/>
        <v>100000</v>
      </c>
      <c r="BM16" s="722">
        <f t="shared" si="30"/>
        <v>4.4161755038342923E-2</v>
      </c>
      <c r="BN16" s="623"/>
      <c r="BO16" s="610">
        <v>1000</v>
      </c>
      <c r="BP16" s="334">
        <f t="shared" si="31"/>
        <v>20349.335999999999</v>
      </c>
      <c r="BQ16" s="612">
        <f t="shared" si="32"/>
        <v>1.2365022188366485E-2</v>
      </c>
      <c r="BR16" s="272"/>
      <c r="BS16" s="234">
        <f t="shared" si="33"/>
        <v>0</v>
      </c>
      <c r="BT16" s="402"/>
      <c r="BU16" s="297">
        <v>0</v>
      </c>
      <c r="BV16" s="628"/>
      <c r="BW16" s="334">
        <f t="shared" si="34"/>
        <v>0</v>
      </c>
      <c r="BX16" s="630">
        <f t="shared" si="35"/>
        <v>0</v>
      </c>
      <c r="BY16" s="272"/>
      <c r="BZ16" s="234">
        <f t="shared" si="36"/>
        <v>0</v>
      </c>
      <c r="CA16" s="402"/>
      <c r="CB16" s="297">
        <v>0</v>
      </c>
      <c r="CC16" s="1764">
        <v>50000</v>
      </c>
      <c r="CD16" s="334">
        <f t="shared" si="37"/>
        <v>1017466.7999999999</v>
      </c>
      <c r="CE16" s="1767">
        <f t="shared" si="38"/>
        <v>8.3767224236334606E-2</v>
      </c>
      <c r="CF16" s="272"/>
      <c r="CG16" s="234">
        <f t="shared" si="39"/>
        <v>0</v>
      </c>
      <c r="CH16" s="402"/>
      <c r="CI16" s="1780">
        <v>0</v>
      </c>
      <c r="CJ16" s="2074">
        <v>50000</v>
      </c>
      <c r="CK16" s="334">
        <f t="shared" si="40"/>
        <v>1017466.7999999999</v>
      </c>
      <c r="CL16" s="2070">
        <f t="shared" si="41"/>
        <v>1.3406928423720063E-2</v>
      </c>
      <c r="CM16" s="272"/>
      <c r="CN16" s="234">
        <f t="shared" si="45"/>
        <v>0</v>
      </c>
      <c r="CO16" s="402">
        <v>45000</v>
      </c>
      <c r="CP16" s="1780">
        <v>0</v>
      </c>
      <c r="CS16" s="333"/>
      <c r="CT16" s="334">
        <f t="shared" si="42"/>
        <v>0</v>
      </c>
      <c r="CU16" s="298">
        <f t="shared" si="43"/>
        <v>0</v>
      </c>
      <c r="CV16" s="272"/>
      <c r="CW16" s="234">
        <f t="shared" si="44"/>
        <v>0</v>
      </c>
      <c r="CX16" s="402"/>
      <c r="CY16" s="297">
        <v>0</v>
      </c>
    </row>
    <row r="17" spans="1:103" ht="35" customHeight="1">
      <c r="A17" s="100">
        <f>_xlfn.XLOOKUP(O17,Cement!Q$7:Q$35,Cement!A$7:A$35,"")</f>
        <v>21.545827737635289</v>
      </c>
      <c r="B17" s="100">
        <f>_xlfn.XLOOKUP(O17,Cement!Q$7:Q$35,Cement!B$7:B$35,"")</f>
        <v>21.447230036077684</v>
      </c>
      <c r="C17" s="1585">
        <f ca="1">_xlfn.XLOOKUP(O17,Cement!Q$7:Q$35,Cement!$C$7:$C$35,"")</f>
        <v>0.24974773242630391</v>
      </c>
      <c r="D17" s="2111">
        <f>_xlfn.XLOOKUP(O17,Cement!$Q$7:$Q$35,Cement!$D$7:$D$35,"")</f>
        <v>0.37352305254327156</v>
      </c>
      <c r="E17" s="1236">
        <f>_xlfn.XLOOKUP($O17,Cement!$Q$7:$Q$35,Cement!$E$7:$E$35,"")</f>
        <v>43.8</v>
      </c>
      <c r="F17" s="1235">
        <f>_xlfn.XLOOKUP($O17,Cement!$Q$7:$Q$35,Cement!$F$7:$F$35,"")</f>
        <v>45.4</v>
      </c>
      <c r="G17" s="2125">
        <f>_xlfn.XLOOKUP($O17,Cement!$Q$7:$Q$35,Cement!$G$7:$G$35,"")</f>
        <v>-15.986882557901206</v>
      </c>
      <c r="H17" s="2314">
        <f>_xlfn.XLOOKUP($O17,Cement!Q$7:Q$35,Cement!H$7:H$35,"")</f>
        <v>0.75609756097560976</v>
      </c>
      <c r="I17" s="2314">
        <f>_xlfn.XLOOKUP(O17,Cement!Q$7:Q$35,Cement!J$7:J$35,"")</f>
        <v>0.28343313373253493</v>
      </c>
      <c r="J17" s="2112">
        <f>_xlfn.XLOOKUP(O17,'Sales Rec'!$E$4:$E$91,'Sales Rec'!$CV$4:$CV$91,"")</f>
        <v>9</v>
      </c>
      <c r="K17" s="2216">
        <f>_xlfn.XLOOKUP(O17,Cement!Q$7:Q$35,Cement!$L$7:$L$35,"")</f>
        <v>2</v>
      </c>
      <c r="L17" s="2113" t="str">
        <f>_xlfn.XLOOKUP(O17,'Sales Rec'!$E$4:$E$32,'Sales Rec'!$DS$4:$DS$32,"")</f>
        <v>B</v>
      </c>
      <c r="M17" s="390" t="str">
        <f>_xlfn.XLOOKUP(O17,'Sales Rec'!$E$4:$E$32,'Sales Rec'!$DZ$4:$DZ$32,"")</f>
        <v>B</v>
      </c>
      <c r="N17" s="60" t="s">
        <v>78</v>
      </c>
      <c r="O17" s="124" t="s">
        <v>79</v>
      </c>
      <c r="P17" s="1570">
        <v>9</v>
      </c>
      <c r="Q17" s="264">
        <f>VLOOKUP(O17,Cement!$Q$7:$CC$35,4,FALSE)</f>
        <v>8820</v>
      </c>
      <c r="R17" s="292">
        <f>_xlfn.XLOOKUP(O17,Cement!$Q$7:$Q$35,Cement!$U$7:$U$35,"")</f>
        <v>2.68</v>
      </c>
      <c r="S17" s="292">
        <f>_xlfn.XLOOKUP(O17,'دیده بان بازار'!$A$8:$A$3179,'دیده بان بازار'!$L$8:$L$3179,"")</f>
        <v>230</v>
      </c>
      <c r="T17" s="304">
        <f>VLOOKUP(O17,Cement!$Q$7:$CC$35,6,FALSE)</f>
        <v>8820</v>
      </c>
      <c r="U17" s="361">
        <f>_xlfn.XLOOKUP(O17,Cement!$Q$7:$Q$35,Cement!$W$7:$W$35,"")</f>
        <v>2.68</v>
      </c>
      <c r="V17" s="361">
        <f>_xlfn.XLOOKUP(O17,'دیده بان بازار'!$A$8:$A$3179,'دیده بان بازار'!$I$8:$I$3179,"")</f>
        <v>230</v>
      </c>
      <c r="W17" s="66">
        <f>_xlfn.XLOOKUP(O17,Cement!$Q$7:$Q$35,Cement!$S$7:$S$35,"")</f>
        <v>8820</v>
      </c>
      <c r="X17" s="1603">
        <f>_xlfn.XLOOKUP(O17,'Sales Rec'!$E$4:$E$93,'Sales Rec'!$DW$4:$DW$93,"")</f>
        <v>3.8381788261108065</v>
      </c>
      <c r="Y17" s="850">
        <f>_xlfn.XLOOKUP(N17,Cement!$P$7:$P$35,Cement!$Z$7:$Z$35,"")</f>
        <v>1.2061030515257629</v>
      </c>
      <c r="Z17" s="1453">
        <f t="shared" ca="1" si="16"/>
        <v>0.73097154637925021</v>
      </c>
      <c r="AA17" s="824">
        <f ca="1">_xlfn.XLOOKUP(O17,Cement!$Q$7:$Q$35,Cement!$AB$7:$AB$35,"")</f>
        <v>-48.439620391349692</v>
      </c>
      <c r="AB17" s="2010">
        <f>_xlfn.XLOOKUP(N17,Cement!$P$7:$P$35,Cement!$AG$7:$AG$35,"")</f>
        <v>7.2276119402985071</v>
      </c>
      <c r="AC17" s="562">
        <f t="shared" si="17"/>
        <v>-1.0343985391463137</v>
      </c>
      <c r="AD17" s="308">
        <f>_xlfn.XLOOKUP(N17,Cement!$P$7:$P$35,Cement!$AM$7:$AM$35,"")</f>
        <v>10000000000</v>
      </c>
      <c r="AE17" s="1933">
        <f ca="1">_xlfn.XLOOKUP(O17,Cement!$Q$7:$Q$35,Cement!$AH$7:$AH$35,"")</f>
        <v>200</v>
      </c>
      <c r="AF17" s="1612">
        <f>_xlfn.XLOOKUP(O17,Cement!$Q$7:$Q$35,Cement!$AI$7:$AI$35,"")</f>
        <v>46074</v>
      </c>
      <c r="AG17" s="1858">
        <f>_xlfn.XLOOKUP(O17,Cement!$Q$7:$Q$35,Cement!$EI$7:$EI$35,"")</f>
        <v>750</v>
      </c>
      <c r="AH17" s="1829">
        <f>_xlfn.XLOOKUP(O17,Cement!$Q$7:$Q$37,Cement!$AJ$7:$AJ$37,"")</f>
        <v>46154</v>
      </c>
      <c r="AI17" s="1827">
        <f>_xlfn.XLOOKUP($O17,Cement!$Q$7:$Q$35,Cement!$CB$7:$CB$35,"")</f>
        <v>1761</v>
      </c>
      <c r="AJ17" s="1340">
        <f>_xlfn.XLOOKUP($O17,Cement!$Q$7:$Q$35,Cement!$BV$7:$BV$35,"")</f>
        <v>4.6364769474567282</v>
      </c>
      <c r="AK17" s="1206">
        <f>_xlfn.XLOOKUP($O17,Cement!$Q$7:$Q$35,Cement!$CC$7:$CC$35,"")</f>
        <v>5.01</v>
      </c>
      <c r="AL17" s="683" t="s">
        <v>603</v>
      </c>
      <c r="AM17" s="684">
        <v>8762</v>
      </c>
      <c r="AN17" s="793">
        <v>4878</v>
      </c>
      <c r="AO17" s="794">
        <f t="shared" si="18"/>
        <v>0.80811808118081185</v>
      </c>
      <c r="AP17" s="329">
        <v>5600000</v>
      </c>
      <c r="AQ17" s="334">
        <f t="shared" si="19"/>
        <v>4895735.04</v>
      </c>
      <c r="AR17" s="330">
        <f t="shared" si="20"/>
        <v>0.10639908808234405</v>
      </c>
      <c r="AS17" s="272"/>
      <c r="AT17" s="234">
        <f t="shared" si="21"/>
        <v>0</v>
      </c>
      <c r="AU17" s="402">
        <v>555000</v>
      </c>
      <c r="AV17" s="1137">
        <v>0</v>
      </c>
      <c r="AW17" s="342">
        <v>2500000</v>
      </c>
      <c r="AX17" s="334">
        <f t="shared" si="22"/>
        <v>2185596</v>
      </c>
      <c r="AY17" s="343">
        <f t="shared" si="23"/>
        <v>9.7854362148648288E-2</v>
      </c>
      <c r="AZ17" s="272"/>
      <c r="BA17" s="234">
        <f t="shared" si="24"/>
        <v>0</v>
      </c>
      <c r="BB17" s="402">
        <v>187500</v>
      </c>
      <c r="BC17" s="1151">
        <v>0</v>
      </c>
      <c r="BD17" s="333">
        <v>300000</v>
      </c>
      <c r="BE17" s="334">
        <f t="shared" si="25"/>
        <v>262271.52</v>
      </c>
      <c r="BF17" s="298">
        <f t="shared" si="26"/>
        <v>0.16975557103158093</v>
      </c>
      <c r="BG17" s="272"/>
      <c r="BH17" s="234">
        <f t="shared" si="27"/>
        <v>0</v>
      </c>
      <c r="BI17" s="402">
        <v>26250</v>
      </c>
      <c r="BJ17" s="297">
        <v>0</v>
      </c>
      <c r="BK17" s="720">
        <f t="shared" si="28"/>
        <v>7408800</v>
      </c>
      <c r="BL17" s="721">
        <f t="shared" si="29"/>
        <v>8400000</v>
      </c>
      <c r="BM17" s="722">
        <f t="shared" si="30"/>
        <v>0.15936951326257917</v>
      </c>
      <c r="BN17" s="623"/>
      <c r="BO17" s="610">
        <v>30000</v>
      </c>
      <c r="BP17" s="334">
        <f t="shared" si="31"/>
        <v>26227.151999999998</v>
      </c>
      <c r="BQ17" s="612">
        <f t="shared" si="32"/>
        <v>1.5936604340193727E-2</v>
      </c>
      <c r="BR17" s="272"/>
      <c r="BS17" s="234">
        <f t="shared" si="33"/>
        <v>0</v>
      </c>
      <c r="BT17" s="402">
        <v>2250</v>
      </c>
      <c r="BU17" s="297">
        <v>0</v>
      </c>
      <c r="BV17" s="628">
        <v>30000</v>
      </c>
      <c r="BW17" s="334">
        <f t="shared" si="34"/>
        <v>26227.151999999998</v>
      </c>
      <c r="BX17" s="630">
        <f t="shared" si="35"/>
        <v>0.10167848586116258</v>
      </c>
      <c r="BY17" s="272"/>
      <c r="BZ17" s="234">
        <f t="shared" si="36"/>
        <v>0</v>
      </c>
      <c r="CA17" s="402">
        <v>2250</v>
      </c>
      <c r="CB17" s="297">
        <v>0</v>
      </c>
      <c r="CC17" s="1764">
        <v>1300000</v>
      </c>
      <c r="CD17" s="334">
        <f t="shared" si="37"/>
        <v>1136509.92</v>
      </c>
      <c r="CE17" s="1767">
        <f t="shared" si="38"/>
        <v>9.3567948669635914E-2</v>
      </c>
      <c r="CF17" s="272"/>
      <c r="CG17" s="234">
        <f t="shared" si="39"/>
        <v>0</v>
      </c>
      <c r="CH17" s="402">
        <v>90000</v>
      </c>
      <c r="CI17" s="1780">
        <v>0</v>
      </c>
      <c r="CJ17" s="2074">
        <v>7600000</v>
      </c>
      <c r="CK17" s="334">
        <f t="shared" si="40"/>
        <v>6644211.8399999999</v>
      </c>
      <c r="CL17" s="2070">
        <f t="shared" si="41"/>
        <v>8.7549267033492764E-2</v>
      </c>
      <c r="CM17" s="272"/>
      <c r="CN17" s="234">
        <f t="shared" si="45"/>
        <v>0</v>
      </c>
      <c r="CO17" s="402">
        <v>600000</v>
      </c>
      <c r="CP17" s="1780">
        <v>0</v>
      </c>
      <c r="CS17" s="333">
        <v>300000</v>
      </c>
      <c r="CT17" s="334">
        <f t="shared" si="42"/>
        <v>262271.52</v>
      </c>
      <c r="CU17" s="298">
        <f t="shared" si="43"/>
        <v>0.16975557103158093</v>
      </c>
      <c r="CV17" s="272"/>
      <c r="CW17" s="234">
        <f t="shared" si="44"/>
        <v>0</v>
      </c>
      <c r="CX17" s="402">
        <v>26250</v>
      </c>
      <c r="CY17" s="297">
        <v>0</v>
      </c>
    </row>
    <row r="18" spans="1:103" ht="35" customHeight="1">
      <c r="A18" s="100">
        <f>_xlfn.XLOOKUP(O18,Cement!Q$7:Q$35,Cement!A$7:A$35,"")</f>
        <v>21.12491215339011</v>
      </c>
      <c r="B18" s="100">
        <f>_xlfn.XLOOKUP(O18,Cement!Q$7:Q$35,Cement!B$7:B$35,"")</f>
        <v>21.12491215339011</v>
      </c>
      <c r="C18" s="1585">
        <f ca="1">_xlfn.XLOOKUP(O18,Cement!Q$7:Q$35,Cement!$C$7:$C$35,"")</f>
        <v>0.24880034803489742</v>
      </c>
      <c r="D18" s="2111">
        <f>_xlfn.XLOOKUP(O18,Cement!$Q$7:$Q$35,Cement!$D$7:$D$35,"")</f>
        <v>0.34741797534997865</v>
      </c>
      <c r="E18" s="1236">
        <f>_xlfn.XLOOKUP($O18,Cement!$Q$7:$Q$35,Cement!$E$7:$E$35,"")</f>
        <v>18.700000000000006</v>
      </c>
      <c r="F18" s="1235">
        <f>_xlfn.XLOOKUP($O18,Cement!$Q$7:$Q$35,Cement!$F$7:$F$35,"")</f>
        <v>19.700000000000006</v>
      </c>
      <c r="G18" s="2125">
        <f>_xlfn.XLOOKUP($O18,Cement!$Q$7:$Q$35,Cement!$G$7:$G$35,"")</f>
        <v>-8.1807458742181396</v>
      </c>
      <c r="H18" s="2314">
        <f>_xlfn.XLOOKUP($O18,Cement!Q$7:Q$35,Cement!H$7:H$35,"")</f>
        <v>-0.12585212375458835</v>
      </c>
      <c r="I18" s="2314">
        <f>_xlfn.XLOOKUP(O18,Cement!Q$7:Q$35,Cement!J$7:J$35,"")</f>
        <v>-0.34624697336561744</v>
      </c>
      <c r="J18" s="2112">
        <f>_xlfn.XLOOKUP(O18,'Sales Rec'!$E$4:$E$91,'Sales Rec'!$CV$4:$CV$91,"")</f>
        <v>29</v>
      </c>
      <c r="K18" s="2216">
        <f>_xlfn.XLOOKUP(O18,Cement!Q$7:Q$35,Cement!$L$7:$L$35,"")</f>
        <v>5</v>
      </c>
      <c r="L18" s="390" t="str">
        <f>_xlfn.XLOOKUP(O18,'Sales Rec'!$E$4:$E$32,'Sales Rec'!$DS$4:$DS$32,"")</f>
        <v>SS</v>
      </c>
      <c r="M18" s="390" t="str">
        <f>_xlfn.XLOOKUP(O18,'Sales Rec'!$E$4:$E$32,'Sales Rec'!$DZ$4:$DZ$32,"")</f>
        <v>N</v>
      </c>
      <c r="N18" s="60" t="s">
        <v>27</v>
      </c>
      <c r="O18" s="124" t="s">
        <v>28</v>
      </c>
      <c r="P18" s="1570">
        <v>9</v>
      </c>
      <c r="Q18" s="264">
        <f>VLOOKUP(O18,Cement!$Q$7:$CC$35,4,FALSE)</f>
        <v>57170</v>
      </c>
      <c r="R18" s="292">
        <f>_xlfn.XLOOKUP(O18,Cement!$Q$7:$Q$35,Cement!$U$7:$U$35,"")</f>
        <v>2.95</v>
      </c>
      <c r="S18" s="292">
        <f>_xlfn.XLOOKUP(O18,'دیده بان بازار'!$A$8:$A$3179,'دیده بان بازار'!$L$8:$L$3179,"")</f>
        <v>1640</v>
      </c>
      <c r="T18" s="304">
        <f>VLOOKUP(O18,Cement!$Q$7:$CC$35,6,FALSE)</f>
        <v>57190</v>
      </c>
      <c r="U18" s="361">
        <f>_xlfn.XLOOKUP(O18,Cement!$Q$7:$Q$35,Cement!$W$7:$W$35,"")</f>
        <v>2.99</v>
      </c>
      <c r="V18" s="361">
        <f>_xlfn.XLOOKUP(O18,'دیده بان بازار'!$A$8:$A$3179,'دیده بان بازار'!$I$8:$I$3179,"")</f>
        <v>1660</v>
      </c>
      <c r="W18" s="66">
        <f>_xlfn.XLOOKUP(O18,Cement!$Q$7:$Q$35,Cement!$S$7:$S$35,"")</f>
        <v>7663.46</v>
      </c>
      <c r="X18" s="1603">
        <f>_xlfn.XLOOKUP(O18,'Sales Rec'!$E$4:$E$93,'Sales Rec'!$DW$4:$DW$93,"")</f>
        <v>0.30421892816419621</v>
      </c>
      <c r="Y18" s="850">
        <f>_xlfn.XLOOKUP(N18,Cement!$P$7:$P$35,Cement!$Z$7:$Z$35,"")</f>
        <v>4.3073363277528247E-2</v>
      </c>
      <c r="Z18" s="1453">
        <f t="shared" ca="1" si="16"/>
        <v>6.6266712734658839E-2</v>
      </c>
      <c r="AA18" s="824">
        <f ca="1">_xlfn.XLOOKUP(O18,Cement!$Q$7:$Q$35,Cement!$AB$7:$AB$35,"")</f>
        <v>18.030862973109461</v>
      </c>
      <c r="AB18" s="2010">
        <f>_xlfn.XLOOKUP(N18,Cement!$P$7:$P$35,Cement!$AG$7:$AG$35,"")</f>
        <v>2.856799194765979</v>
      </c>
      <c r="AC18" s="562">
        <f t="shared" si="17"/>
        <v>3.1588841650639354</v>
      </c>
      <c r="AD18" s="308">
        <f>_xlfn.XLOOKUP(N18,Cement!$P$7:$P$35,Cement!$AM$7:$AM$35,"")</f>
        <v>1340000000</v>
      </c>
      <c r="AE18" s="1933">
        <f ca="1">_xlfn.XLOOKUP(O18,Cement!$Q$7:$Q$35,Cement!$AH$7:$AH$35,"")</f>
        <v>300</v>
      </c>
      <c r="AF18" s="1612">
        <f>_xlfn.XLOOKUP(O18,Cement!$Q$7:$Q$35,Cement!$AI$7:$AI$35,"")</f>
        <v>46174</v>
      </c>
      <c r="AG18" s="1857">
        <f>_xlfn.XLOOKUP(O18,Cement!$Q$7:$Q$35,Cement!$EI$7:$EI$35,"")</f>
        <v>8120</v>
      </c>
      <c r="AH18" s="1821">
        <f>_xlfn.XLOOKUP(O18,Cement!$Q$7:$Q$37,Cement!$AJ$7:$AJ$37,"")</f>
        <v>46270</v>
      </c>
      <c r="AI18" s="1827">
        <f>_xlfn.XLOOKUP($O18,Cement!$Q$7:$Q$35,Cement!$CB$7:$CB$35,"")</f>
        <v>11890</v>
      </c>
      <c r="AJ18" s="1340">
        <f>_xlfn.XLOOKUP($O18,Cement!$Q$7:$Q$35,Cement!$BV$7:$BV$35,"")</f>
        <v>4.462582024650021</v>
      </c>
      <c r="AK18" s="1206">
        <f>_xlfn.XLOOKUP($O18,Cement!$Q$7:$Q$35,Cement!$CC$7:$CC$35,"")</f>
        <v>4.8099999999999996</v>
      </c>
      <c r="AL18" s="683" t="s">
        <v>603</v>
      </c>
      <c r="AM18" s="684">
        <v>59274</v>
      </c>
      <c r="AN18" s="793">
        <v>42173</v>
      </c>
      <c r="AO18" s="794">
        <f t="shared" si="18"/>
        <v>0.35608090484433169</v>
      </c>
      <c r="AP18" s="329">
        <v>280000</v>
      </c>
      <c r="AQ18" s="334">
        <f t="shared" si="19"/>
        <v>1587228.3839999998</v>
      </c>
      <c r="AR18" s="330">
        <f t="shared" si="20"/>
        <v>3.4495259906061539E-2</v>
      </c>
      <c r="AS18" s="272">
        <v>320000</v>
      </c>
      <c r="AT18" s="234">
        <f t="shared" si="21"/>
        <v>259840</v>
      </c>
      <c r="AU18" s="402">
        <v>265717</v>
      </c>
      <c r="AV18" s="1137">
        <v>0</v>
      </c>
      <c r="AW18" s="342">
        <v>90000</v>
      </c>
      <c r="AX18" s="334">
        <f t="shared" si="22"/>
        <v>510180.55199999997</v>
      </c>
      <c r="AY18" s="343">
        <f t="shared" si="23"/>
        <v>2.2842003964413039E-2</v>
      </c>
      <c r="AZ18" s="272">
        <v>100000</v>
      </c>
      <c r="BA18" s="234">
        <f t="shared" si="24"/>
        <v>81200</v>
      </c>
      <c r="BB18" s="402">
        <v>67236</v>
      </c>
      <c r="BC18" s="1151">
        <v>0</v>
      </c>
      <c r="BD18" s="333">
        <v>11000</v>
      </c>
      <c r="BE18" s="334">
        <f t="shared" si="25"/>
        <v>62355.400799999996</v>
      </c>
      <c r="BF18" s="298">
        <f t="shared" si="26"/>
        <v>4.0359611557164485E-2</v>
      </c>
      <c r="BG18" s="272">
        <v>13000</v>
      </c>
      <c r="BH18" s="234">
        <f t="shared" si="27"/>
        <v>10556</v>
      </c>
      <c r="BI18" s="402">
        <v>5172</v>
      </c>
      <c r="BJ18" s="297">
        <v>0</v>
      </c>
      <c r="BK18" s="720">
        <f t="shared" si="28"/>
        <v>2178939</v>
      </c>
      <c r="BL18" s="721">
        <f t="shared" si="29"/>
        <v>381000</v>
      </c>
      <c r="BM18" s="722">
        <f t="shared" si="30"/>
        <v>4.6870808748900088E-2</v>
      </c>
      <c r="BN18" s="623"/>
      <c r="BO18" s="610">
        <v>13000</v>
      </c>
      <c r="BP18" s="334">
        <f t="shared" si="31"/>
        <v>73692.746400000004</v>
      </c>
      <c r="BQ18" s="612">
        <f t="shared" si="32"/>
        <v>4.4778485369628994E-2</v>
      </c>
      <c r="BR18" s="272">
        <v>15000</v>
      </c>
      <c r="BS18" s="234">
        <f t="shared" si="33"/>
        <v>12180</v>
      </c>
      <c r="BT18" s="402">
        <v>7396</v>
      </c>
      <c r="BU18" s="297">
        <v>0</v>
      </c>
      <c r="BV18" s="628">
        <v>4000</v>
      </c>
      <c r="BW18" s="334">
        <f t="shared" si="34"/>
        <v>22674.691200000001</v>
      </c>
      <c r="BX18" s="630">
        <f t="shared" si="35"/>
        <v>8.7906161850338449E-2</v>
      </c>
      <c r="BY18" s="272">
        <v>7000</v>
      </c>
      <c r="BZ18" s="234">
        <f t="shared" si="36"/>
        <v>5684</v>
      </c>
      <c r="CA18" s="402">
        <v>3620</v>
      </c>
      <c r="CB18" s="297">
        <v>0</v>
      </c>
      <c r="CC18" s="1764">
        <v>20000</v>
      </c>
      <c r="CD18" s="334">
        <f t="shared" si="37"/>
        <v>113373.45599999999</v>
      </c>
      <c r="CE18" s="1767">
        <f t="shared" si="38"/>
        <v>9.3339455510491505E-3</v>
      </c>
      <c r="CF18" s="272">
        <v>12000</v>
      </c>
      <c r="CG18" s="234">
        <f t="shared" si="39"/>
        <v>9744</v>
      </c>
      <c r="CH18" s="402"/>
      <c r="CI18" s="1780">
        <v>0</v>
      </c>
      <c r="CJ18" s="2074">
        <v>30000</v>
      </c>
      <c r="CK18" s="334">
        <f t="shared" si="40"/>
        <v>170060.18400000001</v>
      </c>
      <c r="CL18" s="2070">
        <f t="shared" si="41"/>
        <v>2.2408443347858272E-3</v>
      </c>
      <c r="CM18" s="272">
        <v>30000</v>
      </c>
      <c r="CN18" s="234">
        <f t="shared" si="45"/>
        <v>24360</v>
      </c>
      <c r="CO18" s="402">
        <v>25860</v>
      </c>
      <c r="CP18" s="1780">
        <v>0</v>
      </c>
      <c r="CS18" s="333">
        <v>11000</v>
      </c>
      <c r="CT18" s="334">
        <f t="shared" si="42"/>
        <v>62355.400799999996</v>
      </c>
      <c r="CU18" s="298">
        <f t="shared" si="43"/>
        <v>4.0359611557164485E-2</v>
      </c>
      <c r="CV18" s="272">
        <v>13000</v>
      </c>
      <c r="CW18" s="234">
        <f t="shared" si="44"/>
        <v>10556</v>
      </c>
      <c r="CX18" s="402">
        <v>5172</v>
      </c>
      <c r="CY18" s="297">
        <v>0</v>
      </c>
    </row>
    <row r="19" spans="1:103" ht="35" customHeight="1">
      <c r="A19" s="100">
        <f>_xlfn.XLOOKUP(O19,Cement!Q$7:Q$35,Cement!A$7:A$35,"")</f>
        <v>16.477230296443544</v>
      </c>
      <c r="B19" s="100">
        <f>_xlfn.XLOOKUP(O19,Cement!Q$7:Q$35,Cement!B$7:B$35,"")</f>
        <v>10.354331926451188</v>
      </c>
      <c r="C19" s="1585">
        <f ca="1">_xlfn.XLOOKUP(O19,Cement!Q$7:Q$35,Cement!$C$7:$C$35,"")</f>
        <v>0.19890082225128208</v>
      </c>
      <c r="D19" s="2111">
        <f>_xlfn.XLOOKUP(O19,Cement!$Q$7:$Q$35,Cement!$D$7:$D$35,"")</f>
        <v>-1.513668354090318</v>
      </c>
      <c r="E19" s="1236">
        <f>_xlfn.XLOOKUP($O19,Cement!$Q$7:$Q$35,Cement!$E$7:$E$35,"")</f>
        <v>-7.7999999999999954</v>
      </c>
      <c r="F19" s="1235">
        <f>_xlfn.XLOOKUP($O19,Cement!$Q$7:$Q$35,Cement!$F$7:$F$35,"")</f>
        <v>-6.5</v>
      </c>
      <c r="G19" s="2125">
        <f>_xlfn.XLOOKUP($O19,Cement!$Q$7:$Q$35,Cement!$G$7:$G$35,"")</f>
        <v>3.737296483410474</v>
      </c>
      <c r="H19" s="2314">
        <f>_xlfn.XLOOKUP($O19,Cement!Q$7:Q$35,Cement!H$7:H$35,"")</f>
        <v>0.20092112838226828</v>
      </c>
      <c r="I19" s="2314">
        <f>_xlfn.XLOOKUP(O19,Cement!Q$7:Q$35,Cement!J$7:J$35,"")</f>
        <v>0.76657824933687002</v>
      </c>
      <c r="J19" s="2112">
        <f>_xlfn.XLOOKUP(O19,'Sales Rec'!$E$4:$E$91,'Sales Rec'!$CV$4:$CV$91,"")</f>
        <v>27</v>
      </c>
      <c r="K19" s="2217">
        <f>_xlfn.XLOOKUP(O19,Cement!Q$7:Q$35,Cement!$L$7:$L$35,"")</f>
        <v>8</v>
      </c>
      <c r="L19" s="390" t="str">
        <f>_xlfn.XLOOKUP(O19,'Sales Rec'!$E$4:$E$32,'Sales Rec'!$DS$4:$DS$32,"")</f>
        <v>S</v>
      </c>
      <c r="M19" s="390" t="str">
        <f>_xlfn.XLOOKUP(O19,'Sales Rec'!$E$4:$E$32,'Sales Rec'!$DZ$4:$DZ$32,"")</f>
        <v>N</v>
      </c>
      <c r="N19" s="60" t="s">
        <v>70</v>
      </c>
      <c r="O19" s="124" t="s">
        <v>71</v>
      </c>
      <c r="P19" s="1570">
        <v>10</v>
      </c>
      <c r="Q19" s="264">
        <f>VLOOKUP(O19,Cement!$Q$7:$CC$35,4,FALSE)</f>
        <v>135700</v>
      </c>
      <c r="R19" s="292">
        <f>_xlfn.XLOOKUP(O19,Cement!$Q$7:$Q$35,Cement!$U$7:$U$35,"")</f>
        <v>2.96</v>
      </c>
      <c r="S19" s="292">
        <f>_xlfn.XLOOKUP(O19,'دیده بان بازار'!$A$8:$A$3179,'دیده بان بازار'!$L$8:$L$3179,"")</f>
        <v>3900</v>
      </c>
      <c r="T19" s="304">
        <f>VLOOKUP(O19,Cement!$Q$7:$CC$35,6,FALSE)</f>
        <v>135700</v>
      </c>
      <c r="U19" s="361">
        <f>_xlfn.XLOOKUP(O19,Cement!$Q$7:$Q$35,Cement!$W$7:$W$35,"")</f>
        <v>2.96</v>
      </c>
      <c r="V19" s="361">
        <f>_xlfn.XLOOKUP(O19,'دیده بان بازار'!$A$8:$A$3179,'دیده بان بازار'!$I$8:$I$3179,"")</f>
        <v>3900</v>
      </c>
      <c r="W19" s="66">
        <f>_xlfn.XLOOKUP(O19,Cement!$Q$7:$Q$35,Cement!$S$7:$S$35,"")</f>
        <v>9889.6667300000008</v>
      </c>
      <c r="X19" s="1603">
        <f>_xlfn.XLOOKUP(O19,'Sales Rec'!$E$4:$E$93,'Sales Rec'!$DW$4:$DW$93,"")</f>
        <v>0.46055322354967188</v>
      </c>
      <c r="Y19" s="850">
        <f>_xlfn.XLOOKUP(N19,Cement!$P$7:$P$35,Cement!$Z$7:$Z$35,"")</f>
        <v>-0.18145450008276767</v>
      </c>
      <c r="Z19" s="1453">
        <f t="shared" ca="1" si="16"/>
        <v>-0.40323222240615042</v>
      </c>
      <c r="AA19" s="824">
        <f ca="1">_xlfn.XLOOKUP(O19,Cement!$Q$7:$Q$35,Cement!$AB$7:$AB$35,"")</f>
        <v>64.980756487190376</v>
      </c>
      <c r="AB19" s="2010">
        <f>_xlfn.XLOOKUP(N19,Cement!$P$7:$P$35,Cement!$AG$7:$AG$35,"")</f>
        <v>4.159695817490495</v>
      </c>
      <c r="AC19" s="562">
        <f t="shared" si="17"/>
        <v>18.584741614578757</v>
      </c>
      <c r="AD19" s="308">
        <f>_xlfn.XLOOKUP(N19,Cement!$P$7:$P$35,Cement!$AM$7:$AM$35,"")</f>
        <v>728789000</v>
      </c>
      <c r="AE19" s="1933">
        <f ca="1">_xlfn.XLOOKUP(O19,Cement!$Q$7:$Q$35,Cement!$AH$7:$AH$35,"")</f>
        <v>320</v>
      </c>
      <c r="AF19" s="1612">
        <f>_xlfn.XLOOKUP(O19,Cement!$Q$7:$Q$35,Cement!$AI$7:$AI$35,"")</f>
        <v>46194</v>
      </c>
      <c r="AG19" s="1927">
        <f>_xlfn.XLOOKUP(O19,Cement!$Q$7:$Q$35,Cement!$EI$7:$EI$35,"")</f>
        <v>22700</v>
      </c>
      <c r="AH19" s="1821">
        <f>_xlfn.XLOOKUP(O19,Cement!$Q$7:$Q$37,Cement!$AJ$7:$AJ$37,"")</f>
        <v>46279</v>
      </c>
      <c r="AI19" s="1827">
        <f>_xlfn.XLOOKUP($O19,Cement!$Q$7:$Q$35,Cement!$CB$7:$CB$35,"")</f>
        <v>26819</v>
      </c>
      <c r="AJ19" s="1340">
        <f>_xlfn.XLOOKUP($O19,Cement!$Q$7:$Q$35,Cement!$BV$7:$BV$35,"")</f>
        <v>6.5736683540903176</v>
      </c>
      <c r="AK19" s="1206">
        <f>_xlfn.XLOOKUP($O19,Cement!$Q$7:$Q$35,Cement!$CC$7:$CC$35,"")</f>
        <v>5.0599999999999996</v>
      </c>
      <c r="AL19" s="681" t="s">
        <v>197</v>
      </c>
      <c r="AM19" s="682">
        <v>113590</v>
      </c>
      <c r="AN19" s="793">
        <v>117744</v>
      </c>
      <c r="AO19" s="794">
        <f t="shared" si="18"/>
        <v>0.15250033972007065</v>
      </c>
      <c r="AP19" s="329">
        <v>3000</v>
      </c>
      <c r="AQ19" s="334">
        <f t="shared" si="19"/>
        <v>40351.752</v>
      </c>
      <c r="AR19" s="330">
        <f t="shared" si="20"/>
        <v>8.7696527288472345E-4</v>
      </c>
      <c r="AS19" s="272">
        <v>3000</v>
      </c>
      <c r="AT19" s="234">
        <f t="shared" si="21"/>
        <v>6810</v>
      </c>
      <c r="AU19" s="402">
        <v>80450</v>
      </c>
      <c r="AV19" s="1137">
        <v>0</v>
      </c>
      <c r="AW19" s="342"/>
      <c r="AX19" s="334">
        <f t="shared" si="22"/>
        <v>0</v>
      </c>
      <c r="AY19" s="343">
        <f t="shared" si="23"/>
        <v>0</v>
      </c>
      <c r="AZ19" s="272"/>
      <c r="BA19" s="234">
        <f t="shared" si="24"/>
        <v>0</v>
      </c>
      <c r="BB19" s="402">
        <v>32250</v>
      </c>
      <c r="BC19" s="1151">
        <v>0</v>
      </c>
      <c r="BD19" s="333"/>
      <c r="BE19" s="334">
        <f t="shared" si="25"/>
        <v>0</v>
      </c>
      <c r="BF19" s="298">
        <f t="shared" si="26"/>
        <v>0</v>
      </c>
      <c r="BG19" s="272"/>
      <c r="BH19" s="234">
        <f t="shared" si="27"/>
        <v>0</v>
      </c>
      <c r="BI19" s="402">
        <v>2600</v>
      </c>
      <c r="BJ19" s="297">
        <v>0</v>
      </c>
      <c r="BK19" s="720">
        <f t="shared" si="28"/>
        <v>40710</v>
      </c>
      <c r="BL19" s="721">
        <f t="shared" si="29"/>
        <v>3000</v>
      </c>
      <c r="BM19" s="722">
        <f t="shared" si="30"/>
        <v>8.7570630667849019E-4</v>
      </c>
      <c r="BN19" s="623"/>
      <c r="BO19" s="610"/>
      <c r="BP19" s="334">
        <f t="shared" si="31"/>
        <v>0</v>
      </c>
      <c r="BQ19" s="612">
        <f t="shared" si="32"/>
        <v>0</v>
      </c>
      <c r="BR19" s="272"/>
      <c r="BS19" s="234">
        <f t="shared" si="33"/>
        <v>0</v>
      </c>
      <c r="BT19" s="402"/>
      <c r="BU19" s="297">
        <v>0</v>
      </c>
      <c r="BV19" s="628"/>
      <c r="BW19" s="334">
        <f t="shared" si="34"/>
        <v>0</v>
      </c>
      <c r="BX19" s="630">
        <f t="shared" si="35"/>
        <v>0</v>
      </c>
      <c r="BY19" s="272"/>
      <c r="BZ19" s="234">
        <f t="shared" si="36"/>
        <v>0</v>
      </c>
      <c r="CA19" s="402">
        <v>1500</v>
      </c>
      <c r="CB19" s="297">
        <v>0</v>
      </c>
      <c r="CC19" s="1764"/>
      <c r="CD19" s="334">
        <f t="shared" si="37"/>
        <v>0</v>
      </c>
      <c r="CE19" s="1767">
        <f t="shared" si="38"/>
        <v>0</v>
      </c>
      <c r="CF19" s="272"/>
      <c r="CG19" s="234">
        <f t="shared" si="39"/>
        <v>0</v>
      </c>
      <c r="CH19" s="402"/>
      <c r="CI19" s="1780">
        <v>0</v>
      </c>
      <c r="CJ19" s="2074"/>
      <c r="CK19" s="334">
        <f t="shared" si="40"/>
        <v>0</v>
      </c>
      <c r="CL19" s="2070">
        <f t="shared" si="41"/>
        <v>0</v>
      </c>
      <c r="CM19" s="272"/>
      <c r="CN19" s="234">
        <f t="shared" si="45"/>
        <v>0</v>
      </c>
      <c r="CO19" s="402"/>
      <c r="CP19" s="1780">
        <v>0</v>
      </c>
      <c r="CS19" s="333"/>
      <c r="CT19" s="334">
        <f t="shared" si="42"/>
        <v>0</v>
      </c>
      <c r="CU19" s="298">
        <f t="shared" si="43"/>
        <v>0</v>
      </c>
      <c r="CV19" s="272"/>
      <c r="CW19" s="234">
        <f t="shared" si="44"/>
        <v>0</v>
      </c>
      <c r="CX19" s="402">
        <v>2600</v>
      </c>
      <c r="CY19" s="297">
        <v>0</v>
      </c>
    </row>
    <row r="20" spans="1:103" ht="35" customHeight="1">
      <c r="A20" s="100">
        <f>_xlfn.XLOOKUP(O20,Cement!Q$7:Q$35,Cement!A$7:A$35,"")</f>
        <v>15.202117459117378</v>
      </c>
      <c r="B20" s="100">
        <f>_xlfn.XLOOKUP(O20,Cement!Q$7:Q$35,Cement!B$7:B$35,"")</f>
        <v>6.7690925595276914</v>
      </c>
      <c r="C20" s="1585">
        <f ca="1">_xlfn.XLOOKUP(O20,Cement!Q$7:Q$35,Cement!$C$7:$C$35,"")</f>
        <v>0.1396433530988635</v>
      </c>
      <c r="D20" s="2111">
        <f>_xlfn.XLOOKUP(O20,Cement!$Q$7:$Q$35,Cement!$D$7:$D$35,"")</f>
        <v>0.81415005617275593</v>
      </c>
      <c r="E20" s="1236">
        <f>_xlfn.XLOOKUP($O20,Cement!$Q$7:$Q$35,Cement!$E$7:$E$35,"")</f>
        <v>2.7999999999999914</v>
      </c>
      <c r="F20" s="1235">
        <f>_xlfn.XLOOKUP($O20,Cement!$Q$7:$Q$35,Cement!$F$7:$F$35,"")</f>
        <v>0.50000000000000044</v>
      </c>
      <c r="G20" s="2125">
        <f>_xlfn.XLOOKUP($O20,Cement!$Q$7:$Q$35,Cement!$G$7:$G$35,"")</f>
        <v>2.5032616937221808</v>
      </c>
      <c r="H20" s="2314">
        <f>_xlfn.XLOOKUP($O20,Cement!Q$7:Q$35,Cement!H$7:H$35,"")</f>
        <v>0.32444696539988654</v>
      </c>
      <c r="I20" s="2314">
        <f>_xlfn.XLOOKUP(O20,Cement!Q$7:Q$35,Cement!J$7:J$35,"")</f>
        <v>0.50529747351263243</v>
      </c>
      <c r="J20" s="2112">
        <f>_xlfn.XLOOKUP(O20,'Sales Rec'!$E$4:$E$91,'Sales Rec'!$CV$4:$CV$91,"")</f>
        <v>25</v>
      </c>
      <c r="K20" s="2216">
        <f>_xlfn.XLOOKUP(O20,Cement!Q$7:Q$35,Cement!$L$7:$L$35,"")</f>
        <v>15</v>
      </c>
      <c r="L20" s="2113" t="str">
        <f>_xlfn.XLOOKUP(O20,'Sales Rec'!$E$4:$E$32,'Sales Rec'!$DS$4:$DS$32,"")</f>
        <v>N</v>
      </c>
      <c r="M20" s="2113" t="str">
        <f>_xlfn.XLOOKUP(O20,'Sales Rec'!$E$4:$E$32,'Sales Rec'!$DZ$4:$DZ$32,"")</f>
        <v>N</v>
      </c>
      <c r="N20" s="60" t="s">
        <v>56</v>
      </c>
      <c r="O20" s="124" t="s">
        <v>57</v>
      </c>
      <c r="P20" s="1570">
        <v>12</v>
      </c>
      <c r="Q20" s="264">
        <f>VLOOKUP(O20,Cement!$Q$7:$CC$35,4,FALSE)</f>
        <v>167300</v>
      </c>
      <c r="R20" s="292">
        <f>_xlfn.XLOOKUP(O20,Cement!$Q$7:$Q$35,Cement!$U$7:$U$35,"")</f>
        <v>2.95</v>
      </c>
      <c r="S20" s="292">
        <f>_xlfn.XLOOKUP(O20,'دیده بان بازار'!$A$8:$A$3179,'دیده بان بازار'!$L$8:$L$3179,"")</f>
        <v>4800</v>
      </c>
      <c r="T20" s="304">
        <f>VLOOKUP(O20,Cement!$Q$7:$CC$35,6,FALSE)</f>
        <v>167300</v>
      </c>
      <c r="U20" s="361">
        <f>_xlfn.XLOOKUP(O20,Cement!$Q$7:$Q$35,Cement!$W$7:$W$35,"")</f>
        <v>2.95</v>
      </c>
      <c r="V20" s="361">
        <f>_xlfn.XLOOKUP(O20,'دیده بان بازار'!$A$8:$A$3179,'دیده بان بازار'!$I$8:$I$3179,"")</f>
        <v>4800</v>
      </c>
      <c r="W20" s="66">
        <f>_xlfn.XLOOKUP(O20,Cement!$Q$7:$Q$35,Cement!$S$7:$S$35,"")</f>
        <v>18403</v>
      </c>
      <c r="X20" s="1603">
        <f>_xlfn.XLOOKUP(O20,'Sales Rec'!$E$4:$E$93,'Sales Rec'!$DW$4:$DW$93,"")</f>
        <v>0.95238650951102821</v>
      </c>
      <c r="Y20" s="850">
        <f>_xlfn.XLOOKUP(N20,Cement!$P$7:$P$35,Cement!$Z$7:$Z$35,"")</f>
        <v>5.9287399988487886E-2</v>
      </c>
      <c r="Z20" s="1453">
        <f t="shared" ca="1" si="16"/>
        <v>0.10401298243594366</v>
      </c>
      <c r="AA20" s="824">
        <f ca="1">_xlfn.XLOOKUP(O20,Cement!$Q$7:$Q$35,Cement!$AB$7:$AB$35,"")</f>
        <v>14.256236002980975</v>
      </c>
      <c r="AB20" s="2010">
        <f>_xlfn.XLOOKUP(N20,Cement!$P$7:$P$35,Cement!$AG$7:$AG$35,"")</f>
        <v>8.6013227464215642</v>
      </c>
      <c r="AC20" s="562">
        <f t="shared" si="17"/>
        <v>-11.229687479299981</v>
      </c>
      <c r="AD20" s="308">
        <f>_xlfn.XLOOKUP(N20,Cement!$P$7:$P$35,Cement!$AM$7:$AM$35,"")</f>
        <v>1100000000</v>
      </c>
      <c r="AE20" s="1933">
        <f ca="1">_xlfn.XLOOKUP(O20,Cement!$Q$7:$Q$35,Cement!$AH$7:$AH$35,"")</f>
        <v>308</v>
      </c>
      <c r="AF20" s="1612">
        <f>_xlfn.XLOOKUP(O20,Cement!$Q$7:$Q$35,Cement!$AI$7:$AI$35,"")</f>
        <v>46182</v>
      </c>
      <c r="AG20" s="1927">
        <f>_xlfn.XLOOKUP(O20,Cement!$Q$7:$Q$35,Cement!$EI$7:$EI$35,"")</f>
        <v>27400</v>
      </c>
      <c r="AH20" s="1821">
        <f>_xlfn.XLOOKUP(O20,Cement!$Q$7:$Q$37,Cement!$AJ$7:$AJ$37,"")</f>
        <v>46295</v>
      </c>
      <c r="AI20" s="1827">
        <f>_xlfn.XLOOKUP($O20,Cement!$Q$7:$Q$35,Cement!$CB$7:$CB$35,"")</f>
        <v>30922</v>
      </c>
      <c r="AJ20" s="1340">
        <f>_xlfn.XLOOKUP($O20,Cement!$Q$7:$Q$35,Cement!$BV$7:$BV$35,"")</f>
        <v>4.5958499438272442</v>
      </c>
      <c r="AK20" s="1206">
        <f>_xlfn.XLOOKUP($O20,Cement!$Q$7:$Q$35,Cement!$CC$7:$CC$35,"")</f>
        <v>5.41</v>
      </c>
      <c r="AL20" s="683" t="s">
        <v>603</v>
      </c>
      <c r="AM20" s="684">
        <v>150966</v>
      </c>
      <c r="AN20" s="793"/>
      <c r="AO20" s="794"/>
      <c r="AP20" s="329"/>
      <c r="AQ20" s="334">
        <f t="shared" si="19"/>
        <v>0</v>
      </c>
      <c r="AR20" s="330">
        <f t="shared" si="20"/>
        <v>0</v>
      </c>
      <c r="AS20" s="272"/>
      <c r="AT20" s="234">
        <f t="shared" si="21"/>
        <v>0</v>
      </c>
      <c r="AU20" s="402">
        <v>338194</v>
      </c>
      <c r="AV20" s="1137">
        <v>0</v>
      </c>
      <c r="AW20" s="342"/>
      <c r="AX20" s="334">
        <f t="shared" si="22"/>
        <v>0</v>
      </c>
      <c r="AY20" s="343">
        <f t="shared" si="23"/>
        <v>0</v>
      </c>
      <c r="AZ20" s="272"/>
      <c r="BA20" s="234">
        <f t="shared" si="24"/>
        <v>0</v>
      </c>
      <c r="BB20" s="402">
        <v>96469</v>
      </c>
      <c r="BC20" s="1151">
        <v>0</v>
      </c>
      <c r="BD20" s="333"/>
      <c r="BE20" s="334">
        <f t="shared" si="25"/>
        <v>0</v>
      </c>
      <c r="BF20" s="298">
        <f t="shared" si="26"/>
        <v>0</v>
      </c>
      <c r="BG20" s="272"/>
      <c r="BH20" s="234">
        <f t="shared" si="27"/>
        <v>0</v>
      </c>
      <c r="BI20" s="402">
        <v>8340</v>
      </c>
      <c r="BJ20" s="297">
        <v>0</v>
      </c>
      <c r="BK20" s="720">
        <f t="shared" si="28"/>
        <v>0</v>
      </c>
      <c r="BL20" s="721">
        <f t="shared" si="29"/>
        <v>0</v>
      </c>
      <c r="BM20" s="722">
        <f t="shared" si="30"/>
        <v>0</v>
      </c>
      <c r="BN20" s="623"/>
      <c r="BO20" s="610"/>
      <c r="BP20" s="334">
        <f t="shared" si="31"/>
        <v>0</v>
      </c>
      <c r="BQ20" s="612">
        <f t="shared" si="32"/>
        <v>0</v>
      </c>
      <c r="BR20" s="272"/>
      <c r="BS20" s="234">
        <f t="shared" si="33"/>
        <v>0</v>
      </c>
      <c r="BT20" s="402">
        <v>2800</v>
      </c>
      <c r="BU20" s="297">
        <v>0</v>
      </c>
      <c r="BV20" s="628"/>
      <c r="BW20" s="334">
        <f t="shared" si="34"/>
        <v>0</v>
      </c>
      <c r="BX20" s="630">
        <f t="shared" si="35"/>
        <v>0</v>
      </c>
      <c r="BY20" s="272"/>
      <c r="BZ20" s="234">
        <f t="shared" si="36"/>
        <v>0</v>
      </c>
      <c r="CA20" s="402">
        <v>2800</v>
      </c>
      <c r="CB20" s="297">
        <v>0</v>
      </c>
      <c r="CC20" s="1764">
        <v>2000</v>
      </c>
      <c r="CD20" s="334">
        <f t="shared" si="37"/>
        <v>33165.551999999996</v>
      </c>
      <c r="CE20" s="1767">
        <f t="shared" si="38"/>
        <v>2.7304932517756998E-3</v>
      </c>
      <c r="CF20" s="272">
        <v>2000</v>
      </c>
      <c r="CG20" s="234">
        <f t="shared" si="39"/>
        <v>5480</v>
      </c>
      <c r="CH20" s="402"/>
      <c r="CI20" s="1780">
        <v>0</v>
      </c>
      <c r="CJ20" s="2074"/>
      <c r="CK20" s="334">
        <f t="shared" si="40"/>
        <v>0</v>
      </c>
      <c r="CL20" s="2070">
        <f t="shared" si="41"/>
        <v>0</v>
      </c>
      <c r="CM20" s="272"/>
      <c r="CN20" s="234">
        <f t="shared" si="45"/>
        <v>0</v>
      </c>
      <c r="CO20" s="402"/>
      <c r="CP20" s="1780">
        <v>0</v>
      </c>
      <c r="CS20" s="333"/>
      <c r="CT20" s="334">
        <f t="shared" si="42"/>
        <v>0</v>
      </c>
      <c r="CU20" s="298">
        <f t="shared" si="43"/>
        <v>0</v>
      </c>
      <c r="CV20" s="272"/>
      <c r="CW20" s="234">
        <f t="shared" si="44"/>
        <v>0</v>
      </c>
      <c r="CX20" s="402">
        <v>8340</v>
      </c>
      <c r="CY20" s="297">
        <v>0</v>
      </c>
    </row>
    <row r="21" spans="1:103" ht="35" customHeight="1">
      <c r="A21" s="100">
        <f>_xlfn.XLOOKUP(O21,Cement!Q$7:Q$35,Cement!A$7:A$35,"")</f>
        <v>14.841666562736975</v>
      </c>
      <c r="B21" s="100">
        <f>_xlfn.XLOOKUP(O21,Cement!Q$7:Q$35,Cement!B$7:B$35,"")</f>
        <v>4.871586775502931</v>
      </c>
      <c r="C21" s="1585">
        <f ca="1">_xlfn.XLOOKUP(O21,Cement!Q$7:Q$35,Cement!$C$7:$C$35,"")</f>
        <v>0.15492385470576961</v>
      </c>
      <c r="D21" s="2111">
        <f>_xlfn.XLOOKUP(O21,Cement!$Q$7:$Q$35,Cement!$D$7:$D$35,"")</f>
        <v>1.2981300700156284</v>
      </c>
      <c r="E21" s="1236">
        <f>_xlfn.XLOOKUP($O21,Cement!$Q$7:$Q$35,Cement!$E$7:$E$35,"")</f>
        <v>4.4000000000000039</v>
      </c>
      <c r="F21" s="1235">
        <f>_xlfn.XLOOKUP($O21,Cement!$Q$7:$Q$35,Cement!$F$7:$F$35,"")</f>
        <v>3.099999999999997</v>
      </c>
      <c r="G21" s="2125">
        <f>_xlfn.XLOOKUP($O21,Cement!$Q$7:$Q$35,Cement!$G$7:$G$35,"")</f>
        <v>12.278512193119306</v>
      </c>
      <c r="H21" s="2314">
        <f>_xlfn.XLOOKUP($O21,Cement!Q$7:Q$35,Cement!H$7:H$35,"")</f>
        <v>0.94383775351014043</v>
      </c>
      <c r="I21" s="2314">
        <f>_xlfn.XLOOKUP(O21,Cement!Q$7:Q$35,Cement!J$7:J$35,"")</f>
        <v>0.22475961538461539</v>
      </c>
      <c r="J21" s="2112">
        <f>_xlfn.XLOOKUP(O21,'Sales Rec'!$E$4:$E$91,'Sales Rec'!$CV$4:$CV$91,"")</f>
        <v>5</v>
      </c>
      <c r="K21" s="2216">
        <f>_xlfn.XLOOKUP(O21,Cement!Q$7:Q$35,Cement!$L$7:$L$35,"")</f>
        <v>12</v>
      </c>
      <c r="L21" s="2113" t="str">
        <f>_xlfn.XLOOKUP(O21,'Sales Rec'!$E$4:$E$32,'Sales Rec'!$DS$4:$DS$32,"")</f>
        <v>B</v>
      </c>
      <c r="M21" s="2113" t="str">
        <f>_xlfn.XLOOKUP(O21,'Sales Rec'!$E$4:$E$32,'Sales Rec'!$DZ$4:$DZ$32,"")</f>
        <v>B</v>
      </c>
      <c r="N21" s="60" t="s">
        <v>54</v>
      </c>
      <c r="O21" s="124" t="s">
        <v>55</v>
      </c>
      <c r="P21" s="1570">
        <v>12</v>
      </c>
      <c r="Q21" s="264">
        <f>VLOOKUP(O21,Cement!$Q$7:$CC$35,4,FALSE)</f>
        <v>56370</v>
      </c>
      <c r="R21" s="292">
        <f>_xlfn.XLOOKUP(O21,Cement!$Q$7:$Q$35,Cement!$U$7:$U$35,"")</f>
        <v>2.94</v>
      </c>
      <c r="S21" s="292">
        <f>_xlfn.XLOOKUP(O21,'دیده بان بازار'!$A$8:$A$3179,'دیده بان بازار'!$L$8:$L$3179,"")</f>
        <v>1610</v>
      </c>
      <c r="T21" s="304">
        <f>VLOOKUP(O21,Cement!$Q$7:$CC$35,6,FALSE)</f>
        <v>56400</v>
      </c>
      <c r="U21" s="361">
        <f>_xlfn.XLOOKUP(O21,Cement!$Q$7:$Q$35,Cement!$W$7:$W$35,"")</f>
        <v>2.99</v>
      </c>
      <c r="V21" s="361">
        <f>_xlfn.XLOOKUP(O21,'دیده بان بازار'!$A$8:$A$3179,'دیده بان بازار'!$I$8:$I$3179,"")</f>
        <v>1640</v>
      </c>
      <c r="W21" s="66">
        <f>_xlfn.XLOOKUP(O21,Cement!$Q$7:$Q$35,Cement!$S$7:$S$35,"")</f>
        <v>11280</v>
      </c>
      <c r="X21" s="1603">
        <f>_xlfn.XLOOKUP(O21,'Sales Rec'!$E$4:$E$93,'Sales Rec'!$DW$4:$DW$93,"")</f>
        <v>1.2764883955600403</v>
      </c>
      <c r="Y21" s="850">
        <f>_xlfn.XLOOKUP(N21,Cement!$P$7:$P$35,Cement!$Z$7:$Z$35,"")</f>
        <v>6.475363413252784E-2</v>
      </c>
      <c r="Z21" s="1453">
        <f t="shared" ca="1" si="16"/>
        <v>0.29433470060239925</v>
      </c>
      <c r="AA21" s="824">
        <f ca="1">_xlfn.XLOOKUP(O21,Cement!$Q$7:$Q$35,Cement!$AB$7:$AB$35,"")</f>
        <v>-4.7759358136645842</v>
      </c>
      <c r="AB21" s="2010">
        <f>_xlfn.XLOOKUP(N21,Cement!$P$7:$P$35,Cement!$AG$7:$AG$35,"")</f>
        <v>5.0320855614973263</v>
      </c>
      <c r="AC21" s="562">
        <f t="shared" si="17"/>
        <v>0.93332399985999737</v>
      </c>
      <c r="AD21" s="308">
        <f>_xlfn.XLOOKUP(N21,Cement!$P$7:$P$35,Cement!$AM$7:$AM$35,"")</f>
        <v>2000000000</v>
      </c>
      <c r="AE21" s="1933">
        <f ca="1">_xlfn.XLOOKUP(O21,Cement!$Q$7:$Q$35,Cement!$AH$7:$AH$35,"")</f>
        <v>343</v>
      </c>
      <c r="AF21" s="1612">
        <f>_xlfn.XLOOKUP(O21,Cement!$Q$7:$Q$35,Cement!$AI$7:$AI$35,"")</f>
        <v>46217</v>
      </c>
      <c r="AG21" s="1927">
        <f>_xlfn.XLOOKUP(O21,Cement!$Q$7:$Q$35,Cement!$EI$7:$EI$35,"")</f>
        <v>6300</v>
      </c>
      <c r="AH21" s="1821">
        <f>_xlfn.XLOOKUP(O21,Cement!$Q$7:$Q$37,Cement!$AJ$7:$AJ$37,"")</f>
        <v>46244</v>
      </c>
      <c r="AI21" s="1827">
        <f>_xlfn.XLOOKUP($O21,Cement!$Q$7:$Q$35,Cement!$CB$7:$CB$35,"")</f>
        <v>8478</v>
      </c>
      <c r="AJ21" s="1340">
        <f>_xlfn.XLOOKUP($O21,Cement!$Q$7:$Q$35,Cement!$BV$7:$BV$35,"")</f>
        <v>5.3518699299843719</v>
      </c>
      <c r="AK21" s="1206">
        <f>_xlfn.XLOOKUP($O21,Cement!$Q$7:$Q$35,Cement!$CC$7:$CC$35,"")</f>
        <v>6.65</v>
      </c>
      <c r="AL21" s="683" t="s">
        <v>603</v>
      </c>
      <c r="AM21" s="684">
        <v>57142</v>
      </c>
      <c r="AN21" s="793"/>
      <c r="AO21" s="794"/>
      <c r="AP21" s="329"/>
      <c r="AQ21" s="334">
        <f t="shared" si="19"/>
        <v>0</v>
      </c>
      <c r="AR21" s="330">
        <f t="shared" si="20"/>
        <v>0</v>
      </c>
      <c r="AS21" s="272"/>
      <c r="AT21" s="234">
        <f t="shared" si="21"/>
        <v>0</v>
      </c>
      <c r="AU21" s="402">
        <v>145</v>
      </c>
      <c r="AV21" s="1137">
        <v>0</v>
      </c>
      <c r="AW21" s="342"/>
      <c r="AX21" s="334">
        <f t="shared" si="22"/>
        <v>0</v>
      </c>
      <c r="AY21" s="343">
        <f t="shared" si="23"/>
        <v>0</v>
      </c>
      <c r="AZ21" s="272"/>
      <c r="BA21" s="234">
        <f t="shared" si="24"/>
        <v>0</v>
      </c>
      <c r="BB21" s="403"/>
      <c r="BC21" s="1151">
        <v>0</v>
      </c>
      <c r="BD21" s="333"/>
      <c r="BE21" s="334">
        <f t="shared" si="25"/>
        <v>0</v>
      </c>
      <c r="BF21" s="298">
        <f t="shared" si="26"/>
        <v>0</v>
      </c>
      <c r="BG21" s="272"/>
      <c r="BH21" s="234">
        <f t="shared" si="27"/>
        <v>0</v>
      </c>
      <c r="BI21" s="402"/>
      <c r="BJ21" s="297">
        <v>0</v>
      </c>
      <c r="BK21" s="720">
        <f t="shared" si="28"/>
        <v>0</v>
      </c>
      <c r="BL21" s="721">
        <f t="shared" si="29"/>
        <v>0</v>
      </c>
      <c r="BM21" s="722">
        <f t="shared" si="30"/>
        <v>0</v>
      </c>
      <c r="BN21" s="623"/>
      <c r="BO21" s="610"/>
      <c r="BP21" s="334">
        <f t="shared" si="31"/>
        <v>0</v>
      </c>
      <c r="BQ21" s="612">
        <f t="shared" si="32"/>
        <v>0</v>
      </c>
      <c r="BR21" s="272"/>
      <c r="BS21" s="234">
        <f t="shared" si="33"/>
        <v>0</v>
      </c>
      <c r="BT21" s="402"/>
      <c r="BU21" s="297">
        <v>0</v>
      </c>
      <c r="BV21" s="628"/>
      <c r="BW21" s="334">
        <f t="shared" si="34"/>
        <v>0</v>
      </c>
      <c r="BX21" s="630">
        <f t="shared" si="35"/>
        <v>0</v>
      </c>
      <c r="BY21" s="272"/>
      <c r="BZ21" s="234">
        <f t="shared" si="36"/>
        <v>0</v>
      </c>
      <c r="CA21" s="402"/>
      <c r="CB21" s="297">
        <v>0</v>
      </c>
      <c r="CC21" s="1764"/>
      <c r="CD21" s="334">
        <f t="shared" si="37"/>
        <v>0</v>
      </c>
      <c r="CE21" s="1767">
        <f t="shared" si="38"/>
        <v>0</v>
      </c>
      <c r="CF21" s="272"/>
      <c r="CG21" s="234">
        <f t="shared" si="39"/>
        <v>0</v>
      </c>
      <c r="CH21" s="402"/>
      <c r="CI21" s="1780">
        <v>0</v>
      </c>
      <c r="CJ21" s="2074"/>
      <c r="CK21" s="334">
        <f t="shared" si="40"/>
        <v>0</v>
      </c>
      <c r="CL21" s="2070">
        <f t="shared" si="41"/>
        <v>0</v>
      </c>
      <c r="CM21" s="272"/>
      <c r="CN21" s="234">
        <f t="shared" si="45"/>
        <v>0</v>
      </c>
      <c r="CO21" s="402"/>
      <c r="CP21" s="1780">
        <v>0</v>
      </c>
      <c r="CS21" s="333"/>
      <c r="CT21" s="334">
        <f t="shared" si="42"/>
        <v>0</v>
      </c>
      <c r="CU21" s="298">
        <f t="shared" si="43"/>
        <v>0</v>
      </c>
      <c r="CV21" s="272"/>
      <c r="CW21" s="234">
        <f t="shared" si="44"/>
        <v>0</v>
      </c>
      <c r="CX21" s="402"/>
      <c r="CY21" s="297">
        <v>0</v>
      </c>
    </row>
    <row r="22" spans="1:103" ht="35" customHeight="1">
      <c r="A22" s="100">
        <f>_xlfn.XLOOKUP(O22,Cement!Q$7:Q$35,Cement!A$7:A$35,"")</f>
        <v>14.380222800984832</v>
      </c>
      <c r="B22" s="100">
        <f>_xlfn.XLOOKUP(O22,Cement!Q$7:Q$35,Cement!B$7:B$35,"")</f>
        <v>11.940187906386852</v>
      </c>
      <c r="C22" s="1585">
        <f ca="1">_xlfn.XLOOKUP(O22,Cement!Q$7:Q$35,Cement!$C$7:$C$35,"")</f>
        <v>0.16716051729428974</v>
      </c>
      <c r="D22" s="2111">
        <f>_xlfn.XLOOKUP(O22,Cement!$Q$7:$Q$35,Cement!$D$7:$D$35,"")</f>
        <v>0.37509689028339377</v>
      </c>
      <c r="E22" s="1236">
        <f>_xlfn.XLOOKUP($O22,Cement!$Q$7:$Q$35,Cement!$E$7:$E$35,"")</f>
        <v>15.900000000000002</v>
      </c>
      <c r="F22" s="1235">
        <f>_xlfn.XLOOKUP($O22,Cement!$Q$7:$Q$35,Cement!$F$7:$F$35,"")</f>
        <v>13.899999999999999</v>
      </c>
      <c r="G22" s="2125">
        <f>_xlfn.XLOOKUP($O22,Cement!$Q$7:$Q$35,Cement!$G$7:$G$35,"")</f>
        <v>-2.1002736523821341</v>
      </c>
      <c r="H22" s="2314">
        <f>_xlfn.XLOOKUP($O22,Cement!Q$7:Q$35,Cement!H$7:H$35,"")</f>
        <v>0.67888138862102221</v>
      </c>
      <c r="I22" s="2314">
        <f>_xlfn.XLOOKUP(O22,Cement!Q$7:Q$35,Cement!J$7:J$35,"")</f>
        <v>0.51404958677685952</v>
      </c>
      <c r="J22" s="2112">
        <f>_xlfn.XLOOKUP(O22,'Sales Rec'!$E$4:$E$91,'Sales Rec'!$CV$4:$CV$91,"")</f>
        <v>13</v>
      </c>
      <c r="K22" s="2216">
        <f>_xlfn.XLOOKUP(O22,Cement!Q$7:Q$35,Cement!$L$7:$L$35,"")</f>
        <v>10</v>
      </c>
      <c r="L22" s="2114" t="str">
        <f>_xlfn.XLOOKUP(O22,'Sales Rec'!$E$4:$E$32,'Sales Rec'!$DS$4:$DS$32,"")</f>
        <v>N</v>
      </c>
      <c r="M22" s="390" t="str">
        <f>_xlfn.XLOOKUP(O22,'Sales Rec'!$E$4:$E$32,'Sales Rec'!$DZ$4:$DZ$32,"")</f>
        <v>N</v>
      </c>
      <c r="N22" s="60" t="s">
        <v>66</v>
      </c>
      <c r="O22" s="124" t="s">
        <v>67</v>
      </c>
      <c r="P22" s="1570">
        <v>9</v>
      </c>
      <c r="Q22" s="264">
        <f>VLOOKUP(O22,Cement!$Q$7:$CC$35,4,FALSE)</f>
        <v>67910</v>
      </c>
      <c r="R22" s="292">
        <f>_xlfn.XLOOKUP(O22,Cement!$Q$7:$Q$35,Cement!$U$7:$U$35,"")</f>
        <v>2.99</v>
      </c>
      <c r="S22" s="292">
        <f>_xlfn.XLOOKUP(O22,'دیده بان بازار'!$A$8:$A$3179,'دیده بان بازار'!$L$8:$L$3179,"")</f>
        <v>1970</v>
      </c>
      <c r="T22" s="304">
        <f>VLOOKUP(O22,Cement!$Q$7:$CC$35,6,FALSE)</f>
        <v>67910</v>
      </c>
      <c r="U22" s="361">
        <f>_xlfn.XLOOKUP(O22,Cement!$Q$7:$Q$35,Cement!$W$7:$W$35,"")</f>
        <v>2.99</v>
      </c>
      <c r="V22" s="361">
        <f>_xlfn.XLOOKUP(O22,'دیده بان بازار'!$A$8:$A$3179,'دیده بان بازار'!$I$8:$I$3179,"")</f>
        <v>1970</v>
      </c>
      <c r="W22" s="66">
        <f>_xlfn.XLOOKUP(O22,Cement!$Q$7:$Q$35,Cement!$S$7:$S$35,"")</f>
        <v>10186.5</v>
      </c>
      <c r="X22" s="1603">
        <f>_xlfn.XLOOKUP(O22,'Sales Rec'!$E$4:$E$93,'Sales Rec'!$DW$4:$DW$93,"")</f>
        <v>0.73949795081967218</v>
      </c>
      <c r="Y22" s="850">
        <f>_xlfn.XLOOKUP(N22,Cement!$P$7:$P$35,Cement!$Z$7:$Z$35,"")</f>
        <v>0.34813393329804126</v>
      </c>
      <c r="Z22" s="1453">
        <f t="shared" ca="1" si="16"/>
        <v>0.37035524818940563</v>
      </c>
      <c r="AA22" s="824">
        <f ca="1">_xlfn.XLOOKUP(O22,Cement!$Q$7:$Q$35,Cement!$AB$7:$AB$35,"")</f>
        <v>-12.377990572365219</v>
      </c>
      <c r="AB22" s="2010">
        <f>_xlfn.XLOOKUP(N22,Cement!$P$7:$P$35,Cement!$AG$7:$AG$35,"")</f>
        <v>9.666492146596859</v>
      </c>
      <c r="AC22" s="562" t="str">
        <f t="shared" si="17"/>
        <v/>
      </c>
      <c r="AD22" s="308">
        <f>_xlfn.XLOOKUP(N22,Cement!$P$7:$P$35,Cement!$AM$7:$AM$35,"")</f>
        <v>1500000000</v>
      </c>
      <c r="AE22" s="1933">
        <f ca="1">_xlfn.XLOOKUP(O22,Cement!$Q$7:$Q$35,Cement!$AH$7:$AH$35,"")</f>
        <v>271</v>
      </c>
      <c r="AF22" s="1612">
        <f>_xlfn.XLOOKUP(O22,Cement!$Q$7:$Q$35,Cement!$AI$7:$AI$35,"")</f>
        <v>46145</v>
      </c>
      <c r="AG22" s="1858">
        <f>_xlfn.XLOOKUP(O22,Cement!$Q$7:$Q$35,Cement!$EI$7:$EI$35,"")</f>
        <v>6647</v>
      </c>
      <c r="AH22" s="1829">
        <f>_xlfn.XLOOKUP(O22,Cement!$Q$7:$Q$37,Cement!$AJ$7:$AJ$37,"")</f>
        <v>46235</v>
      </c>
      <c r="AI22" s="1827">
        <f>_xlfn.XLOOKUP($O22,Cement!$Q$7:$Q$35,Cement!$CB$7:$CB$35,"")</f>
        <v>11726</v>
      </c>
      <c r="AJ22" s="1340">
        <f>_xlfn.XLOOKUP($O22,Cement!$Q$7:$Q$35,Cement!$BV$7:$BV$35,"")</f>
        <v>5.4149031097166063</v>
      </c>
      <c r="AK22" s="1206">
        <f>_xlfn.XLOOKUP($O22,Cement!$Q$7:$Q$35,Cement!$CC$7:$CC$35,"")</f>
        <v>5.79</v>
      </c>
      <c r="AL22" s="683"/>
      <c r="AM22" s="684"/>
      <c r="AN22" s="793"/>
      <c r="AO22" s="794" t="str">
        <f>IF(AN22&lt;1,"",(T22-AN22)/AN22)</f>
        <v/>
      </c>
      <c r="AP22" s="329"/>
      <c r="AQ22" s="334">
        <f t="shared" si="19"/>
        <v>0</v>
      </c>
      <c r="AR22" s="330">
        <f t="shared" si="20"/>
        <v>0</v>
      </c>
      <c r="AS22" s="272"/>
      <c r="AT22" s="234">
        <f t="shared" si="21"/>
        <v>0</v>
      </c>
      <c r="AU22" s="402">
        <v>969</v>
      </c>
      <c r="AV22" s="1137">
        <v>0</v>
      </c>
      <c r="AW22" s="342"/>
      <c r="AX22" s="334">
        <f t="shared" si="22"/>
        <v>0</v>
      </c>
      <c r="AY22" s="343">
        <f t="shared" si="23"/>
        <v>0</v>
      </c>
      <c r="AZ22" s="272"/>
      <c r="BA22" s="234">
        <f t="shared" si="24"/>
        <v>0</v>
      </c>
      <c r="BB22" s="402"/>
      <c r="BC22" s="1151">
        <v>0</v>
      </c>
      <c r="BD22" s="333"/>
      <c r="BE22" s="334">
        <f t="shared" si="25"/>
        <v>0</v>
      </c>
      <c r="BF22" s="298">
        <f t="shared" si="26"/>
        <v>0</v>
      </c>
      <c r="BG22" s="272"/>
      <c r="BH22" s="234">
        <f t="shared" si="27"/>
        <v>0</v>
      </c>
      <c r="BI22" s="402"/>
      <c r="BJ22" s="297">
        <v>0</v>
      </c>
      <c r="BK22" s="720">
        <f t="shared" si="28"/>
        <v>0</v>
      </c>
      <c r="BL22" s="721">
        <f t="shared" si="29"/>
        <v>0</v>
      </c>
      <c r="BM22" s="722">
        <f t="shared" si="30"/>
        <v>0</v>
      </c>
      <c r="BN22" s="623"/>
      <c r="BO22" s="610"/>
      <c r="BP22" s="334">
        <f t="shared" si="31"/>
        <v>0</v>
      </c>
      <c r="BQ22" s="612">
        <f t="shared" si="32"/>
        <v>0</v>
      </c>
      <c r="BR22" s="272"/>
      <c r="BS22" s="234">
        <f t="shared" si="33"/>
        <v>0</v>
      </c>
      <c r="BT22" s="402"/>
      <c r="BU22" s="297">
        <v>0</v>
      </c>
      <c r="BV22" s="628"/>
      <c r="BW22" s="334">
        <f t="shared" si="34"/>
        <v>0</v>
      </c>
      <c r="BX22" s="630">
        <f t="shared" si="35"/>
        <v>0</v>
      </c>
      <c r="BY22" s="272"/>
      <c r="BZ22" s="234">
        <f t="shared" si="36"/>
        <v>0</v>
      </c>
      <c r="CA22" s="402"/>
      <c r="CB22" s="297">
        <v>0</v>
      </c>
      <c r="CC22" s="1764"/>
      <c r="CD22" s="334">
        <f t="shared" si="37"/>
        <v>0</v>
      </c>
      <c r="CE22" s="1767">
        <f t="shared" si="38"/>
        <v>0</v>
      </c>
      <c r="CF22" s="272"/>
      <c r="CG22" s="234">
        <f t="shared" si="39"/>
        <v>0</v>
      </c>
      <c r="CH22" s="402"/>
      <c r="CI22" s="1780">
        <v>0</v>
      </c>
      <c r="CJ22" s="2074"/>
      <c r="CK22" s="334">
        <f t="shared" si="40"/>
        <v>0</v>
      </c>
      <c r="CL22" s="2070">
        <f t="shared" si="41"/>
        <v>0</v>
      </c>
      <c r="CM22" s="272"/>
      <c r="CN22" s="234">
        <f t="shared" si="45"/>
        <v>0</v>
      </c>
      <c r="CO22" s="402"/>
      <c r="CP22" s="1780">
        <v>0</v>
      </c>
      <c r="CS22" s="333"/>
      <c r="CT22" s="334">
        <f t="shared" si="42"/>
        <v>0</v>
      </c>
      <c r="CU22" s="298">
        <f t="shared" si="43"/>
        <v>0</v>
      </c>
      <c r="CV22" s="272"/>
      <c r="CW22" s="234">
        <f t="shared" si="44"/>
        <v>0</v>
      </c>
      <c r="CX22" s="402"/>
      <c r="CY22" s="297">
        <v>0</v>
      </c>
    </row>
    <row r="23" spans="1:103" ht="35" customHeight="1">
      <c r="A23" s="100">
        <f>_xlfn.XLOOKUP(O23,Cement!Q$7:Q$35,Cement!A$7:A$35,"")</f>
        <v>9.2730653097207458</v>
      </c>
      <c r="B23" s="100">
        <f>_xlfn.XLOOKUP(O23,Cement!Q$7:Q$35,Cement!B$7:B$35,"")</f>
        <v>-5.2094126947273356</v>
      </c>
      <c r="C23" s="1585">
        <f ca="1">_xlfn.XLOOKUP(O23,Cement!Q$7:Q$35,Cement!$C$7:$C$35,"")</f>
        <v>0.11050072754218415</v>
      </c>
      <c r="D23" s="2111">
        <f>_xlfn.XLOOKUP(O23,Cement!$Q$7:$Q$35,Cement!$D$7:$D$35,"")</f>
        <v>1.6754968860582222</v>
      </c>
      <c r="E23" s="1236">
        <f>_xlfn.XLOOKUP($O23,Cement!$Q$7:$Q$35,Cement!$E$7:$E$35,"")</f>
        <v>-2.0000000000000018</v>
      </c>
      <c r="F23" s="1235">
        <f>_xlfn.XLOOKUP($O23,Cement!$Q$7:$Q$35,Cement!$F$7:$F$35,"")</f>
        <v>-4.299999999999998</v>
      </c>
      <c r="G23" s="2125">
        <f>_xlfn.XLOOKUP($O23,Cement!$Q$7:$Q$35,Cement!$G$7:$G$35,"")</f>
        <v>-15.65314791497916</v>
      </c>
      <c r="H23" s="2314">
        <f>_xlfn.XLOOKUP($O23,Cement!Q$7:Q$35,Cement!H$7:H$35,"")</f>
        <v>0.61215805471124618</v>
      </c>
      <c r="I23" s="2314">
        <f>_xlfn.XLOOKUP(O23,Cement!Q$7:Q$35,Cement!J$7:J$35,"")</f>
        <v>0.55516514406184114</v>
      </c>
      <c r="J23" s="2112">
        <f>_xlfn.XLOOKUP(O23,'Sales Rec'!$E$4:$E$91,'Sales Rec'!$CV$4:$CV$91,"")</f>
        <v>15</v>
      </c>
      <c r="K23" s="2216">
        <f>_xlfn.XLOOKUP(O23,Cement!Q$7:Q$35,Cement!$L$7:$L$35,"")</f>
        <v>24</v>
      </c>
      <c r="L23" s="2114" t="str">
        <f>_xlfn.XLOOKUP(O23,'Sales Rec'!$E$4:$E$32,'Sales Rec'!$DS$4:$DS$32,"")</f>
        <v>N</v>
      </c>
      <c r="M23" s="390" t="str">
        <f>_xlfn.XLOOKUP(O23,'Sales Rec'!$E$4:$E$32,'Sales Rec'!$DZ$4:$DZ$32,"")</f>
        <v>B</v>
      </c>
      <c r="N23" s="60" t="s">
        <v>52</v>
      </c>
      <c r="O23" s="124" t="s">
        <v>53</v>
      </c>
      <c r="P23" s="1570">
        <v>12</v>
      </c>
      <c r="Q23" s="264">
        <f>VLOOKUP(O23,Cement!$Q$7:$CC$35,4,FALSE)</f>
        <v>10350</v>
      </c>
      <c r="R23" s="292">
        <f>_xlfn.XLOOKUP(O23,Cement!$Q$7:$Q$35,Cement!$U$7:$U$35,"")</f>
        <v>2.99</v>
      </c>
      <c r="S23" s="292">
        <f>_xlfn.XLOOKUP(O23,'دیده بان بازار'!$A$8:$A$3179,'دیده بان بازار'!$L$8:$L$3179,"")</f>
        <v>300</v>
      </c>
      <c r="T23" s="304">
        <f>VLOOKUP(O23,Cement!$Q$7:$CC$35,6,FALSE)</f>
        <v>10350</v>
      </c>
      <c r="U23" s="361">
        <f>_xlfn.XLOOKUP(O23,Cement!$Q$7:$Q$35,Cement!$W$7:$W$35,"")</f>
        <v>2.99</v>
      </c>
      <c r="V23" s="361">
        <f>_xlfn.XLOOKUP(O23,'دیده بان بازار'!$A$8:$A$3179,'دیده بان بازار'!$I$8:$I$3179,"")</f>
        <v>300</v>
      </c>
      <c r="W23" s="66">
        <f>_xlfn.XLOOKUP(O23,Cement!$Q$7:$Q$35,Cement!$S$7:$S$35,"")</f>
        <v>17782.426080000001</v>
      </c>
      <c r="X23" s="1603">
        <f>_xlfn.XLOOKUP(O23,'Sales Rec'!$E$4:$E$93,'Sales Rec'!$DW$4:$DW$93,"")</f>
        <v>0.22630331753554503</v>
      </c>
      <c r="Y23" s="850">
        <f>_xlfn.XLOOKUP(N23,Cement!$P$7:$P$35,Cement!$Z$7:$Z$35,"")</f>
        <v>5.3960768136557674E-2</v>
      </c>
      <c r="Z23" s="1453">
        <f t="shared" ca="1" si="16"/>
        <v>0.10181277006897675</v>
      </c>
      <c r="AA23" s="824">
        <f ca="1">_xlfn.XLOOKUP(O23,Cement!$Q$7:$Q$35,Cement!$AB$7:$AB$35,"")</f>
        <v>14.476257239677668</v>
      </c>
      <c r="AB23" s="2010">
        <f>_xlfn.XLOOKUP(N23,Cement!$P$7:$P$35,Cement!$AG$7:$AG$35,"")</f>
        <v>3.920427802988379</v>
      </c>
      <c r="AC23" s="562">
        <f t="shared" si="17"/>
        <v>-27.824473975636764</v>
      </c>
      <c r="AD23" s="308">
        <f>_xlfn.XLOOKUP(N23,Cement!$P$7:$P$35,Cement!$AM$7:$AM$35,"")</f>
        <v>17181088000</v>
      </c>
      <c r="AE23" s="1933">
        <f ca="1">_xlfn.XLOOKUP(O23,Cement!$Q$7:$Q$35,Cement!$AH$7:$AH$35,"")</f>
        <v>312</v>
      </c>
      <c r="AF23" s="1612">
        <f>_xlfn.XLOOKUP(O23,Cement!$Q$7:$Q$35,Cement!$AI$7:$AI$35,"")</f>
        <v>46186</v>
      </c>
      <c r="AG23" s="1927">
        <f>_xlfn.XLOOKUP(O23,Cement!$Q$7:$Q$35,Cement!$EI$7:$EI$35,"")</f>
        <v>1300</v>
      </c>
      <c r="AH23" s="1821">
        <f>_xlfn.XLOOKUP(O23,Cement!$Q$7:$Q$37,Cement!$AJ$7:$AJ$37,"")</f>
        <v>46285</v>
      </c>
      <c r="AI23" s="1827">
        <f>_xlfn.XLOOKUP($O23,Cement!$Q$7:$Q$35,Cement!$CB$7:$CB$35,"")</f>
        <v>1489</v>
      </c>
      <c r="AJ23" s="1340">
        <f>_xlfn.XLOOKUP($O23,Cement!$Q$7:$Q$35,Cement!$BV$7:$BV$35,"")</f>
        <v>5.274503113941778</v>
      </c>
      <c r="AK23" s="1206">
        <f>_xlfn.XLOOKUP($O23,Cement!$Q$7:$Q$35,Cement!$CC$7:$CC$35,"")</f>
        <v>6.95</v>
      </c>
      <c r="AL23" s="683" t="s">
        <v>603</v>
      </c>
      <c r="AM23" s="684">
        <v>8127</v>
      </c>
      <c r="AN23" s="793"/>
      <c r="AO23" s="794" t="str">
        <f>IF(AN23&lt;1,"",(T23-AN23)/AN23)</f>
        <v/>
      </c>
      <c r="AP23" s="329"/>
      <c r="AQ23" s="334">
        <f t="shared" si="19"/>
        <v>0</v>
      </c>
      <c r="AR23" s="330">
        <f t="shared" si="20"/>
        <v>0</v>
      </c>
      <c r="AS23" s="272"/>
      <c r="AT23" s="234">
        <f t="shared" si="21"/>
        <v>0</v>
      </c>
      <c r="AU23" s="402">
        <v>56595</v>
      </c>
      <c r="AV23" s="1137">
        <v>0</v>
      </c>
      <c r="AW23" s="342"/>
      <c r="AX23" s="334">
        <f t="shared" si="22"/>
        <v>0</v>
      </c>
      <c r="AY23" s="343">
        <f t="shared" si="23"/>
        <v>0</v>
      </c>
      <c r="AZ23" s="272"/>
      <c r="BA23" s="403">
        <f t="shared" si="24"/>
        <v>0</v>
      </c>
      <c r="BB23" s="402">
        <v>15256</v>
      </c>
      <c r="BC23" s="1151">
        <v>0</v>
      </c>
      <c r="BD23" s="333"/>
      <c r="BE23" s="334">
        <f t="shared" si="25"/>
        <v>0</v>
      </c>
      <c r="BF23" s="298">
        <f t="shared" si="26"/>
        <v>0</v>
      </c>
      <c r="BG23" s="272"/>
      <c r="BH23" s="234">
        <f t="shared" si="27"/>
        <v>0</v>
      </c>
      <c r="BI23" s="402">
        <v>323</v>
      </c>
      <c r="BJ23" s="297">
        <v>0</v>
      </c>
      <c r="BK23" s="720">
        <f t="shared" si="28"/>
        <v>0</v>
      </c>
      <c r="BL23" s="721">
        <f t="shared" si="29"/>
        <v>0</v>
      </c>
      <c r="BM23" s="722">
        <f t="shared" si="30"/>
        <v>0</v>
      </c>
      <c r="BN23" s="623"/>
      <c r="BO23" s="610"/>
      <c r="BP23" s="334">
        <f t="shared" si="31"/>
        <v>0</v>
      </c>
      <c r="BQ23" s="612">
        <f t="shared" si="32"/>
        <v>0</v>
      </c>
      <c r="BR23" s="272"/>
      <c r="BS23" s="234">
        <f t="shared" si="33"/>
        <v>0</v>
      </c>
      <c r="BT23" s="402"/>
      <c r="BU23" s="297">
        <v>0</v>
      </c>
      <c r="BV23" s="628"/>
      <c r="BW23" s="334">
        <f t="shared" si="34"/>
        <v>0</v>
      </c>
      <c r="BX23" s="630">
        <f t="shared" si="35"/>
        <v>0</v>
      </c>
      <c r="BY23" s="272"/>
      <c r="BZ23" s="234">
        <f t="shared" si="36"/>
        <v>0</v>
      </c>
      <c r="CA23" s="402">
        <v>4400</v>
      </c>
      <c r="CB23" s="297">
        <v>0</v>
      </c>
      <c r="CC23" s="1764"/>
      <c r="CD23" s="334">
        <f t="shared" si="37"/>
        <v>0</v>
      </c>
      <c r="CE23" s="1767">
        <f t="shared" si="38"/>
        <v>0</v>
      </c>
      <c r="CF23" s="272"/>
      <c r="CG23" s="234">
        <f t="shared" si="39"/>
        <v>0</v>
      </c>
      <c r="CH23" s="402"/>
      <c r="CI23" s="1780">
        <v>0</v>
      </c>
      <c r="CJ23" s="2074"/>
      <c r="CK23" s="334">
        <f t="shared" si="40"/>
        <v>0</v>
      </c>
      <c r="CL23" s="2070">
        <f t="shared" si="41"/>
        <v>0</v>
      </c>
      <c r="CM23" s="272"/>
      <c r="CN23" s="234">
        <f t="shared" si="45"/>
        <v>0</v>
      </c>
      <c r="CO23" s="402"/>
      <c r="CP23" s="1780">
        <v>0</v>
      </c>
      <c r="CS23" s="333"/>
      <c r="CT23" s="334">
        <f t="shared" si="42"/>
        <v>0</v>
      </c>
      <c r="CU23" s="298">
        <f t="shared" si="43"/>
        <v>0</v>
      </c>
      <c r="CV23" s="272"/>
      <c r="CW23" s="234">
        <f t="shared" si="44"/>
        <v>0</v>
      </c>
      <c r="CX23" s="402">
        <v>323</v>
      </c>
      <c r="CY23" s="297">
        <v>0</v>
      </c>
    </row>
    <row r="24" spans="1:103" ht="35" customHeight="1">
      <c r="A24" s="100">
        <f>_xlfn.XLOOKUP(O24,Cement!Q$7:Q$35,Cement!A$7:A$35,"")</f>
        <v>8.9839762773261249</v>
      </c>
      <c r="B24" s="100">
        <f>_xlfn.XLOOKUP(O24,Cement!Q$7:Q$35,Cement!B$7:B$35,"")</f>
        <v>0.59572866302527594</v>
      </c>
      <c r="C24" s="1585">
        <f ca="1">_xlfn.XLOOKUP(O24,Cement!Q$7:Q$35,Cement!$C$7:$C$35,"")</f>
        <v>0.18845039821463286</v>
      </c>
      <c r="D24" s="2111">
        <f>_xlfn.XLOOKUP(O24,Cement!$Q$7:$Q$35,Cement!$D$7:$D$35,"")</f>
        <v>0.98954066987665801</v>
      </c>
      <c r="E24" s="1236">
        <f>_xlfn.XLOOKUP($O24,Cement!$Q$7:$Q$35,Cement!$E$7:$E$35,"")</f>
        <v>4.4000000000000039</v>
      </c>
      <c r="F24" s="1235">
        <f>_xlfn.XLOOKUP($O24,Cement!$Q$7:$Q$35,Cement!$F$7:$F$35,"")</f>
        <v>1.8000000000000016</v>
      </c>
      <c r="G24" s="2125">
        <f>_xlfn.XLOOKUP($O24,Cement!$Q$7:$Q$35,Cement!$G$7:$G$35,"")</f>
        <v>0.79190865643614661</v>
      </c>
      <c r="H24" s="2314">
        <f>_xlfn.XLOOKUP($O24,Cement!Q$7:Q$35,Cement!H$7:H$35,"")</f>
        <v>0.82807498856881578</v>
      </c>
      <c r="I24" s="2314">
        <f>_xlfn.XLOOKUP(O24,Cement!Q$7:Q$35,Cement!J$7:J$35,"")</f>
        <v>0.67243975903614461</v>
      </c>
      <c r="J24" s="2112">
        <f>_xlfn.XLOOKUP(O24,'Sales Rec'!$E$4:$E$91,'Sales Rec'!$CV$4:$CV$91,"")</f>
        <v>7</v>
      </c>
      <c r="K24" s="2224">
        <f>_xlfn.XLOOKUP(O24,Cement!Q$7:Q$35,Cement!$L$7:$L$35,"")</f>
        <v>13</v>
      </c>
      <c r="L24" s="390" t="str">
        <f>_xlfn.XLOOKUP(O24,'Sales Rec'!$E$4:$E$32,'Sales Rec'!$DS$4:$DS$32,"")</f>
        <v>B</v>
      </c>
      <c r="M24" s="390" t="str">
        <f>_xlfn.XLOOKUP(O24,'Sales Rec'!$E$4:$E$32,'Sales Rec'!$DZ$4:$DZ$32,"")</f>
        <v>B</v>
      </c>
      <c r="N24" s="60" t="s">
        <v>64</v>
      </c>
      <c r="O24" s="124" t="s">
        <v>65</v>
      </c>
      <c r="P24" s="1570">
        <v>9</v>
      </c>
      <c r="Q24" s="264">
        <f>VLOOKUP(O24,Cement!$Q$7:$CC$35,4,FALSE)</f>
        <v>75570</v>
      </c>
      <c r="R24" s="292">
        <f>_xlfn.XLOOKUP(O24,Cement!$Q$7:$Q$35,Cement!$U$7:$U$35,"")</f>
        <v>3</v>
      </c>
      <c r="S24" s="292">
        <f>_xlfn.XLOOKUP(O24,'دیده بان بازار'!$A$8:$A$3179,'دیده بان بازار'!$L$8:$L$3179,"")</f>
        <v>2200</v>
      </c>
      <c r="T24" s="304">
        <f>VLOOKUP(O24,Cement!$Q$7:$CC$35,6,FALSE)</f>
        <v>75570</v>
      </c>
      <c r="U24" s="361">
        <f>_xlfn.XLOOKUP(O24,Cement!$Q$7:$Q$35,Cement!$W$7:$W$35,"")</f>
        <v>3</v>
      </c>
      <c r="V24" s="361">
        <f>_xlfn.XLOOKUP(O24,'دیده بان بازار'!$A$8:$A$3179,'دیده بان بازار'!$I$8:$I$3179,"")</f>
        <v>2200</v>
      </c>
      <c r="W24" s="66">
        <f>_xlfn.XLOOKUP(O24,Cement!$Q$7:$Q$35,Cement!$S$7:$S$35,"")</f>
        <v>18635.562000000002</v>
      </c>
      <c r="X24" s="1603">
        <f>_xlfn.XLOOKUP(O24,'Sales Rec'!$E$4:$E$93,'Sales Rec'!$DW$4:$DW$93,"")</f>
        <v>0.80228953016933002</v>
      </c>
      <c r="Y24" s="850">
        <f>_xlfn.XLOOKUP(N24,Cement!$P$7:$P$35,Cement!$Z$7:$Z$35,"")</f>
        <v>0.97829745222929954</v>
      </c>
      <c r="Z24" s="1453">
        <f t="shared" ca="1" si="16"/>
        <v>0.5527104249883048</v>
      </c>
      <c r="AA24" s="824">
        <f ca="1">_xlfn.XLOOKUP(O24,Cement!$Q$7:$Q$35,Cement!$AB$7:$AB$35,"")</f>
        <v>-30.613508252255134</v>
      </c>
      <c r="AB24" s="2010">
        <f>_xlfn.XLOOKUP(N24,Cement!$P$7:$P$35,Cement!$AG$7:$AG$35,"")</f>
        <v>5.6722384532760479</v>
      </c>
      <c r="AC24" s="562">
        <f t="shared" si="17"/>
        <v>-1.2610760296375365</v>
      </c>
      <c r="AD24" s="308">
        <f>_xlfn.XLOOKUP(N24,Cement!$P$7:$P$35,Cement!$AM$7:$AM$35,"")</f>
        <v>2466000000</v>
      </c>
      <c r="AE24" s="1933">
        <f ca="1">_xlfn.XLOOKUP(O24,Cement!$Q$7:$Q$35,Cement!$AH$7:$AH$35,"")</f>
        <v>188</v>
      </c>
      <c r="AF24" s="1612">
        <f>_xlfn.XLOOKUP(O24,Cement!$Q$7:$Q$35,Cement!$AI$7:$AI$35,"")</f>
        <v>46062</v>
      </c>
      <c r="AG24" s="1858">
        <f>_xlfn.XLOOKUP(O24,Cement!$Q$7:$Q$35,Cement!$EI$7:$EI$35,"")</f>
        <v>8300</v>
      </c>
      <c r="AH24" s="1829">
        <f>_xlfn.XLOOKUP(O24,Cement!$Q$7:$Q$37,Cement!$AJ$7:$AJ$37,"")</f>
        <v>46147</v>
      </c>
      <c r="AI24" s="1827">
        <f>_xlfn.XLOOKUP($O24,Cement!$Q$7:$Q$35,Cement!$CB$7:$CB$35,"")</f>
        <v>11804</v>
      </c>
      <c r="AJ24" s="1340">
        <f>_xlfn.XLOOKUP($O24,Cement!$Q$7:$Q$35,Cement!$BV$7:$BV$35,"")</f>
        <v>5.4104593301233423</v>
      </c>
      <c r="AK24" s="1206">
        <f>_xlfn.XLOOKUP($O24,Cement!$Q$7:$Q$35,Cement!$CC$7:$CC$35,"")</f>
        <v>6.4</v>
      </c>
      <c r="AL24" s="683" t="s">
        <v>603</v>
      </c>
      <c r="AM24" s="684">
        <v>74905</v>
      </c>
      <c r="AN24" s="793">
        <v>46639</v>
      </c>
      <c r="AO24" s="794">
        <f>IF(AN24&lt;1,"",(T24-AN24)/AN24)</f>
        <v>0.62031775981474735</v>
      </c>
      <c r="AP24" s="329">
        <v>350000</v>
      </c>
      <c r="AQ24" s="334">
        <f t="shared" si="19"/>
        <v>2621674.44</v>
      </c>
      <c r="AR24" s="330">
        <f t="shared" si="20"/>
        <v>5.6976892618925308E-2</v>
      </c>
      <c r="AS24" s="272"/>
      <c r="AT24" s="234">
        <f t="shared" si="21"/>
        <v>0</v>
      </c>
      <c r="AU24" s="402">
        <v>492007</v>
      </c>
      <c r="AV24" s="1137">
        <v>0</v>
      </c>
      <c r="AW24" s="342">
        <v>820000</v>
      </c>
      <c r="AX24" s="334">
        <f t="shared" si="22"/>
        <v>6142208.6880000001</v>
      </c>
      <c r="AY24" s="343">
        <f t="shared" si="23"/>
        <v>0.27500137873061892</v>
      </c>
      <c r="AZ24" s="272"/>
      <c r="BA24" s="234">
        <f t="shared" si="24"/>
        <v>0</v>
      </c>
      <c r="BB24" s="402">
        <v>3367033</v>
      </c>
      <c r="BC24" s="1151">
        <v>0</v>
      </c>
      <c r="BD24" s="333"/>
      <c r="BE24" s="334">
        <f t="shared" si="25"/>
        <v>0</v>
      </c>
      <c r="BF24" s="298"/>
      <c r="BG24" s="272"/>
      <c r="BH24" s="234">
        <f t="shared" si="27"/>
        <v>0</v>
      </c>
      <c r="BI24" s="402">
        <v>1465</v>
      </c>
      <c r="BJ24" s="297">
        <v>0</v>
      </c>
      <c r="BK24" s="720">
        <f t="shared" si="28"/>
        <v>8841690</v>
      </c>
      <c r="BL24" s="721">
        <f t="shared" si="29"/>
        <v>1170000</v>
      </c>
      <c r="BM24" s="722">
        <f t="shared" si="30"/>
        <v>0.19019218115195627</v>
      </c>
      <c r="BN24" s="623"/>
      <c r="BO24" s="610">
        <v>1000</v>
      </c>
      <c r="BP24" s="334">
        <f t="shared" si="31"/>
        <v>7490.4983999999995</v>
      </c>
      <c r="BQ24" s="612">
        <f t="shared" si="32"/>
        <v>4.5515086545292512E-3</v>
      </c>
      <c r="BR24" s="272"/>
      <c r="BS24" s="234">
        <f t="shared" si="33"/>
        <v>0</v>
      </c>
      <c r="BT24" s="402">
        <v>2011</v>
      </c>
      <c r="BU24" s="297">
        <v>0</v>
      </c>
      <c r="BV24" s="628">
        <v>1000</v>
      </c>
      <c r="BW24" s="334">
        <f t="shared" si="34"/>
        <v>7490.4983999999995</v>
      </c>
      <c r="BX24" s="630">
        <f t="shared" si="35"/>
        <v>2.9039467787332032E-2</v>
      </c>
      <c r="BY24" s="272"/>
      <c r="BZ24" s="234">
        <f t="shared" si="36"/>
        <v>0</v>
      </c>
      <c r="CA24" s="402">
        <v>830</v>
      </c>
      <c r="CB24" s="297">
        <v>0</v>
      </c>
      <c r="CC24" s="1764">
        <v>260000</v>
      </c>
      <c r="CD24" s="334">
        <f t="shared" si="37"/>
        <v>1947529.584</v>
      </c>
      <c r="CE24" s="1767">
        <f t="shared" si="38"/>
        <v>0.16033854605361419</v>
      </c>
      <c r="CF24" s="272"/>
      <c r="CG24" s="234">
        <f t="shared" si="39"/>
        <v>0</v>
      </c>
      <c r="CH24" s="402">
        <v>190900</v>
      </c>
      <c r="CI24" s="1780">
        <v>0</v>
      </c>
      <c r="CJ24" s="2074">
        <v>860000</v>
      </c>
      <c r="CK24" s="334">
        <f t="shared" si="40"/>
        <v>6441828.6239999998</v>
      </c>
      <c r="CL24" s="2070">
        <f t="shared" si="41"/>
        <v>8.4882509463541325E-2</v>
      </c>
      <c r="CM24" s="272"/>
      <c r="CN24" s="234"/>
      <c r="CO24" s="402">
        <v>2054275</v>
      </c>
      <c r="CP24" s="1780">
        <v>0</v>
      </c>
      <c r="CS24" s="333"/>
      <c r="CT24" s="334">
        <f t="shared" si="42"/>
        <v>0</v>
      </c>
      <c r="CU24" s="298"/>
      <c r="CV24" s="272"/>
      <c r="CW24" s="234">
        <f t="shared" si="44"/>
        <v>0</v>
      </c>
      <c r="CX24" s="402">
        <v>1465</v>
      </c>
      <c r="CY24" s="297">
        <v>0</v>
      </c>
    </row>
    <row r="25" spans="1:103" ht="35" customHeight="1">
      <c r="A25" s="100">
        <f>_xlfn.XLOOKUP(O25,Cement!Q$7:Q$35,Cement!A$7:A$35,"")</f>
        <v>4.272015472959688</v>
      </c>
      <c r="B25" s="100">
        <f>_xlfn.XLOOKUP(O25,Cement!Q$7:Q$35,Cement!B$7:B$35,"")</f>
        <v>-4.4516515234771852</v>
      </c>
      <c r="C25" s="1585">
        <f ca="1">_xlfn.XLOOKUP(O25,Cement!Q$7:Q$35,Cement!$C$7:$C$35,"")</f>
        <v>0.17284578726227787</v>
      </c>
      <c r="D25" s="2111">
        <f>_xlfn.XLOOKUP(O25,Cement!$Q$7:$Q$35,Cement!$D$7:$D$35,"")</f>
        <v>0.39333218675961756</v>
      </c>
      <c r="E25" s="1236">
        <f>_xlfn.XLOOKUP($O25,Cement!$Q$7:$Q$35,Cement!$E$7:$E$35,"")</f>
        <v>-4.0999999999999925</v>
      </c>
      <c r="F25" s="1235">
        <f>_xlfn.XLOOKUP($O25,Cement!$Q$7:$Q$35,Cement!$F$7:$F$35,"")</f>
        <v>-22.1</v>
      </c>
      <c r="G25" s="2125">
        <f>_xlfn.XLOOKUP($O25,Cement!$Q$7:$Q$35,Cement!$G$7:$G$35,"")</f>
        <v>9.2886182945861044</v>
      </c>
      <c r="H25" s="2314">
        <f>_xlfn.XLOOKUP($O25,Cement!Q$7:Q$35,Cement!H$7:H$35,"")</f>
        <v>0.44089456869009586</v>
      </c>
      <c r="I25" s="2314">
        <f>_xlfn.XLOOKUP(O25,Cement!Q$7:Q$35,Cement!J$7:J$35,"")</f>
        <v>0.69736842105263153</v>
      </c>
      <c r="J25" s="2112">
        <f>_xlfn.XLOOKUP(O25,'Sales Rec'!$E$4:$E$91,'Sales Rec'!$CV$4:$CV$91,"")</f>
        <v>21</v>
      </c>
      <c r="K25" s="2216">
        <f>_xlfn.XLOOKUP(O25,Cement!Q$7:Q$35,Cement!$L$7:$L$35,"")</f>
        <v>19</v>
      </c>
      <c r="L25" s="2114" t="str">
        <f>_xlfn.XLOOKUP(O25,'Sales Rec'!$E$4:$E$32,'Sales Rec'!$DS$4:$DS$32,"")</f>
        <v>N</v>
      </c>
      <c r="M25" s="390" t="str">
        <f>_xlfn.XLOOKUP(O25,'Sales Rec'!$E$4:$E$32,'Sales Rec'!$DZ$4:$DZ$32,"")</f>
        <v>N</v>
      </c>
      <c r="N25" s="60" t="s">
        <v>48</v>
      </c>
      <c r="O25" s="124" t="s">
        <v>49</v>
      </c>
      <c r="P25" s="1570">
        <v>12</v>
      </c>
      <c r="Q25" s="264">
        <f>VLOOKUP(O25,Cement!$Q$7:$CC$35,4,FALSE)</f>
        <v>26480</v>
      </c>
      <c r="R25" s="292">
        <f>_xlfn.XLOOKUP(O25,Cement!$Q$7:$Q$35,Cement!$U$7:$U$35,"")</f>
        <v>2.99</v>
      </c>
      <c r="S25" s="292">
        <f>_xlfn.XLOOKUP(O25,'دیده بان بازار'!$A$8:$A$3179,'دیده بان بازار'!$L$8:$L$3179,"")</f>
        <v>770</v>
      </c>
      <c r="T25" s="304">
        <f>VLOOKUP(O25,Cement!$Q$7:$CC$35,6,FALSE)</f>
        <v>26480</v>
      </c>
      <c r="U25" s="361">
        <f>_xlfn.XLOOKUP(O25,Cement!$Q$7:$Q$35,Cement!$W$7:$W$35,"")</f>
        <v>2.99</v>
      </c>
      <c r="V25" s="361">
        <f>_xlfn.XLOOKUP(O25,'دیده بان بازار'!$A$8:$A$3179,'دیده بان بازار'!$I$8:$I$3179,"")</f>
        <v>770</v>
      </c>
      <c r="W25" s="66">
        <f>_xlfn.XLOOKUP(O25,Cement!$Q$7:$Q$35,Cement!$S$7:$S$35,"")</f>
        <v>6010.96</v>
      </c>
      <c r="X25" s="1603">
        <f>_xlfn.XLOOKUP(O25,'Sales Rec'!$E$4:$E$93,'Sales Rec'!$DW$4:$DW$93,"")</f>
        <v>0.30571992110453639</v>
      </c>
      <c r="Y25" s="850">
        <f>_xlfn.XLOOKUP(N25,Cement!$P$7:$P$35,Cement!$Z$7:$Z$35,"")</f>
        <v>7.2045657214196548E-2</v>
      </c>
      <c r="Z25" s="1453">
        <f t="shared" ca="1" si="16"/>
        <v>0.30019023839248565</v>
      </c>
      <c r="AA25" s="824">
        <f ca="1">_xlfn.XLOOKUP(O25,Cement!$Q$7:$Q$35,Cement!$AB$7:$AB$35,"")</f>
        <v>-5.3614895926732196</v>
      </c>
      <c r="AB25" s="2010">
        <f>_xlfn.XLOOKUP(N25,Cement!$P$7:$P$35,Cement!$AG$7:$AG$35,"")</f>
        <v>2.0041281423359485</v>
      </c>
      <c r="AC25" s="562">
        <f t="shared" si="17"/>
        <v>-20.946420932878283</v>
      </c>
      <c r="AD25" s="308">
        <f>_xlfn.XLOOKUP(N25,Cement!$P$7:$P$35,Cement!$AM$7:$AM$35,"")</f>
        <v>2270000000</v>
      </c>
      <c r="AE25" s="1933">
        <f ca="1">_xlfn.XLOOKUP(O25,Cement!$Q$7:$Q$35,Cement!$AH$7:$AH$35,"")</f>
        <v>341</v>
      </c>
      <c r="AF25" s="1612">
        <f>_xlfn.XLOOKUP(O25,Cement!$Q$7:$Q$35,Cement!$AI$7:$AI$35,"")</f>
        <v>46215</v>
      </c>
      <c r="AG25" s="1927">
        <f>_xlfn.XLOOKUP(O25,Cement!$Q$7:$Q$35,Cement!$EI$7:$EI$35,"")</f>
        <v>4600</v>
      </c>
      <c r="AH25" s="1821">
        <f>_xlfn.XLOOKUP(O25,Cement!$Q$7:$Q$37,Cement!$AJ$7:$AJ$37,"")</f>
        <v>46262</v>
      </c>
      <c r="AI25" s="1827">
        <f>_xlfn.XLOOKUP($O25,Cement!$Q$7:$Q$35,Cement!$CB$7:$CB$35,"")</f>
        <v>5074</v>
      </c>
      <c r="AJ25" s="1340">
        <f>_xlfn.XLOOKUP($O25,Cement!$Q$7:$Q$35,Cement!$BV$7:$BV$35,"")</f>
        <v>4.8266678132403822</v>
      </c>
      <c r="AK25" s="1206">
        <f>_xlfn.XLOOKUP($O25,Cement!$Q$7:$Q$35,Cement!$CC$7:$CC$35,"")</f>
        <v>5.22</v>
      </c>
      <c r="AL25" s="683" t="s">
        <v>603</v>
      </c>
      <c r="AM25" s="684">
        <v>21975</v>
      </c>
      <c r="AN25" s="684"/>
      <c r="AO25" s="1223"/>
      <c r="AP25" s="329"/>
      <c r="AQ25" s="334">
        <f t="shared" si="19"/>
        <v>0</v>
      </c>
      <c r="AR25" s="330">
        <f t="shared" si="20"/>
        <v>0</v>
      </c>
      <c r="AS25" s="272"/>
      <c r="AT25" s="234">
        <f t="shared" si="21"/>
        <v>0</v>
      </c>
      <c r="AU25" s="402">
        <v>52260</v>
      </c>
      <c r="AV25" s="1137">
        <v>0</v>
      </c>
      <c r="AW25" s="342"/>
      <c r="AX25" s="334">
        <f t="shared" si="22"/>
        <v>0</v>
      </c>
      <c r="AY25" s="343">
        <f t="shared" si="23"/>
        <v>0</v>
      </c>
      <c r="AZ25" s="272"/>
      <c r="BA25" s="234">
        <f t="shared" si="24"/>
        <v>0</v>
      </c>
      <c r="BB25" s="402">
        <v>34000</v>
      </c>
      <c r="BC25" s="1151">
        <v>0</v>
      </c>
      <c r="BD25" s="333"/>
      <c r="BE25" s="334">
        <f t="shared" si="25"/>
        <v>0</v>
      </c>
      <c r="BF25" s="298">
        <f t="shared" ref="BF25:BF36" si="46">BE25/$BE$3</f>
        <v>0</v>
      </c>
      <c r="BG25" s="272"/>
      <c r="BH25" s="234">
        <f t="shared" si="27"/>
        <v>0</v>
      </c>
      <c r="BI25" s="402">
        <v>2970</v>
      </c>
      <c r="BJ25" s="297">
        <v>0</v>
      </c>
      <c r="BK25" s="720">
        <f t="shared" si="28"/>
        <v>0</v>
      </c>
      <c r="BL25" s="721">
        <f t="shared" si="29"/>
        <v>0</v>
      </c>
      <c r="BM25" s="722">
        <f t="shared" si="30"/>
        <v>0</v>
      </c>
      <c r="BN25" s="623"/>
      <c r="BO25" s="610"/>
      <c r="BP25" s="334">
        <f t="shared" si="31"/>
        <v>0</v>
      </c>
      <c r="BQ25" s="612">
        <f t="shared" si="32"/>
        <v>0</v>
      </c>
      <c r="BR25" s="272"/>
      <c r="BS25" s="234">
        <f t="shared" si="33"/>
        <v>0</v>
      </c>
      <c r="BT25" s="402">
        <v>6120</v>
      </c>
      <c r="BU25" s="297">
        <v>0</v>
      </c>
      <c r="BV25" s="628"/>
      <c r="BW25" s="334">
        <f t="shared" si="34"/>
        <v>0</v>
      </c>
      <c r="BX25" s="630">
        <f t="shared" si="35"/>
        <v>0</v>
      </c>
      <c r="BY25" s="272"/>
      <c r="BZ25" s="234">
        <f t="shared" si="36"/>
        <v>0</v>
      </c>
      <c r="CA25" s="402">
        <v>680</v>
      </c>
      <c r="CB25" s="297">
        <v>0</v>
      </c>
      <c r="CC25" s="1764"/>
      <c r="CD25" s="334">
        <f t="shared" si="37"/>
        <v>0</v>
      </c>
      <c r="CE25" s="1767">
        <f t="shared" si="38"/>
        <v>0</v>
      </c>
      <c r="CF25" s="272"/>
      <c r="CG25" s="234">
        <f t="shared" si="39"/>
        <v>0</v>
      </c>
      <c r="CH25" s="402"/>
      <c r="CI25" s="1780">
        <v>0</v>
      </c>
      <c r="CJ25" s="2074"/>
      <c r="CK25" s="334">
        <f t="shared" si="40"/>
        <v>0</v>
      </c>
      <c r="CL25" s="2070">
        <f t="shared" si="41"/>
        <v>0</v>
      </c>
      <c r="CM25" s="272"/>
      <c r="CN25" s="234">
        <f>$AG25*CM25/10000</f>
        <v>0</v>
      </c>
      <c r="CO25" s="402"/>
      <c r="CP25" s="1780">
        <v>0</v>
      </c>
      <c r="CS25" s="333"/>
      <c r="CT25" s="334">
        <f t="shared" si="42"/>
        <v>0</v>
      </c>
      <c r="CU25" s="298">
        <f t="shared" ref="CU25:CU36" si="47">CT25/$BE$3</f>
        <v>0</v>
      </c>
      <c r="CV25" s="272"/>
      <c r="CW25" s="234">
        <f t="shared" si="44"/>
        <v>0</v>
      </c>
      <c r="CX25" s="402">
        <v>2970</v>
      </c>
      <c r="CY25" s="297">
        <v>0</v>
      </c>
    </row>
    <row r="26" spans="1:103" ht="35" customHeight="1">
      <c r="A26" s="100">
        <f>_xlfn.XLOOKUP(O26,Cement!Q$7:Q$35,Cement!A$7:A$35,"")</f>
        <v>0.28480263281042628</v>
      </c>
      <c r="B26" s="100">
        <f>_xlfn.XLOOKUP(O26,Cement!Q$7:Q$35,Cement!B$7:B$35,"")</f>
        <v>-12.499714244642416</v>
      </c>
      <c r="C26" s="1585">
        <f ca="1">_xlfn.XLOOKUP(O26,Cement!Q$7:Q$35,Cement!$C$7:$C$35,"")</f>
        <v>0.15116247642380759</v>
      </c>
      <c r="D26" s="2111">
        <f>_xlfn.XLOOKUP(O26,Cement!$Q$7:$Q$35,Cement!$D$7:$D$35,"")</f>
        <v>1.8823795718449121</v>
      </c>
      <c r="E26" s="1236">
        <f>_xlfn.XLOOKUP($O26,Cement!$Q$7:$Q$35,Cement!$E$7:$E$35,"")</f>
        <v>-7.2000000000000011</v>
      </c>
      <c r="F26" s="1235">
        <f>_xlfn.XLOOKUP($O26,Cement!$Q$7:$Q$35,Cement!$F$7:$F$35,"")</f>
        <v>-8.3000000000000025</v>
      </c>
      <c r="G26" s="2125">
        <f>_xlfn.XLOOKUP($O26,Cement!$Q$7:$Q$35,Cement!$G$7:$G$35,"")</f>
        <v>1.0737124910129792</v>
      </c>
      <c r="H26" s="2314">
        <f>_xlfn.XLOOKUP($O26,Cement!Q$7:Q$35,Cement!H$7:H$35,"")</f>
        <v>0.51436031331592691</v>
      </c>
      <c r="I26" s="2314">
        <f>_xlfn.XLOOKUP(O26,Cement!Q$7:Q$35,Cement!J$7:J$35,"")</f>
        <v>0.80783582089552242</v>
      </c>
      <c r="J26" s="2112">
        <f>_xlfn.XLOOKUP(O26,'Sales Rec'!$E$4:$E$91,'Sales Rec'!$CV$4:$CV$91,"")</f>
        <v>19</v>
      </c>
      <c r="K26" s="2216">
        <f>_xlfn.XLOOKUP(O26,Cement!Q$7:Q$35,Cement!$L$7:$L$35,"")</f>
        <v>25</v>
      </c>
      <c r="L26" s="2113" t="str">
        <f>_xlfn.XLOOKUP(O26,'Sales Rec'!$E$4:$E$32,'Sales Rec'!$DS$4:$DS$32,"")</f>
        <v>N</v>
      </c>
      <c r="M26" s="2113" t="str">
        <f>_xlfn.XLOOKUP(O26,'Sales Rec'!$E$4:$E$32,'Sales Rec'!$DZ$4:$DZ$32,"")</f>
        <v>B</v>
      </c>
      <c r="N26" s="60" t="s">
        <v>44</v>
      </c>
      <c r="O26" s="124" t="s">
        <v>45</v>
      </c>
      <c r="P26" s="1570">
        <v>12</v>
      </c>
      <c r="Q26" s="264">
        <f>VLOOKUP(O26,Cement!$Q$7:$CC$35,4,FALSE)</f>
        <v>5530</v>
      </c>
      <c r="R26" s="292">
        <f>_xlfn.XLOOKUP(O26,Cement!$Q$7:$Q$35,Cement!$U$7:$U$35,"")</f>
        <v>2.98</v>
      </c>
      <c r="S26" s="292">
        <f>_xlfn.XLOOKUP(O26,'دیده بان بازار'!$A$8:$A$3179,'دیده بان بازار'!$L$8:$L$3179,"")</f>
        <v>160</v>
      </c>
      <c r="T26" s="304">
        <f>VLOOKUP(O26,Cement!$Q$7:$CC$35,6,FALSE)</f>
        <v>5530</v>
      </c>
      <c r="U26" s="361">
        <f>_xlfn.XLOOKUP(O26,Cement!$Q$7:$Q$35,Cement!$W$7:$W$35,"")</f>
        <v>2.98</v>
      </c>
      <c r="V26" s="361">
        <f>_xlfn.XLOOKUP(O26,'دیده بان بازار'!$A$8:$A$3179,'دیده بان بازار'!$I$8:$I$3179,"")</f>
        <v>160</v>
      </c>
      <c r="W26" s="66">
        <f>_xlfn.XLOOKUP(O26,Cement!$Q$7:$Q$35,Cement!$S$7:$S$35,"")</f>
        <v>5142.8999999999996</v>
      </c>
      <c r="X26" s="1603">
        <f>_xlfn.XLOOKUP(O26,'Sales Rec'!$E$4:$E$93,'Sales Rec'!$DW$4:$DW$93,"")</f>
        <v>0.75834658187599358</v>
      </c>
      <c r="Y26" s="850">
        <f>_xlfn.XLOOKUP(N26,Cement!$P$7:$P$35,Cement!$Z$7:$Z$35,"")</f>
        <v>0.63422306959008568</v>
      </c>
      <c r="Z26" s="1453">
        <f t="shared" ca="1" si="16"/>
        <v>0.79277883698760709</v>
      </c>
      <c r="AA26" s="824">
        <f ca="1">_xlfn.XLOOKUP(O26,Cement!$Q$7:$Q$35,Cement!$AB$7:$AB$35,"")</f>
        <v>-54.620349452185373</v>
      </c>
      <c r="AB26" s="2010">
        <f>_xlfn.XLOOKUP(N26,Cement!$P$7:$P$35,Cement!$AG$7:$AG$35,"")</f>
        <v>3.9498556304138592</v>
      </c>
      <c r="AC26" s="562">
        <f t="shared" si="17"/>
        <v>-9.9318875024757425</v>
      </c>
      <c r="AD26" s="308">
        <f>_xlfn.XLOOKUP(N26,Cement!$P$7:$P$35,Cement!$AM$7:$AM$35,"")</f>
        <v>9300000000</v>
      </c>
      <c r="AE26" s="1933">
        <f ca="1">_xlfn.XLOOKUP(O26,Cement!$Q$7:$Q$35,Cement!$AH$7:$AH$35,"")</f>
        <v>285</v>
      </c>
      <c r="AF26" s="1612">
        <f>_xlfn.XLOOKUP(O26,Cement!$Q$7:$Q$35,Cement!$AI$7:$AI$35,"")</f>
        <v>46159</v>
      </c>
      <c r="AG26" s="2056">
        <f>_xlfn.XLOOKUP(O26,Cement!$Q$7:$Q$35,Cement!$EI$7:$EI$35,"")</f>
        <v>695</v>
      </c>
      <c r="AH26" s="1829">
        <f>_xlfn.XLOOKUP(O26,Cement!$Q$7:$Q$37,Cement!$AJ$7:$AJ$37,"")</f>
        <v>46194</v>
      </c>
      <c r="AI26" s="1827">
        <f>_xlfn.XLOOKUP($O26,Cement!$Q$7:$Q$35,Cement!$CB$7:$CB$35,"")</f>
        <v>822</v>
      </c>
      <c r="AJ26" s="1340">
        <f>_xlfn.XLOOKUP($O26,Cement!$Q$7:$Q$35,Cement!$BV$7:$BV$35,"")</f>
        <v>4.8476204281550883</v>
      </c>
      <c r="AK26" s="1206">
        <f>_xlfn.XLOOKUP($O26,Cement!$Q$7:$Q$35,Cement!$CC$7:$CC$35,"")</f>
        <v>6.73</v>
      </c>
      <c r="AL26" s="683" t="s">
        <v>603</v>
      </c>
      <c r="AM26" s="684">
        <v>5049</v>
      </c>
      <c r="AN26" s="793">
        <v>5093</v>
      </c>
      <c r="AO26" s="794">
        <f>IF(AN26&lt;1,"",(T26-AN26)/AN26)</f>
        <v>8.5804044767327711E-2</v>
      </c>
      <c r="AP26" s="329">
        <v>100000</v>
      </c>
      <c r="AQ26" s="334">
        <f t="shared" si="19"/>
        <v>54813.36</v>
      </c>
      <c r="AR26" s="330">
        <f t="shared" si="20"/>
        <v>1.1912596313074235E-3</v>
      </c>
      <c r="AS26" s="272"/>
      <c r="AT26" s="234">
        <f t="shared" si="21"/>
        <v>0</v>
      </c>
      <c r="AU26" s="402">
        <v>234453</v>
      </c>
      <c r="AV26" s="1137">
        <v>0</v>
      </c>
      <c r="AW26" s="342"/>
      <c r="AX26" s="334">
        <f t="shared" si="22"/>
        <v>0</v>
      </c>
      <c r="AY26" s="343">
        <f t="shared" si="23"/>
        <v>0</v>
      </c>
      <c r="AZ26" s="272"/>
      <c r="BA26" s="234">
        <f t="shared" si="24"/>
        <v>0</v>
      </c>
      <c r="BB26" s="402">
        <v>79387</v>
      </c>
      <c r="BC26" s="1151">
        <v>0</v>
      </c>
      <c r="BD26" s="333"/>
      <c r="BE26" s="334">
        <f t="shared" si="25"/>
        <v>0</v>
      </c>
      <c r="BF26" s="298">
        <f t="shared" si="46"/>
        <v>0</v>
      </c>
      <c r="BG26" s="272"/>
      <c r="BH26" s="234">
        <f t="shared" si="27"/>
        <v>0</v>
      </c>
      <c r="BI26" s="402">
        <v>6950</v>
      </c>
      <c r="BJ26" s="297">
        <v>0</v>
      </c>
      <c r="BK26" s="720">
        <f t="shared" si="28"/>
        <v>55300</v>
      </c>
      <c r="BL26" s="721">
        <f t="shared" si="29"/>
        <v>100000</v>
      </c>
      <c r="BM26" s="722">
        <f t="shared" si="30"/>
        <v>1.1895494659621838E-3</v>
      </c>
      <c r="BN26" s="623"/>
      <c r="BO26" s="610">
        <v>100000</v>
      </c>
      <c r="BP26" s="334">
        <f t="shared" si="31"/>
        <v>54813.36</v>
      </c>
      <c r="BQ26" s="612">
        <f t="shared" si="32"/>
        <v>3.3306659864426047E-2</v>
      </c>
      <c r="BR26" s="272"/>
      <c r="BS26" s="234">
        <f t="shared" si="33"/>
        <v>0</v>
      </c>
      <c r="BT26" s="402">
        <v>7440</v>
      </c>
      <c r="BU26" s="297">
        <v>0</v>
      </c>
      <c r="BV26" s="628">
        <v>10000</v>
      </c>
      <c r="BW26" s="334">
        <f t="shared" si="34"/>
        <v>5481.3360000000002</v>
      </c>
      <c r="BX26" s="630">
        <f t="shared" si="35"/>
        <v>2.1250265563576308E-2</v>
      </c>
      <c r="BY26" s="272"/>
      <c r="BZ26" s="234">
        <f t="shared" si="36"/>
        <v>0</v>
      </c>
      <c r="CA26" s="402">
        <v>487</v>
      </c>
      <c r="CB26" s="297">
        <v>0</v>
      </c>
      <c r="CC26" s="1764"/>
      <c r="CD26" s="334">
        <f t="shared" si="37"/>
        <v>0</v>
      </c>
      <c r="CE26" s="1767">
        <f t="shared" si="38"/>
        <v>0</v>
      </c>
      <c r="CF26" s="272"/>
      <c r="CG26" s="234">
        <f t="shared" si="39"/>
        <v>0</v>
      </c>
      <c r="CH26" s="402">
        <v>6950</v>
      </c>
      <c r="CI26" s="1780">
        <v>0</v>
      </c>
      <c r="CJ26" s="2074"/>
      <c r="CK26" s="334">
        <f t="shared" si="40"/>
        <v>0</v>
      </c>
      <c r="CL26" s="2070">
        <f t="shared" si="41"/>
        <v>0</v>
      </c>
      <c r="CM26" s="272"/>
      <c r="CN26" s="234"/>
      <c r="CO26" s="402"/>
      <c r="CP26" s="1780">
        <v>0</v>
      </c>
      <c r="CS26" s="333">
        <v>10000</v>
      </c>
      <c r="CT26" s="334">
        <f t="shared" si="42"/>
        <v>5481.3360000000002</v>
      </c>
      <c r="CU26" s="298">
        <f t="shared" si="47"/>
        <v>3.547801616797591E-3</v>
      </c>
      <c r="CV26" s="272"/>
      <c r="CW26" s="234">
        <f t="shared" si="44"/>
        <v>0</v>
      </c>
      <c r="CX26" s="402">
        <v>6950</v>
      </c>
      <c r="CY26" s="297">
        <v>0</v>
      </c>
    </row>
    <row r="27" spans="1:103" ht="35" customHeight="1">
      <c r="A27" s="100">
        <f>_xlfn.XLOOKUP(O27,Cement!Q$7:Q$35,Cement!A$7:A$35,"")</f>
        <v>-0.73633515948652661</v>
      </c>
      <c r="B27" s="100">
        <f>_xlfn.XLOOKUP(O27,Cement!Q$7:Q$35,Cement!B$7:B$35,"")</f>
        <v>-3.3019070188340858</v>
      </c>
      <c r="C27" s="1585">
        <f ca="1">_xlfn.XLOOKUP(O27,Cement!Q$7:Q$35,Cement!$C$7:$C$35,"")</f>
        <v>0.12808423535624214</v>
      </c>
      <c r="D27" s="2111">
        <f>_xlfn.XLOOKUP(O27,Cement!$Q$7:$Q$35,Cement!$D$7:$D$35,"")</f>
        <v>2.4925158637289426</v>
      </c>
      <c r="E27" s="1236">
        <f>_xlfn.XLOOKUP($O27,Cement!$Q$7:$Q$35,Cement!$E$7:$E$35,"")</f>
        <v>-11.500000000000005</v>
      </c>
      <c r="F27" s="1235">
        <f>_xlfn.XLOOKUP($O27,Cement!$Q$7:$Q$35,Cement!$F$7:$F$35,"")</f>
        <v>-11.7</v>
      </c>
      <c r="G27" s="2125">
        <f>_xlfn.XLOOKUP($O27,Cement!$Q$7:$Q$35,Cement!$G$7:$G$35,"")</f>
        <v>2.3004113582810821</v>
      </c>
      <c r="H27" s="2314">
        <f>_xlfn.XLOOKUP($O27,Cement!Q$7:Q$35,Cement!H$7:H$35,"")</f>
        <v>0.21282798833819241</v>
      </c>
      <c r="I27" s="2314">
        <f>_xlfn.XLOOKUP(O27,Cement!Q$7:Q$35,Cement!J$7:J$35,"")</f>
        <v>0.52759381898454749</v>
      </c>
      <c r="J27" s="2112">
        <f>_xlfn.XLOOKUP(O27,'Sales Rec'!$E$4:$E$91,'Sales Rec'!$CV$4:$CV$91,"")</f>
        <v>26</v>
      </c>
      <c r="K27" s="2216">
        <f>_xlfn.XLOOKUP(O27,Cement!Q$7:Q$35,Cement!$L$7:$L$35,"")</f>
        <v>22</v>
      </c>
      <c r="L27" s="390" t="str">
        <f>_xlfn.XLOOKUP(O27,'Sales Rec'!$E$4:$E$32,'Sales Rec'!$DS$4:$DS$32,"")</f>
        <v>S</v>
      </c>
      <c r="M27" s="2113" t="str">
        <f>_xlfn.XLOOKUP(O27,'Sales Rec'!$E$4:$E$32,'Sales Rec'!$DZ$4:$DZ$32,"")</f>
        <v>B</v>
      </c>
      <c r="N27" s="60" t="s">
        <v>72</v>
      </c>
      <c r="O27" s="124" t="s">
        <v>73</v>
      </c>
      <c r="P27" s="1570">
        <v>12</v>
      </c>
      <c r="Q27" s="264">
        <f>VLOOKUP(O27,Cement!$Q$7:$CC$35,4,FALSE)</f>
        <v>7880</v>
      </c>
      <c r="R27" s="292">
        <f>_xlfn.XLOOKUP(O27,Cement!$Q$7:$Q$35,Cement!$U$7:$U$35,"")</f>
        <v>2.87</v>
      </c>
      <c r="S27" s="292">
        <f>_xlfn.XLOOKUP(O27,'دیده بان بازار'!$A$8:$A$3179,'دیده بان بازار'!$L$8:$L$3179,"")</f>
        <v>220</v>
      </c>
      <c r="T27" s="304">
        <f>VLOOKUP(O27,Cement!$Q$7:$CC$35,6,FALSE)</f>
        <v>7880</v>
      </c>
      <c r="U27" s="361">
        <f>_xlfn.XLOOKUP(O27,Cement!$Q$7:$Q$35,Cement!$W$7:$W$35,"")</f>
        <v>2.87</v>
      </c>
      <c r="V27" s="361">
        <f>_xlfn.XLOOKUP(O27,'دیده بان بازار'!$A$8:$A$3179,'دیده بان بازار'!$I$8:$I$3179,"")</f>
        <v>220</v>
      </c>
      <c r="W27" s="66">
        <f>_xlfn.XLOOKUP(O27,Cement!$Q$7:$Q$35,Cement!$S$7:$S$35,"")</f>
        <v>4452.2</v>
      </c>
      <c r="X27" s="1603">
        <f>_xlfn.XLOOKUP(O27,'Sales Rec'!$E$4:$E$93,'Sales Rec'!$DW$4:$DW$93,"")</f>
        <v>3.684210526315785E-2</v>
      </c>
      <c r="Y27" s="850">
        <f>_xlfn.XLOOKUP(N27,Cement!$P$7:$P$35,Cement!$Z$7:$Z$35,"")</f>
        <v>0.25910633484162893</v>
      </c>
      <c r="Z27" s="1453">
        <f t="shared" ca="1" si="16"/>
        <v>0.38672587289795363</v>
      </c>
      <c r="AA27" s="824">
        <f ca="1">_xlfn.XLOOKUP(O27,Cement!$Q$7:$Q$35,Cement!$AB$7:$AB$35,"")</f>
        <v>-14.01505304322002</v>
      </c>
      <c r="AB27" s="2010">
        <f>_xlfn.XLOOKUP(N27,Cement!$P$7:$P$35,Cement!$AG$7:$AG$35,"")</f>
        <v>3.8711159737417939</v>
      </c>
      <c r="AC27" s="562">
        <f t="shared" si="17"/>
        <v>-21.641894801599506</v>
      </c>
      <c r="AD27" s="308">
        <f>_xlfn.XLOOKUP(N27,Cement!$P$7:$P$35,Cement!$AM$7:$AM$35,"")</f>
        <v>5650000000</v>
      </c>
      <c r="AE27" s="1933">
        <f ca="1">_xlfn.XLOOKUP(O27,Cement!$Q$7:$Q$35,Cement!$AH$7:$AH$35,"")</f>
        <v>298</v>
      </c>
      <c r="AF27" s="1612">
        <f>_xlfn.XLOOKUP(O27,Cement!$Q$7:$Q$35,Cement!$AI$7:$AI$35,"")</f>
        <v>46172</v>
      </c>
      <c r="AG27" s="1927">
        <f>_xlfn.XLOOKUP(O27,Cement!$Q$7:$Q$35,Cement!$EI$7:$EI$35,"")</f>
        <v>991</v>
      </c>
      <c r="AH27" s="1821">
        <f>_xlfn.XLOOKUP(O27,Cement!$Q$7:$Q$37,Cement!$AJ$7:$AJ$37,"")</f>
        <v>46266</v>
      </c>
      <c r="AI27" s="1827">
        <f>_xlfn.XLOOKUP($O27,Cement!$Q$7:$Q$35,Cement!$CB$7:$CB$35,"")</f>
        <v>1220</v>
      </c>
      <c r="AJ27" s="1340">
        <f>_xlfn.XLOOKUP($O27,Cement!$Q$7:$Q$35,Cement!$BV$7:$BV$35,"")</f>
        <v>3.9674841362710573</v>
      </c>
      <c r="AK27" s="1206">
        <f>_xlfn.XLOOKUP($O27,Cement!$Q$7:$Q$35,Cement!$CC$7:$CC$35,"")</f>
        <v>6.46</v>
      </c>
      <c r="AL27" s="683" t="s">
        <v>603</v>
      </c>
      <c r="AM27" s="684">
        <v>6502</v>
      </c>
      <c r="AN27" s="684"/>
      <c r="AO27" s="1223"/>
      <c r="AP27" s="329"/>
      <c r="AQ27" s="334">
        <f t="shared" si="19"/>
        <v>0</v>
      </c>
      <c r="AR27" s="330">
        <f t="shared" si="20"/>
        <v>0</v>
      </c>
      <c r="AS27" s="272"/>
      <c r="AT27" s="234">
        <f t="shared" si="21"/>
        <v>0</v>
      </c>
      <c r="AU27" s="402">
        <v>136270</v>
      </c>
      <c r="AV27" s="1137">
        <v>0</v>
      </c>
      <c r="AW27" s="342"/>
      <c r="AX27" s="334">
        <f t="shared" si="22"/>
        <v>0</v>
      </c>
      <c r="AY27" s="343">
        <f t="shared" si="23"/>
        <v>0</v>
      </c>
      <c r="AZ27" s="272"/>
      <c r="BA27" s="234">
        <f t="shared" si="24"/>
        <v>0</v>
      </c>
      <c r="BB27" s="402">
        <v>33310</v>
      </c>
      <c r="BC27" s="1151">
        <v>0</v>
      </c>
      <c r="BD27" s="333"/>
      <c r="BE27" s="334">
        <f t="shared" si="25"/>
        <v>0</v>
      </c>
      <c r="BF27" s="298">
        <f t="shared" si="46"/>
        <v>0</v>
      </c>
      <c r="BG27" s="272"/>
      <c r="BH27" s="234">
        <f t="shared" si="27"/>
        <v>0</v>
      </c>
      <c r="BI27" s="402">
        <v>1486</v>
      </c>
      <c r="BJ27" s="297">
        <v>0</v>
      </c>
      <c r="BK27" s="720">
        <f t="shared" si="28"/>
        <v>0</v>
      </c>
      <c r="BL27" s="721">
        <f t="shared" si="29"/>
        <v>0</v>
      </c>
      <c r="BM27" s="722">
        <f t="shared" si="30"/>
        <v>0</v>
      </c>
      <c r="BN27" s="623"/>
      <c r="BO27" s="610"/>
      <c r="BP27" s="334">
        <f t="shared" si="31"/>
        <v>0</v>
      </c>
      <c r="BQ27" s="612">
        <f t="shared" si="32"/>
        <v>0</v>
      </c>
      <c r="BR27" s="272"/>
      <c r="BS27" s="234">
        <f t="shared" si="33"/>
        <v>0</v>
      </c>
      <c r="BT27" s="402">
        <v>5450</v>
      </c>
      <c r="BU27" s="297">
        <v>0</v>
      </c>
      <c r="BV27" s="628"/>
      <c r="BW27" s="334">
        <f t="shared" si="34"/>
        <v>0</v>
      </c>
      <c r="BX27" s="630">
        <f t="shared" si="35"/>
        <v>0</v>
      </c>
      <c r="BY27" s="272"/>
      <c r="BZ27" s="234">
        <f t="shared" si="36"/>
        <v>0</v>
      </c>
      <c r="CA27" s="402"/>
      <c r="CB27" s="297">
        <v>0</v>
      </c>
      <c r="CC27" s="1764"/>
      <c r="CD27" s="334">
        <f t="shared" si="37"/>
        <v>0</v>
      </c>
      <c r="CE27" s="1767">
        <f t="shared" si="38"/>
        <v>0</v>
      </c>
      <c r="CF27" s="272"/>
      <c r="CG27" s="234">
        <f t="shared" si="39"/>
        <v>0</v>
      </c>
      <c r="CH27" s="402"/>
      <c r="CI27" s="1780">
        <v>0</v>
      </c>
      <c r="CJ27" s="2074"/>
      <c r="CK27" s="334">
        <f t="shared" si="40"/>
        <v>0</v>
      </c>
      <c r="CL27" s="2070">
        <f t="shared" si="41"/>
        <v>0</v>
      </c>
      <c r="CM27" s="272"/>
      <c r="CN27" s="234">
        <f t="shared" ref="CN27:CN36" si="48">$AG27*CM27/10000</f>
        <v>0</v>
      </c>
      <c r="CO27" s="402"/>
      <c r="CP27" s="1780">
        <v>0</v>
      </c>
      <c r="CS27" s="333"/>
      <c r="CT27" s="334">
        <f t="shared" si="42"/>
        <v>0</v>
      </c>
      <c r="CU27" s="298">
        <f t="shared" si="47"/>
        <v>0</v>
      </c>
      <c r="CV27" s="272"/>
      <c r="CW27" s="234">
        <f t="shared" si="44"/>
        <v>0</v>
      </c>
      <c r="CX27" s="402">
        <v>1486</v>
      </c>
      <c r="CY27" s="297">
        <v>0</v>
      </c>
    </row>
    <row r="28" spans="1:103" ht="35" customHeight="1">
      <c r="A28" s="100">
        <f>_xlfn.XLOOKUP(O28,Cement!Q$7:Q$35,Cement!A$7:A$35,"")</f>
        <v>-0.3801749626398081</v>
      </c>
      <c r="B28" s="100">
        <f>_xlfn.XLOOKUP(O28,Cement!Q$7:Q$35,Cement!B$7:B$35,"")</f>
        <v>-4.1661002865120871</v>
      </c>
      <c r="C28" s="1585">
        <f ca="1">_xlfn.XLOOKUP(O28,Cement!Q$7:Q$35,Cement!$C$7:$C$35,"")</f>
        <v>0.11111841695010755</v>
      </c>
      <c r="D28" s="2111">
        <f>_xlfn.XLOOKUP(O28,Cement!$Q$7:$Q$35,Cement!$D$7:$D$35,"")</f>
        <v>1.8721796046337422</v>
      </c>
      <c r="E28" s="1236">
        <f>_xlfn.XLOOKUP($O28,Cement!$Q$7:$Q$35,Cement!$E$7:$E$35,"")</f>
        <v>-8.5999999999999961</v>
      </c>
      <c r="F28" s="1235">
        <f>_xlfn.XLOOKUP($O28,Cement!$Q$7:$Q$35,Cement!$F$7:$F$35,"")</f>
        <v>-8.7999999999999972</v>
      </c>
      <c r="G28" s="2125">
        <f>_xlfn.XLOOKUP($O28,Cement!$Q$7:$Q$35,Cement!$G$7:$G$35,"")</f>
        <v>2.6319444779955625</v>
      </c>
      <c r="H28" s="2314">
        <f>_xlfn.XLOOKUP($O28,Cement!Q$7:Q$35,Cement!H$7:H$35,"")</f>
        <v>0.45579847908745247</v>
      </c>
      <c r="I28" s="2314">
        <f>_xlfn.XLOOKUP(O28,Cement!Q$7:Q$35,Cement!J$7:J$35,"")</f>
        <v>0.91163793103448276</v>
      </c>
      <c r="J28" s="2112">
        <f>_xlfn.XLOOKUP(O28,'Sales Rec'!$E$4:$E$91,'Sales Rec'!$CV$4:$CV$91,"")</f>
        <v>20</v>
      </c>
      <c r="K28" s="2216">
        <f>_xlfn.XLOOKUP(O28,Cement!Q$7:Q$35,Cement!$L$7:$L$35,"")</f>
        <v>16</v>
      </c>
      <c r="L28" s="2113" t="str">
        <f>_xlfn.XLOOKUP(O28,'Sales Rec'!$E$4:$E$32,'Sales Rec'!$DS$4:$DS$32,"")</f>
        <v>N</v>
      </c>
      <c r="M28" s="390" t="str">
        <f>_xlfn.XLOOKUP(O28,'Sales Rec'!$E$4:$E$32,'Sales Rec'!$DZ$4:$DZ$32,"")</f>
        <v>N</v>
      </c>
      <c r="N28" s="60" t="s">
        <v>68</v>
      </c>
      <c r="O28" s="124" t="s">
        <v>69</v>
      </c>
      <c r="P28" s="1570">
        <v>12</v>
      </c>
      <c r="Q28" s="264">
        <f>VLOOKUP(O28,Cement!$Q$7:$CC$35,4,FALSE)</f>
        <v>68880</v>
      </c>
      <c r="R28" s="292">
        <f>_xlfn.XLOOKUP(O28,Cement!$Q$7:$Q$35,Cement!$U$7:$U$35,"")</f>
        <v>2.99</v>
      </c>
      <c r="S28" s="292">
        <f>_xlfn.XLOOKUP(O28,'دیده بان بازار'!$A$8:$A$3179,'دیده بان بازار'!$L$8:$L$3179,"")</f>
        <v>2000</v>
      </c>
      <c r="T28" s="304">
        <f>VLOOKUP(O28,Cement!$Q$7:$CC$35,6,FALSE)</f>
        <v>68880</v>
      </c>
      <c r="U28" s="361">
        <f>_xlfn.XLOOKUP(O28,Cement!$Q$7:$Q$35,Cement!$W$7:$W$35,"")</f>
        <v>2.99</v>
      </c>
      <c r="V28" s="361">
        <f>_xlfn.XLOOKUP(O28,'دیده بان بازار'!$A$8:$A$3179,'دیده بان بازار'!$I$8:$I$3179,"")</f>
        <v>2000</v>
      </c>
      <c r="W28" s="66">
        <f>_xlfn.XLOOKUP(O28,Cement!$Q$7:$Q$35,Cement!$S$7:$S$35,"")</f>
        <v>20383.665288</v>
      </c>
      <c r="X28" s="1603">
        <f>_xlfn.XLOOKUP(O28,'Sales Rec'!$E$4:$E$93,'Sales Rec'!$DW$4:$DW$93,"")</f>
        <v>0.43470110393667977</v>
      </c>
      <c r="Y28" s="850">
        <f>_xlfn.XLOOKUP(N28,Cement!$P$7:$P$35,Cement!$Z$7:$Z$35,"")</f>
        <v>0.22167607359904107</v>
      </c>
      <c r="Z28" s="1453">
        <f t="shared" ca="1" si="16"/>
        <v>0.43465896784125702</v>
      </c>
      <c r="AA28" s="824">
        <f ca="1">_xlfn.XLOOKUP(O28,Cement!$Q$7:$Q$35,Cement!$AB$7:$AB$35,"")</f>
        <v>-18.808362537550355</v>
      </c>
      <c r="AB28" s="2010">
        <f>_xlfn.XLOOKUP(N28,Cement!$P$7:$P$35,Cement!$AG$7:$AG$35,"")</f>
        <v>3.5857514708661418</v>
      </c>
      <c r="AC28" s="562" t="str">
        <f t="shared" si="17"/>
        <v/>
      </c>
      <c r="AD28" s="308">
        <f>_xlfn.XLOOKUP(N28,Cement!$P$7:$P$35,Cement!$AM$7:$AM$35,"")</f>
        <v>2959301000</v>
      </c>
      <c r="AE28" s="1933">
        <f ca="1">_xlfn.XLOOKUP(O28,Cement!$Q$7:$Q$35,Cement!$AH$7:$AH$35,"")</f>
        <v>314</v>
      </c>
      <c r="AF28" s="1612">
        <f>_xlfn.XLOOKUP(O28,Cement!$Q$7:$Q$35,Cement!$AI$7:$AI$35,"")</f>
        <v>46188</v>
      </c>
      <c r="AG28" s="1927">
        <f>_xlfn.XLOOKUP(O28,Cement!$Q$7:$Q$35,Cement!$EI$7:$EI$35,"")</f>
        <v>9700</v>
      </c>
      <c r="AH28" s="1821">
        <f>_xlfn.XLOOKUP(O28,Cement!$Q$7:$Q$37,Cement!$AJ$7:$AJ$37,"")</f>
        <v>46307</v>
      </c>
      <c r="AI28" s="1827">
        <f>_xlfn.XLOOKUP($O28,Cement!$Q$7:$Q$35,Cement!$CB$7:$CB$35,"")</f>
        <v>10205</v>
      </c>
      <c r="AJ28" s="1340">
        <f>_xlfn.XLOOKUP($O28,Cement!$Q$7:$Q$35,Cement!$BV$7:$BV$35,"")</f>
        <v>4.8778203953662578</v>
      </c>
      <c r="AK28" s="1206">
        <f>_xlfn.XLOOKUP($O28,Cement!$Q$7:$Q$35,Cement!$CC$7:$CC$35,"")</f>
        <v>6.75</v>
      </c>
      <c r="AL28" s="683"/>
      <c r="AM28" s="684"/>
      <c r="AN28" s="793"/>
      <c r="AO28" s="794" t="str">
        <f t="shared" ref="AO28:AO33" si="49">IF(AN28&lt;1,"",(T28-AN28)/AN28)</f>
        <v/>
      </c>
      <c r="AP28" s="329"/>
      <c r="AQ28" s="334">
        <f t="shared" si="19"/>
        <v>0</v>
      </c>
      <c r="AR28" s="330">
        <f t="shared" si="20"/>
        <v>0</v>
      </c>
      <c r="AS28" s="272"/>
      <c r="AT28" s="234">
        <f t="shared" si="21"/>
        <v>0</v>
      </c>
      <c r="AU28" s="402">
        <v>129807</v>
      </c>
      <c r="AV28" s="1137">
        <v>0</v>
      </c>
      <c r="AW28" s="342"/>
      <c r="AX28" s="334">
        <f t="shared" si="22"/>
        <v>0</v>
      </c>
      <c r="AY28" s="343">
        <f t="shared" si="23"/>
        <v>0</v>
      </c>
      <c r="AZ28" s="272"/>
      <c r="BA28" s="234">
        <f t="shared" si="24"/>
        <v>0</v>
      </c>
      <c r="BB28" s="402">
        <v>105446</v>
      </c>
      <c r="BC28" s="1151">
        <v>0</v>
      </c>
      <c r="BD28" s="333"/>
      <c r="BE28" s="334">
        <f t="shared" si="25"/>
        <v>0</v>
      </c>
      <c r="BF28" s="298">
        <f t="shared" si="46"/>
        <v>0</v>
      </c>
      <c r="BG28" s="272"/>
      <c r="BH28" s="234">
        <f t="shared" si="27"/>
        <v>0</v>
      </c>
      <c r="BI28" s="402">
        <v>2301</v>
      </c>
      <c r="BJ28" s="297">
        <v>0</v>
      </c>
      <c r="BK28" s="720">
        <f t="shared" si="28"/>
        <v>0</v>
      </c>
      <c r="BL28" s="721">
        <f t="shared" si="29"/>
        <v>0</v>
      </c>
      <c r="BM28" s="722">
        <f t="shared" si="30"/>
        <v>0</v>
      </c>
      <c r="BN28" s="623"/>
      <c r="BO28" s="610"/>
      <c r="BP28" s="334">
        <f t="shared" si="31"/>
        <v>0</v>
      </c>
      <c r="BQ28" s="612">
        <f t="shared" si="32"/>
        <v>0</v>
      </c>
      <c r="BR28" s="272"/>
      <c r="BS28" s="234">
        <f t="shared" si="33"/>
        <v>0</v>
      </c>
      <c r="BT28" s="402">
        <v>2849</v>
      </c>
      <c r="BU28" s="297">
        <v>0</v>
      </c>
      <c r="BV28" s="628"/>
      <c r="BW28" s="334">
        <f t="shared" si="34"/>
        <v>0</v>
      </c>
      <c r="BX28" s="630">
        <f t="shared" si="35"/>
        <v>0</v>
      </c>
      <c r="BY28" s="272"/>
      <c r="BZ28" s="234">
        <v>0</v>
      </c>
      <c r="CA28" s="402"/>
      <c r="CB28" s="297">
        <v>0</v>
      </c>
      <c r="CC28" s="1764"/>
      <c r="CD28" s="334">
        <f t="shared" si="37"/>
        <v>0</v>
      </c>
      <c r="CE28" s="1767">
        <f t="shared" si="38"/>
        <v>0</v>
      </c>
      <c r="CF28" s="272"/>
      <c r="CG28" s="234">
        <v>0</v>
      </c>
      <c r="CH28" s="402"/>
      <c r="CI28" s="1780">
        <v>0</v>
      </c>
      <c r="CJ28" s="2074"/>
      <c r="CK28" s="334">
        <f t="shared" si="40"/>
        <v>0</v>
      </c>
      <c r="CL28" s="2070">
        <f t="shared" si="41"/>
        <v>0</v>
      </c>
      <c r="CM28" s="272"/>
      <c r="CN28" s="234">
        <f t="shared" si="48"/>
        <v>0</v>
      </c>
      <c r="CO28" s="402"/>
      <c r="CP28" s="1780">
        <v>0</v>
      </c>
      <c r="CS28" s="333"/>
      <c r="CT28" s="334">
        <f t="shared" si="42"/>
        <v>0</v>
      </c>
      <c r="CU28" s="298">
        <f t="shared" si="47"/>
        <v>0</v>
      </c>
      <c r="CV28" s="272"/>
      <c r="CW28" s="234">
        <f t="shared" si="44"/>
        <v>0</v>
      </c>
      <c r="CX28" s="402">
        <v>2301</v>
      </c>
      <c r="CY28" s="297">
        <v>0</v>
      </c>
    </row>
    <row r="29" spans="1:103" ht="35" customHeight="1">
      <c r="A29" s="100">
        <f>_xlfn.XLOOKUP(O29,Cement!Q$7:Q$35,Cement!A$7:A$35,"")</f>
        <v>-2.4994308049222735</v>
      </c>
      <c r="B29" s="100">
        <f>_xlfn.XLOOKUP(O29,Cement!Q$7:Q$35,Cement!B$7:B$35,"")</f>
        <v>-10.842248271211252</v>
      </c>
      <c r="C29" s="1585">
        <f ca="1">_xlfn.XLOOKUP(O29,Cement!Q$7:Q$35,Cement!$C$7:$C$35,"")</f>
        <v>9.9043628430049477E-2</v>
      </c>
      <c r="D29" s="2111">
        <f>_xlfn.XLOOKUP(O29,Cement!$Q$7:$Q$35,Cement!$D$7:$D$35,"")</f>
        <v>11.760964923877896</v>
      </c>
      <c r="E29" s="1236">
        <f>_xlfn.XLOOKUP($O29,Cement!$Q$7:$Q$35,Cement!$E$7:$E$35,"")</f>
        <v>3.2000000000000028</v>
      </c>
      <c r="F29" s="1235">
        <f>_xlfn.XLOOKUP($O29,Cement!$Q$7:$Q$35,Cement!$F$7:$F$35,"")</f>
        <v>2.300000000000002</v>
      </c>
      <c r="G29" s="2125">
        <f>_xlfn.XLOOKUP($O29,Cement!$Q$7:$Q$35,Cement!$G$7:$G$35,"")</f>
        <v>2.7759676661651964</v>
      </c>
      <c r="H29" s="2314">
        <f>_xlfn.XLOOKUP($O29,Cement!Q$7:Q$35,Cement!H$7:H$35,"")</f>
        <v>0.43468154346815435</v>
      </c>
      <c r="I29" s="2314">
        <f>_xlfn.XLOOKUP(O29,Cement!Q$7:Q$35,Cement!J$7:J$35,"")</f>
        <v>1.2224938875305624E-2</v>
      </c>
      <c r="J29" s="2112">
        <f>_xlfn.XLOOKUP(O29,'Sales Rec'!$E$4:$E$91,'Sales Rec'!$CV$4:$CV$91,"")</f>
        <v>22</v>
      </c>
      <c r="K29" s="2216">
        <f>_xlfn.XLOOKUP(O29,Cement!Q$7:Q$35,Cement!$L$7:$L$35,"")</f>
        <v>19</v>
      </c>
      <c r="L29" s="2113" t="str">
        <f>_xlfn.XLOOKUP(O29,'Sales Rec'!$E$4:$E$32,'Sales Rec'!$DS$4:$DS$32,"")</f>
        <v>N</v>
      </c>
      <c r="M29" s="2113" t="str">
        <f>_xlfn.XLOOKUP(O29,'Sales Rec'!$E$4:$E$32,'Sales Rec'!$DZ$4:$DZ$32,"")</f>
        <v>N</v>
      </c>
      <c r="N29" s="60" t="s">
        <v>58</v>
      </c>
      <c r="O29" s="223" t="s">
        <v>59</v>
      </c>
      <c r="P29" s="2387">
        <v>9</v>
      </c>
      <c r="Q29" s="264">
        <f>VLOOKUP(O29,Cement!$Q$7:$CC$35,4,FALSE)</f>
        <v>19500</v>
      </c>
      <c r="R29" s="292">
        <f>_xlfn.XLOOKUP(O29,Cement!$Q$7:$Q$35,Cement!$U$7:$U$35,"")</f>
        <v>2.96</v>
      </c>
      <c r="S29" s="292">
        <f>_xlfn.XLOOKUP(O29,'دیده بان بازار'!$A$8:$A$3179,'دیده بان بازار'!$L$8:$L$3179,"")</f>
        <v>560</v>
      </c>
      <c r="T29" s="304">
        <f>VLOOKUP(O29,Cement!$Q$7:$CC$35,6,FALSE)</f>
        <v>19500</v>
      </c>
      <c r="U29" s="361">
        <f>_xlfn.XLOOKUP(O29,Cement!$Q$7:$Q$35,Cement!$W$7:$W$35,"")</f>
        <v>2.96</v>
      </c>
      <c r="V29" s="361">
        <f>_xlfn.XLOOKUP(O29,'دیده بان بازار'!$A$8:$A$3179,'دیده بان بازار'!$I$8:$I$3179,"")</f>
        <v>560</v>
      </c>
      <c r="W29" s="66">
        <f>_xlfn.XLOOKUP(O29,Cement!$Q$7:$Q$35,Cement!$S$7:$S$35,"")</f>
        <v>14227.2</v>
      </c>
      <c r="X29" s="1603">
        <f>_xlfn.XLOOKUP(O29,'Sales Rec'!$E$4:$E$93,'Sales Rec'!$DW$4:$DW$93,"")</f>
        <v>0.10091743119266053</v>
      </c>
      <c r="Y29" s="850">
        <f>_xlfn.XLOOKUP(N29,Cement!$P$7:$P$35,Cement!$Z$7:$Z$35,"")</f>
        <v>0.14302241503976867</v>
      </c>
      <c r="Z29" s="1453">
        <f t="shared" ca="1" si="16"/>
        <v>8.3152566883586437E-2</v>
      </c>
      <c r="AA29" s="824">
        <f ca="1">_xlfn.XLOOKUP(O29,Cement!$Q$7:$Q$35,Cement!$AB$7:$AB$35,"")</f>
        <v>16.342277558216701</v>
      </c>
      <c r="AB29" s="2010">
        <f>_xlfn.XLOOKUP(N29,Cement!$P$7:$P$35,Cement!$AG$7:$AG$35,"")</f>
        <v>7.7283435582822086</v>
      </c>
      <c r="AC29" s="562">
        <f t="shared" si="17"/>
        <v>-60.875801413776109</v>
      </c>
      <c r="AD29" s="308">
        <f>_xlfn.XLOOKUP(N29,Cement!$P$7:$P$35,Cement!$AM$7:$AM$35,"")</f>
        <v>7296000000</v>
      </c>
      <c r="AE29" s="1933">
        <f ca="1">_xlfn.XLOOKUP(O29,Cement!$Q$7:$Q$35,Cement!$AH$7:$AH$35,"")</f>
        <v>193</v>
      </c>
      <c r="AF29" s="1612">
        <f>_xlfn.XLOOKUP(O29,Cement!$Q$7:$Q$35,Cement!$AI$7:$AI$35,"")</f>
        <v>46067</v>
      </c>
      <c r="AG29" s="1858">
        <f>_xlfn.XLOOKUP(O29,Cement!$Q$7:$Q$35,Cement!$EI$7:$EI$35,"")</f>
        <v>10000</v>
      </c>
      <c r="AH29" s="1829">
        <f>_xlfn.XLOOKUP(O29,Cement!$Q$7:$Q$37,Cement!$AJ$7:$AJ$37,"")</f>
        <v>46124</v>
      </c>
      <c r="AI29" s="1827">
        <f>_xlfn.XLOOKUP($O29,Cement!$Q$7:$Q$35,Cement!$CB$7:$CB$35,"")</f>
        <v>1143</v>
      </c>
      <c r="AJ29" s="1340">
        <f>_xlfn.XLOOKUP($O29,Cement!$Q$7:$Q$35,Cement!$BV$7:$BV$35,"")</f>
        <v>5.2990350761221032</v>
      </c>
      <c r="AK29" s="1206">
        <f>_xlfn.XLOOKUP($O29,Cement!$Q$7:$Q$35,Cement!$CC$7:$CC$35,"")</f>
        <v>17.059999999999999</v>
      </c>
      <c r="AL29" s="683" t="s">
        <v>603</v>
      </c>
      <c r="AM29" s="684">
        <v>12166</v>
      </c>
      <c r="AN29" s="793"/>
      <c r="AO29" s="794" t="str">
        <f t="shared" si="49"/>
        <v/>
      </c>
      <c r="AP29" s="329"/>
      <c r="AQ29" s="334">
        <f t="shared" si="19"/>
        <v>0</v>
      </c>
      <c r="AR29" s="330">
        <f t="shared" si="20"/>
        <v>0</v>
      </c>
      <c r="AS29" s="272"/>
      <c r="AT29" s="234">
        <f t="shared" si="21"/>
        <v>0</v>
      </c>
      <c r="AU29" s="402">
        <v>94055</v>
      </c>
      <c r="AV29" s="1137">
        <v>0</v>
      </c>
      <c r="AW29" s="342"/>
      <c r="AX29" s="334">
        <v>1</v>
      </c>
      <c r="AY29" s="343">
        <f t="shared" si="23"/>
        <v>4.4772392587032682E-8</v>
      </c>
      <c r="AZ29" s="272">
        <v>15000</v>
      </c>
      <c r="BA29" s="234">
        <f t="shared" si="24"/>
        <v>15000</v>
      </c>
      <c r="BB29" s="402">
        <v>144836</v>
      </c>
      <c r="BC29" s="1151">
        <v>0</v>
      </c>
      <c r="BD29" s="333"/>
      <c r="BE29" s="334">
        <f t="shared" si="25"/>
        <v>0</v>
      </c>
      <c r="BF29" s="298">
        <f t="shared" si="46"/>
        <v>0</v>
      </c>
      <c r="BG29" s="272">
        <v>4000</v>
      </c>
      <c r="BH29" s="234">
        <f t="shared" si="27"/>
        <v>4000</v>
      </c>
      <c r="BI29" s="402">
        <v>17150</v>
      </c>
      <c r="BJ29" s="297">
        <v>0</v>
      </c>
      <c r="BK29" s="720">
        <f t="shared" si="28"/>
        <v>0</v>
      </c>
      <c r="BL29" s="721">
        <f t="shared" si="29"/>
        <v>0</v>
      </c>
      <c r="BM29" s="722">
        <f t="shared" si="30"/>
        <v>0</v>
      </c>
      <c r="BN29" s="623"/>
      <c r="BO29" s="610"/>
      <c r="BP29" s="334">
        <f t="shared" si="31"/>
        <v>0</v>
      </c>
      <c r="BQ29" s="612">
        <f t="shared" si="32"/>
        <v>0</v>
      </c>
      <c r="BR29" s="272"/>
      <c r="BS29" s="234">
        <f t="shared" si="33"/>
        <v>0</v>
      </c>
      <c r="BT29" s="402">
        <v>1529</v>
      </c>
      <c r="BU29" s="297">
        <v>0</v>
      </c>
      <c r="BV29" s="628"/>
      <c r="BW29" s="334">
        <f t="shared" si="34"/>
        <v>0</v>
      </c>
      <c r="BX29" s="630">
        <f t="shared" si="35"/>
        <v>0</v>
      </c>
      <c r="BY29" s="272">
        <v>1125</v>
      </c>
      <c r="BZ29" s="234">
        <f t="shared" ref="BZ29:BZ36" si="50">$AG29*BY29/10000</f>
        <v>1125</v>
      </c>
      <c r="CA29" s="402">
        <v>3809</v>
      </c>
      <c r="CB29" s="297">
        <v>0</v>
      </c>
      <c r="CC29" s="1764"/>
      <c r="CD29" s="334">
        <f t="shared" si="37"/>
        <v>0</v>
      </c>
      <c r="CE29" s="1767">
        <f t="shared" si="38"/>
        <v>0</v>
      </c>
      <c r="CF29" s="272"/>
      <c r="CG29" s="234">
        <f t="shared" ref="CG29:CG36" si="51">$AG29*CF29/10000</f>
        <v>0</v>
      </c>
      <c r="CH29" s="402"/>
      <c r="CI29" s="1780">
        <v>0</v>
      </c>
      <c r="CJ29" s="2074"/>
      <c r="CK29" s="334">
        <f t="shared" si="40"/>
        <v>0</v>
      </c>
      <c r="CL29" s="2070">
        <f t="shared" si="41"/>
        <v>0</v>
      </c>
      <c r="CM29" s="272"/>
      <c r="CN29" s="234">
        <f t="shared" si="48"/>
        <v>0</v>
      </c>
      <c r="CO29" s="402"/>
      <c r="CP29" s="1780">
        <v>0</v>
      </c>
      <c r="CS29" s="333"/>
      <c r="CT29" s="334">
        <f t="shared" si="42"/>
        <v>0</v>
      </c>
      <c r="CU29" s="298">
        <f t="shared" si="47"/>
        <v>0</v>
      </c>
      <c r="CV29" s="272">
        <v>4000</v>
      </c>
      <c r="CW29" s="234">
        <f t="shared" si="44"/>
        <v>4000</v>
      </c>
      <c r="CX29" s="402">
        <v>17150</v>
      </c>
      <c r="CY29" s="297">
        <v>0</v>
      </c>
    </row>
    <row r="30" spans="1:103" ht="35" customHeight="1">
      <c r="A30" s="100">
        <f>_xlfn.XLOOKUP(O30,Cement!Q$7:Q$35,Cement!A$7:A$35,"")</f>
        <v>-5.0680802798950131</v>
      </c>
      <c r="B30" s="100">
        <f>_xlfn.XLOOKUP(O30,Cement!Q$7:Q$35,Cement!B$7:B$35,"")</f>
        <v>-5.0680802798950131</v>
      </c>
      <c r="C30" s="1585">
        <f ca="1">_xlfn.XLOOKUP(O30,Cement!Q$7:Q$35,Cement!$C$7:$C$35,"")</f>
        <v>0.24087352936293477</v>
      </c>
      <c r="D30" s="2111">
        <f>_xlfn.XLOOKUP(O30,Cement!$Q$7:$Q$35,Cement!$D$7:$D$35,"")</f>
        <v>-0.65627738272852021</v>
      </c>
      <c r="E30" s="1236">
        <f>_xlfn.XLOOKUP($O30,Cement!$Q$7:$Q$35,Cement!$E$7:$E$35,"")</f>
        <v>3.400000000000003</v>
      </c>
      <c r="F30" s="1235">
        <f>_xlfn.XLOOKUP($O30,Cement!$Q$7:$Q$35,Cement!$F$7:$F$35,"")</f>
        <v>0.20000000000000018</v>
      </c>
      <c r="G30" s="2125">
        <f>_xlfn.XLOOKUP($O30,Cement!$Q$7:$Q$35,Cement!$G$7:$G$35,"")</f>
        <v>-1.5993285438179017</v>
      </c>
      <c r="H30" s="2314">
        <f>_xlfn.XLOOKUP($O30,Cement!Q$7:Q$35,Cement!H$7:H$35,"")</f>
        <v>0.77852726250702642</v>
      </c>
      <c r="I30" s="2314">
        <f>_xlfn.XLOOKUP(O30,Cement!Q$7:Q$35,Cement!J$7:J$35,"")</f>
        <v>0.53136531365313655</v>
      </c>
      <c r="J30" s="2112">
        <f>_xlfn.XLOOKUP(O30,'Sales Rec'!$E$4:$E$91,'Sales Rec'!$CV$4:$CV$91,"")</f>
        <v>8</v>
      </c>
      <c r="K30" s="2216">
        <f>_xlfn.XLOOKUP(O30,Cement!Q$7:Q$35,Cement!$L$7:$L$35,"")</f>
        <v>22</v>
      </c>
      <c r="L30" s="2113" t="str">
        <f>_xlfn.XLOOKUP(O30,'Sales Rec'!$E$4:$E$32,'Sales Rec'!$DS$4:$DS$32,"")</f>
        <v>N</v>
      </c>
      <c r="M30" s="390" t="str">
        <f>_xlfn.XLOOKUP(O30,'Sales Rec'!$E$4:$E$32,'Sales Rec'!$DZ$4:$DZ$32,"")</f>
        <v>S</v>
      </c>
      <c r="N30" s="60" t="s">
        <v>30</v>
      </c>
      <c r="O30" s="124" t="s">
        <v>31</v>
      </c>
      <c r="P30" s="1570">
        <v>6</v>
      </c>
      <c r="Q30" s="264">
        <f>VLOOKUP(O30,Cement!$Q$7:$CC$35,4,FALSE)</f>
        <v>19720</v>
      </c>
      <c r="R30" s="292">
        <f>_xlfn.XLOOKUP(O30,Cement!$Q$7:$Q$35,Cement!$U$7:$U$35,"")</f>
        <v>2.98</v>
      </c>
      <c r="S30" s="292">
        <f>_xlfn.XLOOKUP(O30,'دیده بان بازار'!$A$8:$A$3179,'دیده بان بازار'!$L$8:$L$3179,"")</f>
        <v>570</v>
      </c>
      <c r="T30" s="304">
        <f>VLOOKUP(O30,Cement!$Q$7:$CC$35,6,FALSE)</f>
        <v>19720</v>
      </c>
      <c r="U30" s="361">
        <f>_xlfn.XLOOKUP(O30,Cement!$Q$7:$Q$35,Cement!$W$7:$W$35,"")</f>
        <v>2.98</v>
      </c>
      <c r="V30" s="361">
        <f>_xlfn.XLOOKUP(O30,'دیده بان بازار'!$A$8:$A$3179,'دیده بان بازار'!$I$8:$I$3179,"")</f>
        <v>570</v>
      </c>
      <c r="W30" s="66">
        <f>_xlfn.XLOOKUP(O30,Cement!$Q$7:$Q$35,Cement!$S$7:$S$35,"")</f>
        <v>12226.4</v>
      </c>
      <c r="X30" s="1603">
        <f>_xlfn.XLOOKUP(O30,'Sales Rec'!$E$4:$E$93,'Sales Rec'!$DW$4:$DW$93,"")</f>
        <v>1.2853084112149531</v>
      </c>
      <c r="Y30" s="850">
        <f>_xlfn.XLOOKUP(N30,Cement!$P$7:$P$35,Cement!$Z$7:$Z$35,"")</f>
        <v>0.67599725839616176</v>
      </c>
      <c r="Z30" s="1453">
        <f t="shared" ca="1" si="16"/>
        <v>0.27933771008105857</v>
      </c>
      <c r="AA30" s="824">
        <f ca="1">_xlfn.XLOOKUP(O30,Cement!$Q$7:$Q$35,Cement!$AB$7:$AB$35,"")</f>
        <v>-3.2762367615305137</v>
      </c>
      <c r="AB30" s="2010">
        <f>_xlfn.XLOOKUP(N30,Cement!$P$7:$P$35,Cement!$AG$7:$AG$35,"")</f>
        <v>5.8803601575689362</v>
      </c>
      <c r="AC30" s="562">
        <f t="shared" si="17"/>
        <v>-1.2635014836795249</v>
      </c>
      <c r="AD30" s="308">
        <f>_xlfn.XLOOKUP(N30,Cement!$P$7:$P$35,Cement!$AM$7:$AM$35,"")</f>
        <v>6200000000</v>
      </c>
      <c r="AE30" s="1933">
        <f ca="1">_xlfn.XLOOKUP(O30,Cement!$Q$7:$Q$35,Cement!$AH$7:$AH$35,"")</f>
        <v>123</v>
      </c>
      <c r="AF30" s="1612">
        <f>_xlfn.XLOOKUP(O30,Cement!$Q$7:$Q$35,Cement!$AI$7:$AI$35,"")</f>
        <v>45997</v>
      </c>
      <c r="AG30" s="1858">
        <f>_xlfn.XLOOKUP(O30,Cement!$Q$7:$Q$35,Cement!$EI$7:$EI$35,"")</f>
        <v>2360</v>
      </c>
      <c r="AH30" s="1829">
        <f>_xlfn.XLOOKUP(O30,Cement!$Q$7:$Q$37,Cement!$AJ$7:$AJ$37,"")</f>
        <v>46075</v>
      </c>
      <c r="AI30" s="1827">
        <f>_xlfn.XLOOKUP($O30,Cement!$Q$7:$Q$35,Cement!$CB$7:$CB$35,"")</f>
        <v>3056</v>
      </c>
      <c r="AJ30" s="1340">
        <f>_xlfn.XLOOKUP($O30,Cement!$Q$7:$Q$35,Cement!$BV$7:$BV$35,"")</f>
        <v>7.1062773827285204</v>
      </c>
      <c r="AK30" s="1206">
        <f>_xlfn.XLOOKUP($O30,Cement!$Q$7:$Q$35,Cement!$CC$7:$CC$35,"")</f>
        <v>6.45</v>
      </c>
      <c r="AL30" s="683" t="s">
        <v>603</v>
      </c>
      <c r="AM30" s="684">
        <v>19546</v>
      </c>
      <c r="AN30" s="793">
        <v>12461</v>
      </c>
      <c r="AO30" s="794">
        <f t="shared" si="49"/>
        <v>0.582537517053206</v>
      </c>
      <c r="AP30" s="329">
        <v>100000</v>
      </c>
      <c r="AQ30" s="334">
        <f t="shared" si="19"/>
        <v>195464.63999999998</v>
      </c>
      <c r="AR30" s="330">
        <f t="shared" si="20"/>
        <v>4.2480361535953684E-3</v>
      </c>
      <c r="AS30" s="272"/>
      <c r="AT30" s="234">
        <f t="shared" si="21"/>
        <v>0</v>
      </c>
      <c r="AU30" s="402">
        <v>97810</v>
      </c>
      <c r="AV30" s="1137">
        <v>0</v>
      </c>
      <c r="AW30" s="342">
        <v>100000</v>
      </c>
      <c r="AX30" s="334">
        <f t="shared" si="22"/>
        <v>195464.63999999998</v>
      </c>
      <c r="AY30" s="343">
        <f t="shared" si="23"/>
        <v>8.751419598963011E-3</v>
      </c>
      <c r="AZ30" s="272"/>
      <c r="BA30" s="234">
        <f t="shared" si="24"/>
        <v>0</v>
      </c>
      <c r="BB30" s="402">
        <v>33440</v>
      </c>
      <c r="BC30" s="1151">
        <v>0</v>
      </c>
      <c r="BD30" s="333"/>
      <c r="BE30" s="334">
        <f t="shared" si="25"/>
        <v>0</v>
      </c>
      <c r="BF30" s="298">
        <f t="shared" si="46"/>
        <v>0</v>
      </c>
      <c r="BG30" s="272"/>
      <c r="BH30" s="234">
        <f t="shared" si="27"/>
        <v>0</v>
      </c>
      <c r="BI30" s="402">
        <v>3188</v>
      </c>
      <c r="BJ30" s="297">
        <v>0</v>
      </c>
      <c r="BK30" s="720">
        <f t="shared" si="28"/>
        <v>394400</v>
      </c>
      <c r="BL30" s="721">
        <f t="shared" si="29"/>
        <v>200000</v>
      </c>
      <c r="BM30" s="722">
        <f t="shared" si="30"/>
        <v>8.4838753955783965E-3</v>
      </c>
      <c r="BN30" s="623"/>
      <c r="BO30" s="610"/>
      <c r="BP30" s="334">
        <f t="shared" si="31"/>
        <v>0</v>
      </c>
      <c r="BQ30" s="612">
        <f t="shared" si="32"/>
        <v>0</v>
      </c>
      <c r="BR30" s="272"/>
      <c r="BS30" s="234">
        <f t="shared" si="33"/>
        <v>0</v>
      </c>
      <c r="BT30" s="402">
        <v>1180</v>
      </c>
      <c r="BU30" s="297">
        <v>0</v>
      </c>
      <c r="BV30" s="628">
        <v>5000</v>
      </c>
      <c r="BW30" s="334">
        <f t="shared" si="34"/>
        <v>9773.232</v>
      </c>
      <c r="BX30" s="630">
        <f t="shared" si="35"/>
        <v>3.788926192709989E-2</v>
      </c>
      <c r="BY30" s="272"/>
      <c r="BZ30" s="234">
        <f t="shared" si="50"/>
        <v>0</v>
      </c>
      <c r="CA30" s="402">
        <v>1652</v>
      </c>
      <c r="CB30" s="297">
        <v>0</v>
      </c>
      <c r="CC30" s="1764">
        <v>600000</v>
      </c>
      <c r="CD30" s="334">
        <f t="shared" si="37"/>
        <v>1172787.8399999999</v>
      </c>
      <c r="CE30" s="1767">
        <f t="shared" si="38"/>
        <v>9.6554680678452118E-2</v>
      </c>
      <c r="CF30" s="272"/>
      <c r="CG30" s="234">
        <f t="shared" si="51"/>
        <v>0</v>
      </c>
      <c r="CH30" s="402">
        <v>165200</v>
      </c>
      <c r="CI30" s="1780">
        <v>0</v>
      </c>
      <c r="CJ30" s="2074"/>
      <c r="CK30" s="334">
        <f t="shared" si="40"/>
        <v>0</v>
      </c>
      <c r="CL30" s="2070">
        <f t="shared" si="41"/>
        <v>0</v>
      </c>
      <c r="CM30" s="272"/>
      <c r="CN30" s="234">
        <f t="shared" si="48"/>
        <v>0</v>
      </c>
      <c r="CO30" s="402">
        <v>600000</v>
      </c>
      <c r="CP30" s="1780">
        <v>0</v>
      </c>
      <c r="CS30" s="333">
        <v>12400</v>
      </c>
      <c r="CT30" s="334">
        <f t="shared" si="42"/>
        <v>24237.61536</v>
      </c>
      <c r="CU30" s="298">
        <f t="shared" si="47"/>
        <v>1.568782701179532E-2</v>
      </c>
      <c r="CV30" s="272"/>
      <c r="CW30" s="234">
        <f t="shared" si="44"/>
        <v>0</v>
      </c>
      <c r="CX30" s="402">
        <v>3188</v>
      </c>
      <c r="CY30" s="297">
        <v>0</v>
      </c>
    </row>
    <row r="31" spans="1:103" ht="35" customHeight="1">
      <c r="A31" s="100">
        <f>_xlfn.XLOOKUP(O31,Cement!Q$7:Q$35,Cement!A$7:A$35,"")</f>
        <v>-5.1465409578434347</v>
      </c>
      <c r="B31" s="100">
        <f>_xlfn.XLOOKUP(O31,Cement!Q$7:Q$35,Cement!B$7:B$35,"")</f>
        <v>-9.5816828073800444</v>
      </c>
      <c r="C31" s="1585">
        <f ca="1">_xlfn.XLOOKUP(O31,Cement!Q$7:Q$35,Cement!$C$7:$C$35,"")</f>
        <v>0.20114092077063772</v>
      </c>
      <c r="D31" s="2111">
        <f>_xlfn.XLOOKUP(O31,Cement!$Q$7:$Q$35,Cement!$D$7:$D$35,"")</f>
        <v>-1.2697453871869344</v>
      </c>
      <c r="E31" s="1236">
        <f>_xlfn.XLOOKUP($O31,Cement!$Q$7:$Q$35,Cement!$E$7:$E$35,"")</f>
        <v>-2.7000000000000024</v>
      </c>
      <c r="F31" s="1235">
        <f>_xlfn.XLOOKUP($O31,Cement!$Q$7:$Q$35,Cement!$F$7:$F$35,"")</f>
        <v>-3.1000000000000028</v>
      </c>
      <c r="G31" s="2125">
        <f>_xlfn.XLOOKUP($O31,Cement!$Q$7:$Q$35,Cement!$G$7:$G$35,"")</f>
        <v>0.10535616151373661</v>
      </c>
      <c r="H31" s="2314">
        <f>_xlfn.XLOOKUP($O31,Cement!Q$7:Q$35,Cement!H$7:H$35,"")</f>
        <v>0.58550396375990943</v>
      </c>
      <c r="I31" s="2314">
        <f>_xlfn.XLOOKUP(O31,Cement!Q$7:Q$35,Cement!J$7:J$35,"")</f>
        <v>0.729490022172949</v>
      </c>
      <c r="J31" s="2112">
        <f>_xlfn.XLOOKUP(O31,'Sales Rec'!$E$4:$E$91,'Sales Rec'!$CV$4:$CV$91,"")</f>
        <v>16</v>
      </c>
      <c r="K31" s="2216">
        <f>_xlfn.XLOOKUP(O31,Cement!Q$7:Q$35,Cement!$L$7:$L$35,"")</f>
        <v>21</v>
      </c>
      <c r="L31" s="2114" t="str">
        <f>_xlfn.XLOOKUP(O31,'Sales Rec'!$E$4:$E$32,'Sales Rec'!$DS$4:$DS$32,"")</f>
        <v>N</v>
      </c>
      <c r="M31" s="390" t="str">
        <f>_xlfn.XLOOKUP(O31,'Sales Rec'!$E$4:$E$32,'Sales Rec'!$DZ$4:$DZ$32,"")</f>
        <v>N</v>
      </c>
      <c r="N31" s="60" t="s">
        <v>50</v>
      </c>
      <c r="O31" s="124" t="s">
        <v>51</v>
      </c>
      <c r="P31" s="1570">
        <v>9</v>
      </c>
      <c r="Q31" s="264">
        <f>VLOOKUP(O31,Cement!$Q$7:$CC$35,4,FALSE)</f>
        <v>14610</v>
      </c>
      <c r="R31" s="292">
        <f>_xlfn.XLOOKUP(O31,Cement!$Q$7:$Q$35,Cement!$U$7:$U$35,"")</f>
        <v>2.96</v>
      </c>
      <c r="S31" s="292">
        <f>_xlfn.XLOOKUP(O31,'دیده بان بازار'!$A$8:$A$3179,'دیده بان بازار'!$L$8:$L$3179,"")</f>
        <v>420</v>
      </c>
      <c r="T31" s="304">
        <f>VLOOKUP(O31,Cement!$Q$7:$CC$35,6,FALSE)</f>
        <v>14610</v>
      </c>
      <c r="U31" s="361">
        <f>_xlfn.XLOOKUP(O31,Cement!$Q$7:$Q$35,Cement!$W$7:$W$35,"")</f>
        <v>2.96</v>
      </c>
      <c r="V31" s="361">
        <f>_xlfn.XLOOKUP(O31,'دیده بان بازار'!$A$8:$A$3179,'دیده بان بازار'!$I$8:$I$3179,"")</f>
        <v>420</v>
      </c>
      <c r="W31" s="66">
        <f>_xlfn.XLOOKUP(O31,Cement!$Q$7:$Q$35,Cement!$S$7:$S$35,"")</f>
        <v>7305</v>
      </c>
      <c r="X31" s="1603">
        <f>_xlfn.XLOOKUP(O31,'Sales Rec'!$E$4:$E$93,'Sales Rec'!$DW$4:$DW$93,"")</f>
        <v>0.80019221764952309</v>
      </c>
      <c r="Y31" s="850">
        <f>_xlfn.XLOOKUP(N31,Cement!$P$7:$P$35,Cement!$Z$7:$Z$35,"")</f>
        <v>0.3505268996117582</v>
      </c>
      <c r="Z31" s="1453">
        <f t="shared" ca="1" si="16"/>
        <v>0.23368459974117214</v>
      </c>
      <c r="AA31" s="824">
        <f ca="1">_xlfn.XLOOKUP(O31,Cement!$Q$7:$Q$35,Cement!$AB$7:$AB$35,"")</f>
        <v>1.2890742724581274</v>
      </c>
      <c r="AB31" s="2010">
        <f>_xlfn.XLOOKUP(N31,Cement!$P$7:$P$35,Cement!$AG$7:$AG$35,"")</f>
        <v>5.4135206321334506</v>
      </c>
      <c r="AC31" s="562">
        <f t="shared" si="17"/>
        <v>11.304318635456356</v>
      </c>
      <c r="AD31" s="308">
        <f>_xlfn.XLOOKUP(N31,Cement!$P$7:$P$35,Cement!$AM$7:$AM$35,"")</f>
        <v>5000000000</v>
      </c>
      <c r="AE31" s="1933">
        <f ca="1">_xlfn.XLOOKUP(O31,Cement!$Q$7:$Q$35,Cement!$AH$7:$AH$35,"")</f>
        <v>215</v>
      </c>
      <c r="AF31" s="1612">
        <f>_xlfn.XLOOKUP(O31,Cement!$Q$7:$Q$35,Cement!$AI$7:$AI$35,"")</f>
        <v>46089</v>
      </c>
      <c r="AG31" s="1858">
        <f>_xlfn.XLOOKUP(O31,Cement!$Q$7:$Q$35,Cement!$EI$7:$EI$35,"")</f>
        <v>4745</v>
      </c>
      <c r="AH31" s="1829">
        <f>_xlfn.XLOOKUP(O31,Cement!$Q$7:$Q$37,Cement!$AJ$7:$AJ$37,"")</f>
        <v>46179</v>
      </c>
      <c r="AI31" s="1827">
        <f>_xlfn.XLOOKUP($O31,Cement!$Q$7:$Q$35,Cement!$CB$7:$CB$35,"")</f>
        <v>2372</v>
      </c>
      <c r="AJ31" s="1340">
        <f>_xlfn.XLOOKUP($O31,Cement!$Q$7:$Q$35,Cement!$BV$7:$BV$35,"")</f>
        <v>7.4297453871869346</v>
      </c>
      <c r="AK31" s="1206">
        <f>_xlfn.XLOOKUP($O31,Cement!$Q$7:$Q$35,Cement!$CC$7:$CC$35,"")</f>
        <v>6.16</v>
      </c>
      <c r="AL31" s="683" t="s">
        <v>603</v>
      </c>
      <c r="AM31" s="684">
        <v>16533</v>
      </c>
      <c r="AN31" s="793">
        <v>9090</v>
      </c>
      <c r="AO31" s="794">
        <f t="shared" si="49"/>
        <v>0.60726072607260728</v>
      </c>
      <c r="AP31" s="1604">
        <v>72765</v>
      </c>
      <c r="AQ31" s="334">
        <f t="shared" si="19"/>
        <v>105374.139948</v>
      </c>
      <c r="AR31" s="330">
        <f t="shared" si="20"/>
        <v>2.2900978721937739E-3</v>
      </c>
      <c r="AS31" s="272"/>
      <c r="AT31" s="234">
        <f t="shared" si="21"/>
        <v>0</v>
      </c>
      <c r="AU31" s="402">
        <v>90790</v>
      </c>
      <c r="AV31" s="1137">
        <v>71765</v>
      </c>
      <c r="AW31" s="342"/>
      <c r="AX31" s="334">
        <f t="shared" si="22"/>
        <v>0</v>
      </c>
      <c r="AY31" s="343">
        <f t="shared" si="23"/>
        <v>0</v>
      </c>
      <c r="AZ31" s="272"/>
      <c r="BA31" s="234">
        <f t="shared" si="24"/>
        <v>0</v>
      </c>
      <c r="BB31" s="402">
        <v>61797</v>
      </c>
      <c r="BC31" s="1151">
        <v>0</v>
      </c>
      <c r="BD31" s="333"/>
      <c r="BE31" s="334">
        <f t="shared" si="25"/>
        <v>0</v>
      </c>
      <c r="BF31" s="298">
        <f t="shared" si="46"/>
        <v>0</v>
      </c>
      <c r="BG31" s="272"/>
      <c r="BH31" s="234">
        <f t="shared" si="27"/>
        <v>0</v>
      </c>
      <c r="BI31" s="402">
        <v>3345</v>
      </c>
      <c r="BJ31" s="297">
        <v>0</v>
      </c>
      <c r="BK31" s="720">
        <f t="shared" si="28"/>
        <v>106309.66499999999</v>
      </c>
      <c r="BL31" s="721">
        <f t="shared" si="29"/>
        <v>72765</v>
      </c>
      <c r="BM31" s="722">
        <f t="shared" si="30"/>
        <v>2.286810221109741E-3</v>
      </c>
      <c r="BN31" s="623"/>
      <c r="BO31" s="610">
        <v>4000</v>
      </c>
      <c r="BP31" s="334">
        <f t="shared" si="31"/>
        <v>5792.5727999999999</v>
      </c>
      <c r="BQ31" s="612">
        <f t="shared" si="32"/>
        <v>3.5197851762695442E-3</v>
      </c>
      <c r="BR31" s="272"/>
      <c r="BS31" s="234">
        <f t="shared" si="33"/>
        <v>0</v>
      </c>
      <c r="BT31" s="402">
        <v>1898</v>
      </c>
      <c r="BU31" s="297">
        <v>0</v>
      </c>
      <c r="BV31" s="628"/>
      <c r="BW31" s="334">
        <f t="shared" si="34"/>
        <v>0</v>
      </c>
      <c r="BX31" s="630">
        <f t="shared" si="35"/>
        <v>0</v>
      </c>
      <c r="BY31" s="272"/>
      <c r="BZ31" s="234">
        <f t="shared" si="50"/>
        <v>0</v>
      </c>
      <c r="CA31" s="402"/>
      <c r="CB31" s="297">
        <v>0</v>
      </c>
      <c r="CC31" s="1764"/>
      <c r="CD31" s="334">
        <f t="shared" si="37"/>
        <v>0</v>
      </c>
      <c r="CE31" s="1767">
        <f t="shared" si="38"/>
        <v>0</v>
      </c>
      <c r="CF31" s="272"/>
      <c r="CG31" s="234">
        <f t="shared" si="51"/>
        <v>0</v>
      </c>
      <c r="CH31" s="402"/>
      <c r="CI31" s="1780">
        <v>0</v>
      </c>
      <c r="CJ31" s="2074"/>
      <c r="CK31" s="334">
        <f t="shared" si="40"/>
        <v>0</v>
      </c>
      <c r="CL31" s="2070">
        <f t="shared" si="41"/>
        <v>0</v>
      </c>
      <c r="CM31" s="272"/>
      <c r="CN31" s="234">
        <f t="shared" si="48"/>
        <v>0</v>
      </c>
      <c r="CO31" s="402"/>
      <c r="CP31" s="1780">
        <v>0</v>
      </c>
      <c r="CS31" s="333"/>
      <c r="CT31" s="334">
        <f t="shared" si="42"/>
        <v>0</v>
      </c>
      <c r="CU31" s="298">
        <f t="shared" si="47"/>
        <v>0</v>
      </c>
      <c r="CV31" s="272"/>
      <c r="CW31" s="234">
        <f t="shared" si="44"/>
        <v>0</v>
      </c>
      <c r="CX31" s="402">
        <v>3345</v>
      </c>
      <c r="CY31" s="297">
        <v>0</v>
      </c>
    </row>
    <row r="32" spans="1:103" ht="35" customHeight="1">
      <c r="A32" s="100">
        <f>_xlfn.XLOOKUP(O32,Cement!Q$7:Q$35,Cement!A$7:A$35,"")</f>
        <v>-6.5171615294243201</v>
      </c>
      <c r="B32" s="100">
        <f>_xlfn.XLOOKUP(O32,Cement!Q$7:Q$35,Cement!B$7:B$35,"")</f>
        <v>-9.7738461601467677</v>
      </c>
      <c r="C32" s="1585">
        <f ca="1">_xlfn.XLOOKUP(O32,Cement!Q$7:Q$35,Cement!$C$7:$C$35,"")</f>
        <v>0.20099478082661085</v>
      </c>
      <c r="D32" s="2111">
        <f>_xlfn.XLOOKUP(O32,Cement!$Q$7:$Q$35,Cement!$D$7:$D$35,"")</f>
        <v>0.50512373363874108</v>
      </c>
      <c r="E32" s="1236">
        <f>_xlfn.XLOOKUP($O32,Cement!$Q$7:$Q$35,Cement!$E$7:$E$35,"")</f>
        <v>3.8999999999999977</v>
      </c>
      <c r="F32" s="1235">
        <f>_xlfn.XLOOKUP($O32,Cement!$Q$7:$Q$35,Cement!$F$7:$F$35,"")</f>
        <v>2.6000000000000023</v>
      </c>
      <c r="G32" s="2125">
        <f>_xlfn.XLOOKUP($O32,Cement!$Q$7:$Q$35,Cement!$G$7:$G$35,"")</f>
        <v>7.3345855962541062</v>
      </c>
      <c r="H32" s="2314">
        <f>_xlfn.XLOOKUP($O32,Cement!Q$7:Q$35,Cement!H$7:H$35,"")</f>
        <v>0.69680264608599785</v>
      </c>
      <c r="I32" s="2314">
        <f>_xlfn.XLOOKUP(O32,Cement!Q$7:Q$35,Cement!J$7:J$35,"")</f>
        <v>0.65609756097560978</v>
      </c>
      <c r="J32" s="2112">
        <f>_xlfn.XLOOKUP(O32,'Sales Rec'!$E$4:$E$91,'Sales Rec'!$CV$4:$CV$91,"")</f>
        <v>11</v>
      </c>
      <c r="K32" s="2216">
        <f>_xlfn.XLOOKUP(O32,Cement!Q$7:Q$35,Cement!$L$7:$L$35,"")</f>
        <v>26</v>
      </c>
      <c r="L32" s="2113" t="str">
        <f>_xlfn.XLOOKUP(O32,'Sales Rec'!$E$4:$E$32,'Sales Rec'!$DS$4:$DS$32,"")</f>
        <v>B</v>
      </c>
      <c r="M32" s="390" t="str">
        <f>_xlfn.XLOOKUP(O32,'Sales Rec'!$E$4:$E$32,'Sales Rec'!$DZ$4:$DZ$32,"")</f>
        <v>B</v>
      </c>
      <c r="N32" s="60" t="s">
        <v>82</v>
      </c>
      <c r="O32" s="124" t="s">
        <v>83</v>
      </c>
      <c r="P32" s="1570">
        <v>6</v>
      </c>
      <c r="Q32" s="264">
        <f>VLOOKUP(O32,Cement!$Q$7:$CC$35,4,FALSE)</f>
        <v>13830</v>
      </c>
      <c r="R32" s="292">
        <f>_xlfn.XLOOKUP(O32,Cement!$Q$7:$Q$35,Cement!$U$7:$U$35,"")</f>
        <v>2.83</v>
      </c>
      <c r="S32" s="292">
        <f>_xlfn.XLOOKUP(O32,'دیده بان بازار'!$A$8:$A$3179,'دیده بان بازار'!$L$8:$L$3179,"")</f>
        <v>380</v>
      </c>
      <c r="T32" s="304">
        <f>VLOOKUP(O32,Cement!$Q$7:$CC$35,6,FALSE)</f>
        <v>13850</v>
      </c>
      <c r="U32" s="361">
        <f>_xlfn.XLOOKUP(O32,Cement!$Q$7:$Q$35,Cement!$W$7:$W$35,"")</f>
        <v>2.97</v>
      </c>
      <c r="V32" s="361"/>
      <c r="W32" s="66">
        <f>_xlfn.XLOOKUP(O32,Cement!$Q$7:$Q$35,Cement!$S$7:$S$35,"")</f>
        <v>4016.5</v>
      </c>
      <c r="X32" s="1603">
        <f>_xlfn.XLOOKUP(O32,'Sales Rec'!$E$4:$E$93,'Sales Rec'!$DW$4:$DW$93,"")</f>
        <v>0.89546956111373288</v>
      </c>
      <c r="Y32" s="850">
        <f>_xlfn.XLOOKUP(N32,Cement!$P$7:$P$35,Cement!$Z$7:$Z$35,"")</f>
        <v>0.69329679595278249</v>
      </c>
      <c r="Z32" s="1453">
        <f t="shared" ca="1" si="16"/>
        <v>0.28767501906754461</v>
      </c>
      <c r="AA32" s="824">
        <f ca="1">_xlfn.XLOOKUP(O32,Cement!$Q$7:$Q$35,Cement!$AB$7:$AB$35,"")</f>
        <v>-4.1099676601791186</v>
      </c>
      <c r="AB32" s="2010">
        <f>_xlfn.XLOOKUP(N32,Cement!$P$7:$P$35,Cement!$AG$7:$AG$35,"")</f>
        <v>2.5512820512820511</v>
      </c>
      <c r="AC32" s="562">
        <f t="shared" si="17"/>
        <v>-12.834780844155851</v>
      </c>
      <c r="AD32" s="308">
        <f>_xlfn.XLOOKUP(N32,Cement!$P$7:$P$35,Cement!$AM$7:$AM$35,"")</f>
        <v>2900000000</v>
      </c>
      <c r="AE32" s="1933">
        <f ca="1">_xlfn.XLOOKUP(O32,Cement!$Q$7:$Q$35,Cement!$AH$7:$AH$35,"")</f>
        <v>124</v>
      </c>
      <c r="AF32" s="1612">
        <f>_xlfn.XLOOKUP(O32,Cement!$Q$7:$Q$35,Cement!$AI$7:$AI$35,"")</f>
        <v>45998</v>
      </c>
      <c r="AG32" s="1858">
        <f>_xlfn.XLOOKUP(O32,Cement!$Q$7:$Q$35,Cement!$EI$7:$EI$35,"")</f>
        <v>1150</v>
      </c>
      <c r="AH32" s="1829">
        <f>_xlfn.XLOOKUP(O32,Cement!$Q$7:$Q$37,Cement!$AJ$7:$AJ$37,"")</f>
        <v>46116</v>
      </c>
      <c r="AI32" s="1827">
        <f>_xlfn.XLOOKUP($O32,Cement!$Q$7:$Q$35,Cement!$CB$7:$CB$35,"")</f>
        <v>2014</v>
      </c>
      <c r="AJ32" s="1340">
        <f>_xlfn.XLOOKUP($O32,Cement!$Q$7:$Q$35,Cement!$BV$7:$BV$35,"")</f>
        <v>6.364876266361259</v>
      </c>
      <c r="AK32" s="1206">
        <f>_xlfn.XLOOKUP($O32,Cement!$Q$7:$Q$35,Cement!$CC$7:$CC$35,"")</f>
        <v>6.87</v>
      </c>
      <c r="AL32" s="683" t="s">
        <v>603</v>
      </c>
      <c r="AM32" s="684">
        <v>12320</v>
      </c>
      <c r="AN32" s="793"/>
      <c r="AO32" s="794" t="str">
        <f t="shared" si="49"/>
        <v/>
      </c>
      <c r="AP32" s="329"/>
      <c r="AQ32" s="334">
        <f t="shared" si="19"/>
        <v>0</v>
      </c>
      <c r="AR32" s="330">
        <f t="shared" si="20"/>
        <v>0</v>
      </c>
      <c r="AS32" s="272"/>
      <c r="AT32" s="234">
        <f t="shared" si="21"/>
        <v>0</v>
      </c>
      <c r="AU32" s="402"/>
      <c r="AV32" s="1137">
        <v>0</v>
      </c>
      <c r="AW32" s="342"/>
      <c r="AX32" s="334">
        <f t="shared" si="22"/>
        <v>0</v>
      </c>
      <c r="AY32" s="343">
        <f t="shared" si="23"/>
        <v>0</v>
      </c>
      <c r="AZ32" s="272"/>
      <c r="BA32" s="234">
        <f t="shared" si="24"/>
        <v>0</v>
      </c>
      <c r="BB32" s="403"/>
      <c r="BC32" s="1151">
        <v>0</v>
      </c>
      <c r="BD32" s="333"/>
      <c r="BE32" s="334">
        <f t="shared" si="25"/>
        <v>0</v>
      </c>
      <c r="BF32" s="298">
        <f t="shared" si="46"/>
        <v>0</v>
      </c>
      <c r="BG32" s="272"/>
      <c r="BH32" s="234">
        <f t="shared" si="27"/>
        <v>0</v>
      </c>
      <c r="BI32" s="402"/>
      <c r="BJ32" s="297">
        <v>0</v>
      </c>
      <c r="BK32" s="720">
        <f t="shared" si="28"/>
        <v>0</v>
      </c>
      <c r="BL32" s="721">
        <f t="shared" si="29"/>
        <v>0</v>
      </c>
      <c r="BM32" s="722">
        <f t="shared" si="30"/>
        <v>0</v>
      </c>
      <c r="BN32" s="623"/>
      <c r="BO32" s="610"/>
      <c r="BP32" s="334">
        <f t="shared" si="31"/>
        <v>0</v>
      </c>
      <c r="BQ32" s="612">
        <f t="shared" si="32"/>
        <v>0</v>
      </c>
      <c r="BR32" s="272"/>
      <c r="BS32" s="234">
        <f t="shared" si="33"/>
        <v>0</v>
      </c>
      <c r="BT32" s="402"/>
      <c r="BU32" s="297">
        <v>0</v>
      </c>
      <c r="BV32" s="628"/>
      <c r="BW32" s="334">
        <f t="shared" si="34"/>
        <v>0</v>
      </c>
      <c r="BX32" s="630">
        <f t="shared" si="35"/>
        <v>0</v>
      </c>
      <c r="BY32" s="272"/>
      <c r="BZ32" s="234">
        <f t="shared" si="50"/>
        <v>0</v>
      </c>
      <c r="CA32" s="402"/>
      <c r="CB32" s="297">
        <v>0</v>
      </c>
      <c r="CC32" s="1764"/>
      <c r="CD32" s="334">
        <f t="shared" si="37"/>
        <v>0</v>
      </c>
      <c r="CE32" s="1767">
        <f t="shared" si="38"/>
        <v>0</v>
      </c>
      <c r="CF32" s="272"/>
      <c r="CG32" s="234">
        <f t="shared" si="51"/>
        <v>0</v>
      </c>
      <c r="CH32" s="402"/>
      <c r="CI32" s="1780">
        <v>0</v>
      </c>
      <c r="CJ32" s="2074"/>
      <c r="CK32" s="334">
        <f t="shared" si="40"/>
        <v>0</v>
      </c>
      <c r="CL32" s="2070">
        <f t="shared" si="41"/>
        <v>0</v>
      </c>
      <c r="CM32" s="272"/>
      <c r="CN32" s="234">
        <f t="shared" si="48"/>
        <v>0</v>
      </c>
      <c r="CO32" s="402"/>
      <c r="CP32" s="1780">
        <v>0</v>
      </c>
      <c r="CS32" s="333"/>
      <c r="CT32" s="334">
        <f t="shared" si="42"/>
        <v>0</v>
      </c>
      <c r="CU32" s="298">
        <f t="shared" si="47"/>
        <v>0</v>
      </c>
      <c r="CV32" s="272"/>
      <c r="CW32" s="234">
        <f t="shared" si="44"/>
        <v>0</v>
      </c>
      <c r="CX32" s="402"/>
      <c r="CY32" s="297">
        <v>0</v>
      </c>
    </row>
    <row r="33" spans="1:103" ht="35" customHeight="1">
      <c r="A33" s="100">
        <f>_xlfn.XLOOKUP(O33,Cement!Q$7:Q$35,Cement!A$7:A$35,"")</f>
        <v>-12.195856599294064</v>
      </c>
      <c r="B33" s="100">
        <f>_xlfn.XLOOKUP(O33,Cement!Q$7:Q$35,Cement!B$7:B$35,"")</f>
        <v>-19.686703879628794</v>
      </c>
      <c r="C33" s="1585">
        <f ca="1">_xlfn.XLOOKUP(O33,Cement!Q$7:Q$35,Cement!$C$7:$C$35,"")</f>
        <v>0.24931768169843485</v>
      </c>
      <c r="D33" s="2111">
        <f>_xlfn.XLOOKUP(O33,Cement!$Q$7:$Q$35,Cement!$D$7:$D$35,"")</f>
        <v>-6.4558680653686196E-2</v>
      </c>
      <c r="E33" s="1236">
        <f>_xlfn.XLOOKUP($O33,Cement!$Q$7:$Q$35,Cement!$E$7:$E$35,"")</f>
        <v>-4.6000000000000041</v>
      </c>
      <c r="F33" s="1235">
        <f>_xlfn.XLOOKUP($O33,Cement!$Q$7:$Q$35,Cement!$F$7:$F$35,"")</f>
        <v>-5.8999999999999995</v>
      </c>
      <c r="G33" s="2125">
        <f>_xlfn.XLOOKUP($O33,Cement!$Q$7:$Q$35,Cement!$G$7:$G$35,"")</f>
        <v>-3.3562913698295005</v>
      </c>
      <c r="H33" s="2314">
        <f>_xlfn.XLOOKUP($O33,Cement!Q$7:Q$35,Cement!H$7:H$35,"")</f>
        <v>0.68300395256917001</v>
      </c>
      <c r="I33" s="2314">
        <f>_xlfn.XLOOKUP(O33,Cement!Q$7:Q$35,Cement!J$7:J$35,"")</f>
        <v>0.97774480712166167</v>
      </c>
      <c r="J33" s="2112">
        <f>_xlfn.XLOOKUP(O33,'Sales Rec'!$E$4:$E$91,'Sales Rec'!$CV$4:$CV$91,"")</f>
        <v>12</v>
      </c>
      <c r="K33" s="2216">
        <f>_xlfn.XLOOKUP(O33,Cement!Q$7:Q$35,Cement!$L$7:$L$35,"")</f>
        <v>18</v>
      </c>
      <c r="L33" s="2113" t="str">
        <f>_xlfn.XLOOKUP(O33,'Sales Rec'!$E$4:$E$32,'Sales Rec'!$DS$4:$DS$32,"")</f>
        <v>N</v>
      </c>
      <c r="M33" s="390" t="str">
        <f>_xlfn.XLOOKUP(O33,'Sales Rec'!$E$4:$E$32,'Sales Rec'!$DZ$4:$DZ$32,"")</f>
        <v>S</v>
      </c>
      <c r="N33" s="60" t="s">
        <v>84</v>
      </c>
      <c r="O33" s="124" t="s">
        <v>85</v>
      </c>
      <c r="P33" s="1570">
        <v>9</v>
      </c>
      <c r="Q33" s="264">
        <f>VLOOKUP(O33,Cement!$Q$7:$CC$35,4,FALSE)</f>
        <v>83270</v>
      </c>
      <c r="R33" s="292">
        <f>_xlfn.XLOOKUP(O33,Cement!$Q$7:$Q$35,Cement!$U$7:$U$35,"")</f>
        <v>2.52</v>
      </c>
      <c r="S33" s="292">
        <f>_xlfn.XLOOKUP(O33,'دیده بان بازار'!$A$8:$A$3179,'دیده بان بازار'!$L$8:$L$3179,"")</f>
        <v>2050</v>
      </c>
      <c r="T33" s="304">
        <f>VLOOKUP(O33,Cement!$Q$7:$CC$35,6,FALSE)</f>
        <v>83650</v>
      </c>
      <c r="U33" s="361">
        <f>_xlfn.XLOOKUP(O33,Cement!$Q$7:$Q$35,Cement!$W$7:$W$35,"")</f>
        <v>2.99</v>
      </c>
      <c r="V33" s="361">
        <f>_xlfn.XLOOKUP(O33,'دیده بان بازار'!$A$8:$A$3179,'دیده بان بازار'!$I$8:$I$3179,"")</f>
        <v>2430</v>
      </c>
      <c r="W33" s="66">
        <f>_xlfn.XLOOKUP(O33,Cement!$Q$7:$Q$35,Cement!$S$7:$S$35,"")</f>
        <v>12045.6</v>
      </c>
      <c r="X33" s="1603">
        <f>_xlfn.XLOOKUP(O33,'Sales Rec'!$E$4:$E$93,'Sales Rec'!$DW$4:$DW$93,"")</f>
        <v>0.53768382352941169</v>
      </c>
      <c r="Y33" s="850">
        <f>_xlfn.XLOOKUP(N33,Cement!$P$7:$P$35,Cement!$Z$7:$Z$35,"")</f>
        <v>0.30973143416331417</v>
      </c>
      <c r="Z33" s="1453">
        <f t="shared" ca="1" si="16"/>
        <v>0.18112949366275682</v>
      </c>
      <c r="AA33" s="824">
        <f ca="1">_xlfn.XLOOKUP(O33,Cement!$Q$7:$Q$35,Cement!$AB$7:$AB$35,"")</f>
        <v>6.5445848802996611</v>
      </c>
      <c r="AB33" s="2010">
        <f>_xlfn.XLOOKUP(N33,Cement!$P$7:$P$35,Cement!$AG$7:$AG$35,"")</f>
        <v>8.5751987281399042</v>
      </c>
      <c r="AC33" s="562">
        <f t="shared" si="17"/>
        <v>-8.6798159318611408</v>
      </c>
      <c r="AD33" s="308">
        <f>_xlfn.XLOOKUP(N33,Cement!$P$7:$P$35,Cement!$AM$7:$AM$35,"")</f>
        <v>1440000000</v>
      </c>
      <c r="AE33" s="1933">
        <f ca="1">_xlfn.XLOOKUP(O33,Cement!$Q$7:$Q$35,Cement!$AH$7:$AH$35,"")</f>
        <v>194</v>
      </c>
      <c r="AF33" s="1612">
        <f>_xlfn.XLOOKUP(O33,Cement!$Q$7:$Q$35,Cement!$AI$7:$AI$35,"")</f>
        <v>46068</v>
      </c>
      <c r="AG33" s="1858">
        <f>_xlfn.XLOOKUP(O33,Cement!$Q$7:$Q$35,Cement!$EI$7:$EI$35,"")</f>
        <v>8150</v>
      </c>
      <c r="AH33" s="1829">
        <f>_xlfn.XLOOKUP(O33,Cement!$Q$7:$Q$37,Cement!$AJ$7:$AJ$37,"")</f>
        <v>46084</v>
      </c>
      <c r="AI33" s="1827">
        <f>_xlfn.XLOOKUP($O33,Cement!$Q$7:$Q$35,Cement!$CB$7:$CB$35,"")</f>
        <v>11188</v>
      </c>
      <c r="AJ33" s="1340">
        <f>_xlfn.XLOOKUP($O33,Cement!$Q$7:$Q$35,Cement!$BV$7:$BV$35,"")</f>
        <v>7.5045586806536866</v>
      </c>
      <c r="AK33" s="1206">
        <f>_xlfn.XLOOKUP($O33,Cement!$Q$7:$Q$35,Cement!$CC$7:$CC$35,"")</f>
        <v>7.44</v>
      </c>
      <c r="AL33" s="683" t="s">
        <v>603</v>
      </c>
      <c r="AM33" s="684">
        <v>77254</v>
      </c>
      <c r="AN33" s="793"/>
      <c r="AO33" s="794" t="str">
        <f t="shared" si="49"/>
        <v/>
      </c>
      <c r="AP33" s="329"/>
      <c r="AQ33" s="334">
        <f t="shared" si="19"/>
        <v>0</v>
      </c>
      <c r="AR33" s="330">
        <f t="shared" si="20"/>
        <v>0</v>
      </c>
      <c r="AS33" s="272"/>
      <c r="AT33" s="234">
        <f t="shared" si="21"/>
        <v>0</v>
      </c>
      <c r="AU33" s="402">
        <v>3900</v>
      </c>
      <c r="AV33" s="1137">
        <v>0</v>
      </c>
      <c r="AW33" s="342"/>
      <c r="AX33" s="334">
        <f t="shared" si="22"/>
        <v>0</v>
      </c>
      <c r="AY33" s="343">
        <f t="shared" si="23"/>
        <v>0</v>
      </c>
      <c r="AZ33" s="272"/>
      <c r="BA33" s="234">
        <f t="shared" si="24"/>
        <v>0</v>
      </c>
      <c r="BB33" s="403"/>
      <c r="BC33" s="1151">
        <v>0</v>
      </c>
      <c r="BD33" s="333"/>
      <c r="BE33" s="334">
        <f t="shared" si="25"/>
        <v>0</v>
      </c>
      <c r="BF33" s="298">
        <f t="shared" si="46"/>
        <v>0</v>
      </c>
      <c r="BG33" s="272"/>
      <c r="BH33" s="234">
        <f t="shared" si="27"/>
        <v>0</v>
      </c>
      <c r="BI33" s="402"/>
      <c r="BJ33" s="297">
        <v>0</v>
      </c>
      <c r="BK33" s="720">
        <f t="shared" si="28"/>
        <v>0</v>
      </c>
      <c r="BL33" s="721">
        <f t="shared" si="29"/>
        <v>0</v>
      </c>
      <c r="BM33" s="722">
        <f t="shared" si="30"/>
        <v>0</v>
      </c>
      <c r="BN33" s="623"/>
      <c r="BO33" s="610"/>
      <c r="BP33" s="334">
        <f t="shared" si="31"/>
        <v>0</v>
      </c>
      <c r="BQ33" s="612">
        <f t="shared" si="32"/>
        <v>0</v>
      </c>
      <c r="BR33" s="272"/>
      <c r="BS33" s="234">
        <f t="shared" si="33"/>
        <v>0</v>
      </c>
      <c r="BT33" s="402"/>
      <c r="BU33" s="297">
        <v>0</v>
      </c>
      <c r="BV33" s="628"/>
      <c r="BW33" s="334">
        <f t="shared" si="34"/>
        <v>0</v>
      </c>
      <c r="BX33" s="630">
        <f t="shared" si="35"/>
        <v>0</v>
      </c>
      <c r="BY33" s="272"/>
      <c r="BZ33" s="234">
        <f t="shared" si="50"/>
        <v>0</v>
      </c>
      <c r="CA33" s="402"/>
      <c r="CB33" s="297">
        <v>0</v>
      </c>
      <c r="CC33" s="1764"/>
      <c r="CD33" s="334">
        <f t="shared" si="37"/>
        <v>0</v>
      </c>
      <c r="CE33" s="1767">
        <f t="shared" si="38"/>
        <v>0</v>
      </c>
      <c r="CF33" s="272"/>
      <c r="CG33" s="234">
        <f t="shared" si="51"/>
        <v>0</v>
      </c>
      <c r="CH33" s="402"/>
      <c r="CI33" s="1780">
        <v>0</v>
      </c>
      <c r="CJ33" s="2074"/>
      <c r="CK33" s="334">
        <f t="shared" si="40"/>
        <v>0</v>
      </c>
      <c r="CL33" s="2070">
        <f t="shared" si="41"/>
        <v>0</v>
      </c>
      <c r="CM33" s="272"/>
      <c r="CN33" s="234">
        <f t="shared" si="48"/>
        <v>0</v>
      </c>
      <c r="CO33" s="402"/>
      <c r="CP33" s="1780">
        <v>0</v>
      </c>
      <c r="CS33" s="333"/>
      <c r="CT33" s="334">
        <f t="shared" si="42"/>
        <v>0</v>
      </c>
      <c r="CU33" s="298">
        <f t="shared" si="47"/>
        <v>0</v>
      </c>
      <c r="CV33" s="272"/>
      <c r="CW33" s="234">
        <f t="shared" si="44"/>
        <v>0</v>
      </c>
      <c r="CX33" s="402"/>
      <c r="CY33" s="297">
        <v>0</v>
      </c>
    </row>
    <row r="34" spans="1:103" ht="35" customHeight="1">
      <c r="A34" s="100">
        <f>_xlfn.XLOOKUP(O34,Cement!Q$7:Q$35,Cement!A$7:A$35,"")</f>
        <v>-20.805999036870038</v>
      </c>
      <c r="B34" s="100">
        <f>_xlfn.XLOOKUP(O34,Cement!Q$7:Q$35,Cement!B$7:B$35,"")</f>
        <v>-18.805999036870038</v>
      </c>
      <c r="C34" s="1585">
        <f ca="1">_xlfn.XLOOKUP(O34,Cement!Q$7:Q$35,Cement!$C$7:$C$35,"")</f>
        <v>0.18242281866376361</v>
      </c>
      <c r="D34" s="2111">
        <f>_xlfn.XLOOKUP(O34,Cement!$Q$7:$Q$35,Cement!$D$7:$D$35,"")</f>
        <v>1.6766711742795284</v>
      </c>
      <c r="E34" s="1236">
        <f>_xlfn.XLOOKUP($O34,Cement!$Q$7:$Q$35,Cement!$E$7:$E$35,"")</f>
        <v>-1.2000000000000011</v>
      </c>
      <c r="F34" s="1235">
        <f>_xlfn.XLOOKUP($O34,Cement!$Q$7:$Q$35,Cement!$F$7:$F$35,"")</f>
        <v>-0.40000000000000036</v>
      </c>
      <c r="G34" s="2125">
        <f>_xlfn.XLOOKUP($O34,Cement!$Q$7:$Q$35,Cement!$G$7:$G$35,"")</f>
        <v>8.4408783151909574</v>
      </c>
      <c r="H34" s="2314">
        <f>_xlfn.XLOOKUP($O34,Cement!Q$7:Q$35,Cement!H$7:H$35,"")</f>
        <v>0.38095238095238093</v>
      </c>
      <c r="I34" s="2314">
        <f>_xlfn.XLOOKUP(O34,Cement!Q$7:Q$35,Cement!J$7:J$35,"")</f>
        <v>0.55431754874651806</v>
      </c>
      <c r="J34" s="2112">
        <f>_xlfn.XLOOKUP(O34,'Sales Rec'!$E$4:$E$91,'Sales Rec'!$CV$4:$CV$91,"")</f>
        <v>23</v>
      </c>
      <c r="K34" s="2216">
        <f>_xlfn.XLOOKUP(O34,Cement!Q$7:Q$35,Cement!$L$7:$L$35,"")</f>
        <v>27</v>
      </c>
      <c r="L34" s="390" t="str">
        <f>_xlfn.XLOOKUP(O34,'Sales Rec'!$E$4:$E$32,'Sales Rec'!$DS$4:$DS$32,"")</f>
        <v>N</v>
      </c>
      <c r="M34" s="390" t="str">
        <f>_xlfn.XLOOKUP(O34,'Sales Rec'!$E$4:$E$32,'Sales Rec'!$DZ$4:$DZ$32,"")</f>
        <v>N</v>
      </c>
      <c r="N34" s="60" t="s">
        <v>36</v>
      </c>
      <c r="O34" s="124" t="s">
        <v>37</v>
      </c>
      <c r="P34" s="1570">
        <v>6</v>
      </c>
      <c r="Q34" s="264">
        <f>VLOOKUP(O34,Cement!$Q$7:$CC$35,4,FALSE)</f>
        <v>19290</v>
      </c>
      <c r="R34" s="292">
        <f>_xlfn.XLOOKUP(O34,Cement!$Q$7:$Q$35,Cement!$U$7:$U$35,"")</f>
        <v>2.93</v>
      </c>
      <c r="S34" s="292">
        <f>_xlfn.XLOOKUP(O34,'دیده بان بازار'!$A$8:$A$3179,'دیده بان بازار'!$L$8:$L$3179,"")</f>
        <v>550</v>
      </c>
      <c r="T34" s="304">
        <f>VLOOKUP(O34,Cement!$Q$7:$CC$35,6,FALSE)</f>
        <v>19300</v>
      </c>
      <c r="U34" s="361">
        <f>_xlfn.XLOOKUP(O34,Cement!$Q$7:$Q$35,Cement!$W$7:$W$35,"")</f>
        <v>2.99</v>
      </c>
      <c r="V34" s="361">
        <f>_xlfn.XLOOKUP(O34,'دیده بان بازار'!$A$8:$A$3179,'دیده بان بازار'!$I$8:$I$3179,"")</f>
        <v>560</v>
      </c>
      <c r="W34" s="66">
        <f>_xlfn.XLOOKUP(O34,Cement!$Q$7:$Q$35,Cement!$S$7:$S$35,"")</f>
        <v>13027.5</v>
      </c>
      <c r="X34" s="1603">
        <f>_xlfn.XLOOKUP(O34,'Sales Rec'!$E$4:$E$93,'Sales Rec'!$DW$4:$DW$93,"")</f>
        <v>1.1356557377049181</v>
      </c>
      <c r="Y34" s="850">
        <f>_xlfn.XLOOKUP(N34,Cement!$P$7:$P$35,Cement!$Z$7:$Z$35,"")</f>
        <v>0.79863316305398313</v>
      </c>
      <c r="Z34" s="1453">
        <f t="shared" ca="1" si="16"/>
        <v>0.33001370374131533</v>
      </c>
      <c r="AA34" s="824">
        <f ca="1">_xlfn.XLOOKUP(O34,Cement!$Q$7:$Q$35,Cement!$AB$7:$AB$35,"")</f>
        <v>-8.343836127556191</v>
      </c>
      <c r="AB34" s="2010">
        <f>_xlfn.XLOOKUP(N34,Cement!$P$7:$P$35,Cement!$AG$7:$AG$35,"")</f>
        <v>6.6953748006379588</v>
      </c>
      <c r="AC34" s="562">
        <f t="shared" si="17"/>
        <v>-21.917112467744978</v>
      </c>
      <c r="AD34" s="308">
        <f>_xlfn.XLOOKUP(N34,Cement!$P$7:$P$35,Cement!$AM$7:$AM$35,"")</f>
        <v>6750000000</v>
      </c>
      <c r="AE34" s="1933">
        <f ca="1">_xlfn.XLOOKUP(O34,Cement!$Q$7:$Q$35,Cement!$AH$7:$AH$35,"")</f>
        <v>123</v>
      </c>
      <c r="AF34" s="1612">
        <f>_xlfn.XLOOKUP(O34,Cement!$Q$7:$Q$35,Cement!$AI$7:$AI$35,"")</f>
        <v>45997</v>
      </c>
      <c r="AG34" s="1858">
        <f>_xlfn.XLOOKUP(O34,Cement!$Q$7:$Q$35,Cement!$EI$7:$EI$35,"")</f>
        <v>1740</v>
      </c>
      <c r="AH34" s="1829">
        <f>_xlfn.XLOOKUP(O34,Cement!$Q$7:$Q$37,Cement!$AJ$7:$AJ$37,"")</f>
        <v>46085</v>
      </c>
      <c r="AI34" s="1827">
        <f>_xlfn.XLOOKUP($O34,Cement!$Q$7:$Q$35,Cement!$CB$7:$CB$35,"")</f>
        <v>2433</v>
      </c>
      <c r="AJ34" s="1340">
        <f>_xlfn.XLOOKUP($O34,Cement!$Q$7:$Q$35,Cement!$BV$7:$BV$35,"")</f>
        <v>6.2533288257204713</v>
      </c>
      <c r="AK34" s="1206">
        <f>_xlfn.XLOOKUP($O34,Cement!$Q$7:$Q$35,Cement!$CC$7:$CC$35,"")</f>
        <v>7.93</v>
      </c>
      <c r="AL34" s="683" t="s">
        <v>603</v>
      </c>
      <c r="AM34" s="684">
        <v>15889</v>
      </c>
      <c r="AN34" s="793"/>
      <c r="AO34" s="794"/>
      <c r="AP34" s="329"/>
      <c r="AQ34" s="334">
        <f t="shared" si="19"/>
        <v>0</v>
      </c>
      <c r="AR34" s="330">
        <f t="shared" si="20"/>
        <v>0</v>
      </c>
      <c r="AS34" s="272"/>
      <c r="AT34" s="234">
        <f t="shared" si="21"/>
        <v>0</v>
      </c>
      <c r="AU34" s="402">
        <v>719383</v>
      </c>
      <c r="AV34" s="1137">
        <v>0</v>
      </c>
      <c r="AW34" s="342"/>
      <c r="AX34" s="334">
        <f t="shared" si="22"/>
        <v>0</v>
      </c>
      <c r="AY34" s="343">
        <f t="shared" si="23"/>
        <v>0</v>
      </c>
      <c r="AZ34" s="272"/>
      <c r="BA34" s="234">
        <f t="shared" si="24"/>
        <v>0</v>
      </c>
      <c r="BB34" s="402">
        <v>163235</v>
      </c>
      <c r="BC34" s="1151">
        <v>0</v>
      </c>
      <c r="BD34" s="333"/>
      <c r="BE34" s="334">
        <f t="shared" si="25"/>
        <v>0</v>
      </c>
      <c r="BF34" s="298">
        <f t="shared" si="46"/>
        <v>0</v>
      </c>
      <c r="BG34" s="272"/>
      <c r="BH34" s="234">
        <f t="shared" si="27"/>
        <v>0</v>
      </c>
      <c r="BI34" s="402">
        <v>26404</v>
      </c>
      <c r="BJ34" s="297">
        <v>0</v>
      </c>
      <c r="BK34" s="720">
        <f t="shared" si="28"/>
        <v>0</v>
      </c>
      <c r="BL34" s="721">
        <f t="shared" si="29"/>
        <v>0</v>
      </c>
      <c r="BM34" s="722">
        <f t="shared" si="30"/>
        <v>0</v>
      </c>
      <c r="BN34" s="623"/>
      <c r="BO34" s="610"/>
      <c r="BP34" s="334">
        <f t="shared" si="31"/>
        <v>0</v>
      </c>
      <c r="BQ34" s="612">
        <f t="shared" si="32"/>
        <v>0</v>
      </c>
      <c r="BR34" s="272"/>
      <c r="BS34" s="234">
        <f t="shared" si="33"/>
        <v>0</v>
      </c>
      <c r="BT34" s="402">
        <v>28050</v>
      </c>
      <c r="BU34" s="297">
        <v>0</v>
      </c>
      <c r="BV34" s="628"/>
      <c r="BW34" s="334">
        <f t="shared" si="34"/>
        <v>0</v>
      </c>
      <c r="BX34" s="630">
        <f t="shared" si="35"/>
        <v>0</v>
      </c>
      <c r="BY34" s="272"/>
      <c r="BZ34" s="234">
        <f t="shared" si="50"/>
        <v>0</v>
      </c>
      <c r="CA34" s="402">
        <v>2625</v>
      </c>
      <c r="CB34" s="297">
        <v>0</v>
      </c>
      <c r="CC34" s="1764"/>
      <c r="CD34" s="334">
        <f t="shared" si="37"/>
        <v>0</v>
      </c>
      <c r="CE34" s="1767">
        <f t="shared" si="38"/>
        <v>0</v>
      </c>
      <c r="CF34" s="272"/>
      <c r="CG34" s="234">
        <f t="shared" si="51"/>
        <v>0</v>
      </c>
      <c r="CH34" s="402"/>
      <c r="CI34" s="1780">
        <v>0</v>
      </c>
      <c r="CJ34" s="2074"/>
      <c r="CK34" s="334">
        <f t="shared" si="40"/>
        <v>0</v>
      </c>
      <c r="CL34" s="2070">
        <f t="shared" si="41"/>
        <v>0</v>
      </c>
      <c r="CM34" s="272"/>
      <c r="CN34" s="234">
        <f t="shared" si="48"/>
        <v>0</v>
      </c>
      <c r="CO34" s="402"/>
      <c r="CP34" s="1780">
        <v>0</v>
      </c>
      <c r="CS34" s="333"/>
      <c r="CT34" s="334">
        <f t="shared" si="42"/>
        <v>0</v>
      </c>
      <c r="CU34" s="298">
        <f t="shared" si="47"/>
        <v>0</v>
      </c>
      <c r="CV34" s="272"/>
      <c r="CW34" s="234">
        <f t="shared" si="44"/>
        <v>0</v>
      </c>
      <c r="CX34" s="402">
        <v>26404</v>
      </c>
      <c r="CY34" s="297">
        <v>0</v>
      </c>
    </row>
    <row r="35" spans="1:103" ht="35" customHeight="1">
      <c r="A35" s="100">
        <f>_xlfn.XLOOKUP(O35,Cement!Q$7:Q$35,Cement!A$7:A$35,"")</f>
        <v>-24.973469046703357</v>
      </c>
      <c r="B35" s="100">
        <f>_xlfn.XLOOKUP(O35,Cement!Q$7:Q$35,Cement!B$7:B$35,"")</f>
        <v>-30.430961966552335</v>
      </c>
      <c r="C35" s="1585">
        <f ca="1">_xlfn.XLOOKUP(O35,Cement!Q$7:Q$35,Cement!$C$7:$C$35,"")</f>
        <v>0.16549206377313119</v>
      </c>
      <c r="D35" s="2111">
        <f>_xlfn.XLOOKUP(O35,Cement!$Q$7:$Q$35,Cement!$D$7:$D$35,"")</f>
        <v>-3.2819244544254023</v>
      </c>
      <c r="E35" s="1236">
        <f>_xlfn.XLOOKUP($O35,Cement!$Q$7:$Q$35,Cement!$E$7:$E$35,"")</f>
        <v>-1.3000000000000012</v>
      </c>
      <c r="F35" s="1235">
        <f>_xlfn.XLOOKUP($O35,Cement!$Q$7:$Q$35,Cement!$F$7:$F$35,"")</f>
        <v>-1.4000000000000012</v>
      </c>
      <c r="G35" s="2125">
        <f>_xlfn.XLOOKUP($O35,Cement!$Q$7:$Q$35,Cement!$G$7:$G$35,"")</f>
        <v>8.9785175493265363</v>
      </c>
      <c r="H35" s="2314">
        <f>_xlfn.XLOOKUP($O35,Cement!Q$7:Q$35,Cement!H$7:H$35,"")</f>
        <v>0.54968492486669895</v>
      </c>
      <c r="I35" s="2314">
        <f>_xlfn.XLOOKUP(O35,Cement!Q$7:Q$35,Cement!J$7:J$35,"")</f>
        <v>0.87827841291190312</v>
      </c>
      <c r="J35" s="2112">
        <f>_xlfn.XLOOKUP(O35,'Sales Rec'!$E$4:$E$91,'Sales Rec'!$CV$4:$CV$91,"")</f>
        <v>18</v>
      </c>
      <c r="K35" s="2216">
        <f>_xlfn.XLOOKUP(O35,Cement!Q$7:Q$35,Cement!$L$7:$L$35,"")</f>
        <v>29</v>
      </c>
      <c r="L35" s="2113" t="str">
        <f>_xlfn.XLOOKUP(O35,'Sales Rec'!$E$4:$E$32,'Sales Rec'!$DS$4:$DS$32,"")</f>
        <v>N</v>
      </c>
      <c r="M35" s="2113" t="str">
        <f>_xlfn.XLOOKUP(O35,'Sales Rec'!$E$4:$E$32,'Sales Rec'!$DZ$4:$DZ$32,"")</f>
        <v>S</v>
      </c>
      <c r="N35" s="60" t="s">
        <v>74</v>
      </c>
      <c r="O35" s="124" t="s">
        <v>75</v>
      </c>
      <c r="P35" s="1570">
        <v>12</v>
      </c>
      <c r="Q35" s="264">
        <f>VLOOKUP(O35,Cement!$Q$7:$CC$35,4,FALSE)</f>
        <v>12080</v>
      </c>
      <c r="R35" s="292" t="str">
        <f>_xlfn.XLOOKUP(O35,Cement!$Q$7:$Q$35,Cement!$U$7:$U$35,"")</f>
        <v/>
      </c>
      <c r="S35" s="292" t="str">
        <f>_xlfn.XLOOKUP(O35,'دیده بان بازار'!$A$8:$A$3179,'دیده بان بازار'!$L$8:$L$3179,"")</f>
        <v/>
      </c>
      <c r="T35" s="304">
        <f>VLOOKUP(O35,Cement!$Q$7:$CC$35,6,FALSE)</f>
        <v>12080</v>
      </c>
      <c r="U35" s="361" t="str">
        <f>_xlfn.XLOOKUP(O35,Cement!$Q$7:$Q$35,Cement!$W$7:$W$35,"")</f>
        <v/>
      </c>
      <c r="V35" s="361" t="str">
        <f>_xlfn.XLOOKUP(O35,'دیده بان بازار'!$A$8:$A$3179,'دیده بان بازار'!$I$8:$I$3179,"")</f>
        <v/>
      </c>
      <c r="W35" s="66">
        <f>_xlfn.XLOOKUP(O35,Cement!$Q$7:$Q$35,Cement!$S$7:$S$35,"")</f>
        <v>20536</v>
      </c>
      <c r="X35" s="1603">
        <f>_xlfn.XLOOKUP(O35,'Sales Rec'!$E$4:$E$93,'Sales Rec'!$DW$4:$DW$93,"")</f>
        <v>0.42452830188679247</v>
      </c>
      <c r="Y35" s="850">
        <f>_xlfn.XLOOKUP(N35,Cement!$P$7:$P$35,Cement!$Z$7:$Z$35,"")</f>
        <v>0</v>
      </c>
      <c r="Z35" s="1453">
        <f t="shared" ca="1" si="16"/>
        <v>0</v>
      </c>
      <c r="AA35" s="824">
        <f ca="1">_xlfn.XLOOKUP(O35,Cement!$Q$7:$Q$35,Cement!$AB$7:$AB$35,"")</f>
        <v>24.657534246575342</v>
      </c>
      <c r="AB35" s="2010">
        <f>_xlfn.XLOOKUP(N35,Cement!$P$7:$P$35,Cement!$AG$7:$AG$35,"")</f>
        <v>3.0393391030684502</v>
      </c>
      <c r="AC35" s="562">
        <f t="shared" si="17"/>
        <v>5.626788926115335</v>
      </c>
      <c r="AD35" s="308">
        <f>_xlfn.XLOOKUP(N35,Cement!$P$7:$P$35,Cement!$AM$7:$AM$35,"")</f>
        <v>17000000000</v>
      </c>
      <c r="AE35" s="1934">
        <f ca="1">_xlfn.XLOOKUP(O35,Cement!$Q$7:$Q$35,Cement!$AH$7:$AH$35,"")</f>
        <v>362</v>
      </c>
      <c r="AF35" s="1612">
        <f>_xlfn.XLOOKUP(O35,Cement!$Q$7:$Q$35,Cement!$AI$7:$AI$35,"")</f>
        <v>46236</v>
      </c>
      <c r="AG35" s="1857">
        <f>_xlfn.XLOOKUP(O35,Cement!$Q$7:$Q$35,Cement!$EI$7:$EI$35,"")</f>
        <v>1530</v>
      </c>
      <c r="AH35" s="1821">
        <f>_xlfn.XLOOKUP(O35,Cement!$Q$7:$Q$37,Cement!$AJ$7:$AJ$37,"")</f>
        <v>46336</v>
      </c>
      <c r="AI35" s="1827">
        <f>_xlfn.XLOOKUP($O35,Cement!$Q$7:$Q$35,Cement!$CB$7:$CB$35,"")</f>
        <v>1902</v>
      </c>
      <c r="AJ35" s="1340">
        <f>_xlfn.XLOOKUP($O35,Cement!$Q$7:$Q$35,Cement!$BV$7:$BV$35,"")</f>
        <v>10.441924454425402</v>
      </c>
      <c r="AK35" s="1206">
        <f>_xlfn.XLOOKUP($O35,Cement!$Q$7:$Q$35,Cement!$CC$7:$CC$35,"")</f>
        <v>7.16</v>
      </c>
      <c r="AL35" s="681" t="s">
        <v>197</v>
      </c>
      <c r="AM35" s="682">
        <v>11342</v>
      </c>
      <c r="AN35" s="2368">
        <v>13025</v>
      </c>
      <c r="AO35" s="2369">
        <f>IF(AN35&lt;1,"",(T35-AN35)/AN35)</f>
        <v>-7.2552783109404995E-2</v>
      </c>
      <c r="AP35" s="329">
        <v>130000</v>
      </c>
      <c r="AQ35" s="334">
        <f t="shared" si="19"/>
        <v>155658.04800000001</v>
      </c>
      <c r="AR35" s="330">
        <f t="shared" si="20"/>
        <v>3.3829188517272655E-3</v>
      </c>
      <c r="AS35" s="272">
        <v>130000</v>
      </c>
      <c r="AT35" s="234">
        <f t="shared" si="21"/>
        <v>19890</v>
      </c>
      <c r="AU35" s="402">
        <v>153440</v>
      </c>
      <c r="AV35" s="1137">
        <v>0</v>
      </c>
      <c r="AW35" s="342">
        <v>70000</v>
      </c>
      <c r="AX35" s="334">
        <f t="shared" si="22"/>
        <v>83815.872000000003</v>
      </c>
      <c r="AY35" s="343">
        <f t="shared" si="23"/>
        <v>3.7526371262084804E-3</v>
      </c>
      <c r="AZ35" s="272">
        <v>70000</v>
      </c>
      <c r="BA35" s="234">
        <f t="shared" si="24"/>
        <v>10710</v>
      </c>
      <c r="BB35" s="402">
        <v>27500</v>
      </c>
      <c r="BC35" s="1151">
        <v>0</v>
      </c>
      <c r="BD35" s="333"/>
      <c r="BE35" s="334">
        <f t="shared" si="25"/>
        <v>0</v>
      </c>
      <c r="BF35" s="298">
        <f t="shared" si="46"/>
        <v>0</v>
      </c>
      <c r="BG35" s="272"/>
      <c r="BH35" s="234">
        <f t="shared" si="27"/>
        <v>0</v>
      </c>
      <c r="BI35" s="402">
        <v>4877</v>
      </c>
      <c r="BJ35" s="297">
        <v>0</v>
      </c>
      <c r="BK35" s="720">
        <f t="shared" si="28"/>
        <v>241600</v>
      </c>
      <c r="BL35" s="721">
        <f t="shared" si="29"/>
        <v>200000</v>
      </c>
      <c r="BM35" s="722">
        <f t="shared" si="30"/>
        <v>5.1970190049993427E-3</v>
      </c>
      <c r="BN35" s="623"/>
      <c r="BO35" s="610"/>
      <c r="BP35" s="334">
        <f t="shared" si="31"/>
        <v>0</v>
      </c>
      <c r="BQ35" s="612">
        <f t="shared" si="32"/>
        <v>0</v>
      </c>
      <c r="BR35" s="272"/>
      <c r="BS35" s="234">
        <f t="shared" si="33"/>
        <v>0</v>
      </c>
      <c r="BT35" s="402">
        <v>4080</v>
      </c>
      <c r="BU35" s="297">
        <v>0</v>
      </c>
      <c r="BV35" s="628"/>
      <c r="BW35" s="334">
        <f t="shared" si="34"/>
        <v>0</v>
      </c>
      <c r="BX35" s="630">
        <f t="shared" si="35"/>
        <v>0</v>
      </c>
      <c r="BY35" s="272"/>
      <c r="BZ35" s="234">
        <f t="shared" si="50"/>
        <v>0</v>
      </c>
      <c r="CA35" s="402"/>
      <c r="CB35" s="297">
        <v>0</v>
      </c>
      <c r="CC35" s="1764">
        <v>60000</v>
      </c>
      <c r="CD35" s="334">
        <f t="shared" si="37"/>
        <v>71842.175999999992</v>
      </c>
      <c r="CE35" s="1767">
        <f t="shared" si="38"/>
        <v>5.9147086338524422E-3</v>
      </c>
      <c r="CF35" s="272">
        <v>60000</v>
      </c>
      <c r="CG35" s="234">
        <f t="shared" si="51"/>
        <v>9180</v>
      </c>
      <c r="CH35" s="402"/>
      <c r="CI35" s="1780">
        <v>0</v>
      </c>
      <c r="CJ35" s="2074">
        <v>40000</v>
      </c>
      <c r="CK35" s="334">
        <f t="shared" si="40"/>
        <v>47894.784</v>
      </c>
      <c r="CL35" s="2070">
        <f t="shared" si="41"/>
        <v>6.3109866676488405E-4</v>
      </c>
      <c r="CM35" s="272">
        <v>40000</v>
      </c>
      <c r="CN35" s="234">
        <f t="shared" si="48"/>
        <v>6120</v>
      </c>
      <c r="CO35" s="402">
        <v>112500</v>
      </c>
      <c r="CP35" s="1780">
        <v>0</v>
      </c>
      <c r="CS35" s="333"/>
      <c r="CT35" s="334">
        <f t="shared" si="42"/>
        <v>0</v>
      </c>
      <c r="CU35" s="298">
        <f t="shared" si="47"/>
        <v>0</v>
      </c>
      <c r="CV35" s="272"/>
      <c r="CW35" s="234">
        <f t="shared" si="44"/>
        <v>0</v>
      </c>
      <c r="CX35" s="402">
        <v>4877</v>
      </c>
      <c r="CY35" s="297">
        <v>0</v>
      </c>
    </row>
    <row r="36" spans="1:103" ht="35" customHeight="1" thickBot="1">
      <c r="A36" s="100">
        <f>_xlfn.XLOOKUP(O36,Cement!Q$7:Q$35,Cement!A$7:A$35,"")</f>
        <v>-29.487824380399573</v>
      </c>
      <c r="B36" s="100">
        <f>_xlfn.XLOOKUP(O36,Cement!Q$7:Q$35,Cement!B$7:B$35,"")</f>
        <v>-29.487824380399573</v>
      </c>
      <c r="C36" s="1585">
        <f ca="1">_xlfn.XLOOKUP(O36,Cement!Q$7:Q$35,Cement!$C$7:$C$35,"")</f>
        <v>0.23819896272824512</v>
      </c>
      <c r="D36" s="2111">
        <f>_xlfn.XLOOKUP(O36,Cement!$Q$7:$Q$35,Cement!$D$7:$D$35,"")</f>
        <v>-3.0234762822811794</v>
      </c>
      <c r="E36" s="1236">
        <f>_xlfn.XLOOKUP($O36,Cement!$Q$7:$Q$35,Cement!$E$7:$E$35,"")</f>
        <v>-0.50000000000000044</v>
      </c>
      <c r="F36" s="1235">
        <f>_xlfn.XLOOKUP($O36,Cement!$Q$7:$Q$35,Cement!$F$7:$F$35,"")</f>
        <v>-2.8000000000000025</v>
      </c>
      <c r="G36" s="2125">
        <f>_xlfn.XLOOKUP($O36,Cement!$Q$7:$Q$35,Cement!$G$7:$G$35,"")</f>
        <v>-4.5828998996258781</v>
      </c>
      <c r="H36" s="2314">
        <f>_xlfn.XLOOKUP($O36,Cement!Q$7:Q$35,Cement!H$7:H$35,"")</f>
        <v>-9.6085409252669035E-2</v>
      </c>
      <c r="I36" s="2314">
        <f>_xlfn.XLOOKUP(O36,Cement!Q$7:Q$35,Cement!J$7:J$35,"")</f>
        <v>0.5178571428571429</v>
      </c>
      <c r="J36" s="2112">
        <f>_xlfn.XLOOKUP(O36,'Sales Rec'!$E$4:$E$91,'Sales Rec'!$CV$4:$CV$91,"")</f>
        <v>28</v>
      </c>
      <c r="K36" s="2216">
        <f>_xlfn.XLOOKUP(O36,Cement!Q$7:Q$35,Cement!$L$7:$L$35,"")</f>
        <v>28</v>
      </c>
      <c r="L36" s="2113" t="str">
        <f>_xlfn.XLOOKUP(O36,'Sales Rec'!$E$4:$E$32,'Sales Rec'!$DS$4:$DS$32,"")</f>
        <v>SS</v>
      </c>
      <c r="M36" s="2113" t="str">
        <f>_xlfn.XLOOKUP(O36,'Sales Rec'!$E$4:$E$32,'Sales Rec'!$DZ$4:$DZ$32,"")</f>
        <v>SS</v>
      </c>
      <c r="N36" s="60" t="s">
        <v>40</v>
      </c>
      <c r="O36" s="124" t="s">
        <v>41</v>
      </c>
      <c r="P36" s="1570">
        <v>12</v>
      </c>
      <c r="Q36" s="264">
        <f>VLOOKUP(O36,Cement!$Q$7:$CC$35,4,FALSE)</f>
        <v>73770</v>
      </c>
      <c r="R36" s="292">
        <f>_xlfn.XLOOKUP(O36,Cement!$Q$7:$Q$35,Cement!$U$7:$U$35,"")</f>
        <v>2.99</v>
      </c>
      <c r="S36" s="292">
        <f>_xlfn.XLOOKUP(O36,'دیده بان بازار'!$A$8:$A$3179,'دیده بان بازار'!$L$8:$L$3179,"")</f>
        <v>2140</v>
      </c>
      <c r="T36" s="304">
        <f>VLOOKUP(O36,Cement!$Q$7:$CC$35,6,FALSE)</f>
        <v>73770</v>
      </c>
      <c r="U36" s="361">
        <f>_xlfn.XLOOKUP(O36,Cement!$Q$7:$Q$35,Cement!$W$7:$W$35,"")</f>
        <v>2.99</v>
      </c>
      <c r="V36" s="361">
        <f>_xlfn.XLOOKUP(O36,'دیده بان بازار'!$A$8:$A$3179,'دیده بان بازار'!$I$8:$I$3179,"")</f>
        <v>2140</v>
      </c>
      <c r="W36" s="66">
        <f>_xlfn.XLOOKUP(O36,Cement!$Q$7:$Q$35,Cement!$S$7:$S$35,"")</f>
        <v>10327.799999999999</v>
      </c>
      <c r="X36" s="1603">
        <f>_xlfn.XLOOKUP(O36,'Sales Rec'!$E$4:$E$93,'Sales Rec'!$DW$4:$DW$93,"")</f>
        <v>0.1352723915050783</v>
      </c>
      <c r="Y36" s="850">
        <f>_xlfn.XLOOKUP(N36,Cement!$P$7:$P$35,Cement!$Z$7:$Z$35,"")</f>
        <v>-4.8129032258064586E-2</v>
      </c>
      <c r="Z36" s="1453">
        <f t="shared" ca="1" si="16"/>
        <v>-0.32086021505376389</v>
      </c>
      <c r="AA36" s="824">
        <f ca="1">_xlfn.XLOOKUP(O36,Cement!$Q$7:$Q$35,Cement!$AB$7:$AB$35,"")</f>
        <v>56.743555751951732</v>
      </c>
      <c r="AB36" s="2010">
        <f>_xlfn.XLOOKUP(N36,Cement!$P$7:$P$35,Cement!$AG$7:$AG$35,"")</f>
        <v>2.0358024691358021</v>
      </c>
      <c r="AC36" s="562">
        <f t="shared" si="17"/>
        <v>0.45314735143854823</v>
      </c>
      <c r="AD36" s="308">
        <f>_xlfn.XLOOKUP(N36,Cement!$P$7:$P$35,Cement!$AM$7:$AM$35,"")</f>
        <v>1400000000</v>
      </c>
      <c r="AE36" s="1933">
        <f ca="1">_xlfn.XLOOKUP(O36,Cement!$Q$7:$Q$35,Cement!$AH$7:$AH$35,"")</f>
        <v>350</v>
      </c>
      <c r="AF36" s="1612">
        <f>_xlfn.XLOOKUP(O36,Cement!$Q$7:$Q$35,Cement!$AI$7:$AI$35,"")</f>
        <v>46224</v>
      </c>
      <c r="AG36" s="2236">
        <f>_xlfn.XLOOKUP(O36,Cement!$Q$7:$Q$35,Cement!$EI$7:$EI$35,"")</f>
        <v>14600</v>
      </c>
      <c r="AH36" s="2237">
        <f>_xlfn.XLOOKUP(O36,Cement!$Q$7:$Q$37,Cement!$AJ$7:$AJ$37,"")</f>
        <v>46331</v>
      </c>
      <c r="AI36" s="1827">
        <f>_xlfn.XLOOKUP($O36,Cement!$Q$7:$Q$35,Cement!$CB$7:$CB$35,"")</f>
        <v>15662</v>
      </c>
      <c r="AJ36" s="1340">
        <f>_xlfn.XLOOKUP($O36,Cement!$Q$7:$Q$35,Cement!$BV$7:$BV$35,"")</f>
        <v>7.7334762822811793</v>
      </c>
      <c r="AK36" s="1206">
        <f>_xlfn.XLOOKUP($O36,Cement!$Q$7:$Q$35,Cement!$CC$7:$CC$35,"")</f>
        <v>4.71</v>
      </c>
      <c r="AL36" s="683" t="s">
        <v>603</v>
      </c>
      <c r="AM36" s="684">
        <v>74380</v>
      </c>
      <c r="AN36" s="2238"/>
      <c r="AO36" s="2239"/>
      <c r="AP36" s="329"/>
      <c r="AQ36" s="334">
        <f t="shared" si="19"/>
        <v>0</v>
      </c>
      <c r="AR36" s="330">
        <f t="shared" si="20"/>
        <v>0</v>
      </c>
      <c r="AS36" s="272"/>
      <c r="AT36" s="234">
        <f t="shared" si="21"/>
        <v>0</v>
      </c>
      <c r="AU36" s="402">
        <v>302358</v>
      </c>
      <c r="AV36" s="1137">
        <v>0</v>
      </c>
      <c r="AW36" s="342"/>
      <c r="AX36" s="334">
        <f t="shared" si="22"/>
        <v>0</v>
      </c>
      <c r="AY36" s="343">
        <f t="shared" si="23"/>
        <v>0</v>
      </c>
      <c r="AZ36" s="272">
        <v>50000</v>
      </c>
      <c r="BA36" s="234">
        <f t="shared" si="24"/>
        <v>73000</v>
      </c>
      <c r="BB36" s="402">
        <v>1100289</v>
      </c>
      <c r="BC36" s="1151">
        <v>0</v>
      </c>
      <c r="BD36" s="333"/>
      <c r="BE36" s="334">
        <f t="shared" si="25"/>
        <v>0</v>
      </c>
      <c r="BF36" s="298">
        <f t="shared" si="46"/>
        <v>0</v>
      </c>
      <c r="BG36" s="272"/>
      <c r="BH36" s="234">
        <f t="shared" si="27"/>
        <v>0</v>
      </c>
      <c r="BI36" s="402">
        <v>5913</v>
      </c>
      <c r="BJ36" s="297">
        <v>0</v>
      </c>
      <c r="BK36" s="720">
        <f t="shared" si="28"/>
        <v>0</v>
      </c>
      <c r="BL36" s="721">
        <f t="shared" si="29"/>
        <v>0</v>
      </c>
      <c r="BM36" s="722">
        <f t="shared" si="30"/>
        <v>0</v>
      </c>
      <c r="BN36" s="623"/>
      <c r="BO36" s="610"/>
      <c r="BP36" s="334">
        <f t="shared" si="31"/>
        <v>0</v>
      </c>
      <c r="BQ36" s="612">
        <f t="shared" si="32"/>
        <v>0</v>
      </c>
      <c r="BR36" s="272"/>
      <c r="BS36" s="234">
        <f t="shared" si="33"/>
        <v>0</v>
      </c>
      <c r="BT36" s="402">
        <v>7683</v>
      </c>
      <c r="BU36" s="297">
        <v>0</v>
      </c>
      <c r="BV36" s="628"/>
      <c r="BW36" s="334">
        <f t="shared" si="34"/>
        <v>0</v>
      </c>
      <c r="BX36" s="630">
        <f t="shared" si="35"/>
        <v>0</v>
      </c>
      <c r="BY36" s="272"/>
      <c r="BZ36" s="234">
        <f t="shared" si="50"/>
        <v>0</v>
      </c>
      <c r="CA36" s="402">
        <v>1824</v>
      </c>
      <c r="CB36" s="297">
        <v>0</v>
      </c>
      <c r="CC36" s="1764"/>
      <c r="CD36" s="334">
        <f t="shared" si="37"/>
        <v>0</v>
      </c>
      <c r="CE36" s="1767">
        <f t="shared" si="38"/>
        <v>0</v>
      </c>
      <c r="CF36" s="272">
        <v>120000</v>
      </c>
      <c r="CG36" s="234">
        <f t="shared" si="51"/>
        <v>175200</v>
      </c>
      <c r="CH36" s="402">
        <v>132240</v>
      </c>
      <c r="CI36" s="1780">
        <v>0</v>
      </c>
      <c r="CJ36" s="2074"/>
      <c r="CK36" s="334">
        <f t="shared" si="40"/>
        <v>0</v>
      </c>
      <c r="CL36" s="2070">
        <f t="shared" si="41"/>
        <v>0</v>
      </c>
      <c r="CM36" s="272"/>
      <c r="CN36" s="234">
        <f t="shared" si="48"/>
        <v>0</v>
      </c>
      <c r="CO36" s="402"/>
      <c r="CP36" s="1780">
        <v>0</v>
      </c>
      <c r="CS36" s="333"/>
      <c r="CT36" s="334">
        <f t="shared" si="42"/>
        <v>0</v>
      </c>
      <c r="CU36" s="298">
        <f t="shared" si="47"/>
        <v>0</v>
      </c>
      <c r="CV36" s="272"/>
      <c r="CW36" s="234">
        <f t="shared" si="44"/>
        <v>0</v>
      </c>
      <c r="CX36" s="402">
        <v>5913</v>
      </c>
      <c r="CY36" s="297">
        <v>0</v>
      </c>
    </row>
    <row r="37" spans="1:103" ht="6" customHeight="1" thickBot="1">
      <c r="A37" s="728"/>
      <c r="B37" s="728"/>
      <c r="C37" s="730"/>
      <c r="D37" s="729"/>
      <c r="E37" s="730"/>
      <c r="F37" s="730"/>
      <c r="G37" s="730"/>
      <c r="H37" s="730"/>
      <c r="I37" s="730"/>
      <c r="J37" s="730"/>
      <c r="K37" s="730"/>
      <c r="L37" s="730"/>
      <c r="M37" s="730"/>
      <c r="N37" s="757"/>
      <c r="O37" s="731"/>
      <c r="P37" s="732"/>
      <c r="Q37" s="734"/>
      <c r="R37" s="734"/>
      <c r="S37" s="735"/>
      <c r="T37" s="734"/>
      <c r="U37" s="734"/>
      <c r="V37" s="735"/>
      <c r="W37" s="733"/>
      <c r="X37" s="733"/>
      <c r="Y37" s="736"/>
      <c r="Z37" s="736"/>
      <c r="AA37" s="737"/>
      <c r="AB37" s="736"/>
      <c r="AC37" s="738"/>
      <c r="AD37" s="739"/>
      <c r="AE37" s="795"/>
      <c r="AF37" s="1127"/>
      <c r="AG37" s="740"/>
      <c r="AH37" s="1133"/>
      <c r="AI37" s="1133"/>
      <c r="AJ37" s="1133"/>
      <c r="AK37" s="741"/>
      <c r="AL37" s="742"/>
      <c r="AM37" s="743"/>
      <c r="AN37" s="744"/>
      <c r="AO37" s="744"/>
      <c r="AP37" s="758"/>
      <c r="AQ37" s="745"/>
      <c r="AR37" s="746"/>
      <c r="AS37" s="747"/>
      <c r="AT37" s="740"/>
      <c r="AU37" s="748"/>
      <c r="AV37" s="749"/>
      <c r="AW37" s="756"/>
      <c r="AX37" s="745"/>
      <c r="AY37" s="746"/>
      <c r="AZ37" s="750"/>
      <c r="BA37" s="740"/>
      <c r="BB37" s="740"/>
      <c r="BC37" s="749"/>
      <c r="BD37" s="756"/>
      <c r="BE37" s="751"/>
      <c r="BF37" s="752"/>
      <c r="BG37" s="750"/>
      <c r="BH37" s="740"/>
      <c r="BI37" s="753"/>
      <c r="BJ37" s="754"/>
      <c r="BK37" s="745"/>
      <c r="BL37" s="759"/>
      <c r="BM37" s="760"/>
      <c r="BN37" s="749"/>
      <c r="BO37" s="761"/>
      <c r="BP37" s="755"/>
      <c r="BQ37" s="752"/>
      <c r="BR37" s="750"/>
      <c r="BS37" s="740"/>
      <c r="BT37" s="753"/>
      <c r="BU37" s="754"/>
      <c r="BV37" s="761"/>
      <c r="BW37" s="755"/>
      <c r="BX37" s="752"/>
      <c r="BY37" s="750"/>
      <c r="BZ37" s="740"/>
      <c r="CA37" s="753"/>
      <c r="CB37" s="754"/>
      <c r="CC37" s="754"/>
      <c r="CD37" s="754"/>
      <c r="CE37" s="754"/>
      <c r="CF37" s="750"/>
      <c r="CG37" s="740"/>
      <c r="CH37" s="753"/>
      <c r="CI37" s="754"/>
      <c r="CJ37" s="754"/>
      <c r="CK37" s="754"/>
      <c r="CL37" s="754"/>
      <c r="CM37" s="750"/>
      <c r="CN37" s="740"/>
      <c r="CO37" s="753"/>
      <c r="CP37" s="754"/>
      <c r="CS37" s="756"/>
      <c r="CT37" s="751"/>
      <c r="CU37" s="752"/>
      <c r="CV37" s="750"/>
      <c r="CW37" s="740"/>
      <c r="CX37" s="753"/>
      <c r="CY37" s="754"/>
    </row>
    <row r="38" spans="1:103" ht="47" customHeight="1" thickBot="1">
      <c r="A38" s="1456"/>
      <c r="B38" s="1457"/>
      <c r="C38" s="1457"/>
      <c r="D38" s="1457"/>
      <c r="E38" s="1457"/>
      <c r="F38" s="1457"/>
      <c r="G38" s="1457"/>
      <c r="H38" s="1457"/>
      <c r="I38" s="1457"/>
      <c r="J38" s="1457"/>
      <c r="K38" s="1458"/>
      <c r="L38" s="1944"/>
      <c r="M38" s="1944"/>
      <c r="N38" s="1951" t="s">
        <v>671</v>
      </c>
      <c r="O38" s="254"/>
      <c r="P38" s="254"/>
      <c r="Q38" s="255"/>
      <c r="R38" s="255"/>
      <c r="S38" s="255"/>
      <c r="T38" s="255"/>
      <c r="U38" s="255"/>
      <c r="V38" s="255"/>
      <c r="W38" s="255"/>
      <c r="X38" s="255"/>
      <c r="Y38" s="256"/>
      <c r="Z38" s="256"/>
      <c r="AA38" s="256"/>
      <c r="AB38" s="256"/>
      <c r="AC38" s="256"/>
      <c r="AD38" s="255"/>
      <c r="AE38" s="255"/>
      <c r="AL38" s="188"/>
      <c r="AM38" s="393"/>
      <c r="AP38" s="262">
        <f>(SUMPRODUCT(AP8:AP36,$T$8:$T$36)/10000)*0.9912</f>
        <v>27348000.627947997</v>
      </c>
      <c r="AQ38" s="1524">
        <f>AP38+'MOPFRA Portfolio'!AT81</f>
        <v>46012941.729454562</v>
      </c>
      <c r="AR38" s="331">
        <f>SUM((AR8:AR36))</f>
        <v>0.59435453592052223</v>
      </c>
      <c r="AS38" s="300"/>
      <c r="AT38" s="323">
        <f>SUM(AT8:AT36)</f>
        <v>1839140</v>
      </c>
      <c r="AU38" s="404">
        <f>SUM(AU8:AU36)</f>
        <v>5893596</v>
      </c>
      <c r="AV38" s="580"/>
      <c r="AW38" s="581">
        <f>SUM(AX8:AX36)</f>
        <v>18093544.215999998</v>
      </c>
      <c r="AX38" s="1524">
        <f>AW38+'MOPFRA Portfolio'!BA81</f>
        <v>22335192.341041598</v>
      </c>
      <c r="AY38" s="344">
        <f>SUM(AY8:AY36)</f>
        <v>0.81009126492958627</v>
      </c>
      <c r="AZ38" s="300"/>
      <c r="BA38" s="323">
        <f>SUM(BA8:BA36)</f>
        <v>1124810</v>
      </c>
      <c r="BB38" s="404">
        <f>SUM(BB8:BB36)</f>
        <v>6731153</v>
      </c>
      <c r="BC38" s="580"/>
      <c r="BD38" s="582">
        <f>SUM(BE8:BE36)</f>
        <v>637548.76080000005</v>
      </c>
      <c r="BE38" s="1524">
        <f>BD38+'MOPFRA Portfolio'!BH81</f>
        <v>1544995.0679451199</v>
      </c>
      <c r="BF38" s="296">
        <f>SUM(BF8:BF36)</f>
        <v>0.41265423691478509</v>
      </c>
      <c r="BG38" s="300"/>
      <c r="BH38" s="323">
        <f>SUM(BH8:BH36)</f>
        <v>40001</v>
      </c>
      <c r="BI38" s="404">
        <f>SUM(BI8:BI36)</f>
        <v>146331</v>
      </c>
      <c r="BJ38" s="301"/>
      <c r="BK38" s="720">
        <f>SUM(BK8:BK36)</f>
        <v>46488188.664999999</v>
      </c>
      <c r="BL38" s="721">
        <f>BD38+AW38+AP38</f>
        <v>46079093.604747996</v>
      </c>
      <c r="BM38" s="723">
        <f>BK38/$BK$38</f>
        <v>1</v>
      </c>
      <c r="BN38" s="624"/>
      <c r="BO38" s="619">
        <f>SUM(BP8:BP36)</f>
        <v>872323.40159999998</v>
      </c>
      <c r="BP38" s="500">
        <f>BO38+'MOPFRA Portfolio'!BT81</f>
        <v>1645717.7100050398</v>
      </c>
      <c r="BQ38" s="618">
        <f>SUM(BQ8:BQ36)</f>
        <v>0.53005651959431632</v>
      </c>
      <c r="BR38" s="300"/>
      <c r="BS38" s="323">
        <f>SUM(BS8:BS36)</f>
        <v>97980</v>
      </c>
      <c r="BT38" s="404"/>
      <c r="BU38" s="301"/>
      <c r="BV38" s="629">
        <f>SUM(BW8:BW36)</f>
        <v>213446.99040000001</v>
      </c>
      <c r="BW38" s="500">
        <f>BV38+'MOPFRA Portfolio'!CA81</f>
        <v>375831.2165328</v>
      </c>
      <c r="BX38" s="631">
        <f>SUM(BX8:BX36)</f>
        <v>0.82749994339812816</v>
      </c>
      <c r="BY38" s="300"/>
      <c r="BZ38" s="323">
        <f>SUM(BZ8:BZ36)</f>
        <v>18883</v>
      </c>
      <c r="CA38" s="323">
        <f>SUM(CA8:CA36)</f>
        <v>36097</v>
      </c>
      <c r="CB38" s="301"/>
      <c r="CC38" s="1766">
        <f t="shared" ref="CC38" si="52">SUM(CD8:CD36)</f>
        <v>8476692.8399999999</v>
      </c>
      <c r="CD38" s="500">
        <f>CC38+'MOPFRA Portfolio'!CH81</f>
        <v>12146359.2625368</v>
      </c>
      <c r="CE38" s="1768">
        <f t="shared" ref="CE38" si="53">SUM(CE8:CE36)</f>
        <v>0.69787931155179916</v>
      </c>
      <c r="CF38" s="300"/>
      <c r="CG38" s="323">
        <f t="shared" ref="CG38:CH38" si="54">SUM(CG8:CG36)</f>
        <v>391404</v>
      </c>
      <c r="CH38" s="323">
        <f t="shared" si="54"/>
        <v>657290</v>
      </c>
      <c r="CI38" s="301"/>
      <c r="CJ38" s="2075">
        <f t="shared" ref="CJ38" si="55">SUM(CK8:CK36)</f>
        <v>44476333.439999998</v>
      </c>
      <c r="CK38" s="500">
        <f>CJ38+'MOPFRA Portfolio'!CO81</f>
        <v>75891118.967999995</v>
      </c>
      <c r="CL38" s="2071">
        <f t="shared" ref="CL38" si="56">SUM(CL8:CL36)</f>
        <v>0.58605452185721163</v>
      </c>
      <c r="CM38" s="300"/>
      <c r="CN38" s="323">
        <f t="shared" ref="CN38:CO38" si="57">SUM(CN8:CN36)</f>
        <v>3287880</v>
      </c>
      <c r="CO38" s="323">
        <f t="shared" si="57"/>
        <v>5911899</v>
      </c>
      <c r="CP38" s="301"/>
      <c r="CS38" s="582">
        <f>SUM(CT8:CT36)</f>
        <v>667267.71216000011</v>
      </c>
      <c r="CT38" s="1524">
        <f>CS38+'MOPFRA Portfolio'!DK81</f>
        <v>667267.71216000011</v>
      </c>
      <c r="CU38" s="296">
        <f>SUM(CU8:CU36)</f>
        <v>0.43188986554337799</v>
      </c>
      <c r="CV38" s="300"/>
      <c r="CW38" s="323">
        <f>SUM(CW8:CW36)</f>
        <v>41301</v>
      </c>
      <c r="CX38" s="404">
        <f>SUM(CX8:CX36)</f>
        <v>145031</v>
      </c>
      <c r="CY38" s="301"/>
    </row>
    <row r="39" spans="1:103" ht="46" customHeight="1" thickBot="1">
      <c r="A39" s="259"/>
      <c r="B39" s="259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1952" t="s">
        <v>672</v>
      </c>
      <c r="O39" s="259"/>
      <c r="P39" s="259"/>
      <c r="Q39" s="260"/>
      <c r="R39" s="260"/>
      <c r="S39" s="260"/>
      <c r="T39" s="259"/>
      <c r="U39" s="261"/>
      <c r="V39" s="261"/>
      <c r="W39" s="260"/>
      <c r="X39" s="260"/>
      <c r="Y39" s="261"/>
      <c r="Z39" s="261"/>
      <c r="AA39" s="261"/>
      <c r="AB39" s="261"/>
      <c r="AC39" s="261"/>
      <c r="AD39" s="260"/>
      <c r="AE39" s="260"/>
      <c r="AL39" s="188"/>
      <c r="AM39" s="393"/>
      <c r="AN39" s="570"/>
      <c r="AO39" s="570"/>
      <c r="AP39" s="257">
        <f>(SUMPRODUCT(AP8:AP36,$Q$8:$Q$36)/10000)*0.9912</f>
        <v>27336651.387947999</v>
      </c>
      <c r="AQ39" s="595">
        <f>AP39+'MOPFRA Portfolio'!AT82</f>
        <v>45807244.646388963</v>
      </c>
      <c r="AR39" s="498" t="s">
        <v>673</v>
      </c>
      <c r="AS39" s="507" t="s">
        <v>674</v>
      </c>
      <c r="AT39" s="533">
        <f>AQ39/AR48</f>
        <v>0.99215979834763979</v>
      </c>
      <c r="AU39" s="1025">
        <f>AU38+'MOPFRA Portfolio'!AY81</f>
        <v>7585266</v>
      </c>
      <c r="AV39"/>
      <c r="AW39" s="257">
        <f>(SUMPRODUCT(AW8:AW36,$Q$8:$Q$36)/10000)*0.9912</f>
        <v>18078625.655999999</v>
      </c>
      <c r="AX39" s="595">
        <f>AW39+'MOPFRA Portfolio'!BA82</f>
        <v>22232489.639841601</v>
      </c>
      <c r="AY39" s="498" t="s">
        <v>675</v>
      </c>
      <c r="BA39" s="533">
        <f>AX39/AY48</f>
        <v>0.99214733925317289</v>
      </c>
      <c r="BB39" s="1025">
        <f>BA38+'MOPFRA Portfolio'!BE81</f>
        <v>1197161.5604999999</v>
      </c>
      <c r="BD39" s="257">
        <f>(SUMPRODUCT(BD8:BD36,$Q$8:$Q$36)/10000)*0.9912</f>
        <v>637417.92239999992</v>
      </c>
      <c r="BE39" s="595">
        <f>BD39+'MOPFRA Portfolio'!BH82</f>
        <v>1545057.71178512</v>
      </c>
      <c r="BF39" s="498" t="s">
        <v>675</v>
      </c>
      <c r="BG39" s="507" t="s">
        <v>674</v>
      </c>
      <c r="BH39" s="533">
        <f>BE39/BF48</f>
        <v>0.9794246106346095</v>
      </c>
      <c r="BK39" s="257">
        <f>BD39+AW39+AP39</f>
        <v>46052694.966348</v>
      </c>
      <c r="BL39" s="500">
        <f>BE39+AX39+AQ39</f>
        <v>69584791.998015687</v>
      </c>
      <c r="BM39" s="723"/>
      <c r="BO39" s="257">
        <f>(SUMPRODUCT(BO8:BO36,$Q$8:$Q$36)/10000)*0.9912</f>
        <v>872139.03839999996</v>
      </c>
      <c r="BP39" s="500">
        <f>BO39+'MOPFRA Portfolio'!BT82</f>
        <v>1627906.5239858399</v>
      </c>
      <c r="BQ39" s="498" t="s">
        <v>673</v>
      </c>
      <c r="BR39" s="507" t="s">
        <v>674</v>
      </c>
      <c r="BS39" s="533">
        <f>BP39/BQ48</f>
        <v>0.93126972112565021</v>
      </c>
      <c r="BT39" s="1025">
        <f>BT2+'MOPFRA Portfolio'!BY81</f>
        <v>171891</v>
      </c>
      <c r="BV39" s="257">
        <f>(SUMPRODUCT(BV8:BV36,$Q$8:$Q$36)/10000)*0.9912</f>
        <v>213378.59759999998</v>
      </c>
      <c r="BW39" s="500">
        <f>BV39+'MOPFRA Portfolio'!CA82</f>
        <v>373983.47303519998</v>
      </c>
      <c r="BX39" s="498" t="s">
        <v>675</v>
      </c>
      <c r="BY39" s="507"/>
      <c r="BZ39" s="533">
        <f>BW39/BX48</f>
        <v>0.9383497070980561</v>
      </c>
      <c r="CA39" s="1025">
        <f>CA38+'MOPFRA Portfolio'!CF81</f>
        <v>53240</v>
      </c>
      <c r="CB39" s="188"/>
      <c r="CC39" s="257">
        <f t="shared" ref="CC39" si="58">(SUMPRODUCT(CC8:CC36,$Q$8:$Q$36)/10000)*0.9912</f>
        <v>8475761.1119999997</v>
      </c>
      <c r="CD39" s="500">
        <f>CC39+'MOPFRA Portfolio'!CH82</f>
        <v>12164220.868917599</v>
      </c>
      <c r="CE39" s="498" t="s">
        <v>675</v>
      </c>
      <c r="CF39" s="507"/>
      <c r="CG39" s="533">
        <f>CD39/CE48</f>
        <v>0.79639870994862616</v>
      </c>
      <c r="CH39" s="1025">
        <f>CH38+'MOPFRA Portfolio'!CM81</f>
        <v>668112</v>
      </c>
      <c r="CI39" s="188"/>
      <c r="CJ39" s="2076">
        <f t="shared" ref="CJ39" si="59">(SUMPRODUCT(CJ8:CJ36,$Q$8:$Q$36)/10000)*0.9912</f>
        <v>44474083.416000001</v>
      </c>
      <c r="CK39" s="500">
        <f>CJ39+'MOPFRA Portfolio'!CO82</f>
        <v>75880123.586400002</v>
      </c>
      <c r="CL39" s="498" t="s">
        <v>675</v>
      </c>
      <c r="CM39" s="507"/>
      <c r="CN39" s="533">
        <f t="shared" ref="CN39" si="60">CK39/CL48</f>
        <v>0.93817081142749836</v>
      </c>
      <c r="CO39" s="1025">
        <f>CO38+'MOPFRA Portfolio'!CT81</f>
        <v>5911899</v>
      </c>
      <c r="CP39" s="188"/>
      <c r="CS39" s="257">
        <f>(SUMPRODUCT(CS8:CS36,$Q$8:$Q$36)/10000)*0.9912</f>
        <v>667136.87375999999</v>
      </c>
      <c r="CT39" s="595">
        <f>CS39+'MOPFRA Portfolio'!CX82</f>
        <v>1495095.4307083199</v>
      </c>
      <c r="CU39" s="498" t="s">
        <v>675</v>
      </c>
      <c r="CV39" s="507" t="s">
        <v>674</v>
      </c>
      <c r="CW39" s="533">
        <f>CT39/CU48</f>
        <v>0.8609085202688499</v>
      </c>
    </row>
    <row r="40" spans="1:103" ht="51" customHeight="1">
      <c r="A40" s="1434"/>
      <c r="B40" s="1434"/>
      <c r="C40" s="1434"/>
      <c r="D40" s="1434"/>
      <c r="E40" s="1434"/>
      <c r="F40" s="1434"/>
      <c r="G40" s="1434"/>
      <c r="H40" s="1434"/>
      <c r="I40" s="1434"/>
      <c r="J40" s="1434"/>
      <c r="K40" s="1434"/>
      <c r="L40" s="1434"/>
      <c r="M40" s="1434"/>
      <c r="N40" s="1953" t="s">
        <v>676</v>
      </c>
      <c r="O40" s="1434"/>
      <c r="P40" s="1434"/>
      <c r="Q40" s="1435"/>
      <c r="R40" s="1435"/>
      <c r="S40" s="1435"/>
      <c r="T40" s="1434"/>
      <c r="U40" s="1434"/>
      <c r="V40" s="1434"/>
      <c r="W40" s="1435"/>
      <c r="X40" s="1435"/>
      <c r="Y40" s="1434"/>
      <c r="Z40" s="1434"/>
      <c r="AA40" s="1434"/>
      <c r="AB40" s="1434"/>
      <c r="AC40" s="1434"/>
      <c r="AD40" s="1434"/>
      <c r="AE40" s="1434"/>
      <c r="AF40" s="1128"/>
      <c r="AG40"/>
      <c r="AH40" s="499"/>
      <c r="AI40" s="499"/>
      <c r="AJ40" s="499"/>
      <c r="AK40"/>
      <c r="AL40" s="1096"/>
      <c r="AM40" s="1096"/>
      <c r="AP40" s="693">
        <f>(SUMPRODUCT(AP8:AP36,$V$8:$V$36))/10000</f>
        <v>776126.13</v>
      </c>
      <c r="AQ40" s="500"/>
      <c r="AS40" s="506"/>
      <c r="AT40" s="1023" t="s">
        <v>677</v>
      </c>
      <c r="AU40" s="1026" t="s">
        <v>678</v>
      </c>
      <c r="AV40"/>
      <c r="AW40" s="693">
        <f>(SUMPRODUCT(AW8:AW36,$V$8:$V$36))/10000</f>
        <v>518040</v>
      </c>
      <c r="AX40" s="500"/>
      <c r="AY40" s="499"/>
      <c r="AZ40" s="1023"/>
      <c r="BA40" s="1023" t="s">
        <v>677</v>
      </c>
      <c r="BB40" s="1026" t="s">
        <v>678</v>
      </c>
      <c r="BD40" s="693">
        <f>(SUMPRODUCT(BD8:BD36,$V$8:$V$36))/10000</f>
        <v>17811</v>
      </c>
      <c r="BE40" s="500"/>
      <c r="BF40" s="499"/>
      <c r="BG40" s="506"/>
      <c r="BH40" s="686" t="s">
        <v>677</v>
      </c>
      <c r="BI40" s="506"/>
      <c r="BK40" s="1646">
        <f>BD40+AW40+AP40</f>
        <v>1311977.1299999999</v>
      </c>
      <c r="BO40" s="693">
        <f>(SUMPRODUCT(BO8:BO36,$V$8:$V$36))/10000</f>
        <v>25161</v>
      </c>
      <c r="BP40" s="500"/>
      <c r="BQ40" s="500"/>
      <c r="BR40" s="506"/>
      <c r="BS40" s="686" t="s">
        <v>677</v>
      </c>
      <c r="BT40" s="1016" t="s">
        <v>678</v>
      </c>
      <c r="BV40" s="693">
        <f>(SUMPRODUCT(BV8:BV36,$V$8:$V$36))/10000</f>
        <v>6137</v>
      </c>
      <c r="BW40" s="500"/>
      <c r="BX40" s="499"/>
      <c r="BY40" s="1009"/>
      <c r="BZ40" s="1023" t="s">
        <v>677</v>
      </c>
      <c r="CA40" s="1024" t="s">
        <v>678</v>
      </c>
      <c r="CB40" s="188"/>
      <c r="CC40" s="693">
        <f t="shared" ref="CC40" si="61">(SUMPRODUCT(CC8:CC36,$V$8:$V$36))/10000</f>
        <v>241635</v>
      </c>
      <c r="CD40" s="500"/>
      <c r="CE40" s="499"/>
      <c r="CF40" s="1009"/>
      <c r="CG40" s="1023" t="s">
        <v>677</v>
      </c>
      <c r="CH40" s="1024" t="s">
        <v>678</v>
      </c>
      <c r="CI40" s="188"/>
      <c r="CJ40" s="693">
        <f t="shared" ref="CJ40" si="62">(SUMPRODUCT(CJ8:CJ36,$V$8:$V$36))/10000</f>
        <v>1262060</v>
      </c>
      <c r="CK40" s="500"/>
      <c r="CL40" s="499"/>
      <c r="CM40" s="1009"/>
      <c r="CN40" s="1023" t="s">
        <v>677</v>
      </c>
      <c r="CO40" s="1024" t="s">
        <v>678</v>
      </c>
      <c r="CP40" s="188"/>
      <c r="CS40" s="693">
        <f>(SUMPRODUCT(CS8:CS36,$V$8:$V$36))/10000</f>
        <v>18677.8</v>
      </c>
      <c r="CT40" s="500"/>
      <c r="CU40" s="499"/>
      <c r="CV40" s="506"/>
      <c r="CW40" s="686" t="s">
        <v>677</v>
      </c>
      <c r="CX40" s="506"/>
    </row>
    <row r="41" spans="1:103" ht="49" customHeight="1">
      <c r="A41" s="363"/>
      <c r="B41" s="363"/>
      <c r="C41" s="363"/>
      <c r="D41" s="363"/>
      <c r="E41" s="363"/>
      <c r="F41" s="363"/>
      <c r="G41" s="363"/>
      <c r="H41" s="363"/>
      <c r="I41" s="363"/>
      <c r="J41" s="363"/>
      <c r="K41" s="363"/>
      <c r="L41" s="363"/>
      <c r="M41" s="363"/>
      <c r="N41" s="1953" t="s">
        <v>679</v>
      </c>
      <c r="O41" s="363"/>
      <c r="P41" s="363"/>
      <c r="Q41" s="364"/>
      <c r="R41" s="364"/>
      <c r="S41" s="364"/>
      <c r="T41" s="363"/>
      <c r="U41" s="365"/>
      <c r="V41" s="365"/>
      <c r="W41" s="364"/>
      <c r="X41" s="364"/>
      <c r="Y41" s="365"/>
      <c r="Z41" s="365"/>
      <c r="AA41" s="365"/>
      <c r="AB41" s="365"/>
      <c r="AC41" s="365"/>
      <c r="AD41" s="364"/>
      <c r="AE41" s="364"/>
      <c r="AF41" s="1128"/>
      <c r="AG41"/>
      <c r="AH41" s="499"/>
      <c r="AI41" s="499"/>
      <c r="AJ41" s="499"/>
      <c r="AK41"/>
      <c r="AL41" s="1097"/>
      <c r="AM41" s="1097"/>
      <c r="AN41" s="3"/>
      <c r="AO41" s="3"/>
      <c r="AP41" s="1644">
        <f>(SUMPRODUCT(AP8:AP36,$S$8:$S$36))/10000</f>
        <v>764676.13</v>
      </c>
      <c r="AQ41" s="500"/>
      <c r="AS41" s="506"/>
      <c r="AT41" s="1023"/>
      <c r="AU41" s="1026"/>
      <c r="AV41"/>
      <c r="AW41" s="1644">
        <f>(SUMPRODUCT(AW8:AW36,$S$8:$S$36))/10000</f>
        <v>502990</v>
      </c>
      <c r="AX41" s="500"/>
      <c r="AY41" s="499"/>
      <c r="AZ41" s="1023"/>
      <c r="BA41" s="1023"/>
      <c r="BB41" s="1026"/>
      <c r="BD41" s="1644">
        <f>(SUMPRODUCT(BD8:BD36,$S$8:$S$36))/10000</f>
        <v>17679</v>
      </c>
      <c r="BE41" s="500"/>
      <c r="BF41" s="499"/>
      <c r="BG41" s="506"/>
      <c r="BK41" s="1645">
        <f>BD41+AW41+AP41</f>
        <v>1285345.1299999999</v>
      </c>
      <c r="BO41" s="1644">
        <f>(SUMPRODUCT(BO8:BO36,$S$8:$S$36))/10000</f>
        <v>24975</v>
      </c>
      <c r="BP41" s="500"/>
      <c r="BQ41" s="500"/>
      <c r="BR41" s="506"/>
      <c r="BS41" s="686"/>
      <c r="BT41" s="1016"/>
      <c r="BV41" s="1644">
        <f>(SUMPRODUCT(BV8:BV36,$S$8:$S$36))/10000</f>
        <v>6068</v>
      </c>
      <c r="BW41" s="500"/>
      <c r="BX41" s="499"/>
      <c r="BY41" s="1009"/>
      <c r="BZ41" s="1023"/>
      <c r="CA41" s="1024"/>
      <c r="CB41" s="188"/>
      <c r="CC41" s="1644">
        <f t="shared" ref="CC41" si="63">(SUMPRODUCT(CC8:CC36,$S$8:$S$36))/10000</f>
        <v>240695</v>
      </c>
      <c r="CD41" s="500"/>
      <c r="CE41" s="499"/>
      <c r="CF41" s="1009"/>
      <c r="CG41" s="1023"/>
      <c r="CH41" s="1024"/>
      <c r="CI41" s="188"/>
      <c r="CJ41" s="1644">
        <f t="shared" ref="CJ41" si="64">(SUMPRODUCT(CJ8:CJ36,$S$8:$S$36))/10000</f>
        <v>1259790</v>
      </c>
      <c r="CK41" s="500"/>
      <c r="CL41" s="499"/>
      <c r="CM41" s="1009"/>
      <c r="CN41" s="1023"/>
      <c r="CO41" s="1024"/>
      <c r="CP41" s="188"/>
      <c r="CS41" s="1644">
        <f>(SUMPRODUCT(CS8:CS36,$S$8:$S$36))/10000</f>
        <v>18545.8</v>
      </c>
      <c r="CT41" s="500"/>
      <c r="CU41" s="499"/>
      <c r="CV41" s="506"/>
    </row>
    <row r="42" spans="1:103" ht="43" customHeight="1">
      <c r="A42" s="219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1953" t="s">
        <v>680</v>
      </c>
      <c r="O42" s="219"/>
      <c r="P42" s="219"/>
      <c r="Q42" s="220"/>
      <c r="R42" s="220"/>
      <c r="S42" s="220"/>
      <c r="T42" s="219"/>
      <c r="U42" s="219"/>
      <c r="V42" s="219"/>
      <c r="W42" s="220"/>
      <c r="X42" s="220"/>
      <c r="Y42" s="219"/>
      <c r="Z42" s="219"/>
      <c r="AA42" s="219"/>
      <c r="AB42" s="219"/>
      <c r="AC42" s="219"/>
      <c r="AD42" s="219"/>
      <c r="AE42" s="220"/>
      <c r="AF42" s="1128"/>
      <c r="AG42"/>
      <c r="AH42" s="499"/>
      <c r="AI42" s="499"/>
      <c r="AJ42" s="499"/>
      <c r="AK42"/>
      <c r="AL42" s="30"/>
      <c r="AM42" s="31"/>
      <c r="AN42" s="31"/>
      <c r="AO42" s="31"/>
      <c r="AP42" s="1441">
        <f>(AP41/AP39)*100</f>
        <v>2.7972560323797571</v>
      </c>
      <c r="AQ42" s="500"/>
      <c r="AS42" s="506"/>
      <c r="AT42" s="1023"/>
      <c r="AU42" s="1026"/>
      <c r="AV42"/>
      <c r="AW42" s="1441">
        <f>(AW41/AW39)*100</f>
        <v>2.7822358268315925</v>
      </c>
      <c r="AX42" s="500"/>
      <c r="AY42" s="499"/>
      <c r="AZ42" s="1023"/>
      <c r="BA42" s="1023"/>
      <c r="BB42" s="1026"/>
      <c r="BD42" s="1441">
        <f>(BD41/BD39)*100</f>
        <v>2.7735335607500957</v>
      </c>
      <c r="BE42" s="500"/>
      <c r="BF42" s="1029"/>
      <c r="BH42" s="551"/>
      <c r="BK42" s="1442">
        <f>(BK41/BK38)*100</f>
        <v>2.7648853760734062</v>
      </c>
      <c r="BO42" s="1441">
        <f>(BO41/BO39)*100</f>
        <v>2.8636489023376805</v>
      </c>
      <c r="BP42" s="500"/>
      <c r="BQ42" s="500"/>
      <c r="BR42" s="506"/>
      <c r="BS42" s="686"/>
      <c r="BT42" s="1016"/>
      <c r="BV42" s="1441">
        <f>IFERROR((BV41/BV39)*100,0)</f>
        <v>2.8437716192019815</v>
      </c>
      <c r="BW42" s="500"/>
      <c r="BX42" s="499"/>
      <c r="BY42" s="1009"/>
      <c r="BZ42" s="1023"/>
      <c r="CA42" s="1024"/>
      <c r="CB42" s="188"/>
      <c r="CC42" s="1441">
        <f t="shared" ref="CC42" si="65">IFERROR((CC41/CC39)*100,0)</f>
        <v>2.8398039635546537</v>
      </c>
      <c r="CD42" s="500"/>
      <c r="CE42" s="499"/>
      <c r="CF42" s="1009"/>
      <c r="CG42" s="1023"/>
      <c r="CH42" s="1024"/>
      <c r="CI42" s="188"/>
      <c r="CJ42" s="1441">
        <f t="shared" ref="CJ42" si="66">IFERROR((CJ41/CJ39)*100,0)</f>
        <v>2.8326384789456456</v>
      </c>
      <c r="CK42" s="500"/>
      <c r="CL42" s="499"/>
      <c r="CM42" s="1009"/>
      <c r="CN42" s="1023"/>
      <c r="CO42" s="1024"/>
      <c r="CP42" s="188"/>
      <c r="CS42" s="1441">
        <f>(CS41/CS39)*100</f>
        <v>2.7799093003921986</v>
      </c>
      <c r="CT42" s="500"/>
      <c r="CU42" s="1029"/>
      <c r="CW42" s="551"/>
    </row>
    <row r="43" spans="1:103" ht="43" customHeight="1">
      <c r="A43" s="1428"/>
      <c r="B43" s="1428"/>
      <c r="C43" s="1428"/>
      <c r="D43" s="1428"/>
      <c r="E43" s="1428"/>
      <c r="F43" s="1428"/>
      <c r="G43" s="1428"/>
      <c r="H43" s="1428"/>
      <c r="I43" s="1428"/>
      <c r="J43" s="1428"/>
      <c r="K43" s="1428"/>
      <c r="L43" s="1428"/>
      <c r="M43" s="1428"/>
      <c r="N43" s="1951" t="s">
        <v>681</v>
      </c>
      <c r="O43" s="1443"/>
      <c r="P43" s="1443"/>
      <c r="Q43" s="1444"/>
      <c r="R43" s="1444"/>
      <c r="S43" s="1444"/>
      <c r="T43" s="1443"/>
      <c r="U43" s="1443"/>
      <c r="V43" s="219"/>
      <c r="W43" s="1444"/>
      <c r="X43" s="1444"/>
      <c r="Y43" s="219"/>
      <c r="Z43" s="219"/>
      <c r="AA43" s="219"/>
      <c r="AB43" s="219"/>
      <c r="AC43" s="219"/>
      <c r="AD43" s="219"/>
      <c r="AE43" s="220"/>
      <c r="AF43" s="1128"/>
      <c r="AG43"/>
      <c r="AH43" s="499"/>
      <c r="AI43" s="499"/>
      <c r="AJ43" s="499"/>
      <c r="AK43"/>
      <c r="AL43" s="30"/>
      <c r="AM43" s="31"/>
      <c r="AN43" s="31"/>
      <c r="AO43" s="31"/>
      <c r="AP43" s="1642">
        <f>'MOPFRA Portfolio'!AT83</f>
        <v>296880.42219999997</v>
      </c>
      <c r="AQ43" s="500"/>
      <c r="AS43" s="506"/>
      <c r="AT43" s="1023"/>
      <c r="AU43" s="1026"/>
      <c r="AV43"/>
      <c r="AW43" s="1642">
        <f>'MOPFRA Portfolio'!BA83</f>
        <v>56277.66</v>
      </c>
      <c r="AX43" s="500"/>
      <c r="AY43" s="499"/>
      <c r="AZ43" s="1023"/>
      <c r="BA43" s="1023"/>
      <c r="BB43" s="1026"/>
      <c r="BD43" s="1642">
        <f>'MOPFRA Portfolio'!BH83</f>
        <v>12087.7665</v>
      </c>
      <c r="BE43" s="500"/>
      <c r="BF43" s="499"/>
      <c r="BG43" s="508"/>
      <c r="BH43" s="551"/>
      <c r="BK43" s="1647">
        <f>'MOPFRA Portfolio'!BP83</f>
        <v>365245.84869999997</v>
      </c>
      <c r="BO43" s="1642">
        <f>'MOPFRA Portfolio'!BT83</f>
        <v>9671.9359999999997</v>
      </c>
      <c r="BP43" s="500"/>
      <c r="BQ43" s="500"/>
      <c r="BR43" s="506"/>
      <c r="BS43" s="686"/>
      <c r="BT43" s="1016"/>
      <c r="BV43" s="1642">
        <f>'MOPFRA Portfolio'!CA83</f>
        <v>2637.8679999999999</v>
      </c>
      <c r="BW43" s="500"/>
      <c r="BX43" s="499"/>
      <c r="BY43" s="1009"/>
      <c r="BZ43" s="1023"/>
      <c r="CA43" s="1024"/>
      <c r="CB43" s="188"/>
      <c r="CC43" s="1642">
        <f>'MOPFRA Portfolio'!CH83</f>
        <v>35853.606</v>
      </c>
      <c r="CD43" s="500"/>
      <c r="CE43" s="499"/>
      <c r="CF43" s="1009"/>
      <c r="CG43" s="1023"/>
      <c r="CH43" s="1024"/>
      <c r="CI43" s="188"/>
      <c r="CJ43" s="1642">
        <f>'MOPFRA Portfolio'!CO83</f>
        <v>-6336</v>
      </c>
      <c r="CK43" s="500"/>
      <c r="CL43" s="499"/>
      <c r="CM43" s="1009"/>
      <c r="CN43" s="1023"/>
      <c r="CO43" s="1024"/>
      <c r="CP43" s="188"/>
      <c r="CS43" s="1642">
        <f>'MOPFRA Portfolio'!CX83</f>
        <v>12848.806500000001</v>
      </c>
      <c r="CT43" s="500"/>
      <c r="CU43" s="499"/>
      <c r="CV43" s="508"/>
      <c r="CW43" s="551"/>
    </row>
    <row r="44" spans="1:103" ht="53" customHeight="1">
      <c r="A44" s="1445"/>
      <c r="B44" s="1445"/>
      <c r="C44" s="1445"/>
      <c r="D44" s="1445"/>
      <c r="E44" s="1445"/>
      <c r="F44" s="1445"/>
      <c r="G44" s="1445"/>
      <c r="H44" s="1445"/>
      <c r="I44" s="1445"/>
      <c r="J44" s="1445"/>
      <c r="K44" s="1445"/>
      <c r="L44" s="1445"/>
      <c r="M44" s="1445"/>
      <c r="N44" s="1951" t="s">
        <v>682</v>
      </c>
      <c r="O44" s="1448"/>
      <c r="P44" s="1448"/>
      <c r="Q44" s="1449"/>
      <c r="R44" s="1449"/>
      <c r="S44" s="1449"/>
      <c r="T44" s="1448"/>
      <c r="U44" s="1448"/>
      <c r="V44" s="219"/>
      <c r="W44" s="1449"/>
      <c r="X44" s="1449"/>
      <c r="Y44" s="219"/>
      <c r="Z44" s="219"/>
      <c r="AA44" s="219"/>
      <c r="AB44" s="219"/>
      <c r="AC44" s="219"/>
      <c r="AD44" s="219"/>
      <c r="AE44" s="220"/>
      <c r="AF44" s="1128"/>
      <c r="AG44"/>
      <c r="AH44" s="499"/>
      <c r="AI44" s="499"/>
      <c r="AJ44" s="499"/>
      <c r="AK44"/>
      <c r="AL44" s="30"/>
      <c r="AM44" s="31"/>
      <c r="AN44" s="31"/>
      <c r="AO44" s="31"/>
      <c r="AP44" s="1643">
        <f>'MOPFRA Portfolio'!AT84</f>
        <v>308704.13419999997</v>
      </c>
      <c r="AQ44" s="500"/>
      <c r="AR44" s="2009">
        <v>1361976</v>
      </c>
      <c r="AS44" s="506" t="s">
        <v>683</v>
      </c>
      <c r="AT44" s="1023"/>
      <c r="AU44" s="1026"/>
      <c r="AV44"/>
      <c r="AW44" s="1643">
        <f>'MOPFRA Portfolio'!BA84</f>
        <v>56964.160000000003</v>
      </c>
      <c r="AX44" s="500"/>
      <c r="AY44" s="499"/>
      <c r="AZ44" s="506">
        <v>675966</v>
      </c>
      <c r="BA44" s="506" t="s">
        <v>683</v>
      </c>
      <c r="BB44" s="1026"/>
      <c r="BD44" s="1643">
        <f>'MOPFRA Portfolio'!BH84</f>
        <v>12282.9665</v>
      </c>
      <c r="BE44" s="500"/>
      <c r="BF44" s="499"/>
      <c r="BG44" s="508"/>
      <c r="BH44" s="551"/>
      <c r="BK44" s="1643">
        <f>'MOPFRA Portfolio'!BP84</f>
        <v>377951.26069999998</v>
      </c>
      <c r="BO44" s="1643">
        <f>'MOPFRA Portfolio'!BT84</f>
        <v>9738.6200000000008</v>
      </c>
      <c r="BP44" s="500"/>
      <c r="BQ44" s="500"/>
      <c r="BR44" s="506"/>
      <c r="BS44" s="686"/>
      <c r="BT44" s="1016"/>
      <c r="BV44" s="1643">
        <f>'MOPFRA Portfolio'!CA84</f>
        <v>2627.72</v>
      </c>
      <c r="BW44" s="500"/>
      <c r="BX44" s="499"/>
      <c r="BY44" s="1009"/>
      <c r="BZ44" s="1023"/>
      <c r="CA44" s="1024"/>
      <c r="CB44" s="188"/>
      <c r="CC44" s="1643">
        <f>'MOPFRA Portfolio'!CH84</f>
        <v>38067.79</v>
      </c>
      <c r="CD44" s="500"/>
      <c r="CE44" s="499"/>
      <c r="CF44" s="1009"/>
      <c r="CG44" s="1023"/>
      <c r="CH44" s="1024"/>
      <c r="CI44" s="188"/>
      <c r="CJ44" s="1643">
        <f>'MOPFRA Portfolio'!CO84</f>
        <v>13459</v>
      </c>
      <c r="CK44" s="500"/>
      <c r="CL44" s="499"/>
      <c r="CM44" s="506">
        <v>5652631</v>
      </c>
      <c r="CN44" s="506" t="s">
        <v>683</v>
      </c>
      <c r="CO44" s="1024"/>
      <c r="CP44" s="188"/>
      <c r="CS44" s="1643">
        <f>'MOPFRA Portfolio'!CX84</f>
        <v>13043.0985</v>
      </c>
      <c r="CT44" s="500"/>
      <c r="CU44" s="499"/>
      <c r="CV44" s="508"/>
      <c r="CW44" s="551"/>
    </row>
    <row r="45" spans="1:103" ht="43" customHeight="1" thickBot="1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1951" t="s">
        <v>684</v>
      </c>
      <c r="O45" s="1446"/>
      <c r="P45" s="1446"/>
      <c r="Q45" s="1447"/>
      <c r="R45" s="1447"/>
      <c r="S45" s="1447"/>
      <c r="T45" s="1446"/>
      <c r="U45" s="1446"/>
      <c r="V45" s="219"/>
      <c r="W45" s="1447"/>
      <c r="X45" s="1447"/>
      <c r="Y45" s="219"/>
      <c r="Z45" s="219"/>
      <c r="AA45" s="219"/>
      <c r="AB45" s="219"/>
      <c r="AC45" s="219"/>
      <c r="AD45" s="219"/>
      <c r="AE45" s="220"/>
      <c r="AF45" s="1128"/>
      <c r="AG45"/>
      <c r="AH45" s="499"/>
      <c r="AI45" s="499"/>
      <c r="AJ45" s="499"/>
      <c r="AK45"/>
      <c r="AL45" s="30"/>
      <c r="AM45" s="31"/>
      <c r="AN45" s="31"/>
      <c r="AO45" s="31"/>
      <c r="AP45" s="1450">
        <f>'MOPFRA Portfolio'!AT85</f>
        <v>1.6713276605716163</v>
      </c>
      <c r="AQ45" s="500"/>
      <c r="AR45" s="1945">
        <v>1000000</v>
      </c>
      <c r="AS45" s="1945" t="s">
        <v>685</v>
      </c>
      <c r="AT45" s="1023"/>
      <c r="AU45" s="1026"/>
      <c r="AV45"/>
      <c r="AW45" s="1450">
        <f>'MOPFRA Portfolio'!BA85</f>
        <v>1.3713535210008991</v>
      </c>
      <c r="AX45" s="500"/>
      <c r="AY45" s="499"/>
      <c r="AZ45" s="1945">
        <v>500000</v>
      </c>
      <c r="BA45" s="1945" t="s">
        <v>685</v>
      </c>
      <c r="BB45" s="1026"/>
      <c r="BD45" s="1450">
        <f>'MOPFRA Portfolio'!BH85</f>
        <v>1.3532864737365788</v>
      </c>
      <c r="BE45" s="500"/>
      <c r="BF45" s="499"/>
      <c r="BG45" s="508"/>
      <c r="BH45" s="551"/>
      <c r="BK45" s="1451">
        <f>'MOPFRA Portfolio'!BP85</f>
        <v>1.6061095625748201</v>
      </c>
      <c r="BO45" s="1450">
        <f>'MOPFRA Portfolio'!BT85</f>
        <v>1.2885735607494442</v>
      </c>
      <c r="BP45" s="500"/>
      <c r="BQ45" s="500"/>
      <c r="BR45" s="506"/>
      <c r="BS45" s="686"/>
      <c r="BT45" s="1016"/>
      <c r="BV45" s="1450">
        <f>'MOPFRA Portfolio'!CA85</f>
        <v>1.6361396208424683</v>
      </c>
      <c r="BW45" s="500"/>
      <c r="BX45" s="499"/>
      <c r="BY45" s="1009"/>
      <c r="BZ45" s="1023"/>
      <c r="CA45" s="1024"/>
      <c r="CB45" s="188"/>
      <c r="CC45" s="1450">
        <f>'MOPFRA Portfolio'!CH85</f>
        <v>1.0320782252972927</v>
      </c>
      <c r="CD45" s="500"/>
      <c r="CE45" s="499"/>
      <c r="CF45" s="1009"/>
      <c r="CG45" s="1023"/>
      <c r="CH45" s="1024"/>
      <c r="CI45" s="188"/>
      <c r="CJ45" s="1450">
        <f>'MOPFRA Portfolio'!CO85</f>
        <v>4.2854813682257929E-2</v>
      </c>
      <c r="CK45" s="500"/>
      <c r="CL45" s="499"/>
      <c r="CM45" s="1945"/>
      <c r="CN45" s="1945" t="s">
        <v>685</v>
      </c>
      <c r="CO45" s="1024"/>
      <c r="CP45" s="188"/>
      <c r="CS45" s="1450">
        <f>'MOPFRA Portfolio'!CX85</f>
        <v>1.5753322905525735</v>
      </c>
      <c r="CT45" s="500"/>
      <c r="CU45" s="499"/>
      <c r="CV45" s="508"/>
      <c r="CW45" s="551"/>
    </row>
    <row r="46" spans="1:103" ht="56" customHeight="1" thickBot="1">
      <c r="AF46" s="1128"/>
      <c r="AG46"/>
      <c r="AH46" s="499"/>
      <c r="AI46" s="499"/>
      <c r="AJ46" s="499"/>
      <c r="AK46"/>
      <c r="AL46" s="30"/>
      <c r="AM46" s="31"/>
      <c r="AN46" s="686" t="s">
        <v>686</v>
      </c>
      <c r="AO46" s="686"/>
      <c r="AP46" s="1705">
        <f>AP40+'MOPFRA Portfolio'!AT83</f>
        <v>1073006.5522</v>
      </c>
      <c r="AQ46" s="1436"/>
      <c r="AR46" s="1437"/>
      <c r="AS46" s="1438"/>
      <c r="AT46" s="1439"/>
      <c r="AU46" s="1440"/>
      <c r="AV46" s="677"/>
      <c r="AW46" s="1703">
        <f>AW40+'MOPFRA Portfolio'!BA83</f>
        <v>574317.66</v>
      </c>
      <c r="AX46" s="1459"/>
      <c r="AY46" s="524"/>
      <c r="AZ46" s="1460"/>
      <c r="BA46" s="1460"/>
      <c r="BB46" s="1461"/>
      <c r="BC46" s="676"/>
      <c r="BD46" s="1696">
        <f>BD40+'MOPFRA Portfolio'!BH83</f>
        <v>29898.766499999998</v>
      </c>
      <c r="BE46" s="646"/>
      <c r="BF46" s="646"/>
      <c r="BG46" s="646"/>
      <c r="BH46" s="675"/>
      <c r="BI46" s="675"/>
      <c r="BJ46" s="675"/>
      <c r="BK46" s="1700">
        <f>AP46+AW46+BD46</f>
        <v>1677222.9786999999</v>
      </c>
      <c r="BL46" s="680"/>
      <c r="BM46" s="680"/>
      <c r="BO46" s="1698">
        <f>BO40+'MOPFRA Portfolio'!BT83</f>
        <v>34832.936000000002</v>
      </c>
      <c r="BP46" s="217"/>
      <c r="BQ46" s="217"/>
      <c r="BR46" s="217"/>
      <c r="BS46" s="217"/>
      <c r="BT46" s="217"/>
      <c r="BU46" s="217"/>
      <c r="BV46" s="1696">
        <f>BV40+'MOPFRA Portfolio'!CA83</f>
        <v>8774.8680000000004</v>
      </c>
      <c r="BW46" s="678"/>
      <c r="BX46" s="678"/>
      <c r="BY46" s="678"/>
      <c r="BZ46" s="679"/>
      <c r="CA46" s="679"/>
      <c r="CB46" s="679"/>
      <c r="CC46" s="1696">
        <f>CC40+'MOPFRA Portfolio'!CH83</f>
        <v>277488.60600000003</v>
      </c>
      <c r="CD46" s="1769"/>
      <c r="CE46" s="1769"/>
      <c r="CF46" s="1769"/>
      <c r="CG46" s="1770"/>
      <c r="CH46" s="1770"/>
      <c r="CI46" s="1770"/>
      <c r="CJ46" s="1696">
        <f>CJ40+'MOPFRA Portfolio'!CO83</f>
        <v>1255724</v>
      </c>
      <c r="CK46" s="2091"/>
      <c r="CL46" s="2091"/>
      <c r="CM46" s="2091"/>
      <c r="CN46" s="2092"/>
      <c r="CO46" s="2092"/>
      <c r="CP46" s="2092"/>
      <c r="CS46" s="1696">
        <f>CS40+'MOPFRA Portfolio'!CX83</f>
        <v>31526.606500000002</v>
      </c>
      <c r="CT46" s="646"/>
      <c r="CU46" s="646"/>
      <c r="CV46" s="646"/>
      <c r="CW46" s="675"/>
      <c r="CX46" s="675"/>
      <c r="CY46" s="675"/>
    </row>
    <row r="47" spans="1:103" ht="57" customHeight="1" thickBot="1">
      <c r="AF47" s="1128"/>
      <c r="AG47"/>
      <c r="AH47" s="499"/>
      <c r="AI47" s="499"/>
      <c r="AJ47" s="499"/>
      <c r="AK47"/>
      <c r="AL47" s="30"/>
      <c r="AM47" s="3"/>
      <c r="AN47" s="686" t="s">
        <v>687</v>
      </c>
      <c r="AO47" s="686"/>
      <c r="AP47" s="1706">
        <f>AP41+'MOPFRA Portfolio'!AT84</f>
        <v>1073380.2642000001</v>
      </c>
      <c r="AQ47" s="1029" t="s">
        <v>688</v>
      </c>
      <c r="AR47" s="1027" t="s">
        <v>689</v>
      </c>
      <c r="AS47" s="1028" t="s">
        <v>690</v>
      </c>
      <c r="AT47" s="1020" t="s">
        <v>691</v>
      </c>
      <c r="AU47" s="1021" t="s">
        <v>692</v>
      </c>
      <c r="AV47" s="1525" t="s">
        <v>693</v>
      </c>
      <c r="AW47" s="1704">
        <f>AW41+'MOPFRA Portfolio'!BA84</f>
        <v>559954.16</v>
      </c>
      <c r="AX47" s="1029" t="s">
        <v>688</v>
      </c>
      <c r="AY47" s="1027" t="s">
        <v>689</v>
      </c>
      <c r="AZ47" s="1028"/>
      <c r="BA47" s="1020"/>
      <c r="BB47" s="1021"/>
      <c r="BD47" s="1702">
        <f>BD41+'MOPFRA Portfolio'!BH84</f>
        <v>29961.966500000002</v>
      </c>
      <c r="BE47" s="1029" t="s">
        <v>688</v>
      </c>
      <c r="BF47" s="1027" t="s">
        <v>689</v>
      </c>
      <c r="BG47" s="1028"/>
      <c r="BH47" s="550"/>
      <c r="BK47" s="1701">
        <f>AP47+AW47+BD47</f>
        <v>1663296.3907000003</v>
      </c>
      <c r="BM47" s="585"/>
      <c r="BO47" s="1699">
        <f>BO41+'MOPFRA Portfolio'!BT84</f>
        <v>34713.620000000003</v>
      </c>
      <c r="BP47" s="500" t="s">
        <v>688</v>
      </c>
      <c r="BQ47" s="1017" t="s">
        <v>689</v>
      </c>
      <c r="BR47" s="1018" t="s">
        <v>694</v>
      </c>
      <c r="BS47" s="1020" t="s">
        <v>695</v>
      </c>
      <c r="BT47" s="1021" t="s">
        <v>692</v>
      </c>
      <c r="BU47" s="188" t="s">
        <v>696</v>
      </c>
      <c r="BV47" s="1697">
        <f>BV41+'MOPFRA Portfolio'!CA84</f>
        <v>8695.7199999999993</v>
      </c>
      <c r="BW47" s="500" t="s">
        <v>688</v>
      </c>
      <c r="BX47" s="1017" t="s">
        <v>689</v>
      </c>
      <c r="BY47" s="1018" t="s">
        <v>694</v>
      </c>
      <c r="BZ47" s="1020" t="s">
        <v>695</v>
      </c>
      <c r="CA47" s="1021" t="s">
        <v>692</v>
      </c>
      <c r="CB47" s="188" t="s">
        <v>696</v>
      </c>
      <c r="CC47" s="1697">
        <f>CC41+'MOPFRA Portfolio'!CH84</f>
        <v>278762.78999999998</v>
      </c>
      <c r="CD47" s="500" t="s">
        <v>688</v>
      </c>
      <c r="CE47" s="1017" t="s">
        <v>689</v>
      </c>
      <c r="CF47" s="1018" t="s">
        <v>694</v>
      </c>
      <c r="CG47" s="1020" t="s">
        <v>695</v>
      </c>
      <c r="CH47" s="1021" t="s">
        <v>692</v>
      </c>
      <c r="CI47" s="188" t="s">
        <v>696</v>
      </c>
      <c r="CJ47" s="1697">
        <f>CJ41+'MOPFRA Portfolio'!CO84</f>
        <v>1273249</v>
      </c>
      <c r="CK47" s="500" t="s">
        <v>688</v>
      </c>
      <c r="CL47" s="1017" t="s">
        <v>689</v>
      </c>
      <c r="CM47" s="1018" t="s">
        <v>694</v>
      </c>
      <c r="CN47" s="1020" t="s">
        <v>695</v>
      </c>
      <c r="CO47" s="1021" t="s">
        <v>692</v>
      </c>
      <c r="CP47" s="188" t="s">
        <v>696</v>
      </c>
      <c r="CS47" s="1702">
        <f>CS41+'MOPFRA Portfolio'!CX84</f>
        <v>31588.898499999999</v>
      </c>
      <c r="CT47" s="1029" t="s">
        <v>688</v>
      </c>
      <c r="CU47" s="1027" t="s">
        <v>689</v>
      </c>
      <c r="CV47" s="1028"/>
      <c r="CW47" s="550"/>
    </row>
    <row r="48" spans="1:103" ht="44" customHeight="1" thickBot="1">
      <c r="AL48" s="30"/>
      <c r="AM48" s="31"/>
      <c r="AN48" s="31"/>
      <c r="AO48" s="31"/>
      <c r="AP48" s="815">
        <f>IFERROR((AP47/AQ39)*100,0)</f>
        <v>2.3432543749051185</v>
      </c>
      <c r="AQ48" s="2288">
        <f>AR44-AR45</f>
        <v>361976</v>
      </c>
      <c r="AR48" s="500">
        <f>AQ48+AQ39</f>
        <v>46169220.646388963</v>
      </c>
      <c r="AS48" s="508">
        <f>AR48+AT53</f>
        <v>48344196.373388961</v>
      </c>
      <c r="AT48" s="1019">
        <f>AS48-AV48</f>
        <v>49614957.773388967</v>
      </c>
      <c r="AU48" s="1022" t="str">
        <f>IF(AV48&gt;0,AT48/AV48,"")</f>
        <v/>
      </c>
      <c r="AV48" s="1558">
        <f>'In &amp; Out'!C579</f>
        <v>-1270761.400000006</v>
      </c>
      <c r="AW48" s="816">
        <f>IFERROR((AW47/AX39)*100,0)</f>
        <v>2.5186300278154072</v>
      </c>
      <c r="AX48" s="2287">
        <f>AZ44-AZ45</f>
        <v>175966</v>
      </c>
      <c r="AY48" s="500">
        <f>AX39+AX48</f>
        <v>22408455.639841601</v>
      </c>
      <c r="AZ48" s="508"/>
      <c r="BA48" s="1019"/>
      <c r="BB48" s="1022"/>
      <c r="BD48" s="817">
        <f>IFERROR((BD47/BE39)*100,0)</f>
        <v>1.9392134204089189</v>
      </c>
      <c r="BE48" s="500">
        <v>32458</v>
      </c>
      <c r="BF48" s="500">
        <f>BE39+BE48</f>
        <v>1577515.71178512</v>
      </c>
      <c r="BG48" s="508"/>
      <c r="BH48" s="584"/>
      <c r="BI48" s="583"/>
      <c r="BK48" s="818">
        <f>IFERROR((BK47/BL39)*100,0)</f>
        <v>2.3903159626422852</v>
      </c>
      <c r="BM48" s="585"/>
      <c r="BO48" s="819">
        <f>IFERROR((BO47/BP39)*100,0)</f>
        <v>2.1324086787861507</v>
      </c>
      <c r="BP48" s="500">
        <v>120144</v>
      </c>
      <c r="BQ48" s="500">
        <f>BP48+BP39</f>
        <v>1748050.5239858399</v>
      </c>
      <c r="BR48" s="508">
        <f>BQ48+BT39</f>
        <v>1919941.5239858399</v>
      </c>
      <c r="BS48" s="1019">
        <f>BR48-BU48</f>
        <v>1419941.5239858399</v>
      </c>
      <c r="BT48" s="1022">
        <f>BS48/BU48</f>
        <v>2.8398830479716799</v>
      </c>
      <c r="BU48" s="188">
        <v>500000</v>
      </c>
      <c r="BV48" s="817">
        <f>IFERROR((BV47/BW39)*100,0)</f>
        <v>2.3251615718274112</v>
      </c>
      <c r="BW48" s="500">
        <v>24571</v>
      </c>
      <c r="BX48" s="500">
        <f>BW39+BW48</f>
        <v>398554.47303519998</v>
      </c>
      <c r="BY48" s="508">
        <f>BX48+CA39</f>
        <v>451794.47303519998</v>
      </c>
      <c r="BZ48" s="1019">
        <f>BY48-CB48</f>
        <v>381794.47303519998</v>
      </c>
      <c r="CA48" s="1022">
        <f>BZ48/CB48</f>
        <v>5.4542067576457143</v>
      </c>
      <c r="CB48" s="188">
        <v>70000</v>
      </c>
      <c r="CC48" s="817">
        <f t="shared" ref="CC48" si="67">IFERROR((CC47/CD39)*100,0)</f>
        <v>2.2916616937818306</v>
      </c>
      <c r="CD48" s="500">
        <v>3109813</v>
      </c>
      <c r="CE48" s="500">
        <f>CD48+CD39</f>
        <v>15274033.868917599</v>
      </c>
      <c r="CF48" s="508">
        <f>CE48+CH39</f>
        <v>15942145.868917599</v>
      </c>
      <c r="CG48" s="1019"/>
      <c r="CH48" s="1022"/>
      <c r="CI48" s="188"/>
      <c r="CJ48" s="817">
        <f t="shared" ref="CJ48" si="68">IFERROR((CJ47/CK39)*100,0)</f>
        <v>1.6779743361253625</v>
      </c>
      <c r="CK48" s="2287">
        <v>5000802</v>
      </c>
      <c r="CL48" s="500">
        <f t="shared" ref="CL48" si="69">CK48+CK39</f>
        <v>80880925.586400002</v>
      </c>
      <c r="CM48" s="508">
        <f t="shared" ref="CM48" si="70">CL48+CO39</f>
        <v>86792824.586400002</v>
      </c>
      <c r="CN48" s="1019"/>
      <c r="CO48" s="1022"/>
      <c r="CP48" s="188"/>
      <c r="CS48" s="817">
        <f>IFERROR((CS47/CT39)*100,0)</f>
        <v>2.1128349302114025</v>
      </c>
      <c r="CT48" s="500">
        <v>241553</v>
      </c>
      <c r="CU48" s="500">
        <f>CT39+CT48</f>
        <v>1736648.4307083199</v>
      </c>
      <c r="CV48" s="508"/>
      <c r="CW48" s="584"/>
      <c r="CX48" s="583"/>
    </row>
    <row r="49" spans="38:102" ht="27" customHeight="1">
      <c r="AL49" s="30"/>
      <c r="AM49" s="31"/>
      <c r="AN49" s="31"/>
      <c r="AO49" s="31"/>
      <c r="AP49" s="565"/>
      <c r="AS49" s="509"/>
      <c r="AT49" s="550"/>
      <c r="AU49"/>
      <c r="AV49" s="63"/>
      <c r="AX49" s="500"/>
      <c r="AY49" s="500"/>
      <c r="AZ49" s="508"/>
      <c r="BA49" s="1019"/>
      <c r="BB49" s="1022"/>
      <c r="BE49" s="641"/>
      <c r="BF49" s="499"/>
      <c r="BG49" s="1056"/>
      <c r="BH49" s="584"/>
      <c r="BI49" s="583"/>
      <c r="BM49" s="585"/>
      <c r="BO49" s="11"/>
      <c r="BP49" s="500"/>
      <c r="BQ49" s="500"/>
      <c r="BR49" s="508"/>
      <c r="BS49" s="1019"/>
      <c r="BT49" s="1022"/>
      <c r="BW49" s="500"/>
      <c r="BX49" s="500"/>
      <c r="BY49" s="508"/>
      <c r="BZ49" s="1019"/>
      <c r="CA49" s="1022"/>
      <c r="CB49" s="188"/>
      <c r="CD49" s="500"/>
      <c r="CE49" s="500"/>
      <c r="CF49" s="508"/>
      <c r="CG49" s="1019"/>
      <c r="CH49" s="1022"/>
      <c r="CI49" s="188"/>
      <c r="CK49" s="500" t="s">
        <v>609</v>
      </c>
      <c r="CL49" s="500"/>
      <c r="CM49" s="508"/>
      <c r="CN49" s="1019"/>
      <c r="CO49" s="1022"/>
      <c r="CP49" s="188"/>
      <c r="CT49" s="641"/>
      <c r="CU49" s="499"/>
      <c r="CV49" s="1056"/>
      <c r="CW49" s="584"/>
      <c r="CX49" s="583"/>
    </row>
    <row r="50" spans="38:102" ht="40" customHeight="1">
      <c r="AM50" s="566"/>
      <c r="AN50" s="566"/>
      <c r="AO50" s="566"/>
      <c r="AS50" s="714"/>
      <c r="AT50" s="2450"/>
      <c r="AU50" s="2450"/>
      <c r="AX50" s="500"/>
      <c r="AY50" s="500"/>
      <c r="AZ50" s="508"/>
      <c r="BA50" s="1019"/>
      <c r="BB50" s="1022"/>
      <c r="BE50" s="641"/>
      <c r="BF50" s="3"/>
      <c r="BG50" s="188"/>
      <c r="BM50" s="585"/>
      <c r="BN50" s="585"/>
      <c r="BO50" s="585"/>
      <c r="BP50" s="500"/>
      <c r="BQ50" s="500"/>
      <c r="BR50" s="508"/>
      <c r="BS50" s="1019"/>
      <c r="BT50" s="1022"/>
      <c r="BV50" s="854"/>
      <c r="BW50" s="500"/>
      <c r="BX50" s="500"/>
      <c r="BY50" s="508"/>
      <c r="BZ50" s="1019"/>
      <c r="CA50" s="1022"/>
      <c r="CB50" s="188"/>
      <c r="CC50" s="854"/>
      <c r="CD50" s="500"/>
      <c r="CE50" s="500"/>
      <c r="CF50" s="508"/>
      <c r="CG50" s="1019"/>
      <c r="CH50" s="1022"/>
      <c r="CI50" s="188"/>
      <c r="CJ50" s="854"/>
      <c r="CK50" s="500"/>
      <c r="CL50" s="500"/>
      <c r="CM50" s="508"/>
      <c r="CN50" s="1019"/>
      <c r="CO50" s="1022"/>
      <c r="CP50" s="188"/>
      <c r="CT50" s="641"/>
      <c r="CU50" s="3"/>
      <c r="CV50" s="188"/>
    </row>
    <row r="51" spans="38:102" ht="40" customHeight="1">
      <c r="AM51" s="566"/>
      <c r="AN51" s="566"/>
      <c r="AO51" s="566"/>
      <c r="AP51" s="669"/>
      <c r="AQ51" s="500"/>
      <c r="AR51" s="506"/>
      <c r="AX51" s="500"/>
      <c r="AY51" s="500"/>
      <c r="AZ51" s="508"/>
      <c r="BA51" s="1019"/>
      <c r="BB51" s="1022"/>
      <c r="BE51" s="641"/>
      <c r="BF51" s="3"/>
      <c r="BG51" s="188"/>
      <c r="BM51" s="585"/>
      <c r="BN51" s="585"/>
      <c r="BO51" s="585"/>
      <c r="BP51" s="500"/>
      <c r="BQ51" s="500"/>
      <c r="BR51" s="508"/>
      <c r="BS51" s="1019"/>
      <c r="BT51" s="1022"/>
      <c r="BV51" s="854"/>
      <c r="BW51" s="500"/>
      <c r="BX51" s="500"/>
      <c r="BY51" s="508"/>
      <c r="BZ51" s="1019"/>
      <c r="CA51" s="1022"/>
      <c r="CB51" s="188"/>
      <c r="CC51" s="854"/>
      <c r="CD51" s="500"/>
      <c r="CE51" s="500"/>
      <c r="CF51" s="508"/>
      <c r="CG51" s="1019"/>
      <c r="CH51" s="1022"/>
      <c r="CI51" s="188"/>
      <c r="CJ51" s="854"/>
      <c r="CK51" s="500"/>
      <c r="CL51" s="500"/>
      <c r="CM51" s="508"/>
      <c r="CN51" s="1019"/>
      <c r="CO51" s="1022"/>
      <c r="CP51" s="188"/>
      <c r="CT51" s="641"/>
      <c r="CU51" s="3"/>
      <c r="CV51" s="188"/>
    </row>
    <row r="52" spans="38:102" ht="60" customHeight="1">
      <c r="AM52" s="566"/>
      <c r="AN52" s="1886" t="s">
        <v>374</v>
      </c>
      <c r="AO52" s="1886" t="s">
        <v>697</v>
      </c>
      <c r="AP52" s="1887" t="s">
        <v>698</v>
      </c>
      <c r="AQ52" s="1887" t="s">
        <v>699</v>
      </c>
      <c r="AR52" s="1887" t="s">
        <v>700</v>
      </c>
      <c r="AS52" s="1886" t="s">
        <v>8685</v>
      </c>
      <c r="AT52" s="1886" t="s">
        <v>701</v>
      </c>
      <c r="AU52" s="1888" t="s">
        <v>702</v>
      </c>
      <c r="AV52" s="1889" t="s">
        <v>703</v>
      </c>
      <c r="AZ52" s="11"/>
      <c r="BA52" s="11"/>
      <c r="BB52" s="11"/>
      <c r="BC52" s="11"/>
      <c r="BE52" s="500"/>
      <c r="BF52" s="642"/>
      <c r="BK52" s="11" t="s">
        <v>704</v>
      </c>
      <c r="BL52" s="597">
        <f>AR48+AY48+BF48</f>
        <v>70155191.998015687</v>
      </c>
      <c r="BN52" s="11"/>
      <c r="BO52" s="11"/>
      <c r="BV52" s="188"/>
      <c r="CC52" s="188"/>
      <c r="CJ52" s="188"/>
      <c r="CT52" s="500"/>
      <c r="CU52" s="642"/>
    </row>
    <row r="53" spans="38:102" ht="64" customHeight="1" thickBot="1">
      <c r="AM53" s="566"/>
      <c r="AN53" s="642">
        <f>AQ48</f>
        <v>361976</v>
      </c>
      <c r="AO53" s="642">
        <f>AQ39</f>
        <v>45807244.646388963</v>
      </c>
      <c r="AP53" s="1692">
        <v>16815760</v>
      </c>
      <c r="AQ53" s="1558">
        <f>AQ3-AN3</f>
        <v>15818245.856254563</v>
      </c>
      <c r="AR53" s="1558">
        <f>-'In &amp; Out'!C575</f>
        <v>983023</v>
      </c>
      <c r="AS53" s="642">
        <f>AU2+'MOPFRA Portfolio'!AY2-AR53</f>
        <v>6602243</v>
      </c>
      <c r="AT53" s="642">
        <f>AT2+'MOPFRA Portfolio'!AX2</f>
        <v>2174975.727</v>
      </c>
      <c r="AU53" s="642">
        <f>'In &amp; Out'!C581</f>
        <v>3616992.95</v>
      </c>
      <c r="AV53" s="642">
        <f>'In &amp; Out'!C580</f>
        <v>71060</v>
      </c>
      <c r="BE53" s="500"/>
      <c r="BF53" s="642"/>
      <c r="BN53" s="11"/>
      <c r="BO53" s="11"/>
      <c r="BR53" s="509"/>
      <c r="BS53" s="550"/>
      <c r="BV53" s="188"/>
      <c r="BY53" s="509"/>
      <c r="BZ53" s="550"/>
      <c r="CA53" s="188"/>
      <c r="CB53" s="188"/>
      <c r="CC53" s="188"/>
      <c r="CF53" s="509"/>
      <c r="CG53" s="550"/>
      <c r="CH53" s="188"/>
      <c r="CI53" s="188"/>
      <c r="CJ53" s="188"/>
      <c r="CM53" s="509"/>
      <c r="CN53" s="550"/>
      <c r="CO53" s="188"/>
      <c r="CP53" s="188"/>
      <c r="CT53" s="500"/>
      <c r="CU53" s="642"/>
    </row>
    <row r="54" spans="38:102" ht="44" customHeight="1">
      <c r="AM54" s="566"/>
      <c r="AN54" s="2435">
        <f>AN53+AO53</f>
        <v>46169220.646388963</v>
      </c>
      <c r="AO54" s="2432"/>
      <c r="AP54" s="2435">
        <f>AP53+AQ53</f>
        <v>32634005.856254563</v>
      </c>
      <c r="AQ54" s="2438"/>
      <c r="AR54" s="1149">
        <f>AR53</f>
        <v>983023</v>
      </c>
      <c r="AS54" s="2449">
        <f>AS53+AT53</f>
        <v>8777218.727</v>
      </c>
      <c r="AT54" s="2449"/>
      <c r="AU54" s="2431">
        <f>AU53+AV53</f>
        <v>3688052.95</v>
      </c>
      <c r="AV54" s="2432"/>
      <c r="BE54" s="500"/>
      <c r="BG54" s="188"/>
      <c r="BN54" s="11"/>
      <c r="BO54" s="11"/>
      <c r="BR54" s="584"/>
      <c r="BS54" s="584"/>
      <c r="BT54" s="583"/>
      <c r="BV54" s="188"/>
      <c r="BW54" s="500"/>
      <c r="BX54" s="763"/>
      <c r="BY54" s="584"/>
      <c r="BZ54" s="584"/>
      <c r="CA54" s="583"/>
      <c r="CB54" s="188"/>
      <c r="CC54" s="188"/>
      <c r="CD54" s="500"/>
      <c r="CE54" s="763"/>
      <c r="CF54" s="584"/>
      <c r="CG54" s="584"/>
      <c r="CH54" s="583"/>
      <c r="CI54" s="188"/>
      <c r="CJ54" s="188"/>
      <c r="CK54" s="500"/>
      <c r="CL54" s="763"/>
      <c r="CM54" s="584"/>
      <c r="CN54" s="584"/>
      <c r="CO54" s="583"/>
      <c r="CP54" s="188"/>
      <c r="CT54" s="500"/>
      <c r="CV54" s="188"/>
    </row>
    <row r="55" spans="38:102" ht="49" customHeight="1">
      <c r="AM55" s="566"/>
      <c r="AN55" s="2436"/>
      <c r="AO55" s="2437"/>
      <c r="AP55" s="2439"/>
      <c r="AQ55" s="2440"/>
      <c r="AR55" s="2451">
        <f>SUM(AR54:AT54)</f>
        <v>9760241.727</v>
      </c>
      <c r="AS55" s="2452"/>
      <c r="AT55" s="2453"/>
      <c r="AU55" s="2433"/>
      <c r="AV55" s="2434"/>
      <c r="AW55" s="711"/>
      <c r="BD55" s="188"/>
      <c r="BG55" s="188"/>
      <c r="BH55" s="11"/>
      <c r="BK55" s="188"/>
      <c r="BN55" s="11"/>
      <c r="BO55" s="11"/>
      <c r="BR55" s="584"/>
      <c r="BS55" s="584"/>
      <c r="BT55" s="583"/>
      <c r="BV55" s="188"/>
      <c r="CA55" s="643"/>
      <c r="CB55" s="643"/>
      <c r="CC55" s="188"/>
      <c r="CH55" s="643"/>
      <c r="CI55" s="643"/>
      <c r="CJ55" s="188"/>
      <c r="CO55" s="643"/>
      <c r="CP55" s="643"/>
      <c r="CS55" s="188"/>
      <c r="CV55" s="188"/>
      <c r="CW55" s="11"/>
    </row>
    <row r="56" spans="38:102" ht="31" customHeight="1" thickBot="1">
      <c r="AM56" s="566"/>
      <c r="AN56" s="2446" t="s">
        <v>705</v>
      </c>
      <c r="AO56" s="2447"/>
      <c r="AP56" s="2455" t="s">
        <v>706</v>
      </c>
      <c r="AQ56" s="2456"/>
      <c r="AR56" s="2448" t="s">
        <v>707</v>
      </c>
      <c r="AS56" s="2448"/>
      <c r="AT56" s="2448"/>
      <c r="AU56" s="2448" t="s">
        <v>708</v>
      </c>
      <c r="AV56" s="2454"/>
      <c r="AW56" s="673"/>
      <c r="BD56" s="11" t="s">
        <v>609</v>
      </c>
      <c r="BN56" s="11"/>
      <c r="BO56" s="11"/>
      <c r="BP56" s="500"/>
      <c r="BQ56" s="506"/>
      <c r="BR56" s="188"/>
      <c r="BV56" s="500"/>
      <c r="BW56" s="713"/>
      <c r="BX56" s="713"/>
      <c r="BY56" s="813"/>
      <c r="BZ56" s="814"/>
      <c r="CA56" s="643"/>
      <c r="CB56" s="643"/>
      <c r="CC56" s="500"/>
      <c r="CD56" s="713"/>
      <c r="CE56" s="713"/>
      <c r="CF56" s="813"/>
      <c r="CG56" s="814"/>
      <c r="CH56" s="643"/>
      <c r="CI56" s="643"/>
      <c r="CJ56" s="500"/>
      <c r="CK56" s="713"/>
      <c r="CL56" s="713"/>
      <c r="CM56" s="813"/>
      <c r="CN56" s="814"/>
      <c r="CO56" s="643"/>
      <c r="CP56" s="643"/>
      <c r="CS56" s="11" t="s">
        <v>609</v>
      </c>
    </row>
    <row r="57" spans="38:102" ht="35" customHeight="1">
      <c r="AM57" s="566"/>
      <c r="AN57" s="791"/>
      <c r="AO57" s="791"/>
      <c r="AP57" s="2427"/>
      <c r="AQ57" s="2428"/>
      <c r="AR57" s="2425">
        <f>AU54+AR55+AP54</f>
        <v>46082300.533254564</v>
      </c>
      <c r="AS57" s="2425"/>
      <c r="AT57" s="2425"/>
      <c r="AU57" s="2425"/>
      <c r="AV57" s="2426"/>
      <c r="AW57" s="673"/>
      <c r="BN57" s="11"/>
      <c r="BO57" s="11"/>
      <c r="BP57" s="500"/>
      <c r="BQ57" s="506"/>
      <c r="BR57" s="188"/>
      <c r="CA57" s="188"/>
      <c r="CB57" s="188"/>
      <c r="CH57" s="188"/>
      <c r="CI57" s="188"/>
      <c r="CO57" s="188"/>
      <c r="CP57" s="188"/>
    </row>
    <row r="58" spans="38:102" ht="38" customHeight="1" thickBot="1">
      <c r="AM58" s="566"/>
      <c r="AN58" s="566"/>
      <c r="AO58" s="566"/>
      <c r="AP58" s="2421" t="s">
        <v>709</v>
      </c>
      <c r="AQ58" s="2422"/>
      <c r="AR58" s="2423">
        <f>AV48</f>
        <v>-1270761.400000006</v>
      </c>
      <c r="AS58" s="2423"/>
      <c r="AT58" s="2423"/>
      <c r="AU58" s="2423"/>
      <c r="AV58" s="2424"/>
      <c r="AY58" s="188"/>
      <c r="BC58" s="11"/>
      <c r="BP58"/>
      <c r="BS58" s="11"/>
      <c r="BW58" s="1523"/>
      <c r="CA58" s="188"/>
      <c r="CB58" s="188"/>
      <c r="CD58" s="1523"/>
      <c r="CH58" s="188"/>
      <c r="CI58" s="188"/>
      <c r="CK58" s="1523"/>
      <c r="CO58" s="188"/>
      <c r="CP58" s="188"/>
    </row>
    <row r="59" spans="38:102" ht="38" customHeight="1" thickBot="1">
      <c r="AN59" s="566"/>
      <c r="AO59" s="566"/>
      <c r="AP59" s="2416" t="s">
        <v>710</v>
      </c>
      <c r="AQ59" s="2417"/>
      <c r="AR59" s="2418">
        <f>AR57-AR58</f>
        <v>47353061.93325457</v>
      </c>
      <c r="AS59" s="2419"/>
      <c r="AT59" s="2419"/>
      <c r="AU59" s="2419"/>
      <c r="AV59" s="2420"/>
      <c r="AY59" s="188"/>
      <c r="BC59" s="11"/>
      <c r="BP59"/>
      <c r="BS59" s="11"/>
      <c r="CA59" s="188"/>
      <c r="CB59" s="188"/>
      <c r="CH59" s="188"/>
      <c r="CI59" s="188"/>
      <c r="CO59" s="188"/>
      <c r="CP59" s="188"/>
    </row>
    <row r="60" spans="38:102" ht="19" customHeight="1">
      <c r="AN60" s="566"/>
      <c r="AO60" s="566"/>
      <c r="AQ60" s="712"/>
      <c r="AR60" s="63"/>
      <c r="AS60" s="63"/>
      <c r="AT60" s="63"/>
      <c r="AV60" s="789"/>
      <c r="AY60" s="188"/>
      <c r="BC60" s="11"/>
      <c r="BP60"/>
      <c r="BS60" s="11"/>
      <c r="BY60" s="188"/>
      <c r="BZ60" s="188"/>
      <c r="CA60" s="188"/>
      <c r="CB60"/>
      <c r="CF60" s="188"/>
      <c r="CG60" s="188"/>
      <c r="CH60" s="188"/>
      <c r="CI60"/>
      <c r="CM60" s="188"/>
      <c r="CN60" s="188"/>
      <c r="CO60" s="188"/>
      <c r="CP60"/>
    </row>
    <row r="61" spans="38:102" ht="21">
      <c r="AQ61" s="712"/>
      <c r="AR61" s="789"/>
      <c r="AS61" s="789"/>
      <c r="AT61" s="789"/>
      <c r="AZ61" s="11"/>
      <c r="BP61"/>
      <c r="BS61" s="11"/>
      <c r="BY61" s="188"/>
      <c r="BZ61" s="188"/>
      <c r="CA61" s="188"/>
      <c r="CB61"/>
      <c r="CF61" s="188"/>
      <c r="CG61" s="188"/>
      <c r="CH61" s="188"/>
      <c r="CI61"/>
      <c r="CM61" s="188"/>
      <c r="CN61" s="188"/>
      <c r="CO61" s="188"/>
      <c r="CP61"/>
    </row>
    <row r="62" spans="38:102">
      <c r="AN62" s="11"/>
      <c r="AO62" s="11"/>
      <c r="BY62" s="188"/>
      <c r="BZ62" s="188"/>
      <c r="CA62" s="188"/>
      <c r="CB62"/>
      <c r="CF62" s="188"/>
      <c r="CG62" s="188"/>
      <c r="CH62" s="188"/>
      <c r="CI62"/>
      <c r="CM62" s="188"/>
      <c r="CN62" s="188"/>
      <c r="CO62" s="188"/>
      <c r="CP62"/>
    </row>
    <row r="63" spans="38:102">
      <c r="AN63" s="11"/>
      <c r="AO63" s="11"/>
      <c r="AR63" s="667"/>
      <c r="BY63" s="188"/>
      <c r="BZ63" s="188"/>
      <c r="CA63" s="188"/>
      <c r="CB63"/>
      <c r="CF63" s="188"/>
      <c r="CG63" s="188"/>
      <c r="CH63" s="188"/>
      <c r="CI63"/>
      <c r="CM63" s="188"/>
      <c r="CN63" s="188"/>
      <c r="CO63" s="188"/>
      <c r="CP63"/>
    </row>
    <row r="64" spans="38:102">
      <c r="AN64" s="800"/>
      <c r="AO64" s="801"/>
      <c r="AP64" s="63"/>
      <c r="AR64" s="667"/>
      <c r="BY64" s="188"/>
      <c r="BZ64" s="188"/>
      <c r="CA64" s="188"/>
      <c r="CB64"/>
      <c r="CF64" s="188"/>
      <c r="CG64" s="188"/>
      <c r="CH64" s="188"/>
      <c r="CI64"/>
      <c r="CM64" s="188"/>
      <c r="CN64" s="188"/>
      <c r="CO64" s="188"/>
      <c r="CP64"/>
    </row>
    <row r="65" spans="1:94">
      <c r="AN65" s="800"/>
      <c r="AO65" s="801"/>
      <c r="AP65" s="63"/>
      <c r="AR65" s="667"/>
      <c r="BY65" s="188"/>
      <c r="BZ65" s="188"/>
      <c r="CA65" s="188"/>
      <c r="CB65"/>
      <c r="CF65" s="188"/>
      <c r="CG65" s="188"/>
      <c r="CH65" s="188"/>
      <c r="CI65"/>
      <c r="CM65" s="188"/>
      <c r="CN65" s="188"/>
      <c r="CO65" s="188"/>
      <c r="CP65"/>
    </row>
    <row r="66" spans="1:94">
      <c r="AN66" s="800"/>
      <c r="AO66" s="801"/>
      <c r="AP66" s="63"/>
      <c r="AR66" s="506"/>
      <c r="BY66" s="188"/>
      <c r="BZ66" s="188"/>
      <c r="CA66" s="188"/>
      <c r="CB66"/>
      <c r="CF66" s="188"/>
      <c r="CG66" s="188"/>
      <c r="CH66" s="188"/>
      <c r="CI66"/>
      <c r="CM66" s="188"/>
      <c r="CN66" s="188"/>
      <c r="CO66" s="188"/>
      <c r="CP66"/>
    </row>
    <row r="67" spans="1:94">
      <c r="AN67" s="800"/>
      <c r="AO67" s="801"/>
      <c r="AP67" s="63"/>
      <c r="BY67" s="188"/>
      <c r="BZ67" s="188"/>
      <c r="CA67" s="188"/>
      <c r="CB67"/>
      <c r="CF67" s="188"/>
      <c r="CG67" s="188"/>
      <c r="CH67" s="188"/>
      <c r="CI67"/>
      <c r="CM67" s="188"/>
      <c r="CN67" s="188"/>
      <c r="CO67" s="188"/>
      <c r="CP67"/>
    </row>
    <row r="68" spans="1:94">
      <c r="AN68" s="800"/>
      <c r="AO68" s="801"/>
      <c r="AP68" s="63"/>
      <c r="BY68" s="188"/>
      <c r="BZ68" s="188"/>
      <c r="CA68" s="188"/>
      <c r="CB68"/>
      <c r="CF68" s="188"/>
      <c r="CG68" s="188"/>
      <c r="CH68" s="188"/>
      <c r="CI68"/>
      <c r="CM68" s="188"/>
      <c r="CN68" s="188"/>
      <c r="CO68" s="188"/>
      <c r="CP68"/>
    </row>
    <row r="69" spans="1:94">
      <c r="AN69" s="800"/>
      <c r="AO69" s="801"/>
      <c r="AP69" s="63"/>
      <c r="BY69" s="188"/>
      <c r="BZ69" s="188"/>
      <c r="CA69" s="188"/>
      <c r="CB69"/>
      <c r="CF69" s="188"/>
      <c r="CG69" s="188"/>
      <c r="CH69" s="188"/>
      <c r="CI69"/>
      <c r="CM69" s="188"/>
      <c r="CN69" s="188"/>
      <c r="CO69" s="188"/>
      <c r="CP69"/>
    </row>
    <row r="70" spans="1:94">
      <c r="AN70" s="800"/>
      <c r="AO70" s="801"/>
      <c r="AP70" s="63"/>
      <c r="BY70" s="188"/>
      <c r="BZ70" s="188"/>
      <c r="CA70" s="188"/>
      <c r="CB70"/>
      <c r="CF70" s="188"/>
      <c r="CG70" s="188"/>
      <c r="CH70" s="188"/>
      <c r="CI70"/>
      <c r="CM70" s="188"/>
      <c r="CN70" s="188"/>
      <c r="CO70" s="188"/>
      <c r="CP70"/>
    </row>
    <row r="71" spans="1:94">
      <c r="AN71" s="800"/>
      <c r="AO71" s="801"/>
      <c r="AP71" s="63"/>
      <c r="BY71" s="188"/>
      <c r="BZ71" s="188"/>
      <c r="CA71" s="188"/>
      <c r="CB71"/>
      <c r="CF71" s="188"/>
      <c r="CG71" s="188"/>
      <c r="CH71" s="188"/>
      <c r="CI71"/>
      <c r="CM71" s="188"/>
      <c r="CN71" s="188"/>
      <c r="CO71" s="188"/>
      <c r="CP71"/>
    </row>
    <row r="72" spans="1:94">
      <c r="AN72" s="800"/>
      <c r="AO72" s="801"/>
      <c r="AP72" s="63"/>
      <c r="BY72" s="188"/>
      <c r="BZ72" s="188"/>
      <c r="CA72" s="188"/>
      <c r="CB72"/>
      <c r="CF72" s="188"/>
      <c r="CG72" s="188"/>
      <c r="CH72" s="188"/>
      <c r="CI72"/>
      <c r="CM72" s="188"/>
      <c r="CN72" s="188"/>
      <c r="CO72" s="188"/>
      <c r="CP72"/>
    </row>
    <row r="73" spans="1:94">
      <c r="AN73" s="800"/>
      <c r="AO73" s="801"/>
      <c r="AP73" s="63"/>
      <c r="BY73" s="188"/>
      <c r="BZ73" s="188"/>
      <c r="CA73" s="188"/>
      <c r="CB73"/>
      <c r="CF73" s="188"/>
      <c r="CG73" s="188"/>
      <c r="CH73" s="188"/>
      <c r="CI73"/>
      <c r="CM73" s="188"/>
      <c r="CN73" s="188"/>
      <c r="CO73" s="188"/>
      <c r="CP73"/>
    </row>
    <row r="74" spans="1:94">
      <c r="A74" s="1411"/>
      <c r="AN74" s="800"/>
      <c r="AO74" s="801"/>
      <c r="AP74" s="63"/>
      <c r="BW74" s="188"/>
      <c r="BX74"/>
      <c r="BY74"/>
      <c r="BZ74"/>
      <c r="CA74"/>
      <c r="CB74"/>
      <c r="CD74" s="188"/>
      <c r="CE74"/>
      <c r="CF74"/>
      <c r="CG74"/>
      <c r="CH74"/>
      <c r="CI74"/>
      <c r="CK74" s="188"/>
      <c r="CL74"/>
      <c r="CM74"/>
      <c r="CN74"/>
      <c r="CO74"/>
      <c r="CP74"/>
    </row>
    <row r="75" spans="1:94">
      <c r="AO75" s="801"/>
      <c r="AP75" s="63"/>
      <c r="BY75" s="188"/>
      <c r="BZ75" s="188"/>
      <c r="CA75" s="188"/>
      <c r="CB75"/>
      <c r="CF75" s="188"/>
      <c r="CG75" s="188"/>
      <c r="CH75" s="188"/>
      <c r="CI75"/>
      <c r="CM75" s="188"/>
      <c r="CN75" s="188"/>
      <c r="CO75" s="188"/>
      <c r="CP75"/>
    </row>
    <row r="76" spans="1:94">
      <c r="AO76" s="801"/>
      <c r="AP76" s="63"/>
      <c r="BY76" s="188"/>
      <c r="BZ76" s="188"/>
      <c r="CA76" s="188"/>
      <c r="CB76"/>
      <c r="CF76" s="188"/>
      <c r="CG76" s="188"/>
      <c r="CH76" s="188"/>
      <c r="CI76"/>
      <c r="CM76" s="188"/>
      <c r="CN76" s="188"/>
      <c r="CO76" s="188"/>
      <c r="CP76"/>
    </row>
    <row r="77" spans="1:94">
      <c r="AO77" s="801"/>
      <c r="AP77"/>
      <c r="CA77" s="188"/>
      <c r="CB77" s="188"/>
      <c r="CH77" s="188"/>
      <c r="CI77" s="188"/>
      <c r="CO77" s="188"/>
      <c r="CP77" s="188"/>
    </row>
    <row r="78" spans="1:94">
      <c r="CA78" s="188"/>
      <c r="CB78" s="188"/>
      <c r="CH78" s="188"/>
      <c r="CI78" s="188"/>
      <c r="CO78" s="188"/>
      <c r="CP78" s="188"/>
    </row>
    <row r="79" spans="1:94">
      <c r="CA79" s="188"/>
      <c r="CB79" s="188"/>
      <c r="CH79" s="188"/>
      <c r="CI79" s="188"/>
      <c r="CO79" s="188"/>
      <c r="CP79" s="188"/>
    </row>
    <row r="80" spans="1:94">
      <c r="CA80" s="188"/>
      <c r="CB80" s="188"/>
      <c r="CH80" s="188"/>
      <c r="CI80" s="188"/>
      <c r="CO80" s="188"/>
      <c r="CP80" s="188"/>
    </row>
    <row r="81" spans="79:94">
      <c r="CA81" s="188"/>
      <c r="CB81" s="188"/>
      <c r="CH81" s="188"/>
      <c r="CI81" s="188"/>
      <c r="CO81" s="188"/>
      <c r="CP81" s="188"/>
    </row>
    <row r="124" spans="5:5">
      <c r="E124" s="1411">
        <v>46177</v>
      </c>
    </row>
  </sheetData>
  <autoFilter ref="A7:DF7" xr:uid="{8C8528A0-0A39-4F41-A450-D985C4ACA01B}">
    <sortState xmlns:xlrd2="http://schemas.microsoft.com/office/spreadsheetml/2017/richdata2" ref="A8:CY36">
      <sortCondition descending="1" ref="A7:A36"/>
    </sortState>
  </autoFilter>
  <mergeCells count="35">
    <mergeCell ref="CW3:CX3"/>
    <mergeCell ref="CS5:CY5"/>
    <mergeCell ref="AN56:AO56"/>
    <mergeCell ref="AR56:AT56"/>
    <mergeCell ref="AS54:AT54"/>
    <mergeCell ref="AT50:AU50"/>
    <mergeCell ref="AR55:AT55"/>
    <mergeCell ref="AU56:AV56"/>
    <mergeCell ref="AP56:AQ56"/>
    <mergeCell ref="CM3:CN3"/>
    <mergeCell ref="CJ5:CP5"/>
    <mergeCell ref="CF3:CG3"/>
    <mergeCell ref="CC5:CI5"/>
    <mergeCell ref="BY3:BZ3"/>
    <mergeCell ref="BV5:CB5"/>
    <mergeCell ref="BH3:BI3"/>
    <mergeCell ref="AF5:AH5"/>
    <mergeCell ref="AJ5:AK5"/>
    <mergeCell ref="AU54:AV55"/>
    <mergeCell ref="BA3:BB3"/>
    <mergeCell ref="AT3:AU3"/>
    <mergeCell ref="AN54:AO55"/>
    <mergeCell ref="AP54:AQ55"/>
    <mergeCell ref="AP5:AV5"/>
    <mergeCell ref="AW5:BC5"/>
    <mergeCell ref="BO5:BU5"/>
    <mergeCell ref="BK5:BM5"/>
    <mergeCell ref="BS3:BT3"/>
    <mergeCell ref="AP59:AQ59"/>
    <mergeCell ref="AR59:AV59"/>
    <mergeCell ref="AP58:AQ58"/>
    <mergeCell ref="AR58:AV58"/>
    <mergeCell ref="AR57:AV57"/>
    <mergeCell ref="AP57:AQ57"/>
    <mergeCell ref="BD5:BJ5"/>
  </mergeCells>
  <phoneticPr fontId="39" type="noConversion"/>
  <conditionalFormatting sqref="C2 BM39">
    <cfRule type="expression" dxfId="106" priority="74">
      <formula>ROW()=EVEN(ROW())</formula>
    </cfRule>
  </conditionalFormatting>
  <conditionalFormatting sqref="C8:C36">
    <cfRule type="aboveAverage" dxfId="105" priority="28"/>
  </conditionalFormatting>
  <conditionalFormatting sqref="C3:M3 A8:F36">
    <cfRule type="expression" dxfId="104" priority="26">
      <formula>ROW()=EVEN(ROW())</formula>
    </cfRule>
  </conditionalFormatting>
  <conditionalFormatting sqref="G8:I36">
    <cfRule type="cellIs" dxfId="103" priority="1" operator="lessThan">
      <formula>0</formula>
    </cfRule>
    <cfRule type="cellIs" dxfId="102" priority="2" operator="greaterThan">
      <formula>0</formula>
    </cfRule>
  </conditionalFormatting>
  <conditionalFormatting sqref="G8:J36">
    <cfRule type="expression" dxfId="101" priority="3" stopIfTrue="1">
      <formula>ROW()=EVEN(ROW())</formula>
    </cfRule>
  </conditionalFormatting>
  <conditionalFormatting sqref="K8:AE36">
    <cfRule type="expression" dxfId="100" priority="16">
      <formula>ROW()=EVEN(ROW())</formula>
    </cfRule>
  </conditionalFormatting>
  <conditionalFormatting sqref="L8:M36">
    <cfRule type="cellIs" dxfId="99" priority="30" operator="equal">
      <formula>"SS"</formula>
    </cfRule>
    <cfRule type="cellIs" dxfId="98" priority="31" operator="equal">
      <formula>"BB"</formula>
    </cfRule>
    <cfRule type="cellIs" dxfId="97" priority="32" operator="equal">
      <formula>"B"</formula>
    </cfRule>
    <cfRule type="cellIs" dxfId="96" priority="33" operator="equal">
      <formula>"S"</formula>
    </cfRule>
    <cfRule type="cellIs" dxfId="95" priority="34" operator="equal">
      <formula>"N"</formula>
    </cfRule>
  </conditionalFormatting>
  <conditionalFormatting sqref="AC1">
    <cfRule type="expression" dxfId="94" priority="54">
      <formula>ROW()=EVEN(ROW())</formula>
    </cfRule>
  </conditionalFormatting>
  <conditionalFormatting sqref="AI8:AL8 AN8:CP8 AO9:BB9 BC9:CP34 AI9:AK36 AL10:BB34 AL35:CP36">
    <cfRule type="expression" dxfId="93" priority="46">
      <formula>ROW()=EVEN(ROW())</formula>
    </cfRule>
  </conditionalFormatting>
  <conditionalFormatting sqref="AM2">
    <cfRule type="expression" dxfId="92" priority="63">
      <formula>ROW()=EVEN(ROW())</formula>
    </cfRule>
  </conditionalFormatting>
  <conditionalFormatting sqref="AM8:AM9 AL8:AL12">
    <cfRule type="expression" dxfId="91" priority="56">
      <formula>ROW()=EVEN(ROW())</formula>
    </cfRule>
  </conditionalFormatting>
  <conditionalFormatting sqref="AR1">
    <cfRule type="expression" dxfId="90" priority="81">
      <formula>ROW()=EVEN(ROW())</formula>
    </cfRule>
  </conditionalFormatting>
  <conditionalFormatting sqref="AR38:AV38 AY38:BC38">
    <cfRule type="expression" dxfId="89" priority="153">
      <formula>ROW()=EVEN(ROW())</formula>
    </cfRule>
  </conditionalFormatting>
  <conditionalFormatting sqref="AY1">
    <cfRule type="expression" dxfId="88" priority="44">
      <formula>ROW()=EVEN(ROW())</formula>
    </cfRule>
  </conditionalFormatting>
  <conditionalFormatting sqref="BF1">
    <cfRule type="expression" dxfId="87" priority="43">
      <formula>ROW()=EVEN(ROW())</formula>
    </cfRule>
  </conditionalFormatting>
  <conditionalFormatting sqref="BF38:BN38">
    <cfRule type="expression" dxfId="86" priority="61">
      <formula>ROW()=EVEN(ROW())</formula>
    </cfRule>
  </conditionalFormatting>
  <conditionalFormatting sqref="BQ1">
    <cfRule type="expression" dxfId="85" priority="42">
      <formula>ROW()=EVEN(ROW())</formula>
    </cfRule>
  </conditionalFormatting>
  <conditionalFormatting sqref="BQ38:BU38">
    <cfRule type="expression" dxfId="84" priority="60">
      <formula>ROW()=EVEN(ROW())</formula>
    </cfRule>
  </conditionalFormatting>
  <conditionalFormatting sqref="BX1 CE1 CL1">
    <cfRule type="expression" dxfId="83" priority="41">
      <formula>ROW()=EVEN(ROW())</formula>
    </cfRule>
  </conditionalFormatting>
  <conditionalFormatting sqref="BX38:CB38 CE38:CI38 CL38:CP38">
    <cfRule type="expression" dxfId="82" priority="66">
      <formula>ROW()=EVEN(ROW())</formula>
    </cfRule>
  </conditionalFormatting>
  <conditionalFormatting sqref="CS8:CY36">
    <cfRule type="expression" dxfId="81" priority="18">
      <formula>ROW()=EVEN(ROW())</formula>
    </cfRule>
  </conditionalFormatting>
  <conditionalFormatting sqref="CU1">
    <cfRule type="expression" dxfId="80" priority="17">
      <formula>ROW()=EVEN(ROW())</formula>
    </cfRule>
  </conditionalFormatting>
  <conditionalFormatting sqref="CU38:CY38">
    <cfRule type="expression" dxfId="79" priority="19">
      <formula>ROW()=EVEN(ROW())</formula>
    </cfRule>
  </conditionalFormatting>
  <pageMargins left="0.7" right="0.7" top="0.75" bottom="0.75" header="0.3" footer="0.3"/>
  <pageSetup paperSize="9" scale="3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C47F-6B2D-A74A-B886-4462F7EA7D4E}">
  <sheetPr codeName="Sheet13">
    <tabColor theme="5" tint="0.39997558519241921"/>
    <pageSetUpPr fitToPage="1"/>
  </sheetPr>
  <dimension ref="A1:DD87"/>
  <sheetViews>
    <sheetView tabSelected="1" zoomScale="70" zoomScaleNormal="60" workbookViewId="0">
      <pane xSplit="24" ySplit="7" topLeftCell="CK51" activePane="bottomRight" state="frozen"/>
      <selection pane="topRight" activeCell="Y1" sqref="Y1"/>
      <selection pane="bottomLeft" activeCell="A8" sqref="A8"/>
      <selection pane="bottomRight" activeCell="CP66" sqref="CP66"/>
    </sheetView>
  </sheetViews>
  <sheetFormatPr baseColWidth="10" defaultColWidth="11" defaultRowHeight="16"/>
  <cols>
    <col min="1" max="1" width="10.5" customWidth="1"/>
    <col min="2" max="2" width="1.33203125" customWidth="1"/>
    <col min="3" max="3" width="10.83203125" customWidth="1"/>
    <col min="4" max="4" width="13" hidden="1" customWidth="1"/>
    <col min="5" max="5" width="9.83203125" customWidth="1"/>
    <col min="6" max="6" width="10.1640625" customWidth="1"/>
    <col min="7" max="7" width="10.83203125" bestFit="1" customWidth="1"/>
    <col min="8" max="8" width="7" customWidth="1"/>
    <col min="9" max="9" width="9.1640625" customWidth="1"/>
    <col min="10" max="10" width="9.1640625" bestFit="1" customWidth="1"/>
    <col min="11" max="11" width="10.83203125" style="3" customWidth="1"/>
    <col min="12" max="12" width="9.33203125" customWidth="1"/>
    <col min="13" max="14" width="11" customWidth="1"/>
    <col min="15" max="15" width="27.83203125" customWidth="1"/>
    <col min="16" max="16" width="12.33203125" bestFit="1" customWidth="1"/>
    <col min="17" max="17" width="8.6640625" customWidth="1"/>
    <col min="18" max="18" width="15.5" style="11" customWidth="1"/>
    <col min="19" max="19" width="10.6640625" style="11" customWidth="1"/>
    <col min="20" max="20" width="12.33203125" style="11" hidden="1" customWidth="1"/>
    <col min="21" max="21" width="14.5" customWidth="1"/>
    <col min="22" max="22" width="10.83203125" style="63" customWidth="1"/>
    <col min="23" max="23" width="13" style="63" hidden="1" customWidth="1"/>
    <col min="24" max="24" width="8.6640625" customWidth="1"/>
    <col min="25" max="25" width="11.6640625" customWidth="1"/>
    <col min="26" max="27" width="12.83203125" style="11" customWidth="1"/>
    <col min="28" max="28" width="13" style="63" customWidth="1"/>
    <col min="29" max="29" width="0.6640625" style="63" customWidth="1"/>
    <col min="30" max="30" width="12" style="63" customWidth="1"/>
    <col min="31" max="31" width="11" style="63" customWidth="1"/>
    <col min="32" max="32" width="11.6640625" style="63" customWidth="1"/>
    <col min="33" max="33" width="18.5" style="11" hidden="1" customWidth="1"/>
    <col min="34" max="34" width="10.33203125" style="11" bestFit="1" customWidth="1"/>
    <col min="35" max="35" width="1.1640625" style="11" customWidth="1"/>
    <col min="36" max="36" width="15.1640625" style="1124" customWidth="1"/>
    <col min="37" max="37" width="10.33203125" style="188" bestFit="1" customWidth="1"/>
    <col min="38" max="38" width="12.1640625" style="498" customWidth="1"/>
    <col min="39" max="39" width="12" style="498" customWidth="1"/>
    <col min="40" max="40" width="11" style="498" customWidth="1"/>
    <col min="41" max="41" width="11.6640625" style="188" bestFit="1" customWidth="1"/>
    <col min="42" max="42" width="9.33203125" style="188" customWidth="1"/>
    <col min="43" max="43" width="13" style="188" customWidth="1"/>
    <col min="44" max="44" width="14.6640625" style="188" bestFit="1" customWidth="1"/>
    <col min="45" max="45" width="13.83203125" style="188" customWidth="1"/>
    <col min="46" max="46" width="17.6640625" style="11" bestFit="1" customWidth="1"/>
    <col min="47" max="47" width="15.1640625" style="11" customWidth="1"/>
    <col min="48" max="48" width="12.83203125" style="11" customWidth="1"/>
    <col min="49" max="49" width="12.83203125" style="188" customWidth="1"/>
    <col min="50" max="50" width="13" style="188" customWidth="1"/>
    <col min="51" max="51" width="13" style="188" bestFit="1" customWidth="1"/>
    <col min="52" max="52" width="13" style="188" customWidth="1"/>
    <col min="53" max="53" width="16.5" style="11" customWidth="1"/>
    <col min="54" max="54" width="15.6640625" style="11" customWidth="1"/>
    <col min="55" max="55" width="12.5" style="11" customWidth="1"/>
    <col min="56" max="56" width="12.33203125" style="188" customWidth="1"/>
    <col min="57" max="58" width="11" style="188" customWidth="1"/>
    <col min="59" max="59" width="13" style="188" customWidth="1"/>
    <col min="60" max="60" width="15.1640625" style="11" customWidth="1"/>
    <col min="61" max="61" width="15.6640625" style="11" customWidth="1"/>
    <col min="62" max="62" width="12.5" style="11" customWidth="1"/>
    <col min="63" max="63" width="15.33203125" style="188" customWidth="1"/>
    <col min="64" max="65" width="11" style="188" customWidth="1"/>
    <col min="66" max="66" width="13" style="188" customWidth="1"/>
    <col min="67" max="67" width="2" customWidth="1"/>
    <col min="68" max="68" width="18.33203125" style="11" customWidth="1"/>
    <col min="69" max="69" width="16.83203125" style="11" customWidth="1"/>
    <col min="70" max="70" width="13.1640625" style="11" customWidth="1"/>
    <col min="71" max="71" width="5.1640625" style="608" customWidth="1"/>
    <col min="72" max="72" width="16.5" style="11" customWidth="1"/>
    <col min="73" max="73" width="14" style="11" customWidth="1"/>
    <col min="74" max="74" width="12.5" style="11" customWidth="1"/>
    <col min="75" max="75" width="14" style="188" customWidth="1"/>
    <col min="76" max="77" width="11" style="188" customWidth="1"/>
    <col min="78" max="78" width="13" style="188" customWidth="1"/>
    <col min="79" max="79" width="18" style="11" customWidth="1"/>
    <col min="80" max="80" width="15.6640625" style="11" customWidth="1"/>
    <col min="81" max="81" width="12.5" style="11" customWidth="1"/>
    <col min="82" max="82" width="14" style="188" customWidth="1"/>
    <col min="83" max="84" width="11" style="188" customWidth="1"/>
    <col min="85" max="85" width="13" style="188" customWidth="1"/>
    <col min="86" max="86" width="18" style="11" customWidth="1"/>
    <col min="87" max="87" width="15.6640625" style="11" customWidth="1"/>
    <col min="88" max="88" width="12.5" style="11" customWidth="1"/>
    <col min="89" max="89" width="14" style="188" customWidth="1"/>
    <col min="90" max="91" width="11" style="188" customWidth="1"/>
    <col min="92" max="92" width="13" style="188" customWidth="1"/>
    <col min="93" max="93" width="18" style="11" customWidth="1"/>
    <col min="94" max="94" width="16.6640625" style="11" bestFit="1" customWidth="1"/>
    <col min="95" max="95" width="12.5" style="11" customWidth="1"/>
    <col min="96" max="96" width="14" style="188" customWidth="1"/>
    <col min="97" max="98" width="11" style="188" customWidth="1"/>
    <col min="99" max="99" width="13" style="188" customWidth="1"/>
    <col min="100" max="100" width="11" customWidth="1"/>
    <col min="102" max="102" width="16.33203125" style="11" customWidth="1"/>
    <col min="103" max="103" width="15.6640625" style="11" customWidth="1"/>
    <col min="104" max="104" width="12.5" style="11" customWidth="1"/>
    <col min="105" max="105" width="15.33203125" style="188" customWidth="1"/>
    <col min="106" max="106" width="11" style="188"/>
    <col min="107" max="107" width="12" style="188" customWidth="1"/>
    <col min="108" max="108" width="14.6640625" style="188" customWidth="1"/>
  </cols>
  <sheetData>
    <row r="1" spans="1:108" ht="25" thickBot="1">
      <c r="A1" s="1153" t="s">
        <v>609</v>
      </c>
      <c r="B1" s="167"/>
      <c r="C1" s="167"/>
      <c r="D1" s="167"/>
      <c r="E1" s="167"/>
      <c r="F1" s="167"/>
      <c r="G1" s="167"/>
      <c r="H1" s="167"/>
      <c r="I1" s="167"/>
      <c r="J1" s="167"/>
      <c r="K1" s="1375"/>
      <c r="L1" s="167"/>
      <c r="M1" s="167"/>
      <c r="N1" s="167"/>
      <c r="O1" s="237"/>
      <c r="P1" s="168">
        <f>Cement!A2</f>
        <v>189000</v>
      </c>
      <c r="Q1" s="155">
        <f>Cement!B2</f>
        <v>0</v>
      </c>
      <c r="R1" s="409" t="str">
        <f>Cement!U2</f>
        <v>1405/05/14</v>
      </c>
      <c r="S1" s="157"/>
      <c r="T1" s="157"/>
      <c r="U1" s="409" t="str">
        <f>MOPFRA!X2</f>
        <v xml:space="preserve"> 13:37:15</v>
      </c>
      <c r="V1" s="157"/>
      <c r="W1" s="157"/>
      <c r="X1" s="155"/>
      <c r="Y1" s="1738"/>
      <c r="Z1" s="186">
        <f>SUM(Z8:Z76)</f>
        <v>7358818.9648699993</v>
      </c>
      <c r="AA1" s="1131" t="s">
        <v>615</v>
      </c>
      <c r="AB1" s="155"/>
      <c r="AC1" s="155"/>
      <c r="AD1" s="674">
        <v>0.9</v>
      </c>
      <c r="AE1" s="155"/>
      <c r="AF1" s="787">
        <f>(SUMPRODUCT(AF8:AF57,AV8:AV57)/SUM(AV8:AV57))/100</f>
        <v>9.7725634207037025E-3</v>
      </c>
      <c r="AG1" s="156">
        <f>Cement!S2</f>
        <v>329404.23839199997</v>
      </c>
      <c r="AH1" s="156"/>
      <c r="AI1" s="156"/>
      <c r="AJ1" s="1129"/>
      <c r="AK1" s="497"/>
      <c r="AL1" s="1129"/>
      <c r="AM1" s="1129"/>
      <c r="AN1" s="1129"/>
      <c r="AO1" s="497"/>
      <c r="AP1" s="497"/>
      <c r="AQ1" s="221" t="s">
        <v>265</v>
      </c>
      <c r="AR1" s="221" t="s">
        <v>265</v>
      </c>
      <c r="AS1" s="221"/>
      <c r="AT1" s="221" t="s">
        <v>611</v>
      </c>
      <c r="AU1" s="221" t="s">
        <v>8</v>
      </c>
      <c r="AV1" s="417">
        <f ca="1">SUMPRODUCT($C$8:$C$57,AV8:AV57)</f>
        <v>0.10072392720999343</v>
      </c>
      <c r="AW1" s="221" t="s">
        <v>611</v>
      </c>
      <c r="AX1" s="221" t="s">
        <v>8</v>
      </c>
      <c r="AY1" s="221" t="s">
        <v>8</v>
      </c>
      <c r="AZ1" s="221" t="s">
        <v>611</v>
      </c>
      <c r="BA1" s="221" t="s">
        <v>611</v>
      </c>
      <c r="BB1" s="221" t="s">
        <v>8</v>
      </c>
      <c r="BC1" s="417">
        <f ca="1">SUMPRODUCT($C$8:$C$57,BC8:BC57)</f>
        <v>3.1975991409989191E-2</v>
      </c>
      <c r="BD1" s="221" t="s">
        <v>611</v>
      </c>
      <c r="BE1" s="221" t="s">
        <v>8</v>
      </c>
      <c r="BF1" s="221" t="s">
        <v>8</v>
      </c>
      <c r="BG1" s="221" t="s">
        <v>611</v>
      </c>
      <c r="BH1" s="221" t="s">
        <v>611</v>
      </c>
      <c r="BI1" s="221" t="s">
        <v>8</v>
      </c>
      <c r="BJ1" s="417">
        <f ca="1">SUMPRODUCT($C$8:$C$57,BJ8:BJ57)</f>
        <v>0.16517609420251056</v>
      </c>
      <c r="BK1" s="221" t="s">
        <v>611</v>
      </c>
      <c r="BL1" s="221" t="s">
        <v>8</v>
      </c>
      <c r="BM1" s="221" t="s">
        <v>8</v>
      </c>
      <c r="BN1" s="221" t="s">
        <v>611</v>
      </c>
      <c r="BP1" s="221" t="s">
        <v>711</v>
      </c>
      <c r="BQ1" s="221" t="s">
        <v>712</v>
      </c>
      <c r="BR1" s="221" t="s">
        <v>713</v>
      </c>
      <c r="BS1" s="221"/>
      <c r="BT1" s="221" t="s">
        <v>611</v>
      </c>
      <c r="BU1" s="221" t="s">
        <v>8</v>
      </c>
      <c r="BV1" s="417">
        <f ca="1">SUMPRODUCT($C$8:$C$57,BV8:BV57)</f>
        <v>0.10737242560395949</v>
      </c>
      <c r="BW1" s="221" t="s">
        <v>611</v>
      </c>
      <c r="BX1" s="221" t="s">
        <v>8</v>
      </c>
      <c r="BY1" s="221" t="s">
        <v>8</v>
      </c>
      <c r="BZ1" s="221" t="s">
        <v>611</v>
      </c>
      <c r="CA1" s="221" t="s">
        <v>611</v>
      </c>
      <c r="CB1" s="221" t="s">
        <v>8</v>
      </c>
      <c r="CC1" s="417">
        <f ca="1">SUMPRODUCT($C$8:$C$57,CC8:CC57)</f>
        <v>0.20779800514633057</v>
      </c>
      <c r="CD1" s="221" t="s">
        <v>611</v>
      </c>
      <c r="CE1" s="221" t="s">
        <v>8</v>
      </c>
      <c r="CF1" s="221" t="s">
        <v>8</v>
      </c>
      <c r="CG1" s="221" t="s">
        <v>611</v>
      </c>
      <c r="CH1" s="221" t="s">
        <v>611</v>
      </c>
      <c r="CI1" s="221" t="s">
        <v>8</v>
      </c>
      <c r="CJ1" s="417">
        <f ca="1">SUMPRODUCT($C$8:$C$57,CJ8:CJ57)</f>
        <v>3.2733422289591418E-2</v>
      </c>
      <c r="CK1" s="221" t="s">
        <v>611</v>
      </c>
      <c r="CL1" s="221" t="s">
        <v>8</v>
      </c>
      <c r="CM1" s="221" t="s">
        <v>8</v>
      </c>
      <c r="CN1" s="221" t="s">
        <v>611</v>
      </c>
      <c r="CO1" s="221" t="s">
        <v>611</v>
      </c>
      <c r="CP1" s="221" t="s">
        <v>8</v>
      </c>
      <c r="CQ1" s="417">
        <f ca="1">SUMPRODUCT($C$8:$C$57,CQ8:CQ57)</f>
        <v>0</v>
      </c>
      <c r="CR1" s="221" t="s">
        <v>611</v>
      </c>
      <c r="CS1" s="221" t="s">
        <v>8</v>
      </c>
      <c r="CT1" s="221" t="s">
        <v>8</v>
      </c>
      <c r="CU1" s="221" t="s">
        <v>611</v>
      </c>
      <c r="CX1" s="221" t="s">
        <v>611</v>
      </c>
      <c r="CY1" s="221" t="s">
        <v>8</v>
      </c>
      <c r="CZ1" s="417">
        <f ca="1">SUMPRODUCT($C$8:$C$57,CZ8:CZ57)</f>
        <v>0.16760973133614937</v>
      </c>
      <c r="DA1" s="221" t="s">
        <v>611</v>
      </c>
      <c r="DB1" s="221" t="s">
        <v>8</v>
      </c>
      <c r="DC1" s="221" t="s">
        <v>8</v>
      </c>
      <c r="DD1" s="221" t="s">
        <v>611</v>
      </c>
    </row>
    <row r="2" spans="1:108" ht="21">
      <c r="A2" s="238"/>
      <c r="B2" s="238"/>
      <c r="C2" s="541">
        <f ca="1">MOPFRA!C2</f>
        <v>0.114364037679238</v>
      </c>
      <c r="D2" s="534"/>
      <c r="E2" s="534"/>
      <c r="F2" s="534"/>
      <c r="G2" s="534"/>
      <c r="H2" s="534"/>
      <c r="I2" s="534"/>
      <c r="J2" s="534"/>
      <c r="K2" s="1376"/>
      <c r="L2" s="534"/>
      <c r="M2" s="534"/>
      <c r="N2" s="534"/>
      <c r="O2" s="239"/>
      <c r="P2" s="240"/>
      <c r="Q2" s="241"/>
      <c r="R2" s="1226" t="s">
        <v>714</v>
      </c>
      <c r="S2" s="242"/>
      <c r="T2" s="242"/>
      <c r="U2" s="242"/>
      <c r="V2" s="241"/>
      <c r="W2" s="241"/>
      <c r="X2" s="241"/>
      <c r="Y2" s="241"/>
      <c r="Z2" s="164">
        <f>(Z1/MOPFRA!$R$60)</f>
        <v>38.935550078677245</v>
      </c>
      <c r="AA2" s="2064" t="s">
        <v>618</v>
      </c>
      <c r="AB2" s="241"/>
      <c r="AC2" s="241"/>
      <c r="AD2" s="241"/>
      <c r="AE2" s="241"/>
      <c r="AF2" s="241"/>
      <c r="AG2" s="243"/>
      <c r="AH2" s="243"/>
      <c r="AI2" s="243"/>
      <c r="AJ2" s="1230">
        <f ca="1">SUMIF(AH8:AH76,"&lt;150",AV8:AV76)</f>
        <v>7.8045843913987223E-2</v>
      </c>
      <c r="AK2" s="542"/>
      <c r="AL2" s="1134"/>
      <c r="AM2" s="1134"/>
      <c r="AN2" s="1134"/>
      <c r="AO2" s="542"/>
      <c r="AP2" s="542"/>
      <c r="AQ2" s="542"/>
      <c r="AR2" s="540">
        <f>SUMPRODUCT(AR8:AR78,AT8:AT78)/10000</f>
        <v>14783830.2882</v>
      </c>
      <c r="AS2" s="544">
        <f>(AU2-AR2)/AR2</f>
        <v>0.26252403725199336</v>
      </c>
      <c r="AT2" s="286">
        <f>SUM(AT8:AT78)</f>
        <v>21053257</v>
      </c>
      <c r="AU2" s="286">
        <f>SUM(AU8:AU78)</f>
        <v>18664941.101506565</v>
      </c>
      <c r="AV2" s="593">
        <f>SUM(AV8:AV57)</f>
        <v>0.24644074706428939</v>
      </c>
      <c r="AW2" s="542">
        <f t="shared" ref="AW2:BN2" si="0">SUM(AW8:AW78)</f>
        <v>7373851</v>
      </c>
      <c r="AX2" s="542">
        <f t="shared" si="0"/>
        <v>335835.72699999996</v>
      </c>
      <c r="AY2" s="542">
        <f t="shared" si="0"/>
        <v>1691670</v>
      </c>
      <c r="AZ2" s="542">
        <f t="shared" si="0"/>
        <v>60551</v>
      </c>
      <c r="BA2" s="286">
        <f t="shared" si="0"/>
        <v>3170556</v>
      </c>
      <c r="BB2" s="286">
        <f t="shared" si="0"/>
        <v>4241648.1250416003</v>
      </c>
      <c r="BC2" s="593">
        <f t="shared" si="0"/>
        <v>0.18990873507041361</v>
      </c>
      <c r="BD2" s="542">
        <f t="shared" si="0"/>
        <v>1455948</v>
      </c>
      <c r="BE2" s="542">
        <f t="shared" si="0"/>
        <v>72351.560500000007</v>
      </c>
      <c r="BF2" s="542">
        <f t="shared" si="0"/>
        <v>350735</v>
      </c>
      <c r="BG2" s="542">
        <f t="shared" si="0"/>
        <v>0</v>
      </c>
      <c r="BH2" s="286">
        <f t="shared" si="0"/>
        <v>995994</v>
      </c>
      <c r="BI2" s="286">
        <f t="shared" si="0"/>
        <v>907446.30714511988</v>
      </c>
      <c r="BJ2" s="593">
        <f t="shared" si="0"/>
        <v>0.58734576308521502</v>
      </c>
      <c r="BK2" s="542">
        <f t="shared" si="0"/>
        <v>289198</v>
      </c>
      <c r="BL2" s="542">
        <f t="shared" si="0"/>
        <v>25124.951000000001</v>
      </c>
      <c r="BM2" s="542">
        <f t="shared" si="0"/>
        <v>80144</v>
      </c>
      <c r="BN2" s="542">
        <f t="shared" si="0"/>
        <v>0</v>
      </c>
      <c r="BP2" s="244"/>
      <c r="BQ2" s="244"/>
      <c r="BR2" s="244"/>
      <c r="BS2" s="244"/>
      <c r="BT2" s="286">
        <f t="shared" ref="BT2:CU2" si="1">SUM(BT8:BT78)</f>
        <v>625853</v>
      </c>
      <c r="BU2" s="286">
        <f t="shared" si="1"/>
        <v>773394.30840503995</v>
      </c>
      <c r="BV2" s="593">
        <f t="shared" si="1"/>
        <v>0.46994348040568368</v>
      </c>
      <c r="BW2" s="542">
        <f t="shared" si="1"/>
        <v>213983</v>
      </c>
      <c r="BX2" s="542">
        <f t="shared" si="1"/>
        <v>9971.9416000000019</v>
      </c>
      <c r="BY2" s="542">
        <f t="shared" si="1"/>
        <v>45594</v>
      </c>
      <c r="BZ2" s="542">
        <f t="shared" si="1"/>
        <v>0</v>
      </c>
      <c r="CA2" s="286">
        <f t="shared" si="1"/>
        <v>155442</v>
      </c>
      <c r="CB2" s="286">
        <f t="shared" si="1"/>
        <v>162384.22613279999</v>
      </c>
      <c r="CC2" s="593">
        <f t="shared" si="1"/>
        <v>0.6130384904512528</v>
      </c>
      <c r="CD2" s="542">
        <f t="shared" si="1"/>
        <v>89962</v>
      </c>
      <c r="CE2" s="542">
        <f t="shared" si="1"/>
        <v>2912.7780000000002</v>
      </c>
      <c r="CF2" s="542">
        <f t="shared" si="1"/>
        <v>17143</v>
      </c>
      <c r="CG2" s="542">
        <f t="shared" si="1"/>
        <v>0</v>
      </c>
      <c r="CH2" s="286">
        <f t="shared" si="1"/>
        <v>3539829</v>
      </c>
      <c r="CI2" s="286">
        <f t="shared" si="1"/>
        <v>3669666.4225368001</v>
      </c>
      <c r="CJ2" s="593">
        <f t="shared" si="1"/>
        <v>0.30212068844820095</v>
      </c>
      <c r="CK2" s="542">
        <f t="shared" si="1"/>
        <v>169829</v>
      </c>
      <c r="CL2" s="542">
        <f t="shared" si="1"/>
        <v>18434.699000000001</v>
      </c>
      <c r="CM2" s="542">
        <f t="shared" si="1"/>
        <v>10822</v>
      </c>
      <c r="CN2" s="542">
        <f t="shared" si="1"/>
        <v>0</v>
      </c>
      <c r="CO2" s="286">
        <f t="shared" si="1"/>
        <v>10090000</v>
      </c>
      <c r="CP2" s="286">
        <f t="shared" si="1"/>
        <v>31414785.527999997</v>
      </c>
      <c r="CQ2" s="593">
        <f t="shared" si="1"/>
        <v>0.41394547814278843</v>
      </c>
      <c r="CR2" s="542">
        <f t="shared" si="1"/>
        <v>0</v>
      </c>
      <c r="CS2" s="542">
        <f t="shared" si="1"/>
        <v>0</v>
      </c>
      <c r="CT2" s="542">
        <f t="shared" si="1"/>
        <v>0</v>
      </c>
      <c r="CU2" s="542">
        <f t="shared" si="1"/>
        <v>0</v>
      </c>
      <c r="CX2" s="286">
        <f t="shared" ref="CX2:DD2" si="2">SUM(CX8:CX78)</f>
        <v>612621</v>
      </c>
      <c r="CY2" s="286">
        <f t="shared" si="2"/>
        <v>827765.97471791983</v>
      </c>
      <c r="CZ2" s="593">
        <f t="shared" si="2"/>
        <v>0.53332182594850119</v>
      </c>
      <c r="DA2" s="542">
        <f t="shared" si="2"/>
        <v>367791</v>
      </c>
      <c r="DB2" s="542">
        <f t="shared" si="2"/>
        <v>24163.73</v>
      </c>
      <c r="DC2" s="542">
        <f t="shared" si="2"/>
        <v>78914</v>
      </c>
      <c r="DD2" s="542">
        <f t="shared" si="2"/>
        <v>0</v>
      </c>
    </row>
    <row r="3" spans="1:108" ht="21">
      <c r="A3" s="167"/>
      <c r="B3" s="167"/>
      <c r="C3" s="306"/>
      <c r="D3" s="306"/>
      <c r="E3" s="306"/>
      <c r="F3" s="306"/>
      <c r="G3" s="306"/>
      <c r="H3" s="306"/>
      <c r="I3" s="306"/>
      <c r="J3" s="306"/>
      <c r="K3" s="1377"/>
      <c r="L3" s="306"/>
      <c r="M3" s="306"/>
      <c r="N3" s="306"/>
      <c r="O3" s="237"/>
      <c r="P3" s="168"/>
      <c r="Q3" s="155"/>
      <c r="R3" s="157"/>
      <c r="S3" s="157"/>
      <c r="T3" s="157"/>
      <c r="U3" s="157"/>
      <c r="V3" s="155"/>
      <c r="W3" s="155"/>
      <c r="X3" s="155"/>
      <c r="Y3" s="155"/>
      <c r="Z3" s="157"/>
      <c r="AA3" s="157"/>
      <c r="AB3" s="155"/>
      <c r="AC3" s="155"/>
      <c r="AD3" s="155"/>
      <c r="AE3" s="155"/>
      <c r="AF3" s="155"/>
      <c r="AG3" s="156"/>
      <c r="AH3" s="156"/>
      <c r="AI3" s="156"/>
      <c r="AJ3" s="1230">
        <f ca="1">AJ2+'Cement Portfolio'!AF2</f>
        <v>8.2293880067582592E-2</v>
      </c>
      <c r="AK3" s="186"/>
      <c r="AL3" s="1131"/>
      <c r="AM3" s="1131"/>
      <c r="AN3" s="1131"/>
      <c r="AO3" s="186"/>
      <c r="AP3" s="186"/>
      <c r="AQ3" s="186"/>
      <c r="AR3" s="812">
        <f>'Cement Portfolio'!AN3</f>
        <v>30194695.873199999</v>
      </c>
      <c r="AS3" s="544">
        <f>(AU3-AR3)/AR3</f>
        <v>0.52387498528489607</v>
      </c>
      <c r="AT3" s="221">
        <f>AT2+'Cement Portfolio'!AP2</f>
        <v>35349022</v>
      </c>
      <c r="AU3" s="221">
        <f>AU2+'Cement Portfolio'!AQ2</f>
        <v>46012941.729454562</v>
      </c>
      <c r="AV3" s="845">
        <f ca="1">SUMIF($A8:$A78, "&gt;=0",AV8:AV57)</f>
        <v>0.20804230710735461</v>
      </c>
      <c r="AW3" s="548"/>
      <c r="AX3" s="2399">
        <f>AX2+AY2</f>
        <v>2027505.727</v>
      </c>
      <c r="AY3" s="2399"/>
      <c r="AZ3" s="186">
        <f>AT3-AZ2-'Cement Portfolio'!AV2</f>
        <v>35216706</v>
      </c>
      <c r="BA3" s="221">
        <f>BA2+'Cement Portfolio'!AW2</f>
        <v>12040556</v>
      </c>
      <c r="BB3" s="221">
        <f>BB2+'Cement Portfolio'!AX2</f>
        <v>22335192.341041598</v>
      </c>
      <c r="BC3" s="845">
        <f>SUMIF($A8:$A57, "&gt;0",BC8:BC57)</f>
        <v>9.853614823802162E-2</v>
      </c>
      <c r="BD3" s="548"/>
      <c r="BE3" s="2399">
        <f>BE2+BF2</f>
        <v>423086.56050000002</v>
      </c>
      <c r="BF3" s="2399"/>
      <c r="BG3" s="186">
        <f>BA3-BG2</f>
        <v>12040556</v>
      </c>
      <c r="BH3" s="221">
        <f>BH2+'Cement Portfolio'!BD2</f>
        <v>1426994</v>
      </c>
      <c r="BI3" s="221">
        <f>BI2+'Cement Portfolio'!BE2</f>
        <v>1544995.0679451199</v>
      </c>
      <c r="BJ3" s="845">
        <f>SUMIF($A8:$A57, "&gt;0",BJ8:BJ57)</f>
        <v>0.28929548612479883</v>
      </c>
      <c r="BK3" s="548"/>
      <c r="BL3" s="2399">
        <f>BL2+BM2</f>
        <v>105268.951</v>
      </c>
      <c r="BM3" s="2399"/>
      <c r="BN3" s="186">
        <f>BH3-BN2</f>
        <v>1426994</v>
      </c>
      <c r="BO3" s="497"/>
      <c r="BP3" s="221"/>
      <c r="BQ3" s="221"/>
      <c r="BR3" s="221"/>
      <c r="BS3" s="221"/>
      <c r="BT3" s="221">
        <f>BT2+'Cement Portfolio'!BO2</f>
        <v>1161853</v>
      </c>
      <c r="BU3" s="221">
        <f>BU2+'Cement Portfolio'!BP2</f>
        <v>1645717.7100050398</v>
      </c>
      <c r="BV3" s="845">
        <f>SUMIF($A8:$A57, "&gt;0",BV8:BV57)</f>
        <v>0.22340367522441873</v>
      </c>
      <c r="BW3" s="548"/>
      <c r="BX3" s="2399">
        <f>BX2+BY2</f>
        <v>55565.941600000006</v>
      </c>
      <c r="BY3" s="2399"/>
      <c r="BZ3" s="186"/>
      <c r="CA3" s="221">
        <f>CA2+'Cement Portfolio'!BV2</f>
        <v>257942</v>
      </c>
      <c r="CB3" s="221">
        <f>CB2+'Cement Portfolio'!BV2</f>
        <v>264884.22613279999</v>
      </c>
      <c r="CC3" s="845">
        <f>SUMIF($A8:$A57, "&gt;0",CC8:CC57)</f>
        <v>0.35927448840493942</v>
      </c>
      <c r="CD3" s="548"/>
      <c r="CE3" s="2399">
        <f>CE2+CF2</f>
        <v>20055.777999999998</v>
      </c>
      <c r="CF3" s="2399"/>
      <c r="CG3" s="186"/>
      <c r="CH3" s="221">
        <f>CH2+'Cement Portfolio'!CC2</f>
        <v>6766829</v>
      </c>
      <c r="CI3" s="221">
        <f>CI2+'Cement Portfolio'!CD2</f>
        <v>12146359.2625368</v>
      </c>
      <c r="CJ3" s="845">
        <f>SUMIF($A8:$A57, "&gt;0",CJ8:CJ57)</f>
        <v>0.11300179690635441</v>
      </c>
      <c r="CK3" s="548"/>
      <c r="CL3" s="2399">
        <f>CL2+CM2</f>
        <v>29256.699000000001</v>
      </c>
      <c r="CM3" s="2399"/>
      <c r="CN3" s="186"/>
      <c r="CO3" s="221">
        <f>CO2+'Cement Portfolio'!CJ2</f>
        <v>38230000</v>
      </c>
      <c r="CP3" s="221">
        <f>CP2+'Cement Portfolio'!CK2</f>
        <v>75891118.967999995</v>
      </c>
      <c r="CQ3" s="845">
        <f>SUMIF($A8:$A57, "&gt;0",CQ8:CQ57)</f>
        <v>0</v>
      </c>
      <c r="CR3" s="548"/>
      <c r="CS3" s="2399">
        <f>CS2+CT2</f>
        <v>0</v>
      </c>
      <c r="CT3" s="2399"/>
      <c r="CU3" s="186"/>
      <c r="CX3" s="221">
        <f>CX2+'Cement Portfolio'!CS2</f>
        <v>1066021</v>
      </c>
      <c r="CY3" s="221">
        <f>CY2+'Cement Portfolio'!CU2</f>
        <v>827766.40660778538</v>
      </c>
      <c r="CZ3" s="845">
        <f>SUMIF($A8:$A57, "&gt;0",CZ8:CZ57)</f>
        <v>0.29759464737523167</v>
      </c>
      <c r="DA3" s="548"/>
      <c r="DB3" s="2399">
        <f>DB2+DC2</f>
        <v>103077.73</v>
      </c>
      <c r="DC3" s="2399"/>
      <c r="DD3" s="186">
        <f>CX3-DD2</f>
        <v>1066021</v>
      </c>
    </row>
    <row r="4" spans="1:108" s="30" customFormat="1" ht="28" customHeight="1" thickBot="1">
      <c r="A4" s="34"/>
      <c r="B4" s="34"/>
      <c r="C4" s="34"/>
      <c r="D4" s="34"/>
      <c r="E4" s="34"/>
      <c r="F4" s="34" t="s">
        <v>234</v>
      </c>
      <c r="G4" s="34" t="s">
        <v>234</v>
      </c>
      <c r="H4" s="34" t="s">
        <v>234</v>
      </c>
      <c r="I4" s="34"/>
      <c r="J4" s="34"/>
      <c r="K4" s="34"/>
      <c r="L4" s="34"/>
      <c r="M4" s="34"/>
      <c r="N4" s="34"/>
      <c r="O4" s="34"/>
      <c r="P4" s="34"/>
      <c r="Q4" s="34"/>
      <c r="R4" s="34" t="s">
        <v>239</v>
      </c>
      <c r="S4" s="34" t="s">
        <v>234</v>
      </c>
      <c r="T4" s="34" t="s">
        <v>239</v>
      </c>
      <c r="U4" s="34" t="s">
        <v>239</v>
      </c>
      <c r="V4" s="34" t="s">
        <v>234</v>
      </c>
      <c r="W4" s="34" t="s">
        <v>239</v>
      </c>
      <c r="X4" s="34"/>
      <c r="Y4" s="34"/>
      <c r="Z4" s="34" t="s">
        <v>715</v>
      </c>
      <c r="AA4" s="34"/>
      <c r="AB4" s="34"/>
      <c r="AC4" s="34" t="s">
        <v>234</v>
      </c>
      <c r="AD4" s="803" t="s">
        <v>234</v>
      </c>
      <c r="AE4" s="34"/>
      <c r="AF4" s="34"/>
      <c r="AG4" s="34" t="str">
        <f>Cement!S3</f>
        <v>IBT</v>
      </c>
      <c r="AH4" s="803" t="s">
        <v>264</v>
      </c>
      <c r="AI4" s="35"/>
      <c r="AJ4" s="40" t="s">
        <v>240</v>
      </c>
      <c r="AK4" s="40" t="s">
        <v>620</v>
      </c>
      <c r="AL4" s="40" t="s">
        <v>240</v>
      </c>
      <c r="AM4" s="40"/>
      <c r="AN4" s="40" t="s">
        <v>248</v>
      </c>
      <c r="AO4" s="40" t="s">
        <v>248</v>
      </c>
      <c r="AP4" s="575" t="s">
        <v>619</v>
      </c>
      <c r="AQ4" s="575" t="s">
        <v>620</v>
      </c>
      <c r="AR4" s="575" t="s">
        <v>621</v>
      </c>
      <c r="AS4" s="575" t="s">
        <v>234</v>
      </c>
      <c r="AT4" s="35" t="s">
        <v>611</v>
      </c>
      <c r="AU4" s="35" t="s">
        <v>622</v>
      </c>
      <c r="AV4" s="845">
        <f ca="1">SUMIF($A8:$A78, "&gt;=10",AV8:AV57)</f>
        <v>0.169399718801339</v>
      </c>
      <c r="AW4" s="40" t="s">
        <v>623</v>
      </c>
      <c r="AX4" s="40" t="s">
        <v>624</v>
      </c>
      <c r="AY4" s="40" t="s">
        <v>624</v>
      </c>
      <c r="AZ4" s="40" t="s">
        <v>611</v>
      </c>
      <c r="BA4" s="35" t="s">
        <v>611</v>
      </c>
      <c r="BB4" s="35" t="s">
        <v>622</v>
      </c>
      <c r="BC4" s="845">
        <f>SUMIF($A8:$A78, "&gt;=-10",BC8:BC78)</f>
        <v>0.10235269025379656</v>
      </c>
      <c r="BD4" s="40" t="s">
        <v>623</v>
      </c>
      <c r="BE4" s="40" t="s">
        <v>624</v>
      </c>
      <c r="BF4" s="40" t="s">
        <v>624</v>
      </c>
      <c r="BG4" s="40" t="s">
        <v>611</v>
      </c>
      <c r="BH4" s="35" t="s">
        <v>611</v>
      </c>
      <c r="BI4" s="35" t="s">
        <v>622</v>
      </c>
      <c r="BJ4" s="845">
        <f>SUMIF($A8:$A78, "&gt;=-10",BJ8:BJ78)</f>
        <v>0.30474414126629717</v>
      </c>
      <c r="BK4" s="40" t="s">
        <v>623</v>
      </c>
      <c r="BL4" s="40" t="s">
        <v>624</v>
      </c>
      <c r="BM4" s="40" t="s">
        <v>624</v>
      </c>
      <c r="BN4" s="40" t="s">
        <v>611</v>
      </c>
      <c r="BP4" s="35" t="s">
        <v>622</v>
      </c>
      <c r="BQ4" s="35" t="s">
        <v>611</v>
      </c>
      <c r="BR4" s="35" t="s">
        <v>234</v>
      </c>
      <c r="BS4" s="601"/>
      <c r="BT4" s="35" t="s">
        <v>611</v>
      </c>
      <c r="BU4" s="35" t="s">
        <v>622</v>
      </c>
      <c r="BV4" s="845">
        <f>SUMIF($A8:$A78, "&gt;=-10",BV8:BV78)</f>
        <v>0.23583494935826599</v>
      </c>
      <c r="BW4" s="40" t="s">
        <v>623</v>
      </c>
      <c r="BX4" s="40" t="s">
        <v>624</v>
      </c>
      <c r="BY4" s="40" t="s">
        <v>624</v>
      </c>
      <c r="BZ4" s="40" t="s">
        <v>611</v>
      </c>
      <c r="CA4" s="35" t="s">
        <v>611</v>
      </c>
      <c r="CB4" s="35" t="s">
        <v>622</v>
      </c>
      <c r="CC4" s="845">
        <f>SUMIF($A8:$A78, "&gt;=-10",CC8:CC78)</f>
        <v>0.37858327124441205</v>
      </c>
      <c r="CD4" s="40" t="s">
        <v>623</v>
      </c>
      <c r="CE4" s="40" t="s">
        <v>624</v>
      </c>
      <c r="CF4" s="40" t="s">
        <v>624</v>
      </c>
      <c r="CG4" s="40" t="s">
        <v>611</v>
      </c>
      <c r="CH4" s="35" t="s">
        <v>611</v>
      </c>
      <c r="CI4" s="35" t="s">
        <v>622</v>
      </c>
      <c r="CJ4" s="845">
        <f>SUMIF($A8:$A78, "&gt;=-10",CJ8:CJ78)</f>
        <v>0.11300179690635441</v>
      </c>
      <c r="CK4" s="40" t="s">
        <v>623</v>
      </c>
      <c r="CL4" s="40" t="s">
        <v>624</v>
      </c>
      <c r="CM4" s="40" t="s">
        <v>624</v>
      </c>
      <c r="CN4" s="40" t="s">
        <v>611</v>
      </c>
      <c r="CO4" s="35" t="s">
        <v>611</v>
      </c>
      <c r="CP4" s="35" t="s">
        <v>622</v>
      </c>
      <c r="CQ4" s="845">
        <f>SUMIF($A8:$A78, "&gt;=-10",CQ8:CQ78)</f>
        <v>0</v>
      </c>
      <c r="CR4" s="40" t="s">
        <v>623</v>
      </c>
      <c r="CS4" s="40" t="s">
        <v>624</v>
      </c>
      <c r="CT4" s="40" t="s">
        <v>624</v>
      </c>
      <c r="CU4" s="40" t="s">
        <v>611</v>
      </c>
      <c r="CX4" s="35" t="s">
        <v>611</v>
      </c>
      <c r="CY4" s="35" t="s">
        <v>622</v>
      </c>
      <c r="CZ4" s="845">
        <f>SUMIF($A8:$A78, "&gt;=-10",CZ8:CZ78)</f>
        <v>0.31304330251673002</v>
      </c>
      <c r="DA4" s="40" t="s">
        <v>623</v>
      </c>
      <c r="DB4" s="40" t="s">
        <v>624</v>
      </c>
      <c r="DC4" s="40" t="s">
        <v>624</v>
      </c>
      <c r="DD4" s="40" t="s">
        <v>611</v>
      </c>
    </row>
    <row r="5" spans="1:108" s="520" customFormat="1" ht="88" customHeight="1" thickBot="1">
      <c r="A5" s="535" t="s">
        <v>625</v>
      </c>
      <c r="B5" s="515"/>
      <c r="C5" s="536" t="s">
        <v>626</v>
      </c>
      <c r="D5" s="536"/>
      <c r="E5" s="465" t="s">
        <v>716</v>
      </c>
      <c r="F5" s="1229" t="s">
        <v>628</v>
      </c>
      <c r="G5" s="515" t="s">
        <v>717</v>
      </c>
      <c r="H5" s="2215" t="s">
        <v>272</v>
      </c>
      <c r="I5" s="536" t="s">
        <v>273</v>
      </c>
      <c r="J5" s="1229" t="s">
        <v>8279</v>
      </c>
      <c r="K5" s="1229" t="s">
        <v>274</v>
      </c>
      <c r="L5" s="465" t="s">
        <v>275</v>
      </c>
      <c r="M5" s="2033" t="s">
        <v>276</v>
      </c>
      <c r="N5" s="1589" t="s">
        <v>277</v>
      </c>
      <c r="O5" s="516" t="s">
        <v>279</v>
      </c>
      <c r="P5" s="517" t="s">
        <v>11</v>
      </c>
      <c r="Q5" s="519" t="s">
        <v>280</v>
      </c>
      <c r="R5" s="516" t="s">
        <v>282</v>
      </c>
      <c r="S5" s="516" t="s">
        <v>283</v>
      </c>
      <c r="T5" s="516" t="s">
        <v>283</v>
      </c>
      <c r="U5" s="516" t="s">
        <v>284</v>
      </c>
      <c r="V5" s="516" t="s">
        <v>630</v>
      </c>
      <c r="W5" s="516" t="s">
        <v>631</v>
      </c>
      <c r="X5" s="1360" t="s">
        <v>440</v>
      </c>
      <c r="Y5" s="1737" t="s">
        <v>718</v>
      </c>
      <c r="Z5" s="1359" t="s">
        <v>281</v>
      </c>
      <c r="AA5" s="672" t="s">
        <v>632</v>
      </c>
      <c r="AB5" s="516" t="s">
        <v>633</v>
      </c>
      <c r="AC5" s="516" t="s">
        <v>634</v>
      </c>
      <c r="AD5" s="516" t="s">
        <v>443</v>
      </c>
      <c r="AE5" s="811" t="s">
        <v>635</v>
      </c>
      <c r="AF5" s="516" t="s">
        <v>636</v>
      </c>
      <c r="AG5" s="516" t="s">
        <v>301</v>
      </c>
      <c r="AH5" s="518" t="s">
        <v>637</v>
      </c>
      <c r="AI5" s="519"/>
      <c r="AJ5" s="2393" t="s">
        <v>638</v>
      </c>
      <c r="AK5" s="2393"/>
      <c r="AL5" s="2393"/>
      <c r="AM5" s="1826" t="s">
        <v>15</v>
      </c>
      <c r="AN5" s="2394" t="s">
        <v>719</v>
      </c>
      <c r="AO5" s="2395"/>
      <c r="AP5" s="579"/>
      <c r="AQ5" s="578" t="s">
        <v>639</v>
      </c>
      <c r="AR5" s="579"/>
      <c r="AS5" s="796"/>
      <c r="AT5" s="2396" t="s">
        <v>639</v>
      </c>
      <c r="AU5" s="2396"/>
      <c r="AV5" s="2396"/>
      <c r="AW5" s="2396"/>
      <c r="AX5" s="2396"/>
      <c r="AY5" s="2396"/>
      <c r="AZ5" s="2396"/>
      <c r="BA5" s="2397" t="s">
        <v>640</v>
      </c>
      <c r="BB5" s="2397"/>
      <c r="BC5" s="2397"/>
      <c r="BD5" s="2397"/>
      <c r="BE5" s="2397"/>
      <c r="BF5" s="2397"/>
      <c r="BG5" s="2397"/>
      <c r="BH5" s="2398" t="s">
        <v>641</v>
      </c>
      <c r="BI5" s="2398"/>
      <c r="BJ5" s="2398"/>
      <c r="BK5" s="2398"/>
      <c r="BL5" s="2398"/>
      <c r="BM5" s="2398"/>
      <c r="BN5" s="2398"/>
      <c r="BP5" s="2406" t="s">
        <v>642</v>
      </c>
      <c r="BQ5" s="2406"/>
      <c r="BR5" s="2406"/>
      <c r="BS5" s="602"/>
      <c r="BT5" s="2405" t="s">
        <v>643</v>
      </c>
      <c r="BU5" s="2405"/>
      <c r="BV5" s="2405"/>
      <c r="BW5" s="2405"/>
      <c r="BX5" s="2405"/>
      <c r="BY5" s="2405"/>
      <c r="BZ5" s="2405"/>
      <c r="CA5" s="2404" t="s">
        <v>644</v>
      </c>
      <c r="CB5" s="2404"/>
      <c r="CC5" s="2404"/>
      <c r="CD5" s="2404"/>
      <c r="CE5" s="2404"/>
      <c r="CF5" s="2404"/>
      <c r="CG5" s="2404"/>
      <c r="CH5" s="2408" t="s">
        <v>645</v>
      </c>
      <c r="CI5" s="2408"/>
      <c r="CJ5" s="2408"/>
      <c r="CK5" s="2408"/>
      <c r="CL5" s="2408"/>
      <c r="CM5" s="2408"/>
      <c r="CN5" s="2408"/>
      <c r="CO5" s="2407" t="s">
        <v>646</v>
      </c>
      <c r="CP5" s="2407"/>
      <c r="CQ5" s="2407"/>
      <c r="CR5" s="2407"/>
      <c r="CS5" s="2407"/>
      <c r="CT5" s="2407"/>
      <c r="CU5" s="2407"/>
      <c r="CX5" s="2400" t="s">
        <v>647</v>
      </c>
      <c r="CY5" s="2401"/>
      <c r="CZ5" s="2401"/>
      <c r="DA5" s="2401"/>
      <c r="DB5" s="2401"/>
      <c r="DC5" s="2401"/>
      <c r="DD5" s="2402"/>
    </row>
    <row r="6" spans="1:108" ht="100" customHeight="1" thickBot="1">
      <c r="A6" s="209"/>
      <c r="B6" s="209"/>
      <c r="C6" s="209"/>
      <c r="D6" s="209"/>
      <c r="E6" s="209"/>
      <c r="F6" s="209"/>
      <c r="G6" s="209"/>
      <c r="H6" s="209"/>
      <c r="I6" s="209"/>
      <c r="J6" s="209"/>
      <c r="K6" s="1378"/>
      <c r="L6" s="209"/>
      <c r="M6" s="209"/>
      <c r="N6" s="209"/>
      <c r="O6" s="209"/>
      <c r="P6" s="210"/>
      <c r="Q6" s="211"/>
      <c r="R6" s="212"/>
      <c r="S6" s="214" t="s">
        <v>233</v>
      </c>
      <c r="T6" s="214" t="s">
        <v>265</v>
      </c>
      <c r="U6" s="213"/>
      <c r="V6" s="214"/>
      <c r="W6" s="214"/>
      <c r="X6" s="211"/>
      <c r="Y6" s="211"/>
      <c r="Z6" s="212"/>
      <c r="AA6" s="212"/>
      <c r="AB6" s="214" t="s">
        <v>234</v>
      </c>
      <c r="AC6" s="214"/>
      <c r="AD6" s="214"/>
      <c r="AE6" s="214"/>
      <c r="AF6" s="214" t="s">
        <v>234</v>
      </c>
      <c r="AG6" s="215"/>
      <c r="AH6" s="215"/>
      <c r="AI6" s="346"/>
      <c r="AJ6" s="1921" t="s">
        <v>720</v>
      </c>
      <c r="AK6" s="1921" t="s">
        <v>455</v>
      </c>
      <c r="AL6" s="1922" t="s">
        <v>445</v>
      </c>
      <c r="AM6" s="137" t="s">
        <v>650</v>
      </c>
      <c r="AN6" s="137" t="s">
        <v>651</v>
      </c>
      <c r="AO6" s="137" t="s">
        <v>425</v>
      </c>
      <c r="AP6" s="578" t="s">
        <v>652</v>
      </c>
      <c r="AQ6" s="578" t="s">
        <v>653</v>
      </c>
      <c r="AR6" s="522" t="s">
        <v>654</v>
      </c>
      <c r="AS6" s="522" t="s">
        <v>655</v>
      </c>
      <c r="AT6" s="442" t="s">
        <v>639</v>
      </c>
      <c r="AU6" s="326" t="s">
        <v>657</v>
      </c>
      <c r="AV6" s="326" t="s">
        <v>658</v>
      </c>
      <c r="AW6" s="347" t="s">
        <v>659</v>
      </c>
      <c r="AX6" s="431" t="s">
        <v>721</v>
      </c>
      <c r="AY6" s="347" t="s">
        <v>661</v>
      </c>
      <c r="AZ6" s="415" t="s">
        <v>662</v>
      </c>
      <c r="BA6" s="339" t="s">
        <v>640</v>
      </c>
      <c r="BB6" s="326" t="s">
        <v>663</v>
      </c>
      <c r="BC6" s="326" t="s">
        <v>658</v>
      </c>
      <c r="BD6" s="347" t="s">
        <v>659</v>
      </c>
      <c r="BE6" s="431" t="s">
        <v>721</v>
      </c>
      <c r="BF6" s="416" t="s">
        <v>661</v>
      </c>
      <c r="BG6" s="415" t="s">
        <v>662</v>
      </c>
      <c r="BH6" s="336" t="s">
        <v>722</v>
      </c>
      <c r="BI6" s="326" t="s">
        <v>665</v>
      </c>
      <c r="BJ6" s="326" t="s">
        <v>658</v>
      </c>
      <c r="BK6" s="347" t="s">
        <v>659</v>
      </c>
      <c r="BL6" s="431" t="s">
        <v>721</v>
      </c>
      <c r="BM6" s="416" t="s">
        <v>661</v>
      </c>
      <c r="BN6" s="415" t="s">
        <v>662</v>
      </c>
      <c r="BP6" s="224" t="s">
        <v>622</v>
      </c>
      <c r="BQ6" s="224" t="s">
        <v>623</v>
      </c>
      <c r="BR6" s="224" t="s">
        <v>234</v>
      </c>
      <c r="BS6" s="600"/>
      <c r="BT6" s="609" t="s">
        <v>723</v>
      </c>
      <c r="BU6" s="326" t="s">
        <v>667</v>
      </c>
      <c r="BV6" s="326" t="s">
        <v>658</v>
      </c>
      <c r="BW6" s="347" t="s">
        <v>659</v>
      </c>
      <c r="BX6" s="431" t="s">
        <v>721</v>
      </c>
      <c r="BY6" s="416" t="s">
        <v>661</v>
      </c>
      <c r="BZ6" s="415" t="s">
        <v>662</v>
      </c>
      <c r="CA6" s="650" t="s">
        <v>668</v>
      </c>
      <c r="CB6" s="326" t="s">
        <v>669</v>
      </c>
      <c r="CC6" s="326" t="s">
        <v>658</v>
      </c>
      <c r="CD6" s="347" t="s">
        <v>659</v>
      </c>
      <c r="CE6" s="431" t="s">
        <v>721</v>
      </c>
      <c r="CF6" s="416" t="s">
        <v>661</v>
      </c>
      <c r="CG6" s="415" t="s">
        <v>662</v>
      </c>
      <c r="CH6" s="1771" t="s">
        <v>724</v>
      </c>
      <c r="CI6" s="326" t="s">
        <v>669</v>
      </c>
      <c r="CJ6" s="326" t="s">
        <v>658</v>
      </c>
      <c r="CK6" s="347" t="s">
        <v>659</v>
      </c>
      <c r="CL6" s="431" t="s">
        <v>721</v>
      </c>
      <c r="CM6" s="416" t="s">
        <v>661</v>
      </c>
      <c r="CN6" s="415" t="s">
        <v>662</v>
      </c>
      <c r="CO6" s="2077" t="s">
        <v>666</v>
      </c>
      <c r="CP6" s="326" t="s">
        <v>669</v>
      </c>
      <c r="CQ6" s="326" t="s">
        <v>658</v>
      </c>
      <c r="CR6" s="347" t="s">
        <v>659</v>
      </c>
      <c r="CS6" s="431" t="s">
        <v>721</v>
      </c>
      <c r="CT6" s="416" t="s">
        <v>661</v>
      </c>
      <c r="CU6" s="415" t="s">
        <v>662</v>
      </c>
      <c r="CX6" s="336" t="s">
        <v>722</v>
      </c>
      <c r="CY6" s="326" t="s">
        <v>665</v>
      </c>
      <c r="CZ6" s="326" t="s">
        <v>658</v>
      </c>
      <c r="DA6" s="347" t="s">
        <v>659</v>
      </c>
      <c r="DB6" s="431" t="s">
        <v>721</v>
      </c>
      <c r="DC6" s="416" t="s">
        <v>661</v>
      </c>
      <c r="DD6" s="415" t="s">
        <v>662</v>
      </c>
    </row>
    <row r="7" spans="1:108" s="102" customFormat="1" ht="23" customHeight="1" thickBo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1314"/>
      <c r="L7" s="314"/>
      <c r="M7" s="314"/>
      <c r="N7" s="314"/>
      <c r="O7" s="314"/>
      <c r="P7" s="315"/>
      <c r="Q7" s="316"/>
      <c r="R7" s="317"/>
      <c r="S7" s="318"/>
      <c r="T7" s="318"/>
      <c r="U7" s="319"/>
      <c r="V7" s="318"/>
      <c r="W7" s="318"/>
      <c r="X7" s="316"/>
      <c r="Y7" s="316"/>
      <c r="Z7" s="317"/>
      <c r="AA7" s="317"/>
      <c r="AB7" s="318"/>
      <c r="AC7" s="318"/>
      <c r="AD7" s="318"/>
      <c r="AE7" s="318"/>
      <c r="AF7" s="1132"/>
      <c r="AG7" s="320"/>
      <c r="AH7" s="320"/>
      <c r="AI7" s="317"/>
      <c r="AJ7" s="1132"/>
      <c r="AK7" s="1132"/>
      <c r="AL7" s="305"/>
      <c r="AM7" s="1132"/>
      <c r="AN7" s="1132"/>
      <c r="AO7" s="305"/>
      <c r="AP7" s="443"/>
      <c r="AQ7" s="444"/>
      <c r="AR7" s="577"/>
      <c r="AS7" s="577"/>
      <c r="AT7" s="313"/>
      <c r="AU7" s="311"/>
      <c r="AV7" s="311"/>
      <c r="AW7" s="305"/>
      <c r="AX7" s="305"/>
      <c r="AY7" s="305"/>
      <c r="AZ7" s="305"/>
      <c r="BA7" s="340"/>
      <c r="BB7" s="311"/>
      <c r="BC7" s="311"/>
      <c r="BD7" s="305"/>
      <c r="BE7" s="305"/>
      <c r="BF7" s="305"/>
      <c r="BG7" s="312"/>
      <c r="BH7" s="371"/>
      <c r="BI7" s="372"/>
      <c r="BJ7" s="372"/>
      <c r="BK7" s="373"/>
      <c r="BL7" s="373"/>
      <c r="BM7" s="373"/>
      <c r="BN7" s="374"/>
      <c r="BP7" s="322"/>
      <c r="BQ7" s="322"/>
      <c r="BR7" s="322"/>
      <c r="BS7" s="600"/>
      <c r="BT7" s="371"/>
      <c r="BU7" s="372"/>
      <c r="BV7" s="372"/>
      <c r="BW7" s="373"/>
      <c r="BX7" s="373"/>
      <c r="BY7" s="373"/>
      <c r="BZ7" s="374"/>
      <c r="CA7" s="371"/>
      <c r="CB7" s="372"/>
      <c r="CC7" s="372"/>
      <c r="CD7" s="373"/>
      <c r="CE7" s="373"/>
      <c r="CF7" s="373"/>
      <c r="CG7" s="374"/>
      <c r="CH7" s="371"/>
      <c r="CI7" s="372"/>
      <c r="CJ7" s="372"/>
      <c r="CK7" s="373"/>
      <c r="CL7" s="373"/>
      <c r="CM7" s="373"/>
      <c r="CN7" s="374"/>
      <c r="CO7" s="2078"/>
      <c r="CP7" s="372"/>
      <c r="CQ7" s="372"/>
      <c r="CR7" s="373"/>
      <c r="CS7" s="373"/>
      <c r="CT7" s="373"/>
      <c r="CU7" s="374"/>
      <c r="CX7" s="371"/>
      <c r="CY7" s="372"/>
      <c r="CZ7" s="372"/>
      <c r="DA7" s="373"/>
      <c r="DB7" s="373"/>
      <c r="DC7" s="373"/>
      <c r="DD7" s="374"/>
    </row>
    <row r="8" spans="1:108" ht="35" customHeight="1">
      <c r="A8" s="100">
        <f>_xlfn.XLOOKUP(P8,MOPFRA!R$7:R$78,MOPFRA!A$7:A$78,"")</f>
        <v>48.716544797266323</v>
      </c>
      <c r="B8" s="99"/>
      <c r="C8" s="2109">
        <f ca="1">_xlfn.XLOOKUP(P8,MOPFRA!R$7:R$78,MOPFRA!$C$7:$C$78,"")</f>
        <v>0.22868086834527063</v>
      </c>
      <c r="D8" s="99"/>
      <c r="E8" s="2120">
        <f>_xlfn.XLOOKUP(P8,MOPFRA!$R$7:$R$56,MOPFRA!$D$7:$D$56,"")</f>
        <v>1.9271081268398715</v>
      </c>
      <c r="F8" s="2110">
        <f>_xlfn.XLOOKUP($P8,MOPFRA!$R$7:$R$56,MOPFRA!$E$7:$E$56,"")</f>
        <v>41.2</v>
      </c>
      <c r="G8" s="2121">
        <f>_xlfn.XLOOKUP($P8,MOPFRA!$R$7:$R$56,MOPFRA!$F$7:$F$56,"")</f>
        <v>39.800000000000004</v>
      </c>
      <c r="H8" s="2124" cm="1">
        <f t="array" ref="H8">IFERROR(_xlfn.XLOOKUP(P8,'Sales Rec'!$E$37:$E$91,'Sales Rec'!$CU$37:$CU$91*100,""),"")</f>
        <v>14.207893686721052</v>
      </c>
      <c r="I8" s="2313">
        <f>_xlfn.XLOOKUP(P8,MOPFRA!$R$7:$R$56,MOPFRA!H$7:H$56,"")</f>
        <v>1.0879478827361564</v>
      </c>
      <c r="J8" s="2313">
        <f>_xlfn.XLOOKUP(P8,MOPFRA!$R$7:$R$56,MOPFRA!J$7:J$56,"")</f>
        <v>0.2417096536477524</v>
      </c>
      <c r="K8" s="1942">
        <f>_xlfn.XLOOKUP(P8,'Sales Rec'!$E$4:$E$91,'Sales Rec'!$CV$4:$CV$91,"")</f>
        <v>20</v>
      </c>
      <c r="L8" s="2212">
        <f>_xlfn.XLOOKUP(P8,MOPFRA!R$7:R$78,MOPFRA!$L$7:$L$78,"")</f>
        <v>1</v>
      </c>
      <c r="M8" s="1586" t="str">
        <f>_xlfn.XLOOKUP(P8,'Sales Rec'!$E$4:$E$105,'Sales Rec'!$DS$4:$DS$105,"")</f>
        <v>BB</v>
      </c>
      <c r="N8" s="1586" t="str">
        <f>_xlfn.XLOOKUP(P8,'Sales Rec'!$E$4:$E$105,'Sales Rec'!$DZ$4:$DZ$105,"")</f>
        <v>BB</v>
      </c>
      <c r="O8" s="382" t="s">
        <v>114</v>
      </c>
      <c r="P8" s="1571" t="s">
        <v>115</v>
      </c>
      <c r="Q8" s="1929">
        <f>VLOOKUP(P8,MOPFRA!$R$7:$CF$78,2,FALSE)</f>
        <v>12</v>
      </c>
      <c r="R8" s="264">
        <f>VLOOKUP(P8,MOPFRA!$R$7:$CD$56,4,FALSE)</f>
        <v>4640</v>
      </c>
      <c r="S8" s="292">
        <f>_xlfn.XLOOKUP(P8,MOPFRA!$R$7:$R$56,MOPFRA!$V$7:$V$56,"")</f>
        <v>2.88</v>
      </c>
      <c r="T8" s="292">
        <f>_xlfn.XLOOKUP(P8,'دیده بان بازار'!$A$8:$A$3179,'دیده بان بازار'!$L$8:$L$3179,"")</f>
        <v>130</v>
      </c>
      <c r="U8" s="304">
        <f>VLOOKUP(P8,MOPFRA!$R$7:$CD$56,6,FALSE)</f>
        <v>4640</v>
      </c>
      <c r="V8" s="361">
        <f>_xlfn.XLOOKUP(P8,MOPFRA!$R$7:$R$56,MOPFRA!$X$7:$X$56,"")</f>
        <v>2.88</v>
      </c>
      <c r="W8" s="361">
        <f>_xlfn.XLOOKUP(P8,'دیده بان بازار'!$A$8:$A$3179,'دیده بان بازار'!$I$8:$I$3179,"")</f>
        <v>130</v>
      </c>
      <c r="X8" s="2057" t="str">
        <f>_xlfn.XLOOKUP(P8,MOPFRA!$R$7:$R$78,MOPFRA!$P$7:$P$78,"")</f>
        <v>M</v>
      </c>
      <c r="Y8" s="2058">
        <f t="shared" ref="Y8:Y39" si="3">SUMIF($X$8:$X$80,X8,$AU$8:$AU$80)/$AU$3</f>
        <v>3.6049848974958443E-2</v>
      </c>
      <c r="Z8" s="394">
        <f>_xlfn.XLOOKUP(P8,MOPFRA!$R$7:$R$78,MOPFRA!$T$7:$T$78,"")</f>
        <v>5800</v>
      </c>
      <c r="AA8" s="1030">
        <f>_xlfn.XLOOKUP(P8,'Sales Rec'!$E$4:$E$93,'Sales Rec'!$DW$4:$DW$93,"")</f>
        <v>0.59911772814998621</v>
      </c>
      <c r="AB8" s="850">
        <f>_xlfn.XLOOKUP(O8,MOPFRA!$Q$7:$Q$56,MOPFRA!$AA$7:$AA$56,"")</f>
        <v>0.29233511586452765</v>
      </c>
      <c r="AC8" s="1221">
        <f t="shared" ref="AC8:AC39" ca="1" si="4">IFERROR(AB8*100/(365-AH8), "")</f>
        <v>1.8270944741532977</v>
      </c>
      <c r="AD8" s="825">
        <f ca="1">_xlfn.XLOOKUP(P8,MOPFRA!$R$7:$R$56,MOPFRA!$AC$7:$AC$56,"")</f>
        <v>-158.05191316875445</v>
      </c>
      <c r="AE8" s="810">
        <f>_xlfn.XLOOKUP(O8,MOPFRA!$Q$7:$Q$56,MOPFRA!$AH$7:$AH$56,"")</f>
        <v>1.9160382101558573</v>
      </c>
      <c r="AF8" s="599">
        <f t="shared" ref="AF8:AF39" si="5">IFERROR(IF(AP8="B",(U8-(AQ8*1.0088))/AQ8,IF(AP8="S",(AQ8-(U8*1.0037))/AQ8,""))*100,"")</f>
        <v>-16.867452948557105</v>
      </c>
      <c r="AG8" s="308">
        <f>_xlfn.XLOOKUP(O8,MOPFRA!$Q$7:$Q$78,MOPFRA!$AM$7:$AM$78,"")</f>
        <v>0</v>
      </c>
      <c r="AH8" s="1935">
        <f ca="1">_xlfn.XLOOKUP(P8,MOPFRA!$R$7:$R$56,MOPFRA!$AI$7:$AI$56,"")</f>
        <v>349</v>
      </c>
      <c r="AI8" s="385"/>
      <c r="AJ8" s="1612">
        <f>_xlfn.XLOOKUP(P8,MOPFRA!$R$7:$R$56,MOPFRA!$AJ$7:$AJ$56,"")</f>
        <v>46223</v>
      </c>
      <c r="AK8" s="2222">
        <f>_xlfn.XLOOKUP(P8,MOPFRA!$R$7:$R$78,MOPFRA!$DY$7:$DY$78,"")</f>
        <v>400</v>
      </c>
      <c r="AL8" s="2213">
        <f>_xlfn.XLOOKUP(P8,MOPFRA!$R$7:$R$58,MOPFRA!$AK$7:$AK$58,"")</f>
        <v>46341</v>
      </c>
      <c r="AM8" s="1825">
        <f>_xlfn.XLOOKUP($P8,MOPFRA!$R$7:$R$56,MOPFRA!$CC$7:$CC$56,"")</f>
        <v>1216</v>
      </c>
      <c r="AN8" s="1341">
        <f>_xlfn.XLOOKUP($P8,MOPFRA!$R$7:$R$56,MOPFRA!$BW$7:$BW$56,"")</f>
        <v>1.8928918731601283</v>
      </c>
      <c r="AO8" s="1207">
        <f>_xlfn.XLOOKUP($P8,MOPFRA!$R$7:$R$56,MOPFRA!$CD$7:$CD$56,"")</f>
        <v>3.82</v>
      </c>
      <c r="AP8" s="447" t="s">
        <v>603</v>
      </c>
      <c r="AQ8" s="572">
        <v>3985</v>
      </c>
      <c r="AR8" s="797">
        <v>3307</v>
      </c>
      <c r="AS8" s="798">
        <f>IF(AR8&lt;1,"",(U8-AR8)/AR8)</f>
        <v>0.40308436649531298</v>
      </c>
      <c r="AT8" s="328">
        <v>800000</v>
      </c>
      <c r="AU8" s="334">
        <f t="shared" ref="AU8:AU39" si="6">(AT8*$U8/10000)*0.9912</f>
        <v>367933.44</v>
      </c>
      <c r="AV8" s="330">
        <f t="shared" ref="AV8:AV48" si="7">IFERROR(AU8/$AU$3,0)</f>
        <v>7.9963033479442235E-3</v>
      </c>
      <c r="AW8" s="310">
        <v>800000</v>
      </c>
      <c r="AX8" s="234">
        <f t="shared" ref="AX8:AX26" si="8">$AK8*AW8/10000</f>
        <v>32000</v>
      </c>
      <c r="AY8" s="402">
        <v>179250</v>
      </c>
      <c r="AZ8" s="1137">
        <v>0</v>
      </c>
      <c r="BA8" s="341">
        <v>128205</v>
      </c>
      <c r="BB8" s="334">
        <f t="shared" ref="BB8:BB48" si="9">(BA8*$U8/10000)*0.9912</f>
        <v>58963.633344000002</v>
      </c>
      <c r="BC8" s="343">
        <f t="shared" ref="BC8:BC48" si="10">IFERROR(BB8/$BB$3,0)</f>
        <v>2.6399429404354189E-3</v>
      </c>
      <c r="BD8" s="310">
        <v>128205</v>
      </c>
      <c r="BE8" s="234">
        <f t="shared" ref="BE8:BE48" si="11">$AK8*BD8/10000</f>
        <v>5128.2</v>
      </c>
      <c r="BF8" s="402">
        <v>23750</v>
      </c>
      <c r="BG8" s="1137">
        <v>0</v>
      </c>
      <c r="BH8" s="1353"/>
      <c r="BI8" s="334">
        <f t="shared" ref="BI8:BI48" si="12">(BH8*$U8/10000)*0.9912</f>
        <v>0</v>
      </c>
      <c r="BJ8" s="726">
        <f t="shared" ref="BJ8:BJ48" si="13">IFERROR(BI8/$BI$3,0)</f>
        <v>0</v>
      </c>
      <c r="BK8" s="310"/>
      <c r="BL8" s="234">
        <f t="shared" ref="BL8:BL48" si="14">$AK8*BK8/10000</f>
        <v>0</v>
      </c>
      <c r="BM8" s="402">
        <v>6700</v>
      </c>
      <c r="BN8" s="1137">
        <v>0</v>
      </c>
      <c r="BP8" s="720">
        <f t="shared" ref="BP8:BP48" si="15">(BQ8*$U8/10000)*0.9912</f>
        <v>426897.07334399997</v>
      </c>
      <c r="BQ8" s="721">
        <f t="shared" ref="BQ8:BQ39" si="16">BH8+BA8+AT8</f>
        <v>928205</v>
      </c>
      <c r="BR8" s="722">
        <f>BP8/$BP$81</f>
        <v>1.7926280186321412E-2</v>
      </c>
      <c r="BS8" s="603"/>
      <c r="BT8" s="1354"/>
      <c r="BU8" s="334">
        <f t="shared" ref="BU8:BU26" si="17">(BT8*$U8/10000)*0.9912</f>
        <v>0</v>
      </c>
      <c r="BV8" s="612">
        <f t="shared" ref="BV8:BV26" si="18">IFERROR(BU8/$BU$3,0)</f>
        <v>0</v>
      </c>
      <c r="BW8" s="310"/>
      <c r="BX8" s="234">
        <f t="shared" ref="BX8:BX26" si="19">$AK8*BW8/10000</f>
        <v>0</v>
      </c>
      <c r="BY8" s="402">
        <v>8000</v>
      </c>
      <c r="BZ8" s="1137">
        <v>0</v>
      </c>
      <c r="CA8" s="632"/>
      <c r="CB8" s="334">
        <f t="shared" ref="CB8:CB26" si="20">(CA8*$U8/10000)*0.9912</f>
        <v>0</v>
      </c>
      <c r="CC8" s="630">
        <f t="shared" ref="CC8:CC26" si="21">IFERROR(CB8/$CB$3,0)</f>
        <v>0</v>
      </c>
      <c r="CD8" s="310"/>
      <c r="CE8" s="234">
        <f t="shared" ref="CE8:CE26" si="22">$AK8*CD8/10000</f>
        <v>0</v>
      </c>
      <c r="CF8" s="402">
        <v>600</v>
      </c>
      <c r="CG8" s="1137">
        <v>0</v>
      </c>
      <c r="CH8" s="1765"/>
      <c r="CI8" s="334">
        <f t="shared" ref="CI8:CI39" si="23">(CH8*$U8/10000)*0.9912</f>
        <v>0</v>
      </c>
      <c r="CJ8" s="1767">
        <f t="shared" ref="CJ8:CJ39" si="24">IFERROR(CI8/CI$3,0)</f>
        <v>0</v>
      </c>
      <c r="CK8" s="310"/>
      <c r="CL8" s="234">
        <f t="shared" ref="CL8:CL17" si="25">$AK8*CK8/10000</f>
        <v>0</v>
      </c>
      <c r="CM8" s="402"/>
      <c r="CN8" s="1137">
        <v>0</v>
      </c>
      <c r="CO8" s="2079"/>
      <c r="CP8" s="334">
        <f t="shared" ref="CP8:CP39" si="26">(CO8*$U8/10000)*0.9912</f>
        <v>0</v>
      </c>
      <c r="CQ8" s="2070">
        <f t="shared" ref="CQ8:CQ39" si="27">IFERROR(CP8/CP$3,0)</f>
        <v>0</v>
      </c>
      <c r="CR8" s="310"/>
      <c r="CS8" s="234">
        <f t="shared" ref="CS8:CS18" si="28">$AK8*CR8/10000</f>
        <v>0</v>
      </c>
      <c r="CT8" s="402"/>
      <c r="CU8" s="1137">
        <v>0</v>
      </c>
      <c r="CX8" s="1353"/>
      <c r="CY8" s="334">
        <f t="shared" ref="CY8:CY48" si="29">(CX8*$U8/10000)*0.9912</f>
        <v>0</v>
      </c>
      <c r="CZ8" s="726">
        <f t="shared" ref="CZ8:CZ48" si="30">IFERROR(CY8/$BI$3,0)</f>
        <v>0</v>
      </c>
      <c r="DA8" s="310"/>
      <c r="DB8" s="234">
        <f t="shared" ref="DB8:DB48" si="31">$AK8*DA8/10000</f>
        <v>0</v>
      </c>
      <c r="DC8" s="402">
        <v>6700</v>
      </c>
      <c r="DD8" s="1137">
        <v>0</v>
      </c>
    </row>
    <row r="9" spans="1:108" ht="35" customHeight="1">
      <c r="A9" s="100">
        <f>_xlfn.XLOOKUP(P9,MOPFRA!R$7:R$78,MOPFRA!A$7:A$78,"")</f>
        <v>40.089609914804811</v>
      </c>
      <c r="B9" s="99"/>
      <c r="C9" s="2109">
        <f ca="1">_xlfn.XLOOKUP(P9,MOPFRA!R$7:R$78,MOPFRA!$C$7:$C$78,"")</f>
        <v>0.25905805870672405</v>
      </c>
      <c r="D9" s="99"/>
      <c r="E9" s="2120">
        <f>_xlfn.XLOOKUP(P9,MOPFRA!$R$7:$R$56,MOPFRA!$D$7:$D$56,"")</f>
        <v>1.5725873191781234</v>
      </c>
      <c r="F9" s="2110">
        <f>_xlfn.XLOOKUP($P9,MOPFRA!$R$7:$R$56,MOPFRA!$E$7:$E$56,"")</f>
        <v>30.599999999999998</v>
      </c>
      <c r="G9" s="2121">
        <f>_xlfn.XLOOKUP($P9,MOPFRA!$R$7:$R$56,MOPFRA!$F$7:$F$56,"")</f>
        <v>23.6</v>
      </c>
      <c r="H9" s="2124" cm="1">
        <f t="array" ref="H9">IFERROR(_xlfn.XLOOKUP(P9,'Sales Rec'!$E$37:$E$91,'Sales Rec'!$CU$37:$CU$91*100,""),"")</f>
        <v>3.5106252739744992</v>
      </c>
      <c r="I9" s="2313">
        <f>_xlfn.XLOOKUP(P9,MOPFRA!$R$7:$R$56,MOPFRA!H$7:H$56,"")</f>
        <v>0.97280593325092712</v>
      </c>
      <c r="J9" s="2313">
        <f>_xlfn.XLOOKUP(P9,MOPFRA!$R$7:$R$56,MOPFRA!J$7:J$56,"")</f>
        <v>0.74136848713119896</v>
      </c>
      <c r="K9" s="1942">
        <f>_xlfn.XLOOKUP(P9,'Sales Rec'!$E$4:$E$91,'Sales Rec'!$CV$4:$CV$91,"")</f>
        <v>23</v>
      </c>
      <c r="L9" s="2212">
        <f>_xlfn.XLOOKUP(P9,MOPFRA!R$7:R$78,MOPFRA!$L$7:$L$78,"")</f>
        <v>2</v>
      </c>
      <c r="M9" s="1586" t="str">
        <f>_xlfn.XLOOKUP(P9,'Sales Rec'!$E$4:$E$105,'Sales Rec'!$DS$4:$DS$105,"")</f>
        <v>BB</v>
      </c>
      <c r="N9" s="1586" t="str">
        <f>_xlfn.XLOOKUP(P9,'Sales Rec'!$E$4:$E$105,'Sales Rec'!$DZ$4:$DZ$105,"")</f>
        <v>BB</v>
      </c>
      <c r="O9" s="382" t="s">
        <v>138</v>
      </c>
      <c r="P9" s="1571" t="s">
        <v>139</v>
      </c>
      <c r="Q9" s="1929">
        <f>VLOOKUP(P9,MOPFRA!$R$7:$CF$78,2,FALSE)</f>
        <v>12</v>
      </c>
      <c r="R9" s="264">
        <f>VLOOKUP(P9,MOPFRA!$R$7:$CD$56,4,FALSE)</f>
        <v>11010</v>
      </c>
      <c r="S9" s="292">
        <f>_xlfn.XLOOKUP(P9,MOPFRA!$R$7:$R$56,MOPFRA!$V$7:$V$56,"")</f>
        <v>2.99</v>
      </c>
      <c r="T9" s="292">
        <f>_xlfn.XLOOKUP(P9,'دیده بان بازار'!$A$8:$A$3179,'دیده بان بازار'!$L$8:$L$3179,"")</f>
        <v>320</v>
      </c>
      <c r="U9" s="304">
        <f>VLOOKUP(P9,MOPFRA!$R$7:$CD$56,6,FALSE)</f>
        <v>11010</v>
      </c>
      <c r="V9" s="361">
        <f>_xlfn.XLOOKUP(P9,MOPFRA!$R$7:$R$56,MOPFRA!$X$7:$X$56,"")</f>
        <v>2.99</v>
      </c>
      <c r="W9" s="361">
        <f>_xlfn.XLOOKUP(P9,'دیده بان بازار'!$A$8:$A$3179,'دیده بان بازار'!$I$8:$I$3179,"")</f>
        <v>320</v>
      </c>
      <c r="X9" s="2057" t="str">
        <f>_xlfn.XLOOKUP(P9,MOPFRA!$R$7:$R$78,MOPFRA!$P$7:$P$78,"")</f>
        <v>PAB</v>
      </c>
      <c r="Y9" s="2058">
        <f t="shared" si="3"/>
        <v>1.778811284904349E-2</v>
      </c>
      <c r="Z9" s="394">
        <f>_xlfn.XLOOKUP(P9,MOPFRA!$R$7:$R$78,MOPFRA!$T$7:$T$78,"")</f>
        <v>11010</v>
      </c>
      <c r="AA9" s="1030">
        <f>_xlfn.XLOOKUP(P9,'Sales Rec'!$E$4:$E$93,'Sales Rec'!$DW$4:$DW$93,"")</f>
        <v>0.49106175514626221</v>
      </c>
      <c r="AB9" s="850">
        <f>_xlfn.XLOOKUP(O9,MOPFRA!$Q$7:$Q$56,MOPFRA!$AA$7:$AA$56,"")</f>
        <v>5.3588516746411484E-2</v>
      </c>
      <c r="AC9" s="1221">
        <f t="shared" ca="1" si="4"/>
        <v>0.14102241249055655</v>
      </c>
      <c r="AD9" s="825">
        <f ca="1">_xlfn.XLOOKUP(P9,MOPFRA!$R$7:$R$56,MOPFRA!$AC$7:$AC$56,"")</f>
        <v>10.555292997519688</v>
      </c>
      <c r="AE9" s="810">
        <f>_xlfn.XLOOKUP(O9,MOPFRA!$Q$7:$Q$56,MOPFRA!$AH$7:$AH$56,"")</f>
        <v>0.84576697401508805</v>
      </c>
      <c r="AF9" s="599">
        <f t="shared" si="5"/>
        <v>22.246817266830689</v>
      </c>
      <c r="AG9" s="308">
        <f>_xlfn.XLOOKUP(O9,MOPFRA!$Q$7:$Q$78,MOPFRA!$AM$7:$AM$78,"")</f>
        <v>0</v>
      </c>
      <c r="AH9" s="1935">
        <f ca="1">_xlfn.XLOOKUP(P9,MOPFRA!$R$7:$R$56,MOPFRA!$AI$7:$AI$56,"")</f>
        <v>327</v>
      </c>
      <c r="AI9" s="385"/>
      <c r="AJ9" s="1612">
        <f>_xlfn.XLOOKUP(P9,MOPFRA!$R$7:$R$56,MOPFRA!$AJ$7:$AJ$56,"")</f>
        <v>46201</v>
      </c>
      <c r="AK9" s="1828">
        <f>_xlfn.XLOOKUP(P9,MOPFRA!$R$7:$R$78,MOPFRA!$DY$7:$DY$78,"")</f>
        <v>1600</v>
      </c>
      <c r="AL9" s="2286">
        <f>_xlfn.XLOOKUP(P9,MOPFRA!$R$7:$R$58,MOPFRA!$AK$7:$AK$58,"")</f>
        <v>46223</v>
      </c>
      <c r="AM9" s="1825">
        <f>_xlfn.XLOOKUP($P9,MOPFRA!$R$7:$R$56,MOPFRA!$CC$7:$CC$56,"")</f>
        <v>2884</v>
      </c>
      <c r="AN9" s="1341">
        <f>_xlfn.XLOOKUP($P9,MOPFRA!$R$7:$R$56,MOPFRA!$BW$7:$BW$56,"")</f>
        <v>2.2474126808218764</v>
      </c>
      <c r="AO9" s="1207">
        <f>_xlfn.XLOOKUP($P9,MOPFRA!$R$7:$R$56,MOPFRA!$CD$7:$CD$56,"")</f>
        <v>3.82</v>
      </c>
      <c r="AP9" s="448" t="s">
        <v>197</v>
      </c>
      <c r="AQ9" s="571">
        <v>8942</v>
      </c>
      <c r="AR9" s="797">
        <v>9738</v>
      </c>
      <c r="AS9" s="798">
        <f>IF(AR9&lt;1,"",(U9-AR9)/AR9)</f>
        <v>0.13062230437461492</v>
      </c>
      <c r="AT9" s="329">
        <v>750000</v>
      </c>
      <c r="AU9" s="334">
        <f t="shared" si="6"/>
        <v>818483.4</v>
      </c>
      <c r="AV9" s="330">
        <f t="shared" si="7"/>
        <v>1.778811284904349E-2</v>
      </c>
      <c r="AW9" s="272"/>
      <c r="AX9" s="234">
        <f t="shared" si="8"/>
        <v>0</v>
      </c>
      <c r="AY9" s="402">
        <v>164012</v>
      </c>
      <c r="AZ9" s="1137">
        <v>0</v>
      </c>
      <c r="BA9" s="342">
        <v>76923</v>
      </c>
      <c r="BB9" s="334">
        <f t="shared" si="9"/>
        <v>83946.931437599997</v>
      </c>
      <c r="BC9" s="343">
        <f t="shared" si="10"/>
        <v>3.7585049708009429E-3</v>
      </c>
      <c r="BD9" s="272"/>
      <c r="BE9" s="234">
        <f t="shared" si="11"/>
        <v>0</v>
      </c>
      <c r="BF9" s="402">
        <v>22007</v>
      </c>
      <c r="BG9" s="1137">
        <v>0</v>
      </c>
      <c r="BH9" s="333">
        <v>15384</v>
      </c>
      <c r="BI9" s="334">
        <f t="shared" si="12"/>
        <v>16788.731500800001</v>
      </c>
      <c r="BJ9" s="726">
        <f t="shared" si="13"/>
        <v>1.0866527569650699E-2</v>
      </c>
      <c r="BK9" s="272"/>
      <c r="BL9" s="234">
        <f t="shared" si="14"/>
        <v>0</v>
      </c>
      <c r="BM9" s="402">
        <v>5101</v>
      </c>
      <c r="BN9" s="1137">
        <v>0</v>
      </c>
      <c r="BP9" s="720">
        <f t="shared" si="15"/>
        <v>919219.06293839996</v>
      </c>
      <c r="BQ9" s="721">
        <f t="shared" si="16"/>
        <v>842307</v>
      </c>
      <c r="BR9" s="722">
        <f>BP9/$BP$81</f>
        <v>3.8599886257742543E-2</v>
      </c>
      <c r="BS9" s="604"/>
      <c r="BT9" s="610">
        <v>12307</v>
      </c>
      <c r="BU9" s="334">
        <f t="shared" si="17"/>
        <v>13430.7669384</v>
      </c>
      <c r="BV9" s="612">
        <f t="shared" si="18"/>
        <v>8.1610393184374675E-3</v>
      </c>
      <c r="BW9" s="272"/>
      <c r="BX9" s="234">
        <f t="shared" si="19"/>
        <v>0</v>
      </c>
      <c r="BY9" s="402">
        <v>2662</v>
      </c>
      <c r="BZ9" s="1137">
        <v>0</v>
      </c>
      <c r="CA9" s="628">
        <v>5000</v>
      </c>
      <c r="CB9" s="334">
        <f t="shared" si="20"/>
        <v>5456.5559999999996</v>
      </c>
      <c r="CC9" s="630">
        <f t="shared" si="21"/>
        <v>2.0599777040949011E-2</v>
      </c>
      <c r="CD9" s="272"/>
      <c r="CE9" s="234">
        <f t="shared" si="22"/>
        <v>0</v>
      </c>
      <c r="CF9" s="402">
        <v>1149</v>
      </c>
      <c r="CG9" s="1137">
        <v>0</v>
      </c>
      <c r="CH9" s="1764">
        <v>20000</v>
      </c>
      <c r="CI9" s="334">
        <f t="shared" si="23"/>
        <v>21826.223999999998</v>
      </c>
      <c r="CJ9" s="1767">
        <f t="shared" si="24"/>
        <v>1.7969354872713961E-3</v>
      </c>
      <c r="CK9" s="272"/>
      <c r="CL9" s="234">
        <f t="shared" si="25"/>
        <v>0</v>
      </c>
      <c r="CM9" s="402">
        <v>1600</v>
      </c>
      <c r="CN9" s="1137">
        <v>0</v>
      </c>
      <c r="CO9" s="2074"/>
      <c r="CP9" s="334">
        <f t="shared" si="26"/>
        <v>0</v>
      </c>
      <c r="CQ9" s="2070">
        <f t="shared" si="27"/>
        <v>0</v>
      </c>
      <c r="CR9" s="272"/>
      <c r="CS9" s="234">
        <f t="shared" si="28"/>
        <v>0</v>
      </c>
      <c r="CT9" s="402"/>
      <c r="CU9" s="1137">
        <v>0</v>
      </c>
      <c r="CX9" s="333">
        <v>15384</v>
      </c>
      <c r="CY9" s="334">
        <f t="shared" si="29"/>
        <v>16788.731500800001</v>
      </c>
      <c r="CZ9" s="726">
        <f t="shared" si="30"/>
        <v>1.0866527569650699E-2</v>
      </c>
      <c r="DA9" s="272"/>
      <c r="DB9" s="234">
        <f t="shared" si="31"/>
        <v>0</v>
      </c>
      <c r="DC9" s="402">
        <v>5101</v>
      </c>
      <c r="DD9" s="1137">
        <v>0</v>
      </c>
    </row>
    <row r="10" spans="1:108" ht="35" customHeight="1">
      <c r="A10" s="100">
        <f>_xlfn.XLOOKUP(P10,MOPFRA!R$7:R$78,MOPFRA!A$7:A$78,"")</f>
        <v>34.139725881635457</v>
      </c>
      <c r="B10" s="99"/>
      <c r="C10" s="2109">
        <f ca="1">_xlfn.XLOOKUP(P10,MOPFRA!R$7:R$78,MOPFRA!$C$7:$C$78,"")</f>
        <v>0.19981205591926948</v>
      </c>
      <c r="D10" s="99"/>
      <c r="E10" s="2120">
        <f>_xlfn.XLOOKUP(P10,MOPFRA!$R$7:$R$56,MOPFRA!$D$7:$D$56,"")</f>
        <v>2.3135843858887504</v>
      </c>
      <c r="F10" s="2110">
        <f>_xlfn.XLOOKUP($P10,MOPFRA!$R$7:$R$56,MOPFRA!$E$7:$E$56,"")</f>
        <v>3.6000000000000005</v>
      </c>
      <c r="G10" s="2121">
        <f>_xlfn.XLOOKUP($P10,MOPFRA!$R$7:$R$56,MOPFRA!$F$7:$F$56,"")</f>
        <v>6.8000000000000007</v>
      </c>
      <c r="H10" s="2124" cm="1">
        <f t="array" ref="H10">IFERROR(_xlfn.XLOOKUP(P10,'Sales Rec'!$E$37:$E$91,'Sales Rec'!$CU$37:$CU$91*100,""),"")</f>
        <v>51.283642346555382</v>
      </c>
      <c r="I10" s="2313">
        <f>_xlfn.XLOOKUP(P10,MOPFRA!$R$7:$R$56,MOPFRA!H$7:H$56,"")</f>
        <v>1.7849692202462379</v>
      </c>
      <c r="J10" s="2313">
        <f>_xlfn.XLOOKUP(P10,MOPFRA!$R$7:$R$56,MOPFRA!J$7:J$56,"")</f>
        <v>1.0009539384028345</v>
      </c>
      <c r="K10" s="1942">
        <f>_xlfn.XLOOKUP(P10,'Sales Rec'!$E$4:$E$91,'Sales Rec'!$CV$4:$CV$91,"")</f>
        <v>8</v>
      </c>
      <c r="L10" s="2212">
        <f>_xlfn.XLOOKUP(P10,MOPFRA!R$7:R$78,MOPFRA!$L$7:$L$78,"")</f>
        <v>5</v>
      </c>
      <c r="M10" s="1586" t="str">
        <f>_xlfn.XLOOKUP(P10,'Sales Rec'!$E$4:$E$105,'Sales Rec'!$DS$4:$DS$105,"")</f>
        <v>BB</v>
      </c>
      <c r="N10" s="1586" t="str">
        <f>_xlfn.XLOOKUP(P10,'Sales Rec'!$E$4:$E$105,'Sales Rec'!$DZ$4:$DZ$105,"")</f>
        <v>BB</v>
      </c>
      <c r="O10" s="382" t="s">
        <v>148</v>
      </c>
      <c r="P10" s="1571" t="s">
        <v>149</v>
      </c>
      <c r="Q10" s="1929">
        <f>VLOOKUP(P10,MOPFRA!$R$7:$CF$78,2,FALSE)</f>
        <v>12</v>
      </c>
      <c r="R10" s="264">
        <f>VLOOKUP(P10,MOPFRA!$R$7:$CD$56,4,FALSE)</f>
        <v>19620</v>
      </c>
      <c r="S10" s="292">
        <f>_xlfn.XLOOKUP(P10,MOPFRA!$R$7:$R$56,MOPFRA!$V$7:$V$56,"")</f>
        <v>2.99</v>
      </c>
      <c r="T10" s="292">
        <f>_xlfn.XLOOKUP(P10,'دیده بان بازار'!$A$8:$A$3179,'دیده بان بازار'!$L$8:$L$3179,"")</f>
        <v>570</v>
      </c>
      <c r="U10" s="304">
        <f>VLOOKUP(P10,MOPFRA!$R$7:$CD$56,6,FALSE)</f>
        <v>19620</v>
      </c>
      <c r="V10" s="361">
        <f>_xlfn.XLOOKUP(P10,MOPFRA!$R$7:$R$56,MOPFRA!$X$7:$X$56,"")</f>
        <v>2.99</v>
      </c>
      <c r="W10" s="361">
        <f>_xlfn.XLOOKUP(P10,'دیده بان بازار'!$A$8:$A$3179,'دیده بان بازار'!$I$8:$I$3179,"")</f>
        <v>570</v>
      </c>
      <c r="X10" s="2057" t="str">
        <f>_xlfn.XLOOKUP(P10,MOPFRA!$R$7:$R$78,MOPFRA!$P$7:$P$78,"")</f>
        <v>PEP</v>
      </c>
      <c r="Y10" s="2058">
        <f t="shared" si="3"/>
        <v>5.4944427045437866E-3</v>
      </c>
      <c r="Z10" s="394">
        <f>_xlfn.XLOOKUP(P10,MOPFRA!$R$7:$R$78,MOPFRA!$T$7:$T$78,"")</f>
        <v>33354</v>
      </c>
      <c r="AA10" s="1030">
        <f>_xlfn.XLOOKUP(P10,'Sales Rec'!$E$4:$E$93,'Sales Rec'!$DW$4:$DW$93,"")</f>
        <v>1.0275297619047616</v>
      </c>
      <c r="AB10" s="850">
        <f>_xlfn.XLOOKUP(O10,MOPFRA!$Q$7:$Q$56,MOPFRA!$AA$7:$AA$56,"")</f>
        <v>0.54245283018867929</v>
      </c>
      <c r="AC10" s="1221">
        <f t="shared" ca="1" si="4"/>
        <v>2.7122641509433967</v>
      </c>
      <c r="AD10" s="825">
        <f ca="1">_xlfn.XLOOKUP(P10,MOPFRA!$R$7:$R$56,MOPFRA!$AC$7:$AC$56,"")</f>
        <v>-246.56888084776429</v>
      </c>
      <c r="AE10" s="810">
        <f>_xlfn.XLOOKUP(O10,MOPFRA!$Q$7:$Q$56,MOPFRA!$AH$7:$AH$56,"")</f>
        <v>5.9462550028587767E-2</v>
      </c>
      <c r="AF10" s="599">
        <f t="shared" si="5"/>
        <v>7.8361301047265606</v>
      </c>
      <c r="AG10" s="308">
        <f>_xlfn.XLOOKUP(O10,MOPFRA!$Q$7:$Q$78,MOPFRA!$AM$7:$AM$78,"")</f>
        <v>0</v>
      </c>
      <c r="AH10" s="1935">
        <f ca="1">_xlfn.XLOOKUP(P10,MOPFRA!$R$7:$R$56,MOPFRA!$AI$7:$AI$56,"")</f>
        <v>345</v>
      </c>
      <c r="AI10" s="385"/>
      <c r="AJ10" s="1612">
        <f>_xlfn.XLOOKUP(P10,MOPFRA!$R$7:$R$56,MOPFRA!$AJ$7:$AJ$56,"")</f>
        <v>46219</v>
      </c>
      <c r="AK10" s="1691">
        <f>_xlfn.XLOOKUP(P10,MOPFRA!$R$7:$R$78,MOPFRA!$DY$7:$DY$78,"")</f>
        <v>1100</v>
      </c>
      <c r="AL10" s="1821">
        <f>_xlfn.XLOOKUP(P10,MOPFRA!$R$7:$R$58,MOPFRA!$AK$7:$AK$58,"")</f>
        <v>46270</v>
      </c>
      <c r="AM10" s="1825">
        <f>_xlfn.XLOOKUP($P10,MOPFRA!$R$7:$R$56,MOPFRA!$CC$7:$CC$56,"")</f>
        <v>3871</v>
      </c>
      <c r="AN10" s="1341">
        <f>_xlfn.XLOOKUP($P10,MOPFRA!$R$7:$R$56,MOPFRA!$BW$7:$BW$56,"")</f>
        <v>2.7564156141112499</v>
      </c>
      <c r="AO10" s="1207">
        <f>_xlfn.XLOOKUP($P10,MOPFRA!$R$7:$R$56,MOPFRA!$CD$7:$CD$56,"")</f>
        <v>5.07</v>
      </c>
      <c r="AP10" s="448" t="s">
        <v>197</v>
      </c>
      <c r="AQ10" s="571">
        <v>18047</v>
      </c>
      <c r="AR10" s="797">
        <v>18557</v>
      </c>
      <c r="AS10" s="798">
        <f>IF(AR10&lt;1,"",(U10-AR10)/AR10)</f>
        <v>5.7282965996658941E-2</v>
      </c>
      <c r="AT10" s="329">
        <v>130000</v>
      </c>
      <c r="AU10" s="334">
        <f t="shared" si="6"/>
        <v>252815.47199999998</v>
      </c>
      <c r="AV10" s="330">
        <f t="shared" si="7"/>
        <v>5.4944427045437866E-3</v>
      </c>
      <c r="AW10" s="272"/>
      <c r="AX10" s="234">
        <f t="shared" si="8"/>
        <v>0</v>
      </c>
      <c r="AY10" s="402">
        <v>7312</v>
      </c>
      <c r="AZ10" s="1137">
        <v>0</v>
      </c>
      <c r="BA10" s="342">
        <v>100000</v>
      </c>
      <c r="BB10" s="334">
        <f t="shared" si="9"/>
        <v>194473.44</v>
      </c>
      <c r="BC10" s="343">
        <f t="shared" si="10"/>
        <v>8.7070412034307449E-3</v>
      </c>
      <c r="BD10" s="272"/>
      <c r="BE10" s="234">
        <f t="shared" si="11"/>
        <v>0</v>
      </c>
      <c r="BF10" s="402"/>
      <c r="BG10" s="1137">
        <v>0</v>
      </c>
      <c r="BH10" s="333"/>
      <c r="BI10" s="334">
        <f t="shared" si="12"/>
        <v>0</v>
      </c>
      <c r="BJ10" s="726">
        <f t="shared" si="13"/>
        <v>0</v>
      </c>
      <c r="BK10" s="310"/>
      <c r="BL10" s="234">
        <f t="shared" si="14"/>
        <v>0</v>
      </c>
      <c r="BM10" s="402">
        <v>1106</v>
      </c>
      <c r="BN10" s="1137">
        <v>0</v>
      </c>
      <c r="BP10" s="720">
        <f t="shared" si="15"/>
        <v>447288.91200000001</v>
      </c>
      <c r="BQ10" s="721">
        <f t="shared" si="16"/>
        <v>230000</v>
      </c>
      <c r="BR10" s="722"/>
      <c r="BS10" s="604"/>
      <c r="BT10" s="610">
        <v>10000</v>
      </c>
      <c r="BU10" s="334">
        <f t="shared" si="17"/>
        <v>19447.344000000001</v>
      </c>
      <c r="BV10" s="612">
        <f t="shared" si="18"/>
        <v>1.1816937912116438E-2</v>
      </c>
      <c r="BW10" s="272"/>
      <c r="BX10" s="234">
        <f t="shared" si="19"/>
        <v>0</v>
      </c>
      <c r="BY10" s="402"/>
      <c r="BZ10" s="1137">
        <v>0</v>
      </c>
      <c r="CA10" s="628">
        <v>2000</v>
      </c>
      <c r="CB10" s="334">
        <f t="shared" si="20"/>
        <v>3889.4688000000001</v>
      </c>
      <c r="CC10" s="630">
        <f t="shared" si="21"/>
        <v>1.4683655787226873E-2</v>
      </c>
      <c r="CD10" s="272"/>
      <c r="CE10" s="234">
        <f t="shared" si="22"/>
        <v>0</v>
      </c>
      <c r="CF10" s="402"/>
      <c r="CG10" s="1137">
        <v>0</v>
      </c>
      <c r="CH10" s="1764">
        <v>120000</v>
      </c>
      <c r="CI10" s="334">
        <f t="shared" si="23"/>
        <v>233368.128</v>
      </c>
      <c r="CJ10" s="1767">
        <f t="shared" si="24"/>
        <v>1.9213010496057108E-2</v>
      </c>
      <c r="CK10" s="272"/>
      <c r="CL10" s="234">
        <f t="shared" si="25"/>
        <v>0</v>
      </c>
      <c r="CM10" s="402"/>
      <c r="CN10" s="1137">
        <v>0</v>
      </c>
      <c r="CO10" s="2074"/>
      <c r="CP10" s="334">
        <f t="shared" si="26"/>
        <v>0</v>
      </c>
      <c r="CQ10" s="2070">
        <f t="shared" si="27"/>
        <v>0</v>
      </c>
      <c r="CR10" s="272"/>
      <c r="CS10" s="234">
        <f t="shared" si="28"/>
        <v>0</v>
      </c>
      <c r="CT10" s="402"/>
      <c r="CU10" s="1137">
        <v>0</v>
      </c>
      <c r="CX10" s="333"/>
      <c r="CY10" s="334">
        <f t="shared" si="29"/>
        <v>0</v>
      </c>
      <c r="CZ10" s="726">
        <f t="shared" si="30"/>
        <v>0</v>
      </c>
      <c r="DA10" s="310"/>
      <c r="DB10" s="234">
        <f t="shared" si="31"/>
        <v>0</v>
      </c>
      <c r="DC10" s="402">
        <v>1106</v>
      </c>
      <c r="DD10" s="1137">
        <v>0</v>
      </c>
    </row>
    <row r="11" spans="1:108" ht="35" customHeight="1">
      <c r="A11" s="100">
        <f>_xlfn.XLOOKUP(P11,MOPFRA!R$7:R$78,MOPFRA!A$7:A$78,"")</f>
        <v>28.21227651390776</v>
      </c>
      <c r="B11" s="99"/>
      <c r="C11" s="2109">
        <f ca="1">_xlfn.XLOOKUP(P11,MOPFRA!R$7:R$78,MOPFRA!$C$7:$C$78,"")</f>
        <v>0.31869052654967467</v>
      </c>
      <c r="D11" s="99"/>
      <c r="E11" s="2120">
        <f>_xlfn.XLOOKUP(P11,MOPFRA!$R$7:$R$56,MOPFRA!$D$7:$D$56,"")</f>
        <v>2.2430854930005832</v>
      </c>
      <c r="F11" s="2110">
        <f>_xlfn.XLOOKUP($P11,MOPFRA!$R$7:$R$56,MOPFRA!$E$7:$E$56,"")</f>
        <v>12.5</v>
      </c>
      <c r="G11" s="2121">
        <f>_xlfn.XLOOKUP($P11,MOPFRA!$R$7:$R$56,MOPFRA!$F$7:$F$56,"")</f>
        <v>14.7</v>
      </c>
      <c r="H11" s="2124" cm="1">
        <f t="array" ref="H11">IFERROR(_xlfn.XLOOKUP(P11,'Sales Rec'!$E$37:$E$91,'Sales Rec'!$CU$37:$CU$91*100,""),"")</f>
        <v>-10.364700623716871</v>
      </c>
      <c r="I11" s="2313">
        <f>_xlfn.XLOOKUP(P11,MOPFRA!$R$7:$R$56,MOPFRA!H$7:H$56,"")</f>
        <v>0.88239486813970069</v>
      </c>
      <c r="J11" s="2313">
        <f>_xlfn.XLOOKUP(P11,MOPFRA!$R$7:$R$56,MOPFRA!J$7:J$56,"")</f>
        <v>0.92006802721088432</v>
      </c>
      <c r="K11" s="1942">
        <f>_xlfn.XLOOKUP(P11,'Sales Rec'!$E$4:$E$91,'Sales Rec'!$CV$4:$CV$91,"")</f>
        <v>27</v>
      </c>
      <c r="L11" s="2212">
        <f>_xlfn.XLOOKUP(P11,MOPFRA!R$7:R$78,MOPFRA!$L$7:$L$78,"")</f>
        <v>7</v>
      </c>
      <c r="M11" s="1586" t="str">
        <f>_xlfn.XLOOKUP(P11,'Sales Rec'!$E$4:$E$105,'Sales Rec'!$DS$4:$DS$105,"")</f>
        <v>B</v>
      </c>
      <c r="N11" s="1586" t="str">
        <f>_xlfn.XLOOKUP(P11,'Sales Rec'!$E$4:$E$105,'Sales Rec'!$DZ$4:$DZ$105,"")</f>
        <v>BB</v>
      </c>
      <c r="O11" s="382" t="s">
        <v>108</v>
      </c>
      <c r="P11" s="1571" t="s">
        <v>109</v>
      </c>
      <c r="Q11" s="1929">
        <v>12</v>
      </c>
      <c r="R11" s="264">
        <f>VLOOKUP(P11,MOPFRA!$R$7:$CD$56,4,FALSE)</f>
        <v>3620</v>
      </c>
      <c r="S11" s="292">
        <f>_xlfn.XLOOKUP(P11,MOPFRA!$R$7:$R$56,MOPFRA!$V$7:$V$56,"")</f>
        <v>2.84</v>
      </c>
      <c r="T11" s="292">
        <f>_xlfn.XLOOKUP(P11,'دیده بان بازار'!$A$8:$A$3179,'دیده بان بازار'!$L$8:$L$3179,"")</f>
        <v>100</v>
      </c>
      <c r="U11" s="304">
        <f>VLOOKUP(P11,MOPFRA!$R$7:$CD$56,6,FALSE)</f>
        <v>3620</v>
      </c>
      <c r="V11" s="361">
        <f>_xlfn.XLOOKUP(P11,MOPFRA!$R$7:$R$56,MOPFRA!$X$7:$X$56,"")</f>
        <v>2.84</v>
      </c>
      <c r="W11" s="361">
        <f>_xlfn.XLOOKUP(P11,'دیده بان بازار'!$A$8:$A$3179,'دیده بان بازار'!$I$8:$I$3179,"")</f>
        <v>100</v>
      </c>
      <c r="X11" s="2057" t="str">
        <f>_xlfn.XLOOKUP(P11,MOPFRA!$R$7:$R$78,MOPFRA!$P$7:$P$78,"")</f>
        <v>HH</v>
      </c>
      <c r="Y11" s="2058">
        <f t="shared" si="3"/>
        <v>4.6788714632906396E-3</v>
      </c>
      <c r="Z11" s="394">
        <f>_xlfn.XLOOKUP(P11,MOPFRA!$R$7:$R$78,MOPFRA!$T$7:$T$78,"")</f>
        <v>3258</v>
      </c>
      <c r="AA11" s="1030">
        <f>_xlfn.XLOOKUP(P11,'Sales Rec'!$E$4:$E$93,'Sales Rec'!$DW$4:$DW$93,"")</f>
        <v>0.49052978314575885</v>
      </c>
      <c r="AB11" s="850">
        <f>_xlfn.XLOOKUP(O11,MOPFRA!$Q$7:$Q$56,MOPFRA!$AA$7:$AA$56,"")</f>
        <v>0.31902834008097164</v>
      </c>
      <c r="AC11" s="1221">
        <f t="shared" ca="1" si="4"/>
        <v>2.2787738577212258</v>
      </c>
      <c r="AD11" s="825">
        <f ca="1">_xlfn.XLOOKUP(P11,MOPFRA!$R$7:$R$56,MOPFRA!$AC$7:$AC$56,"")</f>
        <v>-203.21985152554726</v>
      </c>
      <c r="AE11" s="810" t="str">
        <f>_xlfn.XLOOKUP(O11,MOPFRA!$Q$7:$Q$56,MOPFRA!$AH$7:$AH$56,"")</f>
        <v/>
      </c>
      <c r="AF11" s="599">
        <f t="shared" si="5"/>
        <v>-1.2378309936691356</v>
      </c>
      <c r="AG11" s="308">
        <f>_xlfn.XLOOKUP(O11,MOPFRA!$Q$7:$Q$78,MOPFRA!$AM$7:$AM$78,"")</f>
        <v>0</v>
      </c>
      <c r="AH11" s="1935">
        <f ca="1">_xlfn.XLOOKUP(P11,MOPFRA!$R$7:$R$56,MOPFRA!$AI$7:$AI$56,"")</f>
        <v>351</v>
      </c>
      <c r="AI11" s="385"/>
      <c r="AJ11" s="1612">
        <f>_xlfn.XLOOKUP(P11,MOPFRA!$R$7:$R$56,MOPFRA!$AJ$7:$AJ$56,"")</f>
        <v>46225</v>
      </c>
      <c r="AK11" s="1694">
        <f>_xlfn.XLOOKUP(P11,MOPFRA!$R$7:$R$78,MOPFRA!$DY$7:$DY$78,"")</f>
        <v>526</v>
      </c>
      <c r="AL11" s="1821">
        <f>_xlfn.XLOOKUP(P11,MOPFRA!$R$7:$R$58,MOPFRA!$AK$7:$AK$58,"")</f>
        <v>46305</v>
      </c>
      <c r="AM11" s="1825">
        <f>_xlfn.XLOOKUP($P11,MOPFRA!$R$7:$R$56,MOPFRA!$CC$7:$CC$56,"")</f>
        <v>957</v>
      </c>
      <c r="AN11" s="1341">
        <f>_xlfn.XLOOKUP($P11,MOPFRA!$R$7:$R$56,MOPFRA!$BW$7:$BW$56,"")</f>
        <v>1.5369145069994163</v>
      </c>
      <c r="AO11" s="1207">
        <f>_xlfn.XLOOKUP($P11,MOPFRA!$R$7:$R$56,MOPFRA!$CD$7:$CD$56,"")</f>
        <v>3.78</v>
      </c>
      <c r="AP11" s="448" t="s">
        <v>197</v>
      </c>
      <c r="AQ11" s="571">
        <v>3633</v>
      </c>
      <c r="AR11" s="797">
        <v>3564</v>
      </c>
      <c r="AS11" s="798">
        <f>IF(AR11&lt;1,"",(U11-AR11)/AR11)</f>
        <v>1.5712682379349047E-2</v>
      </c>
      <c r="AT11" s="329">
        <v>600000</v>
      </c>
      <c r="AU11" s="334">
        <f t="shared" si="6"/>
        <v>215288.63999999998</v>
      </c>
      <c r="AV11" s="330">
        <f t="shared" si="7"/>
        <v>4.6788714632906396E-3</v>
      </c>
      <c r="AW11" s="310"/>
      <c r="AX11" s="234">
        <f t="shared" si="8"/>
        <v>0</v>
      </c>
      <c r="AY11" s="402"/>
      <c r="AZ11" s="1137">
        <v>0</v>
      </c>
      <c r="BA11" s="342">
        <v>300000</v>
      </c>
      <c r="BB11" s="334">
        <f t="shared" si="9"/>
        <v>107644.31999999999</v>
      </c>
      <c r="BC11" s="343">
        <f t="shared" si="10"/>
        <v>4.8194937548041734E-3</v>
      </c>
      <c r="BD11" s="310"/>
      <c r="BE11" s="234">
        <f t="shared" si="11"/>
        <v>0</v>
      </c>
      <c r="BF11" s="402"/>
      <c r="BG11" s="1137">
        <v>0</v>
      </c>
      <c r="BH11" s="333"/>
      <c r="BI11" s="334">
        <f t="shared" si="12"/>
        <v>0</v>
      </c>
      <c r="BJ11" s="726">
        <f t="shared" si="13"/>
        <v>0</v>
      </c>
      <c r="BK11" s="272"/>
      <c r="BL11" s="234">
        <f t="shared" si="14"/>
        <v>0</v>
      </c>
      <c r="BM11" s="402"/>
      <c r="BN11" s="1137">
        <v>0</v>
      </c>
      <c r="BP11" s="720">
        <f t="shared" si="15"/>
        <v>322932.95999999996</v>
      </c>
      <c r="BQ11" s="721">
        <f t="shared" si="16"/>
        <v>900000</v>
      </c>
      <c r="BR11" s="722">
        <f t="shared" ref="BR11:BR48" si="32">BP11/$BP$81</f>
        <v>1.3560614686372595E-2</v>
      </c>
      <c r="BS11" s="604"/>
      <c r="BT11" s="610"/>
      <c r="BU11" s="334">
        <f t="shared" si="17"/>
        <v>0</v>
      </c>
      <c r="BV11" s="612">
        <f t="shared" si="18"/>
        <v>0</v>
      </c>
      <c r="BW11" s="310">
        <v>386</v>
      </c>
      <c r="BX11" s="234">
        <f t="shared" si="19"/>
        <v>20.303599999999999</v>
      </c>
      <c r="BY11" s="402"/>
      <c r="BZ11" s="1137">
        <v>0</v>
      </c>
      <c r="CA11" s="628"/>
      <c r="CB11" s="334">
        <f t="shared" si="20"/>
        <v>0</v>
      </c>
      <c r="CC11" s="630">
        <f t="shared" si="21"/>
        <v>0</v>
      </c>
      <c r="CD11" s="310"/>
      <c r="CE11" s="234">
        <f t="shared" si="22"/>
        <v>0</v>
      </c>
      <c r="CF11" s="402"/>
      <c r="CG11" s="1137">
        <v>0</v>
      </c>
      <c r="CH11" s="1764"/>
      <c r="CI11" s="334">
        <f t="shared" si="23"/>
        <v>0</v>
      </c>
      <c r="CJ11" s="1767">
        <f t="shared" si="24"/>
        <v>0</v>
      </c>
      <c r="CK11" s="310"/>
      <c r="CL11" s="234">
        <f t="shared" si="25"/>
        <v>0</v>
      </c>
      <c r="CM11" s="402"/>
      <c r="CN11" s="1137">
        <v>0</v>
      </c>
      <c r="CO11" s="2074"/>
      <c r="CP11" s="334">
        <f t="shared" si="26"/>
        <v>0</v>
      </c>
      <c r="CQ11" s="2070">
        <f t="shared" si="27"/>
        <v>0</v>
      </c>
      <c r="CR11" s="310"/>
      <c r="CS11" s="234">
        <f t="shared" si="28"/>
        <v>0</v>
      </c>
      <c r="CT11" s="402"/>
      <c r="CU11" s="1137">
        <v>0</v>
      </c>
      <c r="CX11" s="333"/>
      <c r="CY11" s="334">
        <f t="shared" si="29"/>
        <v>0</v>
      </c>
      <c r="CZ11" s="726">
        <f t="shared" si="30"/>
        <v>0</v>
      </c>
      <c r="DA11" s="272"/>
      <c r="DB11" s="234">
        <f t="shared" si="31"/>
        <v>0</v>
      </c>
      <c r="DC11" s="402"/>
      <c r="DD11" s="1137">
        <v>0</v>
      </c>
    </row>
    <row r="12" spans="1:108" ht="35" customHeight="1">
      <c r="A12" s="100">
        <f>_xlfn.XLOOKUP(P12,MOPFRA!R$7:R$78,MOPFRA!A$7:A$78,"")</f>
        <v>27.307134554074281</v>
      </c>
      <c r="B12" s="99"/>
      <c r="C12" s="2109">
        <f ca="1">_xlfn.XLOOKUP(P12,MOPFRA!R$7:R$78,MOPFRA!$C$7:$C$78,"")</f>
        <v>0.48892655145839048</v>
      </c>
      <c r="D12" s="99"/>
      <c r="E12" s="2120">
        <f>_xlfn.XLOOKUP(P12,MOPFRA!$R$7:$R$56,MOPFRA!$D$7:$D$56,"")</f>
        <v>0.73794874383732756</v>
      </c>
      <c r="F12" s="2110">
        <f>_xlfn.XLOOKUP($P12,MOPFRA!$R$7:$R$56,MOPFRA!$E$7:$E$56,"")</f>
        <v>5.9000000000000021</v>
      </c>
      <c r="G12" s="2121">
        <f>_xlfn.XLOOKUP($P12,MOPFRA!$R$7:$R$56,MOPFRA!$F$7:$F$56,"")</f>
        <v>3.8000000000000007</v>
      </c>
      <c r="H12" s="2124" cm="1">
        <f t="array" ref="H12">IFERROR(_xlfn.XLOOKUP(P12,'Sales Rec'!$E$37:$E$91,'Sales Rec'!$CU$37:$CU$91*100,""),"")</f>
        <v>18.705128205128208</v>
      </c>
      <c r="I12" s="2313">
        <f>_xlfn.XLOOKUP(P12,MOPFRA!$R$7:$R$56,MOPFRA!H$7:H$56,"")</f>
        <v>1.0925</v>
      </c>
      <c r="J12" s="2313">
        <f>_xlfn.XLOOKUP(P12,MOPFRA!$R$7:$R$56,MOPFRA!J$7:J$56,"")</f>
        <v>0.77024070021881841</v>
      </c>
      <c r="K12" s="1942">
        <f>_xlfn.XLOOKUP(P12,'Sales Rec'!$E$4:$E$91,'Sales Rec'!$CV$4:$CV$91,"")</f>
        <v>19</v>
      </c>
      <c r="L12" s="2212">
        <f>_xlfn.XLOOKUP(P12,MOPFRA!R$7:R$78,MOPFRA!$L$7:$L$78,"")</f>
        <v>17</v>
      </c>
      <c r="M12" s="1586" t="str">
        <f>_xlfn.XLOOKUP(P12,'Sales Rec'!$E$4:$E$105,'Sales Rec'!$DS$4:$DS$105,"")</f>
        <v>BB</v>
      </c>
      <c r="N12" s="1586" t="str">
        <f>_xlfn.XLOOKUP(P12,'Sales Rec'!$E$4:$E$105,'Sales Rec'!$DZ$4:$DZ$105,"")</f>
        <v>B</v>
      </c>
      <c r="O12" s="382" t="s">
        <v>110</v>
      </c>
      <c r="P12" s="1571" t="s">
        <v>111</v>
      </c>
      <c r="Q12" s="1929">
        <f>VLOOKUP(P12,MOPFRA!$R$7:$CF$78,2,FALSE)</f>
        <v>12</v>
      </c>
      <c r="R12" s="264">
        <f>VLOOKUP(P12,MOPFRA!$R$7:$CD$56,4,FALSE)</f>
        <v>3380</v>
      </c>
      <c r="S12" s="292">
        <f>_xlfn.XLOOKUP(P12,MOPFRA!$R$7:$R$56,MOPFRA!$V$7:$V$56,"")</f>
        <v>2.74</v>
      </c>
      <c r="T12" s="292">
        <f>_xlfn.XLOOKUP(P12,'دیده بان بازار'!$A$8:$A$3179,'دیده بان بازار'!$L$8:$L$3179,"")</f>
        <v>90</v>
      </c>
      <c r="U12" s="304">
        <f>VLOOKUP(P12,MOPFRA!$R$7:$CD$56,6,FALSE)</f>
        <v>3380</v>
      </c>
      <c r="V12" s="361">
        <f>_xlfn.XLOOKUP(P12,MOPFRA!$R$7:$R$56,MOPFRA!$X$7:$X$56,"")</f>
        <v>2.74</v>
      </c>
      <c r="W12" s="361">
        <f>_xlfn.XLOOKUP(P12,'دیده بان بازار'!$A$8:$A$3179,'دیده بان بازار'!$I$8:$I$3179,"")</f>
        <v>90</v>
      </c>
      <c r="X12" s="2057" t="str">
        <f>_xlfn.XLOOKUP(P12,MOPFRA!$R$7:$R$78,MOPFRA!$P$7:$P$78,"")</f>
        <v>HL</v>
      </c>
      <c r="Y12" s="2058">
        <f t="shared" si="3"/>
        <v>0</v>
      </c>
      <c r="Z12" s="394">
        <f>_xlfn.XLOOKUP(P12,MOPFRA!$R$7:$R$78,MOPFRA!$T$7:$T$78,"")</f>
        <v>3380</v>
      </c>
      <c r="AA12" s="1030">
        <f>_xlfn.XLOOKUP(P12,'Sales Rec'!$E$4:$E$93,'Sales Rec'!$DW$4:$DW$93,"")</f>
        <v>0.19542766601590128</v>
      </c>
      <c r="AB12" s="850">
        <f>_xlfn.XLOOKUP(O12,MOPFRA!$Q$7:$Q$56,MOPFRA!$AA$7:$AA$56,"")</f>
        <v>0.32549019607843138</v>
      </c>
      <c r="AC12" s="1221">
        <f t="shared" ca="1" si="4"/>
        <v>2.034313725490196</v>
      </c>
      <c r="AD12" s="825">
        <f ca="1">_xlfn.XLOOKUP(P12,MOPFRA!$R$7:$R$56,MOPFRA!$AC$7:$AC$56,"")</f>
        <v>-178.77383830244426</v>
      </c>
      <c r="AE12" s="810">
        <f>_xlfn.XLOOKUP(O12,MOPFRA!$Q$7:$Q$56,MOPFRA!$AH$7:$AH$56,"")</f>
        <v>0.47985989492119091</v>
      </c>
      <c r="AF12" s="599">
        <f t="shared" si="5"/>
        <v>-2.3380392156862837</v>
      </c>
      <c r="AG12" s="308">
        <f>_xlfn.XLOOKUP(O12,MOPFRA!$Q$7:$Q$78,MOPFRA!$AM$7:$AM$78,"")</f>
        <v>0</v>
      </c>
      <c r="AH12" s="1935">
        <f ca="1">_xlfn.XLOOKUP(P12,MOPFRA!$R$7:$R$56,MOPFRA!$AI$7:$AI$56,"")</f>
        <v>349</v>
      </c>
      <c r="AI12" s="385"/>
      <c r="AJ12" s="1612">
        <f>_xlfn.XLOOKUP(P12,MOPFRA!$R$7:$R$56,MOPFRA!$AJ$7:$AJ$56,"")</f>
        <v>46223</v>
      </c>
      <c r="AK12" s="1691">
        <f>_xlfn.XLOOKUP(P12,MOPFRA!$R$7:$R$78,MOPFRA!$DY$7:$DY$78,"")</f>
        <v>600</v>
      </c>
      <c r="AL12" s="1821">
        <f>_xlfn.XLOOKUP(P12,MOPFRA!$R$7:$R$58,MOPFRA!$AK$7:$AK$58,"")</f>
        <v>46327</v>
      </c>
      <c r="AM12" s="1825">
        <f>_xlfn.XLOOKUP($P12,MOPFRA!$R$7:$R$56,MOPFRA!$CC$7:$CC$56,"")</f>
        <v>1120</v>
      </c>
      <c r="AN12" s="1341">
        <f>_xlfn.XLOOKUP($P12,MOPFRA!$R$7:$R$56,MOPFRA!$BW$7:$BW$56,"")</f>
        <v>2.2820512561626725</v>
      </c>
      <c r="AO12" s="1207">
        <f>_xlfn.XLOOKUP($P12,MOPFRA!$R$7:$R$56,MOPFRA!$CD$7:$CD$56,"")</f>
        <v>3.02</v>
      </c>
      <c r="AP12" s="447" t="s">
        <v>603</v>
      </c>
      <c r="AQ12" s="572">
        <v>3315</v>
      </c>
      <c r="AR12" s="797"/>
      <c r="AS12" s="798"/>
      <c r="AT12" s="329"/>
      <c r="AU12" s="334">
        <f t="shared" si="6"/>
        <v>0</v>
      </c>
      <c r="AV12" s="330">
        <f t="shared" si="7"/>
        <v>0</v>
      </c>
      <c r="AW12" s="272"/>
      <c r="AX12" s="234">
        <f t="shared" si="8"/>
        <v>0</v>
      </c>
      <c r="AY12" s="402">
        <v>22675</v>
      </c>
      <c r="AZ12" s="1137">
        <v>0</v>
      </c>
      <c r="BA12" s="342"/>
      <c r="BB12" s="334">
        <f t="shared" si="9"/>
        <v>0</v>
      </c>
      <c r="BC12" s="343">
        <f t="shared" si="10"/>
        <v>0</v>
      </c>
      <c r="BD12" s="272"/>
      <c r="BE12" s="234">
        <f t="shared" si="11"/>
        <v>0</v>
      </c>
      <c r="BF12" s="402">
        <v>3120</v>
      </c>
      <c r="BG12" s="1137">
        <v>0</v>
      </c>
      <c r="BH12" s="333"/>
      <c r="BI12" s="334">
        <f t="shared" si="12"/>
        <v>0</v>
      </c>
      <c r="BJ12" s="726">
        <f t="shared" si="13"/>
        <v>0</v>
      </c>
      <c r="BK12" s="310"/>
      <c r="BL12" s="234">
        <f t="shared" si="14"/>
        <v>0</v>
      </c>
      <c r="BM12" s="402">
        <v>560</v>
      </c>
      <c r="BN12" s="1137">
        <v>0</v>
      </c>
      <c r="BP12" s="720">
        <f t="shared" si="15"/>
        <v>0</v>
      </c>
      <c r="BQ12" s="721">
        <f t="shared" si="16"/>
        <v>0</v>
      </c>
      <c r="BR12" s="722">
        <f t="shared" si="32"/>
        <v>0</v>
      </c>
      <c r="BS12" s="604"/>
      <c r="BT12" s="610"/>
      <c r="BU12" s="334">
        <f t="shared" si="17"/>
        <v>0</v>
      </c>
      <c r="BV12" s="612">
        <f t="shared" si="18"/>
        <v>0</v>
      </c>
      <c r="BW12" s="272"/>
      <c r="BX12" s="234">
        <f t="shared" si="19"/>
        <v>0</v>
      </c>
      <c r="BY12" s="402">
        <v>2280</v>
      </c>
      <c r="BZ12" s="1137">
        <v>0</v>
      </c>
      <c r="CA12" s="628"/>
      <c r="CB12" s="334">
        <f t="shared" si="20"/>
        <v>0</v>
      </c>
      <c r="CC12" s="630">
        <f t="shared" si="21"/>
        <v>0</v>
      </c>
      <c r="CD12" s="272"/>
      <c r="CE12" s="234">
        <f t="shared" si="22"/>
        <v>0</v>
      </c>
      <c r="CF12" s="402">
        <v>250</v>
      </c>
      <c r="CG12" s="1137">
        <v>0</v>
      </c>
      <c r="CH12" s="1764"/>
      <c r="CI12" s="334">
        <f t="shared" si="23"/>
        <v>0</v>
      </c>
      <c r="CJ12" s="1767">
        <f t="shared" si="24"/>
        <v>0</v>
      </c>
      <c r="CK12" s="272"/>
      <c r="CL12" s="234">
        <f t="shared" si="25"/>
        <v>0</v>
      </c>
      <c r="CM12" s="402"/>
      <c r="CN12" s="1137">
        <v>0</v>
      </c>
      <c r="CO12" s="2074"/>
      <c r="CP12" s="334">
        <f t="shared" si="26"/>
        <v>0</v>
      </c>
      <c r="CQ12" s="2070">
        <f t="shared" si="27"/>
        <v>0</v>
      </c>
      <c r="CR12" s="272"/>
      <c r="CS12" s="234">
        <f t="shared" si="28"/>
        <v>0</v>
      </c>
      <c r="CT12" s="402"/>
      <c r="CU12" s="1137">
        <v>0</v>
      </c>
      <c r="CX12" s="333"/>
      <c r="CY12" s="334">
        <f t="shared" si="29"/>
        <v>0</v>
      </c>
      <c r="CZ12" s="726">
        <f t="shared" si="30"/>
        <v>0</v>
      </c>
      <c r="DA12" s="310"/>
      <c r="DB12" s="234">
        <f t="shared" si="31"/>
        <v>0</v>
      </c>
      <c r="DC12" s="402">
        <v>560</v>
      </c>
      <c r="DD12" s="1137">
        <v>0</v>
      </c>
    </row>
    <row r="13" spans="1:108" ht="35" customHeight="1">
      <c r="A13" s="100">
        <f>_xlfn.XLOOKUP(P13,MOPFRA!R$7:R$78,MOPFRA!A$7:A$78,"")</f>
        <v>25.720175838287016</v>
      </c>
      <c r="B13" s="99"/>
      <c r="C13" s="2109">
        <f ca="1">_xlfn.XLOOKUP(P13,MOPFRA!R$7:R$78,MOPFRA!$C$7:$C$78,"")</f>
        <v>0.112972214641681</v>
      </c>
      <c r="D13" s="99"/>
      <c r="E13" s="2120">
        <f>_xlfn.XLOOKUP(P13,MOPFRA!$R$7:$R$56,MOPFRA!$D$7:$D$56,"")</f>
        <v>4.2767270684161645</v>
      </c>
      <c r="F13" s="2110">
        <f>_xlfn.XLOOKUP($P13,MOPFRA!$R$7:$R$56,MOPFRA!$E$7:$E$56,"")</f>
        <v>16.399999999999999</v>
      </c>
      <c r="G13" s="2121">
        <f>_xlfn.XLOOKUP($P13,MOPFRA!$R$7:$R$56,MOPFRA!$F$7:$F$56,"")</f>
        <v>14.200000000000001</v>
      </c>
      <c r="H13" s="2124" cm="1">
        <f t="array" ref="H13">IFERROR(_xlfn.XLOOKUP(P13,'Sales Rec'!$E$37:$E$91,'Sales Rec'!$CU$37:$CU$91*100,""),"")</f>
        <v>15.626752102523023</v>
      </c>
      <c r="I13" s="2313">
        <f>_xlfn.XLOOKUP(P13,MOPFRA!$R$7:$R$56,MOPFRA!H$7:H$56,"")</f>
        <v>2.3744493392070485</v>
      </c>
      <c r="J13" s="2313">
        <f>_xlfn.XLOOKUP(P13,MOPFRA!$R$7:$R$56,MOPFRA!J$7:J$56,"")</f>
        <v>1.8160676532769555</v>
      </c>
      <c r="K13" s="1942">
        <f>_xlfn.XLOOKUP(P13,'Sales Rec'!$E$4:$E$91,'Sales Rec'!$CV$4:$CV$91,"")</f>
        <v>3</v>
      </c>
      <c r="L13" s="2212">
        <f>_xlfn.XLOOKUP(P13,MOPFRA!R$7:R$78,MOPFRA!$L$7:$L$78,"")</f>
        <v>4</v>
      </c>
      <c r="M13" s="1586" t="str">
        <f>_xlfn.XLOOKUP(P13,'Sales Rec'!$E$4:$E$105,'Sales Rec'!$DS$4:$DS$105,"")</f>
        <v>BB</v>
      </c>
      <c r="N13" s="1586" t="str">
        <f>_xlfn.XLOOKUP(P13,'Sales Rec'!$E$4:$E$105,'Sales Rec'!$DZ$4:$DZ$105,"")</f>
        <v>BB</v>
      </c>
      <c r="O13" s="382" t="s">
        <v>162</v>
      </c>
      <c r="P13" s="1571" t="s">
        <v>163</v>
      </c>
      <c r="Q13" s="1929">
        <v>12</v>
      </c>
      <c r="R13" s="264">
        <f>VLOOKUP(P13,MOPFRA!$R$7:$CD$56,4,FALSE)</f>
        <v>7090</v>
      </c>
      <c r="S13" s="292">
        <f>_xlfn.XLOOKUP(P13,MOPFRA!$R$7:$R$56,MOPFRA!$V$7:$V$56,"")</f>
        <v>2.75</v>
      </c>
      <c r="T13" s="292">
        <f>_xlfn.XLOOKUP(P13,'دیده بان بازار'!$A$8:$A$3179,'دیده بان بازار'!$L$8:$L$3179,"")</f>
        <v>190</v>
      </c>
      <c r="U13" s="304">
        <f>VLOOKUP(P13,MOPFRA!$R$7:$CD$56,6,FALSE)</f>
        <v>7100</v>
      </c>
      <c r="V13" s="361">
        <f>_xlfn.XLOOKUP(P13,MOPFRA!$R$7:$R$56,MOPFRA!$X$7:$X$56,"")</f>
        <v>2.9</v>
      </c>
      <c r="W13" s="361">
        <f>_xlfn.XLOOKUP(P13,'دیده بان بازار'!$A$8:$A$3179,'دیده بان بازار'!$I$8:$I$3179,"")</f>
        <v>200</v>
      </c>
      <c r="X13" s="2057" t="str">
        <f>_xlfn.XLOOKUP(P13,MOPFRA!$R$7:$R$78,MOPFRA!$P$7:$P$78,"")</f>
        <v>PH</v>
      </c>
      <c r="Y13" s="2058">
        <f t="shared" si="3"/>
        <v>4.7738921908439313E-2</v>
      </c>
      <c r="Z13" s="394">
        <f>_xlfn.XLOOKUP(P13,MOPFRA!$R$7:$R$78,MOPFRA!$T$7:$T$78,"")</f>
        <v>36778</v>
      </c>
      <c r="AA13" s="1030">
        <f>_xlfn.XLOOKUP(P13,'Sales Rec'!$E$4:$E$93,'Sales Rec'!$DW$4:$DW$93,"")</f>
        <v>6.8973588146875668</v>
      </c>
      <c r="AB13" s="850">
        <f>_xlfn.XLOOKUP(O13,MOPFRA!$Q$7:$Q$56,MOPFRA!$AA$7:$AA$56,"")</f>
        <v>0.85569403098037233</v>
      </c>
      <c r="AC13" s="1221">
        <f t="shared" ca="1" si="4"/>
        <v>1.7463143489395352</v>
      </c>
      <c r="AD13" s="825">
        <f ca="1">_xlfn.XLOOKUP(P13,MOPFRA!$R$7:$R$56,MOPFRA!$AC$7:$AC$56,"")</f>
        <v>-149.9739006473782</v>
      </c>
      <c r="AE13" s="810">
        <f>_xlfn.XLOOKUP(O13,MOPFRA!$Q$7:$Q$56,MOPFRA!$AH$7:$AH$56,"")</f>
        <v>8.007592456527064</v>
      </c>
      <c r="AF13" s="599">
        <f t="shared" si="5"/>
        <v>9.1292965602727048</v>
      </c>
      <c r="AG13" s="308">
        <f>_xlfn.XLOOKUP(O13,MOPFRA!$Q$7:$Q$78,MOPFRA!$AM$7:$AM$78,"")</f>
        <v>0</v>
      </c>
      <c r="AH13" s="1935">
        <f ca="1">_xlfn.XLOOKUP(P13,MOPFRA!$R$7:$R$56,MOPFRA!$AI$7:$AI$56,"")</f>
        <v>316</v>
      </c>
      <c r="AI13" s="385"/>
      <c r="AJ13" s="1612">
        <f>_xlfn.XLOOKUP(P13,MOPFRA!$R$7:$R$56,MOPFRA!$AJ$7:$AJ$56,"")</f>
        <v>46190</v>
      </c>
      <c r="AK13" s="1691">
        <f>_xlfn.XLOOKUP(P13,MOPFRA!$R$7:$R$78,MOPFRA!$DY$7:$DY$78,"")</f>
        <v>260</v>
      </c>
      <c r="AL13" s="1821">
        <f>_xlfn.XLOOKUP(P13,MOPFRA!$R$7:$R$58,MOPFRA!$AK$7:$AK$58,"")</f>
        <v>46310</v>
      </c>
      <c r="AM13" s="1825">
        <f>_xlfn.XLOOKUP($P13,MOPFRA!$R$7:$R$56,MOPFRA!$CC$7:$CC$56,"")</f>
        <v>841</v>
      </c>
      <c r="AN13" s="1341">
        <f>_xlfn.XLOOKUP($P13,MOPFRA!$R$7:$R$56,MOPFRA!$BW$7:$BW$56,"")</f>
        <v>4.1532729315838353</v>
      </c>
      <c r="AO13" s="1207">
        <f>_xlfn.XLOOKUP($P13,MOPFRA!$R$7:$R$56,MOPFRA!$CD$7:$CD$56,"")</f>
        <v>8.43</v>
      </c>
      <c r="AP13" s="448" t="s">
        <v>197</v>
      </c>
      <c r="AQ13" s="571">
        <v>6454</v>
      </c>
      <c r="AR13" s="797">
        <v>4614</v>
      </c>
      <c r="AS13" s="798">
        <f t="shared" ref="AS13:AS27" si="33">IF(AR13&lt;1,"",(U13-AR13)/AR13)</f>
        <v>0.53879497182488079</v>
      </c>
      <c r="AT13" s="329">
        <v>1100000</v>
      </c>
      <c r="AU13" s="334">
        <f t="shared" si="6"/>
        <v>774127.2</v>
      </c>
      <c r="AV13" s="330">
        <f t="shared" si="7"/>
        <v>1.6824118843600321E-2</v>
      </c>
      <c r="AW13" s="272">
        <v>500000</v>
      </c>
      <c r="AX13" s="234">
        <f t="shared" si="8"/>
        <v>13000</v>
      </c>
      <c r="AY13" s="402"/>
      <c r="AZ13" s="1137">
        <v>0</v>
      </c>
      <c r="BA13" s="342"/>
      <c r="BB13" s="334">
        <f t="shared" si="9"/>
        <v>0</v>
      </c>
      <c r="BC13" s="343">
        <f t="shared" si="10"/>
        <v>0</v>
      </c>
      <c r="BD13" s="272"/>
      <c r="BE13" s="234">
        <f t="shared" si="11"/>
        <v>0</v>
      </c>
      <c r="BF13" s="402"/>
      <c r="BG13" s="1137">
        <v>0</v>
      </c>
      <c r="BH13" s="333"/>
      <c r="BI13" s="334">
        <f t="shared" si="12"/>
        <v>0</v>
      </c>
      <c r="BJ13" s="726">
        <f t="shared" si="13"/>
        <v>0</v>
      </c>
      <c r="BK13" s="272"/>
      <c r="BL13" s="234">
        <f t="shared" si="14"/>
        <v>0</v>
      </c>
      <c r="BM13" s="402"/>
      <c r="BN13" s="1137">
        <v>0</v>
      </c>
      <c r="BP13" s="720">
        <f t="shared" si="15"/>
        <v>774127.2</v>
      </c>
      <c r="BQ13" s="721">
        <f t="shared" si="16"/>
        <v>1100000</v>
      </c>
      <c r="BR13" s="722">
        <f t="shared" si="32"/>
        <v>3.2507182535472676E-2</v>
      </c>
      <c r="BS13" s="604"/>
      <c r="BT13" s="610"/>
      <c r="BU13" s="334">
        <f t="shared" si="17"/>
        <v>0</v>
      </c>
      <c r="BV13" s="612">
        <f t="shared" si="18"/>
        <v>0</v>
      </c>
      <c r="BW13" s="272"/>
      <c r="BX13" s="234">
        <f t="shared" si="19"/>
        <v>0</v>
      </c>
      <c r="BY13" s="402"/>
      <c r="BZ13" s="1137">
        <v>0</v>
      </c>
      <c r="CA13" s="628"/>
      <c r="CB13" s="334">
        <f t="shared" si="20"/>
        <v>0</v>
      </c>
      <c r="CC13" s="630">
        <f t="shared" si="21"/>
        <v>0</v>
      </c>
      <c r="CD13" s="272"/>
      <c r="CE13" s="234">
        <f t="shared" si="22"/>
        <v>0</v>
      </c>
      <c r="CF13" s="402"/>
      <c r="CG13" s="1137">
        <v>0</v>
      </c>
      <c r="CH13" s="1764">
        <v>100000</v>
      </c>
      <c r="CI13" s="334">
        <f t="shared" si="23"/>
        <v>70375.199999999997</v>
      </c>
      <c r="CJ13" s="1767">
        <f t="shared" si="24"/>
        <v>5.7939336783046835E-3</v>
      </c>
      <c r="CK13" s="272"/>
      <c r="CL13" s="234">
        <f t="shared" si="25"/>
        <v>0</v>
      </c>
      <c r="CM13" s="402"/>
      <c r="CN13" s="1137">
        <v>0</v>
      </c>
      <c r="CO13" s="2074"/>
      <c r="CP13" s="334">
        <f t="shared" si="26"/>
        <v>0</v>
      </c>
      <c r="CQ13" s="2070">
        <f t="shared" si="27"/>
        <v>0</v>
      </c>
      <c r="CR13" s="272"/>
      <c r="CS13" s="234">
        <f t="shared" si="28"/>
        <v>0</v>
      </c>
      <c r="CT13" s="402"/>
      <c r="CU13" s="1137">
        <v>0</v>
      </c>
      <c r="CX13" s="333"/>
      <c r="CY13" s="334">
        <f t="shared" si="29"/>
        <v>0</v>
      </c>
      <c r="CZ13" s="726">
        <f t="shared" si="30"/>
        <v>0</v>
      </c>
      <c r="DA13" s="272"/>
      <c r="DB13" s="234">
        <f t="shared" si="31"/>
        <v>0</v>
      </c>
      <c r="DC13" s="402"/>
      <c r="DD13" s="1137">
        <v>0</v>
      </c>
    </row>
    <row r="14" spans="1:108" ht="35" customHeight="1">
      <c r="A14" s="100">
        <f>_xlfn.XLOOKUP(P14,MOPFRA!R$7:R$78,MOPFRA!A$7:A$78,"")</f>
        <v>24.251489960105612</v>
      </c>
      <c r="B14" s="99"/>
      <c r="C14" s="2109">
        <f ca="1">_xlfn.XLOOKUP(P14,MOPFRA!R$7:R$78,MOPFRA!$C$7:$C$78,"")</f>
        <v>0.28259446071946076</v>
      </c>
      <c r="D14" s="99"/>
      <c r="E14" s="2120">
        <f>_xlfn.XLOOKUP(P14,MOPFRA!$R$7:$R$56,MOPFRA!$D$7:$D$56,"")</f>
        <v>1.952366686791053</v>
      </c>
      <c r="F14" s="2110">
        <f>_xlfn.XLOOKUP($P14,MOPFRA!$R$7:$R$56,MOPFRA!$E$7:$E$56,"")</f>
        <v>6.1</v>
      </c>
      <c r="G14" s="2121">
        <f>_xlfn.XLOOKUP($P14,MOPFRA!$R$7:$R$56,MOPFRA!$F$7:$F$56,"")</f>
        <v>3.7000000000000006</v>
      </c>
      <c r="H14" s="2124" cm="1">
        <f t="array" ref="H14">IFERROR(_xlfn.XLOOKUP(P14,'Sales Rec'!$E$37:$E$91,'Sales Rec'!$CU$37:$CU$91*100,""),"")</f>
        <v>-8.1632192128888938</v>
      </c>
      <c r="I14" s="2313">
        <f>_xlfn.XLOOKUP(P14,MOPFRA!$R$7:$R$56,MOPFRA!H$7:H$56,"")</f>
        <v>1.3478760045924225</v>
      </c>
      <c r="J14" s="2313">
        <f>_xlfn.XLOOKUP(P14,MOPFRA!$R$7:$R$56,MOPFRA!J$7:J$56,"")</f>
        <v>1.1227863046044864</v>
      </c>
      <c r="K14" s="1942">
        <f>_xlfn.XLOOKUP(P14,'Sales Rec'!$E$4:$E$91,'Sales Rec'!$CV$4:$CV$91,"")</f>
        <v>14</v>
      </c>
      <c r="L14" s="2212">
        <f>_xlfn.XLOOKUP(P14,MOPFRA!R$7:R$78,MOPFRA!$L$7:$L$78,"")</f>
        <v>8</v>
      </c>
      <c r="M14" s="1586" t="str">
        <f>_xlfn.XLOOKUP(P14,'Sales Rec'!$E$4:$E$105,'Sales Rec'!$DS$4:$DS$105,"")</f>
        <v>BB</v>
      </c>
      <c r="N14" s="1586" t="str">
        <f>_xlfn.XLOOKUP(P14,'Sales Rec'!$E$4:$E$105,'Sales Rec'!$DZ$4:$DZ$105,"")</f>
        <v>BB</v>
      </c>
      <c r="O14" s="382" t="s">
        <v>96</v>
      </c>
      <c r="P14" s="1571" t="s">
        <v>97</v>
      </c>
      <c r="Q14" s="1929">
        <v>12</v>
      </c>
      <c r="R14" s="264">
        <f>VLOOKUP(P14,MOPFRA!$R$7:$CD$56,4,FALSE)</f>
        <v>8140</v>
      </c>
      <c r="S14" s="292">
        <f>_xlfn.XLOOKUP(P14,MOPFRA!$R$7:$R$56,MOPFRA!$V$7:$V$56,"")</f>
        <v>2.91</v>
      </c>
      <c r="T14" s="292">
        <f>_xlfn.XLOOKUP(P14,'دیده بان بازار'!$A$8:$A$3179,'دیده بان بازار'!$L$8:$L$3179,"")</f>
        <v>230</v>
      </c>
      <c r="U14" s="304">
        <f>VLOOKUP(P14,MOPFRA!$R$7:$CD$56,6,FALSE)</f>
        <v>8140</v>
      </c>
      <c r="V14" s="361">
        <f>_xlfn.XLOOKUP(P14,MOPFRA!$R$7:$R$56,MOPFRA!$X$7:$X$56,"")</f>
        <v>2.91</v>
      </c>
      <c r="W14" s="361">
        <f>_xlfn.XLOOKUP(P14,'دیده بان بازار'!$A$8:$A$3179,'دیده بان بازار'!$I$8:$I$3179,"")</f>
        <v>230</v>
      </c>
      <c r="X14" s="2057" t="str">
        <f>_xlfn.XLOOKUP(P14,MOPFRA!$R$7:$R$78,MOPFRA!$P$7:$P$78,"")</f>
        <v>F</v>
      </c>
      <c r="Y14" s="2058">
        <f t="shared" si="3"/>
        <v>2.3636702178156787E-2</v>
      </c>
      <c r="Z14" s="394">
        <f>_xlfn.XLOOKUP(P14,MOPFRA!$R$7:$R$78,MOPFRA!$T$7:$T$78,"")</f>
        <v>4884</v>
      </c>
      <c r="AA14" s="1030">
        <f>_xlfn.XLOOKUP(P14,'Sales Rec'!$E$4:$E$93,'Sales Rec'!$DW$4:$DW$93,"")</f>
        <v>1.4400479616306956</v>
      </c>
      <c r="AB14" s="850">
        <f>_xlfn.XLOOKUP(O14,MOPFRA!$Q$7:$Q$56,MOPFRA!$AA$7:$AA$56,"")</f>
        <v>0.15297450424929179</v>
      </c>
      <c r="AC14" s="1221">
        <f t="shared" ca="1" si="4"/>
        <v>0.84985835694050993</v>
      </c>
      <c r="AD14" s="825">
        <f ca="1">_xlfn.XLOOKUP(P14,MOPFRA!$R$7:$R$56,MOPFRA!$AC$7:$AC$56,"")</f>
        <v>-60.32830144747566</v>
      </c>
      <c r="AE14" s="810">
        <f>_xlfn.XLOOKUP(O14,MOPFRA!$Q$7:$Q$56,MOPFRA!$AH$7:$AH$56,"")</f>
        <v>2.3659545141281875</v>
      </c>
      <c r="AF14" s="599">
        <f t="shared" si="5"/>
        <v>-10.931676849966061</v>
      </c>
      <c r="AG14" s="308">
        <f>_xlfn.XLOOKUP(O14,MOPFRA!$Q$7:$Q$78,MOPFRA!$AM$7:$AM$78,"")</f>
        <v>0</v>
      </c>
      <c r="AH14" s="1935">
        <f ca="1">_xlfn.XLOOKUP(P14,MOPFRA!$R$7:$R$56,MOPFRA!$AI$7:$AI$56,"")</f>
        <v>347</v>
      </c>
      <c r="AI14" s="385"/>
      <c r="AJ14" s="1612">
        <f>_xlfn.XLOOKUP(P14,MOPFRA!$R$7:$R$56,MOPFRA!$AJ$7:$AJ$56,"")</f>
        <v>46221</v>
      </c>
      <c r="AK14" s="1691">
        <f>_xlfn.XLOOKUP(P14,MOPFRA!$R$7:$R$78,MOPFRA!$DY$7:$DY$78,"")</f>
        <v>350</v>
      </c>
      <c r="AL14" s="1821">
        <f>_xlfn.XLOOKUP(P14,MOPFRA!$R$7:$R$58,MOPFRA!$AK$7:$AK$58,"")</f>
        <v>46290</v>
      </c>
      <c r="AM14" s="1825">
        <f>_xlfn.XLOOKUP($P14,MOPFRA!$R$7:$R$56,MOPFRA!$CC$7:$CC$56,"")</f>
        <v>1348</v>
      </c>
      <c r="AN14" s="1341">
        <f>_xlfn.XLOOKUP($P14,MOPFRA!$R$7:$R$56,MOPFRA!$BW$7:$BW$56,"")</f>
        <v>4.0876333132089471</v>
      </c>
      <c r="AO14" s="1207">
        <f>_xlfn.XLOOKUP($P14,MOPFRA!$R$7:$R$56,MOPFRA!$CD$7:$CD$56,"")</f>
        <v>6.04</v>
      </c>
      <c r="AP14" s="447" t="s">
        <v>603</v>
      </c>
      <c r="AQ14" s="572">
        <v>7365</v>
      </c>
      <c r="AR14" s="797">
        <v>3859</v>
      </c>
      <c r="AS14" s="798">
        <f t="shared" si="33"/>
        <v>1.1093547551179062</v>
      </c>
      <c r="AT14" s="329">
        <v>160000</v>
      </c>
      <c r="AU14" s="334">
        <f t="shared" si="6"/>
        <v>129093.88799999999</v>
      </c>
      <c r="AV14" s="330">
        <f t="shared" si="7"/>
        <v>2.8055995367356023E-3</v>
      </c>
      <c r="AW14" s="310">
        <v>160000</v>
      </c>
      <c r="AX14" s="234">
        <f t="shared" si="8"/>
        <v>5600</v>
      </c>
      <c r="AY14" s="402">
        <v>38500</v>
      </c>
      <c r="AZ14" s="1137">
        <v>0</v>
      </c>
      <c r="BA14" s="342">
        <v>150000</v>
      </c>
      <c r="BB14" s="334">
        <f t="shared" si="9"/>
        <v>121025.51999999999</v>
      </c>
      <c r="BC14" s="343">
        <f t="shared" si="10"/>
        <v>5.4186020944897752E-3</v>
      </c>
      <c r="BD14" s="310">
        <v>150000</v>
      </c>
      <c r="BE14" s="234">
        <f t="shared" si="11"/>
        <v>5250</v>
      </c>
      <c r="BF14" s="402">
        <v>5250</v>
      </c>
      <c r="BG14" s="1137" t="s">
        <v>725</v>
      </c>
      <c r="BH14" s="333">
        <v>36000</v>
      </c>
      <c r="BI14" s="334">
        <f t="shared" si="12"/>
        <v>29046.124799999998</v>
      </c>
      <c r="BJ14" s="726">
        <f t="shared" si="13"/>
        <v>1.880014079179685E-2</v>
      </c>
      <c r="BK14" s="310">
        <v>36000</v>
      </c>
      <c r="BL14" s="234">
        <f t="shared" si="14"/>
        <v>1260</v>
      </c>
      <c r="BM14" s="402">
        <v>1260</v>
      </c>
      <c r="BN14" s="1137">
        <v>0</v>
      </c>
      <c r="BP14" s="720">
        <f t="shared" si="15"/>
        <v>279165.53279999999</v>
      </c>
      <c r="BQ14" s="721">
        <f t="shared" si="16"/>
        <v>346000</v>
      </c>
      <c r="BR14" s="722">
        <f t="shared" si="32"/>
        <v>1.1722731008989329E-2</v>
      </c>
      <c r="BS14" s="604"/>
      <c r="BT14" s="610">
        <v>30000</v>
      </c>
      <c r="BU14" s="334">
        <f t="shared" si="17"/>
        <v>24205.103999999999</v>
      </c>
      <c r="BV14" s="612">
        <f t="shared" si="18"/>
        <v>1.470793189673208E-2</v>
      </c>
      <c r="BW14" s="310">
        <v>30000</v>
      </c>
      <c r="BX14" s="234">
        <f t="shared" si="19"/>
        <v>1050</v>
      </c>
      <c r="BY14" s="402">
        <v>1400</v>
      </c>
      <c r="BZ14" s="1137">
        <v>0</v>
      </c>
      <c r="CA14" s="628">
        <v>20000</v>
      </c>
      <c r="CB14" s="334">
        <f t="shared" si="20"/>
        <v>16136.735999999999</v>
      </c>
      <c r="CC14" s="630">
        <f t="shared" si="21"/>
        <v>6.0919958260971831E-2</v>
      </c>
      <c r="CD14" s="310">
        <v>20000</v>
      </c>
      <c r="CE14" s="234">
        <f t="shared" si="22"/>
        <v>700</v>
      </c>
      <c r="CF14" s="402">
        <v>700</v>
      </c>
      <c r="CG14" s="1137">
        <v>0</v>
      </c>
      <c r="CH14" s="1764"/>
      <c r="CI14" s="334">
        <f t="shared" si="23"/>
        <v>0</v>
      </c>
      <c r="CJ14" s="1767">
        <f t="shared" si="24"/>
        <v>0</v>
      </c>
      <c r="CK14" s="310"/>
      <c r="CL14" s="234">
        <f t="shared" si="25"/>
        <v>0</v>
      </c>
      <c r="CM14" s="402"/>
      <c r="CN14" s="1137">
        <v>0</v>
      </c>
      <c r="CO14" s="2074"/>
      <c r="CP14" s="334">
        <f t="shared" si="26"/>
        <v>0</v>
      </c>
      <c r="CQ14" s="2070">
        <f t="shared" si="27"/>
        <v>0</v>
      </c>
      <c r="CR14" s="310"/>
      <c r="CS14" s="234">
        <f t="shared" si="28"/>
        <v>0</v>
      </c>
      <c r="CT14" s="402"/>
      <c r="CU14" s="1137">
        <v>0</v>
      </c>
      <c r="CX14" s="333">
        <v>36000</v>
      </c>
      <c r="CY14" s="334">
        <f t="shared" si="29"/>
        <v>29046.124799999998</v>
      </c>
      <c r="CZ14" s="726">
        <f t="shared" si="30"/>
        <v>1.880014079179685E-2</v>
      </c>
      <c r="DA14" s="310"/>
      <c r="DB14" s="234">
        <f t="shared" si="31"/>
        <v>0</v>
      </c>
      <c r="DC14" s="402">
        <v>1260</v>
      </c>
      <c r="DD14" s="1137">
        <v>0</v>
      </c>
    </row>
    <row r="15" spans="1:108" ht="35" customHeight="1">
      <c r="A15" s="100">
        <f>_xlfn.XLOOKUP(P15,MOPFRA!R$7:R$78,MOPFRA!A$7:A$78,"")</f>
        <v>22.537123972438035</v>
      </c>
      <c r="B15" s="99"/>
      <c r="C15" s="2109">
        <f ca="1">_xlfn.XLOOKUP(P15,MOPFRA!R$7:R$78,MOPFRA!$C$7:$C$78,"")</f>
        <v>0.35360424408253976</v>
      </c>
      <c r="D15" s="99"/>
      <c r="E15" s="2120">
        <f>_xlfn.XLOOKUP(P15,MOPFRA!$R$7:$R$56,MOPFRA!$D$7:$D$56,"")</f>
        <v>2.9950139723083997</v>
      </c>
      <c r="F15" s="2110">
        <f>_xlfn.XLOOKUP($P15,MOPFRA!$R$7:$R$56,MOPFRA!$E$7:$E$56,"")</f>
        <v>2.599999999999997</v>
      </c>
      <c r="G15" s="2121">
        <f>_xlfn.XLOOKUP($P15,MOPFRA!$R$7:$R$56,MOPFRA!$F$7:$F$56,"")</f>
        <v>2.5000000000000022</v>
      </c>
      <c r="H15" s="2124" cm="1">
        <f t="array" ref="H15">IFERROR(_xlfn.XLOOKUP(P15,'Sales Rec'!$E$37:$E$91,'Sales Rec'!$CU$37:$CU$91*100,""),"")</f>
        <v>16.218014216720452</v>
      </c>
      <c r="I15" s="2313">
        <f>_xlfn.XLOOKUP(P15,MOPFRA!$R$7:$R$56,MOPFRA!H$7:H$56,"")</f>
        <v>0.47426067907995617</v>
      </c>
      <c r="J15" s="2313">
        <f>_xlfn.XLOOKUP(P15,MOPFRA!$R$7:$R$56,MOPFRA!J$7:J$56,"")</f>
        <v>10.302521008403362</v>
      </c>
      <c r="K15" s="1942">
        <f>_xlfn.XLOOKUP(P15,'Sales Rec'!$E$4:$E$91,'Sales Rec'!$CV$4:$CV$91,"")</f>
        <v>38</v>
      </c>
      <c r="L15" s="2212">
        <f>_xlfn.XLOOKUP(P15,MOPFRA!R$7:R$78,MOPFRA!$L$7:$L$78,"")</f>
        <v>14</v>
      </c>
      <c r="M15" s="1586" t="str">
        <f>_xlfn.XLOOKUP(P15,'Sales Rec'!$E$4:$E$105,'Sales Rec'!$DS$4:$DS$105,"")</f>
        <v>B</v>
      </c>
      <c r="N15" s="1586" t="str">
        <f>_xlfn.XLOOKUP(P15,'Sales Rec'!$E$4:$E$105,'Sales Rec'!$DZ$4:$DZ$105,"")</f>
        <v>BB</v>
      </c>
      <c r="O15" s="382" t="s">
        <v>86</v>
      </c>
      <c r="P15" s="1571" t="s">
        <v>87</v>
      </c>
      <c r="Q15" s="1929">
        <v>12</v>
      </c>
      <c r="R15" s="264">
        <f>VLOOKUP(P15,MOPFRA!$R$7:$CD$56,4,FALSE)</f>
        <v>6570</v>
      </c>
      <c r="S15" s="292">
        <f>_xlfn.XLOOKUP(P15,MOPFRA!$R$7:$R$56,MOPFRA!$V$7:$V$56,"")</f>
        <v>2.66</v>
      </c>
      <c r="T15" s="292">
        <f>_xlfn.XLOOKUP(P15,'دیده بان بازار'!$A$8:$A$3179,'دیده بان بازار'!$L$8:$L$3179,"")</f>
        <v>170</v>
      </c>
      <c r="U15" s="304">
        <f>VLOOKUP(P15,MOPFRA!$R$7:$CD$56,6,FALSE)</f>
        <v>6590</v>
      </c>
      <c r="V15" s="361">
        <f>_xlfn.XLOOKUP(P15,MOPFRA!$R$7:$R$56,MOPFRA!$X$7:$X$56,"")</f>
        <v>2.97</v>
      </c>
      <c r="W15" s="361">
        <f>_xlfn.XLOOKUP(P15,'دیده بان بازار'!$A$8:$A$3179,'دیده بان بازار'!$I$8:$I$3179,"")</f>
        <v>190</v>
      </c>
      <c r="X15" s="2057" t="str">
        <f>_xlfn.XLOOKUP(P15,MOPFRA!$R$7:$R$78,MOPFRA!$P$7:$P$78,"")</f>
        <v>AP</v>
      </c>
      <c r="Y15" s="2058">
        <f t="shared" si="3"/>
        <v>7.5948725481356557E-3</v>
      </c>
      <c r="Z15" s="394">
        <f>_xlfn.XLOOKUP(P15,MOPFRA!$R$7:$R$78,MOPFRA!$T$7:$T$78,"")</f>
        <v>3295</v>
      </c>
      <c r="AA15" s="1030">
        <f>_xlfn.XLOOKUP(P15,'Sales Rec'!$E$4:$E$93,'Sales Rec'!$DW$4:$DW$93,"")</f>
        <v>2.4883359253499222E-2</v>
      </c>
      <c r="AB15" s="850">
        <f>_xlfn.XLOOKUP(O15,MOPFRA!$Q$7:$Q$56,MOPFRA!$AA$7:$AA$56,"")</f>
        <v>0.14211438474870017</v>
      </c>
      <c r="AC15" s="1221">
        <f t="shared" ca="1" si="4"/>
        <v>0.61788862934217459</v>
      </c>
      <c r="AD15" s="825">
        <f ca="1">_xlfn.XLOOKUP(P15,MOPFRA!$R$7:$R$56,MOPFRA!$AC$7:$AC$56,"")</f>
        <v>-37.131328687642124</v>
      </c>
      <c r="AE15" s="810" t="str">
        <f>_xlfn.XLOOKUP(O15,MOPFRA!$Q$7:$Q$56,MOPFRA!$AH$7:$AH$56,"")</f>
        <v/>
      </c>
      <c r="AF15" s="599">
        <f t="shared" si="5"/>
        <v>2.3144879423739475</v>
      </c>
      <c r="AG15" s="308">
        <f>_xlfn.XLOOKUP(O15,MOPFRA!$Q$7:$Q$78,MOPFRA!$AM$7:$AM$78,"")</f>
        <v>0</v>
      </c>
      <c r="AH15" s="1935">
        <f ca="1">_xlfn.XLOOKUP(P15,MOPFRA!$R$7:$R$56,MOPFRA!$AI$7:$AI$56,"")</f>
        <v>342</v>
      </c>
      <c r="AI15" s="385"/>
      <c r="AJ15" s="1612">
        <f>_xlfn.XLOOKUP(P15,MOPFRA!$R$7:$R$56,MOPFRA!$AJ$7:$AJ$56,"")</f>
        <v>46216</v>
      </c>
      <c r="AK15" s="1691">
        <f>_xlfn.XLOOKUP(P15,MOPFRA!$R$7:$R$78,MOPFRA!$DY$7:$DY$78,"")</f>
        <v>400</v>
      </c>
      <c r="AL15" s="1821">
        <f>_xlfn.XLOOKUP(P15,MOPFRA!$R$7:$R$58,MOPFRA!$AK$7:$AK$58,"")</f>
        <v>46255</v>
      </c>
      <c r="AM15" s="1825">
        <f>_xlfn.XLOOKUP($P15,MOPFRA!$R$7:$R$56,MOPFRA!$CC$7:$CC$56,"")</f>
        <v>1058</v>
      </c>
      <c r="AN15" s="1341">
        <f>_xlfn.XLOOKUP($P15,MOPFRA!$R$7:$R$56,MOPFRA!$BW$7:$BW$56,"")</f>
        <v>3.2149860276916002</v>
      </c>
      <c r="AO15" s="1207">
        <f>_xlfn.XLOOKUP($P15,MOPFRA!$R$7:$R$56,MOPFRA!$CD$7:$CD$56,"")</f>
        <v>6.21</v>
      </c>
      <c r="AP15" s="448" t="s">
        <v>197</v>
      </c>
      <c r="AQ15" s="571">
        <v>6386</v>
      </c>
      <c r="AR15" s="572">
        <v>6964</v>
      </c>
      <c r="AS15" s="836">
        <f t="shared" si="33"/>
        <v>-5.37047673750718E-2</v>
      </c>
      <c r="AT15" s="329">
        <v>535000</v>
      </c>
      <c r="AU15" s="334">
        <f t="shared" si="6"/>
        <v>349462.42800000001</v>
      </c>
      <c r="AV15" s="330">
        <f t="shared" si="7"/>
        <v>7.5948725481356557E-3</v>
      </c>
      <c r="AW15" s="272">
        <v>400000</v>
      </c>
      <c r="AX15" s="234">
        <f t="shared" si="8"/>
        <v>16000</v>
      </c>
      <c r="AY15" s="402">
        <v>4200</v>
      </c>
      <c r="AZ15" s="1137">
        <v>0</v>
      </c>
      <c r="BA15" s="342">
        <v>10000</v>
      </c>
      <c r="BB15" s="334">
        <f t="shared" si="9"/>
        <v>6532.0079999999998</v>
      </c>
      <c r="BC15" s="343">
        <f t="shared" si="10"/>
        <v>2.9245362655763816E-4</v>
      </c>
      <c r="BD15" s="272">
        <v>10000</v>
      </c>
      <c r="BE15" s="234">
        <f t="shared" si="11"/>
        <v>400</v>
      </c>
      <c r="BF15" s="402">
        <v>600</v>
      </c>
      <c r="BG15" s="1137">
        <v>0</v>
      </c>
      <c r="BH15" s="333">
        <v>10000</v>
      </c>
      <c r="BI15" s="334">
        <f t="shared" si="12"/>
        <v>6532.0079999999998</v>
      </c>
      <c r="BJ15" s="726">
        <f t="shared" si="13"/>
        <v>4.2278503896376355E-3</v>
      </c>
      <c r="BK15" s="272">
        <v>10000</v>
      </c>
      <c r="BL15" s="234">
        <f t="shared" si="14"/>
        <v>400</v>
      </c>
      <c r="BM15" s="402">
        <v>180</v>
      </c>
      <c r="BN15" s="1137">
        <v>0</v>
      </c>
      <c r="BP15" s="720">
        <f t="shared" si="15"/>
        <v>362526.44400000002</v>
      </c>
      <c r="BQ15" s="721">
        <f t="shared" si="16"/>
        <v>555000</v>
      </c>
      <c r="BR15" s="722">
        <f t="shared" si="32"/>
        <v>1.5223225962146548E-2</v>
      </c>
      <c r="BS15" s="604"/>
      <c r="BT15" s="610">
        <v>20000</v>
      </c>
      <c r="BU15" s="334">
        <f t="shared" si="17"/>
        <v>13064.016</v>
      </c>
      <c r="BV15" s="612">
        <f t="shared" si="18"/>
        <v>7.9381876494237832E-3</v>
      </c>
      <c r="BW15" s="272">
        <v>20000</v>
      </c>
      <c r="BX15" s="234">
        <f t="shared" si="19"/>
        <v>800</v>
      </c>
      <c r="BY15" s="402">
        <v>600</v>
      </c>
      <c r="BZ15" s="1137">
        <v>0</v>
      </c>
      <c r="CA15" s="628">
        <v>2000</v>
      </c>
      <c r="CB15" s="334">
        <f t="shared" si="20"/>
        <v>1306.4015999999999</v>
      </c>
      <c r="CC15" s="630">
        <f t="shared" si="21"/>
        <v>4.9319720508575471E-3</v>
      </c>
      <c r="CD15" s="272">
        <v>2000</v>
      </c>
      <c r="CE15" s="234">
        <f t="shared" si="22"/>
        <v>80</v>
      </c>
      <c r="CF15" s="402">
        <v>31</v>
      </c>
      <c r="CG15" s="1137">
        <v>0</v>
      </c>
      <c r="CH15" s="1764">
        <v>600000</v>
      </c>
      <c r="CI15" s="334">
        <f t="shared" si="23"/>
        <v>391920.48</v>
      </c>
      <c r="CJ15" s="1767">
        <f t="shared" si="24"/>
        <v>3.2266498259178475E-2</v>
      </c>
      <c r="CK15" s="272"/>
      <c r="CL15" s="234">
        <f t="shared" si="25"/>
        <v>0</v>
      </c>
      <c r="CM15" s="402"/>
      <c r="CN15" s="1137">
        <v>0</v>
      </c>
      <c r="CO15" s="2074"/>
      <c r="CP15" s="334">
        <f t="shared" si="26"/>
        <v>0</v>
      </c>
      <c r="CQ15" s="2070">
        <f t="shared" si="27"/>
        <v>0</v>
      </c>
      <c r="CR15" s="272"/>
      <c r="CS15" s="234">
        <f t="shared" si="28"/>
        <v>0</v>
      </c>
      <c r="CT15" s="402"/>
      <c r="CU15" s="1137">
        <v>0</v>
      </c>
      <c r="CX15" s="333">
        <v>10000</v>
      </c>
      <c r="CY15" s="334">
        <f t="shared" si="29"/>
        <v>6532.0079999999998</v>
      </c>
      <c r="CZ15" s="726">
        <f t="shared" si="30"/>
        <v>4.2278503896376355E-3</v>
      </c>
      <c r="DA15" s="272">
        <v>10000</v>
      </c>
      <c r="DB15" s="234">
        <f t="shared" si="31"/>
        <v>400</v>
      </c>
      <c r="DC15" s="402">
        <v>180</v>
      </c>
      <c r="DD15" s="1137">
        <v>0</v>
      </c>
    </row>
    <row r="16" spans="1:108" ht="35" customHeight="1">
      <c r="A16" s="100">
        <f>_xlfn.XLOOKUP(P16,MOPFRA!R$7:R$78,MOPFRA!A$7:A$78,"")</f>
        <v>21.915394470166301</v>
      </c>
      <c r="B16" s="99"/>
      <c r="C16" s="2109">
        <f ca="1">_xlfn.XLOOKUP(P16,MOPFRA!R$7:R$78,MOPFRA!$C$7:$C$78,"")</f>
        <v>0.16832968547151153</v>
      </c>
      <c r="D16" s="99"/>
      <c r="E16" s="2120">
        <f>_xlfn.XLOOKUP(P16,MOPFRA!$R$7:$R$56,MOPFRA!$D$7:$D$56,"")</f>
        <v>3.1881062704957381</v>
      </c>
      <c r="F16" s="2110">
        <f>_xlfn.XLOOKUP($P16,MOPFRA!$R$7:$R$56,MOPFRA!$E$7:$E$56,"")</f>
        <v>-4.7000000000000046</v>
      </c>
      <c r="G16" s="2121">
        <f>_xlfn.XLOOKUP($P16,MOPFRA!$R$7:$R$56,MOPFRA!$F$7:$F$56,"")</f>
        <v>-1.0000000000000009</v>
      </c>
      <c r="H16" s="2124" cm="1">
        <f t="array" ref="H16">IFERROR(_xlfn.XLOOKUP(P16,'Sales Rec'!$E$37:$E$91,'Sales Rec'!$CU$37:$CU$91*100,""),"")</f>
        <v>-2.4543884252858916</v>
      </c>
      <c r="I16" s="2313">
        <f>_xlfn.XLOOKUP(P16,MOPFRA!$R$7:$R$56,MOPFRA!H$7:H$56,"")</f>
        <v>2.4231805929919137</v>
      </c>
      <c r="J16" s="2313">
        <f>_xlfn.XLOOKUP(P16,MOPFRA!$R$7:$R$56,MOPFRA!J$7:J$56,"")</f>
        <v>2.0871212121212119</v>
      </c>
      <c r="K16" s="1942">
        <f>_xlfn.XLOOKUP(P16,'Sales Rec'!$E$4:$E$91,'Sales Rec'!$CV$4:$CV$91,"")</f>
        <v>2</v>
      </c>
      <c r="L16" s="2212">
        <f>_xlfn.XLOOKUP(P16,MOPFRA!R$7:R$78,MOPFRA!$L$7:$L$78,"")</f>
        <v>6</v>
      </c>
      <c r="M16" s="1586" t="str">
        <f>_xlfn.XLOOKUP(P16,'Sales Rec'!$E$4:$E$105,'Sales Rec'!$DS$4:$DS$105,"")</f>
        <v>BB</v>
      </c>
      <c r="N16" s="1586" t="str">
        <f>_xlfn.XLOOKUP(P16,'Sales Rec'!$E$4:$E$105,'Sales Rec'!$DZ$4:$DZ$105,"")</f>
        <v>BB</v>
      </c>
      <c r="O16" s="382" t="s">
        <v>160</v>
      </c>
      <c r="P16" s="1571" t="s">
        <v>161</v>
      </c>
      <c r="Q16" s="1929">
        <v>12</v>
      </c>
      <c r="R16" s="264">
        <f>VLOOKUP(P16,MOPFRA!$R$7:$CD$56,4,FALSE)</f>
        <v>21130</v>
      </c>
      <c r="S16" s="292">
        <f>_xlfn.XLOOKUP(P16,MOPFRA!$R$7:$R$56,MOPFRA!$V$7:$V$56,"")</f>
        <v>2.67</v>
      </c>
      <c r="T16" s="292">
        <f>_xlfn.XLOOKUP(P16,'دیده بان بازار'!$A$8:$A$3179,'دیده بان بازار'!$L$8:$L$3179,"")</f>
        <v>550</v>
      </c>
      <c r="U16" s="304">
        <f>VLOOKUP(P16,MOPFRA!$R$7:$CD$56,6,FALSE)</f>
        <v>21190</v>
      </c>
      <c r="V16" s="361">
        <f>_xlfn.XLOOKUP(P16,MOPFRA!$R$7:$R$56,MOPFRA!$X$7:$X$56,"")</f>
        <v>2.96</v>
      </c>
      <c r="W16" s="361">
        <f>_xlfn.XLOOKUP(P16,'دیده بان بازار'!$A$8:$A$3179,'دیده بان بازار'!$I$8:$I$3179,"")</f>
        <v>610</v>
      </c>
      <c r="X16" s="2057" t="str">
        <f>_xlfn.XLOOKUP(P16,MOPFRA!$R$7:$R$78,MOPFRA!$P$7:$P$78,"")</f>
        <v>PH</v>
      </c>
      <c r="Y16" s="2058">
        <f t="shared" si="3"/>
        <v>4.7738921908439313E-2</v>
      </c>
      <c r="Z16" s="394">
        <f>_xlfn.XLOOKUP(P16,MOPFRA!$R$7:$R$78,MOPFRA!$T$7:$T$78,"")</f>
        <v>16316.3</v>
      </c>
      <c r="AA16" s="1030">
        <f>_xlfn.XLOOKUP(P16,'Sales Rec'!$E$4:$E$93,'Sales Rec'!$DW$4:$DW$93,"")</f>
        <v>2.5028553027050235</v>
      </c>
      <c r="AB16" s="850">
        <f>_xlfn.XLOOKUP(O16,MOPFRA!$Q$7:$Q$56,MOPFRA!$AA$7:$AA$56,"")</f>
        <v>0.12409920771615565</v>
      </c>
      <c r="AC16" s="1221">
        <f t="shared" ca="1" si="4"/>
        <v>0.82732805144103772</v>
      </c>
      <c r="AD16" s="825">
        <f ca="1">_xlfn.XLOOKUP(P16,MOPFRA!$R$7:$R$56,MOPFRA!$AC$7:$AC$56,"")</f>
        <v>-58.075270897528426</v>
      </c>
      <c r="AE16" s="810" t="str">
        <f>_xlfn.XLOOKUP(O16,MOPFRA!$Q$7:$Q$56,MOPFRA!$AH$7:$AH$56,"")</f>
        <v/>
      </c>
      <c r="AF16" s="599">
        <f t="shared" si="5"/>
        <v>10.69329401853412</v>
      </c>
      <c r="AG16" s="308">
        <f>_xlfn.XLOOKUP(O16,MOPFRA!$Q$7:$Q$78,MOPFRA!$AM$7:$AM$78,"")</f>
        <v>0</v>
      </c>
      <c r="AH16" s="1935">
        <f ca="1">_xlfn.XLOOKUP(P16,MOPFRA!$R$7:$R$56,MOPFRA!$AI$7:$AI$56,"")</f>
        <v>350</v>
      </c>
      <c r="AI16" s="385"/>
      <c r="AJ16" s="1612">
        <f>_xlfn.XLOOKUP(P16,MOPFRA!$R$7:$R$56,MOPFRA!$AJ$7:$AJ$56,"")</f>
        <v>46224</v>
      </c>
      <c r="AK16" s="1691">
        <f>_xlfn.XLOOKUP(P16,MOPFRA!$R$7:$R$78,MOPFRA!$DY$7:$DY$78,"")</f>
        <v>300</v>
      </c>
      <c r="AL16" s="1821">
        <f>_xlfn.XLOOKUP(P16,MOPFRA!$R$7:$R$58,MOPFRA!$AK$7:$AK$58,"")</f>
        <v>46299</v>
      </c>
      <c r="AM16" s="1825">
        <f>_xlfn.XLOOKUP($P16,MOPFRA!$R$7:$R$56,MOPFRA!$CC$7:$CC$56,"")</f>
        <v>3000</v>
      </c>
      <c r="AN16" s="1341">
        <f>_xlfn.XLOOKUP($P16,MOPFRA!$R$7:$R$56,MOPFRA!$BW$7:$BW$56,"")</f>
        <v>3.8518937295042619</v>
      </c>
      <c r="AO16" s="1207">
        <f>_xlfn.XLOOKUP($P16,MOPFRA!$R$7:$R$56,MOPFRA!$CD$7:$CD$56,"")</f>
        <v>7.04</v>
      </c>
      <c r="AP16" s="448" t="s">
        <v>197</v>
      </c>
      <c r="AQ16" s="571">
        <v>18992</v>
      </c>
      <c r="AR16" s="797">
        <v>18183</v>
      </c>
      <c r="AS16" s="798">
        <f t="shared" si="33"/>
        <v>0.1653742506737062</v>
      </c>
      <c r="AT16" s="329">
        <v>260000</v>
      </c>
      <c r="AU16" s="334">
        <f t="shared" si="6"/>
        <v>546091.728</v>
      </c>
      <c r="AV16" s="330">
        <f t="shared" si="7"/>
        <v>1.1868220276175621E-2</v>
      </c>
      <c r="AW16" s="272">
        <v>230000</v>
      </c>
      <c r="AX16" s="234">
        <f t="shared" si="8"/>
        <v>6900</v>
      </c>
      <c r="AY16" s="402">
        <v>2400</v>
      </c>
      <c r="AZ16" s="1137">
        <v>0</v>
      </c>
      <c r="BA16" s="342">
        <v>100000</v>
      </c>
      <c r="BB16" s="334">
        <f t="shared" si="9"/>
        <v>210035.28</v>
      </c>
      <c r="BC16" s="343">
        <f t="shared" si="10"/>
        <v>9.4037820132873342E-3</v>
      </c>
      <c r="BD16" s="272">
        <v>100000</v>
      </c>
      <c r="BE16" s="234">
        <f t="shared" si="11"/>
        <v>3000</v>
      </c>
      <c r="BF16" s="402"/>
      <c r="BG16" s="1137">
        <v>0</v>
      </c>
      <c r="BH16" s="333"/>
      <c r="BI16" s="334">
        <f t="shared" si="12"/>
        <v>0</v>
      </c>
      <c r="BJ16" s="726">
        <f t="shared" si="13"/>
        <v>0</v>
      </c>
      <c r="BK16" s="310"/>
      <c r="BL16" s="234">
        <f t="shared" si="14"/>
        <v>0</v>
      </c>
      <c r="BM16" s="402"/>
      <c r="BN16" s="1137">
        <v>0</v>
      </c>
      <c r="BP16" s="720">
        <f t="shared" si="15"/>
        <v>756127.00800000003</v>
      </c>
      <c r="BQ16" s="721">
        <f t="shared" si="16"/>
        <v>360000</v>
      </c>
      <c r="BR16" s="722">
        <f t="shared" si="32"/>
        <v>3.1751317702125449E-2</v>
      </c>
      <c r="BS16" s="604"/>
      <c r="BT16" s="610"/>
      <c r="BU16" s="334">
        <f t="shared" si="17"/>
        <v>0</v>
      </c>
      <c r="BV16" s="612">
        <f t="shared" si="18"/>
        <v>0</v>
      </c>
      <c r="BW16" s="272"/>
      <c r="BX16" s="234">
        <f t="shared" si="19"/>
        <v>0</v>
      </c>
      <c r="BY16" s="402"/>
      <c r="BZ16" s="1137">
        <v>0</v>
      </c>
      <c r="CA16" s="628"/>
      <c r="CB16" s="334">
        <f t="shared" si="20"/>
        <v>0</v>
      </c>
      <c r="CC16" s="630">
        <f t="shared" si="21"/>
        <v>0</v>
      </c>
      <c r="CD16" s="272"/>
      <c r="CE16" s="234">
        <f t="shared" si="22"/>
        <v>0</v>
      </c>
      <c r="CF16" s="402"/>
      <c r="CG16" s="1137">
        <v>0</v>
      </c>
      <c r="CH16" s="1764">
        <v>30000</v>
      </c>
      <c r="CI16" s="334">
        <f t="shared" si="23"/>
        <v>63010.583999999995</v>
      </c>
      <c r="CJ16" s="1767">
        <f t="shared" si="24"/>
        <v>5.1876107595750518E-3</v>
      </c>
      <c r="CK16" s="272">
        <v>30000</v>
      </c>
      <c r="CL16" s="234">
        <f t="shared" si="25"/>
        <v>900</v>
      </c>
      <c r="CM16" s="402"/>
      <c r="CN16" s="1137">
        <v>0</v>
      </c>
      <c r="CO16" s="2074"/>
      <c r="CP16" s="334">
        <f t="shared" si="26"/>
        <v>0</v>
      </c>
      <c r="CQ16" s="2070">
        <f t="shared" si="27"/>
        <v>0</v>
      </c>
      <c r="CR16" s="272"/>
      <c r="CS16" s="234">
        <f t="shared" si="28"/>
        <v>0</v>
      </c>
      <c r="CT16" s="402"/>
      <c r="CU16" s="1137">
        <v>0</v>
      </c>
      <c r="CX16" s="333"/>
      <c r="CY16" s="334">
        <f t="shared" si="29"/>
        <v>0</v>
      </c>
      <c r="CZ16" s="726">
        <f t="shared" si="30"/>
        <v>0</v>
      </c>
      <c r="DA16" s="310"/>
      <c r="DB16" s="234">
        <f t="shared" si="31"/>
        <v>0</v>
      </c>
      <c r="DC16" s="402"/>
      <c r="DD16" s="1137">
        <v>0</v>
      </c>
    </row>
    <row r="17" spans="1:108" ht="35" customHeight="1">
      <c r="A17" s="100">
        <f>_xlfn.XLOOKUP(P17,MOPFRA!R$7:R$78,MOPFRA!A$7:A$78,"")</f>
        <v>21.973793847562622</v>
      </c>
      <c r="B17" s="99"/>
      <c r="C17" s="2109">
        <f ca="1">_xlfn.XLOOKUP(P17,MOPFRA!R$7:R$78,MOPFRA!$C$7:$C$78,"")</f>
        <v>0.21917477602718566</v>
      </c>
      <c r="D17" s="99"/>
      <c r="E17" s="2120">
        <f>_xlfn.XLOOKUP(P17,MOPFRA!$R$7:$R$56,MOPFRA!$D$7:$D$56,"")</f>
        <v>2.6407948169983704</v>
      </c>
      <c r="F17" s="2110">
        <f>_xlfn.XLOOKUP($P17,MOPFRA!$R$7:$R$56,MOPFRA!$E$7:$E$56,"")</f>
        <v>28.500000000000004</v>
      </c>
      <c r="G17" s="2121">
        <f>_xlfn.XLOOKUP($P17,MOPFRA!$R$7:$R$56,MOPFRA!$F$7:$F$56,"")</f>
        <v>26.3</v>
      </c>
      <c r="H17" s="2124" cm="1">
        <f t="array" ref="H17">IFERROR(_xlfn.XLOOKUP(P17,'Sales Rec'!$E$37:$E$91,'Sales Rec'!$CU$37:$CU$91*100,""),"")</f>
        <v>27.340047640340437</v>
      </c>
      <c r="I17" s="2313">
        <f>_xlfn.XLOOKUP(P17,MOPFRA!$R$7:$R$56,MOPFRA!H$7:H$56,"")</f>
        <v>0.8349433011339773</v>
      </c>
      <c r="J17" s="2313">
        <f>_xlfn.XLOOKUP(P17,MOPFRA!$R$7:$R$56,MOPFRA!J$7:J$56,"")</f>
        <v>1.025883524141364</v>
      </c>
      <c r="K17" s="1942">
        <f>_xlfn.XLOOKUP(P17,'Sales Rec'!$E$4:$E$91,'Sales Rec'!$CV$4:$CV$91,"")</f>
        <v>28</v>
      </c>
      <c r="L17" s="2212">
        <f>_xlfn.XLOOKUP(P17,MOPFRA!R$7:R$78,MOPFRA!$L$7:$L$78,"")</f>
        <v>3</v>
      </c>
      <c r="M17" s="1586" t="str">
        <f>_xlfn.XLOOKUP(P17,'Sales Rec'!$E$4:$E$105,'Sales Rec'!$DS$4:$DS$105,"")</f>
        <v>BB</v>
      </c>
      <c r="N17" s="1586" t="str">
        <f>_xlfn.XLOOKUP(P17,'Sales Rec'!$E$4:$E$105,'Sales Rec'!$DZ$4:$DZ$105,"")</f>
        <v>BB</v>
      </c>
      <c r="O17" s="382" t="s">
        <v>116</v>
      </c>
      <c r="P17" s="1571" t="s">
        <v>117</v>
      </c>
      <c r="Q17" s="1929">
        <v>12</v>
      </c>
      <c r="R17" s="264">
        <f>VLOOKUP(P17,MOPFRA!$R$7:$CD$56,4,FALSE)</f>
        <v>4980</v>
      </c>
      <c r="S17" s="292">
        <f>_xlfn.XLOOKUP(P17,MOPFRA!$R$7:$R$56,MOPFRA!$V$7:$V$56,"")</f>
        <v>2.89</v>
      </c>
      <c r="T17" s="292">
        <f>_xlfn.XLOOKUP(P17,'دیده بان بازار'!$A$8:$A$3179,'دیده بان بازار'!$L$8:$L$3179,"")</f>
        <v>140</v>
      </c>
      <c r="U17" s="304">
        <f>VLOOKUP(P17,MOPFRA!$R$7:$CD$56,6,FALSE)</f>
        <v>4980</v>
      </c>
      <c r="V17" s="361">
        <f>_xlfn.XLOOKUP(P17,MOPFRA!$R$7:$R$56,MOPFRA!$X$7:$X$56,"")</f>
        <v>2.89</v>
      </c>
      <c r="W17" s="361">
        <f>_xlfn.XLOOKUP(P17,'دیده بان بازار'!$A$8:$A$3179,'دیده بان بازار'!$I$8:$I$3179,"")</f>
        <v>140</v>
      </c>
      <c r="X17" s="2057" t="str">
        <f>_xlfn.XLOOKUP(P17,MOPFRA!$R$7:$R$78,MOPFRA!$P$7:$P$78,"")</f>
        <v>M</v>
      </c>
      <c r="Y17" s="2058">
        <f t="shared" si="3"/>
        <v>3.6049848974958443E-2</v>
      </c>
      <c r="Z17" s="394">
        <f>_xlfn.XLOOKUP(P17,MOPFRA!$R$7:$R$78,MOPFRA!$T$7:$T$78,"")</f>
        <v>9960</v>
      </c>
      <c r="AA17" s="1030">
        <f>_xlfn.XLOOKUP(P17,'Sales Rec'!$E$4:$E$93,'Sales Rec'!$DW$4:$DW$93,"")</f>
        <v>1.1986754966887416</v>
      </c>
      <c r="AB17" s="850">
        <f>_xlfn.XLOOKUP(O17,MOPFRA!$Q$7:$Q$56,MOPFRA!$AA$7:$AA$56,"")</f>
        <v>1.1057082452431291</v>
      </c>
      <c r="AC17" s="1221">
        <f t="shared" ca="1" si="4"/>
        <v>1.5573355566804636</v>
      </c>
      <c r="AD17" s="825">
        <f ca="1">_xlfn.XLOOKUP(P17,MOPFRA!$R$7:$R$56,MOPFRA!$AC$7:$AC$56,"")</f>
        <v>-131.07602142147101</v>
      </c>
      <c r="AE17" s="810">
        <f>_xlfn.XLOOKUP(O17,MOPFRA!$Q$7:$Q$56,MOPFRA!$AH$7:$AH$56,"")</f>
        <v>1.1396348012889366</v>
      </c>
      <c r="AF17" s="599">
        <f t="shared" si="5"/>
        <v>5.2581074168797937</v>
      </c>
      <c r="AG17" s="308">
        <f>_xlfn.XLOOKUP(O17,MOPFRA!$Q$7:$Q$78,MOPFRA!$AM$7:$AM$78,"")</f>
        <v>0</v>
      </c>
      <c r="AH17" s="1935">
        <f ca="1">_xlfn.XLOOKUP(P17,MOPFRA!$R$7:$R$56,MOPFRA!$AI$7:$AI$56,"")</f>
        <v>294</v>
      </c>
      <c r="AI17" s="385"/>
      <c r="AJ17" s="1612">
        <f>_xlfn.XLOOKUP(P17,MOPFRA!$R$7:$R$56,MOPFRA!$AJ$7:$AJ$56,"")</f>
        <v>46168</v>
      </c>
      <c r="AK17" s="1691">
        <f>_xlfn.XLOOKUP(P17,MOPFRA!$R$7:$R$78,MOPFRA!$DY$7:$DY$78,"")</f>
        <v>475</v>
      </c>
      <c r="AL17" s="1821">
        <f>_xlfn.XLOOKUP(P17,MOPFRA!$R$7:$R$58,MOPFRA!$AK$7:$AK$58,"")</f>
        <v>46290</v>
      </c>
      <c r="AM17" s="1825">
        <f>_xlfn.XLOOKUP($P17,MOPFRA!$R$7:$R$56,MOPFRA!$CC$7:$CC$56,"")</f>
        <v>1065</v>
      </c>
      <c r="AN17" s="1341">
        <f>_xlfn.XLOOKUP($P17,MOPFRA!$R$7:$R$56,MOPFRA!$BW$7:$BW$56,"")</f>
        <v>2.0392051830016293</v>
      </c>
      <c r="AO17" s="1207">
        <f>_xlfn.XLOOKUP($P17,MOPFRA!$R$7:$R$56,MOPFRA!$CD$7:$CD$56,"")</f>
        <v>4.68</v>
      </c>
      <c r="AP17" s="448" t="s">
        <v>197</v>
      </c>
      <c r="AQ17" s="571">
        <v>4692</v>
      </c>
      <c r="AR17" s="797">
        <v>4828</v>
      </c>
      <c r="AS17" s="798">
        <f t="shared" si="33"/>
        <v>3.1483015741507872E-2</v>
      </c>
      <c r="AT17" s="329">
        <v>500000</v>
      </c>
      <c r="AU17" s="334">
        <f t="shared" si="6"/>
        <v>246808.8</v>
      </c>
      <c r="AV17" s="330">
        <f t="shared" si="7"/>
        <v>5.3638996057061199E-3</v>
      </c>
      <c r="AW17" s="310"/>
      <c r="AX17" s="234">
        <f t="shared" si="8"/>
        <v>0</v>
      </c>
      <c r="AY17" s="402">
        <v>90000</v>
      </c>
      <c r="AZ17" s="1137">
        <v>0</v>
      </c>
      <c r="BA17" s="342">
        <v>100000</v>
      </c>
      <c r="BB17" s="334">
        <f t="shared" si="9"/>
        <v>49361.760000000002</v>
      </c>
      <c r="BC17" s="343">
        <f t="shared" si="10"/>
        <v>2.2100440975068867E-3</v>
      </c>
      <c r="BD17" s="310">
        <v>373333</v>
      </c>
      <c r="BE17" s="234">
        <f t="shared" si="11"/>
        <v>17733.317500000001</v>
      </c>
      <c r="BF17" s="402">
        <v>12600</v>
      </c>
      <c r="BG17" s="1137">
        <v>0</v>
      </c>
      <c r="BH17" s="333"/>
      <c r="BI17" s="334">
        <f t="shared" si="12"/>
        <v>0</v>
      </c>
      <c r="BJ17" s="726">
        <f t="shared" si="13"/>
        <v>0</v>
      </c>
      <c r="BK17" s="272">
        <v>16000</v>
      </c>
      <c r="BL17" s="234">
        <f t="shared" si="14"/>
        <v>760</v>
      </c>
      <c r="BM17" s="402">
        <v>540</v>
      </c>
      <c r="BN17" s="1137">
        <v>0</v>
      </c>
      <c r="BP17" s="720">
        <f t="shared" si="15"/>
        <v>296170.56</v>
      </c>
      <c r="BQ17" s="721">
        <f t="shared" si="16"/>
        <v>600000</v>
      </c>
      <c r="BR17" s="722">
        <f t="shared" si="32"/>
        <v>1.2436806839435641E-2</v>
      </c>
      <c r="BS17" s="604"/>
      <c r="BT17" s="610"/>
      <c r="BU17" s="334">
        <f t="shared" si="17"/>
        <v>0</v>
      </c>
      <c r="BV17" s="612">
        <f t="shared" si="18"/>
        <v>0</v>
      </c>
      <c r="BW17" s="310"/>
      <c r="BX17" s="234">
        <f t="shared" si="19"/>
        <v>0</v>
      </c>
      <c r="BY17" s="402">
        <v>450</v>
      </c>
      <c r="BZ17" s="1137">
        <v>0</v>
      </c>
      <c r="CA17" s="628"/>
      <c r="CB17" s="334">
        <f t="shared" si="20"/>
        <v>0</v>
      </c>
      <c r="CC17" s="630">
        <f t="shared" si="21"/>
        <v>0</v>
      </c>
      <c r="CD17" s="310"/>
      <c r="CE17" s="234">
        <f t="shared" si="22"/>
        <v>0</v>
      </c>
      <c r="CF17" s="402">
        <v>540</v>
      </c>
      <c r="CG17" s="1137">
        <v>0</v>
      </c>
      <c r="CH17" s="1764">
        <v>100000</v>
      </c>
      <c r="CI17" s="334">
        <f t="shared" si="23"/>
        <v>49361.760000000002</v>
      </c>
      <c r="CJ17" s="1767">
        <f t="shared" si="24"/>
        <v>4.0639140447827219E-3</v>
      </c>
      <c r="CK17" s="310"/>
      <c r="CL17" s="234">
        <f t="shared" si="25"/>
        <v>0</v>
      </c>
      <c r="CM17" s="402"/>
      <c r="CN17" s="1137">
        <v>0</v>
      </c>
      <c r="CO17" s="2074"/>
      <c r="CP17" s="334">
        <f t="shared" si="26"/>
        <v>0</v>
      </c>
      <c r="CQ17" s="2070">
        <f t="shared" si="27"/>
        <v>0</v>
      </c>
      <c r="CR17" s="310"/>
      <c r="CS17" s="234">
        <f t="shared" si="28"/>
        <v>0</v>
      </c>
      <c r="CT17" s="402"/>
      <c r="CU17" s="1137">
        <v>0</v>
      </c>
      <c r="CX17" s="333"/>
      <c r="CY17" s="334">
        <f t="shared" si="29"/>
        <v>0</v>
      </c>
      <c r="CZ17" s="726">
        <f t="shared" si="30"/>
        <v>0</v>
      </c>
      <c r="DA17" s="272">
        <v>16000</v>
      </c>
      <c r="DB17" s="234">
        <f t="shared" si="31"/>
        <v>760</v>
      </c>
      <c r="DC17" s="402">
        <v>540</v>
      </c>
      <c r="DD17" s="1137">
        <v>0</v>
      </c>
    </row>
    <row r="18" spans="1:108" ht="35" customHeight="1">
      <c r="A18" s="100">
        <f>_xlfn.XLOOKUP(P18,MOPFRA!R$7:R$78,MOPFRA!A$7:A$78,"")</f>
        <v>18.611866641113266</v>
      </c>
      <c r="B18" s="99"/>
      <c r="C18" s="2109">
        <f ca="1">_xlfn.XLOOKUP(P18,MOPFRA!R$7:R$78,MOPFRA!$C$7:$C$78,"")</f>
        <v>1.7058784671013232</v>
      </c>
      <c r="D18" s="99"/>
      <c r="E18" s="2120">
        <f>_xlfn.XLOOKUP(P18,MOPFRA!$R$7:$R$56,MOPFRA!$D$7:$D$56,"")</f>
        <v>0.32399785399901759</v>
      </c>
      <c r="F18" s="2110">
        <f>_xlfn.XLOOKUP($P18,MOPFRA!$R$7:$R$56,MOPFRA!$E$7:$E$56,"")</f>
        <v>6.3000000000000016</v>
      </c>
      <c r="G18" s="2121">
        <f>_xlfn.XLOOKUP($P18,MOPFRA!$R$7:$R$56,MOPFRA!$F$7:$F$56,"")</f>
        <v>5.0000000000000018</v>
      </c>
      <c r="H18" s="2124" cm="1">
        <f t="array" ref="H18">IFERROR(_xlfn.XLOOKUP(P18,'Sales Rec'!$E$37:$E$91,'Sales Rec'!$CU$37:$CU$91*100,""),"")</f>
        <v>19.298883119513878</v>
      </c>
      <c r="I18" s="2313">
        <f>_xlfn.XLOOKUP(P18,MOPFRA!$R$7:$R$56,MOPFRA!H$7:H$56,"")</f>
        <v>0.5212685228621099</v>
      </c>
      <c r="J18" s="2313">
        <f>_xlfn.XLOOKUP(P18,MOPFRA!$R$7:$R$56,MOPFRA!J$7:J$56,"")</f>
        <v>0.47224834680382072</v>
      </c>
      <c r="K18" s="1942">
        <f>_xlfn.XLOOKUP(P18,'Sales Rec'!$E$4:$E$91,'Sales Rec'!$CV$4:$CV$91,"")</f>
        <v>36</v>
      </c>
      <c r="L18" s="2212">
        <f>_xlfn.XLOOKUP(P18,MOPFRA!R$7:R$78,MOPFRA!$L$7:$L$78,"")</f>
        <v>9</v>
      </c>
      <c r="M18" s="1586" t="str">
        <f>_xlfn.XLOOKUP(P18,'Sales Rec'!$E$4:$E$105,'Sales Rec'!$DS$4:$DS$105,"")</f>
        <v>B</v>
      </c>
      <c r="N18" s="1586" t="str">
        <f>_xlfn.XLOOKUP(P18,'Sales Rec'!$E$4:$E$105,'Sales Rec'!$DZ$4:$DZ$105,"")</f>
        <v>B</v>
      </c>
      <c r="O18" s="1930" t="s">
        <v>171</v>
      </c>
      <c r="P18" s="2391" t="s">
        <v>172</v>
      </c>
      <c r="Q18" s="2055">
        <f>VLOOKUP(P18,MOPFRA!$R$7:$CF$78,2,FALSE)</f>
        <v>12</v>
      </c>
      <c r="R18" s="264">
        <f>VLOOKUP(P18,MOPFRA!$R$7:$CD$56,4,FALSE)</f>
        <v>4510</v>
      </c>
      <c r="S18" s="292">
        <f>_xlfn.XLOOKUP(P18,MOPFRA!$R$7:$R$56,MOPFRA!$V$7:$V$56,"")</f>
        <v>2.97</v>
      </c>
      <c r="T18" s="292">
        <f>_xlfn.XLOOKUP(P18,'دیده بان بازار'!$A$8:$A$3179,'دیده بان بازار'!$L$8:$L$3179,"")</f>
        <v>130</v>
      </c>
      <c r="U18" s="304">
        <f>VLOOKUP(P18,MOPFRA!$R$7:$CD$56,6,FALSE)</f>
        <v>4510</v>
      </c>
      <c r="V18" s="361">
        <f>_xlfn.XLOOKUP(P18,MOPFRA!$R$7:$R$56,MOPFRA!$X$7:$X$56,"")</f>
        <v>2.97</v>
      </c>
      <c r="W18" s="361">
        <f>_xlfn.XLOOKUP(P18,'دیده بان بازار'!$A$8:$A$3179,'دیده بان بازار'!$I$8:$I$3179,"")</f>
        <v>130</v>
      </c>
      <c r="X18" s="2057" t="str">
        <f>_xlfn.XLOOKUP(P18,MOPFRA!$R$7:$R$78,MOPFRA!$P$7:$P$78,"")</f>
        <v>R</v>
      </c>
      <c r="Y18" s="2058">
        <f t="shared" si="3"/>
        <v>6.4146423007564304E-2</v>
      </c>
      <c r="Z18" s="394">
        <f>_xlfn.XLOOKUP(P18,MOPFRA!$R$7:$R$78,MOPFRA!$T$7:$T$78,"")</f>
        <v>294277.5</v>
      </c>
      <c r="AA18" s="1030">
        <f>_xlfn.XLOOKUP(P18,'Sales Rec'!$E$4:$E$93,'Sales Rec'!$DW$4:$DW$93,"")</f>
        <v>1.2775089437563971</v>
      </c>
      <c r="AB18" s="850">
        <f>_xlfn.XLOOKUP(O18,MOPFRA!$Q$7:$Q$56,MOPFRA!$AA$7:$AA$56,"")</f>
        <v>1.537028096523066</v>
      </c>
      <c r="AC18" s="1221">
        <f t="shared" ca="1" si="4"/>
        <v>0.42695224903418499</v>
      </c>
      <c r="AD18" s="825">
        <f ca="1">_xlfn.XLOOKUP(P18,MOPFRA!$R$7:$R$56,MOPFRA!$AC$7:$AC$56,"")</f>
        <v>-18.037690656843157</v>
      </c>
      <c r="AE18" s="810">
        <f>_xlfn.XLOOKUP(O18,MOPFRA!$Q$7:$Q$56,MOPFRA!$AH$7:$AH$56,"")</f>
        <v>2.3612507138777841</v>
      </c>
      <c r="AF18" s="599">
        <f t="shared" si="5"/>
        <v>6.0934345351043824</v>
      </c>
      <c r="AG18" s="810" t="str">
        <f>_xlfn.XLOOKUP(Q18,MOPFRA!$Q$7:$Q$56,MOPFRA!$AH$7:$AH$56,"")</f>
        <v/>
      </c>
      <c r="AH18" s="1935">
        <f ca="1">_xlfn.XLOOKUP(P18,MOPFRA!$R$7:$R$56,MOPFRA!$AI$7:$AI$56,"")</f>
        <v>5</v>
      </c>
      <c r="AI18" s="385"/>
      <c r="AJ18" s="1818">
        <f>_xlfn.XLOOKUP(P18,MOPFRA!$R$7:$R$56,MOPFRA!$AJ$7:$AJ$56,"")</f>
        <v>46244</v>
      </c>
      <c r="AK18" s="1694">
        <f>_xlfn.XLOOKUP(P18,MOPFRA!$R$7:$R$78,MOPFRA!$DY$7:$DY$78,"")</f>
        <v>190</v>
      </c>
      <c r="AL18" s="1821">
        <f>_xlfn.XLOOKUP(P18,MOPFRA!$R$7:$R$58,MOPFRA!$AK$7:$AK$58,"")</f>
        <v>46322</v>
      </c>
      <c r="AM18" s="1825">
        <f>_xlfn.XLOOKUP($P18,MOPFRA!$R$7:$R$56,MOPFRA!$CC$7:$CC$56,"")</f>
        <v>1249</v>
      </c>
      <c r="AN18" s="1341">
        <f>_xlfn.XLOOKUP($P18,MOPFRA!$R$7:$R$56,MOPFRA!$BW$7:$BW$56,"")</f>
        <v>3.2860021460009823</v>
      </c>
      <c r="AO18" s="1207">
        <f>_xlfn.XLOOKUP($P18,MOPFRA!$R$7:$R$56,MOPFRA!$CD$7:$CD$56,"")</f>
        <v>3.61</v>
      </c>
      <c r="AP18" s="448" t="s">
        <v>197</v>
      </c>
      <c r="AQ18" s="571">
        <v>4216</v>
      </c>
      <c r="AR18" s="797">
        <v>2113</v>
      </c>
      <c r="AS18" s="798">
        <f t="shared" si="33"/>
        <v>1.1344060577378134</v>
      </c>
      <c r="AT18" s="329">
        <v>1570000</v>
      </c>
      <c r="AU18" s="334">
        <f t="shared" si="6"/>
        <v>701838.98399999994</v>
      </c>
      <c r="AV18" s="330">
        <f t="shared" si="7"/>
        <v>1.5253077886796515E-2</v>
      </c>
      <c r="AW18" s="272"/>
      <c r="AX18" s="234">
        <f t="shared" si="8"/>
        <v>0</v>
      </c>
      <c r="AY18" s="402">
        <v>83356</v>
      </c>
      <c r="AZ18" s="1137">
        <v>0</v>
      </c>
      <c r="BA18" s="342">
        <v>24189</v>
      </c>
      <c r="BB18" s="334">
        <f t="shared" si="9"/>
        <v>10813.237696799999</v>
      </c>
      <c r="BC18" s="343">
        <f t="shared" si="10"/>
        <v>4.8413452329803061E-4</v>
      </c>
      <c r="BD18" s="272"/>
      <c r="BE18" s="234">
        <f t="shared" si="11"/>
        <v>0</v>
      </c>
      <c r="BF18" s="402">
        <v>3980</v>
      </c>
      <c r="BG18" s="1137">
        <v>0</v>
      </c>
      <c r="BH18" s="333">
        <v>160000</v>
      </c>
      <c r="BI18" s="334">
        <f t="shared" si="12"/>
        <v>71524.991999999998</v>
      </c>
      <c r="BJ18" s="726">
        <f t="shared" si="13"/>
        <v>4.6294640988809067E-2</v>
      </c>
      <c r="BK18" s="310"/>
      <c r="BL18" s="234">
        <f t="shared" si="14"/>
        <v>0</v>
      </c>
      <c r="BM18" s="402">
        <v>11699</v>
      </c>
      <c r="BN18" s="1137">
        <v>0</v>
      </c>
      <c r="BP18" s="720">
        <f t="shared" si="15"/>
        <v>784177.21369679994</v>
      </c>
      <c r="BQ18" s="721">
        <f t="shared" si="16"/>
        <v>1754189</v>
      </c>
      <c r="BR18" s="722">
        <f t="shared" si="32"/>
        <v>3.2929203141034494E-2</v>
      </c>
      <c r="BS18" s="604"/>
      <c r="BT18" s="610">
        <v>36283</v>
      </c>
      <c r="BU18" s="334">
        <f t="shared" si="17"/>
        <v>16219.6330296</v>
      </c>
      <c r="BV18" s="612">
        <f t="shared" si="18"/>
        <v>9.8556592853037521E-3</v>
      </c>
      <c r="BW18" s="272"/>
      <c r="BX18" s="234">
        <f t="shared" si="19"/>
        <v>0</v>
      </c>
      <c r="BY18" s="402">
        <v>960</v>
      </c>
      <c r="BZ18" s="1137">
        <v>0</v>
      </c>
      <c r="CA18" s="628">
        <v>24000</v>
      </c>
      <c r="CB18" s="334">
        <f t="shared" si="20"/>
        <v>10728.748799999999</v>
      </c>
      <c r="CC18" s="630">
        <f t="shared" si="21"/>
        <v>4.0503539816754246E-2</v>
      </c>
      <c r="CD18" s="272"/>
      <c r="CE18" s="234">
        <f t="shared" si="22"/>
        <v>0</v>
      </c>
      <c r="CF18" s="402">
        <v>927</v>
      </c>
      <c r="CG18" s="1137">
        <v>0</v>
      </c>
      <c r="CH18" s="1764"/>
      <c r="CI18" s="334">
        <f t="shared" si="23"/>
        <v>0</v>
      </c>
      <c r="CJ18" s="1767">
        <f t="shared" si="24"/>
        <v>0</v>
      </c>
      <c r="CK18" s="272"/>
      <c r="CL18" s="234"/>
      <c r="CM18" s="402"/>
      <c r="CN18" s="1137">
        <v>0</v>
      </c>
      <c r="CO18" s="2074"/>
      <c r="CP18" s="334">
        <f t="shared" si="26"/>
        <v>0</v>
      </c>
      <c r="CQ18" s="2070">
        <f t="shared" si="27"/>
        <v>0</v>
      </c>
      <c r="CR18" s="272"/>
      <c r="CS18" s="234">
        <f t="shared" si="28"/>
        <v>0</v>
      </c>
      <c r="CT18" s="402"/>
      <c r="CU18" s="1137">
        <v>0</v>
      </c>
      <c r="CX18" s="333">
        <v>160000</v>
      </c>
      <c r="CY18" s="334">
        <f t="shared" si="29"/>
        <v>71524.991999999998</v>
      </c>
      <c r="CZ18" s="726">
        <f t="shared" si="30"/>
        <v>4.6294640988809067E-2</v>
      </c>
      <c r="DA18" s="310"/>
      <c r="DB18" s="234">
        <f t="shared" si="31"/>
        <v>0</v>
      </c>
      <c r="DC18" s="402">
        <v>11699</v>
      </c>
      <c r="DD18" s="1137">
        <v>0</v>
      </c>
    </row>
    <row r="19" spans="1:108" ht="35" customHeight="1">
      <c r="A19" s="100">
        <f>_xlfn.XLOOKUP(P19,MOPFRA!R$7:R$78,MOPFRA!A$7:A$78,"")</f>
        <v>17.984453865135521</v>
      </c>
      <c r="B19" s="99"/>
      <c r="C19" s="2109">
        <f ca="1">_xlfn.XLOOKUP(P19,MOPFRA!R$7:R$78,MOPFRA!$C$7:$C$78,"")</f>
        <v>0.14932142100576917</v>
      </c>
      <c r="D19" s="99"/>
      <c r="E19" s="2120">
        <f>_xlfn.XLOOKUP(P19,MOPFRA!$R$7:$R$56,MOPFRA!$D$7:$D$56,"")</f>
        <v>2.3935069616322808</v>
      </c>
      <c r="F19" s="2110">
        <f>_xlfn.XLOOKUP($P19,MOPFRA!$R$7:$R$56,MOPFRA!$E$7:$E$56,"")</f>
        <v>2.1999999999999993</v>
      </c>
      <c r="G19" s="2121">
        <f>_xlfn.XLOOKUP($P19,MOPFRA!$R$7:$R$56,MOPFRA!$F$7:$F$56,"")</f>
        <v>3.5999999999999992</v>
      </c>
      <c r="H19" s="2124" cm="1">
        <f t="array" ref="H19">IFERROR(_xlfn.XLOOKUP(P19,'Sales Rec'!$E$37:$E$91,'Sales Rec'!$CU$37:$CU$91*100,""),"")</f>
        <v>-106.74176521249188</v>
      </c>
      <c r="I19" s="2313">
        <f>_xlfn.XLOOKUP(P19,MOPFRA!$R$7:$R$56,MOPFRA!H$7:H$56,"")</f>
        <v>3.3424031096375901</v>
      </c>
      <c r="J19" s="2313">
        <f>_xlfn.XLOOKUP(P19,MOPFRA!$R$7:$R$56,MOPFRA!J$7:J$56,"")</f>
        <v>-6.2162437582798328E-3</v>
      </c>
      <c r="K19" s="1942">
        <f>_xlfn.XLOOKUP(P19,'Sales Rec'!$E$4:$E$91,'Sales Rec'!$CV$4:$CV$91,"")</f>
        <v>1</v>
      </c>
      <c r="L19" s="2212">
        <f>_xlfn.XLOOKUP(P19,MOPFRA!R$7:R$78,MOPFRA!$L$7:$L$78,"")</f>
        <v>11</v>
      </c>
      <c r="M19" s="1586" t="str">
        <f>_xlfn.XLOOKUP(P19,'Sales Rec'!$E$4:$E$105,'Sales Rec'!$DS$4:$DS$105,"")</f>
        <v>B</v>
      </c>
      <c r="N19" s="1586" t="str">
        <f>_xlfn.XLOOKUP(P19,'Sales Rec'!$E$4:$E$105,'Sales Rec'!$DZ$4:$DZ$105,"")</f>
        <v>B</v>
      </c>
      <c r="O19" s="2388" t="s">
        <v>102</v>
      </c>
      <c r="P19" s="1972" t="s">
        <v>103</v>
      </c>
      <c r="Q19" s="1929">
        <v>12</v>
      </c>
      <c r="R19" s="264">
        <f>VLOOKUP(P19,MOPFRA!$R$7:$CD$56,4,FALSE)</f>
        <v>19170</v>
      </c>
      <c r="S19" s="292">
        <f>_xlfn.XLOOKUP(P19,MOPFRA!$R$7:$R$56,MOPFRA!$V$7:$V$56,"")</f>
        <v>2.84</v>
      </c>
      <c r="T19" s="292">
        <f>_xlfn.XLOOKUP(P19,'دیده بان بازار'!$A$8:$A$3179,'دیده بان بازار'!$L$8:$L$3179,"")</f>
        <v>530</v>
      </c>
      <c r="U19" s="304">
        <f>VLOOKUP(P19,MOPFRA!$R$7:$CD$56,6,FALSE)</f>
        <v>19190</v>
      </c>
      <c r="V19" s="361">
        <f>_xlfn.XLOOKUP(P19,MOPFRA!$R$7:$R$56,MOPFRA!$X$7:$X$56,"")</f>
        <v>2.95</v>
      </c>
      <c r="W19" s="361">
        <f>_xlfn.XLOOKUP(P19,'دیده بان بازار'!$A$8:$A$3179,'دیده بان بازار'!$I$8:$I$3179,"")</f>
        <v>550</v>
      </c>
      <c r="X19" s="2057" t="str">
        <f>_xlfn.XLOOKUP(P19,MOPFRA!$R$7:$R$78,MOPFRA!$P$7:$P$78,"")</f>
        <v>F</v>
      </c>
      <c r="Y19" s="2058">
        <f t="shared" si="3"/>
        <v>2.3636702178156787E-2</v>
      </c>
      <c r="Z19" s="394">
        <f>_xlfn.XLOOKUP(P19,MOPFRA!$R$7:$R$78,MOPFRA!$T$7:$T$78,"")</f>
        <v>84436</v>
      </c>
      <c r="AA19" s="1030">
        <f>_xlfn.XLOOKUP(P19,'Sales Rec'!$E$4:$E$93,'Sales Rec'!$DW$4:$DW$93,"")</f>
        <v>4.9449412096036047</v>
      </c>
      <c r="AB19" s="850">
        <f>_xlfn.XLOOKUP(O19,MOPFRA!$Q$7:$Q$56,MOPFRA!$AA$7:$AA$56,"")</f>
        <v>0.22541507024265645</v>
      </c>
      <c r="AC19" s="1221">
        <f t="shared" ca="1" si="4"/>
        <v>0.93922945934440183</v>
      </c>
      <c r="AD19" s="825">
        <f ca="1">_xlfn.XLOOKUP(P19,MOPFRA!$R$7:$R$56,MOPFRA!$AC$7:$AC$56,"")</f>
        <v>-69.265411687864841</v>
      </c>
      <c r="AE19" s="810">
        <f>_xlfn.XLOOKUP(O19,MOPFRA!$Q$7:$Q$56,MOPFRA!$AH$7:$AH$56,"")</f>
        <v>5.3262156289802949</v>
      </c>
      <c r="AF19" s="599">
        <f t="shared" si="5"/>
        <v>-8.7455002258355954</v>
      </c>
      <c r="AG19" s="308">
        <f>_xlfn.XLOOKUP(O19,MOPFRA!$Q$7:$Q$78,MOPFRA!$AM$7:$AM$78,"")</f>
        <v>0</v>
      </c>
      <c r="AH19" s="1935">
        <f ca="1">_xlfn.XLOOKUP(P19,MOPFRA!$R$7:$R$56,MOPFRA!$AI$7:$AI$56,"")</f>
        <v>341</v>
      </c>
      <c r="AI19" s="385"/>
      <c r="AJ19" s="1612">
        <f>_xlfn.XLOOKUP(P19,MOPFRA!$R$7:$R$56,MOPFRA!$AJ$7:$AJ$56,"")</f>
        <v>46215</v>
      </c>
      <c r="AK19" s="1691">
        <f>_xlfn.XLOOKUP(P19,MOPFRA!$R$7:$R$78,MOPFRA!$DY$7:$DY$78,"")</f>
        <v>1600</v>
      </c>
      <c r="AL19" s="1821">
        <f>_xlfn.XLOOKUP(P19,MOPFRA!$R$7:$R$58,MOPFRA!$AK$7:$AK$58,"")</f>
        <v>46245</v>
      </c>
      <c r="AM19" s="1825">
        <f>_xlfn.XLOOKUP($P19,MOPFRA!$R$7:$R$56,MOPFRA!$CC$7:$CC$56,"")</f>
        <v>2993</v>
      </c>
      <c r="AN19" s="1341">
        <f>_xlfn.XLOOKUP($P19,MOPFRA!$R$7:$R$56,MOPFRA!$BW$7:$BW$56,"")</f>
        <v>4.0064930383677195</v>
      </c>
      <c r="AO19" s="1207">
        <f>_xlfn.XLOOKUP($P19,MOPFRA!$R$7:$R$56,MOPFRA!$CD$7:$CD$56,"")</f>
        <v>6.4</v>
      </c>
      <c r="AP19" s="447" t="s">
        <v>603</v>
      </c>
      <c r="AQ19" s="572">
        <v>17712</v>
      </c>
      <c r="AR19" s="797"/>
      <c r="AS19" s="798" t="str">
        <f t="shared" si="33"/>
        <v/>
      </c>
      <c r="AT19" s="329"/>
      <c r="AU19" s="334">
        <f t="shared" si="6"/>
        <v>0</v>
      </c>
      <c r="AV19" s="330">
        <f t="shared" si="7"/>
        <v>0</v>
      </c>
      <c r="AW19" s="310">
        <v>50000</v>
      </c>
      <c r="AX19" s="234">
        <f t="shared" si="8"/>
        <v>8000</v>
      </c>
      <c r="AY19" s="402"/>
      <c r="AZ19" s="1137">
        <v>0</v>
      </c>
      <c r="BA19" s="342"/>
      <c r="BB19" s="334">
        <f t="shared" si="9"/>
        <v>0</v>
      </c>
      <c r="BC19" s="343">
        <f t="shared" si="10"/>
        <v>0</v>
      </c>
      <c r="BD19" s="310"/>
      <c r="BE19" s="234">
        <f t="shared" si="11"/>
        <v>0</v>
      </c>
      <c r="BF19" s="402"/>
      <c r="BG19" s="1137">
        <v>0</v>
      </c>
      <c r="BH19" s="333"/>
      <c r="BI19" s="334">
        <f t="shared" si="12"/>
        <v>0</v>
      </c>
      <c r="BJ19" s="726">
        <f t="shared" si="13"/>
        <v>0</v>
      </c>
      <c r="BK19" s="272"/>
      <c r="BL19" s="234">
        <f t="shared" si="14"/>
        <v>0</v>
      </c>
      <c r="BM19" s="402"/>
      <c r="BN19" s="1137">
        <v>0</v>
      </c>
      <c r="BP19" s="720">
        <f t="shared" si="15"/>
        <v>0</v>
      </c>
      <c r="BQ19" s="721">
        <f t="shared" si="16"/>
        <v>0</v>
      </c>
      <c r="BR19" s="722">
        <f t="shared" si="32"/>
        <v>0</v>
      </c>
      <c r="BS19" s="604"/>
      <c r="BT19" s="610">
        <v>10000</v>
      </c>
      <c r="BU19" s="334">
        <f t="shared" si="17"/>
        <v>19021.128000000001</v>
      </c>
      <c r="BV19" s="612">
        <f t="shared" si="18"/>
        <v>1.1557953034327953E-2</v>
      </c>
      <c r="BW19" s="310"/>
      <c r="BX19" s="234">
        <f t="shared" si="19"/>
        <v>0</v>
      </c>
      <c r="BY19" s="402"/>
      <c r="BZ19" s="1137">
        <v>0</v>
      </c>
      <c r="CA19" s="628">
        <v>1000</v>
      </c>
      <c r="CB19" s="334">
        <f t="shared" si="20"/>
        <v>1902.1127999999999</v>
      </c>
      <c r="CC19" s="630">
        <f t="shared" si="21"/>
        <v>7.1809213699511633E-3</v>
      </c>
      <c r="CD19" s="310"/>
      <c r="CE19" s="234">
        <f t="shared" si="22"/>
        <v>0</v>
      </c>
      <c r="CF19" s="402"/>
      <c r="CG19" s="1137">
        <v>0</v>
      </c>
      <c r="CH19" s="1764"/>
      <c r="CI19" s="334">
        <f t="shared" si="23"/>
        <v>0</v>
      </c>
      <c r="CJ19" s="1767">
        <f t="shared" si="24"/>
        <v>0</v>
      </c>
      <c r="CK19" s="310"/>
      <c r="CL19" s="234">
        <f t="shared" ref="CL19:CL40" si="34">$AK19*CK19/10000</f>
        <v>0</v>
      </c>
      <c r="CM19" s="402"/>
      <c r="CN19" s="1137">
        <v>0</v>
      </c>
      <c r="CO19" s="2074"/>
      <c r="CP19" s="334">
        <f t="shared" si="26"/>
        <v>0</v>
      </c>
      <c r="CQ19" s="2070">
        <f t="shared" si="27"/>
        <v>0</v>
      </c>
      <c r="CR19" s="310"/>
      <c r="CS19" s="234"/>
      <c r="CT19" s="402"/>
      <c r="CU19" s="1137">
        <v>0</v>
      </c>
      <c r="CX19" s="333"/>
      <c r="CY19" s="334">
        <f t="shared" si="29"/>
        <v>0</v>
      </c>
      <c r="CZ19" s="726">
        <f t="shared" si="30"/>
        <v>0</v>
      </c>
      <c r="DA19" s="272"/>
      <c r="DB19" s="234">
        <f t="shared" si="31"/>
        <v>0</v>
      </c>
      <c r="DC19" s="402"/>
      <c r="DD19" s="1137">
        <v>0</v>
      </c>
    </row>
    <row r="20" spans="1:108" ht="35" customHeight="1">
      <c r="A20" s="100">
        <f>_xlfn.XLOOKUP(P20,MOPFRA!R$7:R$78,MOPFRA!A$7:A$78,"")</f>
        <v>15.917114604278469</v>
      </c>
      <c r="B20" s="99"/>
      <c r="C20" s="2109">
        <f ca="1">_xlfn.XLOOKUP(P20,MOPFRA!R$7:R$78,MOPFRA!$C$7:$C$78,"")</f>
        <v>0.24108981296481299</v>
      </c>
      <c r="D20" s="99"/>
      <c r="E20" s="2120">
        <f>_xlfn.XLOOKUP(P20,MOPFRA!$R$7:$R$56,MOPFRA!$D$7:$D$56,"")</f>
        <v>2.1959807475102675</v>
      </c>
      <c r="F20" s="2110">
        <f>_xlfn.XLOOKUP($P20,MOPFRA!$R$7:$R$56,MOPFRA!$E$7:$E$56,"")</f>
        <v>8.0000000000000018</v>
      </c>
      <c r="G20" s="2121">
        <f>_xlfn.XLOOKUP($P20,MOPFRA!$R$7:$R$56,MOPFRA!$F$7:$F$56,"")</f>
        <v>7.5000000000000009</v>
      </c>
      <c r="H20" s="2124" cm="1">
        <f t="array" ref="H20">IFERROR(_xlfn.XLOOKUP(P20,'Sales Rec'!$E$37:$E$91,'Sales Rec'!$CU$37:$CU$91*100,""),"")</f>
        <v>15.712199654851977</v>
      </c>
      <c r="I20" s="2313">
        <f>_xlfn.XLOOKUP(P20,MOPFRA!$R$7:$R$56,MOPFRA!H$7:H$56,"")</f>
        <v>0.68387096774193545</v>
      </c>
      <c r="J20" s="2313">
        <f>_xlfn.XLOOKUP(P20,MOPFRA!$R$7:$R$56,MOPFRA!J$7:J$56,"")</f>
        <v>0.84453781512605042</v>
      </c>
      <c r="K20" s="1942">
        <f>_xlfn.XLOOKUP(P20,'Sales Rec'!$E$4:$E$91,'Sales Rec'!$CV$4:$CV$91,"")</f>
        <v>31</v>
      </c>
      <c r="L20" s="2212">
        <f>_xlfn.XLOOKUP(P20,MOPFRA!R$7:R$78,MOPFRA!$L$7:$L$78,"")</f>
        <v>16</v>
      </c>
      <c r="M20" s="1586" t="str">
        <f>_xlfn.XLOOKUP(P20,'Sales Rec'!$E$4:$E$105,'Sales Rec'!$DS$4:$DS$105,"")</f>
        <v>B</v>
      </c>
      <c r="N20" s="1586" t="str">
        <f>_xlfn.XLOOKUP(P20,'Sales Rec'!$E$4:$E$105,'Sales Rec'!$DZ$4:$DZ$105,"")</f>
        <v>BB</v>
      </c>
      <c r="O20" s="382" t="s">
        <v>130</v>
      </c>
      <c r="P20" s="1571" t="s">
        <v>131</v>
      </c>
      <c r="Q20" s="1929">
        <v>12</v>
      </c>
      <c r="R20" s="264">
        <f>VLOOKUP(P20,MOPFRA!$R$7:$CD$56,4,FALSE)</f>
        <v>3640</v>
      </c>
      <c r="S20" s="292">
        <f>_xlfn.XLOOKUP(P20,MOPFRA!$R$7:$R$56,MOPFRA!$V$7:$V$56,"")</f>
        <v>2.82</v>
      </c>
      <c r="T20" s="292">
        <f>_xlfn.XLOOKUP(P20,'دیده بان بازار'!$A$8:$A$3179,'دیده بان بازار'!$L$8:$L$3179,"")</f>
        <v>100</v>
      </c>
      <c r="U20" s="304">
        <f>VLOOKUP(P20,MOPFRA!$R$7:$CD$56,6,FALSE)</f>
        <v>3640</v>
      </c>
      <c r="V20" s="361">
        <f>_xlfn.XLOOKUP(P20,MOPFRA!$R$7:$R$56,MOPFRA!$X$7:$X$56,"")</f>
        <v>2.82</v>
      </c>
      <c r="W20" s="361">
        <f>_xlfn.XLOOKUP(P20,'دیده بان بازار'!$A$8:$A$3179,'دیده بان بازار'!$I$8:$I$3179,"")</f>
        <v>100</v>
      </c>
      <c r="X20" s="2057" t="str">
        <f>_xlfn.XLOOKUP(P20,MOPFRA!$R$7:$R$78,MOPFRA!$P$7:$P$78,"")</f>
        <v>KN</v>
      </c>
      <c r="Y20" s="2058">
        <f t="shared" si="3"/>
        <v>0</v>
      </c>
      <c r="Z20" s="394">
        <f>_xlfn.XLOOKUP(P20,MOPFRA!$R$7:$R$78,MOPFRA!$T$7:$T$78,"")</f>
        <v>1456</v>
      </c>
      <c r="AA20" s="1030">
        <f>_xlfn.XLOOKUP(P20,'Sales Rec'!$E$4:$E$93,'Sales Rec'!$DW$4:$DW$93,"")</f>
        <v>0.84117349519473961</v>
      </c>
      <c r="AB20" s="850">
        <f>_xlfn.XLOOKUP(O20,MOPFRA!$Q$7:$Q$56,MOPFRA!$AA$7:$AA$56,"")</f>
        <v>0.66210045662100458</v>
      </c>
      <c r="AC20" s="1221">
        <f t="shared" ca="1" si="4"/>
        <v>0.8947303467851413</v>
      </c>
      <c r="AD20" s="825">
        <f ca="1">_xlfn.XLOOKUP(P20,MOPFRA!$R$7:$R$56,MOPFRA!$AC$7:$AC$56,"")</f>
        <v>-64.815500431938787</v>
      </c>
      <c r="AE20" s="810">
        <f>_xlfn.XLOOKUP(O20,MOPFRA!$Q$7:$Q$56,MOPFRA!$AH$7:$AH$56,"")</f>
        <v>0.3</v>
      </c>
      <c r="AF20" s="599">
        <f t="shared" si="5"/>
        <v>-37.762745098039225</v>
      </c>
      <c r="AG20" s="308">
        <f>_xlfn.XLOOKUP(O20,MOPFRA!$Q$7:$Q$78,MOPFRA!$AM$7:$AM$78,"")</f>
        <v>0</v>
      </c>
      <c r="AH20" s="1935">
        <f ca="1">_xlfn.XLOOKUP(P20,MOPFRA!$R$7:$R$56,MOPFRA!$AI$7:$AI$56,"")</f>
        <v>291</v>
      </c>
      <c r="AI20" s="385"/>
      <c r="AJ20" s="1612">
        <f>_xlfn.XLOOKUP(P20,MOPFRA!$R$7:$R$56,MOPFRA!$AJ$7:$AJ$56,"")</f>
        <v>46165</v>
      </c>
      <c r="AK20" s="1691">
        <f>_xlfn.XLOOKUP(P20,MOPFRA!$R$7:$R$78,MOPFRA!$DY$7:$DY$78,"")</f>
        <v>150</v>
      </c>
      <c r="AL20" s="1821">
        <f>_xlfn.XLOOKUP(P20,MOPFRA!$R$7:$R$58,MOPFRA!$AK$7:$AK$58,"")</f>
        <v>46270</v>
      </c>
      <c r="AM20" s="1825">
        <f>_xlfn.XLOOKUP($P20,MOPFRA!$R$7:$R$56,MOPFRA!$CC$7:$CC$56,"")</f>
        <v>612</v>
      </c>
      <c r="AN20" s="1341">
        <f>_xlfn.XLOOKUP($P20,MOPFRA!$R$7:$R$56,MOPFRA!$BW$7:$BW$56,"")</f>
        <v>3.7540192524897327</v>
      </c>
      <c r="AO20" s="1207">
        <f>_xlfn.XLOOKUP($P20,MOPFRA!$R$7:$R$56,MOPFRA!$CD$7:$CD$56,"")</f>
        <v>5.95</v>
      </c>
      <c r="AP20" s="447" t="s">
        <v>603</v>
      </c>
      <c r="AQ20" s="572">
        <v>2652</v>
      </c>
      <c r="AR20" s="797"/>
      <c r="AS20" s="798" t="str">
        <f t="shared" si="33"/>
        <v/>
      </c>
      <c r="AT20" s="329"/>
      <c r="AU20" s="334">
        <f t="shared" si="6"/>
        <v>0</v>
      </c>
      <c r="AV20" s="330">
        <f t="shared" si="7"/>
        <v>0</v>
      </c>
      <c r="AW20" s="310">
        <v>479999</v>
      </c>
      <c r="AX20" s="234">
        <f t="shared" si="8"/>
        <v>7199.9849999999997</v>
      </c>
      <c r="AY20" s="402">
        <v>4350</v>
      </c>
      <c r="AZ20" s="1137">
        <v>0</v>
      </c>
      <c r="BA20" s="2035"/>
      <c r="BB20" s="334">
        <f t="shared" si="9"/>
        <v>0</v>
      </c>
      <c r="BC20" s="343">
        <f t="shared" si="10"/>
        <v>0</v>
      </c>
      <c r="BD20" s="310">
        <v>133333</v>
      </c>
      <c r="BE20" s="234">
        <f t="shared" si="11"/>
        <v>1999.9949999999999</v>
      </c>
      <c r="BF20" s="402">
        <v>2610</v>
      </c>
      <c r="BG20" s="1137">
        <v>0</v>
      </c>
      <c r="BH20" s="2036"/>
      <c r="BI20" s="334">
        <f t="shared" si="12"/>
        <v>0</v>
      </c>
      <c r="BJ20" s="726">
        <f t="shared" si="13"/>
        <v>0</v>
      </c>
      <c r="BK20" s="310">
        <v>13333</v>
      </c>
      <c r="BL20" s="234">
        <f t="shared" si="14"/>
        <v>199.995</v>
      </c>
      <c r="BM20" s="402">
        <v>218</v>
      </c>
      <c r="BN20" s="1137">
        <v>0</v>
      </c>
      <c r="BP20" s="720">
        <f t="shared" si="15"/>
        <v>0</v>
      </c>
      <c r="BQ20" s="721">
        <f t="shared" si="16"/>
        <v>0</v>
      </c>
      <c r="BR20" s="722">
        <f t="shared" si="32"/>
        <v>0</v>
      </c>
      <c r="BS20" s="604"/>
      <c r="BT20" s="2037"/>
      <c r="BU20" s="334">
        <f t="shared" si="17"/>
        <v>0</v>
      </c>
      <c r="BV20" s="612">
        <f t="shared" si="18"/>
        <v>0</v>
      </c>
      <c r="BW20" s="310"/>
      <c r="BX20" s="234">
        <f t="shared" si="19"/>
        <v>0</v>
      </c>
      <c r="BY20" s="402">
        <v>218</v>
      </c>
      <c r="BZ20" s="1137">
        <v>0</v>
      </c>
      <c r="CA20" s="628"/>
      <c r="CB20" s="334">
        <f t="shared" si="20"/>
        <v>0</v>
      </c>
      <c r="CC20" s="630">
        <f t="shared" si="21"/>
        <v>0</v>
      </c>
      <c r="CD20" s="310"/>
      <c r="CE20" s="234">
        <f t="shared" si="22"/>
        <v>0</v>
      </c>
      <c r="CF20" s="402"/>
      <c r="CG20" s="1137">
        <v>0</v>
      </c>
      <c r="CH20" s="1764"/>
      <c r="CI20" s="334">
        <f t="shared" si="23"/>
        <v>0</v>
      </c>
      <c r="CJ20" s="1767">
        <f t="shared" si="24"/>
        <v>0</v>
      </c>
      <c r="CK20" s="310"/>
      <c r="CL20" s="234">
        <f t="shared" si="34"/>
        <v>0</v>
      </c>
      <c r="CM20" s="402"/>
      <c r="CN20" s="1137">
        <v>0</v>
      </c>
      <c r="CO20" s="2074"/>
      <c r="CP20" s="334">
        <f t="shared" si="26"/>
        <v>0</v>
      </c>
      <c r="CQ20" s="2070">
        <f t="shared" si="27"/>
        <v>0</v>
      </c>
      <c r="CR20" s="310"/>
      <c r="CS20" s="234">
        <f t="shared" ref="CS20:CS38" si="35">$AK20*CR20/10000</f>
        <v>0</v>
      </c>
      <c r="CT20" s="402"/>
      <c r="CU20" s="1137">
        <v>0</v>
      </c>
      <c r="CX20" s="2036"/>
      <c r="CY20" s="334">
        <f t="shared" si="29"/>
        <v>0</v>
      </c>
      <c r="CZ20" s="726">
        <f t="shared" si="30"/>
        <v>0</v>
      </c>
      <c r="DA20" s="310">
        <v>13333</v>
      </c>
      <c r="DB20" s="234">
        <f t="shared" si="31"/>
        <v>199.995</v>
      </c>
      <c r="DC20" s="402">
        <v>218</v>
      </c>
      <c r="DD20" s="1137">
        <v>0</v>
      </c>
    </row>
    <row r="21" spans="1:108" ht="35" customHeight="1">
      <c r="A21" s="100">
        <f>_xlfn.XLOOKUP(P21,MOPFRA!R$7:R$78,MOPFRA!A$7:A$78,"")</f>
        <v>16.038839843918019</v>
      </c>
      <c r="B21" s="99"/>
      <c r="C21" s="2109">
        <f ca="1">_xlfn.XLOOKUP(P21,MOPFRA!R$7:R$78,MOPFRA!$C$7:$C$78,"")</f>
        <v>0.18987870222291683</v>
      </c>
      <c r="D21" s="99"/>
      <c r="E21" s="2120">
        <f>_xlfn.XLOOKUP(P21,MOPFRA!$R$7:$R$56,MOPFRA!$D$7:$D$56,"")</f>
        <v>1.5294932514476089</v>
      </c>
      <c r="F21" s="2110">
        <f>_xlfn.XLOOKUP($P21,MOPFRA!$R$7:$R$56,MOPFRA!$E$7:$E$56,"")</f>
        <v>16.799999999999997</v>
      </c>
      <c r="G21" s="2121">
        <f>_xlfn.XLOOKUP($P21,MOPFRA!$R$7:$R$56,MOPFRA!$F$7:$F$56,"")</f>
        <v>13.200000000000003</v>
      </c>
      <c r="H21" s="2124" cm="1">
        <f t="array" ref="H21">IFERROR(_xlfn.XLOOKUP(P21,'Sales Rec'!$E$37:$E$91,'Sales Rec'!$CU$37:$CU$91*100,""),"")</f>
        <v>-15.339183550565672</v>
      </c>
      <c r="I21" s="2313">
        <f>_xlfn.XLOOKUP(P21,MOPFRA!$R$7:$R$56,MOPFRA!H$7:H$56,"")</f>
        <v>0.36759581881533099</v>
      </c>
      <c r="J21" s="2313">
        <f>_xlfn.XLOOKUP(P21,MOPFRA!$R$7:$R$56,MOPFRA!J$7:J$56,"")</f>
        <v>0.52860411899313497</v>
      </c>
      <c r="K21" s="1942">
        <f>_xlfn.XLOOKUP(P21,'Sales Rec'!$E$4:$E$91,'Sales Rec'!$CV$4:$CV$91,"")</f>
        <v>41</v>
      </c>
      <c r="L21" s="2212">
        <f>_xlfn.XLOOKUP(P21,MOPFRA!R$7:R$78,MOPFRA!$L$7:$L$78,"")</f>
        <v>13</v>
      </c>
      <c r="M21" s="1586" t="str">
        <f>_xlfn.XLOOKUP(P21,'Sales Rec'!$E$4:$E$105,'Sales Rec'!$DS$4:$DS$105,"")</f>
        <v>S</v>
      </c>
      <c r="N21" s="1586" t="str">
        <f>_xlfn.XLOOKUP(P21,'Sales Rec'!$E$4:$E$105,'Sales Rec'!$DZ$4:$DZ$105,"")</f>
        <v>B</v>
      </c>
      <c r="O21" s="382" t="s">
        <v>185</v>
      </c>
      <c r="P21" s="1571" t="s">
        <v>186</v>
      </c>
      <c r="Q21" s="1929">
        <v>12</v>
      </c>
      <c r="R21" s="264">
        <f>VLOOKUP(P21,MOPFRA!$R$7:$CD$56,4,FALSE)</f>
        <v>8200</v>
      </c>
      <c r="S21" s="292">
        <f>_xlfn.XLOOKUP(P21,MOPFRA!$R$7:$R$56,MOPFRA!$V$7:$V$56,"")</f>
        <v>2.89</v>
      </c>
      <c r="T21" s="292">
        <f>_xlfn.XLOOKUP(P21,'دیده بان بازار'!$A$8:$A$3179,'دیده بان بازار'!$L$8:$L$3179,"")</f>
        <v>230</v>
      </c>
      <c r="U21" s="304">
        <f>VLOOKUP(P21,MOPFRA!$R$7:$CD$56,6,FALSE)</f>
        <v>8200</v>
      </c>
      <c r="V21" s="361">
        <f>_xlfn.XLOOKUP(P21,MOPFRA!$R$7:$R$56,MOPFRA!$X$7:$X$56,"")</f>
        <v>2.89</v>
      </c>
      <c r="W21" s="361">
        <f>_xlfn.XLOOKUP(P21,'دیده بان بازار'!$A$8:$A$3179,'دیده بان بازار'!$I$8:$I$3179,"")</f>
        <v>230</v>
      </c>
      <c r="X21" s="2057" t="str">
        <f>_xlfn.XLOOKUP(P21,MOPFRA!$R$7:$R$78,MOPFRA!$P$7:$P$78,"")</f>
        <v>T</v>
      </c>
      <c r="Y21" s="2058">
        <f t="shared" si="3"/>
        <v>7.9953684353221857E-4</v>
      </c>
      <c r="Z21" s="394">
        <f>_xlfn.XLOOKUP(P21,MOPFRA!$R$7:$R$78,MOPFRA!$T$7:$T$78,"")</f>
        <v>3526</v>
      </c>
      <c r="AA21" s="1030">
        <f>_xlfn.XLOOKUP(P21,'Sales Rec'!$E$4:$E$93,'Sales Rec'!$DW$4:$DW$93,"")</f>
        <v>4.5050385299347954E-2</v>
      </c>
      <c r="AB21" s="850">
        <f>_xlfn.XLOOKUP(O21,MOPFRA!$Q$7:$Q$56,MOPFRA!$AA$7:$AA$56,"")</f>
        <v>0.43742356298410112</v>
      </c>
      <c r="AC21" s="1221">
        <f t="shared" ca="1" si="4"/>
        <v>0.69432311584777961</v>
      </c>
      <c r="AD21" s="825">
        <f ca="1">_xlfn.XLOOKUP(P21,MOPFRA!$R$7:$R$56,MOPFRA!$AC$7:$AC$56,"")</f>
        <v>-44.774777338202604</v>
      </c>
      <c r="AE21" s="810">
        <f>_xlfn.XLOOKUP(O21,MOPFRA!$Q$7:$Q$56,MOPFRA!$AH$7:$AH$56,"")</f>
        <v>2.3201506591337098</v>
      </c>
      <c r="AF21" s="599">
        <f t="shared" si="5"/>
        <v>29.072456418383531</v>
      </c>
      <c r="AG21" s="308">
        <f>_xlfn.XLOOKUP(O21,MOPFRA!$Q$7:$Q$78,MOPFRA!$AM$7:$AM$78,"")</f>
        <v>0</v>
      </c>
      <c r="AH21" s="1935">
        <f ca="1">_xlfn.XLOOKUP(P21,MOPFRA!$R$7:$R$56,MOPFRA!$AI$7:$AI$56,"")</f>
        <v>302</v>
      </c>
      <c r="AI21" s="385"/>
      <c r="AJ21" s="1612">
        <f>_xlfn.XLOOKUP(P21,MOPFRA!$R$7:$R$56,MOPFRA!$AJ$7:$AJ$56,"")</f>
        <v>46176</v>
      </c>
      <c r="AK21" s="1694">
        <f>_xlfn.XLOOKUP(P21,MOPFRA!$R$7:$R$78,MOPFRA!$DY$7:$DY$78,"")</f>
        <v>3132</v>
      </c>
      <c r="AL21" s="1821">
        <f>_xlfn.XLOOKUP(P21,MOPFRA!$R$7:$R$58,MOPFRA!$AK$7:$AK$58,"")</f>
        <v>46295</v>
      </c>
      <c r="AM21" s="1825">
        <f>_xlfn.XLOOKUP($P21,MOPFRA!$R$7:$R$56,MOPFRA!$CC$7:$CC$56,"")</f>
        <v>2053</v>
      </c>
      <c r="AN21" s="1341">
        <f>_xlfn.XLOOKUP($P21,MOPFRA!$R$7:$R$56,MOPFRA!$BW$7:$BW$56,"")</f>
        <v>2.4605067485523913</v>
      </c>
      <c r="AO21" s="1207">
        <f>_xlfn.XLOOKUP($P21,MOPFRA!$R$7:$R$56,MOPFRA!$CD$7:$CD$56,"")</f>
        <v>3.99</v>
      </c>
      <c r="AP21" s="448" t="s">
        <v>197</v>
      </c>
      <c r="AQ21" s="571">
        <v>6310</v>
      </c>
      <c r="AR21" s="797">
        <v>7763</v>
      </c>
      <c r="AS21" s="798">
        <f t="shared" si="33"/>
        <v>5.629267035939714E-2</v>
      </c>
      <c r="AT21" s="1604">
        <v>45263</v>
      </c>
      <c r="AU21" s="334">
        <f t="shared" si="6"/>
        <v>36789.042192000001</v>
      </c>
      <c r="AV21" s="330">
        <f t="shared" si="7"/>
        <v>7.9953684353221857E-4</v>
      </c>
      <c r="AW21" s="272">
        <v>20000</v>
      </c>
      <c r="AX21" s="234">
        <f t="shared" si="8"/>
        <v>6264</v>
      </c>
      <c r="AY21" s="402"/>
      <c r="AZ21" s="1137">
        <v>25263</v>
      </c>
      <c r="BA21" s="342"/>
      <c r="BB21" s="334">
        <f t="shared" si="9"/>
        <v>0</v>
      </c>
      <c r="BC21" s="343">
        <f t="shared" si="10"/>
        <v>0</v>
      </c>
      <c r="BD21" s="272"/>
      <c r="BE21" s="234">
        <f t="shared" si="11"/>
        <v>0</v>
      </c>
      <c r="BF21" s="402"/>
      <c r="BG21" s="1137">
        <v>0</v>
      </c>
      <c r="BH21" s="333"/>
      <c r="BI21" s="334">
        <f t="shared" si="12"/>
        <v>0</v>
      </c>
      <c r="BJ21" s="726">
        <f t="shared" si="13"/>
        <v>0</v>
      </c>
      <c r="BK21" s="272"/>
      <c r="BL21" s="234">
        <f t="shared" si="14"/>
        <v>0</v>
      </c>
      <c r="BM21" s="402"/>
      <c r="BN21" s="1137">
        <v>0</v>
      </c>
      <c r="BP21" s="720">
        <f t="shared" si="15"/>
        <v>36789.042192000001</v>
      </c>
      <c r="BQ21" s="721">
        <f t="shared" si="16"/>
        <v>45263</v>
      </c>
      <c r="BR21" s="722">
        <f t="shared" si="32"/>
        <v>1.5448470352682994E-3</v>
      </c>
      <c r="BS21" s="604"/>
      <c r="BT21" s="610"/>
      <c r="BU21" s="334">
        <f t="shared" si="17"/>
        <v>0</v>
      </c>
      <c r="BV21" s="612">
        <f t="shared" si="18"/>
        <v>0</v>
      </c>
      <c r="BW21" s="272"/>
      <c r="BX21" s="234">
        <f t="shared" si="19"/>
        <v>0</v>
      </c>
      <c r="BY21" s="402"/>
      <c r="BZ21" s="1137">
        <v>0</v>
      </c>
      <c r="CA21" s="628"/>
      <c r="CB21" s="334">
        <f t="shared" si="20"/>
        <v>0</v>
      </c>
      <c r="CC21" s="630">
        <f t="shared" si="21"/>
        <v>0</v>
      </c>
      <c r="CD21" s="272"/>
      <c r="CE21" s="234">
        <f t="shared" si="22"/>
        <v>0</v>
      </c>
      <c r="CF21" s="402"/>
      <c r="CG21" s="1137">
        <v>0</v>
      </c>
      <c r="CH21" s="1764"/>
      <c r="CI21" s="334">
        <f t="shared" si="23"/>
        <v>0</v>
      </c>
      <c r="CJ21" s="1767">
        <f t="shared" si="24"/>
        <v>0</v>
      </c>
      <c r="CK21" s="272"/>
      <c r="CL21" s="234">
        <f t="shared" si="34"/>
        <v>0</v>
      </c>
      <c r="CM21" s="402"/>
      <c r="CN21" s="1137">
        <v>0</v>
      </c>
      <c r="CO21" s="2074"/>
      <c r="CP21" s="334">
        <f t="shared" si="26"/>
        <v>0</v>
      </c>
      <c r="CQ21" s="2070">
        <f t="shared" si="27"/>
        <v>0</v>
      </c>
      <c r="CR21" s="272"/>
      <c r="CS21" s="234">
        <f t="shared" si="35"/>
        <v>0</v>
      </c>
      <c r="CT21" s="402"/>
      <c r="CU21" s="1137">
        <v>0</v>
      </c>
      <c r="CX21" s="333"/>
      <c r="CY21" s="334">
        <f t="shared" si="29"/>
        <v>0</v>
      </c>
      <c r="CZ21" s="726">
        <f t="shared" si="30"/>
        <v>0</v>
      </c>
      <c r="DA21" s="272"/>
      <c r="DB21" s="234">
        <f t="shared" si="31"/>
        <v>0</v>
      </c>
      <c r="DC21" s="402"/>
      <c r="DD21" s="1137">
        <v>0</v>
      </c>
    </row>
    <row r="22" spans="1:108" ht="35" customHeight="1">
      <c r="A22" s="100">
        <f>_xlfn.XLOOKUP(P22,MOPFRA!R$7:R$78,MOPFRA!A$7:A$78,"")</f>
        <v>16.387529442051104</v>
      </c>
      <c r="B22" s="99"/>
      <c r="C22" s="2109">
        <f ca="1">_xlfn.XLOOKUP(P22,MOPFRA!R$7:R$78,MOPFRA!$C$7:$C$78,"")</f>
        <v>0.17365027936088065</v>
      </c>
      <c r="D22" s="99"/>
      <c r="E22" s="2120">
        <f>_xlfn.XLOOKUP(P22,MOPFRA!$R$7:$R$56,MOPFRA!$D$7:$D$56,"")</f>
        <v>1.9536940581890816</v>
      </c>
      <c r="F22" s="2110">
        <f>_xlfn.XLOOKUP($P22,MOPFRA!$R$7:$R$56,MOPFRA!$E$7:$E$56,"")</f>
        <v>2.2000000000000006</v>
      </c>
      <c r="G22" s="2121">
        <f>_xlfn.XLOOKUP($P22,MOPFRA!$R$7:$R$56,MOPFRA!$F$7:$F$56,"")</f>
        <v>1.7000000000000002</v>
      </c>
      <c r="H22" s="2124" cm="1">
        <f t="array" ref="H22">IFERROR(_xlfn.XLOOKUP(P22,'Sales Rec'!$E$37:$E$91,'Sales Rec'!$CU$37:$CU$91*100,""),"")</f>
        <v>13.629381392764817</v>
      </c>
      <c r="I22" s="2313">
        <f>_xlfn.XLOOKUP(P22,MOPFRA!$R$7:$R$56,MOPFRA!H$7:H$56,"")</f>
        <v>1.5242796840164541</v>
      </c>
      <c r="J22" s="2313">
        <f>_xlfn.XLOOKUP(P22,MOPFRA!$R$7:$R$56,MOPFRA!J$7:J$56,"")</f>
        <v>0.30838105993385495</v>
      </c>
      <c r="K22" s="1942">
        <f>_xlfn.XLOOKUP(P22,'Sales Rec'!$E$4:$E$91,'Sales Rec'!$CV$4:$CV$91,"")</f>
        <v>10</v>
      </c>
      <c r="L22" s="2212">
        <f>_xlfn.XLOOKUP(P22,MOPFRA!R$7:R$78,MOPFRA!$L$7:$L$78,"")</f>
        <v>12</v>
      </c>
      <c r="M22" s="1586" t="str">
        <f>_xlfn.XLOOKUP(P22,'Sales Rec'!$E$4:$E$105,'Sales Rec'!$DS$4:$DS$105,"")</f>
        <v>BB</v>
      </c>
      <c r="N22" s="1586" t="str">
        <f>_xlfn.XLOOKUP(P22,'Sales Rec'!$E$4:$E$105,'Sales Rec'!$DZ$4:$DZ$105,"")</f>
        <v>BB</v>
      </c>
      <c r="O22" s="382" t="s">
        <v>175</v>
      </c>
      <c r="P22" s="1571" t="s">
        <v>176</v>
      </c>
      <c r="Q22" s="1929">
        <f>VLOOKUP(P22,MOPFRA!$R$7:$CF$78,2,FALSE)</f>
        <v>12</v>
      </c>
      <c r="R22" s="264">
        <f>VLOOKUP(P22,MOPFRA!$R$7:$CD$56,4,FALSE)</f>
        <v>11240</v>
      </c>
      <c r="S22" s="292">
        <f>_xlfn.XLOOKUP(P22,MOPFRA!$R$7:$R$56,MOPFRA!$V$7:$V$56,"")</f>
        <v>2.93</v>
      </c>
      <c r="T22" s="292">
        <f>_xlfn.XLOOKUP(P22,'دیده بان بازار'!$A$8:$A$3179,'دیده بان بازار'!$L$8:$L$3179,"")</f>
        <v>320</v>
      </c>
      <c r="U22" s="304">
        <f>VLOOKUP(P22,MOPFRA!$R$7:$CD$56,6,FALSE)</f>
        <v>11240</v>
      </c>
      <c r="V22" s="361">
        <f>_xlfn.XLOOKUP(P22,MOPFRA!$R$7:$R$56,MOPFRA!$X$7:$X$56,"")</f>
        <v>2.93</v>
      </c>
      <c r="W22" s="361">
        <f>_xlfn.XLOOKUP(P22,'دیده بان بازار'!$A$8:$A$3179,'دیده بان بازار'!$I$8:$I$3179,"")</f>
        <v>320</v>
      </c>
      <c r="X22" s="2057" t="str">
        <f>_xlfn.XLOOKUP(P22,MOPFRA!$R$7:$R$78,MOPFRA!$P$7:$P$78,"")</f>
        <v>R</v>
      </c>
      <c r="Y22" s="2058">
        <f t="shared" si="3"/>
        <v>6.4146423007564304E-2</v>
      </c>
      <c r="Z22" s="394">
        <f>_xlfn.XLOOKUP(P22,MOPFRA!$R$7:$R$78,MOPFRA!$T$7:$T$78,"")</f>
        <v>705011.24080000003</v>
      </c>
      <c r="AA22" s="1030">
        <f>_xlfn.XLOOKUP(P22,'Sales Rec'!$E$4:$E$93,'Sales Rec'!$DW$4:$DW$93,"")</f>
        <v>2.8936261979847862</v>
      </c>
      <c r="AB22" s="850">
        <f>_xlfn.XLOOKUP(O22,MOPFRA!$Q$7:$Q$56,MOPFRA!$AA$7:$AA$56,"")</f>
        <v>0.2270732260372085</v>
      </c>
      <c r="AC22" s="1221">
        <f t="shared" ca="1" si="4"/>
        <v>1.5138215069147234</v>
      </c>
      <c r="AD22" s="825">
        <f ca="1">_xlfn.XLOOKUP(P22,MOPFRA!$R$7:$R$56,MOPFRA!$AC$7:$AC$56,"")</f>
        <v>-126.72461644489701</v>
      </c>
      <c r="AE22" s="810">
        <f>_xlfn.XLOOKUP(O22,MOPFRA!$Q$7:$Q$56,MOPFRA!$AH$7:$AH$56,"")</f>
        <v>4.7977898092105269</v>
      </c>
      <c r="AF22" s="599">
        <f t="shared" si="5"/>
        <v>-7.270019967671387</v>
      </c>
      <c r="AG22" s="308">
        <f>_xlfn.XLOOKUP(O22,MOPFRA!$Q$7:$Q$78,MOPFRA!$AM$7:$AM$78,"")</f>
        <v>0</v>
      </c>
      <c r="AH22" s="1935">
        <f ca="1">_xlfn.XLOOKUP(P22,MOPFRA!$R$7:$R$56,MOPFRA!$AI$7:$AI$56,"")</f>
        <v>350</v>
      </c>
      <c r="AI22" s="385"/>
      <c r="AJ22" s="1612">
        <f>_xlfn.XLOOKUP(P22,MOPFRA!$R$7:$R$56,MOPFRA!$AJ$7:$AJ$56,"")</f>
        <v>46224</v>
      </c>
      <c r="AK22" s="1691">
        <f>_xlfn.XLOOKUP(P22,MOPFRA!$R$7:$R$78,MOPFRA!$DY$7:$DY$78,"")</f>
        <v>740</v>
      </c>
      <c r="AL22" s="1821">
        <f>_xlfn.XLOOKUP(P22,MOPFRA!$R$7:$R$58,MOPFRA!$AK$7:$AK$58,"")</f>
        <v>46271</v>
      </c>
      <c r="AM22" s="1825">
        <f>_xlfn.XLOOKUP($P22,MOPFRA!$R$7:$R$56,MOPFRA!$CC$7:$CC$56,"")</f>
        <v>1816</v>
      </c>
      <c r="AN22" s="1341">
        <f>_xlfn.XLOOKUP($P22,MOPFRA!$R$7:$R$56,MOPFRA!$BW$7:$BW$56,"")</f>
        <v>4.2363059418109188</v>
      </c>
      <c r="AO22" s="1207">
        <f>_xlfn.XLOOKUP($P22,MOPFRA!$R$7:$R$56,MOPFRA!$CD$7:$CD$56,"")</f>
        <v>6.19</v>
      </c>
      <c r="AP22" s="447" t="s">
        <v>603</v>
      </c>
      <c r="AQ22" s="572">
        <v>10517</v>
      </c>
      <c r="AR22" s="797">
        <v>3031</v>
      </c>
      <c r="AS22" s="798">
        <f t="shared" si="33"/>
        <v>2.7083470801715603</v>
      </c>
      <c r="AT22" s="329">
        <v>1000000</v>
      </c>
      <c r="AU22" s="334">
        <f t="shared" si="6"/>
        <v>1114108.8</v>
      </c>
      <c r="AV22" s="330">
        <f t="shared" si="7"/>
        <v>2.4212944404874214E-2</v>
      </c>
      <c r="AW22" s="310">
        <v>1012013</v>
      </c>
      <c r="AX22" s="234">
        <f t="shared" si="8"/>
        <v>74888.962</v>
      </c>
      <c r="AY22" s="402">
        <v>86070</v>
      </c>
      <c r="AZ22" s="1137">
        <v>0</v>
      </c>
      <c r="BA22" s="342">
        <v>297651</v>
      </c>
      <c r="BB22" s="334">
        <f t="shared" si="9"/>
        <v>331615.5984288</v>
      </c>
      <c r="BC22" s="343">
        <f t="shared" si="10"/>
        <v>1.4847223760838012E-2</v>
      </c>
      <c r="BD22" s="310">
        <v>297651</v>
      </c>
      <c r="BE22" s="234">
        <f t="shared" si="11"/>
        <v>22026.173999999999</v>
      </c>
      <c r="BF22" s="402">
        <v>24460</v>
      </c>
      <c r="BG22" s="1137">
        <v>0</v>
      </c>
      <c r="BH22" s="333">
        <v>102391</v>
      </c>
      <c r="BI22" s="334">
        <f t="shared" si="12"/>
        <v>114074.71414079999</v>
      </c>
      <c r="BJ22" s="726">
        <f t="shared" si="13"/>
        <v>7.3835002135328537E-2</v>
      </c>
      <c r="BK22" s="272">
        <v>102391</v>
      </c>
      <c r="BL22" s="234">
        <f t="shared" si="14"/>
        <v>7576.9340000000002</v>
      </c>
      <c r="BM22" s="402">
        <v>7685</v>
      </c>
      <c r="BN22" s="1137">
        <v>0</v>
      </c>
      <c r="BP22" s="720">
        <f t="shared" si="15"/>
        <v>1559799.1125696001</v>
      </c>
      <c r="BQ22" s="721">
        <f t="shared" si="16"/>
        <v>1400042</v>
      </c>
      <c r="BR22" s="722">
        <f t="shared" si="32"/>
        <v>6.5499151135586353E-2</v>
      </c>
      <c r="BS22" s="604"/>
      <c r="BT22" s="610">
        <v>59173</v>
      </c>
      <c r="BU22" s="334">
        <f t="shared" si="17"/>
        <v>65925.160022399999</v>
      </c>
      <c r="BV22" s="612">
        <f t="shared" si="18"/>
        <v>4.0058607634597378E-2</v>
      </c>
      <c r="BW22" s="310">
        <v>59173</v>
      </c>
      <c r="BX22" s="234">
        <f t="shared" si="19"/>
        <v>4378.8019999999997</v>
      </c>
      <c r="BY22" s="402">
        <v>3924</v>
      </c>
      <c r="BZ22" s="1137">
        <v>0</v>
      </c>
      <c r="CA22" s="628">
        <v>18000</v>
      </c>
      <c r="CB22" s="334">
        <f t="shared" si="20"/>
        <v>20053.9584</v>
      </c>
      <c r="CC22" s="630">
        <f t="shared" si="21"/>
        <v>7.5708390389188085E-2</v>
      </c>
      <c r="CD22" s="310">
        <v>18000</v>
      </c>
      <c r="CE22" s="234">
        <f t="shared" si="22"/>
        <v>1332</v>
      </c>
      <c r="CF22" s="402">
        <v>1839</v>
      </c>
      <c r="CG22" s="1137">
        <v>0</v>
      </c>
      <c r="CH22" s="1764">
        <v>40000</v>
      </c>
      <c r="CI22" s="334">
        <f t="shared" si="23"/>
        <v>44564.351999999999</v>
      </c>
      <c r="CJ22" s="1767">
        <f t="shared" si="24"/>
        <v>3.6689472982616698E-3</v>
      </c>
      <c r="CK22" s="310">
        <v>40000</v>
      </c>
      <c r="CL22" s="234">
        <f t="shared" si="34"/>
        <v>2960</v>
      </c>
      <c r="CM22" s="402"/>
      <c r="CN22" s="1137">
        <v>0</v>
      </c>
      <c r="CO22" s="2074"/>
      <c r="CP22" s="334">
        <f t="shared" si="26"/>
        <v>0</v>
      </c>
      <c r="CQ22" s="2070">
        <f t="shared" si="27"/>
        <v>0</v>
      </c>
      <c r="CR22" s="310"/>
      <c r="CS22" s="234">
        <f t="shared" si="35"/>
        <v>0</v>
      </c>
      <c r="CT22" s="402"/>
      <c r="CU22" s="1137">
        <v>0</v>
      </c>
      <c r="CX22" s="333">
        <v>102391</v>
      </c>
      <c r="CY22" s="334">
        <f t="shared" si="29"/>
        <v>114074.71414079999</v>
      </c>
      <c r="CZ22" s="726">
        <f t="shared" si="30"/>
        <v>7.3835002135328537E-2</v>
      </c>
      <c r="DA22" s="272">
        <v>102391</v>
      </c>
      <c r="DB22" s="234">
        <f t="shared" si="31"/>
        <v>7576.9340000000002</v>
      </c>
      <c r="DC22" s="402">
        <v>7685</v>
      </c>
      <c r="DD22" s="1137">
        <v>0</v>
      </c>
    </row>
    <row r="23" spans="1:108" ht="36" customHeight="1">
      <c r="A23" s="100">
        <f>_xlfn.XLOOKUP(P23,MOPFRA!R$7:R$78,MOPFRA!A$7:A$78,"")</f>
        <v>13.754050345773464</v>
      </c>
      <c r="B23" s="99"/>
      <c r="C23" s="2109">
        <f ca="1">_xlfn.XLOOKUP(P23,MOPFRA!R$7:R$78,MOPFRA!$C$7:$C$78,"")</f>
        <v>0.23554790057531996</v>
      </c>
      <c r="D23" s="99"/>
      <c r="E23" s="2120">
        <f>_xlfn.XLOOKUP(P23,MOPFRA!$R$7:$R$56,MOPFRA!$D$7:$D$56,"")</f>
        <v>1.1407495647527846</v>
      </c>
      <c r="F23" s="2110">
        <f>_xlfn.XLOOKUP($P23,MOPFRA!$R$7:$R$56,MOPFRA!$E$7:$E$56,"")</f>
        <v>12.400000000000006</v>
      </c>
      <c r="G23" s="2121">
        <f>_xlfn.XLOOKUP($P23,MOPFRA!$R$7:$R$56,MOPFRA!$F$7:$F$56,"")</f>
        <v>12.3</v>
      </c>
      <c r="H23" s="2124" cm="1">
        <f t="array" ref="H23">IFERROR(_xlfn.XLOOKUP(P23,'Sales Rec'!$E$37:$E$91,'Sales Rec'!$CU$37:$CU$91*100,""),"")</f>
        <v>34.188210346367768</v>
      </c>
      <c r="I23" s="2313">
        <f>_xlfn.XLOOKUP(P23,MOPFRA!$R$7:$R$56,MOPFRA!H$7:H$56,"")</f>
        <v>0.53115922894111434</v>
      </c>
      <c r="J23" s="2313">
        <f>_xlfn.XLOOKUP(P23,MOPFRA!$R$7:$R$56,MOPFRA!J$7:J$56,"")</f>
        <v>-0.43374393430384472</v>
      </c>
      <c r="K23" s="1942">
        <f>_xlfn.XLOOKUP(P23,'Sales Rec'!$E$4:$E$91,'Sales Rec'!$CV$4:$CV$91,"")</f>
        <v>35</v>
      </c>
      <c r="L23" s="2212">
        <f>_xlfn.XLOOKUP(P23,MOPFRA!R$7:R$78,MOPFRA!$L$7:$L$78,"")</f>
        <v>15</v>
      </c>
      <c r="M23" s="1586" t="str">
        <f>_xlfn.XLOOKUP(P23,'Sales Rec'!$E$4:$E$105,'Sales Rec'!$DS$4:$DS$105,"")</f>
        <v>B</v>
      </c>
      <c r="N23" s="1586" t="str">
        <f>_xlfn.XLOOKUP(P23,'Sales Rec'!$E$4:$E$105,'Sales Rec'!$DZ$4:$DZ$105,"")</f>
        <v>B</v>
      </c>
      <c r="O23" s="382" t="s">
        <v>144</v>
      </c>
      <c r="P23" s="1571" t="s">
        <v>145</v>
      </c>
      <c r="Q23" s="1929">
        <f>VLOOKUP(P23,MOPFRA!$R$7:$CF$78,2,FALSE)</f>
        <v>12</v>
      </c>
      <c r="R23" s="264">
        <f>VLOOKUP(P23,MOPFRA!$R$7:$CD$56,4,FALSE)</f>
        <v>64680</v>
      </c>
      <c r="S23" s="292">
        <f>_xlfn.XLOOKUP(P23,MOPFRA!$R$7:$R$56,MOPFRA!$V$7:$V$56,"")</f>
        <v>2.99</v>
      </c>
      <c r="T23" s="292">
        <f>_xlfn.XLOOKUP(P23,'دیده بان بازار'!$A$8:$A$3179,'دیده بان بازار'!$L$8:$L$3179,"")</f>
        <v>1880</v>
      </c>
      <c r="U23" s="304">
        <f>VLOOKUP(P23,MOPFRA!$R$7:$CD$56,6,FALSE)</f>
        <v>64680</v>
      </c>
      <c r="V23" s="361">
        <f>_xlfn.XLOOKUP(P23,MOPFRA!$R$7:$R$56,MOPFRA!$X$7:$X$56,"")</f>
        <v>2.99</v>
      </c>
      <c r="W23" s="361">
        <f>_xlfn.XLOOKUP(P23,'دیده بان بازار'!$A$8:$A$3179,'دیده بان بازار'!$I$8:$I$3179,"")</f>
        <v>1880</v>
      </c>
      <c r="X23" s="2057" t="str">
        <f>_xlfn.XLOOKUP(P23,MOPFRA!$R$7:$R$78,MOPFRA!$P$7:$P$78,"")</f>
        <v>PUR</v>
      </c>
      <c r="Y23" s="2058">
        <f t="shared" si="3"/>
        <v>7.7311242148267846E-3</v>
      </c>
      <c r="Z23" s="394">
        <f>_xlfn.XLOOKUP(P23,MOPFRA!$R$7:$R$78,MOPFRA!$T$7:$T$78,"")</f>
        <v>98960.4</v>
      </c>
      <c r="AA23" s="1030">
        <f>_xlfn.XLOOKUP(P23,'Sales Rec'!$E$4:$E$93,'Sales Rec'!$DW$4:$DW$93,"")</f>
        <v>0.8317757009345792</v>
      </c>
      <c r="AB23" s="850">
        <f>_xlfn.XLOOKUP(O23,MOPFRA!$Q$7:$Q$56,MOPFRA!$AA$7:$AA$56,"")</f>
        <v>-0.21706066647678729</v>
      </c>
      <c r="AC23" s="1221">
        <f t="shared" ca="1" si="4"/>
        <v>-0.44298095199344345</v>
      </c>
      <c r="AD23" s="825">
        <f ca="1">_xlfn.XLOOKUP(P23,MOPFRA!$R$7:$R$56,MOPFRA!$AC$7:$AC$56,"")</f>
        <v>68.955629445919698</v>
      </c>
      <c r="AE23" s="810">
        <f>_xlfn.XLOOKUP(O23,MOPFRA!$Q$7:$Q$56,MOPFRA!$AH$7:$AH$56,"")</f>
        <v>1.7947809878844361</v>
      </c>
      <c r="AF23" s="599">
        <f t="shared" si="5"/>
        <v>12.039406544272071</v>
      </c>
      <c r="AG23" s="308">
        <f>_xlfn.XLOOKUP(O23,MOPFRA!$Q$7:$Q$78,MOPFRA!$AM$7:$AM$78,"")</f>
        <v>0</v>
      </c>
      <c r="AH23" s="1935">
        <f ca="1">_xlfn.XLOOKUP(P23,MOPFRA!$R$7:$R$56,MOPFRA!$AI$7:$AI$56,"")</f>
        <v>316</v>
      </c>
      <c r="AI23" s="385"/>
      <c r="AJ23" s="1612">
        <f>_xlfn.XLOOKUP(P23,MOPFRA!$R$7:$R$56,MOPFRA!$AJ$7:$AJ$56,"")</f>
        <v>46190</v>
      </c>
      <c r="AK23" s="1691">
        <f>_xlfn.XLOOKUP(P23,MOPFRA!$R$7:$R$78,MOPFRA!$DY$7:$DY$78,"")</f>
        <v>6928</v>
      </c>
      <c r="AL23" s="1821">
        <f>_xlfn.XLOOKUP(P23,MOPFRA!$R$7:$R$58,MOPFRA!$AK$7:$AK$58,"")</f>
        <v>46300</v>
      </c>
      <c r="AM23" s="1825">
        <f>_xlfn.XLOOKUP($P23,MOPFRA!$R$7:$R$56,MOPFRA!$CC$7:$CC$56,"")</f>
        <v>9681</v>
      </c>
      <c r="AN23" s="1341">
        <f>_xlfn.XLOOKUP($P23,MOPFRA!$R$7:$R$56,MOPFRA!$BW$7:$BW$56,"")</f>
        <v>5.5392504352472152</v>
      </c>
      <c r="AO23" s="1207">
        <f>_xlfn.XLOOKUP($P23,MOPFRA!$R$7:$R$56,MOPFRA!$CD$7:$CD$56,"")</f>
        <v>6.68</v>
      </c>
      <c r="AP23" s="447" t="s">
        <v>603</v>
      </c>
      <c r="AQ23" s="572">
        <v>73805</v>
      </c>
      <c r="AR23" s="797">
        <v>41667</v>
      </c>
      <c r="AS23" s="798">
        <f t="shared" si="33"/>
        <v>0.55230758153934767</v>
      </c>
      <c r="AT23" s="329">
        <v>20000</v>
      </c>
      <c r="AU23" s="334">
        <f t="shared" si="6"/>
        <v>128221.632</v>
      </c>
      <c r="AV23" s="330">
        <f t="shared" si="7"/>
        <v>2.7866427831090106E-3</v>
      </c>
      <c r="AW23" s="272">
        <v>45000</v>
      </c>
      <c r="AX23" s="234">
        <f t="shared" si="8"/>
        <v>31176</v>
      </c>
      <c r="AY23" s="402">
        <v>4984</v>
      </c>
      <c r="AZ23" s="1137">
        <v>0</v>
      </c>
      <c r="BA23" s="342"/>
      <c r="BB23" s="334">
        <f t="shared" si="9"/>
        <v>0</v>
      </c>
      <c r="BC23" s="343">
        <f t="shared" si="10"/>
        <v>0</v>
      </c>
      <c r="BD23" s="272"/>
      <c r="BE23" s="234">
        <f t="shared" si="11"/>
        <v>0</v>
      </c>
      <c r="BF23" s="402"/>
      <c r="BG23" s="1137">
        <v>0</v>
      </c>
      <c r="BH23" s="333"/>
      <c r="BI23" s="334">
        <f t="shared" si="12"/>
        <v>0</v>
      </c>
      <c r="BJ23" s="726">
        <f t="shared" si="13"/>
        <v>0</v>
      </c>
      <c r="BK23" s="310">
        <v>2000</v>
      </c>
      <c r="BL23" s="234">
        <f t="shared" si="14"/>
        <v>1385.6</v>
      </c>
      <c r="BM23" s="402">
        <v>498</v>
      </c>
      <c r="BN23" s="1137">
        <v>0</v>
      </c>
      <c r="BP23" s="720">
        <f t="shared" si="15"/>
        <v>128221.632</v>
      </c>
      <c r="BQ23" s="721">
        <f t="shared" si="16"/>
        <v>20000</v>
      </c>
      <c r="BR23" s="722">
        <f t="shared" si="32"/>
        <v>5.3842882622135019E-3</v>
      </c>
      <c r="BS23" s="604"/>
      <c r="BT23" s="610">
        <v>3000</v>
      </c>
      <c r="BU23" s="334">
        <f t="shared" si="17"/>
        <v>19233.2448</v>
      </c>
      <c r="BV23" s="612">
        <f t="shared" si="18"/>
        <v>1.1686843182808734E-2</v>
      </c>
      <c r="BW23" s="272">
        <v>3000</v>
      </c>
      <c r="BX23" s="234">
        <f t="shared" si="19"/>
        <v>2078.4</v>
      </c>
      <c r="BY23" s="402">
        <v>1495</v>
      </c>
      <c r="BZ23" s="1137">
        <v>0</v>
      </c>
      <c r="CA23" s="628"/>
      <c r="CB23" s="334">
        <f t="shared" si="20"/>
        <v>0</v>
      </c>
      <c r="CC23" s="630">
        <f t="shared" si="21"/>
        <v>0</v>
      </c>
      <c r="CD23" s="272"/>
      <c r="CE23" s="234">
        <f t="shared" si="22"/>
        <v>0</v>
      </c>
      <c r="CF23" s="402"/>
      <c r="CG23" s="1137">
        <v>0</v>
      </c>
      <c r="CH23" s="1764"/>
      <c r="CI23" s="334">
        <f t="shared" si="23"/>
        <v>0</v>
      </c>
      <c r="CJ23" s="1767">
        <f t="shared" si="24"/>
        <v>0</v>
      </c>
      <c r="CK23" s="272"/>
      <c r="CL23" s="234">
        <f t="shared" si="34"/>
        <v>0</v>
      </c>
      <c r="CM23" s="402"/>
      <c r="CN23" s="1137">
        <v>0</v>
      </c>
      <c r="CO23" s="2074"/>
      <c r="CP23" s="334">
        <f t="shared" si="26"/>
        <v>0</v>
      </c>
      <c r="CQ23" s="2070">
        <f t="shared" si="27"/>
        <v>0</v>
      </c>
      <c r="CR23" s="272"/>
      <c r="CS23" s="234">
        <f t="shared" si="35"/>
        <v>0</v>
      </c>
      <c r="CT23" s="402"/>
      <c r="CU23" s="1137">
        <v>0</v>
      </c>
      <c r="CX23" s="333">
        <v>2000</v>
      </c>
      <c r="CY23" s="334">
        <f t="shared" si="29"/>
        <v>12822.163199999999</v>
      </c>
      <c r="CZ23" s="726">
        <f t="shared" si="30"/>
        <v>8.2991612504328439E-3</v>
      </c>
      <c r="DA23" s="310">
        <v>2000</v>
      </c>
      <c r="DB23" s="234">
        <f t="shared" si="31"/>
        <v>1385.6</v>
      </c>
      <c r="DC23" s="402">
        <v>498</v>
      </c>
      <c r="DD23" s="1137">
        <v>0</v>
      </c>
    </row>
    <row r="24" spans="1:108" ht="36" customHeight="1">
      <c r="A24" s="100">
        <f>_xlfn.XLOOKUP(P24,MOPFRA!R$7:R$78,MOPFRA!A$7:A$78,"")</f>
        <v>12.65688189714186</v>
      </c>
      <c r="B24" s="99"/>
      <c r="C24" s="2109">
        <f ca="1">_xlfn.XLOOKUP(P24,MOPFRA!R$7:R$78,MOPFRA!$C$7:$C$78,"")</f>
        <v>0.15976243346069857</v>
      </c>
      <c r="D24" s="99"/>
      <c r="E24" s="2120">
        <f>_xlfn.XLOOKUP(P24,MOPFRA!$R$7:$R$56,MOPFRA!$D$7:$D$56,"")</f>
        <v>3.1790383673397797</v>
      </c>
      <c r="F24" s="2110">
        <f>_xlfn.XLOOKUP($P24,MOPFRA!$R$7:$R$56,MOPFRA!$E$7:$E$56,"")</f>
        <v>7.0999999999999952</v>
      </c>
      <c r="G24" s="2121">
        <f>_xlfn.XLOOKUP($P24,MOPFRA!$R$7:$R$56,MOPFRA!$F$7:$F$56,"")</f>
        <v>4.0999999999999979</v>
      </c>
      <c r="H24" s="2124" cm="1">
        <f t="array" ref="H24">IFERROR(_xlfn.XLOOKUP(P24,'Sales Rec'!$E$37:$E$91,'Sales Rec'!$CU$37:$CU$91*100,""),"")</f>
        <v>21.412431849325042</v>
      </c>
      <c r="I24" s="2313">
        <f>_xlfn.XLOOKUP(P24,MOPFRA!$R$7:$R$56,MOPFRA!H$7:H$56,"")</f>
        <v>2.1480582524271843</v>
      </c>
      <c r="J24" s="2313">
        <f>_xlfn.XLOOKUP(P24,MOPFRA!$R$7:$R$56,MOPFRA!J$7:J$56,"")</f>
        <v>0.60089020771513357</v>
      </c>
      <c r="K24" s="1942">
        <f>_xlfn.XLOOKUP(P24,'Sales Rec'!$E$4:$E$91,'Sales Rec'!$CV$4:$CV$91,"")</f>
        <v>5</v>
      </c>
      <c r="L24" s="2212">
        <f>_xlfn.XLOOKUP(P24,MOPFRA!R$7:R$78,MOPFRA!$L$7:$L$78,"")</f>
        <v>19</v>
      </c>
      <c r="M24" s="1586" t="str">
        <f>_xlfn.XLOOKUP(P24,'Sales Rec'!$E$4:$E$105,'Sales Rec'!$DS$4:$DS$105,"")</f>
        <v>BB</v>
      </c>
      <c r="N24" s="1586" t="str">
        <f>_xlfn.XLOOKUP(P24,'Sales Rec'!$E$4:$E$105,'Sales Rec'!$DZ$4:$DZ$105,"")</f>
        <v>BB</v>
      </c>
      <c r="O24" s="382" t="s">
        <v>98</v>
      </c>
      <c r="P24" s="1571" t="s">
        <v>99</v>
      </c>
      <c r="Q24" s="1929">
        <v>12</v>
      </c>
      <c r="R24" s="264">
        <f>VLOOKUP(P24,MOPFRA!$R$7:$CD$56,4,FALSE)</f>
        <v>8370</v>
      </c>
      <c r="S24" s="292">
        <f>_xlfn.XLOOKUP(P24,MOPFRA!$R$7:$R$56,MOPFRA!$V$7:$V$56,"")</f>
        <v>1.21</v>
      </c>
      <c r="T24" s="292">
        <f>_xlfn.XLOOKUP(P24,'دیده بان بازار'!$A$8:$A$3179,'دیده بان بازار'!$L$8:$L$3179,"")</f>
        <v>100</v>
      </c>
      <c r="U24" s="304">
        <f>VLOOKUP(P24,MOPFRA!$R$7:$CD$56,6,FALSE)</f>
        <v>8410</v>
      </c>
      <c r="V24" s="361">
        <f>_xlfn.XLOOKUP(P24,MOPFRA!$R$7:$R$56,MOPFRA!$X$7:$X$56,"")</f>
        <v>1.69</v>
      </c>
      <c r="W24" s="361">
        <f>_xlfn.XLOOKUP(P24,'دیده بان بازار'!$A$8:$A$3179,'دیده بان بازار'!$I$8:$I$3179,"")</f>
        <v>140</v>
      </c>
      <c r="X24" s="2057" t="str">
        <f>_xlfn.XLOOKUP(P24,MOPFRA!$R$7:$R$78,MOPFRA!$P$7:$P$78,"")</f>
        <v>F</v>
      </c>
      <c r="Y24" s="2058">
        <f t="shared" si="3"/>
        <v>2.3636702178156787E-2</v>
      </c>
      <c r="Z24" s="394">
        <f>_xlfn.XLOOKUP(P24,MOPFRA!$R$7:$R$78,MOPFRA!$T$7:$T$78,"")</f>
        <v>5887</v>
      </c>
      <c r="AA24" s="1030">
        <f>_xlfn.XLOOKUP(P24,'Sales Rec'!$E$4:$E$93,'Sales Rec'!$DW$4:$DW$93,"")</f>
        <v>3.0907511639218956</v>
      </c>
      <c r="AB24" s="850">
        <f>_xlfn.XLOOKUP(O24,MOPFRA!$Q$7:$Q$56,MOPFRA!$AA$7:$AA$56,"")</f>
        <v>1.5991169977924944</v>
      </c>
      <c r="AC24" s="1221">
        <f t="shared" ca="1" si="4"/>
        <v>2.1905712298527318</v>
      </c>
      <c r="AD24" s="825">
        <f ca="1">_xlfn.XLOOKUP(P24,MOPFRA!$R$7:$R$56,MOPFRA!$AC$7:$AC$56,"")</f>
        <v>-194.39958873869787</v>
      </c>
      <c r="AE24" s="810">
        <f>_xlfn.XLOOKUP(O24,MOPFRA!$Q$7:$Q$56,MOPFRA!$AH$7:$AH$56,"")</f>
        <v>5.2099156118143464</v>
      </c>
      <c r="AF24" s="599">
        <f t="shared" si="5"/>
        <v>8.7965779864371534</v>
      </c>
      <c r="AG24" s="308">
        <f>_xlfn.XLOOKUP(O24,MOPFRA!$Q$7:$Q$78,MOPFRA!$AM$7:$AM$78,"")</f>
        <v>0</v>
      </c>
      <c r="AH24" s="1935">
        <f ca="1">_xlfn.XLOOKUP(P24,MOPFRA!$R$7:$R$56,MOPFRA!$AI$7:$AI$56,"")</f>
        <v>292</v>
      </c>
      <c r="AI24" s="385"/>
      <c r="AJ24" s="1612">
        <f>_xlfn.XLOOKUP(P24,MOPFRA!$R$7:$R$56,MOPFRA!$AJ$7:$AJ$56,"")</f>
        <v>46166</v>
      </c>
      <c r="AK24" s="1691">
        <f>_xlfn.XLOOKUP(P24,MOPFRA!$R$7:$R$78,MOPFRA!$DY$7:$DY$78,"")</f>
        <v>310</v>
      </c>
      <c r="AL24" s="1821">
        <f>_xlfn.XLOOKUP(P24,MOPFRA!$R$7:$R$58,MOPFRA!$AK$7:$AK$58,"")</f>
        <v>46289</v>
      </c>
      <c r="AM24" s="1825">
        <f>_xlfn.XLOOKUP($P24,MOPFRA!$R$7:$R$56,MOPFRA!$CC$7:$CC$56,"")</f>
        <v>1231</v>
      </c>
      <c r="AN24" s="1341">
        <f>_xlfn.XLOOKUP($P24,MOPFRA!$R$7:$R$56,MOPFRA!$BW$7:$BW$56,"")</f>
        <v>3.6209616326602201</v>
      </c>
      <c r="AO24" s="1207">
        <f>_xlfn.XLOOKUP($P24,MOPFRA!$R$7:$R$56,MOPFRA!$CD$7:$CD$56,"")</f>
        <v>6.8</v>
      </c>
      <c r="AP24" s="448" t="s">
        <v>197</v>
      </c>
      <c r="AQ24" s="571">
        <v>7668</v>
      </c>
      <c r="AR24" s="797">
        <v>4005</v>
      </c>
      <c r="AS24" s="798">
        <f t="shared" si="33"/>
        <v>1.0998751560549314</v>
      </c>
      <c r="AT24" s="329">
        <v>650000</v>
      </c>
      <c r="AU24" s="334">
        <f t="shared" si="6"/>
        <v>541839.48</v>
      </c>
      <c r="AV24" s="330">
        <f t="shared" si="7"/>
        <v>1.1775806102245986E-2</v>
      </c>
      <c r="AW24" s="272">
        <v>1150000</v>
      </c>
      <c r="AX24" s="234">
        <f t="shared" si="8"/>
        <v>35650</v>
      </c>
      <c r="AY24" s="402">
        <v>8911</v>
      </c>
      <c r="AZ24" s="1137">
        <v>0</v>
      </c>
      <c r="BA24" s="342">
        <v>120000</v>
      </c>
      <c r="BB24" s="334">
        <f t="shared" si="9"/>
        <v>100031.90399999999</v>
      </c>
      <c r="BC24" s="343">
        <f t="shared" si="10"/>
        <v>4.4786676771163643E-3</v>
      </c>
      <c r="BD24" s="272">
        <v>143590</v>
      </c>
      <c r="BE24" s="234">
        <f t="shared" si="11"/>
        <v>4451.29</v>
      </c>
      <c r="BF24" s="402">
        <v>1729</v>
      </c>
      <c r="BG24" s="1137">
        <v>0</v>
      </c>
      <c r="BH24" s="333">
        <v>20000</v>
      </c>
      <c r="BI24" s="334">
        <f t="shared" si="12"/>
        <v>16671.984</v>
      </c>
      <c r="BJ24" s="726">
        <f t="shared" si="13"/>
        <v>1.079096260299014E-2</v>
      </c>
      <c r="BK24" s="272">
        <v>41880</v>
      </c>
      <c r="BL24" s="234">
        <f t="shared" si="14"/>
        <v>1298.28</v>
      </c>
      <c r="BM24" s="402">
        <v>399</v>
      </c>
      <c r="BN24" s="1137">
        <v>0</v>
      </c>
      <c r="BP24" s="720">
        <f t="shared" si="15"/>
        <v>658543.36800000002</v>
      </c>
      <c r="BQ24" s="721">
        <f t="shared" si="16"/>
        <v>790000</v>
      </c>
      <c r="BR24" s="722">
        <f t="shared" si="32"/>
        <v>2.7653581312090513E-2</v>
      </c>
      <c r="BS24" s="604"/>
      <c r="BT24" s="610">
        <v>59829</v>
      </c>
      <c r="BU24" s="334">
        <f t="shared" si="17"/>
        <v>49873.406536799994</v>
      </c>
      <c r="BV24" s="612">
        <f t="shared" si="18"/>
        <v>3.0304958276621611E-2</v>
      </c>
      <c r="BW24" s="272">
        <v>47863</v>
      </c>
      <c r="BX24" s="234">
        <f t="shared" si="19"/>
        <v>1483.7529999999999</v>
      </c>
      <c r="BY24" s="402">
        <v>798</v>
      </c>
      <c r="BZ24" s="1137">
        <v>0</v>
      </c>
      <c r="CA24" s="628">
        <v>12962</v>
      </c>
      <c r="CB24" s="334">
        <f t="shared" si="20"/>
        <v>10805.112830399999</v>
      </c>
      <c r="CC24" s="630">
        <f t="shared" si="21"/>
        <v>4.079183191898654E-2</v>
      </c>
      <c r="CD24" s="272">
        <v>12963</v>
      </c>
      <c r="CE24" s="234">
        <f t="shared" si="22"/>
        <v>401.85300000000001</v>
      </c>
      <c r="CF24" s="402">
        <v>288</v>
      </c>
      <c r="CG24" s="1137">
        <v>0</v>
      </c>
      <c r="CH24" s="1764">
        <v>59829</v>
      </c>
      <c r="CI24" s="334">
        <f t="shared" si="23"/>
        <v>49873.406536799994</v>
      </c>
      <c r="CJ24" s="1767">
        <f t="shared" si="24"/>
        <v>4.1060374931132905E-3</v>
      </c>
      <c r="CK24" s="272">
        <v>59829</v>
      </c>
      <c r="CL24" s="234">
        <f t="shared" si="34"/>
        <v>1854.6990000000001</v>
      </c>
      <c r="CM24" s="402"/>
      <c r="CN24" s="1137">
        <v>0</v>
      </c>
      <c r="CO24" s="2074"/>
      <c r="CP24" s="334">
        <f t="shared" si="26"/>
        <v>0</v>
      </c>
      <c r="CQ24" s="2070">
        <f t="shared" si="27"/>
        <v>0</v>
      </c>
      <c r="CR24" s="272"/>
      <c r="CS24" s="234">
        <f t="shared" si="35"/>
        <v>0</v>
      </c>
      <c r="CT24" s="402"/>
      <c r="CU24" s="1137">
        <v>0</v>
      </c>
      <c r="CX24" s="333">
        <v>20000</v>
      </c>
      <c r="CY24" s="334">
        <f t="shared" si="29"/>
        <v>16671.984</v>
      </c>
      <c r="CZ24" s="726">
        <f t="shared" si="30"/>
        <v>1.079096260299014E-2</v>
      </c>
      <c r="DA24" s="272">
        <v>41880</v>
      </c>
      <c r="DB24" s="234">
        <f t="shared" si="31"/>
        <v>1298.28</v>
      </c>
      <c r="DC24" s="402">
        <v>399</v>
      </c>
      <c r="DD24" s="1137">
        <v>0</v>
      </c>
    </row>
    <row r="25" spans="1:108" ht="36" customHeight="1">
      <c r="A25" s="100">
        <f>_xlfn.XLOOKUP(P25,MOPFRA!R$7:R$78,MOPFRA!A$7:A$78,"")</f>
        <v>13.443311016965691</v>
      </c>
      <c r="B25" s="99"/>
      <c r="C25" s="2109">
        <f ca="1">_xlfn.XLOOKUP(P25,MOPFRA!R$7:R$78,MOPFRA!$C$7:$C$78,"")</f>
        <v>1.1102675425455555</v>
      </c>
      <c r="D25" s="99"/>
      <c r="E25" s="2120">
        <f>_xlfn.XLOOKUP(P25,MOPFRA!$R$7:$R$56,MOPFRA!$D$7:$D$56,"")</f>
        <v>1.5809740327560635</v>
      </c>
      <c r="F25" s="2110">
        <f>_xlfn.XLOOKUP($P25,MOPFRA!$R$7:$R$56,MOPFRA!$E$7:$E$56,"")</f>
        <v>1.9000000000000017</v>
      </c>
      <c r="G25" s="2121">
        <f>_xlfn.XLOOKUP($P25,MOPFRA!$R$7:$R$56,MOPFRA!$F$7:$F$56,"")</f>
        <v>1.9000000000000004</v>
      </c>
      <c r="H25" s="2124" cm="1">
        <f t="array" ref="H25">IFERROR(_xlfn.XLOOKUP(P25,'Sales Rec'!$E$37:$E$91,'Sales Rec'!$CU$37:$CU$91*100,""),"")</f>
        <v>15.887594895889945</v>
      </c>
      <c r="I25" s="2313">
        <f>_xlfn.XLOOKUP(P25,MOPFRA!$R$7:$R$56,MOPFRA!H$7:H$56,"")</f>
        <v>1.0053832891587968</v>
      </c>
      <c r="J25" s="2313">
        <f>_xlfn.XLOOKUP(P25,MOPFRA!$R$7:$R$56,MOPFRA!J$7:J$56,"")</f>
        <v>0.15961645643049693</v>
      </c>
      <c r="K25" s="1942">
        <f>_xlfn.XLOOKUP(P25,'Sales Rec'!$E$4:$E$91,'Sales Rec'!$CV$4:$CV$91,"")</f>
        <v>22</v>
      </c>
      <c r="L25" s="2212">
        <f>_xlfn.XLOOKUP(P25,MOPFRA!R$7:R$78,MOPFRA!$L$7:$L$78,"")</f>
        <v>10</v>
      </c>
      <c r="M25" s="1586" t="str">
        <f>_xlfn.XLOOKUP(P25,'Sales Rec'!$E$4:$E$105,'Sales Rec'!$DS$4:$DS$105,"")</f>
        <v>BB</v>
      </c>
      <c r="N25" s="1586" t="str">
        <f>_xlfn.XLOOKUP(P25,'Sales Rec'!$E$4:$E$105,'Sales Rec'!$DZ$4:$DZ$105,"")</f>
        <v>BB</v>
      </c>
      <c r="O25" s="1930" t="s">
        <v>173</v>
      </c>
      <c r="P25" s="2391" t="s">
        <v>174</v>
      </c>
      <c r="Q25" s="2055">
        <f>VLOOKUP(P25,MOPFRA!$R$7:$CF$78,2,FALSE)</f>
        <v>12</v>
      </c>
      <c r="R25" s="264">
        <f>VLOOKUP(P25,MOPFRA!$R$7:$CD$56,4,FALSE)</f>
        <v>12730</v>
      </c>
      <c r="S25" s="292">
        <f>_xlfn.XLOOKUP(P25,MOPFRA!$R$7:$R$56,MOPFRA!$V$7:$V$56,"")</f>
        <v>2.99</v>
      </c>
      <c r="T25" s="292">
        <f>_xlfn.XLOOKUP(P25,'دیده بان بازار'!$A$8:$A$3179,'دیده بان بازار'!$L$8:$L$3179,"")</f>
        <v>370</v>
      </c>
      <c r="U25" s="304">
        <f>VLOOKUP(P25,MOPFRA!$R$7:$CD$56,6,FALSE)</f>
        <v>12730</v>
      </c>
      <c r="V25" s="361">
        <f>_xlfn.XLOOKUP(P25,MOPFRA!$R$7:$R$56,MOPFRA!$X$7:$X$56,"")</f>
        <v>2.99</v>
      </c>
      <c r="W25" s="361">
        <f>_xlfn.XLOOKUP(P25,'دیده بان بازار'!$A$8:$A$3179,'دیده بان بازار'!$I$8:$I$3179,"")</f>
        <v>370</v>
      </c>
      <c r="X25" s="2057" t="str">
        <f>_xlfn.XLOOKUP(P25,MOPFRA!$R$7:$R$78,MOPFRA!$P$7:$P$78,"")</f>
        <v>R</v>
      </c>
      <c r="Y25" s="2058">
        <f t="shared" si="3"/>
        <v>6.4146423007564304E-2</v>
      </c>
      <c r="Z25" s="394">
        <f>_xlfn.XLOOKUP(P25,MOPFRA!$R$7:$R$78,MOPFRA!$T$7:$T$78,"")</f>
        <v>521613.40490000002</v>
      </c>
      <c r="AA25" s="1030">
        <f>_xlfn.XLOOKUP(P25,'Sales Rec'!$E$4:$E$93,'Sales Rec'!$DW$4:$DW$93,"")</f>
        <v>3.1839740656263777</v>
      </c>
      <c r="AB25" s="850">
        <f>_xlfn.XLOOKUP(O25,MOPFRA!$Q$7:$Q$56,MOPFRA!$AA$7:$AA$56,"")</f>
        <v>2.9402437275741988</v>
      </c>
      <c r="AC25" s="1221">
        <f t="shared" ca="1" si="4"/>
        <v>0.81447194669645395</v>
      </c>
      <c r="AD25" s="825">
        <f ca="1">_xlfn.XLOOKUP(P25,MOPFRA!$R$7:$R$56,MOPFRA!$AC$7:$AC$56,"")</f>
        <v>-56.789660423070046</v>
      </c>
      <c r="AE25" s="810">
        <f>_xlfn.XLOOKUP(O25,MOPFRA!$Q$7:$Q$56,MOPFRA!$AH$7:$AH$56,"")</f>
        <v>3.7640713213199501</v>
      </c>
      <c r="AF25" s="599">
        <f t="shared" si="5"/>
        <v>-7.4247603833865856</v>
      </c>
      <c r="AG25" s="308">
        <f>_xlfn.XLOOKUP(O25,MOPFRA!$Q$7:$Q$78,MOPFRA!$AM$7:$AM$78,"")</f>
        <v>0</v>
      </c>
      <c r="AH25" s="1935">
        <f ca="1">_xlfn.XLOOKUP(P25,MOPFRA!$R$7:$R$56,MOPFRA!$AI$7:$AI$56,"")</f>
        <v>4</v>
      </c>
      <c r="AI25" s="385"/>
      <c r="AJ25" s="1818">
        <f>_xlfn.XLOOKUP(P25,MOPFRA!$R$7:$R$56,MOPFRA!$AJ$7:$AJ$56,"")</f>
        <v>46243</v>
      </c>
      <c r="AK25" s="1694">
        <f>_xlfn.XLOOKUP(P25,MOPFRA!$R$7:$R$78,MOPFRA!$DY$7:$DY$78,"")</f>
        <v>936</v>
      </c>
      <c r="AL25" s="1821">
        <f>_xlfn.XLOOKUP(P25,MOPFRA!$R$7:$R$58,MOPFRA!$AK$7:$AK$58,"")</f>
        <v>46344</v>
      </c>
      <c r="AM25" s="1825">
        <f>_xlfn.XLOOKUP($P25,MOPFRA!$R$7:$R$56,MOPFRA!$CC$7:$CC$56,"")</f>
        <v>2555</v>
      </c>
      <c r="AN25" s="1341">
        <f>_xlfn.XLOOKUP($P25,MOPFRA!$R$7:$R$56,MOPFRA!$BW$7:$BW$56,"")</f>
        <v>3.3990259672439369</v>
      </c>
      <c r="AO25" s="1207">
        <f>_xlfn.XLOOKUP($P25,MOPFRA!$R$7:$R$56,MOPFRA!$CD$7:$CD$56,"")</f>
        <v>4.9800000000000004</v>
      </c>
      <c r="AP25" s="447" t="s">
        <v>603</v>
      </c>
      <c r="AQ25" s="572">
        <v>11894</v>
      </c>
      <c r="AR25" s="797">
        <v>5016</v>
      </c>
      <c r="AS25" s="798">
        <f t="shared" si="33"/>
        <v>1.5378787878787878</v>
      </c>
      <c r="AT25" s="329">
        <v>900000</v>
      </c>
      <c r="AU25" s="334">
        <f t="shared" si="6"/>
        <v>1135617.8399999999</v>
      </c>
      <c r="AV25" s="330">
        <f t="shared" si="7"/>
        <v>2.4680400715893579E-2</v>
      </c>
      <c r="AW25" s="272"/>
      <c r="AX25" s="234">
        <f t="shared" si="8"/>
        <v>0</v>
      </c>
      <c r="AY25" s="402">
        <v>81548</v>
      </c>
      <c r="AZ25" s="1137">
        <v>0</v>
      </c>
      <c r="BA25" s="342">
        <v>167750</v>
      </c>
      <c r="BB25" s="334">
        <f t="shared" si="9"/>
        <v>211666.54739999998</v>
      </c>
      <c r="BC25" s="343">
        <f t="shared" si="10"/>
        <v>9.4768177577345611E-3</v>
      </c>
      <c r="BD25" s="272"/>
      <c r="BE25" s="234">
        <f t="shared" si="11"/>
        <v>0</v>
      </c>
      <c r="BF25" s="402">
        <v>23398</v>
      </c>
      <c r="BG25" s="1137">
        <v>0</v>
      </c>
      <c r="BH25" s="333">
        <v>45000</v>
      </c>
      <c r="BI25" s="334">
        <f t="shared" si="12"/>
        <v>56780.892</v>
      </c>
      <c r="BJ25" s="726">
        <f t="shared" si="13"/>
        <v>3.6751503728435803E-2</v>
      </c>
      <c r="BK25" s="310"/>
      <c r="BL25" s="234">
        <f t="shared" si="14"/>
        <v>0</v>
      </c>
      <c r="BM25" s="402">
        <v>5323</v>
      </c>
      <c r="BN25" s="1137">
        <v>0</v>
      </c>
      <c r="BP25" s="720">
        <f t="shared" si="15"/>
        <v>1404065.2793999999</v>
      </c>
      <c r="BQ25" s="721">
        <f t="shared" si="16"/>
        <v>1112750</v>
      </c>
      <c r="BR25" s="722">
        <f t="shared" si="32"/>
        <v>5.8959569343610761E-2</v>
      </c>
      <c r="BS25" s="604"/>
      <c r="BT25" s="610">
        <v>51850</v>
      </c>
      <c r="BU25" s="334">
        <f t="shared" si="17"/>
        <v>65424.205560000002</v>
      </c>
      <c r="BV25" s="612">
        <f t="shared" si="18"/>
        <v>3.9754208855053062E-2</v>
      </c>
      <c r="BW25" s="272"/>
      <c r="BX25" s="234">
        <f t="shared" si="19"/>
        <v>0</v>
      </c>
      <c r="BY25" s="402">
        <v>4141</v>
      </c>
      <c r="BZ25" s="1137">
        <v>0</v>
      </c>
      <c r="CA25" s="628">
        <v>13000</v>
      </c>
      <c r="CB25" s="334">
        <f t="shared" si="20"/>
        <v>16403.3688</v>
      </c>
      <c r="CC25" s="630">
        <f t="shared" si="21"/>
        <v>6.1926559536905582E-2</v>
      </c>
      <c r="CD25" s="272"/>
      <c r="CE25" s="234">
        <f t="shared" si="22"/>
        <v>0</v>
      </c>
      <c r="CF25" s="402">
        <v>1774</v>
      </c>
      <c r="CG25" s="1137">
        <v>0</v>
      </c>
      <c r="CH25" s="1764">
        <v>20000</v>
      </c>
      <c r="CI25" s="334">
        <f t="shared" si="23"/>
        <v>25235.951999999997</v>
      </c>
      <c r="CJ25" s="1767">
        <f t="shared" si="24"/>
        <v>2.0776556542202425E-3</v>
      </c>
      <c r="CK25" s="272"/>
      <c r="CL25" s="234">
        <f t="shared" si="34"/>
        <v>0</v>
      </c>
      <c r="CM25" s="402"/>
      <c r="CN25" s="1137">
        <v>0</v>
      </c>
      <c r="CO25" s="2074"/>
      <c r="CP25" s="334">
        <f t="shared" si="26"/>
        <v>0</v>
      </c>
      <c r="CQ25" s="2070">
        <f t="shared" si="27"/>
        <v>0</v>
      </c>
      <c r="CR25" s="272"/>
      <c r="CS25" s="234">
        <f t="shared" si="35"/>
        <v>0</v>
      </c>
      <c r="CT25" s="402"/>
      <c r="CU25" s="1137">
        <v>0</v>
      </c>
      <c r="CX25" s="333">
        <v>45000</v>
      </c>
      <c r="CY25" s="334">
        <f t="shared" si="29"/>
        <v>56780.892</v>
      </c>
      <c r="CZ25" s="726">
        <f t="shared" si="30"/>
        <v>3.6751503728435803E-2</v>
      </c>
      <c r="DA25" s="310"/>
      <c r="DB25" s="234">
        <f t="shared" si="31"/>
        <v>0</v>
      </c>
      <c r="DC25" s="402">
        <v>5323</v>
      </c>
      <c r="DD25" s="1137">
        <v>0</v>
      </c>
    </row>
    <row r="26" spans="1:108" ht="36" customHeight="1">
      <c r="A26" s="100">
        <f>_xlfn.XLOOKUP(P26,MOPFRA!R$7:R$78,MOPFRA!A$7:A$78,"")</f>
        <v>11.948830102828419</v>
      </c>
      <c r="B26" s="99"/>
      <c r="C26" s="2109">
        <f ca="1">_xlfn.XLOOKUP(P26,MOPFRA!R$7:R$78,MOPFRA!$C$7:$C$78,"")</f>
        <v>0.13313443076256135</v>
      </c>
      <c r="D26" s="99"/>
      <c r="E26" s="2120">
        <f>_xlfn.XLOOKUP(P26,MOPFRA!$R$7:$R$56,MOPFRA!$D$7:$D$56,"")</f>
        <v>1.2764594316789841</v>
      </c>
      <c r="F26" s="2110">
        <f>_xlfn.XLOOKUP($P26,MOPFRA!$R$7:$R$56,MOPFRA!$E$7:$E$56,"")</f>
        <v>11.800000000000002</v>
      </c>
      <c r="G26" s="2121">
        <f>_xlfn.XLOOKUP($P26,MOPFRA!$R$7:$R$56,MOPFRA!$F$7:$F$56,"")</f>
        <v>8.7000000000000011</v>
      </c>
      <c r="H26" s="2124" cm="1">
        <f t="array" ref="H26">IFERROR(_xlfn.XLOOKUP(P26,'Sales Rec'!$E$37:$E$91,'Sales Rec'!$CU$37:$CU$91*100,""),"")</f>
        <v>14.044747405884728</v>
      </c>
      <c r="I26" s="2313">
        <f>_xlfn.XLOOKUP(P26,MOPFRA!$R$7:$R$56,MOPFRA!H$7:H$56,"")</f>
        <v>0.62269020336533498</v>
      </c>
      <c r="J26" s="2313">
        <f>_xlfn.XLOOKUP(P26,MOPFRA!$R$7:$R$56,MOPFRA!J$7:J$56,"")</f>
        <v>0.5008288208641839</v>
      </c>
      <c r="K26" s="1942">
        <f>_xlfn.XLOOKUP(P26,'Sales Rec'!$E$4:$E$91,'Sales Rec'!$CV$4:$CV$91,"")</f>
        <v>32</v>
      </c>
      <c r="L26" s="2212">
        <f>_xlfn.XLOOKUP(P26,MOPFRA!R$7:R$78,MOPFRA!$L$7:$L$78,"")</f>
        <v>34</v>
      </c>
      <c r="M26" s="1586" t="str">
        <f>_xlfn.XLOOKUP(P26,'Sales Rec'!$E$4:$E$105,'Sales Rec'!$DS$4:$DS$105,"")</f>
        <v>BB</v>
      </c>
      <c r="N26" s="1586" t="str">
        <f>_xlfn.XLOOKUP(P26,'Sales Rec'!$E$4:$E$105,'Sales Rec'!$DZ$4:$DZ$105,"")</f>
        <v>BB</v>
      </c>
      <c r="O26" s="382" t="s">
        <v>177</v>
      </c>
      <c r="P26" s="1571" t="s">
        <v>178</v>
      </c>
      <c r="Q26" s="1929">
        <f>VLOOKUP(P26,MOPFRA!$R$7:$CF$78,2,FALSE)</f>
        <v>12</v>
      </c>
      <c r="R26" s="264">
        <f>VLOOKUP(P26,MOPFRA!$R$7:$CD$56,4,FALSE)</f>
        <v>86740</v>
      </c>
      <c r="S26" s="292">
        <f>_xlfn.XLOOKUP(P26,MOPFRA!$R$7:$R$56,MOPFRA!$V$7:$V$56,"")</f>
        <v>2.99</v>
      </c>
      <c r="T26" s="292">
        <f>_xlfn.XLOOKUP(P26,'دیده بان بازار'!$A$8:$A$3179,'دیده بان بازار'!$L$8:$L$3179,"")</f>
        <v>2520</v>
      </c>
      <c r="U26" s="304">
        <f>VLOOKUP(P26,MOPFRA!$R$7:$CD$56,6,FALSE)</f>
        <v>86740</v>
      </c>
      <c r="V26" s="361">
        <f>_xlfn.XLOOKUP(P26,MOPFRA!$R$7:$R$56,MOPFRA!$X$7:$X$56,"")</f>
        <v>2.99</v>
      </c>
      <c r="W26" s="361">
        <f>_xlfn.XLOOKUP(P26,'دیده بان بازار'!$A$8:$A$3179,'دیده بان بازار'!$I$8:$I$3179,"")</f>
        <v>2520</v>
      </c>
      <c r="X26" s="2057" t="str">
        <f>_xlfn.XLOOKUP(P26,MOPFRA!$R$7:$R$78,MOPFRA!$P$7:$P$78,"")</f>
        <v>L</v>
      </c>
      <c r="Y26" s="2058">
        <f t="shared" si="3"/>
        <v>1.234472412869859E-2</v>
      </c>
      <c r="Z26" s="394">
        <f>_xlfn.XLOOKUP(P26,MOPFRA!$R$7:$R$78,MOPFRA!$T$7:$T$78,"")</f>
        <v>52044</v>
      </c>
      <c r="AA26" s="1030">
        <f>_xlfn.XLOOKUP(P26,'Sales Rec'!$E$4:$E$93,'Sales Rec'!$DW$4:$DW$93,"")</f>
        <v>2.1541818181818182</v>
      </c>
      <c r="AB26" s="850">
        <f>_xlfn.XLOOKUP(O26,MOPFRA!$Q$7:$Q$56,MOPFRA!$AA$7:$AA$56,"")</f>
        <v>0.14101552223099184</v>
      </c>
      <c r="AC26" s="1221">
        <f t="shared" ca="1" si="4"/>
        <v>0.40290149208854809</v>
      </c>
      <c r="AD26" s="825">
        <f ca="1">_xlfn.XLOOKUP(P26,MOPFRA!$R$7:$R$56,MOPFRA!$AC$7:$AC$56,"")</f>
        <v>-15.632614962279471</v>
      </c>
      <c r="AE26" s="810">
        <f>_xlfn.XLOOKUP(O26,MOPFRA!$Q$7:$Q$56,MOPFRA!$AH$7:$AH$56,"")</f>
        <v>4.6142394822006469</v>
      </c>
      <c r="AF26" s="599">
        <f t="shared" si="5"/>
        <v>7.7704496830924175</v>
      </c>
      <c r="AG26" s="308">
        <f>_xlfn.XLOOKUP(O26,MOPFRA!$Q$7:$Q$78,MOPFRA!$AM$7:$AM$78,"")</f>
        <v>0</v>
      </c>
      <c r="AH26" s="1935">
        <f ca="1">_xlfn.XLOOKUP(P26,MOPFRA!$R$7:$R$56,MOPFRA!$AI$7:$AI$56,"")</f>
        <v>330</v>
      </c>
      <c r="AI26" s="385"/>
      <c r="AJ26" s="1612">
        <f>_xlfn.XLOOKUP(P26,MOPFRA!$R$7:$R$56,MOPFRA!$AJ$7:$AJ$56,"")</f>
        <v>46204</v>
      </c>
      <c r="AK26" s="1691">
        <f>_xlfn.XLOOKUP(P26,MOPFRA!$R$7:$R$78,MOPFRA!$DY$7:$DY$78,"")</f>
        <v>10000</v>
      </c>
      <c r="AL26" s="1821">
        <f>_xlfn.XLOOKUP(P26,MOPFRA!$R$7:$R$58,MOPFRA!$AK$7:$AK$58,"")</f>
        <v>46230</v>
      </c>
      <c r="AM26" s="1825">
        <f>_xlfn.XLOOKUP($P26,MOPFRA!$R$7:$R$56,MOPFRA!$CC$7:$CC$56,"")</f>
        <v>13150</v>
      </c>
      <c r="AN26" s="1341">
        <f>_xlfn.XLOOKUP($P26,MOPFRA!$R$7:$R$56,MOPFRA!$BW$7:$BW$56,"")</f>
        <v>5.3235405683210155</v>
      </c>
      <c r="AO26" s="1207">
        <f>_xlfn.XLOOKUP($P26,MOPFRA!$R$7:$R$56,MOPFRA!$CD$7:$CD$56,"")</f>
        <v>6.6</v>
      </c>
      <c r="AP26" s="448" t="s">
        <v>197</v>
      </c>
      <c r="AQ26" s="571">
        <v>79834</v>
      </c>
      <c r="AR26" s="797">
        <v>80543</v>
      </c>
      <c r="AS26" s="798">
        <f t="shared" si="33"/>
        <v>7.6940267931415521E-2</v>
      </c>
      <c r="AT26" s="329">
        <v>40000</v>
      </c>
      <c r="AU26" s="334">
        <f t="shared" si="6"/>
        <v>343906.75199999998</v>
      </c>
      <c r="AV26" s="330">
        <f t="shared" si="7"/>
        <v>7.4741309525935551E-3</v>
      </c>
      <c r="AW26" s="310"/>
      <c r="AX26" s="234">
        <f t="shared" si="8"/>
        <v>0</v>
      </c>
      <c r="AY26" s="402"/>
      <c r="AZ26" s="1137">
        <v>0</v>
      </c>
      <c r="BA26" s="437"/>
      <c r="BB26" s="334">
        <f t="shared" si="9"/>
        <v>0</v>
      </c>
      <c r="BC26" s="343">
        <f t="shared" si="10"/>
        <v>0</v>
      </c>
      <c r="BD26" s="310"/>
      <c r="BE26" s="234">
        <f t="shared" si="11"/>
        <v>0</v>
      </c>
      <c r="BF26" s="402"/>
      <c r="BG26" s="1137">
        <v>0</v>
      </c>
      <c r="BH26" s="718"/>
      <c r="BI26" s="719">
        <f t="shared" si="12"/>
        <v>0</v>
      </c>
      <c r="BJ26" s="726">
        <f t="shared" si="13"/>
        <v>0</v>
      </c>
      <c r="BK26" s="310"/>
      <c r="BL26" s="234">
        <f t="shared" si="14"/>
        <v>0</v>
      </c>
      <c r="BM26" s="402"/>
      <c r="BN26" s="1137">
        <v>0</v>
      </c>
      <c r="BP26" s="720">
        <f t="shared" si="15"/>
        <v>343906.75199999998</v>
      </c>
      <c r="BQ26" s="721">
        <f t="shared" si="16"/>
        <v>40000</v>
      </c>
      <c r="BR26" s="722">
        <f t="shared" si="32"/>
        <v>1.4441347058268371E-2</v>
      </c>
      <c r="BS26" s="605"/>
      <c r="BT26" s="611"/>
      <c r="BU26" s="334">
        <f t="shared" si="17"/>
        <v>0</v>
      </c>
      <c r="BV26" s="612">
        <f t="shared" si="18"/>
        <v>0</v>
      </c>
      <c r="BW26" s="310"/>
      <c r="BX26" s="234">
        <f t="shared" si="19"/>
        <v>0</v>
      </c>
      <c r="BY26" s="402"/>
      <c r="BZ26" s="1137">
        <v>0</v>
      </c>
      <c r="CA26" s="633"/>
      <c r="CB26" s="334">
        <f t="shared" si="20"/>
        <v>0</v>
      </c>
      <c r="CC26" s="630">
        <f t="shared" si="21"/>
        <v>0</v>
      </c>
      <c r="CD26" s="272"/>
      <c r="CE26" s="234">
        <f t="shared" si="22"/>
        <v>0</v>
      </c>
      <c r="CF26" s="402"/>
      <c r="CG26" s="1137">
        <v>0</v>
      </c>
      <c r="CH26" s="1772"/>
      <c r="CI26" s="334">
        <f t="shared" si="23"/>
        <v>0</v>
      </c>
      <c r="CJ26" s="1767">
        <f t="shared" si="24"/>
        <v>0</v>
      </c>
      <c r="CK26" s="272"/>
      <c r="CL26" s="234">
        <f t="shared" si="34"/>
        <v>0</v>
      </c>
      <c r="CM26" s="402"/>
      <c r="CN26" s="1137">
        <v>0</v>
      </c>
      <c r="CO26" s="2080"/>
      <c r="CP26" s="334">
        <f t="shared" si="26"/>
        <v>0</v>
      </c>
      <c r="CQ26" s="2070">
        <f t="shared" si="27"/>
        <v>0</v>
      </c>
      <c r="CR26" s="272"/>
      <c r="CS26" s="234">
        <f t="shared" si="35"/>
        <v>0</v>
      </c>
      <c r="CT26" s="402"/>
      <c r="CU26" s="1137">
        <v>0</v>
      </c>
      <c r="CX26" s="718"/>
      <c r="CY26" s="719">
        <f t="shared" si="29"/>
        <v>0</v>
      </c>
      <c r="CZ26" s="726">
        <f t="shared" si="30"/>
        <v>0</v>
      </c>
      <c r="DA26" s="310"/>
      <c r="DB26" s="234">
        <f t="shared" si="31"/>
        <v>0</v>
      </c>
      <c r="DC26" s="402"/>
      <c r="DD26" s="1137">
        <v>0</v>
      </c>
    </row>
    <row r="27" spans="1:108" ht="36" customHeight="1">
      <c r="A27" s="100">
        <f>_xlfn.XLOOKUP(P27,MOPFRA!R$7:R$78,MOPFRA!A$7:A$78,"")</f>
        <v>11.736609338117248</v>
      </c>
      <c r="B27" s="99"/>
      <c r="C27" s="2109">
        <f ca="1">_xlfn.XLOOKUP(P27,MOPFRA!R$7:R$78,MOPFRA!$C$7:$C$78,"")</f>
        <v>0.1043052803606468</v>
      </c>
      <c r="D27" s="99"/>
      <c r="E27" s="2120">
        <f>_xlfn.XLOOKUP(P27,MOPFRA!$R$7:$R$56,MOPFRA!$D$7:$D$56,"")</f>
        <v>3.3381467050359568</v>
      </c>
      <c r="F27" s="2110">
        <f>_xlfn.XLOOKUP($P27,MOPFRA!$R$7:$R$56,MOPFRA!$E$7:$E$56,"")</f>
        <v>2.4000000000000021</v>
      </c>
      <c r="G27" s="2121">
        <f>_xlfn.XLOOKUP($P27,MOPFRA!$R$7:$R$56,MOPFRA!$F$7:$F$56,"")</f>
        <v>6.3</v>
      </c>
      <c r="H27" s="2124" cm="1">
        <f t="array" ref="H27">IFERROR(_xlfn.XLOOKUP(P27,'Sales Rec'!$E$37:$E$91,'Sales Rec'!$CU$37:$CU$91*100,""),"")</f>
        <v>15.736458299705514</v>
      </c>
      <c r="I27" s="2313">
        <f>_xlfn.XLOOKUP(P27,MOPFRA!$R$7:$R$56,MOPFRA!H$7:H$56,"")</f>
        <v>1.9105984138428262</v>
      </c>
      <c r="J27" s="2313">
        <f>_xlfn.XLOOKUP(P27,MOPFRA!$R$7:$R$56,MOPFRA!J$7:J$56,"")</f>
        <v>1.2491781722550954</v>
      </c>
      <c r="K27" s="1942">
        <f>_xlfn.XLOOKUP(P27,'Sales Rec'!$E$4:$E$91,'Sales Rec'!$CV$4:$CV$91,"")</f>
        <v>7</v>
      </c>
      <c r="L27" s="2212">
        <f>_xlfn.XLOOKUP(P27,MOPFRA!R$7:R$78,MOPFRA!$L$7:$L$78,"")</f>
        <v>18</v>
      </c>
      <c r="M27" s="1586" t="str">
        <f>_xlfn.XLOOKUP(P27,'Sales Rec'!$E$4:$E$105,'Sales Rec'!$DS$4:$DS$105,"")</f>
        <v>BB</v>
      </c>
      <c r="N27" s="1586" t="str">
        <f>_xlfn.XLOOKUP(P27,'Sales Rec'!$E$4:$E$105,'Sales Rec'!$DZ$4:$DZ$105,"")</f>
        <v>BB</v>
      </c>
      <c r="O27" s="382" t="s">
        <v>164</v>
      </c>
      <c r="P27" s="1571" t="s">
        <v>165</v>
      </c>
      <c r="Q27" s="1929">
        <v>12</v>
      </c>
      <c r="R27" s="264">
        <f>VLOOKUP(P27,MOPFRA!$R$7:$CD$56,4,FALSE)</f>
        <v>30990</v>
      </c>
      <c r="S27" s="292">
        <f>_xlfn.XLOOKUP(P27,MOPFRA!$R$7:$R$56,MOPFRA!$V$7:$V$56,"")</f>
        <v>2.99</v>
      </c>
      <c r="T27" s="292">
        <f>_xlfn.XLOOKUP(P27,'دیده بان بازار'!$A$8:$A$3179,'دیده بان بازار'!$L$8:$L$3179,"")</f>
        <v>900</v>
      </c>
      <c r="U27" s="304">
        <f>VLOOKUP(P27,MOPFRA!$R$7:$CD$56,6,FALSE)</f>
        <v>30990</v>
      </c>
      <c r="V27" s="361">
        <f>_xlfn.XLOOKUP(P27,MOPFRA!$R$7:$R$56,MOPFRA!$X$7:$X$56,"")</f>
        <v>2.99</v>
      </c>
      <c r="W27" s="361">
        <f>_xlfn.XLOOKUP(P27,'دیده بان بازار'!$A$8:$A$3179,'دیده بان بازار'!$I$8:$I$3179,"")</f>
        <v>900</v>
      </c>
      <c r="X27" s="2057" t="str">
        <f>_xlfn.XLOOKUP(P27,MOPFRA!$R$7:$R$78,MOPFRA!$P$7:$P$78,"")</f>
        <v>PH</v>
      </c>
      <c r="Y27" s="2058">
        <f t="shared" si="3"/>
        <v>4.7738921908439313E-2</v>
      </c>
      <c r="Z27" s="394">
        <f>_xlfn.XLOOKUP(P27,MOPFRA!$R$7:$R$78,MOPFRA!$T$7:$T$78,"")</f>
        <v>24606.06</v>
      </c>
      <c r="AA27" s="1030">
        <f>_xlfn.XLOOKUP(P27,'Sales Rec'!$E$4:$E$93,'Sales Rec'!$DW$4:$DW$93,"")</f>
        <v>3.7119992340099581</v>
      </c>
      <c r="AB27" s="850">
        <f>_xlfn.XLOOKUP(O27,MOPFRA!$Q$7:$Q$56,MOPFRA!$AA$7:$AA$56,"")</f>
        <v>0.21529411764705889</v>
      </c>
      <c r="AC27" s="1221">
        <f t="shared" ca="1" si="4"/>
        <v>0.76890756302521024</v>
      </c>
      <c r="AD27" s="825">
        <f ca="1">_xlfn.XLOOKUP(P27,MOPFRA!$R$7:$R$56,MOPFRA!$AC$7:$AC$56,"")</f>
        <v>-52.233222055945689</v>
      </c>
      <c r="AE27" s="810">
        <f>_xlfn.XLOOKUP(O27,MOPFRA!$Q$7:$Q$56,MOPFRA!$AH$7:$AH$56,"")</f>
        <v>13.796187612748046</v>
      </c>
      <c r="AF27" s="599">
        <f t="shared" si="5"/>
        <v>7.4236275948836292</v>
      </c>
      <c r="AG27" s="308">
        <f>_xlfn.XLOOKUP(O27,MOPFRA!$Q$7:$Q$78,MOPFRA!$AM$7:$AM$78,"")</f>
        <v>0</v>
      </c>
      <c r="AH27" s="1935">
        <f ca="1">_xlfn.XLOOKUP(P27,MOPFRA!$R$7:$R$56,MOPFRA!$AI$7:$AI$56,"")</f>
        <v>337</v>
      </c>
      <c r="AI27" s="385"/>
      <c r="AJ27" s="1612">
        <f>_xlfn.XLOOKUP(P27,MOPFRA!$R$7:$R$56,MOPFRA!$AJ$7:$AJ$56,"")</f>
        <v>46211</v>
      </c>
      <c r="AK27" s="1694">
        <f>_xlfn.XLOOKUP(P27,MOPFRA!$R$7:$R$78,MOPFRA!$DY$7:$DY$78,"")</f>
        <v>1930</v>
      </c>
      <c r="AL27" s="1821">
        <f>_xlfn.XLOOKUP(P27,MOPFRA!$R$7:$R$58,MOPFRA!$AK$7:$AK$58,"")</f>
        <v>46331</v>
      </c>
      <c r="AM27" s="1825">
        <f>_xlfn.XLOOKUP($P27,MOPFRA!$R$7:$R$56,MOPFRA!$CC$7:$CC$56,"")</f>
        <v>3831</v>
      </c>
      <c r="AN27" s="1341">
        <f>_xlfn.XLOOKUP($P27,MOPFRA!$R$7:$R$56,MOPFRA!$BW$7:$BW$56,"")</f>
        <v>4.7518532949640431</v>
      </c>
      <c r="AO27" s="1207">
        <f>_xlfn.XLOOKUP($P27,MOPFRA!$R$7:$R$56,MOPFRA!$CD$7:$CD$56,"")</f>
        <v>8.09</v>
      </c>
      <c r="AP27" s="448" t="s">
        <v>197</v>
      </c>
      <c r="AQ27" s="571">
        <v>28614</v>
      </c>
      <c r="AR27" s="797">
        <v>28926</v>
      </c>
      <c r="AS27" s="798">
        <f t="shared" si="33"/>
        <v>7.1354490769549889E-2</v>
      </c>
      <c r="AT27" s="329">
        <v>30000</v>
      </c>
      <c r="AU27" s="334">
        <f t="shared" si="6"/>
        <v>92151.864000000001</v>
      </c>
      <c r="AV27" s="330">
        <f t="shared" si="7"/>
        <v>2.0027379371184658E-3</v>
      </c>
      <c r="AW27" s="272"/>
      <c r="AX27" s="234"/>
      <c r="AY27" s="402"/>
      <c r="AZ27" s="1137"/>
      <c r="BA27" s="342">
        <v>57838</v>
      </c>
      <c r="BB27" s="334">
        <f t="shared" si="9"/>
        <v>177662.65033440001</v>
      </c>
      <c r="BC27" s="343">
        <f t="shared" si="10"/>
        <v>7.9543819288244704E-3</v>
      </c>
      <c r="BD27" s="272">
        <v>57838</v>
      </c>
      <c r="BE27" s="234">
        <f t="shared" si="11"/>
        <v>11162.734</v>
      </c>
      <c r="BF27" s="402"/>
      <c r="BG27" s="1137">
        <v>0</v>
      </c>
      <c r="BH27" s="333">
        <v>20000</v>
      </c>
      <c r="BI27" s="334">
        <f t="shared" si="12"/>
        <v>61434.576000000001</v>
      </c>
      <c r="BJ27" s="726">
        <f t="shared" si="13"/>
        <v>3.9763606547760337E-2</v>
      </c>
      <c r="BK27" s="310">
        <v>55844</v>
      </c>
      <c r="BL27" s="234">
        <f t="shared" si="14"/>
        <v>10777.892</v>
      </c>
      <c r="BM27" s="402"/>
      <c r="BN27" s="1137">
        <v>0</v>
      </c>
      <c r="BP27" s="720">
        <f t="shared" si="15"/>
        <v>331249.09033440001</v>
      </c>
      <c r="BQ27" s="721">
        <f t="shared" si="16"/>
        <v>107838</v>
      </c>
      <c r="BR27" s="722">
        <f t="shared" si="32"/>
        <v>1.3909825987524554E-2</v>
      </c>
      <c r="BS27" s="604"/>
      <c r="BT27" s="610"/>
      <c r="BU27" s="334"/>
      <c r="BV27" s="612"/>
      <c r="BW27" s="272"/>
      <c r="BX27" s="234"/>
      <c r="BY27" s="402"/>
      <c r="BZ27" s="1137">
        <v>0</v>
      </c>
      <c r="CA27" s="628"/>
      <c r="CB27" s="334"/>
      <c r="CC27" s="630"/>
      <c r="CD27" s="272"/>
      <c r="CE27" s="234"/>
      <c r="CF27" s="402"/>
      <c r="CG27" s="1137">
        <v>0</v>
      </c>
      <c r="CH27" s="1764"/>
      <c r="CI27" s="334">
        <f t="shared" si="23"/>
        <v>0</v>
      </c>
      <c r="CJ27" s="1767">
        <f t="shared" si="24"/>
        <v>0</v>
      </c>
      <c r="CK27" s="272"/>
      <c r="CL27" s="234">
        <f t="shared" si="34"/>
        <v>0</v>
      </c>
      <c r="CM27" s="402"/>
      <c r="CN27" s="1137">
        <v>0</v>
      </c>
      <c r="CO27" s="2074"/>
      <c r="CP27" s="334">
        <f t="shared" si="26"/>
        <v>0</v>
      </c>
      <c r="CQ27" s="2070">
        <f t="shared" si="27"/>
        <v>0</v>
      </c>
      <c r="CR27" s="272"/>
      <c r="CS27" s="234">
        <f t="shared" si="35"/>
        <v>0</v>
      </c>
      <c r="CT27" s="402"/>
      <c r="CU27" s="1137">
        <v>0</v>
      </c>
      <c r="CX27" s="333">
        <v>20000</v>
      </c>
      <c r="CY27" s="334">
        <f t="shared" si="29"/>
        <v>61434.576000000001</v>
      </c>
      <c r="CZ27" s="726">
        <f t="shared" si="30"/>
        <v>3.9763606547760337E-2</v>
      </c>
      <c r="DA27" s="310">
        <v>55844</v>
      </c>
      <c r="DB27" s="234">
        <f t="shared" si="31"/>
        <v>10777.892</v>
      </c>
      <c r="DC27" s="402"/>
      <c r="DD27" s="1137">
        <v>0</v>
      </c>
    </row>
    <row r="28" spans="1:108" ht="36" customHeight="1">
      <c r="A28" s="100">
        <f>_xlfn.XLOOKUP(P28,MOPFRA!R$7:R$78,MOPFRA!A$7:A$78,"")</f>
        <v>10.895140384574557</v>
      </c>
      <c r="B28" s="99"/>
      <c r="C28" s="2109">
        <f ca="1">_xlfn.XLOOKUP(P28,MOPFRA!R$7:R$78,MOPFRA!$C$7:$C$78,"")</f>
        <v>0.2923429204504257</v>
      </c>
      <c r="D28" s="99"/>
      <c r="E28" s="2120">
        <f>_xlfn.XLOOKUP(P28,MOPFRA!$R$7:$R$56,MOPFRA!$D$7:$D$56,"")</f>
        <v>3.2354511215363528</v>
      </c>
      <c r="F28" s="2110">
        <f>_xlfn.XLOOKUP($P28,MOPFRA!$R$7:$R$56,MOPFRA!$E$7:$E$56,"")</f>
        <v>13.499999999999998</v>
      </c>
      <c r="G28" s="2121">
        <f>_xlfn.XLOOKUP($P28,MOPFRA!$R$7:$R$56,MOPFRA!$F$7:$F$56,"")</f>
        <v>8.3000000000000025</v>
      </c>
      <c r="H28" s="2124" cm="1">
        <f t="array" ref="H28">IFERROR(_xlfn.XLOOKUP(P28,'Sales Rec'!$E$37:$E$91,'Sales Rec'!$CU$37:$CU$91*100,""),"")</f>
        <v>11.836846823115899</v>
      </c>
      <c r="I28" s="2313">
        <f>_xlfn.XLOOKUP(P28,MOPFRA!$R$7:$R$56,MOPFRA!H$7:H$56,"")</f>
        <v>0.59988038277511957</v>
      </c>
      <c r="J28" s="2313">
        <f>_xlfn.XLOOKUP(P28,MOPFRA!$R$7:$R$56,MOPFRA!J$7:J$56,"")</f>
        <v>0.82533733133433285</v>
      </c>
      <c r="K28" s="1942">
        <f>_xlfn.XLOOKUP(P28,'Sales Rec'!$E$4:$E$91,'Sales Rec'!$CV$4:$CV$91,"")</f>
        <v>34</v>
      </c>
      <c r="L28" s="2212">
        <f>_xlfn.XLOOKUP(P28,MOPFRA!R$7:R$78,MOPFRA!$L$7:$L$78,"")</f>
        <v>25</v>
      </c>
      <c r="M28" s="1586" t="str">
        <f>_xlfn.XLOOKUP(P28,'Sales Rec'!$E$4:$E$105,'Sales Rec'!$DS$4:$DS$105,"")</f>
        <v>B</v>
      </c>
      <c r="N28" s="1586" t="str">
        <f>_xlfn.XLOOKUP(P28,'Sales Rec'!$E$4:$E$105,'Sales Rec'!$DZ$4:$DZ$105,"")</f>
        <v>BB</v>
      </c>
      <c r="O28" s="382" t="s">
        <v>181</v>
      </c>
      <c r="P28" s="1571" t="s">
        <v>182</v>
      </c>
      <c r="Q28" s="1929">
        <v>12</v>
      </c>
      <c r="R28" s="264">
        <f>VLOOKUP(P28,MOPFRA!$R$7:$CD$56,4,FALSE)</f>
        <v>2087</v>
      </c>
      <c r="S28" s="292">
        <f>_xlfn.XLOOKUP(P28,MOPFRA!$R$7:$R$56,MOPFRA!$V$7:$V$56,"")</f>
        <v>2.96</v>
      </c>
      <c r="T28" s="292">
        <f>_xlfn.XLOOKUP(P28,'دیده بان بازار'!$A$8:$A$3179,'دیده بان بازار'!$L$8:$L$3179,"")</f>
        <v>60</v>
      </c>
      <c r="U28" s="304">
        <f>VLOOKUP(P28,MOPFRA!$R$7:$CD$56,6,FALSE)</f>
        <v>2087</v>
      </c>
      <c r="V28" s="361">
        <f>_xlfn.XLOOKUP(P28,MOPFRA!$R$7:$R$56,MOPFRA!$X$7:$X$56,"")</f>
        <v>2.96</v>
      </c>
      <c r="W28" s="361">
        <f>_xlfn.XLOOKUP(P28,'دیده بان بازار'!$A$8:$A$3179,'دیده بان بازار'!$I$8:$I$3179,"")</f>
        <v>60</v>
      </c>
      <c r="X28" s="2057" t="str">
        <f>_xlfn.XLOOKUP(P28,MOPFRA!$R$7:$R$78,MOPFRA!$P$7:$P$78,"")</f>
        <v>T</v>
      </c>
      <c r="Y28" s="2058">
        <f t="shared" si="3"/>
        <v>7.9953684353221857E-4</v>
      </c>
      <c r="Z28" s="394">
        <f>_xlfn.XLOOKUP(P28,MOPFRA!$R$7:$R$78,MOPFRA!$T$7:$T$78,"")</f>
        <v>3923.56</v>
      </c>
      <c r="AA28" s="1030">
        <f>_xlfn.XLOOKUP(P28,'Sales Rec'!$E$4:$E$93,'Sales Rec'!$DW$4:$DW$93,"")</f>
        <v>0.17221409587181399</v>
      </c>
      <c r="AB28" s="850">
        <f>_xlfn.XLOOKUP(O28,MOPFRA!$Q$7:$Q$56,MOPFRA!$AA$7:$AA$56,"")</f>
        <v>0.33590738849165813</v>
      </c>
      <c r="AC28" s="1221">
        <f t="shared" ca="1" si="4"/>
        <v>2.0994211780728635</v>
      </c>
      <c r="AD28" s="825">
        <f ca="1">_xlfn.XLOOKUP(P28,MOPFRA!$R$7:$R$56,MOPFRA!$AC$7:$AC$56,"")</f>
        <v>-185.28458356071101</v>
      </c>
      <c r="AE28" s="810">
        <f>_xlfn.XLOOKUP(O28,MOPFRA!$Q$7:$Q$56,MOPFRA!$AH$7:$AH$56,"")</f>
        <v>0.34969384244926038</v>
      </c>
      <c r="AF28" s="599" t="str">
        <f t="shared" si="5"/>
        <v/>
      </c>
      <c r="AG28" s="308">
        <f>_xlfn.XLOOKUP(O28,MOPFRA!$Q$7:$Q$78,MOPFRA!$AM$7:$AM$78,"")</f>
        <v>0</v>
      </c>
      <c r="AH28" s="1935">
        <f ca="1">_xlfn.XLOOKUP(P28,MOPFRA!$R$7:$R$56,MOPFRA!$AI$7:$AI$56,"")</f>
        <v>349</v>
      </c>
      <c r="AI28" s="385"/>
      <c r="AJ28" s="1612">
        <f>_xlfn.XLOOKUP(P28,MOPFRA!$R$7:$R$56,MOPFRA!$AJ$7:$AJ$56,"")</f>
        <v>46223</v>
      </c>
      <c r="AK28" s="1691">
        <f>_xlfn.XLOOKUP(P28,MOPFRA!$R$7:$R$78,MOPFRA!$DY$7:$DY$78,"")</f>
        <v>30</v>
      </c>
      <c r="AL28" s="1821">
        <f>_xlfn.XLOOKUP(P28,MOPFRA!$R$7:$R$58,MOPFRA!$AK$7:$AK$58,"")</f>
        <v>46327</v>
      </c>
      <c r="AM28" s="1825">
        <f>_xlfn.XLOOKUP($P28,MOPFRA!$R$7:$R$56,MOPFRA!$CC$7:$CC$56,"")</f>
        <v>392</v>
      </c>
      <c r="AN28" s="1341">
        <f>_xlfn.XLOOKUP($P28,MOPFRA!$R$7:$R$56,MOPFRA!$BW$7:$BW$56,"")</f>
        <v>2.0845488784636474</v>
      </c>
      <c r="AO28" s="1207">
        <f>_xlfn.XLOOKUP($P28,MOPFRA!$R$7:$R$56,MOPFRA!$CD$7:$CD$56,"")</f>
        <v>5.32</v>
      </c>
      <c r="AP28" s="447"/>
      <c r="AQ28" s="572"/>
      <c r="AR28" s="572"/>
      <c r="AS28" s="836"/>
      <c r="AT28" s="329"/>
      <c r="AU28" s="334">
        <f t="shared" si="6"/>
        <v>0</v>
      </c>
      <c r="AV28" s="330">
        <f t="shared" si="7"/>
        <v>0</v>
      </c>
      <c r="AW28" s="272"/>
      <c r="AX28" s="234">
        <f t="shared" ref="AX28:AX57" si="36">$AK28*AW28/10000</f>
        <v>0</v>
      </c>
      <c r="AY28" s="402">
        <v>27718</v>
      </c>
      <c r="AZ28" s="1137">
        <v>0</v>
      </c>
      <c r="BA28" s="342"/>
      <c r="BB28" s="334">
        <f t="shared" si="9"/>
        <v>0</v>
      </c>
      <c r="BC28" s="343">
        <f t="shared" si="10"/>
        <v>0</v>
      </c>
      <c r="BD28" s="272"/>
      <c r="BE28" s="234">
        <f t="shared" si="11"/>
        <v>0</v>
      </c>
      <c r="BF28" s="402">
        <v>18479</v>
      </c>
      <c r="BG28" s="1137">
        <v>0</v>
      </c>
      <c r="BH28" s="333"/>
      <c r="BI28" s="334">
        <f t="shared" si="12"/>
        <v>0</v>
      </c>
      <c r="BJ28" s="726">
        <f t="shared" si="13"/>
        <v>0</v>
      </c>
      <c r="BK28" s="272"/>
      <c r="BL28" s="234">
        <f t="shared" si="14"/>
        <v>0</v>
      </c>
      <c r="BM28" s="402">
        <v>1293</v>
      </c>
      <c r="BN28" s="1137">
        <v>0</v>
      </c>
      <c r="BP28" s="720">
        <f t="shared" si="15"/>
        <v>0</v>
      </c>
      <c r="BQ28" s="721">
        <f t="shared" si="16"/>
        <v>0</v>
      </c>
      <c r="BR28" s="722">
        <f t="shared" si="32"/>
        <v>0</v>
      </c>
      <c r="BS28" s="604"/>
      <c r="BT28" s="610">
        <v>53561</v>
      </c>
      <c r="BU28" s="334">
        <f t="shared" ref="BU28:BU48" si="37">(BT28*$U28/10000)*0.9912</f>
        <v>11079.81270984</v>
      </c>
      <c r="BV28" s="612">
        <f t="shared" ref="BV28:BV48" si="38">IFERROR(BU28/$BU$3,0)</f>
        <v>6.732511075551389E-3</v>
      </c>
      <c r="BW28" s="272">
        <v>53561</v>
      </c>
      <c r="BX28" s="234">
        <f t="shared" ref="BX28:BX48" si="39">$AK28*BW28/10000</f>
        <v>160.68299999999999</v>
      </c>
      <c r="BY28" s="402">
        <v>1232</v>
      </c>
      <c r="BZ28" s="1137">
        <v>0</v>
      </c>
      <c r="CA28" s="628"/>
      <c r="CB28" s="334">
        <f t="shared" ref="CB28:CB48" si="40">(CA28*$U28/10000)*0.9912</f>
        <v>0</v>
      </c>
      <c r="CC28" s="630">
        <f t="shared" ref="CC28:CC48" si="41">IFERROR(CB28/$CB$3,0)</f>
        <v>0</v>
      </c>
      <c r="CD28" s="272">
        <v>33000</v>
      </c>
      <c r="CE28" s="234">
        <f t="shared" ref="CE28:CE48" si="42">$AK28*CD28/10000</f>
        <v>99</v>
      </c>
      <c r="CF28" s="402">
        <v>759</v>
      </c>
      <c r="CG28" s="1137">
        <v>0</v>
      </c>
      <c r="CH28" s="1764"/>
      <c r="CI28" s="334">
        <f t="shared" si="23"/>
        <v>0</v>
      </c>
      <c r="CJ28" s="1767">
        <f t="shared" si="24"/>
        <v>0</v>
      </c>
      <c r="CK28" s="272"/>
      <c r="CL28" s="234">
        <f t="shared" si="34"/>
        <v>0</v>
      </c>
      <c r="CM28" s="402"/>
      <c r="CN28" s="1137">
        <v>0</v>
      </c>
      <c r="CO28" s="2074"/>
      <c r="CP28" s="334">
        <f t="shared" si="26"/>
        <v>0</v>
      </c>
      <c r="CQ28" s="2070">
        <f t="shared" si="27"/>
        <v>0</v>
      </c>
      <c r="CR28" s="272"/>
      <c r="CS28" s="234">
        <f t="shared" si="35"/>
        <v>0</v>
      </c>
      <c r="CT28" s="402"/>
      <c r="CU28" s="1137">
        <v>0</v>
      </c>
      <c r="CX28" s="333"/>
      <c r="CY28" s="334">
        <f t="shared" si="29"/>
        <v>0</v>
      </c>
      <c r="CZ28" s="726">
        <f t="shared" si="30"/>
        <v>0</v>
      </c>
      <c r="DA28" s="272"/>
      <c r="DB28" s="234">
        <f t="shared" si="31"/>
        <v>0</v>
      </c>
      <c r="DC28" s="402">
        <v>1293</v>
      </c>
      <c r="DD28" s="1137">
        <v>0</v>
      </c>
    </row>
    <row r="29" spans="1:108" ht="36" customHeight="1">
      <c r="A29" s="100">
        <f>_xlfn.XLOOKUP(P29,MOPFRA!R$7:R$78,MOPFRA!A$7:A$78,"")</f>
        <v>11.047850751719084</v>
      </c>
      <c r="B29" s="99"/>
      <c r="C29" s="2109">
        <f ca="1">_xlfn.XLOOKUP(P29,MOPFRA!R$7:R$78,MOPFRA!$C$7:$C$78,"")</f>
        <v>0.14189747028837732</v>
      </c>
      <c r="D29" s="99"/>
      <c r="E29" s="2120">
        <f>_xlfn.XLOOKUP(P29,MOPFRA!$R$7:$R$56,MOPFRA!$D$7:$D$56,"")</f>
        <v>0.75417801381204264</v>
      </c>
      <c r="F29" s="2110">
        <f>_xlfn.XLOOKUP($P29,MOPFRA!$R$7:$R$56,MOPFRA!$E$7:$E$56,"")</f>
        <v>8.0000000000000018</v>
      </c>
      <c r="G29" s="2121">
        <f>_xlfn.XLOOKUP($P29,MOPFRA!$R$7:$R$56,MOPFRA!$F$7:$F$56,"")</f>
        <v>8.2999999999999989</v>
      </c>
      <c r="H29" s="2124" cm="1">
        <f t="array" ref="H29">IFERROR(_xlfn.XLOOKUP(P29,'Sales Rec'!$E$37:$E$91,'Sales Rec'!$CU$37:$CU$91*100,""),"")</f>
        <v>21.174646363928275</v>
      </c>
      <c r="I29" s="2313">
        <f>_xlfn.XLOOKUP(P29,MOPFRA!$R$7:$R$56,MOPFRA!H$7:H$56,"")</f>
        <v>0.88698010849909581</v>
      </c>
      <c r="J29" s="2313">
        <f>_xlfn.XLOOKUP(P29,MOPFRA!$R$7:$R$56,MOPFRA!J$7:J$56,"")</f>
        <v>0.82485322896281799</v>
      </c>
      <c r="K29" s="1942">
        <f>_xlfn.XLOOKUP(P29,'Sales Rec'!$E$4:$E$91,'Sales Rec'!$CV$4:$CV$91,"")</f>
        <v>25</v>
      </c>
      <c r="L29" s="2212">
        <f>_xlfn.XLOOKUP(P29,MOPFRA!R$7:R$78,MOPFRA!$L$7:$L$78,"")</f>
        <v>20</v>
      </c>
      <c r="M29" s="1586" t="str">
        <f>_xlfn.XLOOKUP(P29,'Sales Rec'!$E$4:$E$105,'Sales Rec'!$DS$4:$DS$105,"")</f>
        <v>B</v>
      </c>
      <c r="N29" s="1586" t="str">
        <f>_xlfn.XLOOKUP(P29,'Sales Rec'!$E$4:$E$105,'Sales Rec'!$DZ$4:$DZ$105,"")</f>
        <v>B</v>
      </c>
      <c r="O29" s="382" t="s">
        <v>156</v>
      </c>
      <c r="P29" s="1571" t="s">
        <v>157</v>
      </c>
      <c r="Q29" s="1929">
        <v>12</v>
      </c>
      <c r="R29" s="264">
        <f>VLOOKUP(P29,MOPFRA!$R$7:$CD$56,4,FALSE)</f>
        <v>12790</v>
      </c>
      <c r="S29" s="292">
        <f>_xlfn.XLOOKUP(P29,MOPFRA!$R$7:$R$56,MOPFRA!$V$7:$V$56,"")</f>
        <v>2.98</v>
      </c>
      <c r="T29" s="292">
        <f>_xlfn.XLOOKUP(P29,'دیده بان بازار'!$A$8:$A$3179,'دیده بان بازار'!$L$8:$L$3179,"")</f>
        <v>370</v>
      </c>
      <c r="U29" s="304">
        <f>VLOOKUP(P29,MOPFRA!$R$7:$CD$56,6,FALSE)</f>
        <v>12790</v>
      </c>
      <c r="V29" s="361">
        <f>_xlfn.XLOOKUP(P29,MOPFRA!$R$7:$R$56,MOPFRA!$X$7:$X$56,"")</f>
        <v>2.98</v>
      </c>
      <c r="W29" s="361">
        <f>_xlfn.XLOOKUP(P29,'دیده بان بازار'!$A$8:$A$3179,'دیده بان بازار'!$I$8:$I$3179,"")</f>
        <v>370</v>
      </c>
      <c r="X29" s="2057" t="str">
        <f>_xlfn.XLOOKUP(P29,MOPFRA!$R$7:$R$78,MOPFRA!$P$7:$P$78,"")</f>
        <v>PH</v>
      </c>
      <c r="Y29" s="2058">
        <f t="shared" si="3"/>
        <v>4.7738921908439313E-2</v>
      </c>
      <c r="Z29" s="394">
        <f>_xlfn.XLOOKUP(P29,MOPFRA!$R$7:$R$78,MOPFRA!$T$7:$T$78,"")</f>
        <v>11774.474</v>
      </c>
      <c r="AA29" s="1030">
        <f>_xlfn.XLOOKUP(P29,'Sales Rec'!$E$4:$E$93,'Sales Rec'!$DW$4:$DW$93,"")</f>
        <v>2.079098849372385</v>
      </c>
      <c r="AB29" s="850">
        <f>_xlfn.XLOOKUP(O29,MOPFRA!$Q$7:$Q$56,MOPFRA!$AA$7:$AA$56,"")</f>
        <v>6.4984985528219991E-2</v>
      </c>
      <c r="AC29" s="1221">
        <f t="shared" ca="1" si="4"/>
        <v>0.43323323685479997</v>
      </c>
      <c r="AD29" s="825">
        <f ca="1">_xlfn.XLOOKUP(P29,MOPFRA!$R$7:$R$56,MOPFRA!$AC$7:$AC$56,"")</f>
        <v>-18.66578943890465</v>
      </c>
      <c r="AE29" s="810">
        <f>_xlfn.XLOOKUP(O29,MOPFRA!$Q$7:$Q$56,MOPFRA!$AH$7:$AH$56,"")</f>
        <v>5.4908897464167588</v>
      </c>
      <c r="AF29" s="599" t="str">
        <f t="shared" si="5"/>
        <v/>
      </c>
      <c r="AG29" s="308">
        <f>_xlfn.XLOOKUP(O29,MOPFRA!$Q$7:$Q$78,MOPFRA!$AM$7:$AM$78,"")</f>
        <v>0</v>
      </c>
      <c r="AH29" s="1935">
        <f ca="1">_xlfn.XLOOKUP(P29,MOPFRA!$R$7:$R$56,MOPFRA!$AI$7:$AI$56,"")</f>
        <v>350</v>
      </c>
      <c r="AI29" s="385"/>
      <c r="AJ29" s="1612">
        <f>_xlfn.XLOOKUP(P29,MOPFRA!$R$7:$R$56,MOPFRA!$AJ$7:$AJ$56,"")</f>
        <v>46224</v>
      </c>
      <c r="AK29" s="1691">
        <f>_xlfn.XLOOKUP(P29,MOPFRA!$R$7:$R$78,MOPFRA!$DY$7:$DY$78,"")</f>
        <v>930</v>
      </c>
      <c r="AL29" s="1821">
        <f>_xlfn.XLOOKUP(P29,MOPFRA!$R$7:$R$58,MOPFRA!$AK$7:$AK$58,"")</f>
        <v>46346</v>
      </c>
      <c r="AM29" s="1825">
        <f>_xlfn.XLOOKUP($P29,MOPFRA!$R$7:$R$56,MOPFRA!$CC$7:$CC$56,"")</f>
        <v>1956</v>
      </c>
      <c r="AN29" s="1341">
        <f>_xlfn.XLOOKUP($P29,MOPFRA!$R$7:$R$56,MOPFRA!$BW$7:$BW$56,"")</f>
        <v>5.7858219861879574</v>
      </c>
      <c r="AO29" s="1207">
        <f>_xlfn.XLOOKUP($P29,MOPFRA!$R$7:$R$56,MOPFRA!$CD$7:$CD$56,"")</f>
        <v>6.54</v>
      </c>
      <c r="AP29" s="447"/>
      <c r="AQ29" s="571"/>
      <c r="AR29" s="797"/>
      <c r="AS29" s="798"/>
      <c r="AT29" s="329"/>
      <c r="AU29" s="334">
        <f t="shared" si="6"/>
        <v>0</v>
      </c>
      <c r="AV29" s="330">
        <f t="shared" si="7"/>
        <v>0</v>
      </c>
      <c r="AW29" s="272"/>
      <c r="AX29" s="234">
        <f t="shared" si="36"/>
        <v>0</v>
      </c>
      <c r="AY29" s="402"/>
      <c r="AZ29" s="1137">
        <v>0</v>
      </c>
      <c r="BA29" s="342"/>
      <c r="BB29" s="334">
        <f t="shared" si="9"/>
        <v>0</v>
      </c>
      <c r="BC29" s="343">
        <f t="shared" si="10"/>
        <v>0</v>
      </c>
      <c r="BD29" s="272"/>
      <c r="BE29" s="234">
        <f t="shared" si="11"/>
        <v>0</v>
      </c>
      <c r="BF29" s="402"/>
      <c r="BG29" s="1137">
        <v>0</v>
      </c>
      <c r="BH29" s="333"/>
      <c r="BI29" s="334">
        <f t="shared" si="12"/>
        <v>0</v>
      </c>
      <c r="BJ29" s="726">
        <f t="shared" si="13"/>
        <v>0</v>
      </c>
      <c r="BK29" s="310"/>
      <c r="BL29" s="234">
        <f t="shared" si="14"/>
        <v>0</v>
      </c>
      <c r="BM29" s="402"/>
      <c r="BN29" s="1137">
        <v>0</v>
      </c>
      <c r="BP29" s="720">
        <f t="shared" si="15"/>
        <v>0</v>
      </c>
      <c r="BQ29" s="721">
        <f t="shared" si="16"/>
        <v>0</v>
      </c>
      <c r="BR29" s="722">
        <f t="shared" si="32"/>
        <v>0</v>
      </c>
      <c r="BS29" s="604"/>
      <c r="BT29" s="610"/>
      <c r="BU29" s="334">
        <f t="shared" si="37"/>
        <v>0</v>
      </c>
      <c r="BV29" s="612">
        <f t="shared" si="38"/>
        <v>0</v>
      </c>
      <c r="BW29" s="272"/>
      <c r="BX29" s="234">
        <f t="shared" si="39"/>
        <v>0</v>
      </c>
      <c r="BY29" s="402"/>
      <c r="BZ29" s="1137">
        <v>0</v>
      </c>
      <c r="CA29" s="628"/>
      <c r="CB29" s="334">
        <f t="shared" si="40"/>
        <v>0</v>
      </c>
      <c r="CC29" s="630">
        <f t="shared" si="41"/>
        <v>0</v>
      </c>
      <c r="CD29" s="272"/>
      <c r="CE29" s="234">
        <f t="shared" si="42"/>
        <v>0</v>
      </c>
      <c r="CF29" s="402"/>
      <c r="CG29" s="1137">
        <v>0</v>
      </c>
      <c r="CH29" s="1764"/>
      <c r="CI29" s="334">
        <f t="shared" si="23"/>
        <v>0</v>
      </c>
      <c r="CJ29" s="1767">
        <f t="shared" si="24"/>
        <v>0</v>
      </c>
      <c r="CK29" s="272"/>
      <c r="CL29" s="234">
        <f t="shared" si="34"/>
        <v>0</v>
      </c>
      <c r="CM29" s="402"/>
      <c r="CN29" s="1137">
        <v>0</v>
      </c>
      <c r="CO29" s="2074"/>
      <c r="CP29" s="334">
        <f t="shared" si="26"/>
        <v>0</v>
      </c>
      <c r="CQ29" s="2070">
        <f t="shared" si="27"/>
        <v>0</v>
      </c>
      <c r="CR29" s="272"/>
      <c r="CS29" s="234">
        <f t="shared" si="35"/>
        <v>0</v>
      </c>
      <c r="CT29" s="402"/>
      <c r="CU29" s="1137">
        <v>0</v>
      </c>
      <c r="CX29" s="333"/>
      <c r="CY29" s="334">
        <f t="shared" si="29"/>
        <v>0</v>
      </c>
      <c r="CZ29" s="726">
        <f t="shared" si="30"/>
        <v>0</v>
      </c>
      <c r="DA29" s="310"/>
      <c r="DB29" s="234">
        <f t="shared" si="31"/>
        <v>0</v>
      </c>
      <c r="DC29" s="402"/>
      <c r="DD29" s="1137">
        <v>0</v>
      </c>
    </row>
    <row r="30" spans="1:108" ht="36" customHeight="1">
      <c r="A30" s="100">
        <f>_xlfn.XLOOKUP(P30,MOPFRA!R$7:R$78,MOPFRA!A$7:A$78,"")</f>
        <v>6.5163029754594088</v>
      </c>
      <c r="B30" s="99"/>
      <c r="C30" s="2109">
        <f ca="1">_xlfn.XLOOKUP(P30,MOPFRA!R$7:R$78,MOPFRA!$C$7:$C$78,"")</f>
        <v>0.21262135922330097</v>
      </c>
      <c r="D30" s="99"/>
      <c r="E30" s="2120">
        <f>_xlfn.XLOOKUP(P30,MOPFRA!$R$7:$R$56,MOPFRA!$D$7:$D$56,"")</f>
        <v>1.7057836514589675</v>
      </c>
      <c r="F30" s="2110">
        <f>_xlfn.XLOOKUP($P30,MOPFRA!$R$7:$R$56,MOPFRA!$E$7:$E$56,"")</f>
        <v>9</v>
      </c>
      <c r="G30" s="2121">
        <f>_xlfn.XLOOKUP($P30,MOPFRA!$R$7:$R$56,MOPFRA!$F$7:$F$56,"")</f>
        <v>10.8</v>
      </c>
      <c r="H30" s="2124" cm="1">
        <f t="array" ref="H30">IFERROR(_xlfn.XLOOKUP(P30,'Sales Rec'!$E$37:$E$91,'Sales Rec'!$CU$37:$CU$91*100,""),"")</f>
        <v>-9.8013564698948841</v>
      </c>
      <c r="I30" s="2313">
        <f>_xlfn.XLOOKUP(P30,MOPFRA!$R$7:$R$56,MOPFRA!H$7:H$56,"")</f>
        <v>1.0967225777973957</v>
      </c>
      <c r="J30" s="2313">
        <f>_xlfn.XLOOKUP(P30,MOPFRA!$R$7:$R$56,MOPFRA!J$7:J$56,"")</f>
        <v>1.093360809963265</v>
      </c>
      <c r="K30" s="1942">
        <f>_xlfn.XLOOKUP(P30,'Sales Rec'!$E$4:$E$91,'Sales Rec'!$CV$4:$CV$91,"")</f>
        <v>18</v>
      </c>
      <c r="L30" s="2212">
        <f>_xlfn.XLOOKUP(P30,MOPFRA!R$7:R$78,MOPFRA!$L$7:$L$78,"")</f>
        <v>23</v>
      </c>
      <c r="M30" s="1586" t="str">
        <f>_xlfn.XLOOKUP(P30,'Sales Rec'!$E$4:$E$105,'Sales Rec'!$DS$4:$DS$105,"")</f>
        <v>BB</v>
      </c>
      <c r="N30" s="1586" t="str">
        <f>_xlfn.XLOOKUP(P30,'Sales Rec'!$E$4:$E$105,'Sales Rec'!$DZ$4:$DZ$105,"")</f>
        <v>B</v>
      </c>
      <c r="O30" s="382" t="s">
        <v>124</v>
      </c>
      <c r="P30" s="1571" t="s">
        <v>125</v>
      </c>
      <c r="Q30" s="1929">
        <v>9</v>
      </c>
      <c r="R30" s="264">
        <f>VLOOKUP(P30,MOPFRA!$R$7:$CD$56,4,FALSE)</f>
        <v>4100</v>
      </c>
      <c r="S30" s="292">
        <f>_xlfn.XLOOKUP(P30,MOPFRA!$R$7:$R$56,MOPFRA!$V$7:$V$56,"")</f>
        <v>2.76</v>
      </c>
      <c r="T30" s="292">
        <f>_xlfn.XLOOKUP(P30,'دیده بان بازار'!$A$8:$A$3179,'دیده بان بازار'!$L$8:$L$3179,"")</f>
        <v>110</v>
      </c>
      <c r="U30" s="304">
        <f>VLOOKUP(P30,MOPFRA!$R$7:$CD$56,6,FALSE)</f>
        <v>4100</v>
      </c>
      <c r="V30" s="361">
        <f>_xlfn.XLOOKUP(P30,MOPFRA!$R$7:$R$56,MOPFRA!$X$7:$X$56,"")</f>
        <v>2.76</v>
      </c>
      <c r="W30" s="361">
        <f>_xlfn.XLOOKUP(P30,'دیده بان بازار'!$A$8:$A$3179,'دیده بان بازار'!$I$8:$I$3179,"")</f>
        <v>110</v>
      </c>
      <c r="X30" s="2057" t="str">
        <f>_xlfn.XLOOKUP(P30,MOPFRA!$R$7:$R$78,MOPFRA!$P$7:$P$78,"")</f>
        <v>M</v>
      </c>
      <c r="Y30" s="2058">
        <f t="shared" si="3"/>
        <v>3.6049848974958443E-2</v>
      </c>
      <c r="Z30" s="394">
        <f>_xlfn.XLOOKUP(P30,MOPFRA!$R$7:$R$78,MOPFRA!$T$7:$T$78,"")</f>
        <v>51250</v>
      </c>
      <c r="AA30" s="1030">
        <f>_xlfn.XLOOKUP(P30,'Sales Rec'!$E$4:$E$93,'Sales Rec'!$DW$4:$DW$93,"")</f>
        <v>0.85920806805608463</v>
      </c>
      <c r="AB30" s="850">
        <f>_xlfn.XLOOKUP(O30,MOPFRA!$Q$7:$Q$56,MOPFRA!$AA$7:$AA$56,"")</f>
        <v>0.92756130585226415</v>
      </c>
      <c r="AC30" s="1221">
        <f t="shared" ca="1" si="4"/>
        <v>1.2706319258250194</v>
      </c>
      <c r="AD30" s="825">
        <f ca="1">_xlfn.XLOOKUP(P30,MOPFRA!$R$7:$R$56,MOPFRA!$AC$7:$AC$56,"")</f>
        <v>-102.40565833592659</v>
      </c>
      <c r="AE30" s="810" t="str">
        <f>_xlfn.XLOOKUP(O30,MOPFRA!$Q$7:$Q$56,MOPFRA!$AH$7:$AH$56,"")</f>
        <v/>
      </c>
      <c r="AF30" s="599">
        <f t="shared" si="5"/>
        <v>-68.654508196721324</v>
      </c>
      <c r="AG30" s="308">
        <f>_xlfn.XLOOKUP(O30,MOPFRA!$Q$7:$Q$78,MOPFRA!$AM$7:$AM$78,"")</f>
        <v>0</v>
      </c>
      <c r="AH30" s="1935">
        <f ca="1">_xlfn.XLOOKUP(P30,MOPFRA!$R$7:$R$56,MOPFRA!$AI$7:$AI$56,"")</f>
        <v>292</v>
      </c>
      <c r="AI30" s="385"/>
      <c r="AJ30" s="1612">
        <f>_xlfn.XLOOKUP(P30,MOPFRA!$R$7:$R$56,MOPFRA!$AJ$7:$AJ$56,"")</f>
        <v>46166</v>
      </c>
      <c r="AK30" s="1828">
        <f>_xlfn.XLOOKUP(P30,MOPFRA!$R$7:$R$78,MOPFRA!$DY$7:$DY$78,"")</f>
        <v>0</v>
      </c>
      <c r="AL30" s="1829">
        <f>_xlfn.XLOOKUP(P30,MOPFRA!$R$7:$R$58,MOPFRA!$AK$7:$AK$58,"")</f>
        <v>46286</v>
      </c>
      <c r="AM30" s="1825">
        <f>_xlfn.XLOOKUP($P30,MOPFRA!$R$7:$R$56,MOPFRA!$CC$7:$CC$56,"")</f>
        <v>813</v>
      </c>
      <c r="AN30" s="1341">
        <f>_xlfn.XLOOKUP($P30,MOPFRA!$R$7:$R$56,MOPFRA!$BW$7:$BW$56,"")</f>
        <v>3.3342163485410325</v>
      </c>
      <c r="AO30" s="1207">
        <f>_xlfn.XLOOKUP($P30,MOPFRA!$R$7:$R$56,MOPFRA!$CD$7:$CD$56,"")</f>
        <v>5.04</v>
      </c>
      <c r="AP30" s="447" t="s">
        <v>603</v>
      </c>
      <c r="AQ30" s="572">
        <v>2440</v>
      </c>
      <c r="AR30" s="797"/>
      <c r="AS30" s="798"/>
      <c r="AT30" s="329"/>
      <c r="AU30" s="334">
        <f t="shared" si="6"/>
        <v>0</v>
      </c>
      <c r="AV30" s="330">
        <f t="shared" si="7"/>
        <v>0</v>
      </c>
      <c r="AW30" s="272"/>
      <c r="AX30" s="234">
        <f t="shared" si="36"/>
        <v>0</v>
      </c>
      <c r="AY30" s="402">
        <v>0</v>
      </c>
      <c r="AZ30" s="1137">
        <v>0</v>
      </c>
      <c r="BA30" s="342"/>
      <c r="BB30" s="334">
        <f t="shared" si="9"/>
        <v>0</v>
      </c>
      <c r="BC30" s="343">
        <f t="shared" si="10"/>
        <v>0</v>
      </c>
      <c r="BD30" s="272"/>
      <c r="BE30" s="234">
        <f t="shared" si="11"/>
        <v>0</v>
      </c>
      <c r="BF30" s="402"/>
      <c r="BG30" s="1137">
        <v>0</v>
      </c>
      <c r="BH30" s="333"/>
      <c r="BI30" s="334">
        <f t="shared" si="12"/>
        <v>0</v>
      </c>
      <c r="BJ30" s="726">
        <f t="shared" si="13"/>
        <v>0</v>
      </c>
      <c r="BK30" s="272"/>
      <c r="BL30" s="234">
        <f t="shared" si="14"/>
        <v>0</v>
      </c>
      <c r="BM30" s="402"/>
      <c r="BN30" s="1137">
        <v>0</v>
      </c>
      <c r="BP30" s="720">
        <f t="shared" si="15"/>
        <v>0</v>
      </c>
      <c r="BQ30" s="721">
        <f t="shared" si="16"/>
        <v>0</v>
      </c>
      <c r="BR30" s="722">
        <f t="shared" si="32"/>
        <v>0</v>
      </c>
      <c r="BS30" s="604"/>
      <c r="BT30" s="610"/>
      <c r="BU30" s="334">
        <f t="shared" si="37"/>
        <v>0</v>
      </c>
      <c r="BV30" s="612">
        <f t="shared" si="38"/>
        <v>0</v>
      </c>
      <c r="BW30" s="272"/>
      <c r="BX30" s="234">
        <f t="shared" si="39"/>
        <v>0</v>
      </c>
      <c r="BY30" s="402"/>
      <c r="BZ30" s="1137">
        <v>0</v>
      </c>
      <c r="CA30" s="628"/>
      <c r="CB30" s="334">
        <f t="shared" si="40"/>
        <v>0</v>
      </c>
      <c r="CC30" s="630">
        <f t="shared" si="41"/>
        <v>0</v>
      </c>
      <c r="CD30" s="272"/>
      <c r="CE30" s="234">
        <f t="shared" si="42"/>
        <v>0</v>
      </c>
      <c r="CF30" s="402"/>
      <c r="CG30" s="1137">
        <v>0</v>
      </c>
      <c r="CH30" s="1764"/>
      <c r="CI30" s="334">
        <f t="shared" si="23"/>
        <v>0</v>
      </c>
      <c r="CJ30" s="1767">
        <f t="shared" si="24"/>
        <v>0</v>
      </c>
      <c r="CK30" s="272"/>
      <c r="CL30" s="234">
        <f t="shared" si="34"/>
        <v>0</v>
      </c>
      <c r="CM30" s="402"/>
      <c r="CN30" s="1137">
        <v>0</v>
      </c>
      <c r="CO30" s="2074"/>
      <c r="CP30" s="334">
        <f t="shared" si="26"/>
        <v>0</v>
      </c>
      <c r="CQ30" s="2070">
        <f t="shared" si="27"/>
        <v>0</v>
      </c>
      <c r="CR30" s="272"/>
      <c r="CS30" s="234">
        <f t="shared" si="35"/>
        <v>0</v>
      </c>
      <c r="CT30" s="402"/>
      <c r="CU30" s="1137">
        <v>0</v>
      </c>
      <c r="CX30" s="333"/>
      <c r="CY30" s="334">
        <f t="shared" si="29"/>
        <v>0</v>
      </c>
      <c r="CZ30" s="726">
        <f t="shared" si="30"/>
        <v>0</v>
      </c>
      <c r="DA30" s="272"/>
      <c r="DB30" s="234">
        <f t="shared" si="31"/>
        <v>0</v>
      </c>
      <c r="DC30" s="402"/>
      <c r="DD30" s="1137">
        <v>0</v>
      </c>
    </row>
    <row r="31" spans="1:108" ht="36" customHeight="1">
      <c r="A31" s="100">
        <f>_xlfn.XLOOKUP(P31,MOPFRA!R$7:R$78,MOPFRA!A$7:A$78,"")</f>
        <v>8.9948642701746628</v>
      </c>
      <c r="B31" s="99"/>
      <c r="C31" s="2109">
        <f ca="1">_xlfn.XLOOKUP(P31,MOPFRA!R$7:R$78,MOPFRA!$C$7:$C$78,"")</f>
        <v>0.29447764010503813</v>
      </c>
      <c r="D31" s="99"/>
      <c r="E31" s="2120">
        <f>_xlfn.XLOOKUP(P31,MOPFRA!$R$7:$R$56,MOPFRA!$D$7:$D$56,"")</f>
        <v>2.1772699489883491</v>
      </c>
      <c r="F31" s="2110">
        <f>_xlfn.XLOOKUP($P31,MOPFRA!$R$7:$R$56,MOPFRA!$E$7:$E$56,"")</f>
        <v>19.899999999999999</v>
      </c>
      <c r="G31" s="2121">
        <f>_xlfn.XLOOKUP($P31,MOPFRA!$R$7:$R$56,MOPFRA!$F$7:$F$56,"")</f>
        <v>14.700000000000003</v>
      </c>
      <c r="H31" s="2124" cm="1">
        <f t="array" ref="H31">IFERROR(_xlfn.XLOOKUP(P31,'Sales Rec'!$E$37:$E$91,'Sales Rec'!$CU$37:$CU$91*100,""),"")</f>
        <v>1.1074684556152459</v>
      </c>
      <c r="I31" s="2313">
        <f>_xlfn.XLOOKUP(P31,MOPFRA!$R$7:$R$56,MOPFRA!H$7:H$56,"")</f>
        <v>1.1067146282973621</v>
      </c>
      <c r="J31" s="2313">
        <f>_xlfn.XLOOKUP(P31,MOPFRA!$R$7:$R$56,MOPFRA!J$7:J$56,"")</f>
        <v>0.6468699839486356</v>
      </c>
      <c r="K31" s="1942">
        <f>_xlfn.XLOOKUP(P31,'Sales Rec'!$E$4:$E$91,'Sales Rec'!$CV$4:$CV$91,"")</f>
        <v>17</v>
      </c>
      <c r="L31" s="2212">
        <f>_xlfn.XLOOKUP(P31,MOPFRA!R$7:R$78,MOPFRA!$L$7:$L$78,"")</f>
        <v>21</v>
      </c>
      <c r="M31" s="1586" t="str">
        <f>_xlfn.XLOOKUP(P31,'Sales Rec'!$E$4:$E$105,'Sales Rec'!$DS$4:$DS$105,"")</f>
        <v>BB</v>
      </c>
      <c r="N31" s="1586" t="str">
        <f>_xlfn.XLOOKUP(P31,'Sales Rec'!$E$4:$E$105,'Sales Rec'!$DZ$4:$DZ$105,"")</f>
        <v>BB</v>
      </c>
      <c r="O31" s="382" t="s">
        <v>92</v>
      </c>
      <c r="P31" s="1571" t="s">
        <v>93</v>
      </c>
      <c r="Q31" s="1929">
        <v>9</v>
      </c>
      <c r="R31" s="264">
        <f>VLOOKUP(P31,MOPFRA!$R$7:$CD$56,4,FALSE)</f>
        <v>10110</v>
      </c>
      <c r="S31" s="292" t="str">
        <f>_xlfn.XLOOKUP(P31,MOPFRA!$R$7:$R$56,MOPFRA!$V$7:$V$56,"")</f>
        <v/>
      </c>
      <c r="T31" s="292" t="str">
        <f>_xlfn.XLOOKUP(P31,'دیده بان بازار'!$A$8:$A$3179,'دیده بان بازار'!$L$8:$L$3179,"")</f>
        <v/>
      </c>
      <c r="U31" s="304">
        <f>VLOOKUP(P31,MOPFRA!$R$7:$CD$56,6,FALSE)</f>
        <v>10110</v>
      </c>
      <c r="V31" s="361" t="str">
        <f>_xlfn.XLOOKUP(P31,MOPFRA!$R$7:$R$56,MOPFRA!$X$7:$X$56,"")</f>
        <v/>
      </c>
      <c r="W31" s="361" t="str">
        <f>_xlfn.XLOOKUP(P31,'دیده بان بازار'!$A$8:$A$3179,'دیده بان بازار'!$I$8:$I$3179,"")</f>
        <v/>
      </c>
      <c r="X31" s="2057" t="str">
        <f>_xlfn.XLOOKUP(P31,MOPFRA!$R$7:$R$78,MOPFRA!$P$7:$P$78,"")</f>
        <v>DH</v>
      </c>
      <c r="Y31" s="2058">
        <f t="shared" si="3"/>
        <v>1.577659424704566E-2</v>
      </c>
      <c r="Z31" s="394">
        <f>_xlfn.XLOOKUP(P31,MOPFRA!$R$7:$R$78,MOPFRA!$T$7:$T$78,"")</f>
        <v>2123.1</v>
      </c>
      <c r="AA31" s="1030">
        <f>_xlfn.XLOOKUP(P31,'Sales Rec'!$E$4:$E$93,'Sales Rec'!$DW$4:$DW$93,"")</f>
        <v>1.865646258503401</v>
      </c>
      <c r="AB31" s="850">
        <f>_xlfn.XLOOKUP(O31,MOPFRA!$Q$7:$Q$56,MOPFRA!$AA$7:$AA$56,"")</f>
        <v>1.6773013871374527</v>
      </c>
      <c r="AC31" s="1221">
        <f t="shared" ca="1" si="4"/>
        <v>0.99248602789198392</v>
      </c>
      <c r="AD31" s="825">
        <f ca="1">_xlfn.XLOOKUP(P31,MOPFRA!$R$7:$R$56,MOPFRA!$AC$7:$AC$56,"")</f>
        <v>-74.591068542623049</v>
      </c>
      <c r="AE31" s="810">
        <f>_xlfn.XLOOKUP(O31,MOPFRA!$Q$7:$Q$56,MOPFRA!$AH$7:$AH$56,"")</f>
        <v>2.0329999999999999</v>
      </c>
      <c r="AF31" s="599" t="str">
        <f t="shared" si="5"/>
        <v/>
      </c>
      <c r="AG31" s="308">
        <f>_xlfn.XLOOKUP(O31,MOPFRA!$Q$7:$Q$78,MOPFRA!$AM$7:$AM$78,"")</f>
        <v>0</v>
      </c>
      <c r="AH31" s="1935">
        <f ca="1">_xlfn.XLOOKUP(P31,MOPFRA!$R$7:$R$56,MOPFRA!$AI$7:$AI$56,"")</f>
        <v>196</v>
      </c>
      <c r="AI31" s="385"/>
      <c r="AJ31" s="1612">
        <f>_xlfn.XLOOKUP(P31,MOPFRA!$R$7:$R$56,MOPFRA!$AJ$7:$AJ$56,"")</f>
        <v>46070</v>
      </c>
      <c r="AK31" s="1694">
        <f>_xlfn.XLOOKUP(P31,MOPFRA!$R$7:$R$78,MOPFRA!$DY$7:$DY$78,"")</f>
        <v>60</v>
      </c>
      <c r="AL31" s="1829">
        <f>_xlfn.XLOOKUP(P31,MOPFRA!$R$7:$R$58,MOPFRA!$AK$7:$AK$58,"")</f>
        <v>46188</v>
      </c>
      <c r="AM31" s="1825">
        <f>_xlfn.XLOOKUP($P31,MOPFRA!$R$7:$R$56,MOPFRA!$CC$7:$CC$56,"")</f>
        <v>1886</v>
      </c>
      <c r="AN31" s="1341">
        <f>_xlfn.XLOOKUP($P31,MOPFRA!$R$7:$R$56,MOPFRA!$BW$7:$BW$56,"")</f>
        <v>3.1827300510116512</v>
      </c>
      <c r="AO31" s="1207">
        <f>_xlfn.XLOOKUP($P31,MOPFRA!$R$7:$R$56,MOPFRA!$CD$7:$CD$56,"")</f>
        <v>5.36</v>
      </c>
      <c r="AP31" s="447"/>
      <c r="AQ31" s="572"/>
      <c r="AR31" s="572"/>
      <c r="AS31" s="836" t="str">
        <f>IF(AR31&lt;1,"",(U31-AR31)/AR31)</f>
        <v/>
      </c>
      <c r="AT31" s="329"/>
      <c r="AU31" s="334">
        <f t="shared" si="6"/>
        <v>0</v>
      </c>
      <c r="AV31" s="330">
        <f t="shared" si="7"/>
        <v>0</v>
      </c>
      <c r="AW31" s="272"/>
      <c r="AX31" s="234">
        <f t="shared" si="36"/>
        <v>0</v>
      </c>
      <c r="AY31" s="402">
        <v>1246</v>
      </c>
      <c r="AZ31" s="1137">
        <v>0</v>
      </c>
      <c r="BA31" s="342">
        <v>50000</v>
      </c>
      <c r="BB31" s="334">
        <f t="shared" si="9"/>
        <v>50105.159999999996</v>
      </c>
      <c r="BC31" s="343">
        <f t="shared" si="10"/>
        <v>2.2433278941560862E-3</v>
      </c>
      <c r="BD31" s="272">
        <v>50000</v>
      </c>
      <c r="BE31" s="234">
        <f t="shared" si="11"/>
        <v>300</v>
      </c>
      <c r="BF31" s="402"/>
      <c r="BG31" s="1137">
        <v>0</v>
      </c>
      <c r="BH31" s="333"/>
      <c r="BI31" s="334">
        <f t="shared" si="12"/>
        <v>0</v>
      </c>
      <c r="BJ31" s="726">
        <f t="shared" si="13"/>
        <v>0</v>
      </c>
      <c r="BK31" s="310"/>
      <c r="BL31" s="234">
        <f t="shared" si="14"/>
        <v>0</v>
      </c>
      <c r="BM31" s="402"/>
      <c r="BN31" s="1137">
        <v>0</v>
      </c>
      <c r="BP31" s="720">
        <f t="shared" si="15"/>
        <v>50105.159999999996</v>
      </c>
      <c r="BQ31" s="721">
        <f t="shared" si="16"/>
        <v>50000</v>
      </c>
      <c r="BR31" s="722">
        <f t="shared" si="32"/>
        <v>2.1040180245430777E-3</v>
      </c>
      <c r="BS31" s="604"/>
      <c r="BT31" s="610"/>
      <c r="BU31" s="334">
        <f t="shared" si="37"/>
        <v>0</v>
      </c>
      <c r="BV31" s="612">
        <f t="shared" si="38"/>
        <v>0</v>
      </c>
      <c r="BW31" s="272"/>
      <c r="BX31" s="234">
        <f t="shared" si="39"/>
        <v>0</v>
      </c>
      <c r="BY31" s="402"/>
      <c r="BZ31" s="1137">
        <v>0</v>
      </c>
      <c r="CA31" s="628"/>
      <c r="CB31" s="334">
        <f t="shared" si="40"/>
        <v>0</v>
      </c>
      <c r="CC31" s="630">
        <f t="shared" si="41"/>
        <v>0</v>
      </c>
      <c r="CD31" s="272"/>
      <c r="CE31" s="234">
        <f t="shared" si="42"/>
        <v>0</v>
      </c>
      <c r="CF31" s="402"/>
      <c r="CG31" s="1137">
        <v>0</v>
      </c>
      <c r="CH31" s="1764"/>
      <c r="CI31" s="334">
        <f t="shared" si="23"/>
        <v>0</v>
      </c>
      <c r="CJ31" s="1767">
        <f t="shared" si="24"/>
        <v>0</v>
      </c>
      <c r="CK31" s="272"/>
      <c r="CL31" s="234">
        <f t="shared" si="34"/>
        <v>0</v>
      </c>
      <c r="CM31" s="402"/>
      <c r="CN31" s="1137">
        <v>0</v>
      </c>
      <c r="CO31" s="2074"/>
      <c r="CP31" s="334">
        <f t="shared" si="26"/>
        <v>0</v>
      </c>
      <c r="CQ31" s="2070">
        <f t="shared" si="27"/>
        <v>0</v>
      </c>
      <c r="CR31" s="272"/>
      <c r="CS31" s="234">
        <f t="shared" si="35"/>
        <v>0</v>
      </c>
      <c r="CT31" s="402"/>
      <c r="CU31" s="1137">
        <v>0</v>
      </c>
      <c r="CX31" s="333"/>
      <c r="CY31" s="334">
        <f t="shared" si="29"/>
        <v>0</v>
      </c>
      <c r="CZ31" s="726">
        <f t="shared" si="30"/>
        <v>0</v>
      </c>
      <c r="DA31" s="310"/>
      <c r="DB31" s="234">
        <f t="shared" si="31"/>
        <v>0</v>
      </c>
      <c r="DC31" s="402"/>
      <c r="DD31" s="1137">
        <v>0</v>
      </c>
    </row>
    <row r="32" spans="1:108" ht="36" customHeight="1">
      <c r="A32" s="100">
        <f>_xlfn.XLOOKUP(P32,MOPFRA!R$7:R$78,MOPFRA!A$7:A$78,"")</f>
        <v>5.6361761382487128</v>
      </c>
      <c r="B32" s="99"/>
      <c r="C32" s="2109">
        <f ca="1">_xlfn.XLOOKUP(P32,MOPFRA!R$7:R$78,MOPFRA!$C$7:$C$78,"")</f>
        <v>0.13449977365323676</v>
      </c>
      <c r="D32" s="99"/>
      <c r="E32" s="2120">
        <f>_xlfn.XLOOKUP(P32,MOPFRA!$R$7:$R$56,MOPFRA!$D$7:$D$56,"")</f>
        <v>2.5527100395123794</v>
      </c>
      <c r="F32" s="2110">
        <f>_xlfn.XLOOKUP($P32,MOPFRA!$R$7:$R$56,MOPFRA!$E$7:$E$56,"")</f>
        <v>5.1000000000000014</v>
      </c>
      <c r="G32" s="2121">
        <f>_xlfn.XLOOKUP($P32,MOPFRA!$R$7:$R$56,MOPFRA!$F$7:$F$56,"")</f>
        <v>4.3000000000000007</v>
      </c>
      <c r="H32" s="2124" cm="1">
        <f t="array" ref="H32">IFERROR(_xlfn.XLOOKUP(P32,'Sales Rec'!$E$37:$E$91,'Sales Rec'!$CU$37:$CU$91*100,""),"")</f>
        <v>-18.537458123761972</v>
      </c>
      <c r="I32" s="2313">
        <f>_xlfn.XLOOKUP(P32,MOPFRA!$R$7:$R$56,MOPFRA!H$7:H$56,"")</f>
        <v>1.7205542725173211</v>
      </c>
      <c r="J32" s="2313">
        <f>_xlfn.XLOOKUP(P32,MOPFRA!$R$7:$R$56,MOPFRA!J$7:J$56,"")</f>
        <v>0.40083652840711048</v>
      </c>
      <c r="K32" s="1942">
        <f>_xlfn.XLOOKUP(P32,'Sales Rec'!$E$4:$E$91,'Sales Rec'!$CV$4:$CV$91,"")</f>
        <v>9</v>
      </c>
      <c r="L32" s="2212">
        <f>_xlfn.XLOOKUP(P32,MOPFRA!R$7:R$78,MOPFRA!$L$7:$L$78,"")</f>
        <v>26</v>
      </c>
      <c r="M32" s="1586" t="str">
        <f>_xlfn.XLOOKUP(P32,'Sales Rec'!$E$4:$E$105,'Sales Rec'!$DS$4:$DS$105,"")</f>
        <v>BB</v>
      </c>
      <c r="N32" s="1586" t="str">
        <f>_xlfn.XLOOKUP(P32,'Sales Rec'!$E$4:$E$105,'Sales Rec'!$DZ$4:$DZ$105,"")</f>
        <v>B</v>
      </c>
      <c r="O32" s="382" t="s">
        <v>100</v>
      </c>
      <c r="P32" s="1571" t="s">
        <v>101</v>
      </c>
      <c r="Q32" s="1929">
        <v>12</v>
      </c>
      <c r="R32" s="264" t="s">
        <v>609</v>
      </c>
      <c r="S32" s="292">
        <f>_xlfn.XLOOKUP(P32,MOPFRA!$R$7:$R$56,MOPFRA!$V$7:$V$56,"")</f>
        <v>2.94</v>
      </c>
      <c r="T32" s="292">
        <f>_xlfn.XLOOKUP(P32,'دیده بان بازار'!$A$8:$A$3179,'دیده بان بازار'!$L$8:$L$3179,"")</f>
        <v>510</v>
      </c>
      <c r="U32" s="304">
        <f>VLOOKUP(P32,MOPFRA!$R$7:$CD$56,6,FALSE)</f>
        <v>17860</v>
      </c>
      <c r="V32" s="361">
        <f>_xlfn.XLOOKUP(P32,MOPFRA!$R$7:$R$56,MOPFRA!$X$7:$X$56,"")</f>
        <v>3</v>
      </c>
      <c r="W32" s="361">
        <f>_xlfn.XLOOKUP(P32,'دیده بان بازار'!$A$8:$A$3179,'دیده بان بازار'!$I$8:$I$3179,"")</f>
        <v>520</v>
      </c>
      <c r="X32" s="2057" t="str">
        <f>_xlfn.XLOOKUP(P32,MOPFRA!$R$7:$R$78,MOPFRA!$P$7:$P$78,"")</f>
        <v>F</v>
      </c>
      <c r="Y32" s="2058">
        <f t="shared" si="3"/>
        <v>2.3636702178156787E-2</v>
      </c>
      <c r="Z32" s="394">
        <f>_xlfn.XLOOKUP(P32,MOPFRA!$R$7:$R$78,MOPFRA!$T$7:$T$78,"")</f>
        <v>8930</v>
      </c>
      <c r="AA32" s="1030">
        <f>_xlfn.XLOOKUP(P32,'Sales Rec'!$E$4:$E$93,'Sales Rec'!$DW$4:$DW$93,"")</f>
        <v>2.1603907134767835</v>
      </c>
      <c r="AB32" s="850">
        <f>_xlfn.XLOOKUP(O32,MOPFRA!$Q$7:$Q$56,MOPFRA!$AA$7:$AA$56,"")</f>
        <v>1.0180995475113122E-2</v>
      </c>
      <c r="AC32" s="1221">
        <f t="shared" ca="1" si="4"/>
        <v>6.363122171945701E-2</v>
      </c>
      <c r="AD32" s="825">
        <f ca="1">_xlfn.XLOOKUP(P32,MOPFRA!$R$7:$R$56,MOPFRA!$AC$7:$AC$56,"")</f>
        <v>18.294412074629641</v>
      </c>
      <c r="AE32" s="810">
        <f>_xlfn.XLOOKUP(O32,MOPFRA!$Q$7:$Q$56,MOPFRA!$AH$7:$AH$56,"")</f>
        <v>6.3740710156895126</v>
      </c>
      <c r="AF32" s="599">
        <f t="shared" si="5"/>
        <v>4.1602870081750432</v>
      </c>
      <c r="AG32" s="308">
        <f>_xlfn.XLOOKUP(O32,MOPFRA!$Q$7:$Q$78,MOPFRA!$AM$7:$AM$78,"")</f>
        <v>0</v>
      </c>
      <c r="AH32" s="1935">
        <f ca="1">_xlfn.XLOOKUP(P32,MOPFRA!$R$7:$R$56,MOPFRA!$AI$7:$AI$56,"")</f>
        <v>349</v>
      </c>
      <c r="AI32" s="385"/>
      <c r="AJ32" s="1612">
        <f>_xlfn.XLOOKUP(P32,MOPFRA!$R$7:$R$56,MOPFRA!$AJ$7:$AJ$56,"")</f>
        <v>46223</v>
      </c>
      <c r="AK32" s="1691">
        <f>_xlfn.XLOOKUP(P32,MOPFRA!$R$7:$R$78,MOPFRA!$DY$7:$DY$78,"")</f>
        <v>850</v>
      </c>
      <c r="AL32" s="1821">
        <f>_xlfn.XLOOKUP(P32,MOPFRA!$R$7:$R$58,MOPFRA!$AK$7:$AK$58,"")</f>
        <v>46344</v>
      </c>
      <c r="AM32" s="1825">
        <f>_xlfn.XLOOKUP($P32,MOPFRA!$R$7:$R$56,MOPFRA!$CC$7:$CC$56,"")</f>
        <v>2564</v>
      </c>
      <c r="AN32" s="1341">
        <f>_xlfn.XLOOKUP($P32,MOPFRA!$R$7:$R$56,MOPFRA!$BW$7:$BW$56,"")</f>
        <v>4.4072899604876206</v>
      </c>
      <c r="AO32" s="1207">
        <f>_xlfn.XLOOKUP($P32,MOPFRA!$R$7:$R$56,MOPFRA!$CD$7:$CD$56,"")</f>
        <v>6.96</v>
      </c>
      <c r="AP32" s="448" t="s">
        <v>197</v>
      </c>
      <c r="AQ32" s="571">
        <v>17003</v>
      </c>
      <c r="AR32" s="797">
        <v>15552</v>
      </c>
      <c r="AS32" s="798">
        <f>IF(AR32&lt;1,"",(U32-AR32)/AR32)</f>
        <v>0.14840534979423869</v>
      </c>
      <c r="AT32" s="329">
        <v>110000</v>
      </c>
      <c r="AU32" s="334">
        <f t="shared" si="6"/>
        <v>194731.152</v>
      </c>
      <c r="AV32" s="330">
        <f t="shared" si="7"/>
        <v>4.2320952471366436E-3</v>
      </c>
      <c r="AW32" s="310">
        <v>100000</v>
      </c>
      <c r="AX32" s="234">
        <f t="shared" si="36"/>
        <v>8500</v>
      </c>
      <c r="AY32" s="402"/>
      <c r="AZ32" s="1137">
        <v>0</v>
      </c>
      <c r="BA32" s="437">
        <v>50000</v>
      </c>
      <c r="BB32" s="334">
        <f t="shared" si="9"/>
        <v>88514.16</v>
      </c>
      <c r="BC32" s="343">
        <f t="shared" si="10"/>
        <v>3.9629907210314251E-3</v>
      </c>
      <c r="BD32" s="310"/>
      <c r="BE32" s="234">
        <f t="shared" si="11"/>
        <v>0</v>
      </c>
      <c r="BF32" s="402"/>
      <c r="BG32" s="1137">
        <v>0</v>
      </c>
      <c r="BH32" s="718"/>
      <c r="BI32" s="719">
        <f t="shared" si="12"/>
        <v>0</v>
      </c>
      <c r="BJ32" s="726">
        <f t="shared" si="13"/>
        <v>0</v>
      </c>
      <c r="BK32" s="310"/>
      <c r="BL32" s="234">
        <f t="shared" si="14"/>
        <v>0</v>
      </c>
      <c r="BM32" s="402"/>
      <c r="BN32" s="1137">
        <v>0</v>
      </c>
      <c r="BP32" s="720">
        <f t="shared" si="15"/>
        <v>283245.31199999998</v>
      </c>
      <c r="BQ32" s="721">
        <f t="shared" si="16"/>
        <v>160000</v>
      </c>
      <c r="BR32" s="722">
        <f t="shared" si="32"/>
        <v>1.1894049271877939E-2</v>
      </c>
      <c r="BS32" s="605"/>
      <c r="BT32" s="611">
        <v>10000</v>
      </c>
      <c r="BU32" s="334">
        <f t="shared" si="37"/>
        <v>17702.831999999999</v>
      </c>
      <c r="BV32" s="612">
        <f t="shared" si="38"/>
        <v>1.0756906784424035E-2</v>
      </c>
      <c r="BW32" s="310"/>
      <c r="BX32" s="234">
        <f t="shared" si="39"/>
        <v>0</v>
      </c>
      <c r="BY32" s="402"/>
      <c r="BZ32" s="1137">
        <v>0</v>
      </c>
      <c r="CA32" s="633">
        <v>1000</v>
      </c>
      <c r="CB32" s="334">
        <f t="shared" si="40"/>
        <v>1770.2831999999999</v>
      </c>
      <c r="CC32" s="630">
        <f t="shared" si="41"/>
        <v>6.6832337502515781E-3</v>
      </c>
      <c r="CD32" s="272"/>
      <c r="CE32" s="234">
        <f t="shared" si="42"/>
        <v>0</v>
      </c>
      <c r="CF32" s="402"/>
      <c r="CG32" s="1137">
        <v>0</v>
      </c>
      <c r="CH32" s="1772">
        <v>30000</v>
      </c>
      <c r="CI32" s="334">
        <f t="shared" si="23"/>
        <v>53108.495999999999</v>
      </c>
      <c r="CJ32" s="1767">
        <f t="shared" si="24"/>
        <v>4.3723798096276748E-3</v>
      </c>
      <c r="CK32" s="272"/>
      <c r="CL32" s="234">
        <f t="shared" si="34"/>
        <v>0</v>
      </c>
      <c r="CM32" s="402"/>
      <c r="CN32" s="1137">
        <v>0</v>
      </c>
      <c r="CO32" s="2080"/>
      <c r="CP32" s="334">
        <f t="shared" si="26"/>
        <v>0</v>
      </c>
      <c r="CQ32" s="2070">
        <f t="shared" si="27"/>
        <v>0</v>
      </c>
      <c r="CR32" s="272"/>
      <c r="CS32" s="234">
        <f t="shared" si="35"/>
        <v>0</v>
      </c>
      <c r="CT32" s="402"/>
      <c r="CU32" s="1137">
        <v>0</v>
      </c>
      <c r="CX32" s="718"/>
      <c r="CY32" s="719">
        <f t="shared" si="29"/>
        <v>0</v>
      </c>
      <c r="CZ32" s="726">
        <f t="shared" si="30"/>
        <v>0</v>
      </c>
      <c r="DA32" s="310"/>
      <c r="DB32" s="234">
        <f t="shared" si="31"/>
        <v>0</v>
      </c>
      <c r="DC32" s="402"/>
      <c r="DD32" s="1137">
        <v>0</v>
      </c>
    </row>
    <row r="33" spans="1:108" ht="36" customHeight="1">
      <c r="A33" s="100">
        <f>_xlfn.XLOOKUP(P33,MOPFRA!R$7:R$78,MOPFRA!A$7:A$78,"")</f>
        <v>6.6054331585631454</v>
      </c>
      <c r="B33" s="99"/>
      <c r="C33" s="2109">
        <f ca="1">_xlfn.XLOOKUP(P33,MOPFRA!R$7:R$78,MOPFRA!$C$7:$C$78,"")</f>
        <v>0.15042094491526894</v>
      </c>
      <c r="D33" s="99"/>
      <c r="E33" s="2120">
        <f>_xlfn.XLOOKUP(P33,MOPFRA!$R$7:$R$56,MOPFRA!$D$7:$D$56,"")</f>
        <v>3.1130186287097281</v>
      </c>
      <c r="F33" s="2110">
        <f>_xlfn.XLOOKUP($P33,MOPFRA!$R$7:$R$56,MOPFRA!$E$7:$E$56,"")</f>
        <v>4.9999999999999991</v>
      </c>
      <c r="G33" s="2121">
        <f>_xlfn.XLOOKUP($P33,MOPFRA!$R$7:$R$56,MOPFRA!$F$7:$F$56,"")</f>
        <v>5.1999999999999993</v>
      </c>
      <c r="H33" s="2124" cm="1">
        <f t="array" ref="H33">IFERROR(_xlfn.XLOOKUP(P33,'Sales Rec'!$E$37:$E$91,'Sales Rec'!$CU$37:$CU$91*100,""),"")</f>
        <v>-8.5123473406429895</v>
      </c>
      <c r="I33" s="2313">
        <f>_xlfn.XLOOKUP(P33,MOPFRA!$R$7:$R$56,MOPFRA!H$7:H$56,"")</f>
        <v>1.0793477347230394</v>
      </c>
      <c r="J33" s="2313">
        <f>_xlfn.XLOOKUP(P33,MOPFRA!$R$7:$R$56,MOPFRA!J$7:J$56,"")</f>
        <v>1.0616109450031712</v>
      </c>
      <c r="K33" s="1942">
        <f>_xlfn.XLOOKUP(P33,'Sales Rec'!$E$4:$E$91,'Sales Rec'!$CV$4:$CV$91,"")</f>
        <v>21</v>
      </c>
      <c r="L33" s="2212">
        <f>_xlfn.XLOOKUP(P33,MOPFRA!R$7:R$78,MOPFRA!$L$7:$L$78,"")</f>
        <v>24</v>
      </c>
      <c r="M33" s="1586" t="str">
        <f>_xlfn.XLOOKUP(P33,'Sales Rec'!$E$4:$E$105,'Sales Rec'!$DS$4:$DS$105,"")</f>
        <v>BB</v>
      </c>
      <c r="N33" s="1586" t="str">
        <f>_xlfn.XLOOKUP(P33,'Sales Rec'!$E$4:$E$105,'Sales Rec'!$DZ$4:$DZ$105,"")</f>
        <v>BB</v>
      </c>
      <c r="O33" s="382" t="s">
        <v>179</v>
      </c>
      <c r="P33" s="1571" t="s">
        <v>180</v>
      </c>
      <c r="Q33" s="1929">
        <v>12</v>
      </c>
      <c r="R33" s="264">
        <f>VLOOKUP(P33,MOPFRA!$R$7:$CD$56,4,FALSE)</f>
        <v>32300</v>
      </c>
      <c r="S33" s="292" t="str">
        <f>_xlfn.XLOOKUP(P33,MOPFRA!$R$7:$R$56,MOPFRA!$V$7:$V$56,"")</f>
        <v/>
      </c>
      <c r="T33" s="292" t="str">
        <f>_xlfn.XLOOKUP(P33,'دیده بان بازار'!$A$8:$A$3179,'دیده بان بازار'!$L$8:$L$3179,"")</f>
        <v/>
      </c>
      <c r="U33" s="304">
        <f>VLOOKUP(P33,MOPFRA!$R$7:$CD$56,6,FALSE)</f>
        <v>32300</v>
      </c>
      <c r="V33" s="361" t="str">
        <f>_xlfn.XLOOKUP(P33,MOPFRA!$R$7:$R$56,MOPFRA!$X$7:$X$56,"")</f>
        <v/>
      </c>
      <c r="W33" s="361" t="str">
        <f>_xlfn.XLOOKUP(P33,'دیده بان بازار'!$A$8:$A$3179,'دیده بان بازار'!$I$8:$I$3179,"")</f>
        <v/>
      </c>
      <c r="X33" s="2057" t="str">
        <f>_xlfn.XLOOKUP(P33,MOPFRA!$R$7:$R$78,MOPFRA!$P$7:$P$78,"")</f>
        <v>L</v>
      </c>
      <c r="Y33" s="2058">
        <f t="shared" si="3"/>
        <v>1.234472412869859E-2</v>
      </c>
      <c r="Z33" s="394">
        <f>_xlfn.XLOOKUP(P33,MOPFRA!$R$7:$R$78,MOPFRA!$T$7:$T$78,"")</f>
        <v>58140</v>
      </c>
      <c r="AA33" s="1030">
        <f>_xlfn.XLOOKUP(P33,'Sales Rec'!$E$4:$E$93,'Sales Rec'!$DW$4:$DW$93,"")</f>
        <v>1.4340617935192164</v>
      </c>
      <c r="AB33" s="850">
        <f>_xlfn.XLOOKUP(O33,MOPFRA!$Q$7:$Q$56,MOPFRA!$AA$7:$AA$56,"")</f>
        <v>0</v>
      </c>
      <c r="AC33" s="1221">
        <f t="shared" ca="1" si="4"/>
        <v>0</v>
      </c>
      <c r="AD33" s="825">
        <f ca="1">_xlfn.XLOOKUP(P33,MOPFRA!$R$7:$R$56,MOPFRA!$AC$7:$AC$56,"")</f>
        <v>24.657534246575342</v>
      </c>
      <c r="AE33" s="810">
        <f>_xlfn.XLOOKUP(O33,MOPFRA!$Q$7:$Q$56,MOPFRA!$AH$7:$AH$56,"")</f>
        <v>2.8338278931750742</v>
      </c>
      <c r="AF33" s="599">
        <f t="shared" si="5"/>
        <v>-37.832192508821912</v>
      </c>
      <c r="AG33" s="308">
        <f>_xlfn.XLOOKUP(O33,MOPFRA!$Q$7:$Q$78,MOPFRA!$AM$7:$AM$78,"")</f>
        <v>0</v>
      </c>
      <c r="AH33" s="1935">
        <f ca="1">_xlfn.XLOOKUP(P33,MOPFRA!$R$7:$R$56,MOPFRA!$AI$7:$AI$56,"")</f>
        <v>356</v>
      </c>
      <c r="AI33" s="385"/>
      <c r="AJ33" s="1612">
        <f>_xlfn.XLOOKUP(P33,MOPFRA!$R$7:$R$56,MOPFRA!$AJ$7:$AJ$56,"")</f>
        <v>46230</v>
      </c>
      <c r="AK33" s="1691">
        <f>_xlfn.XLOOKUP(P33,MOPFRA!$R$7:$R$78,MOPFRA!$DY$7:$DY$78,"")</f>
        <v>3000</v>
      </c>
      <c r="AL33" s="1821">
        <f>_xlfn.XLOOKUP(P33,MOPFRA!$R$7:$R$58,MOPFRA!$AK$7:$AK$58,"")</f>
        <v>46270</v>
      </c>
      <c r="AM33" s="1825">
        <f>_xlfn.XLOOKUP($P33,MOPFRA!$R$7:$R$56,MOPFRA!$CC$7:$CC$56,"")</f>
        <v>4271</v>
      </c>
      <c r="AN33" s="1341">
        <f>_xlfn.XLOOKUP($P33,MOPFRA!$R$7:$R$56,MOPFRA!$BW$7:$BW$56,"")</f>
        <v>5.1569813712902715</v>
      </c>
      <c r="AO33" s="1207">
        <f>_xlfn.XLOOKUP($P33,MOPFRA!$R$7:$R$56,MOPFRA!$CD$7:$CD$56,"")</f>
        <v>8.27</v>
      </c>
      <c r="AP33" s="447" t="s">
        <v>603</v>
      </c>
      <c r="AQ33" s="572">
        <v>23521</v>
      </c>
      <c r="AR33" s="797">
        <v>20719</v>
      </c>
      <c r="AS33" s="798">
        <f>IF(AR33&lt;1,"",(U33-AR33)/AR33)</f>
        <v>0.55895554804768566</v>
      </c>
      <c r="AT33" s="329">
        <v>70000</v>
      </c>
      <c r="AU33" s="334">
        <f t="shared" si="6"/>
        <v>224110.32</v>
      </c>
      <c r="AV33" s="330">
        <f t="shared" si="7"/>
        <v>4.8705931761050354E-3</v>
      </c>
      <c r="AW33" s="272">
        <v>70000</v>
      </c>
      <c r="AX33" s="234">
        <f t="shared" si="36"/>
        <v>21000</v>
      </c>
      <c r="AY33" s="402"/>
      <c r="AZ33" s="1137">
        <v>0</v>
      </c>
      <c r="BA33" s="342"/>
      <c r="BB33" s="334">
        <f t="shared" si="9"/>
        <v>0</v>
      </c>
      <c r="BC33" s="343">
        <f t="shared" si="10"/>
        <v>0</v>
      </c>
      <c r="BD33" s="272"/>
      <c r="BE33" s="234">
        <f t="shared" si="11"/>
        <v>0</v>
      </c>
      <c r="BF33" s="402"/>
      <c r="BG33" s="1137">
        <v>0</v>
      </c>
      <c r="BH33" s="333"/>
      <c r="BI33" s="334">
        <f t="shared" si="12"/>
        <v>0</v>
      </c>
      <c r="BJ33" s="726">
        <f t="shared" si="13"/>
        <v>0</v>
      </c>
      <c r="BK33" s="310"/>
      <c r="BL33" s="234">
        <f t="shared" si="14"/>
        <v>0</v>
      </c>
      <c r="BM33" s="402"/>
      <c r="BN33" s="1137">
        <v>0</v>
      </c>
      <c r="BP33" s="720">
        <f t="shared" si="15"/>
        <v>224110.32</v>
      </c>
      <c r="BQ33" s="721">
        <f t="shared" si="16"/>
        <v>70000</v>
      </c>
      <c r="BR33" s="722">
        <f t="shared" si="32"/>
        <v>9.4108501552757646E-3</v>
      </c>
      <c r="BS33" s="604"/>
      <c r="BT33" s="610"/>
      <c r="BU33" s="334">
        <f t="shared" si="37"/>
        <v>0</v>
      </c>
      <c r="BV33" s="612">
        <f t="shared" si="38"/>
        <v>0</v>
      </c>
      <c r="BW33" s="272"/>
      <c r="BX33" s="234">
        <f t="shared" si="39"/>
        <v>0</v>
      </c>
      <c r="BY33" s="402"/>
      <c r="BZ33" s="1137">
        <v>0</v>
      </c>
      <c r="CA33" s="628"/>
      <c r="CB33" s="334">
        <f t="shared" si="40"/>
        <v>0</v>
      </c>
      <c r="CC33" s="630">
        <f t="shared" si="41"/>
        <v>0</v>
      </c>
      <c r="CD33" s="272"/>
      <c r="CE33" s="234">
        <f t="shared" si="42"/>
        <v>0</v>
      </c>
      <c r="CF33" s="402"/>
      <c r="CG33" s="1137">
        <v>0</v>
      </c>
      <c r="CH33" s="1764"/>
      <c r="CI33" s="334">
        <f t="shared" si="23"/>
        <v>0</v>
      </c>
      <c r="CJ33" s="1767">
        <f t="shared" si="24"/>
        <v>0</v>
      </c>
      <c r="CK33" s="272"/>
      <c r="CL33" s="234">
        <f t="shared" si="34"/>
        <v>0</v>
      </c>
      <c r="CM33" s="402"/>
      <c r="CN33" s="1137">
        <v>0</v>
      </c>
      <c r="CO33" s="2074"/>
      <c r="CP33" s="334">
        <f t="shared" si="26"/>
        <v>0</v>
      </c>
      <c r="CQ33" s="2070">
        <f t="shared" si="27"/>
        <v>0</v>
      </c>
      <c r="CR33" s="272"/>
      <c r="CS33" s="234">
        <f t="shared" si="35"/>
        <v>0</v>
      </c>
      <c r="CT33" s="402"/>
      <c r="CU33" s="1137">
        <v>0</v>
      </c>
      <c r="CX33" s="333"/>
      <c r="CY33" s="334">
        <f t="shared" si="29"/>
        <v>0</v>
      </c>
      <c r="CZ33" s="726">
        <f t="shared" si="30"/>
        <v>0</v>
      </c>
      <c r="DA33" s="310"/>
      <c r="DB33" s="234">
        <f t="shared" si="31"/>
        <v>0</v>
      </c>
      <c r="DC33" s="402"/>
      <c r="DD33" s="1137">
        <v>0</v>
      </c>
    </row>
    <row r="34" spans="1:108" ht="36" customHeight="1">
      <c r="A34" s="100">
        <f>_xlfn.XLOOKUP(P34,MOPFRA!R$7:R$78,MOPFRA!A$7:A$78,"")</f>
        <v>3.7897457124291933</v>
      </c>
      <c r="B34" s="99"/>
      <c r="C34" s="2109">
        <f ca="1">_xlfn.XLOOKUP(P34,MOPFRA!R$7:R$78,MOPFRA!$C$7:$C$78,"")</f>
        <v>0.21230822490016568</v>
      </c>
      <c r="D34" s="99"/>
      <c r="E34" s="2120">
        <f>_xlfn.XLOOKUP(P34,MOPFRA!$R$7:$R$56,MOPFRA!$D$7:$D$56,"")</f>
        <v>-0.73999564825824748</v>
      </c>
      <c r="F34" s="2110">
        <f>_xlfn.XLOOKUP($P34,MOPFRA!$R$7:$R$56,MOPFRA!$E$7:$E$56,"")</f>
        <v>3.2999999999999972</v>
      </c>
      <c r="G34" s="2121">
        <f>_xlfn.XLOOKUP($P34,MOPFRA!$R$7:$R$56,MOPFRA!$F$7:$F$56,"")</f>
        <v>4.299999999999998</v>
      </c>
      <c r="H34" s="2124" cm="1">
        <f t="array" ref="H34">IFERROR(_xlfn.XLOOKUP(P34,'Sales Rec'!$E$37:$E$91,'Sales Rec'!$CU$37:$CU$91*100,""),"")</f>
        <v>-10.649619536801779</v>
      </c>
      <c r="I34" s="2313">
        <f>_xlfn.XLOOKUP(P34,MOPFRA!$R$7:$R$56,MOPFRA!H$7:H$56,"")</f>
        <v>0.61666779378282721</v>
      </c>
      <c r="J34" s="2313">
        <f>_xlfn.XLOOKUP(P34,MOPFRA!$R$7:$R$56,MOPFRA!J$7:J$56,"")</f>
        <v>-0.63971692043748662</v>
      </c>
      <c r="K34" s="1942">
        <f>_xlfn.XLOOKUP(P34,'Sales Rec'!$E$4:$E$91,'Sales Rec'!$CV$4:$CV$91,"")</f>
        <v>33</v>
      </c>
      <c r="L34" s="2212">
        <f>_xlfn.XLOOKUP(P34,MOPFRA!R$7:R$78,MOPFRA!$L$7:$L$78,"")</f>
        <v>32</v>
      </c>
      <c r="M34" s="1586" t="str">
        <f>_xlfn.XLOOKUP(P34,'Sales Rec'!$E$4:$E$105,'Sales Rec'!$DS$4:$DS$105,"")</f>
        <v>N</v>
      </c>
      <c r="N34" s="1586" t="str">
        <f>_xlfn.XLOOKUP(P34,'Sales Rec'!$E$4:$E$105,'Sales Rec'!$DZ$4:$DZ$105,"")</f>
        <v>N</v>
      </c>
      <c r="O34" s="382" t="s">
        <v>142</v>
      </c>
      <c r="P34" s="1571" t="s">
        <v>143</v>
      </c>
      <c r="Q34" s="1929">
        <v>6</v>
      </c>
      <c r="R34" s="264">
        <f>VLOOKUP(P34,MOPFRA!$R$7:$CD$56,4,FALSE)</f>
        <v>10930</v>
      </c>
      <c r="S34" s="292">
        <f>_xlfn.XLOOKUP(P34,MOPFRA!$R$7:$R$56,MOPFRA!$V$7:$V$56,"")</f>
        <v>2.92</v>
      </c>
      <c r="T34" s="292">
        <f>_xlfn.XLOOKUP(P34,'دیده بان بازار'!$A$8:$A$3179,'دیده بان بازار'!$L$8:$L$3179,"")</f>
        <v>310</v>
      </c>
      <c r="U34" s="304">
        <f>VLOOKUP(P34,MOPFRA!$R$7:$CD$56,6,FALSE)</f>
        <v>10930</v>
      </c>
      <c r="V34" s="361">
        <f>_xlfn.XLOOKUP(P34,MOPFRA!$R$7:$R$56,MOPFRA!$X$7:$X$56,"")</f>
        <v>2.92</v>
      </c>
      <c r="W34" s="361">
        <f>_xlfn.XLOOKUP(P34,'دیده بان بازار'!$A$8:$A$3179,'دیده بان بازار'!$I$8:$I$3179,"")</f>
        <v>310</v>
      </c>
      <c r="X34" s="2057" t="str">
        <f>_xlfn.XLOOKUP(P34,MOPFRA!$R$7:$R$78,MOPFRA!$P$7:$P$78,"")</f>
        <v>PUR</v>
      </c>
      <c r="Y34" s="2058">
        <f t="shared" si="3"/>
        <v>7.7311242148267846E-3</v>
      </c>
      <c r="Z34" s="394">
        <f>_xlfn.XLOOKUP(P34,MOPFRA!$R$7:$R$78,MOPFRA!$T$7:$T$78,"")</f>
        <v>255295.0704</v>
      </c>
      <c r="AA34" s="1030">
        <f>_xlfn.XLOOKUP(P34,'Sales Rec'!$E$4:$E$93,'Sales Rec'!$DW$4:$DW$93,"")</f>
        <v>0.64098802113463682</v>
      </c>
      <c r="AB34" s="850">
        <f>_xlfn.XLOOKUP(O34,MOPFRA!$Q$7:$Q$56,MOPFRA!$AA$7:$AA$56,"")</f>
        <v>0.22064313500487692</v>
      </c>
      <c r="AC34" s="1221">
        <f t="shared" ca="1" si="4"/>
        <v>9.3890695746756139E-2</v>
      </c>
      <c r="AD34" s="825">
        <f ca="1">_xlfn.XLOOKUP(P34,MOPFRA!$R$7:$R$56,MOPFRA!$AC$7:$AC$56,"")</f>
        <v>15.268464671899729</v>
      </c>
      <c r="AE34" s="810">
        <f>_xlfn.XLOOKUP(O34,MOPFRA!$Q$7:$Q$56,MOPFRA!$AH$7:$AH$56,"")</f>
        <v>1.2992098994920567</v>
      </c>
      <c r="AF34" s="599">
        <f t="shared" si="5"/>
        <v>16.846501932843168</v>
      </c>
      <c r="AG34" s="308">
        <f>_xlfn.XLOOKUP(O34,MOPFRA!$Q$7:$Q$78,MOPFRA!$AM$7:$AM$78,"")</f>
        <v>0</v>
      </c>
      <c r="AH34" s="1935">
        <f ca="1">_xlfn.XLOOKUP(P34,MOPFRA!$R$7:$R$56,MOPFRA!$AI$7:$AI$56,"")</f>
        <v>130</v>
      </c>
      <c r="AI34" s="385"/>
      <c r="AJ34" s="1612">
        <f>_xlfn.XLOOKUP(P34,MOPFRA!$R$7:$R$56,MOPFRA!$AJ$7:$AJ$56,"")</f>
        <v>46004</v>
      </c>
      <c r="AK34" s="1828">
        <f>_xlfn.XLOOKUP(P34,MOPFRA!$R$7:$R$78,MOPFRA!$DY$7:$DY$78,"")</f>
        <v>11000</v>
      </c>
      <c r="AL34" s="1829">
        <f>_xlfn.XLOOKUP(P34,MOPFRA!$R$7:$R$58,MOPFRA!$AK$7:$AK$58,"")</f>
        <v>46117</v>
      </c>
      <c r="AM34" s="1825">
        <f>_xlfn.XLOOKUP($P34,MOPFRA!$R$7:$R$56,MOPFRA!$CC$7:$CC$56,"")</f>
        <v>1879</v>
      </c>
      <c r="AN34" s="1341">
        <f>_xlfn.XLOOKUP($P34,MOPFRA!$R$7:$R$56,MOPFRA!$BW$7:$BW$56,"")</f>
        <v>6.5599956482582478</v>
      </c>
      <c r="AO34" s="1207">
        <f>_xlfn.XLOOKUP($P34,MOPFRA!$R$7:$R$56,MOPFRA!$CD$7:$CD$56,"")</f>
        <v>5.82</v>
      </c>
      <c r="AP34" s="447" t="s">
        <v>603</v>
      </c>
      <c r="AQ34" s="572">
        <v>13193</v>
      </c>
      <c r="AR34" s="797">
        <v>4423</v>
      </c>
      <c r="AS34" s="798">
        <f>IF(AR34&lt;1,"",(U34-AR34)/AR34)</f>
        <v>1.4711734117115081</v>
      </c>
      <c r="AT34" s="329">
        <v>210000</v>
      </c>
      <c r="AU34" s="334">
        <f t="shared" si="6"/>
        <v>227510.136</v>
      </c>
      <c r="AV34" s="330">
        <f t="shared" si="7"/>
        <v>4.9444814317177741E-3</v>
      </c>
      <c r="AW34" s="272"/>
      <c r="AX34" s="234">
        <f t="shared" si="36"/>
        <v>0</v>
      </c>
      <c r="AY34" s="402">
        <v>188900</v>
      </c>
      <c r="AZ34" s="1137">
        <v>0</v>
      </c>
      <c r="BA34" s="342">
        <v>180000</v>
      </c>
      <c r="BB34" s="334">
        <f t="shared" si="9"/>
        <v>195008.68799999999</v>
      </c>
      <c r="BC34" s="343">
        <f t="shared" si="10"/>
        <v>8.7310055370181695E-3</v>
      </c>
      <c r="BD34" s="272"/>
      <c r="BE34" s="234">
        <f t="shared" si="11"/>
        <v>0</v>
      </c>
      <c r="BF34" s="402">
        <v>63940</v>
      </c>
      <c r="BG34" s="1137">
        <v>0</v>
      </c>
      <c r="BH34" s="333">
        <v>33000</v>
      </c>
      <c r="BI34" s="334">
        <f t="shared" si="12"/>
        <v>35751.592799999999</v>
      </c>
      <c r="BJ34" s="726">
        <f t="shared" si="13"/>
        <v>2.3140263384497702E-2</v>
      </c>
      <c r="BK34" s="310"/>
      <c r="BL34" s="234">
        <f t="shared" si="14"/>
        <v>0</v>
      </c>
      <c r="BM34" s="402">
        <v>15325</v>
      </c>
      <c r="BN34" s="1137">
        <v>0</v>
      </c>
      <c r="BP34" s="720">
        <f t="shared" si="15"/>
        <v>458270.41680000001</v>
      </c>
      <c r="BQ34" s="721">
        <f t="shared" si="16"/>
        <v>423000</v>
      </c>
      <c r="BR34" s="722">
        <f t="shared" si="32"/>
        <v>1.9243710968332779E-2</v>
      </c>
      <c r="BS34" s="604"/>
      <c r="BT34" s="610"/>
      <c r="BU34" s="334">
        <f t="shared" si="37"/>
        <v>0</v>
      </c>
      <c r="BV34" s="612">
        <f t="shared" si="38"/>
        <v>0</v>
      </c>
      <c r="BW34" s="272"/>
      <c r="BX34" s="234">
        <f t="shared" si="39"/>
        <v>0</v>
      </c>
      <c r="BY34" s="402"/>
      <c r="BZ34" s="1137">
        <v>0</v>
      </c>
      <c r="CA34" s="628"/>
      <c r="CB34" s="334">
        <f t="shared" si="40"/>
        <v>0</v>
      </c>
      <c r="CC34" s="630">
        <f t="shared" si="41"/>
        <v>0</v>
      </c>
      <c r="CD34" s="272"/>
      <c r="CE34" s="234">
        <f t="shared" si="42"/>
        <v>0</v>
      </c>
      <c r="CF34" s="402">
        <v>1375</v>
      </c>
      <c r="CG34" s="1137">
        <v>0</v>
      </c>
      <c r="CH34" s="1764"/>
      <c r="CI34" s="334">
        <f t="shared" si="23"/>
        <v>0</v>
      </c>
      <c r="CJ34" s="1767">
        <f t="shared" si="24"/>
        <v>0</v>
      </c>
      <c r="CK34" s="272"/>
      <c r="CL34" s="234">
        <f t="shared" si="34"/>
        <v>0</v>
      </c>
      <c r="CM34" s="402"/>
      <c r="CN34" s="1137">
        <v>0</v>
      </c>
      <c r="CO34" s="2074"/>
      <c r="CP34" s="334">
        <f t="shared" si="26"/>
        <v>0</v>
      </c>
      <c r="CQ34" s="2070">
        <f t="shared" si="27"/>
        <v>0</v>
      </c>
      <c r="CR34" s="272"/>
      <c r="CS34" s="234">
        <f t="shared" si="35"/>
        <v>0</v>
      </c>
      <c r="CT34" s="402"/>
      <c r="CU34" s="1137">
        <v>0</v>
      </c>
      <c r="CX34" s="333">
        <v>33000</v>
      </c>
      <c r="CY34" s="334">
        <f t="shared" si="29"/>
        <v>35751.592799999999</v>
      </c>
      <c r="CZ34" s="726">
        <f t="shared" si="30"/>
        <v>2.3140263384497702E-2</v>
      </c>
      <c r="DA34" s="310"/>
      <c r="DB34" s="234">
        <f t="shared" si="31"/>
        <v>0</v>
      </c>
      <c r="DC34" s="402">
        <v>15325</v>
      </c>
      <c r="DD34" s="1137">
        <v>0</v>
      </c>
    </row>
    <row r="35" spans="1:108" ht="36" customHeight="1">
      <c r="A35" s="100">
        <f>_xlfn.XLOOKUP(P35,MOPFRA!R$7:R$78,MOPFRA!A$7:A$78,"")</f>
        <v>2.361815286894287</v>
      </c>
      <c r="B35" s="99"/>
      <c r="C35" s="2109">
        <f ca="1">_xlfn.XLOOKUP(P35,MOPFRA!R$7:R$78,MOPFRA!$C$7:$C$78,"")</f>
        <v>0.18254715810656075</v>
      </c>
      <c r="D35" s="99"/>
      <c r="E35" s="2120">
        <f>_xlfn.XLOOKUP(P35,MOPFRA!$R$7:$R$56,MOPFRA!$D$7:$D$56,"")</f>
        <v>-0.18660680866113744</v>
      </c>
      <c r="F35" s="2110">
        <f>_xlfn.XLOOKUP($P35,MOPFRA!$R$7:$R$56,MOPFRA!$E$7:$E$56,"")</f>
        <v>6.1999999999999975</v>
      </c>
      <c r="G35" s="2121">
        <f>_xlfn.XLOOKUP($P35,MOPFRA!$R$7:$R$56,MOPFRA!$F$7:$F$56,"")</f>
        <v>4.299999999999998</v>
      </c>
      <c r="H35" s="2124" cm="1">
        <f t="array" ref="H35">IFERROR(_xlfn.XLOOKUP(P35,'Sales Rec'!$E$37:$E$91,'Sales Rec'!$CU$37:$CU$91*100,""),"")</f>
        <v>-15.14472482762404</v>
      </c>
      <c r="I35" s="2313">
        <f>_xlfn.XLOOKUP(P35,MOPFRA!$R$7:$R$56,MOPFRA!H$7:H$56,"")</f>
        <v>0.4131054131054131</v>
      </c>
      <c r="J35" s="2313">
        <f>_xlfn.XLOOKUP(P35,MOPFRA!$R$7:$R$56,MOPFRA!J$7:J$56,"")</f>
        <v>0.27752048450302813</v>
      </c>
      <c r="K35" s="1942">
        <f>_xlfn.XLOOKUP(P35,'Sales Rec'!$E$4:$E$91,'Sales Rec'!$CV$4:$CV$91,"")</f>
        <v>39</v>
      </c>
      <c r="L35" s="2212">
        <f>_xlfn.XLOOKUP(P35,MOPFRA!R$7:R$78,MOPFRA!$L$7:$L$78,"")</f>
        <v>37</v>
      </c>
      <c r="M35" s="1586" t="str">
        <f>_xlfn.XLOOKUP(P35,'Sales Rec'!$E$4:$E$105,'Sales Rec'!$DS$4:$DS$105,"")</f>
        <v>N</v>
      </c>
      <c r="N35" s="1586" t="str">
        <f>_xlfn.XLOOKUP(P35,'Sales Rec'!$E$4:$E$105,'Sales Rec'!$DZ$4:$DZ$105,"")</f>
        <v>B</v>
      </c>
      <c r="O35" s="382" t="s">
        <v>104</v>
      </c>
      <c r="P35" s="1571" t="s">
        <v>105</v>
      </c>
      <c r="Q35" s="1929">
        <v>12</v>
      </c>
      <c r="R35" s="264">
        <f>VLOOKUP(P35,MOPFRA!$R$7:$CD$56,4,FALSE)</f>
        <v>3361</v>
      </c>
      <c r="S35" s="292">
        <f>_xlfn.XLOOKUP(P35,MOPFRA!$R$7:$R$56,MOPFRA!$V$7:$V$56,"")</f>
        <v>2.97</v>
      </c>
      <c r="T35" s="292">
        <f>_xlfn.XLOOKUP(P35,'دیده بان بازار'!$A$8:$A$3179,'دیده بان بازار'!$L$8:$L$3179,"")</f>
        <v>97</v>
      </c>
      <c r="U35" s="304">
        <f>VLOOKUP(P35,MOPFRA!$R$7:$CD$56,6,FALSE)</f>
        <v>3361</v>
      </c>
      <c r="V35" s="361">
        <f>_xlfn.XLOOKUP(P35,MOPFRA!$R$7:$R$56,MOPFRA!$X$7:$X$56,"")</f>
        <v>2.97</v>
      </c>
      <c r="W35" s="361">
        <f>_xlfn.XLOOKUP(P35,'دیده بان بازار'!$A$8:$A$3179,'دیده بان بازار'!$I$8:$I$3179,"")</f>
        <v>97</v>
      </c>
      <c r="X35" s="2057" t="str">
        <f>_xlfn.XLOOKUP(P35,MOPFRA!$R$7:$R$78,MOPFRA!$P$7:$P$78,"")</f>
        <v>F</v>
      </c>
      <c r="Y35" s="2058">
        <f t="shared" si="3"/>
        <v>2.3636702178156787E-2</v>
      </c>
      <c r="Z35" s="394">
        <f>_xlfn.XLOOKUP(P35,MOPFRA!$R$7:$R$78,MOPFRA!$T$7:$T$78,"")</f>
        <v>14452.3</v>
      </c>
      <c r="AA35" s="1030">
        <f>_xlfn.XLOOKUP(P35,'Sales Rec'!$E$4:$E$93,'Sales Rec'!$DW$4:$DW$93,"")</f>
        <v>2.3806549707602338</v>
      </c>
      <c r="AB35" s="850">
        <f>_xlfn.XLOOKUP(O35,MOPFRA!$Q$7:$Q$56,MOPFRA!$AA$7:$AA$56,"")</f>
        <v>0.26541458716399607</v>
      </c>
      <c r="AC35" s="1221">
        <f t="shared" ca="1" si="4"/>
        <v>1.895818479742829</v>
      </c>
      <c r="AD35" s="825">
        <f ca="1">_xlfn.XLOOKUP(P35,MOPFRA!$R$7:$R$56,MOPFRA!$AC$7:$AC$56,"")</f>
        <v>-164.92431372770758</v>
      </c>
      <c r="AE35" s="810">
        <f>_xlfn.XLOOKUP(O35,MOPFRA!$Q$7:$Q$56,MOPFRA!$AH$7:$AH$56,"")</f>
        <v>1.3183028553095923</v>
      </c>
      <c r="AF35" s="599">
        <f t="shared" si="5"/>
        <v>-3.1631712538226298</v>
      </c>
      <c r="AG35" s="308">
        <f>_xlfn.XLOOKUP(O35,MOPFRA!$Q$7:$Q$78,MOPFRA!$AM$7:$AM$78,"")</f>
        <v>0</v>
      </c>
      <c r="AH35" s="1935">
        <f ca="1">_xlfn.XLOOKUP(P35,MOPFRA!$R$7:$R$56,MOPFRA!$AI$7:$AI$56,"")</f>
        <v>351</v>
      </c>
      <c r="AI35" s="385"/>
      <c r="AJ35" s="1612">
        <f>_xlfn.XLOOKUP(P35,MOPFRA!$R$7:$R$56,MOPFRA!$AJ$7:$AJ$56,"")</f>
        <v>46225</v>
      </c>
      <c r="AK35" s="1691">
        <f>_xlfn.XLOOKUP(P35,MOPFRA!$R$7:$R$78,MOPFRA!$DY$7:$DY$78,"")</f>
        <v>250</v>
      </c>
      <c r="AL35" s="1821">
        <f>_xlfn.XLOOKUP(P35,MOPFRA!$R$7:$R$58,MOPFRA!$AK$7:$AK$58,"")</f>
        <v>46338</v>
      </c>
      <c r="AM35" s="1825">
        <f>_xlfn.XLOOKUP($P35,MOPFRA!$R$7:$R$56,MOPFRA!$CC$7:$CC$56,"")</f>
        <v>620</v>
      </c>
      <c r="AN35" s="1341">
        <f>_xlfn.XLOOKUP($P35,MOPFRA!$R$7:$R$56,MOPFRA!$BW$7:$BW$56,"")</f>
        <v>5.6066068086611374</v>
      </c>
      <c r="AO35" s="1207">
        <f>_xlfn.XLOOKUP($P35,MOPFRA!$R$7:$R$56,MOPFRA!$CD$7:$CD$56,"")</f>
        <v>5.42</v>
      </c>
      <c r="AP35" s="447" t="s">
        <v>603</v>
      </c>
      <c r="AQ35" s="572">
        <v>3270</v>
      </c>
      <c r="AR35" s="797"/>
      <c r="AS35" s="798"/>
      <c r="AT35" s="329"/>
      <c r="AU35" s="334">
        <f t="shared" si="6"/>
        <v>0</v>
      </c>
      <c r="AV35" s="330">
        <f t="shared" si="7"/>
        <v>0</v>
      </c>
      <c r="AW35" s="272"/>
      <c r="AX35" s="234">
        <f t="shared" si="36"/>
        <v>0</v>
      </c>
      <c r="AY35" s="402">
        <v>350</v>
      </c>
      <c r="AZ35" s="1137">
        <v>0</v>
      </c>
      <c r="BA35" s="342"/>
      <c r="BB35" s="334">
        <f t="shared" si="9"/>
        <v>0</v>
      </c>
      <c r="BC35" s="343">
        <f t="shared" si="10"/>
        <v>0</v>
      </c>
      <c r="BD35" s="272"/>
      <c r="BE35" s="234">
        <f t="shared" si="11"/>
        <v>0</v>
      </c>
      <c r="BF35" s="402"/>
      <c r="BG35" s="1137">
        <v>0</v>
      </c>
      <c r="BH35" s="333"/>
      <c r="BI35" s="334">
        <f t="shared" si="12"/>
        <v>0</v>
      </c>
      <c r="BJ35" s="726">
        <f t="shared" si="13"/>
        <v>0</v>
      </c>
      <c r="BK35" s="272"/>
      <c r="BL35" s="234">
        <f t="shared" si="14"/>
        <v>0</v>
      </c>
      <c r="BM35" s="402"/>
      <c r="BN35" s="1137">
        <v>0</v>
      </c>
      <c r="BP35" s="720">
        <f t="shared" si="15"/>
        <v>0</v>
      </c>
      <c r="BQ35" s="721">
        <f t="shared" si="16"/>
        <v>0</v>
      </c>
      <c r="BR35" s="722">
        <f t="shared" si="32"/>
        <v>0</v>
      </c>
      <c r="BS35" s="604"/>
      <c r="BT35" s="610"/>
      <c r="BU35" s="334">
        <f t="shared" si="37"/>
        <v>0</v>
      </c>
      <c r="BV35" s="612">
        <f t="shared" si="38"/>
        <v>0</v>
      </c>
      <c r="BW35" s="272"/>
      <c r="BX35" s="234">
        <f t="shared" si="39"/>
        <v>0</v>
      </c>
      <c r="BY35" s="402">
        <v>75</v>
      </c>
      <c r="BZ35" s="1137">
        <v>0</v>
      </c>
      <c r="CA35" s="628"/>
      <c r="CB35" s="334">
        <f t="shared" si="40"/>
        <v>0</v>
      </c>
      <c r="CC35" s="630">
        <f t="shared" si="41"/>
        <v>0</v>
      </c>
      <c r="CD35" s="272"/>
      <c r="CE35" s="234">
        <f t="shared" si="42"/>
        <v>0</v>
      </c>
      <c r="CF35" s="402">
        <v>15</v>
      </c>
      <c r="CG35" s="1137">
        <v>0</v>
      </c>
      <c r="CH35" s="1764"/>
      <c r="CI35" s="334">
        <f t="shared" si="23"/>
        <v>0</v>
      </c>
      <c r="CJ35" s="1767">
        <f t="shared" si="24"/>
        <v>0</v>
      </c>
      <c r="CK35" s="272"/>
      <c r="CL35" s="234">
        <f t="shared" si="34"/>
        <v>0</v>
      </c>
      <c r="CM35" s="402"/>
      <c r="CN35" s="1137">
        <v>0</v>
      </c>
      <c r="CO35" s="2074"/>
      <c r="CP35" s="334">
        <f t="shared" si="26"/>
        <v>0</v>
      </c>
      <c r="CQ35" s="2070">
        <f t="shared" si="27"/>
        <v>0</v>
      </c>
      <c r="CR35" s="272"/>
      <c r="CS35" s="234">
        <f t="shared" si="35"/>
        <v>0</v>
      </c>
      <c r="CT35" s="402"/>
      <c r="CU35" s="1137">
        <v>0</v>
      </c>
      <c r="CX35" s="333"/>
      <c r="CY35" s="334">
        <f t="shared" si="29"/>
        <v>0</v>
      </c>
      <c r="CZ35" s="726">
        <f t="shared" si="30"/>
        <v>0</v>
      </c>
      <c r="DA35" s="272"/>
      <c r="DB35" s="234">
        <f t="shared" si="31"/>
        <v>0</v>
      </c>
      <c r="DC35" s="402"/>
      <c r="DD35" s="1137">
        <v>0</v>
      </c>
    </row>
    <row r="36" spans="1:108" ht="36" customHeight="1">
      <c r="A36" s="100">
        <f>_xlfn.XLOOKUP(P36,MOPFRA!R$7:R$78,MOPFRA!A$7:A$78,"")</f>
        <v>3.3763719181679717</v>
      </c>
      <c r="B36" s="99"/>
      <c r="C36" s="2109">
        <f ca="1">_xlfn.XLOOKUP(P36,MOPFRA!R$7:R$78,MOPFRA!$C$7:$C$78,"")</f>
        <v>0.11861446139521008</v>
      </c>
      <c r="D36" s="99"/>
      <c r="E36" s="2120">
        <f>_xlfn.XLOOKUP(P36,MOPFRA!$R$7:$R$56,MOPFRA!$D$7:$D$56,"")</f>
        <v>2.5163304780839475</v>
      </c>
      <c r="F36" s="2110">
        <f>_xlfn.XLOOKUP($P36,MOPFRA!$R$7:$R$56,MOPFRA!$E$7:$E$56,"")</f>
        <v>5.8999999999999995</v>
      </c>
      <c r="G36" s="2121">
        <f>_xlfn.XLOOKUP($P36,MOPFRA!$R$7:$R$56,MOPFRA!$F$7:$F$56,"")</f>
        <v>3.6999999999999975</v>
      </c>
      <c r="H36" s="2124" cm="1">
        <f t="array" ref="H36">IFERROR(_xlfn.XLOOKUP(P36,'Sales Rec'!$E$37:$E$91,'Sales Rec'!$CU$37:$CU$91*100,""),"")</f>
        <v>11.101224646000762</v>
      </c>
      <c r="I36" s="2313">
        <f>_xlfn.XLOOKUP(P36,MOPFRA!$R$7:$R$56,MOPFRA!H$7:H$56,"")</f>
        <v>1.4647435897435896</v>
      </c>
      <c r="J36" s="2313">
        <f>_xlfn.XLOOKUP(P36,MOPFRA!$R$7:$R$56,MOPFRA!J$7:J$56,"")</f>
        <v>3.023076923076923</v>
      </c>
      <c r="K36" s="1942">
        <f>_xlfn.XLOOKUP(P36,'Sales Rec'!$E$4:$E$91,'Sales Rec'!$CV$4:$CV$91,"")</f>
        <v>11</v>
      </c>
      <c r="L36" s="2212">
        <f>_xlfn.XLOOKUP(P36,MOPFRA!R$7:R$78,MOPFRA!$L$7:$L$78,"")</f>
        <v>30</v>
      </c>
      <c r="M36" s="1586" t="str">
        <f>_xlfn.XLOOKUP(P36,'Sales Rec'!$E$4:$E$105,'Sales Rec'!$DS$4:$DS$105,"")</f>
        <v>BB</v>
      </c>
      <c r="N36" s="1586" t="str">
        <f>_xlfn.XLOOKUP(P36,'Sales Rec'!$E$4:$E$105,'Sales Rec'!$DZ$4:$DZ$105,"")</f>
        <v>B</v>
      </c>
      <c r="O36" s="382" t="s">
        <v>169</v>
      </c>
      <c r="P36" s="1571" t="s">
        <v>170</v>
      </c>
      <c r="Q36" s="1929">
        <v>12</v>
      </c>
      <c r="R36" s="264">
        <f>VLOOKUP(P36,MOPFRA!$R$7:$CD$56,4,FALSE)</f>
        <v>44670</v>
      </c>
      <c r="S36" s="292">
        <f>_xlfn.XLOOKUP(P36,MOPFRA!$R$7:$R$56,MOPFRA!$V$7:$V$56,"")</f>
        <v>2.76</v>
      </c>
      <c r="T36" s="292">
        <f>_xlfn.XLOOKUP(P36,'دیده بان بازار'!$A$8:$A$3179,'دیده بان بازار'!$L$8:$L$3179,"")</f>
        <v>1200</v>
      </c>
      <c r="U36" s="304">
        <f>VLOOKUP(P36,MOPFRA!$R$7:$CD$56,6,FALSE)</f>
        <v>44770</v>
      </c>
      <c r="V36" s="361">
        <f>_xlfn.XLOOKUP(P36,MOPFRA!$R$7:$R$56,MOPFRA!$X$7:$X$56,"")</f>
        <v>2.99</v>
      </c>
      <c r="W36" s="361">
        <f>_xlfn.XLOOKUP(P36,'دیده بان بازار'!$A$8:$A$3179,'دیده بان بازار'!$I$8:$I$3179,"")</f>
        <v>1300</v>
      </c>
      <c r="X36" s="2057" t="str">
        <f>_xlfn.XLOOKUP(P36,MOPFRA!$R$7:$R$78,MOPFRA!$P$7:$P$78,"")</f>
        <v>PH</v>
      </c>
      <c r="Y36" s="2058">
        <f t="shared" si="3"/>
        <v>4.7738921908439313E-2</v>
      </c>
      <c r="Z36" s="394">
        <f>_xlfn.XLOOKUP(P36,MOPFRA!$R$7:$R$78,MOPFRA!$T$7:$T$78,"")</f>
        <v>12535.6</v>
      </c>
      <c r="AA36" s="1030">
        <f>_xlfn.XLOOKUP(P36,'Sales Rec'!$E$4:$E$93,'Sales Rec'!$DW$4:$DW$93,"")</f>
        <v>1.761449498843485</v>
      </c>
      <c r="AB36" s="850">
        <f>_xlfn.XLOOKUP(O36,MOPFRA!$Q$7:$Q$56,MOPFRA!$AA$7:$AA$56,"")</f>
        <v>0.29020172910662828</v>
      </c>
      <c r="AC36" s="1221">
        <f t="shared" ca="1" si="4"/>
        <v>1.0006956176090631</v>
      </c>
      <c r="AD36" s="825">
        <f ca="1">_xlfn.XLOOKUP(P36,MOPFRA!$R$7:$R$56,MOPFRA!$AC$7:$AC$56,"")</f>
        <v>-75.412027514330958</v>
      </c>
      <c r="AE36" s="810">
        <f>_xlfn.XLOOKUP(O36,MOPFRA!$Q$7:$Q$56,MOPFRA!$AH$7:$AH$56,"")</f>
        <v>4.0323564833400241</v>
      </c>
      <c r="AF36" s="599">
        <f t="shared" si="5"/>
        <v>-15.858318937733673</v>
      </c>
      <c r="AG36" s="308">
        <f>_xlfn.XLOOKUP(O36,MOPFRA!$Q$7:$Q$78,MOPFRA!$AM$7:$AM$78,"")</f>
        <v>0</v>
      </c>
      <c r="AH36" s="1935">
        <f ca="1">_xlfn.XLOOKUP(P36,MOPFRA!$R$7:$R$56,MOPFRA!$AI$7:$AI$56,"")</f>
        <v>336</v>
      </c>
      <c r="AI36" s="385"/>
      <c r="AJ36" s="1612">
        <f>_xlfn.XLOOKUP(P36,MOPFRA!$R$7:$R$56,MOPFRA!$AJ$7:$AJ$56,"")</f>
        <v>46210</v>
      </c>
      <c r="AK36" s="1691">
        <f>_xlfn.XLOOKUP(P36,MOPFRA!$R$7:$R$78,MOPFRA!$DY$7:$DY$78,"")</f>
        <v>2750</v>
      </c>
      <c r="AL36" s="1821">
        <f>_xlfn.XLOOKUP(P36,MOPFRA!$R$7:$R$58,MOPFRA!$AK$7:$AK$58,"")</f>
        <v>46333</v>
      </c>
      <c r="AM36" s="1825">
        <f>_xlfn.XLOOKUP($P36,MOPFRA!$R$7:$R$56,MOPFRA!$CC$7:$CC$56,"")</f>
        <v>5718</v>
      </c>
      <c r="AN36" s="1341">
        <f>_xlfn.XLOOKUP($P36,MOPFRA!$R$7:$R$56,MOPFRA!$BW$7:$BW$56,"")</f>
        <v>5.2936695219160521</v>
      </c>
      <c r="AO36" s="1207">
        <f>_xlfn.XLOOKUP($P36,MOPFRA!$R$7:$R$56,MOPFRA!$CD$7:$CD$56,"")</f>
        <v>7.81</v>
      </c>
      <c r="AP36" s="447" t="s">
        <v>603</v>
      </c>
      <c r="AQ36" s="572">
        <v>38785</v>
      </c>
      <c r="AR36" s="797"/>
      <c r="AS36" s="798"/>
      <c r="AT36" s="329"/>
      <c r="AU36" s="334">
        <f t="shared" si="6"/>
        <v>0</v>
      </c>
      <c r="AV36" s="330">
        <f t="shared" si="7"/>
        <v>0</v>
      </c>
      <c r="AW36" s="272">
        <v>30000</v>
      </c>
      <c r="AX36" s="234">
        <f t="shared" si="36"/>
        <v>8250</v>
      </c>
      <c r="AY36" s="402"/>
      <c r="AZ36" s="1137">
        <v>0</v>
      </c>
      <c r="BA36" s="342"/>
      <c r="BB36" s="334">
        <f t="shared" si="9"/>
        <v>0</v>
      </c>
      <c r="BC36" s="343">
        <f t="shared" si="10"/>
        <v>0</v>
      </c>
      <c r="BD36" s="272"/>
      <c r="BE36" s="234">
        <f t="shared" si="11"/>
        <v>0</v>
      </c>
      <c r="BF36" s="402"/>
      <c r="BG36" s="1137">
        <v>0</v>
      </c>
      <c r="BH36" s="333">
        <v>3000</v>
      </c>
      <c r="BI36" s="334">
        <f t="shared" si="12"/>
        <v>13312.807199999999</v>
      </c>
      <c r="BJ36" s="726">
        <f t="shared" si="13"/>
        <v>8.6167311962402245E-3</v>
      </c>
      <c r="BK36" s="310">
        <v>3000</v>
      </c>
      <c r="BL36" s="234">
        <f t="shared" si="14"/>
        <v>825</v>
      </c>
      <c r="BM36" s="402"/>
      <c r="BN36" s="1137">
        <v>0</v>
      </c>
      <c r="BP36" s="720">
        <f t="shared" si="15"/>
        <v>13312.807199999999</v>
      </c>
      <c r="BQ36" s="721">
        <f t="shared" si="16"/>
        <v>3000</v>
      </c>
      <c r="BR36" s="722">
        <f t="shared" si="32"/>
        <v>5.5903197008186107E-4</v>
      </c>
      <c r="BS36" s="604"/>
      <c r="BT36" s="610"/>
      <c r="BU36" s="334">
        <f t="shared" si="37"/>
        <v>0</v>
      </c>
      <c r="BV36" s="612">
        <f t="shared" si="38"/>
        <v>0</v>
      </c>
      <c r="BW36" s="272"/>
      <c r="BX36" s="234">
        <f t="shared" si="39"/>
        <v>0</v>
      </c>
      <c r="BY36" s="402"/>
      <c r="BZ36" s="1137">
        <v>0</v>
      </c>
      <c r="CA36" s="628"/>
      <c r="CB36" s="334">
        <f t="shared" si="40"/>
        <v>0</v>
      </c>
      <c r="CC36" s="630">
        <f t="shared" si="41"/>
        <v>0</v>
      </c>
      <c r="CD36" s="272"/>
      <c r="CE36" s="234">
        <f t="shared" si="42"/>
        <v>0</v>
      </c>
      <c r="CF36" s="402"/>
      <c r="CG36" s="1137">
        <v>0</v>
      </c>
      <c r="CH36" s="1764">
        <v>40000</v>
      </c>
      <c r="CI36" s="334">
        <f t="shared" si="23"/>
        <v>177504.09599999999</v>
      </c>
      <c r="CJ36" s="1767">
        <f t="shared" si="24"/>
        <v>1.4613769621278911E-2</v>
      </c>
      <c r="CK36" s="272">
        <v>30000</v>
      </c>
      <c r="CL36" s="234">
        <f t="shared" si="34"/>
        <v>8250</v>
      </c>
      <c r="CM36" s="402"/>
      <c r="CN36" s="1137">
        <v>0</v>
      </c>
      <c r="CO36" s="2074"/>
      <c r="CP36" s="334">
        <f t="shared" si="26"/>
        <v>0</v>
      </c>
      <c r="CQ36" s="2070">
        <f t="shared" si="27"/>
        <v>0</v>
      </c>
      <c r="CR36" s="272"/>
      <c r="CS36" s="234">
        <f t="shared" si="35"/>
        <v>0</v>
      </c>
      <c r="CT36" s="402"/>
      <c r="CU36" s="1137">
        <v>0</v>
      </c>
      <c r="CX36" s="333">
        <v>3000</v>
      </c>
      <c r="CY36" s="334">
        <f t="shared" si="29"/>
        <v>13312.807199999999</v>
      </c>
      <c r="CZ36" s="726">
        <f t="shared" si="30"/>
        <v>8.6167311962402245E-3</v>
      </c>
      <c r="DA36" s="310">
        <v>3000</v>
      </c>
      <c r="DB36" s="234">
        <f t="shared" si="31"/>
        <v>825</v>
      </c>
      <c r="DC36" s="402"/>
      <c r="DD36" s="1137">
        <v>0</v>
      </c>
    </row>
    <row r="37" spans="1:108" ht="36" customHeight="1">
      <c r="A37" s="100">
        <f>_xlfn.XLOOKUP(P37,MOPFRA!R$7:R$78,MOPFRA!A$7:A$78,"")</f>
        <v>1.0347963292789695</v>
      </c>
      <c r="B37" s="99"/>
      <c r="C37" s="2109">
        <f ca="1">_xlfn.XLOOKUP(P37,MOPFRA!R$7:R$78,MOPFRA!$C$7:$C$78,"")</f>
        <v>0.32064990584640995</v>
      </c>
      <c r="D37" s="99"/>
      <c r="E37" s="2120">
        <f>_xlfn.XLOOKUP(P37,MOPFRA!$R$7:$R$56,MOPFRA!$D$7:$D$56,"")</f>
        <v>1.4514814144861301</v>
      </c>
      <c r="F37" s="2110">
        <f>_xlfn.XLOOKUP($P37,MOPFRA!$R$7:$R$56,MOPFRA!$E$7:$E$56,"")</f>
        <v>5.6999999999999993</v>
      </c>
      <c r="G37" s="2121">
        <f>_xlfn.XLOOKUP($P37,MOPFRA!$R$7:$R$56,MOPFRA!$F$7:$F$56,"")</f>
        <v>3.099999999999997</v>
      </c>
      <c r="H37" s="2124" cm="1">
        <f t="array" ref="H37">IFERROR(_xlfn.XLOOKUP(P37,'Sales Rec'!$E$37:$E$91,'Sales Rec'!$CU$37:$CU$91*100,""),"")</f>
        <v>5.3135740402366016</v>
      </c>
      <c r="I37" s="2313">
        <f>_xlfn.XLOOKUP(P37,MOPFRA!$R$7:$R$56,MOPFRA!H$7:H$56,"")</f>
        <v>0.88596932361076186</v>
      </c>
      <c r="J37" s="2313">
        <f>_xlfn.XLOOKUP(P37,MOPFRA!$R$7:$R$56,MOPFRA!J$7:J$56,"")</f>
        <v>0.38994858185437054</v>
      </c>
      <c r="K37" s="1942">
        <f>_xlfn.XLOOKUP(P37,'Sales Rec'!$E$4:$E$91,'Sales Rec'!$CV$4:$CV$91,"")</f>
        <v>26</v>
      </c>
      <c r="L37" s="2212">
        <f>_xlfn.XLOOKUP(P37,MOPFRA!R$7:R$78,MOPFRA!$L$7:$L$78,"")</f>
        <v>28</v>
      </c>
      <c r="M37" s="1586" t="str">
        <f>_xlfn.XLOOKUP(P37,'Sales Rec'!$E$4:$E$105,'Sales Rec'!$DS$4:$DS$105,"")</f>
        <v>B</v>
      </c>
      <c r="N37" s="1586" t="str">
        <f>_xlfn.XLOOKUP(P37,'Sales Rec'!$E$4:$E$105,'Sales Rec'!$DZ$4:$DZ$105,"")</f>
        <v>B</v>
      </c>
      <c r="O37" s="382" t="s">
        <v>120</v>
      </c>
      <c r="P37" s="1571" t="s">
        <v>121</v>
      </c>
      <c r="Q37" s="1929">
        <f>VLOOKUP(P37,MOPFRA!$R$7:$CF$78,2,FALSE)</f>
        <v>9</v>
      </c>
      <c r="R37" s="264">
        <f>VLOOKUP(P37,MOPFRA!$R$7:$CD$56,4,FALSE)</f>
        <v>67620</v>
      </c>
      <c r="S37" s="292">
        <f>_xlfn.XLOOKUP(P37,MOPFRA!$R$7:$R$56,MOPFRA!$V$7:$V$56,"")</f>
        <v>2.83</v>
      </c>
      <c r="T37" s="292">
        <f>_xlfn.XLOOKUP(P37,'دیده بان بازار'!$A$8:$A$3179,'دیده بان بازار'!$L$8:$L$3179,"")</f>
        <v>1860</v>
      </c>
      <c r="U37" s="304">
        <f>VLOOKUP(P37,MOPFRA!$R$7:$CD$56,6,FALSE)</f>
        <v>67730</v>
      </c>
      <c r="V37" s="361">
        <f>_xlfn.XLOOKUP(P37,MOPFRA!$R$7:$R$56,MOPFRA!$X$7:$X$56,"")</f>
        <v>3</v>
      </c>
      <c r="W37" s="361">
        <f>_xlfn.XLOOKUP(P37,'دیده بان بازار'!$A$8:$A$3179,'دیده بان بازار'!$I$8:$I$3179,"")</f>
        <v>1970</v>
      </c>
      <c r="X37" s="2057" t="str">
        <f>_xlfn.XLOOKUP(P37,MOPFRA!$R$7:$R$78,MOPFRA!$P$7:$P$78,"")</f>
        <v>M</v>
      </c>
      <c r="Y37" s="2058">
        <f t="shared" si="3"/>
        <v>3.6049848974958443E-2</v>
      </c>
      <c r="Z37" s="394">
        <f>_xlfn.XLOOKUP(P37,MOPFRA!$R$7:$R$78,MOPFRA!$T$7:$T$78,"")</f>
        <v>27092</v>
      </c>
      <c r="AA37" s="1030">
        <f>_xlfn.XLOOKUP(P37,'Sales Rec'!$E$4:$E$93,'Sales Rec'!$DW$4:$DW$93,"")</f>
        <v>0.85816186556927299</v>
      </c>
      <c r="AB37" s="850">
        <f>_xlfn.XLOOKUP(O37,MOPFRA!$Q$7:$Q$56,MOPFRA!$AA$7:$AA$56,"")</f>
        <v>1.0833589664718548</v>
      </c>
      <c r="AC37" s="1221">
        <f t="shared" ca="1" si="4"/>
        <v>0.99390730868977506</v>
      </c>
      <c r="AD37" s="825">
        <f ca="1">_xlfn.XLOOKUP(P37,MOPFRA!$R$7:$R$56,MOPFRA!$AC$7:$AC$56,"")</f>
        <v>-74.733196622402176</v>
      </c>
      <c r="AE37" s="810">
        <f>_xlfn.XLOOKUP(O37,MOPFRA!$Q$7:$Q$56,MOPFRA!$AH$7:$AH$56,"")</f>
        <v>1.2501661129568107</v>
      </c>
      <c r="AF37" s="599">
        <f t="shared" si="5"/>
        <v>-95.458887291546887</v>
      </c>
      <c r="AG37" s="308">
        <f>_xlfn.XLOOKUP(O37,MOPFRA!$Q$7:$Q$78,MOPFRA!$AM$7:$AM$78,"")</f>
        <v>0</v>
      </c>
      <c r="AH37" s="1935">
        <f ca="1">_xlfn.XLOOKUP(P37,MOPFRA!$R$7:$R$56,MOPFRA!$AI$7:$AI$56,"")</f>
        <v>256</v>
      </c>
      <c r="AI37" s="385"/>
      <c r="AJ37" s="1612">
        <f>_xlfn.XLOOKUP(P37,MOPFRA!$R$7:$R$56,MOPFRA!$AJ$7:$AJ$56,"")</f>
        <v>46130</v>
      </c>
      <c r="AK37" s="1828">
        <f>_xlfn.XLOOKUP(P37,MOPFRA!$R$7:$R$78,MOPFRA!$DY$7:$DY$78,"")</f>
        <v>6800</v>
      </c>
      <c r="AL37" s="1829">
        <f>_xlfn.XLOOKUP(P37,MOPFRA!$R$7:$R$58,MOPFRA!$AK$7:$AK$58,"")</f>
        <v>46183</v>
      </c>
      <c r="AM37" s="1825">
        <f>_xlfn.XLOOKUP($P37,MOPFRA!$R$7:$R$56,MOPFRA!$CC$7:$CC$56,"")</f>
        <v>14832</v>
      </c>
      <c r="AN37" s="1341">
        <f>_xlfn.XLOOKUP($P37,MOPFRA!$R$7:$R$56,MOPFRA!$BW$7:$BW$56,"")</f>
        <v>3.1085185855138695</v>
      </c>
      <c r="AO37" s="1207">
        <f>_xlfn.XLOOKUP($P37,MOPFRA!$R$7:$R$56,MOPFRA!$CD$7:$CD$56,"")</f>
        <v>4.5599999999999996</v>
      </c>
      <c r="AP37" s="447" t="s">
        <v>603</v>
      </c>
      <c r="AQ37" s="572">
        <v>34780</v>
      </c>
      <c r="AR37" s="797">
        <v>46360</v>
      </c>
      <c r="AS37" s="798">
        <f>IF(AR37&lt;1,"",(U37-AR37)/AR37)</f>
        <v>0.46095772217428815</v>
      </c>
      <c r="AT37" s="329">
        <v>45000</v>
      </c>
      <c r="AU37" s="334">
        <f t="shared" si="6"/>
        <v>302102.89199999999</v>
      </c>
      <c r="AV37" s="330">
        <f t="shared" si="7"/>
        <v>6.5656069932736533E-3</v>
      </c>
      <c r="AW37" s="272"/>
      <c r="AX37" s="234">
        <f t="shared" si="36"/>
        <v>0</v>
      </c>
      <c r="AY37" s="402">
        <v>320321</v>
      </c>
      <c r="AZ37" s="1137">
        <v>0</v>
      </c>
      <c r="BA37" s="342">
        <v>23000</v>
      </c>
      <c r="BB37" s="334">
        <f t="shared" si="9"/>
        <v>154408.14480000001</v>
      </c>
      <c r="BC37" s="343">
        <f t="shared" si="10"/>
        <v>6.9132220776209896E-3</v>
      </c>
      <c r="BD37" s="272"/>
      <c r="BE37" s="234">
        <f t="shared" si="11"/>
        <v>0</v>
      </c>
      <c r="BF37" s="402">
        <v>53597</v>
      </c>
      <c r="BG37" s="1137">
        <v>0</v>
      </c>
      <c r="BH37" s="333">
        <v>3000</v>
      </c>
      <c r="BI37" s="334">
        <f t="shared" si="12"/>
        <v>20140.192800000001</v>
      </c>
      <c r="BJ37" s="726">
        <f t="shared" si="13"/>
        <v>1.3035765108808363E-2</v>
      </c>
      <c r="BK37" s="272"/>
      <c r="BL37" s="234">
        <f t="shared" si="14"/>
        <v>0</v>
      </c>
      <c r="BM37" s="402">
        <v>6648</v>
      </c>
      <c r="BN37" s="1137">
        <v>0</v>
      </c>
      <c r="BP37" s="720">
        <f t="shared" si="15"/>
        <v>476651.22959999996</v>
      </c>
      <c r="BQ37" s="721">
        <f t="shared" si="16"/>
        <v>71000</v>
      </c>
      <c r="BR37" s="722">
        <f t="shared" si="32"/>
        <v>2.0015558846614219E-2</v>
      </c>
      <c r="BS37" s="604"/>
      <c r="BT37" s="610">
        <v>2000</v>
      </c>
      <c r="BU37" s="334">
        <f t="shared" si="37"/>
        <v>13426.7952</v>
      </c>
      <c r="BV37" s="612">
        <f t="shared" si="38"/>
        <v>8.1586259407507265E-3</v>
      </c>
      <c r="BW37" s="272"/>
      <c r="BX37" s="234">
        <f t="shared" si="39"/>
        <v>0</v>
      </c>
      <c r="BY37" s="402">
        <v>3120</v>
      </c>
      <c r="BZ37" s="1137">
        <v>0</v>
      </c>
      <c r="CA37" s="628">
        <v>1000</v>
      </c>
      <c r="CB37" s="334">
        <f t="shared" si="40"/>
        <v>6713.3976000000002</v>
      </c>
      <c r="CC37" s="630">
        <f t="shared" si="41"/>
        <v>2.5344648482896946E-2</v>
      </c>
      <c r="CD37" s="272"/>
      <c r="CE37" s="234">
        <f t="shared" si="42"/>
        <v>0</v>
      </c>
      <c r="CF37" s="402">
        <v>1560</v>
      </c>
      <c r="CG37" s="1137">
        <v>0</v>
      </c>
      <c r="CH37" s="1764"/>
      <c r="CI37" s="334">
        <f t="shared" si="23"/>
        <v>0</v>
      </c>
      <c r="CJ37" s="1767">
        <f t="shared" si="24"/>
        <v>0</v>
      </c>
      <c r="CK37" s="272"/>
      <c r="CL37" s="234">
        <f t="shared" si="34"/>
        <v>0</v>
      </c>
      <c r="CM37" s="402"/>
      <c r="CN37" s="1137">
        <v>0</v>
      </c>
      <c r="CO37" s="2074"/>
      <c r="CP37" s="334">
        <f t="shared" si="26"/>
        <v>0</v>
      </c>
      <c r="CQ37" s="2070">
        <f t="shared" si="27"/>
        <v>0</v>
      </c>
      <c r="CR37" s="272"/>
      <c r="CS37" s="234">
        <f t="shared" si="35"/>
        <v>0</v>
      </c>
      <c r="CT37" s="402"/>
      <c r="CU37" s="1137">
        <v>0</v>
      </c>
      <c r="CX37" s="333">
        <v>3000</v>
      </c>
      <c r="CY37" s="334">
        <f t="shared" si="29"/>
        <v>20140.192800000001</v>
      </c>
      <c r="CZ37" s="726">
        <f t="shared" si="30"/>
        <v>1.3035765108808363E-2</v>
      </c>
      <c r="DA37" s="272"/>
      <c r="DB37" s="234">
        <f t="shared" si="31"/>
        <v>0</v>
      </c>
      <c r="DC37" s="402">
        <v>6648</v>
      </c>
      <c r="DD37" s="1137">
        <v>0</v>
      </c>
    </row>
    <row r="38" spans="1:108" ht="36" customHeight="1">
      <c r="A38" s="100">
        <f>_xlfn.XLOOKUP(P38,MOPFRA!R$7:R$78,MOPFRA!A$7:A$78,"")</f>
        <v>1.5067957015240805</v>
      </c>
      <c r="B38" s="99"/>
      <c r="C38" s="2109">
        <f ca="1">_xlfn.XLOOKUP(P38,MOPFRA!R$7:R$78,MOPFRA!$C$7:$C$78,"")</f>
        <v>0.56408931143005958</v>
      </c>
      <c r="D38" s="99"/>
      <c r="E38" s="2120">
        <f>_xlfn.XLOOKUP(P38,MOPFRA!$R$7:$R$56,MOPFRA!$D$7:$D$56,"")</f>
        <v>1.2108961258936652</v>
      </c>
      <c r="F38" s="2110">
        <f>_xlfn.XLOOKUP($P38,MOPFRA!$R$7:$R$56,MOPFRA!$E$7:$E$56,"")</f>
        <v>0.10000000000000009</v>
      </c>
      <c r="G38" s="2121">
        <f>_xlfn.XLOOKUP($P38,MOPFRA!$R$7:$R$56,MOPFRA!$F$7:$F$56,"")</f>
        <v>0.40000000000000036</v>
      </c>
      <c r="H38" s="2124" cm="1">
        <f t="array" ref="H38">IFERROR(_xlfn.XLOOKUP(P38,'Sales Rec'!$E$37:$E$91,'Sales Rec'!$CU$37:$CU$91*100,""),"")</f>
        <v>42.274791359842887</v>
      </c>
      <c r="I38" s="2313">
        <f>_xlfn.XLOOKUP(P38,MOPFRA!$R$7:$R$56,MOPFRA!H$7:H$56,"")</f>
        <v>2.2351190476190474</v>
      </c>
      <c r="J38" s="2313">
        <f>_xlfn.XLOOKUP(P38,MOPFRA!$R$7:$R$56,MOPFRA!J$7:J$56,"")</f>
        <v>2.4385665529010239</v>
      </c>
      <c r="K38" s="1942">
        <f>_xlfn.XLOOKUP(P38,'Sales Rec'!$E$4:$E$91,'Sales Rec'!$CV$4:$CV$91,"")</f>
        <v>4</v>
      </c>
      <c r="L38" s="2212">
        <f>_xlfn.XLOOKUP(P38,MOPFRA!R$7:R$78,MOPFRA!$L$7:$L$78,"")</f>
        <v>22</v>
      </c>
      <c r="M38" s="1586" t="str">
        <f>_xlfn.XLOOKUP(P38,'Sales Rec'!$E$4:$E$105,'Sales Rec'!$DS$4:$DS$105,"")</f>
        <v>BB</v>
      </c>
      <c r="N38" s="1586" t="str">
        <f>_xlfn.XLOOKUP(P38,'Sales Rec'!$E$4:$E$105,'Sales Rec'!$DZ$4:$DZ$105,"")</f>
        <v>BB</v>
      </c>
      <c r="O38" s="1930" t="s">
        <v>158</v>
      </c>
      <c r="P38" s="2391" t="s">
        <v>159</v>
      </c>
      <c r="Q38" s="2055">
        <v>12</v>
      </c>
      <c r="R38" s="264">
        <f>VLOOKUP(P38,MOPFRA!$R$7:$CD$56,4,FALSE)</f>
        <v>49450</v>
      </c>
      <c r="S38" s="292">
        <f>_xlfn.XLOOKUP(P38,MOPFRA!$R$7:$R$56,MOPFRA!$V$7:$V$56,"")</f>
        <v>3</v>
      </c>
      <c r="T38" s="292">
        <f>_xlfn.XLOOKUP(P38,'دیده بان بازار'!$A$8:$A$3179,'دیده بان بازار'!$L$8:$L$3179,"")</f>
        <v>1440</v>
      </c>
      <c r="U38" s="304">
        <f>VLOOKUP(P38,MOPFRA!$R$7:$CD$56,6,FALSE)</f>
        <v>49450</v>
      </c>
      <c r="V38" s="361">
        <f>_xlfn.XLOOKUP(P38,MOPFRA!$R$7:$R$56,MOPFRA!$X$7:$X$56,"")</f>
        <v>3</v>
      </c>
      <c r="W38" s="361">
        <f>_xlfn.XLOOKUP(P38,'دیده بان بازار'!$A$8:$A$3179,'دیده بان بازار'!$I$8:$I$3179,"")</f>
        <v>1440</v>
      </c>
      <c r="X38" s="2057" t="str">
        <f>_xlfn.XLOOKUP(P38,MOPFRA!$R$7:$R$78,MOPFRA!$P$7:$P$78,"")</f>
        <v>PH</v>
      </c>
      <c r="Y38" s="2058">
        <f t="shared" si="3"/>
        <v>4.7738921908439313E-2</v>
      </c>
      <c r="Z38" s="394">
        <f>_xlfn.XLOOKUP(P38,MOPFRA!$R$7:$R$78,MOPFRA!$T$7:$T$78,"")</f>
        <v>12115.25</v>
      </c>
      <c r="AA38" s="1030">
        <f>_xlfn.XLOOKUP(P38,'Sales Rec'!$E$4:$E$93,'Sales Rec'!$DW$4:$DW$93,"")</f>
        <v>1.2544194268701154</v>
      </c>
      <c r="AB38" s="850">
        <f>_xlfn.XLOOKUP(O38,MOPFRA!$Q$7:$Q$56,MOPFRA!$AA$7:$AA$56,"")</f>
        <v>0.71531219028741333</v>
      </c>
      <c r="AC38" s="1221">
        <f t="shared" ca="1" si="4"/>
        <v>0.20206559047667044</v>
      </c>
      <c r="AD38" s="825">
        <f ca="1">_xlfn.XLOOKUP(P38,MOPFRA!$R$7:$R$56,MOPFRA!$AC$7:$AC$56,"")</f>
        <v>4.4509751989083011</v>
      </c>
      <c r="AE38" s="810">
        <f>_xlfn.XLOOKUP(O38,MOPFRA!$Q$7:$Q$56,MOPFRA!$AH$7:$AH$56,"")</f>
        <v>3.8558116232464932</v>
      </c>
      <c r="AF38" s="599">
        <f t="shared" si="5"/>
        <v>15.728107152121121</v>
      </c>
      <c r="AG38" s="308">
        <f>_xlfn.XLOOKUP(O38,MOPFRA!$Q$7:$Q$78,MOPFRA!$AM$7:$AM$78,"")</f>
        <v>0</v>
      </c>
      <c r="AH38" s="1935">
        <f ca="1">_xlfn.XLOOKUP(P38,MOPFRA!$R$7:$R$56,MOPFRA!$AI$7:$AI$56,"")</f>
        <v>11</v>
      </c>
      <c r="AI38" s="385"/>
      <c r="AJ38" s="1818">
        <f>_xlfn.XLOOKUP(P38,MOPFRA!$R$7:$R$56,MOPFRA!$AJ$7:$AJ$56,"")</f>
        <v>46250</v>
      </c>
      <c r="AK38" s="1694">
        <f>_xlfn.XLOOKUP(P38,MOPFRA!$R$7:$R$78,MOPFRA!$DY$7:$DY$78,"")</f>
        <v>12050</v>
      </c>
      <c r="AL38" s="1821">
        <f>_xlfn.XLOOKUP(P38,MOPFRA!$R$7:$R$58,MOPFRA!$AK$7:$AK$58,"")</f>
        <v>46371</v>
      </c>
      <c r="AM38" s="1825">
        <f>_xlfn.XLOOKUP($P38,MOPFRA!$R$7:$R$56,MOPFRA!$CC$7:$CC$56,"")</f>
        <v>5324</v>
      </c>
      <c r="AN38" s="1341">
        <f>_xlfn.XLOOKUP($P38,MOPFRA!$R$7:$R$56,MOPFRA!$BW$7:$BW$56,"")</f>
        <v>8.0791038741063339</v>
      </c>
      <c r="AO38" s="1207">
        <f>_xlfn.XLOOKUP($P38,MOPFRA!$R$7:$R$56,MOPFRA!$CD$7:$CD$56,"")</f>
        <v>9.2899999999999991</v>
      </c>
      <c r="AP38" s="448" t="s">
        <v>197</v>
      </c>
      <c r="AQ38" s="571">
        <v>42407</v>
      </c>
      <c r="AR38" s="797">
        <v>39991</v>
      </c>
      <c r="AS38" s="798">
        <f>IF(AR38&lt;1,"",(U38-AR38)/AR38)</f>
        <v>0.23652821884924108</v>
      </c>
      <c r="AT38" s="329">
        <v>160000</v>
      </c>
      <c r="AU38" s="334">
        <f t="shared" si="6"/>
        <v>784237.44</v>
      </c>
      <c r="AV38" s="330">
        <f t="shared" si="7"/>
        <v>1.7043844851544906E-2</v>
      </c>
      <c r="AW38" s="272"/>
      <c r="AX38" s="234">
        <f t="shared" si="36"/>
        <v>0</v>
      </c>
      <c r="AY38" s="402">
        <v>12050</v>
      </c>
      <c r="AZ38" s="1137">
        <v>0</v>
      </c>
      <c r="BA38" s="342">
        <v>10000</v>
      </c>
      <c r="BB38" s="334">
        <f t="shared" si="9"/>
        <v>49014.84</v>
      </c>
      <c r="BC38" s="343">
        <f t="shared" si="10"/>
        <v>2.1945116590705929E-3</v>
      </c>
      <c r="BD38" s="272"/>
      <c r="BE38" s="234">
        <f t="shared" si="11"/>
        <v>0</v>
      </c>
      <c r="BF38" s="402">
        <v>6025</v>
      </c>
      <c r="BG38" s="1137">
        <v>0</v>
      </c>
      <c r="BH38" s="333">
        <v>1000</v>
      </c>
      <c r="BI38" s="334">
        <f t="shared" si="12"/>
        <v>4901.4839999999995</v>
      </c>
      <c r="BJ38" s="726">
        <f t="shared" si="13"/>
        <v>3.172491680843415E-3</v>
      </c>
      <c r="BK38" s="272"/>
      <c r="BL38" s="234">
        <f t="shared" si="14"/>
        <v>0</v>
      </c>
      <c r="BM38" s="402">
        <v>1205</v>
      </c>
      <c r="BN38" s="1137">
        <v>0</v>
      </c>
      <c r="BP38" s="720">
        <f t="shared" si="15"/>
        <v>838153.76399999997</v>
      </c>
      <c r="BQ38" s="721">
        <f t="shared" si="16"/>
        <v>171000</v>
      </c>
      <c r="BR38" s="722">
        <f t="shared" si="32"/>
        <v>3.5195788752987213E-2</v>
      </c>
      <c r="BS38" s="604"/>
      <c r="BT38" s="610">
        <v>4000</v>
      </c>
      <c r="BU38" s="334">
        <f t="shared" si="37"/>
        <v>19605.935999999998</v>
      </c>
      <c r="BV38" s="612">
        <f t="shared" si="38"/>
        <v>1.1913304378270291E-2</v>
      </c>
      <c r="BW38" s="272"/>
      <c r="BX38" s="234">
        <f t="shared" si="39"/>
        <v>0</v>
      </c>
      <c r="BY38" s="402">
        <v>4820</v>
      </c>
      <c r="BZ38" s="1137">
        <v>0</v>
      </c>
      <c r="CA38" s="628"/>
      <c r="CB38" s="334">
        <f t="shared" si="40"/>
        <v>0</v>
      </c>
      <c r="CC38" s="630">
        <f t="shared" si="41"/>
        <v>0</v>
      </c>
      <c r="CD38" s="272"/>
      <c r="CE38" s="234">
        <f t="shared" si="42"/>
        <v>0</v>
      </c>
      <c r="CF38" s="402"/>
      <c r="CG38" s="1137">
        <v>0</v>
      </c>
      <c r="CH38" s="1764">
        <v>30000</v>
      </c>
      <c r="CI38" s="334">
        <f t="shared" si="23"/>
        <v>147044.51999999999</v>
      </c>
      <c r="CJ38" s="1767">
        <f t="shared" si="24"/>
        <v>1.210605719966901E-2</v>
      </c>
      <c r="CK38" s="272"/>
      <c r="CL38" s="234">
        <f t="shared" si="34"/>
        <v>0</v>
      </c>
      <c r="CM38" s="402"/>
      <c r="CN38" s="1137">
        <v>0</v>
      </c>
      <c r="CO38" s="2074"/>
      <c r="CP38" s="334">
        <f t="shared" si="26"/>
        <v>0</v>
      </c>
      <c r="CQ38" s="2070">
        <f t="shared" si="27"/>
        <v>0</v>
      </c>
      <c r="CR38" s="272"/>
      <c r="CS38" s="234">
        <f t="shared" si="35"/>
        <v>0</v>
      </c>
      <c r="CT38" s="402"/>
      <c r="CU38" s="1137">
        <v>0</v>
      </c>
      <c r="CX38" s="333">
        <v>1000</v>
      </c>
      <c r="CY38" s="334">
        <f t="shared" si="29"/>
        <v>4901.4839999999995</v>
      </c>
      <c r="CZ38" s="726">
        <f t="shared" si="30"/>
        <v>3.172491680843415E-3</v>
      </c>
      <c r="DA38" s="272"/>
      <c r="DB38" s="234">
        <f t="shared" si="31"/>
        <v>0</v>
      </c>
      <c r="DC38" s="402">
        <v>1205</v>
      </c>
      <c r="DD38" s="1137">
        <v>0</v>
      </c>
    </row>
    <row r="39" spans="1:108" ht="36" customHeight="1">
      <c r="A39" s="100">
        <f>_xlfn.XLOOKUP(P39,MOPFRA!R$7:R$78,MOPFRA!A$7:A$78,"")</f>
        <v>1.2283214162342571E-2</v>
      </c>
      <c r="B39" s="99"/>
      <c r="C39" s="2109">
        <f ca="1">_xlfn.XLOOKUP(P39,MOPFRA!R$7:R$78,MOPFRA!$C$7:$C$78,"")</f>
        <v>0.27063632587929265</v>
      </c>
      <c r="D39" s="99"/>
      <c r="E39" s="2120">
        <f>_xlfn.XLOOKUP(P39,MOPFRA!$R$7:$R$56,MOPFRA!$D$7:$D$56,"")</f>
        <v>-1.3688019735483934</v>
      </c>
      <c r="F39" s="2110">
        <f>_xlfn.XLOOKUP($P39,MOPFRA!$R$7:$R$56,MOPFRA!$E$7:$E$56,"")</f>
        <v>-1.7000000000000002</v>
      </c>
      <c r="G39" s="2121">
        <f>_xlfn.XLOOKUP($P39,MOPFRA!$R$7:$R$56,MOPFRA!$F$7:$F$56,"")</f>
        <v>-1.7000000000000002</v>
      </c>
      <c r="H39" s="2124" cm="1">
        <f t="array" ref="H39">IFERROR(_xlfn.XLOOKUP(P39,'Sales Rec'!$E$37:$E$91,'Sales Rec'!$CU$37:$CU$91*100,""),"")</f>
        <v>-12.549292507538867</v>
      </c>
      <c r="I39" s="2313">
        <f>_xlfn.XLOOKUP(P39,MOPFRA!$R$7:$R$56,MOPFRA!H$7:H$56,"")</f>
        <v>1.4300626304801669</v>
      </c>
      <c r="J39" s="2313">
        <f>_xlfn.XLOOKUP(P39,MOPFRA!$R$7:$R$56,MOPFRA!J$7:J$56,"")</f>
        <v>0.20626631853785901</v>
      </c>
      <c r="K39" s="1942">
        <f>_xlfn.XLOOKUP(P39,'Sales Rec'!$E$4:$E$91,'Sales Rec'!$CV$4:$CV$91,"")</f>
        <v>12</v>
      </c>
      <c r="L39" s="2212">
        <f>_xlfn.XLOOKUP(P39,MOPFRA!R$7:R$78,MOPFRA!$L$7:$L$78,"")</f>
        <v>36</v>
      </c>
      <c r="M39" s="1586" t="str">
        <f>_xlfn.XLOOKUP(P39,'Sales Rec'!$E$4:$E$105,'Sales Rec'!$DS$4:$DS$105,"")</f>
        <v>B</v>
      </c>
      <c r="N39" s="1586" t="str">
        <f>_xlfn.XLOOKUP(P39,'Sales Rec'!$E$4:$E$105,'Sales Rec'!$DZ$4:$DZ$105,"")</f>
        <v>S</v>
      </c>
      <c r="O39" s="2389" t="s">
        <v>106</v>
      </c>
      <c r="P39" s="1571" t="s">
        <v>107</v>
      </c>
      <c r="Q39" s="1929">
        <v>12</v>
      </c>
      <c r="R39" s="264">
        <f>VLOOKUP(P39,MOPFRA!$R$7:$CD$56,4,FALSE)</f>
        <v>45770</v>
      </c>
      <c r="S39" s="292">
        <f>_xlfn.XLOOKUP(P39,MOPFRA!$R$7:$R$56,MOPFRA!$V$7:$V$56,"")</f>
        <v>2.99</v>
      </c>
      <c r="T39" s="292">
        <f>_xlfn.XLOOKUP(P39,'دیده بان بازار'!$A$8:$A$3179,'دیده بان بازار'!$L$8:$L$3179,"")</f>
        <v>1330</v>
      </c>
      <c r="U39" s="304">
        <f>VLOOKUP(P39,MOPFRA!$R$7:$CD$56,6,FALSE)</f>
        <v>45770</v>
      </c>
      <c r="V39" s="361">
        <f>_xlfn.XLOOKUP(P39,MOPFRA!$R$7:$R$56,MOPFRA!$X$7:$X$56,"")</f>
        <v>2.99</v>
      </c>
      <c r="W39" s="361">
        <f>_xlfn.XLOOKUP(P39,'دیده بان بازار'!$A$8:$A$3179,'دیده بان بازار'!$I$8:$I$3179,"")</f>
        <v>1330</v>
      </c>
      <c r="X39" s="2057" t="str">
        <f>_xlfn.XLOOKUP(P39,MOPFRA!$R$7:$R$78,MOPFRA!$P$7:$P$78,"")</f>
        <v>F</v>
      </c>
      <c r="Y39" s="2058">
        <f t="shared" si="3"/>
        <v>2.3636702178156787E-2</v>
      </c>
      <c r="Z39" s="394">
        <f>_xlfn.XLOOKUP(P39,MOPFRA!$R$7:$R$78,MOPFRA!$T$7:$T$78,"")</f>
        <v>4119.3</v>
      </c>
      <c r="AA39" s="1030">
        <f>_xlfn.XLOOKUP(P39,'Sales Rec'!$E$4:$E$93,'Sales Rec'!$DW$4:$DW$93,"")</f>
        <v>1.2004807692307693</v>
      </c>
      <c r="AB39" s="850">
        <f>_xlfn.XLOOKUP(O39,MOPFRA!$Q$7:$Q$56,MOPFRA!$AA$7:$AA$56,"")</f>
        <v>7.4693451604487399E-2</v>
      </c>
      <c r="AC39" s="1221">
        <f t="shared" ca="1" si="4"/>
        <v>0.37346725802243702</v>
      </c>
      <c r="AD39" s="825">
        <f ca="1">_xlfn.XLOOKUP(P39,MOPFRA!$R$7:$R$56,MOPFRA!$AC$7:$AC$56,"")</f>
        <v>-12.689191555668357</v>
      </c>
      <c r="AE39" s="810" t="str">
        <f>_xlfn.XLOOKUP(O39,MOPFRA!$Q$7:$Q$56,MOPFRA!$AH$7:$AH$56,"")</f>
        <v/>
      </c>
      <c r="AF39" s="599">
        <f t="shared" si="5"/>
        <v>-8.9723694779116432</v>
      </c>
      <c r="AG39" s="308">
        <f>_xlfn.XLOOKUP(O39,MOPFRA!$Q$7:$Q$78,MOPFRA!$AM$7:$AM$78,"")</f>
        <v>0</v>
      </c>
      <c r="AH39" s="1935">
        <f ca="1">_xlfn.XLOOKUP(P39,MOPFRA!$R$7:$R$56,MOPFRA!$AI$7:$AI$56,"")</f>
        <v>345</v>
      </c>
      <c r="AI39" s="385"/>
      <c r="AJ39" s="1612">
        <f>_xlfn.XLOOKUP(P39,MOPFRA!$R$7:$R$56,MOPFRA!$AJ$7:$AJ$56,"")</f>
        <v>46219</v>
      </c>
      <c r="AK39" s="1691">
        <f>_xlfn.XLOOKUP(P39,MOPFRA!$R$7:$R$78,MOPFRA!$DY$7:$DY$78,"")</f>
        <v>4470</v>
      </c>
      <c r="AL39" s="1821">
        <f>_xlfn.XLOOKUP(P39,MOPFRA!$R$7:$R$58,MOPFRA!$AK$7:$AK$58,"")</f>
        <v>46316</v>
      </c>
      <c r="AM39" s="1825">
        <f>_xlfn.XLOOKUP($P39,MOPFRA!$R$7:$R$56,MOPFRA!$CC$7:$CC$56,"")</f>
        <v>7903</v>
      </c>
      <c r="AN39" s="1341">
        <f>_xlfn.XLOOKUP($P39,MOPFRA!$R$7:$R$56,MOPFRA!$BW$7:$BW$56,"")</f>
        <v>7.1588019735483934</v>
      </c>
      <c r="AO39" s="1207">
        <f>_xlfn.XLOOKUP($P39,MOPFRA!$R$7:$R$56,MOPFRA!$CD$7:$CD$56,"")</f>
        <v>5.79</v>
      </c>
      <c r="AP39" s="448" t="s">
        <v>197</v>
      </c>
      <c r="AQ39" s="571">
        <v>49800</v>
      </c>
      <c r="AR39" s="572">
        <v>50242</v>
      </c>
      <c r="AS39" s="836">
        <f>IF(AR39&lt;1,"",(U39-AR39)/AR39)</f>
        <v>-8.9009195493809964E-2</v>
      </c>
      <c r="AT39" s="329">
        <v>10000</v>
      </c>
      <c r="AU39" s="334">
        <f t="shared" si="6"/>
        <v>45367.224000000002</v>
      </c>
      <c r="AV39" s="330">
        <f t="shared" si="7"/>
        <v>9.8596660623762695E-4</v>
      </c>
      <c r="AW39" s="272">
        <v>10000</v>
      </c>
      <c r="AX39" s="234">
        <f t="shared" si="36"/>
        <v>4470</v>
      </c>
      <c r="AY39" s="402"/>
      <c r="AZ39" s="1137">
        <v>0</v>
      </c>
      <c r="BA39" s="342"/>
      <c r="BB39" s="334">
        <f t="shared" si="9"/>
        <v>0</v>
      </c>
      <c r="BC39" s="343">
        <f t="shared" si="10"/>
        <v>0</v>
      </c>
      <c r="BD39" s="272"/>
      <c r="BE39" s="234">
        <f t="shared" si="11"/>
        <v>0</v>
      </c>
      <c r="BF39" s="402"/>
      <c r="BG39" s="1137">
        <v>0</v>
      </c>
      <c r="BH39" s="333"/>
      <c r="BI39" s="334">
        <f t="shared" si="12"/>
        <v>0</v>
      </c>
      <c r="BJ39" s="726">
        <f t="shared" si="13"/>
        <v>0</v>
      </c>
      <c r="BK39" s="272"/>
      <c r="BL39" s="234">
        <f t="shared" si="14"/>
        <v>0</v>
      </c>
      <c r="BM39" s="402"/>
      <c r="BN39" s="1137">
        <v>0</v>
      </c>
      <c r="BP39" s="720">
        <f t="shared" si="15"/>
        <v>45367.224000000002</v>
      </c>
      <c r="BQ39" s="721">
        <f t="shared" si="16"/>
        <v>10000</v>
      </c>
      <c r="BR39" s="722">
        <f t="shared" si="32"/>
        <v>1.9050624131223871E-3</v>
      </c>
      <c r="BS39" s="604"/>
      <c r="BT39" s="610"/>
      <c r="BU39" s="334">
        <f t="shared" si="37"/>
        <v>0</v>
      </c>
      <c r="BV39" s="612">
        <f t="shared" si="38"/>
        <v>0</v>
      </c>
      <c r="BW39" s="272"/>
      <c r="BX39" s="234">
        <f t="shared" si="39"/>
        <v>0</v>
      </c>
      <c r="BY39" s="402"/>
      <c r="BZ39" s="1137">
        <v>0</v>
      </c>
      <c r="CA39" s="628"/>
      <c r="CB39" s="334">
        <f t="shared" si="40"/>
        <v>0</v>
      </c>
      <c r="CC39" s="630">
        <f t="shared" si="41"/>
        <v>0</v>
      </c>
      <c r="CD39" s="272"/>
      <c r="CE39" s="234">
        <f t="shared" si="42"/>
        <v>0</v>
      </c>
      <c r="CF39" s="402"/>
      <c r="CG39" s="1137">
        <v>0</v>
      </c>
      <c r="CH39" s="1764">
        <v>10000</v>
      </c>
      <c r="CI39" s="334">
        <f t="shared" si="23"/>
        <v>45367.224000000002</v>
      </c>
      <c r="CJ39" s="1767">
        <f t="shared" si="24"/>
        <v>3.7350471050141601E-3</v>
      </c>
      <c r="CK39" s="272">
        <v>10000</v>
      </c>
      <c r="CL39" s="234">
        <f t="shared" si="34"/>
        <v>4470</v>
      </c>
      <c r="CM39" s="402"/>
      <c r="CN39" s="1137">
        <v>0</v>
      </c>
      <c r="CO39" s="2136"/>
      <c r="CP39" s="334">
        <f t="shared" si="26"/>
        <v>0</v>
      </c>
      <c r="CQ39" s="2070">
        <f t="shared" si="27"/>
        <v>0</v>
      </c>
      <c r="CR39" s="272"/>
      <c r="CS39" s="1258">
        <v>0</v>
      </c>
      <c r="CT39" s="402"/>
      <c r="CU39" s="1137">
        <v>0</v>
      </c>
      <c r="CX39" s="333"/>
      <c r="CY39" s="334">
        <f t="shared" si="29"/>
        <v>0</v>
      </c>
      <c r="CZ39" s="726">
        <f t="shared" si="30"/>
        <v>0</v>
      </c>
      <c r="DA39" s="272"/>
      <c r="DB39" s="234">
        <f t="shared" si="31"/>
        <v>0</v>
      </c>
      <c r="DC39" s="402"/>
      <c r="DD39" s="1137">
        <v>0</v>
      </c>
    </row>
    <row r="40" spans="1:108" ht="36" customHeight="1">
      <c r="A40" s="100">
        <f>_xlfn.XLOOKUP(P40,MOPFRA!R$7:R$78,MOPFRA!A$7:A$78,"")</f>
        <v>-1.2993818292259467</v>
      </c>
      <c r="B40" s="99"/>
      <c r="C40" s="2109">
        <f ca="1">_xlfn.XLOOKUP(P40,MOPFRA!R$7:R$78,MOPFRA!$C$7:$C$78,"")</f>
        <v>0.15070326019384275</v>
      </c>
      <c r="D40" s="99"/>
      <c r="E40" s="2120">
        <f>_xlfn.XLOOKUP(P40,MOPFRA!$R$7:$R$56,MOPFRA!$D$7:$D$56,"")</f>
        <v>1.8111582735754963</v>
      </c>
      <c r="F40" s="2110">
        <f>_xlfn.XLOOKUP($P40,MOPFRA!$R$7:$R$56,MOPFRA!$E$7:$E$56,"")</f>
        <v>1.8000000000000016</v>
      </c>
      <c r="G40" s="2121">
        <f>_xlfn.XLOOKUP($P40,MOPFRA!$R$7:$R$56,MOPFRA!$F$7:$F$56,"")</f>
        <v>0.9000000000000008</v>
      </c>
      <c r="H40" s="2124" cm="1">
        <f t="array" ref="H40">IFERROR(_xlfn.XLOOKUP(P40,'Sales Rec'!$E$37:$E$91,'Sales Rec'!$CU$37:$CU$91*100,""),"")</f>
        <v>9.4059925961879731</v>
      </c>
      <c r="I40" s="2313">
        <f>_xlfn.XLOOKUP(P40,MOPFRA!$R$7:$R$56,MOPFRA!H$7:H$56,"")</f>
        <v>0.78352180936995153</v>
      </c>
      <c r="J40" s="2313">
        <f>_xlfn.XLOOKUP(P40,MOPFRA!$R$7:$R$56,MOPFRA!J$7:J$56,"")</f>
        <v>1.5026041666666667</v>
      </c>
      <c r="K40" s="1942">
        <f>_xlfn.XLOOKUP(P40,'Sales Rec'!$E$4:$E$91,'Sales Rec'!$CV$4:$CV$91,"")</f>
        <v>30</v>
      </c>
      <c r="L40" s="2212">
        <f>_xlfn.XLOOKUP(P40,MOPFRA!R$7:R$78,MOPFRA!$L$7:$L$78,"")</f>
        <v>29</v>
      </c>
      <c r="M40" s="1586" t="str">
        <f>_xlfn.XLOOKUP(P40,'Sales Rec'!$E$4:$E$105,'Sales Rec'!$DS$4:$DS$105,"")</f>
        <v>B</v>
      </c>
      <c r="N40" s="1586" t="str">
        <f>_xlfn.XLOOKUP(P40,'Sales Rec'!$E$4:$E$105,'Sales Rec'!$DZ$4:$DZ$105,"")</f>
        <v>B</v>
      </c>
      <c r="O40" s="382" t="s">
        <v>166</v>
      </c>
      <c r="P40" s="1571" t="s">
        <v>167</v>
      </c>
      <c r="Q40" s="1929">
        <v>12</v>
      </c>
      <c r="R40" s="264">
        <f>VLOOKUP(P40,MOPFRA!$R$7:$CD$56,4,FALSE)</f>
        <v>71870</v>
      </c>
      <c r="S40" s="292">
        <f>_xlfn.XLOOKUP(P40,MOPFRA!$R$7:$R$56,MOPFRA!$V$7:$V$56,"")</f>
        <v>3</v>
      </c>
      <c r="T40" s="292">
        <f>_xlfn.XLOOKUP(P40,'دیده بان بازار'!$A$8:$A$3179,'دیده بان بازار'!$L$8:$L$3179,"")</f>
        <v>2090</v>
      </c>
      <c r="U40" s="304">
        <f>VLOOKUP(P40,MOPFRA!$R$7:$CD$56,6,FALSE)</f>
        <v>71870</v>
      </c>
      <c r="V40" s="361">
        <f>_xlfn.XLOOKUP(P40,MOPFRA!$R$7:$R$56,MOPFRA!$X$7:$X$56,"")</f>
        <v>3</v>
      </c>
      <c r="W40" s="361">
        <f>_xlfn.XLOOKUP(P40,'دیده بان بازار'!$A$8:$A$3179,'دیده بان بازار'!$I$8:$I$3179,"")</f>
        <v>2090</v>
      </c>
      <c r="X40" s="2057" t="str">
        <f>_xlfn.XLOOKUP(P40,MOPFRA!$R$7:$R$78,MOPFRA!$P$7:$P$78,"")</f>
        <v>PH</v>
      </c>
      <c r="Y40" s="2058">
        <f t="shared" ref="Y40:Y57" si="43">SUMIF($X$8:$X$80,X40,$AU$8:$AU$80)/$AU$3</f>
        <v>4.7738921908439313E-2</v>
      </c>
      <c r="Z40" s="394">
        <f>_xlfn.XLOOKUP(P40,MOPFRA!$R$7:$R$78,MOPFRA!$T$7:$T$78,"")</f>
        <v>17248.8</v>
      </c>
      <c r="AA40" s="1030">
        <f>_xlfn.XLOOKUP(P40,'Sales Rec'!$E$4:$E$93,'Sales Rec'!$DW$4:$DW$93,"")</f>
        <v>1.6817164179104476</v>
      </c>
      <c r="AB40" s="850">
        <f>_xlfn.XLOOKUP(O40,MOPFRA!$Q$7:$Q$56,MOPFRA!$AA$7:$AA$56,"")</f>
        <v>6.395262768319758E-2</v>
      </c>
      <c r="AC40" s="1221">
        <f t="shared" ref="AC40:AC57" ca="1" si="44">IFERROR(AB40*100/(365-AH40), "")</f>
        <v>0.14211695040710573</v>
      </c>
      <c r="AD40" s="825">
        <f ca="1">_xlfn.XLOOKUP(P40,MOPFRA!$R$7:$R$56,MOPFRA!$AC$7:$AC$56,"")</f>
        <v>10.44583920586477</v>
      </c>
      <c r="AE40" s="810">
        <f>_xlfn.XLOOKUP(O40,MOPFRA!$Q$7:$Q$56,MOPFRA!$AH$7:$AH$56,"")</f>
        <v>9.0517482517482506</v>
      </c>
      <c r="AF40" s="599">
        <f t="shared" ref="AF40:AF57" si="45">IFERROR(IF(AP40="B",(U40-(AQ40*1.0088))/AQ40,IF(AP40="S",(AQ40-(U40*1.0037))/AQ40,""))*100,"")</f>
        <v>-41.534559617007098</v>
      </c>
      <c r="AG40" s="308">
        <f>_xlfn.XLOOKUP(O40,MOPFRA!$Q$7:$Q$78,MOPFRA!$AM$7:$AM$78,"")</f>
        <v>0</v>
      </c>
      <c r="AH40" s="1935">
        <f ca="1">_xlfn.XLOOKUP(P40,MOPFRA!$R$7:$R$56,MOPFRA!$AI$7:$AI$56,"")</f>
        <v>320</v>
      </c>
      <c r="AI40" s="385"/>
      <c r="AJ40" s="1612">
        <f>_xlfn.XLOOKUP(P40,MOPFRA!$R$7:$R$56,MOPFRA!$AJ$7:$AJ$56,"")</f>
        <v>46194</v>
      </c>
      <c r="AK40" s="1694">
        <f>_xlfn.XLOOKUP(P40,MOPFRA!$R$7:$R$78,MOPFRA!$DY$7:$DY$78,"")</f>
        <v>5700</v>
      </c>
      <c r="AL40" s="1821">
        <f>_xlfn.XLOOKUP(P40,MOPFRA!$R$7:$R$58,MOPFRA!$AK$7:$AK$58,"")</f>
        <v>46305</v>
      </c>
      <c r="AM40" s="1825">
        <f>_xlfn.XLOOKUP($P40,MOPFRA!$R$7:$R$56,MOPFRA!$CC$7:$CC$56,"")</f>
        <v>9289</v>
      </c>
      <c r="AN40" s="1341">
        <f>_xlfn.XLOOKUP($P40,MOPFRA!$R$7:$R$56,MOPFRA!$BW$7:$BW$56,"")</f>
        <v>5.9288417264245039</v>
      </c>
      <c r="AO40" s="1207">
        <f>_xlfn.XLOOKUP($P40,MOPFRA!$R$7:$R$56,MOPFRA!$CD$7:$CD$56,"")</f>
        <v>7.74</v>
      </c>
      <c r="AP40" s="447" t="s">
        <v>603</v>
      </c>
      <c r="AQ40" s="572">
        <v>50967</v>
      </c>
      <c r="AR40" s="797"/>
      <c r="AS40" s="798"/>
      <c r="AT40" s="329"/>
      <c r="AU40" s="334">
        <f t="shared" ref="AU40:AU57" si="46">(AT40*$U40/10000)*0.9912</f>
        <v>0</v>
      </c>
      <c r="AV40" s="330">
        <f t="shared" si="7"/>
        <v>0</v>
      </c>
      <c r="AW40" s="272"/>
      <c r="AX40" s="234">
        <f t="shared" si="36"/>
        <v>0</v>
      </c>
      <c r="AY40" s="402"/>
      <c r="AZ40" s="1137">
        <v>0</v>
      </c>
      <c r="BA40" s="342"/>
      <c r="BB40" s="334">
        <f t="shared" si="9"/>
        <v>0</v>
      </c>
      <c r="BC40" s="343">
        <f t="shared" si="10"/>
        <v>0</v>
      </c>
      <c r="BD40" s="272"/>
      <c r="BE40" s="234">
        <f t="shared" si="11"/>
        <v>0</v>
      </c>
      <c r="BF40" s="402"/>
      <c r="BG40" s="1137">
        <v>0</v>
      </c>
      <c r="BH40" s="333"/>
      <c r="BI40" s="334">
        <f t="shared" si="12"/>
        <v>0</v>
      </c>
      <c r="BJ40" s="726">
        <f t="shared" si="13"/>
        <v>0</v>
      </c>
      <c r="BK40" s="310"/>
      <c r="BL40" s="234">
        <f t="shared" si="14"/>
        <v>0</v>
      </c>
      <c r="BM40" s="402"/>
      <c r="BN40" s="1137">
        <v>0</v>
      </c>
      <c r="BP40" s="720">
        <f t="shared" si="15"/>
        <v>0</v>
      </c>
      <c r="BQ40" s="721">
        <f t="shared" ref="BQ40:BQ57" si="47">BH40+BA40+AT40</f>
        <v>0</v>
      </c>
      <c r="BR40" s="722">
        <f t="shared" si="32"/>
        <v>0</v>
      </c>
      <c r="BS40" s="604"/>
      <c r="BT40" s="610"/>
      <c r="BU40" s="334">
        <f t="shared" si="37"/>
        <v>0</v>
      </c>
      <c r="BV40" s="612">
        <f t="shared" si="38"/>
        <v>0</v>
      </c>
      <c r="BW40" s="272"/>
      <c r="BX40" s="234">
        <f t="shared" si="39"/>
        <v>0</v>
      </c>
      <c r="BY40" s="402"/>
      <c r="BZ40" s="1137">
        <v>0</v>
      </c>
      <c r="CA40" s="628"/>
      <c r="CB40" s="334">
        <f t="shared" si="40"/>
        <v>0</v>
      </c>
      <c r="CC40" s="630">
        <f t="shared" si="41"/>
        <v>0</v>
      </c>
      <c r="CD40" s="272"/>
      <c r="CE40" s="234">
        <f t="shared" si="42"/>
        <v>0</v>
      </c>
      <c r="CF40" s="402"/>
      <c r="CG40" s="1137">
        <v>0</v>
      </c>
      <c r="CH40" s="1764"/>
      <c r="CI40" s="334">
        <f t="shared" ref="CI40:CI57" si="48">(CH40*$U40/10000)*0.9912</f>
        <v>0</v>
      </c>
      <c r="CJ40" s="1767">
        <f t="shared" ref="CJ40:CJ57" si="49">IFERROR(CI40/CI$3,0)</f>
        <v>0</v>
      </c>
      <c r="CK40" s="272"/>
      <c r="CL40" s="234">
        <f t="shared" si="34"/>
        <v>0</v>
      </c>
      <c r="CM40" s="402"/>
      <c r="CN40" s="1137">
        <v>0</v>
      </c>
      <c r="CO40" s="2074"/>
      <c r="CP40" s="334">
        <f t="shared" ref="CP40:CP57" si="50">(CO40*$U40/10000)*0.9912</f>
        <v>0</v>
      </c>
      <c r="CQ40" s="2070">
        <f t="shared" ref="CQ40:CQ57" si="51">IFERROR(CP40/CP$3,0)</f>
        <v>0</v>
      </c>
      <c r="CR40" s="272"/>
      <c r="CS40" s="234">
        <f t="shared" ref="CS40:CS57" si="52">$AK40*CR40/10000</f>
        <v>0</v>
      </c>
      <c r="CT40" s="402"/>
      <c r="CU40" s="1137">
        <v>0</v>
      </c>
      <c r="CX40" s="333"/>
      <c r="CY40" s="334">
        <f t="shared" si="29"/>
        <v>0</v>
      </c>
      <c r="CZ40" s="726">
        <f t="shared" si="30"/>
        <v>0</v>
      </c>
      <c r="DA40" s="310"/>
      <c r="DB40" s="234">
        <f t="shared" si="31"/>
        <v>0</v>
      </c>
      <c r="DC40" s="402"/>
      <c r="DD40" s="1137">
        <v>0</v>
      </c>
    </row>
    <row r="41" spans="1:108" ht="36" customHeight="1">
      <c r="A41" s="100">
        <f>_xlfn.XLOOKUP(P41,MOPFRA!R$7:R$78,MOPFRA!A$7:A$78,"")</f>
        <v>-2.1757077800753883</v>
      </c>
      <c r="B41" s="99"/>
      <c r="C41" s="2109">
        <f ca="1">_xlfn.XLOOKUP(P41,MOPFRA!R$7:R$78,MOPFRA!$C$7:$C$78,"")</f>
        <v>0.29432040037345641</v>
      </c>
      <c r="D41" s="99"/>
      <c r="E41" s="2120">
        <f>_xlfn.XLOOKUP(P41,MOPFRA!$R$7:$R$56,MOPFRA!$D$7:$D$56,"")</f>
        <v>0.57232885613075801</v>
      </c>
      <c r="F41" s="2110">
        <f>_xlfn.XLOOKUP($P41,MOPFRA!$R$7:$R$56,MOPFRA!$E$7:$E$56,"")</f>
        <v>-0.10000000000000009</v>
      </c>
      <c r="G41" s="2121">
        <f>_xlfn.XLOOKUP($P41,MOPFRA!$R$7:$R$56,MOPFRA!$F$7:$F$56,"")</f>
        <v>-0.40000000000000036</v>
      </c>
      <c r="H41" s="2124" cm="1">
        <f t="array" ref="H41">IFERROR(_xlfn.XLOOKUP(P41,'Sales Rec'!$E$37:$E$91,'Sales Rec'!$CU$37:$CU$91*100,""),"")</f>
        <v>5.0638005307690745</v>
      </c>
      <c r="I41" s="2313">
        <f>_xlfn.XLOOKUP(P41,MOPFRA!$R$7:$R$56,MOPFRA!H$7:H$56,"")</f>
        <v>0.36567593480345156</v>
      </c>
      <c r="J41" s="2313">
        <f>_xlfn.XLOOKUP(P41,MOPFRA!$R$7:$R$56,MOPFRA!J$7:J$56,"")</f>
        <v>0.37887485648679681</v>
      </c>
      <c r="K41" s="1942">
        <f>_xlfn.XLOOKUP(P41,'Sales Rec'!$E$4:$E$91,'Sales Rec'!$CV$4:$CV$91,"")</f>
        <v>42</v>
      </c>
      <c r="L41" s="2212">
        <f>_xlfn.XLOOKUP(P41,MOPFRA!R$7:R$78,MOPFRA!$L$7:$L$78,"")</f>
        <v>39</v>
      </c>
      <c r="M41" s="1586" t="str">
        <f>_xlfn.XLOOKUP(P41,'Sales Rec'!$E$4:$E$105,'Sales Rec'!$DS$4:$DS$105,"")</f>
        <v>N</v>
      </c>
      <c r="N41" s="1586" t="str">
        <f>_xlfn.XLOOKUP(P41,'Sales Rec'!$E$4:$E$105,'Sales Rec'!$DZ$4:$DZ$105,"")</f>
        <v>N</v>
      </c>
      <c r="O41" s="382" t="s">
        <v>183</v>
      </c>
      <c r="P41" s="1571" t="s">
        <v>184</v>
      </c>
      <c r="Q41" s="1929">
        <v>9</v>
      </c>
      <c r="R41" s="264">
        <f>VLOOKUP(P41,MOPFRA!$R$7:$CD$56,4,FALSE)</f>
        <v>6460</v>
      </c>
      <c r="S41" s="292">
        <f>_xlfn.XLOOKUP(P41,MOPFRA!$R$7:$R$56,MOPFRA!$V$7:$V$56,"")</f>
        <v>2.38</v>
      </c>
      <c r="T41" s="292">
        <f>_xlfn.XLOOKUP(P41,'دیده بان بازار'!$A$8:$A$3179,'دیده بان بازار'!$L$8:$L$3179,"")</f>
        <v>150</v>
      </c>
      <c r="U41" s="304">
        <f>VLOOKUP(P41,MOPFRA!$R$7:$CD$56,6,FALSE)</f>
        <v>6490</v>
      </c>
      <c r="V41" s="361">
        <f>_xlfn.XLOOKUP(P41,MOPFRA!$R$7:$R$56,MOPFRA!$X$7:$X$56,"")</f>
        <v>2.85</v>
      </c>
      <c r="W41" s="361">
        <f>_xlfn.XLOOKUP(P41,'دیده بان بازار'!$A$8:$A$3179,'دیده بان بازار'!$I$8:$I$3179,"")</f>
        <v>180</v>
      </c>
      <c r="X41" s="2057" t="str">
        <f>_xlfn.XLOOKUP(P41,MOPFRA!$R$7:$R$78,MOPFRA!$P$7:$P$78,"")</f>
        <v>T</v>
      </c>
      <c r="Y41" s="2058">
        <f t="shared" si="43"/>
        <v>7.9953684353221857E-4</v>
      </c>
      <c r="Z41" s="394">
        <f>_xlfn.XLOOKUP(P41,MOPFRA!$R$7:$R$78,MOPFRA!$T$7:$T$78,"")</f>
        <v>8871.0512000000017</v>
      </c>
      <c r="AA41" s="1030">
        <f>_xlfn.XLOOKUP(P41,'Sales Rec'!$E$4:$E$93,'Sales Rec'!$DW$4:$DW$93,"")</f>
        <v>0.25289575289575283</v>
      </c>
      <c r="AB41" s="850">
        <f>_xlfn.XLOOKUP(O41,MOPFRA!$Q$7:$Q$56,MOPFRA!$AA$7:$AA$56,"")</f>
        <v>0.13862805801565931</v>
      </c>
      <c r="AC41" s="1221">
        <f t="shared" ca="1" si="44"/>
        <v>0.12955893272491523</v>
      </c>
      <c r="AD41" s="825">
        <f ca="1">_xlfn.XLOOKUP(P41,MOPFRA!$R$7:$R$56,MOPFRA!$AC$7:$AC$56,"")</f>
        <v>11.701640974083819</v>
      </c>
      <c r="AE41" s="810">
        <f>_xlfn.XLOOKUP(O41,MOPFRA!$Q$7:$Q$56,MOPFRA!$AH$7:$AH$56,"")</f>
        <v>8.2023352697095451</v>
      </c>
      <c r="AF41" s="599" t="str">
        <f t="shared" si="45"/>
        <v/>
      </c>
      <c r="AG41" s="308">
        <f>_xlfn.XLOOKUP(O41,MOPFRA!$Q$7:$Q$78,MOPFRA!$AM$7:$AM$78,"")</f>
        <v>0</v>
      </c>
      <c r="AH41" s="1935">
        <f ca="1">_xlfn.XLOOKUP(P41,MOPFRA!$R$7:$R$56,MOPFRA!$AI$7:$AI$56,"")</f>
        <v>258</v>
      </c>
      <c r="AI41" s="385"/>
      <c r="AJ41" s="1612">
        <f>_xlfn.XLOOKUP(P41,MOPFRA!$R$7:$R$56,MOPFRA!$AJ$7:$AJ$56,"")</f>
        <v>46132</v>
      </c>
      <c r="AK41" s="1691">
        <f>_xlfn.XLOOKUP(P41,MOPFRA!$R$7:$R$78,MOPFRA!$DY$7:$DY$78,"")</f>
        <v>580</v>
      </c>
      <c r="AL41" s="1829">
        <f>_xlfn.XLOOKUP(P41,MOPFRA!$R$7:$R$58,MOPFRA!$AK$7:$AK$58,"")</f>
        <v>46201</v>
      </c>
      <c r="AM41" s="1825">
        <f>_xlfn.XLOOKUP($P41,MOPFRA!$R$7:$R$56,MOPFRA!$CC$7:$CC$56,"")</f>
        <v>1338</v>
      </c>
      <c r="AN41" s="1341">
        <f>_xlfn.XLOOKUP($P41,MOPFRA!$R$7:$R$56,MOPFRA!$BW$7:$BW$56,"")</f>
        <v>4.2576711438692421</v>
      </c>
      <c r="AO41" s="1207">
        <f>_xlfn.XLOOKUP($P41,MOPFRA!$R$7:$R$56,MOPFRA!$CD$7:$CD$56,"")</f>
        <v>4.83</v>
      </c>
      <c r="AP41" s="447"/>
      <c r="AQ41" s="572"/>
      <c r="AR41" s="797"/>
      <c r="AS41" s="798"/>
      <c r="AT41" s="329"/>
      <c r="AU41" s="334">
        <f t="shared" si="46"/>
        <v>0</v>
      </c>
      <c r="AV41" s="330">
        <f t="shared" si="7"/>
        <v>0</v>
      </c>
      <c r="AW41" s="272"/>
      <c r="AX41" s="234">
        <f t="shared" si="36"/>
        <v>0</v>
      </c>
      <c r="AY41" s="402">
        <v>2000</v>
      </c>
      <c r="AZ41" s="1137">
        <v>0</v>
      </c>
      <c r="BA41" s="342"/>
      <c r="BB41" s="334">
        <f t="shared" si="9"/>
        <v>0</v>
      </c>
      <c r="BC41" s="343">
        <f t="shared" si="10"/>
        <v>0</v>
      </c>
      <c r="BD41" s="272"/>
      <c r="BE41" s="234">
        <f t="shared" si="11"/>
        <v>0</v>
      </c>
      <c r="BF41" s="402"/>
      <c r="BG41" s="1137">
        <v>0</v>
      </c>
      <c r="BH41" s="333"/>
      <c r="BI41" s="334">
        <f t="shared" si="12"/>
        <v>0</v>
      </c>
      <c r="BJ41" s="726">
        <f t="shared" si="13"/>
        <v>0</v>
      </c>
      <c r="BK41" s="272"/>
      <c r="BL41" s="234">
        <f t="shared" si="14"/>
        <v>0</v>
      </c>
      <c r="BM41" s="402"/>
      <c r="BN41" s="1137">
        <v>0</v>
      </c>
      <c r="BP41" s="720">
        <f t="shared" si="15"/>
        <v>0</v>
      </c>
      <c r="BQ41" s="721">
        <f t="shared" si="47"/>
        <v>0</v>
      </c>
      <c r="BR41" s="722">
        <f t="shared" si="32"/>
        <v>0</v>
      </c>
      <c r="BS41" s="604"/>
      <c r="BT41" s="610"/>
      <c r="BU41" s="334">
        <f t="shared" si="37"/>
        <v>0</v>
      </c>
      <c r="BV41" s="612">
        <f t="shared" si="38"/>
        <v>0</v>
      </c>
      <c r="BW41" s="272"/>
      <c r="BX41" s="234">
        <f t="shared" si="39"/>
        <v>0</v>
      </c>
      <c r="BY41" s="402"/>
      <c r="BZ41" s="1137">
        <v>0</v>
      </c>
      <c r="CA41" s="628"/>
      <c r="CB41" s="334">
        <f t="shared" si="40"/>
        <v>0</v>
      </c>
      <c r="CC41" s="630">
        <f t="shared" si="41"/>
        <v>0</v>
      </c>
      <c r="CD41" s="272"/>
      <c r="CE41" s="234">
        <f t="shared" si="42"/>
        <v>0</v>
      </c>
      <c r="CF41" s="402"/>
      <c r="CG41" s="1137">
        <v>0</v>
      </c>
      <c r="CH41" s="2012"/>
      <c r="CI41" s="334">
        <f t="shared" si="48"/>
        <v>0</v>
      </c>
      <c r="CJ41" s="1767">
        <f t="shared" si="49"/>
        <v>0</v>
      </c>
      <c r="CK41" s="272"/>
      <c r="CL41" s="1258">
        <v>0</v>
      </c>
      <c r="CM41" s="402"/>
      <c r="CN41" s="1137">
        <v>0</v>
      </c>
      <c r="CO41" s="2074"/>
      <c r="CP41" s="334">
        <f t="shared" si="50"/>
        <v>0</v>
      </c>
      <c r="CQ41" s="2070">
        <f t="shared" si="51"/>
        <v>0</v>
      </c>
      <c r="CR41" s="272"/>
      <c r="CS41" s="234">
        <f t="shared" si="52"/>
        <v>0</v>
      </c>
      <c r="CT41" s="402"/>
      <c r="CU41" s="1137">
        <v>0</v>
      </c>
      <c r="CX41" s="333"/>
      <c r="CY41" s="334">
        <f t="shared" si="29"/>
        <v>0</v>
      </c>
      <c r="CZ41" s="726">
        <f t="shared" si="30"/>
        <v>0</v>
      </c>
      <c r="DA41" s="272"/>
      <c r="DB41" s="234">
        <f t="shared" si="31"/>
        <v>0</v>
      </c>
      <c r="DC41" s="402"/>
      <c r="DD41" s="1137">
        <v>0</v>
      </c>
    </row>
    <row r="42" spans="1:108" ht="36" customHeight="1">
      <c r="A42" s="100">
        <f>_xlfn.XLOOKUP(P42,MOPFRA!R$7:R$78,MOPFRA!A$7:A$78,"")</f>
        <v>-1.4993665976421144</v>
      </c>
      <c r="B42" s="99"/>
      <c r="C42" s="2109">
        <f ca="1">_xlfn.XLOOKUP(P42,MOPFRA!R$7:R$78,MOPFRA!$C$7:$C$78,"")</f>
        <v>0.10424401815710072</v>
      </c>
      <c r="D42" s="99"/>
      <c r="E42" s="2120">
        <f>_xlfn.XLOOKUP(P42,MOPFRA!$R$7:$R$56,MOPFRA!$D$7:$D$56,"")</f>
        <v>4.798743132917819</v>
      </c>
      <c r="F42" s="2110">
        <f>_xlfn.XLOOKUP($P42,MOPFRA!$R$7:$R$56,MOPFRA!$E$7:$E$56,"")</f>
        <v>16.100000000000001</v>
      </c>
      <c r="G42" s="2121">
        <f>_xlfn.XLOOKUP($P42,MOPFRA!$R$7:$R$56,MOPFRA!$F$7:$F$56,"")</f>
        <v>12.100000000000005</v>
      </c>
      <c r="H42" s="2124" cm="1">
        <f t="array" ref="H42">IFERROR(_xlfn.XLOOKUP(P42,'Sales Rec'!$E$37:$E$91,'Sales Rec'!$CU$37:$CU$91*100,""),"")</f>
        <v>16.71763188591131</v>
      </c>
      <c r="I42" s="2313">
        <f>_xlfn.XLOOKUP(P42,MOPFRA!$R$7:$R$56,MOPFRA!H$7:H$56,"")</f>
        <v>1.9947422373598758</v>
      </c>
      <c r="J42" s="2313">
        <f>_xlfn.XLOOKUP(P42,MOPFRA!$R$7:$R$56,MOPFRA!J$7:J$56,"")</f>
        <v>0.32530838448245036</v>
      </c>
      <c r="K42" s="1942">
        <f>_xlfn.XLOOKUP(P42,'Sales Rec'!$E$4:$E$91,'Sales Rec'!$CV$4:$CV$91,"")</f>
        <v>6</v>
      </c>
      <c r="L42" s="2212">
        <f>_xlfn.XLOOKUP(P42,MOPFRA!R$7:R$78,MOPFRA!$L$7:$L$78,"")</f>
        <v>27</v>
      </c>
      <c r="M42" s="1586" t="str">
        <f>_xlfn.XLOOKUP(P42,'Sales Rec'!$E$4:$E$105,'Sales Rec'!$DS$4:$DS$105,"")</f>
        <v>BB</v>
      </c>
      <c r="N42" s="1586" t="str">
        <f>_xlfn.XLOOKUP(P42,'Sales Rec'!$E$4:$E$105,'Sales Rec'!$DZ$4:$DZ$105,"")</f>
        <v>BB</v>
      </c>
      <c r="O42" s="382" t="s">
        <v>126</v>
      </c>
      <c r="P42" s="1571" t="s">
        <v>127</v>
      </c>
      <c r="Q42" s="1929">
        <f>VLOOKUP(P42,MOPFRA!$R$7:$CF$78,2,FALSE)</f>
        <v>12</v>
      </c>
      <c r="R42" s="264">
        <f>VLOOKUP(P42,MOPFRA!$R$7:$CD$56,4,FALSE)</f>
        <v>16220</v>
      </c>
      <c r="S42" s="292">
        <f>_xlfn.XLOOKUP(P42,MOPFRA!$R$7:$R$56,MOPFRA!$V$7:$V$56,"")</f>
        <v>2.98</v>
      </c>
      <c r="T42" s="292">
        <f>_xlfn.XLOOKUP(P42,'دیده بان بازار'!$A$8:$A$3179,'دیده بان بازار'!$L$8:$L$3179,"")</f>
        <v>470</v>
      </c>
      <c r="U42" s="304">
        <f>VLOOKUP(P42,MOPFRA!$R$7:$CD$56,6,FALSE)</f>
        <v>16220</v>
      </c>
      <c r="V42" s="361">
        <f>_xlfn.XLOOKUP(P42,MOPFRA!$R$7:$R$56,MOPFRA!$X$7:$X$56,"")</f>
        <v>2.98</v>
      </c>
      <c r="W42" s="361">
        <f>_xlfn.XLOOKUP(P42,'دیده بان بازار'!$A$8:$A$3179,'دیده بان بازار'!$I$8:$I$3179,"")</f>
        <v>470</v>
      </c>
      <c r="X42" s="2057" t="str">
        <f>_xlfn.XLOOKUP(P42,MOPFRA!$R$7:$R$78,MOPFRA!$P$7:$P$78,"")</f>
        <v>CO</v>
      </c>
      <c r="Y42" s="2058">
        <f t="shared" si="43"/>
        <v>0</v>
      </c>
      <c r="Z42" s="394">
        <f>_xlfn.XLOOKUP(P42,MOPFRA!$R$7:$R$78,MOPFRA!$T$7:$T$78,"")</f>
        <v>2335680</v>
      </c>
      <c r="AA42" s="1030">
        <f>_xlfn.XLOOKUP(P42,'Sales Rec'!$E$4:$E$93,'Sales Rec'!$DW$4:$DW$93,"")</f>
        <v>2.2302713467762012</v>
      </c>
      <c r="AB42" s="850">
        <f>_xlfn.XLOOKUP(O42,MOPFRA!$Q$7:$Q$56,MOPFRA!$AA$7:$AA$56,"")</f>
        <v>0.11095890410958904</v>
      </c>
      <c r="AC42" s="1221">
        <f t="shared" ca="1" si="44"/>
        <v>0.79256360078277888</v>
      </c>
      <c r="AD42" s="825">
        <f ca="1">_xlfn.XLOOKUP(P42,MOPFRA!$R$7:$R$56,MOPFRA!$AC$7:$AC$56,"")</f>
        <v>-54.598825831702541</v>
      </c>
      <c r="AE42" s="810">
        <f>_xlfn.XLOOKUP(O42,MOPFRA!$Q$7:$Q$56,MOPFRA!$AH$7:$AH$56,"")</f>
        <v>10.143511450381679</v>
      </c>
      <c r="AF42" s="599" t="str">
        <f t="shared" si="45"/>
        <v/>
      </c>
      <c r="AG42" s="308">
        <f>_xlfn.XLOOKUP(O42,MOPFRA!$Q$7:$Q$78,MOPFRA!$AM$7:$AM$78,"")</f>
        <v>0</v>
      </c>
      <c r="AH42" s="1935">
        <f ca="1">_xlfn.XLOOKUP(P42,MOPFRA!$R$7:$R$56,MOPFRA!$AI$7:$AI$56,"")</f>
        <v>351</v>
      </c>
      <c r="AI42" s="385"/>
      <c r="AJ42" s="1612">
        <f>_xlfn.XLOOKUP(P42,MOPFRA!$R$7:$R$56,MOPFRA!$AJ$7:$AJ$56,"")</f>
        <v>46225</v>
      </c>
      <c r="AK42" s="1691">
        <f>_xlfn.XLOOKUP(P42,MOPFRA!$R$7:$R$78,MOPFRA!$DY$7:$DY$78,"")</f>
        <v>450</v>
      </c>
      <c r="AL42" s="1821">
        <f>_xlfn.XLOOKUP(P42,MOPFRA!$R$7:$R$58,MOPFRA!$AK$7:$AK$58,"")</f>
        <v>46275</v>
      </c>
      <c r="AM42" s="1825">
        <f>_xlfn.XLOOKUP($P42,MOPFRA!$R$7:$R$56,MOPFRA!$CC$7:$CC$56,"")</f>
        <v>1411</v>
      </c>
      <c r="AN42" s="1341">
        <f>_xlfn.XLOOKUP($P42,MOPFRA!$R$7:$R$56,MOPFRA!$BW$7:$BW$56,"")</f>
        <v>6.701256867082181</v>
      </c>
      <c r="AO42" s="1207">
        <f>_xlfn.XLOOKUP($P42,MOPFRA!$R$7:$R$56,MOPFRA!$CD$7:$CD$56,"")</f>
        <v>11.5</v>
      </c>
      <c r="AP42" s="447"/>
      <c r="AQ42" s="572"/>
      <c r="AR42" s="797"/>
      <c r="AS42" s="798" t="str">
        <f>IF(AR42&lt;1,"",(U42-AR42)/AR42)</f>
        <v/>
      </c>
      <c r="AT42" s="329"/>
      <c r="AU42" s="334">
        <f t="shared" si="46"/>
        <v>0</v>
      </c>
      <c r="AV42" s="330">
        <f t="shared" si="7"/>
        <v>0</v>
      </c>
      <c r="AW42" s="272"/>
      <c r="AX42" s="234">
        <f t="shared" si="36"/>
        <v>0</v>
      </c>
      <c r="AY42" s="402">
        <v>3915</v>
      </c>
      <c r="AZ42" s="1137">
        <v>0</v>
      </c>
      <c r="BA42" s="342"/>
      <c r="BB42" s="334">
        <f t="shared" si="9"/>
        <v>0</v>
      </c>
      <c r="BC42" s="343">
        <f t="shared" si="10"/>
        <v>0</v>
      </c>
      <c r="BD42" s="272"/>
      <c r="BE42" s="234">
        <f t="shared" si="11"/>
        <v>0</v>
      </c>
      <c r="BF42" s="402"/>
      <c r="BG42" s="1137">
        <v>0</v>
      </c>
      <c r="BH42" s="333"/>
      <c r="BI42" s="334">
        <f t="shared" si="12"/>
        <v>0</v>
      </c>
      <c r="BJ42" s="726">
        <f t="shared" si="13"/>
        <v>0</v>
      </c>
      <c r="BK42" s="310"/>
      <c r="BL42" s="234">
        <f t="shared" si="14"/>
        <v>0</v>
      </c>
      <c r="BM42" s="402"/>
      <c r="BN42" s="1137">
        <v>0</v>
      </c>
      <c r="BP42" s="720">
        <f t="shared" si="15"/>
        <v>0</v>
      </c>
      <c r="BQ42" s="721">
        <f t="shared" si="47"/>
        <v>0</v>
      </c>
      <c r="BR42" s="722">
        <f t="shared" si="32"/>
        <v>0</v>
      </c>
      <c r="BS42" s="604"/>
      <c r="BT42" s="610"/>
      <c r="BU42" s="334">
        <f t="shared" si="37"/>
        <v>0</v>
      </c>
      <c r="BV42" s="612">
        <f t="shared" si="38"/>
        <v>0</v>
      </c>
      <c r="BW42" s="272"/>
      <c r="BX42" s="234">
        <f t="shared" si="39"/>
        <v>0</v>
      </c>
      <c r="BY42" s="402"/>
      <c r="BZ42" s="1137">
        <v>0</v>
      </c>
      <c r="CA42" s="628"/>
      <c r="CB42" s="334">
        <f t="shared" si="40"/>
        <v>0</v>
      </c>
      <c r="CC42" s="630">
        <f t="shared" si="41"/>
        <v>0</v>
      </c>
      <c r="CD42" s="272"/>
      <c r="CE42" s="234">
        <f t="shared" si="42"/>
        <v>0</v>
      </c>
      <c r="CF42" s="402"/>
      <c r="CG42" s="1137">
        <v>0</v>
      </c>
      <c r="CH42" s="1764"/>
      <c r="CI42" s="334">
        <f t="shared" si="48"/>
        <v>0</v>
      </c>
      <c r="CJ42" s="1767">
        <f t="shared" si="49"/>
        <v>0</v>
      </c>
      <c r="CK42" s="272"/>
      <c r="CL42" s="234">
        <f t="shared" ref="CL42:CL57" si="53">$AK42*CK42/10000</f>
        <v>0</v>
      </c>
      <c r="CM42" s="402"/>
      <c r="CN42" s="1137">
        <v>0</v>
      </c>
      <c r="CO42" s="2074"/>
      <c r="CP42" s="334">
        <f t="shared" si="50"/>
        <v>0</v>
      </c>
      <c r="CQ42" s="2070">
        <f t="shared" si="51"/>
        <v>0</v>
      </c>
      <c r="CR42" s="272"/>
      <c r="CS42" s="234">
        <f t="shared" si="52"/>
        <v>0</v>
      </c>
      <c r="CT42" s="402"/>
      <c r="CU42" s="1137">
        <v>0</v>
      </c>
      <c r="CX42" s="333"/>
      <c r="CY42" s="334">
        <f t="shared" si="29"/>
        <v>0</v>
      </c>
      <c r="CZ42" s="726">
        <f t="shared" si="30"/>
        <v>0</v>
      </c>
      <c r="DA42" s="310"/>
      <c r="DB42" s="234">
        <f t="shared" si="31"/>
        <v>0</v>
      </c>
      <c r="DC42" s="402"/>
      <c r="DD42" s="1137">
        <v>0</v>
      </c>
    </row>
    <row r="43" spans="1:108" ht="36" customHeight="1">
      <c r="A43" s="100">
        <f>_xlfn.XLOOKUP(P43,MOPFRA!R$7:R$78,MOPFRA!A$7:A$78,"")</f>
        <v>-5.9376752563919073</v>
      </c>
      <c r="B43" s="99"/>
      <c r="C43" s="2109">
        <f ca="1">_xlfn.XLOOKUP(P43,MOPFRA!R$7:R$78,MOPFRA!$C$7:$C$78,"")</f>
        <v>0.2297958682724818</v>
      </c>
      <c r="D43" s="99"/>
      <c r="E43" s="2120">
        <f>_xlfn.XLOOKUP(P43,MOPFRA!$R$7:$R$56,MOPFRA!$D$7:$D$56,"")</f>
        <v>2.2617537840290107</v>
      </c>
      <c r="F43" s="2110">
        <f>_xlfn.XLOOKUP($P43,MOPFRA!$R$7:$R$56,MOPFRA!$E$7:$E$56,"")</f>
        <v>6.3</v>
      </c>
      <c r="G43" s="2121">
        <f>_xlfn.XLOOKUP($P43,MOPFRA!$R$7:$R$56,MOPFRA!$F$7:$F$56,"")</f>
        <v>6.9999999999999991</v>
      </c>
      <c r="H43" s="2124" cm="1">
        <f t="array" ref="H43">IFERROR(_xlfn.XLOOKUP(P43,'Sales Rec'!$E$37:$E$91,'Sales Rec'!$CU$37:$CU$91*100,""),"")</f>
        <v>-2.7937537200233953</v>
      </c>
      <c r="I43" s="2313">
        <f>_xlfn.XLOOKUP(P43,MOPFRA!$R$7:$R$56,MOPFRA!H$7:H$56,"")</f>
        <v>1.1472814865794907</v>
      </c>
      <c r="J43" s="2313">
        <f>_xlfn.XLOOKUP(P43,MOPFRA!$R$7:$R$56,MOPFRA!J$7:J$56,"")</f>
        <v>0.58688819039066009</v>
      </c>
      <c r="K43" s="1942">
        <f>_xlfn.XLOOKUP(P43,'Sales Rec'!$E$4:$E$91,'Sales Rec'!$CV$4:$CV$91,"")</f>
        <v>16</v>
      </c>
      <c r="L43" s="2212">
        <f>_xlfn.XLOOKUP(P43,MOPFRA!R$7:R$78,MOPFRA!$L$7:$L$78,"")</f>
        <v>35</v>
      </c>
      <c r="M43" s="1586" t="str">
        <f>_xlfn.XLOOKUP(P43,'Sales Rec'!$E$4:$E$105,'Sales Rec'!$DS$4:$DS$105,"")</f>
        <v>BB</v>
      </c>
      <c r="N43" s="1586" t="str">
        <f>_xlfn.XLOOKUP(P43,'Sales Rec'!$E$4:$E$105,'Sales Rec'!$DZ$4:$DZ$105,"")</f>
        <v>BB</v>
      </c>
      <c r="O43" s="382" t="s">
        <v>90</v>
      </c>
      <c r="P43" s="1571" t="s">
        <v>91</v>
      </c>
      <c r="Q43" s="1929">
        <v>9</v>
      </c>
      <c r="R43" s="264">
        <f>VLOOKUP(P43,MOPFRA!$R$7:$CD$56,4,FALSE)</f>
        <v>3440</v>
      </c>
      <c r="S43" s="292">
        <f>_xlfn.XLOOKUP(P43,MOPFRA!$R$7:$R$56,MOPFRA!$V$7:$V$56,"")</f>
        <v>2.99</v>
      </c>
      <c r="T43" s="292">
        <f>_xlfn.XLOOKUP(P43,'دیده بان بازار'!$A$8:$A$3179,'دیده بان بازار'!$L$8:$L$3179,"")</f>
        <v>100</v>
      </c>
      <c r="U43" s="304">
        <f>VLOOKUP(P43,MOPFRA!$R$7:$CD$56,6,FALSE)</f>
        <v>3440</v>
      </c>
      <c r="V43" s="361">
        <f>_xlfn.XLOOKUP(P43,MOPFRA!$R$7:$R$56,MOPFRA!$X$7:$X$56,"")</f>
        <v>2.99</v>
      </c>
      <c r="W43" s="361">
        <f>_xlfn.XLOOKUP(P43,'دیده بان بازار'!$A$8:$A$3179,'دیده بان بازار'!$I$8:$I$3179,"")</f>
        <v>100</v>
      </c>
      <c r="X43" s="2057" t="str">
        <f>_xlfn.XLOOKUP(P43,MOPFRA!$R$7:$R$78,MOPFRA!$P$7:$P$78,"")</f>
        <v>DH</v>
      </c>
      <c r="Y43" s="2058">
        <f t="shared" si="43"/>
        <v>1.577659424704566E-2</v>
      </c>
      <c r="Z43" s="394">
        <f>_xlfn.XLOOKUP(P43,MOPFRA!$R$7:$R$78,MOPFRA!$T$7:$T$78,"")</f>
        <v>6123.2</v>
      </c>
      <c r="AA43" s="1030">
        <f>_xlfn.XLOOKUP(P43,'Sales Rec'!$E$4:$E$93,'Sales Rec'!$DW$4:$DW$93,"")</f>
        <v>1.6851194078283824</v>
      </c>
      <c r="AB43" s="850">
        <f>_xlfn.XLOOKUP(O43,MOPFRA!$Q$7:$Q$56,MOPFRA!$AA$7:$AA$56,"")</f>
        <v>1.2306739526411656</v>
      </c>
      <c r="AC43" s="1221">
        <f t="shared" ca="1" si="44"/>
        <v>0.88537694434616232</v>
      </c>
      <c r="AD43" s="825">
        <f ca="1">_xlfn.XLOOKUP(P43,MOPFRA!$R$7:$R$56,MOPFRA!$AC$7:$AC$56,"")</f>
        <v>-63.880160188040897</v>
      </c>
      <c r="AE43" s="810">
        <f>_xlfn.XLOOKUP(O43,MOPFRA!$Q$7:$Q$56,MOPFRA!$AH$7:$AH$56,"")</f>
        <v>2.6578255675029867</v>
      </c>
      <c r="AF43" s="599">
        <f t="shared" si="45"/>
        <v>-1.2530205278592395</v>
      </c>
      <c r="AG43" s="308">
        <f>_xlfn.XLOOKUP(O43,MOPFRA!$Q$7:$Q$78,MOPFRA!$AM$7:$AM$78,"")</f>
        <v>0</v>
      </c>
      <c r="AH43" s="1935">
        <f ca="1">_xlfn.XLOOKUP(P43,MOPFRA!$R$7:$R$56,MOPFRA!$AI$7:$AI$56,"")</f>
        <v>226</v>
      </c>
      <c r="AI43" s="385"/>
      <c r="AJ43" s="1612">
        <f>_xlfn.XLOOKUP(P43,MOPFRA!$R$7:$R$56,MOPFRA!$AJ$7:$AJ$56,"")</f>
        <v>46100</v>
      </c>
      <c r="AK43" s="1828">
        <f>_xlfn.XLOOKUP(P43,MOPFRA!$R$7:$R$78,MOPFRA!$DY$7:$DY$78,"")</f>
        <v>30</v>
      </c>
      <c r="AL43" s="1829">
        <f>_xlfn.XLOOKUP(P43,MOPFRA!$R$7:$R$58,MOPFRA!$AK$7:$AK$58,"")</f>
        <v>46204</v>
      </c>
      <c r="AM43" s="1825">
        <f>_xlfn.XLOOKUP($P43,MOPFRA!$R$7:$R$56,MOPFRA!$CC$7:$CC$56,"")</f>
        <v>590</v>
      </c>
      <c r="AN43" s="1341">
        <f>_xlfn.XLOOKUP($P43,MOPFRA!$R$7:$R$56,MOPFRA!$BW$7:$BW$56,"")</f>
        <v>3.5682462159709893</v>
      </c>
      <c r="AO43" s="1207">
        <f>_xlfn.XLOOKUP($P43,MOPFRA!$R$7:$R$56,MOPFRA!$CD$7:$CD$56,"")</f>
        <v>5.83</v>
      </c>
      <c r="AP43" s="447" t="s">
        <v>603</v>
      </c>
      <c r="AQ43" s="572">
        <v>3410</v>
      </c>
      <c r="AR43" s="797">
        <v>1783</v>
      </c>
      <c r="AS43" s="798">
        <f>IF(AR43&lt;1,"",(U43-AR43)/AR43)</f>
        <v>0.92933258553000564</v>
      </c>
      <c r="AT43" s="329">
        <v>2100000</v>
      </c>
      <c r="AU43" s="334">
        <f t="shared" si="46"/>
        <v>716042.88</v>
      </c>
      <c r="AV43" s="330">
        <f t="shared" si="7"/>
        <v>1.5561771386193177E-2</v>
      </c>
      <c r="AW43" s="272"/>
      <c r="AX43" s="234">
        <f t="shared" si="36"/>
        <v>0</v>
      </c>
      <c r="AY43" s="402">
        <v>30005</v>
      </c>
      <c r="AZ43" s="1137">
        <v>0</v>
      </c>
      <c r="BA43" s="342">
        <v>250000</v>
      </c>
      <c r="BB43" s="334">
        <f t="shared" si="9"/>
        <v>85243.199999999997</v>
      </c>
      <c r="BC43" s="343">
        <f t="shared" si="10"/>
        <v>3.8165420157749443E-3</v>
      </c>
      <c r="BD43" s="272"/>
      <c r="BE43" s="234">
        <f t="shared" si="11"/>
        <v>0</v>
      </c>
      <c r="BF43" s="402">
        <v>1868</v>
      </c>
      <c r="BG43" s="1137">
        <v>0</v>
      </c>
      <c r="BH43" s="333">
        <v>70000</v>
      </c>
      <c r="BI43" s="334">
        <f t="shared" si="12"/>
        <v>23868.095999999998</v>
      </c>
      <c r="BJ43" s="726">
        <f t="shared" si="13"/>
        <v>1.5448655141498369E-2</v>
      </c>
      <c r="BK43" s="272"/>
      <c r="BL43" s="234">
        <f t="shared" si="14"/>
        <v>0</v>
      </c>
      <c r="BM43" s="402">
        <v>639</v>
      </c>
      <c r="BN43" s="1137">
        <v>0</v>
      </c>
      <c r="BP43" s="720">
        <f t="shared" si="15"/>
        <v>825154.17599999998</v>
      </c>
      <c r="BQ43" s="721">
        <f t="shared" si="47"/>
        <v>2420000</v>
      </c>
      <c r="BR43" s="722">
        <f t="shared" si="32"/>
        <v>3.4649909496965801E-2</v>
      </c>
      <c r="BS43" s="604"/>
      <c r="BT43" s="610">
        <v>60000</v>
      </c>
      <c r="BU43" s="334">
        <f t="shared" si="37"/>
        <v>20458.367999999999</v>
      </c>
      <c r="BV43" s="612">
        <f t="shared" si="38"/>
        <v>1.2431274133847261E-2</v>
      </c>
      <c r="BW43" s="272"/>
      <c r="BX43" s="234">
        <f t="shared" si="39"/>
        <v>0</v>
      </c>
      <c r="BY43" s="402">
        <v>717</v>
      </c>
      <c r="BZ43" s="1137">
        <v>0</v>
      </c>
      <c r="CA43" s="628">
        <v>15000</v>
      </c>
      <c r="CB43" s="334">
        <f t="shared" si="40"/>
        <v>5114.5919999999996</v>
      </c>
      <c r="CC43" s="630">
        <f t="shared" si="41"/>
        <v>1.9308782839472644E-2</v>
      </c>
      <c r="CD43" s="272"/>
      <c r="CE43" s="234">
        <f t="shared" si="42"/>
        <v>0</v>
      </c>
      <c r="CF43" s="402">
        <v>143</v>
      </c>
      <c r="CG43" s="1137">
        <v>0</v>
      </c>
      <c r="CH43" s="1764"/>
      <c r="CI43" s="334">
        <f t="shared" si="48"/>
        <v>0</v>
      </c>
      <c r="CJ43" s="1767">
        <f t="shared" si="49"/>
        <v>0</v>
      </c>
      <c r="CK43" s="272"/>
      <c r="CL43" s="234">
        <f t="shared" si="53"/>
        <v>0</v>
      </c>
      <c r="CM43" s="402"/>
      <c r="CN43" s="1137">
        <v>0</v>
      </c>
      <c r="CO43" s="2074"/>
      <c r="CP43" s="334">
        <f t="shared" si="50"/>
        <v>0</v>
      </c>
      <c r="CQ43" s="2070">
        <f t="shared" si="51"/>
        <v>0</v>
      </c>
      <c r="CR43" s="272"/>
      <c r="CS43" s="234">
        <f t="shared" si="52"/>
        <v>0</v>
      </c>
      <c r="CT43" s="402"/>
      <c r="CU43" s="1137">
        <v>0</v>
      </c>
      <c r="CX43" s="333">
        <v>70000</v>
      </c>
      <c r="CY43" s="334">
        <f t="shared" si="29"/>
        <v>23868.095999999998</v>
      </c>
      <c r="CZ43" s="726">
        <f t="shared" si="30"/>
        <v>1.5448655141498369E-2</v>
      </c>
      <c r="DA43" s="272">
        <v>79593</v>
      </c>
      <c r="DB43" s="234">
        <f t="shared" si="31"/>
        <v>238.779</v>
      </c>
      <c r="DC43" s="402">
        <v>400</v>
      </c>
      <c r="DD43" s="1137">
        <v>0</v>
      </c>
    </row>
    <row r="44" spans="1:108" ht="36" customHeight="1">
      <c r="A44" s="100">
        <f>_xlfn.XLOOKUP(P44,MOPFRA!R$7:R$78,MOPFRA!A$7:A$78,"")</f>
        <v>-5.7512781330747558</v>
      </c>
      <c r="B44" s="99"/>
      <c r="C44" s="2109">
        <f ca="1">_xlfn.XLOOKUP(P44,MOPFRA!R$7:R$78,MOPFRA!$C$7:$C$78,"")</f>
        <v>0.27163999423886426</v>
      </c>
      <c r="D44" s="99"/>
      <c r="E44" s="2120">
        <f>_xlfn.XLOOKUP(P44,MOPFRA!$R$7:$R$56,MOPFRA!$D$7:$D$56,"")</f>
        <v>1.3149756002114987</v>
      </c>
      <c r="F44" s="2110">
        <f>_xlfn.XLOOKUP($P44,MOPFRA!$R$7:$R$56,MOPFRA!$E$7:$E$56,"")</f>
        <v>7.5000000000000009</v>
      </c>
      <c r="G44" s="2121">
        <f>_xlfn.XLOOKUP($P44,MOPFRA!$R$7:$R$56,MOPFRA!$F$7:$F$56,"")</f>
        <v>11.800000000000002</v>
      </c>
      <c r="H44" s="2124" cm="1">
        <f t="array" ref="H44">IFERROR(_xlfn.XLOOKUP(P44,'Sales Rec'!$E$37:$E$91,'Sales Rec'!$CU$37:$CU$91*100,""),"")</f>
        <v>16.09671302149178</v>
      </c>
      <c r="I44" s="2313">
        <f>_xlfn.XLOOKUP(P44,MOPFRA!$R$7:$R$56,MOPFRA!H$7:H$56,"")</f>
        <v>0.48928571428571427</v>
      </c>
      <c r="J44" s="2313">
        <f>_xlfn.XLOOKUP(P44,MOPFRA!$R$7:$R$56,MOPFRA!J$7:J$56,"")</f>
        <v>0.28121059268600251</v>
      </c>
      <c r="K44" s="1942">
        <f>_xlfn.XLOOKUP(P44,'Sales Rec'!$E$4:$E$91,'Sales Rec'!$CV$4:$CV$91,"")</f>
        <v>37</v>
      </c>
      <c r="L44" s="2210">
        <f>_xlfn.XLOOKUP(P44,MOPFRA!R$7:R$78,MOPFRA!$L$7:$L$78,"")</f>
        <v>33</v>
      </c>
      <c r="M44" s="1586" t="str">
        <f>_xlfn.XLOOKUP(P44,'Sales Rec'!$E$4:$E$105,'Sales Rec'!$DS$4:$DS$105,"")</f>
        <v>B</v>
      </c>
      <c r="N44" s="1586" t="str">
        <f>_xlfn.XLOOKUP(P44,'Sales Rec'!$E$4:$E$105,'Sales Rec'!$DZ$4:$DZ$105,"")</f>
        <v>B</v>
      </c>
      <c r="O44" s="382" t="s">
        <v>132</v>
      </c>
      <c r="P44" s="1571" t="s">
        <v>133</v>
      </c>
      <c r="Q44" s="1929">
        <v>3</v>
      </c>
      <c r="R44" s="264">
        <f>VLOOKUP(P44,MOPFRA!$R$7:$CD$56,4,FALSE)</f>
        <v>4690</v>
      </c>
      <c r="S44" s="292">
        <f>_xlfn.XLOOKUP(P44,MOPFRA!$R$7:$R$56,MOPFRA!$V$7:$V$56,"")</f>
        <v>-1.68</v>
      </c>
      <c r="T44" s="292">
        <f>_xlfn.XLOOKUP(P44,'دیده بان بازار'!$A$8:$A$3179,'دیده بان بازار'!$L$8:$L$3179,"")</f>
        <v>-80</v>
      </c>
      <c r="U44" s="304">
        <f>VLOOKUP(P44,MOPFRA!$R$7:$CD$56,6,FALSE)</f>
        <v>4720</v>
      </c>
      <c r="V44" s="361">
        <f>_xlfn.XLOOKUP(P44,MOPFRA!$R$7:$R$56,MOPFRA!$X$7:$X$56,"")</f>
        <v>-1.05</v>
      </c>
      <c r="W44" s="361">
        <f>_xlfn.XLOOKUP(P44,'دیده بان بازار'!$A$8:$A$3179,'دیده بان بازار'!$I$8:$I$3179,"")</f>
        <v>-50</v>
      </c>
      <c r="X44" s="2057" t="str">
        <f>_xlfn.XLOOKUP(P44,MOPFRA!$R$7:$R$78,MOPFRA!$P$7:$P$78,"")</f>
        <v>KN</v>
      </c>
      <c r="Y44" s="2058">
        <f t="shared" si="43"/>
        <v>0</v>
      </c>
      <c r="Z44" s="394">
        <f>_xlfn.XLOOKUP(P44,MOPFRA!$R$7:$R$78,MOPFRA!$T$7:$T$78,"")</f>
        <v>7788</v>
      </c>
      <c r="AA44" s="1030">
        <f>_xlfn.XLOOKUP(P44,'Sales Rec'!$E$4:$E$93,'Sales Rec'!$DW$4:$DW$93,"")</f>
        <v>1.9854522454142949</v>
      </c>
      <c r="AB44" s="850">
        <f>_xlfn.XLOOKUP(O44,MOPFRA!$Q$7:$Q$56,MOPFRA!$AA$7:$AA$56,"")</f>
        <v>2.1555915721231766</v>
      </c>
      <c r="AC44" s="1221">
        <f t="shared" ca="1" si="44"/>
        <v>0.74075311756810192</v>
      </c>
      <c r="AD44" s="825">
        <f ca="1">_xlfn.XLOOKUP(P44,MOPFRA!$R$7:$R$56,MOPFRA!$AC$7:$AC$56,"")</f>
        <v>-49.417777510234849</v>
      </c>
      <c r="AE44" s="810">
        <f>_xlfn.XLOOKUP(O44,MOPFRA!$Q$7:$Q$56,MOPFRA!$AH$7:$AH$56,"")</f>
        <v>1.9300225733634311</v>
      </c>
      <c r="AF44" s="599">
        <f t="shared" si="45"/>
        <v>-34.28185941043084</v>
      </c>
      <c r="AG44" s="308">
        <f>_xlfn.XLOOKUP(O44,MOPFRA!$Q$7:$Q$78,MOPFRA!$AM$7:$AM$78,"")</f>
        <v>0</v>
      </c>
      <c r="AH44" s="1935">
        <f ca="1">_xlfn.XLOOKUP(P44,MOPFRA!$R$7:$R$56,MOPFRA!$AI$7:$AI$56,"")</f>
        <v>74</v>
      </c>
      <c r="AI44" s="385"/>
      <c r="AJ44" s="1612">
        <f>_xlfn.XLOOKUP(P44,MOPFRA!$R$7:$R$56,MOPFRA!$AJ$7:$AJ$56,"")</f>
        <v>45948</v>
      </c>
      <c r="AK44" s="1828">
        <f>_xlfn.XLOOKUP(P44,MOPFRA!$R$7:$R$78,MOPFRA!$DY$7:$DY$78,"")</f>
        <v>150</v>
      </c>
      <c r="AL44" s="1829">
        <f>_xlfn.XLOOKUP(P44,MOPFRA!$R$7:$R$58,MOPFRA!$AK$7:$AK$58,"")</f>
        <v>46063</v>
      </c>
      <c r="AM44" s="1825">
        <f>_xlfn.XLOOKUP($P44,MOPFRA!$R$7:$R$56,MOPFRA!$CC$7:$CC$56,"")</f>
        <v>742</v>
      </c>
      <c r="AN44" s="1341">
        <f>_xlfn.XLOOKUP($P44,MOPFRA!$R$7:$R$56,MOPFRA!$BW$7:$BW$56,"")</f>
        <v>5.0050243997885016</v>
      </c>
      <c r="AO44" s="1207">
        <f>_xlfn.XLOOKUP($P44,MOPFRA!$R$7:$R$56,MOPFRA!$CD$7:$CD$56,"")</f>
        <v>6.32</v>
      </c>
      <c r="AP44" s="447" t="s">
        <v>603</v>
      </c>
      <c r="AQ44" s="572">
        <v>3528</v>
      </c>
      <c r="AR44" s="797"/>
      <c r="AS44" s="798"/>
      <c r="AT44" s="329"/>
      <c r="AU44" s="334">
        <f t="shared" si="46"/>
        <v>0</v>
      </c>
      <c r="AV44" s="330">
        <f t="shared" si="7"/>
        <v>0</v>
      </c>
      <c r="AW44" s="272"/>
      <c r="AX44" s="234">
        <f t="shared" si="36"/>
        <v>0</v>
      </c>
      <c r="AY44" s="402">
        <v>14250</v>
      </c>
      <c r="AZ44" s="1137">
        <v>0</v>
      </c>
      <c r="BA44" s="342"/>
      <c r="BB44" s="334">
        <f t="shared" si="9"/>
        <v>0</v>
      </c>
      <c r="BC44" s="343">
        <f t="shared" si="10"/>
        <v>0</v>
      </c>
      <c r="BD44" s="272"/>
      <c r="BE44" s="234">
        <f t="shared" si="11"/>
        <v>0</v>
      </c>
      <c r="BF44" s="402">
        <v>1500</v>
      </c>
      <c r="BG44" s="1137">
        <v>0</v>
      </c>
      <c r="BH44" s="333"/>
      <c r="BI44" s="334">
        <f t="shared" si="12"/>
        <v>0</v>
      </c>
      <c r="BJ44" s="726">
        <f t="shared" si="13"/>
        <v>0</v>
      </c>
      <c r="BK44" s="310"/>
      <c r="BL44" s="234">
        <f t="shared" si="14"/>
        <v>0</v>
      </c>
      <c r="BM44" s="402">
        <v>225</v>
      </c>
      <c r="BN44" s="1137">
        <v>0</v>
      </c>
      <c r="BP44" s="720">
        <f t="shared" si="15"/>
        <v>0</v>
      </c>
      <c r="BQ44" s="721">
        <f t="shared" si="47"/>
        <v>0</v>
      </c>
      <c r="BR44" s="722">
        <f t="shared" si="32"/>
        <v>0</v>
      </c>
      <c r="BS44" s="604"/>
      <c r="BT44" s="610"/>
      <c r="BU44" s="334">
        <f t="shared" si="37"/>
        <v>0</v>
      </c>
      <c r="BV44" s="612">
        <f t="shared" si="38"/>
        <v>0</v>
      </c>
      <c r="BW44" s="272"/>
      <c r="BX44" s="234">
        <f t="shared" si="39"/>
        <v>0</v>
      </c>
      <c r="BY44" s="402">
        <v>201</v>
      </c>
      <c r="BZ44" s="1137">
        <v>0</v>
      </c>
      <c r="CA44" s="628"/>
      <c r="CB44" s="334">
        <f t="shared" si="40"/>
        <v>0</v>
      </c>
      <c r="CC44" s="630">
        <f t="shared" si="41"/>
        <v>0</v>
      </c>
      <c r="CD44" s="272"/>
      <c r="CE44" s="234">
        <f t="shared" si="42"/>
        <v>0</v>
      </c>
      <c r="CF44" s="402">
        <v>150</v>
      </c>
      <c r="CG44" s="1137">
        <v>0</v>
      </c>
      <c r="CH44" s="1764"/>
      <c r="CI44" s="334">
        <f t="shared" si="48"/>
        <v>0</v>
      </c>
      <c r="CJ44" s="1767">
        <f t="shared" si="49"/>
        <v>0</v>
      </c>
      <c r="CK44" s="272"/>
      <c r="CL44" s="234">
        <f t="shared" si="53"/>
        <v>0</v>
      </c>
      <c r="CM44" s="402"/>
      <c r="CN44" s="1137">
        <v>0</v>
      </c>
      <c r="CO44" s="2074"/>
      <c r="CP44" s="334">
        <f t="shared" si="50"/>
        <v>0</v>
      </c>
      <c r="CQ44" s="2070">
        <f t="shared" si="51"/>
        <v>0</v>
      </c>
      <c r="CR44" s="272"/>
      <c r="CS44" s="234">
        <f t="shared" si="52"/>
        <v>0</v>
      </c>
      <c r="CT44" s="402"/>
      <c r="CU44" s="1137">
        <v>0</v>
      </c>
      <c r="CX44" s="333"/>
      <c r="CY44" s="334">
        <f t="shared" si="29"/>
        <v>0</v>
      </c>
      <c r="CZ44" s="726">
        <f t="shared" si="30"/>
        <v>0</v>
      </c>
      <c r="DA44" s="310"/>
      <c r="DB44" s="234">
        <f t="shared" si="31"/>
        <v>0</v>
      </c>
      <c r="DC44" s="402">
        <v>225</v>
      </c>
      <c r="DD44" s="1137">
        <v>0</v>
      </c>
    </row>
    <row r="45" spans="1:108" ht="36" customHeight="1">
      <c r="A45" s="100">
        <f>_xlfn.XLOOKUP(P45,MOPFRA!R$7:R$78,MOPFRA!A$7:A$78,"")</f>
        <v>-8.6546666382605597</v>
      </c>
      <c r="B45" s="99"/>
      <c r="C45" s="2109">
        <f ca="1">_xlfn.XLOOKUP(P45,MOPFRA!R$7:R$78,MOPFRA!$C$7:$C$78,"")</f>
        <v>0.23472749772549714</v>
      </c>
      <c r="D45" s="99"/>
      <c r="E45" s="2120">
        <f>_xlfn.XLOOKUP(P45,MOPFRA!$R$7:$R$56,MOPFRA!$D$7:$D$56,"")</f>
        <v>4.537898119489828</v>
      </c>
      <c r="F45" s="2110">
        <f>_xlfn.XLOOKUP($P45,MOPFRA!$R$7:$R$56,MOPFRA!$E$7:$E$56,"")</f>
        <v>-7.3000000000000007</v>
      </c>
      <c r="G45" s="2121">
        <f>_xlfn.XLOOKUP($P45,MOPFRA!$R$7:$R$56,MOPFRA!$F$7:$F$56,"")</f>
        <v>-8.6999999999999993</v>
      </c>
      <c r="H45" s="2124" cm="1">
        <f t="array" ref="H45">IFERROR(_xlfn.XLOOKUP(P45,'Sales Rec'!$E$37:$E$91,'Sales Rec'!$CU$37:$CU$91*100,""),"")</f>
        <v>2.4256361467676566</v>
      </c>
      <c r="I45" s="2313">
        <f>_xlfn.XLOOKUP(P45,MOPFRA!$R$7:$R$56,MOPFRA!H$7:H$56,"")</f>
        <v>0.37074665376552168</v>
      </c>
      <c r="J45" s="2313">
        <f>_xlfn.XLOOKUP(P45,MOPFRA!$R$7:$R$56,MOPFRA!J$7:J$56,"")</f>
        <v>0.80921206453121342</v>
      </c>
      <c r="K45" s="1942">
        <f>_xlfn.XLOOKUP(P45,'Sales Rec'!$E$4:$E$91,'Sales Rec'!$CV$4:$CV$91,"")</f>
        <v>40</v>
      </c>
      <c r="L45" s="2212">
        <f>_xlfn.XLOOKUP(P45,MOPFRA!R$7:R$78,MOPFRA!$L$7:$L$78,"")</f>
        <v>38</v>
      </c>
      <c r="M45" s="1586" t="str">
        <f>_xlfn.XLOOKUP(P45,'Sales Rec'!$E$4:$E$105,'Sales Rec'!$DS$4:$DS$105,"")</f>
        <v>N</v>
      </c>
      <c r="N45" s="1586" t="str">
        <f>_xlfn.XLOOKUP(P45,'Sales Rec'!$E$4:$E$105,'Sales Rec'!$DZ$4:$DZ$105,"")</f>
        <v>N</v>
      </c>
      <c r="O45" s="382" t="s">
        <v>88</v>
      </c>
      <c r="P45" s="1571" t="s">
        <v>89</v>
      </c>
      <c r="Q45" s="1929">
        <v>12</v>
      </c>
      <c r="R45" s="264">
        <f>VLOOKUP(P45,MOPFRA!$R$7:$CD$56,4,FALSE)</f>
        <v>152900</v>
      </c>
      <c r="S45" s="292">
        <f>_xlfn.XLOOKUP(P45,MOPFRA!$R$7:$R$56,MOPFRA!$V$7:$V$56,"")</f>
        <v>2.96</v>
      </c>
      <c r="T45" s="292">
        <f>_xlfn.XLOOKUP(P45,'دیده بان بازار'!$A$8:$A$3179,'دیده بان بازار'!$L$8:$L$3179,"")</f>
        <v>4400</v>
      </c>
      <c r="U45" s="304">
        <f>VLOOKUP(P45,MOPFRA!$R$7:$CD$56,6,FALSE)</f>
        <v>152900</v>
      </c>
      <c r="V45" s="361">
        <f>_xlfn.XLOOKUP(P45,MOPFRA!$R$7:$R$56,MOPFRA!$X$7:$X$56,"")</f>
        <v>2.96</v>
      </c>
      <c r="W45" s="361">
        <f>_xlfn.XLOOKUP(P45,'دیده بان بازار'!$A$8:$A$3179,'دیده بان بازار'!$I$8:$I$3179,"")</f>
        <v>4400</v>
      </c>
      <c r="X45" s="2057" t="str">
        <f>_xlfn.XLOOKUP(P45,MOPFRA!$R$7:$R$78,MOPFRA!$P$7:$P$78,"")</f>
        <v>AL</v>
      </c>
      <c r="Y45" s="2058">
        <f t="shared" si="43"/>
        <v>0</v>
      </c>
      <c r="Z45" s="394">
        <f>_xlfn.XLOOKUP(P45,MOPFRA!$R$7:$R$78,MOPFRA!$T$7:$T$78,"")</f>
        <v>30576.468010000001</v>
      </c>
      <c r="AA45" s="1030">
        <f>_xlfn.XLOOKUP(P45,'Sales Rec'!$E$4:$E$93,'Sales Rec'!$DW$4:$DW$93,"")</f>
        <v>1.3826438097093432</v>
      </c>
      <c r="AB45" s="850">
        <f>_xlfn.XLOOKUP(O45,MOPFRA!$Q$7:$Q$56,MOPFRA!$AA$7:$AA$56,"")</f>
        <v>8.1625385050762334E-2</v>
      </c>
      <c r="AC45" s="1221">
        <f t="shared" ca="1" si="44"/>
        <v>0.24007466191400684</v>
      </c>
      <c r="AD45" s="825">
        <f ca="1">_xlfn.XLOOKUP(P45,MOPFRA!$R$7:$R$56,MOPFRA!$AC$7:$AC$56,"")</f>
        <v>0.65006805517465849</v>
      </c>
      <c r="AE45" s="810" t="str">
        <f>_xlfn.XLOOKUP(O45,MOPFRA!$Q$7:$Q$56,MOPFRA!$AH$7:$AH$56,"")</f>
        <v/>
      </c>
      <c r="AF45" s="599" t="str">
        <f t="shared" si="45"/>
        <v/>
      </c>
      <c r="AG45" s="308">
        <f>_xlfn.XLOOKUP(O45,MOPFRA!$Q$7:$Q$78,MOPFRA!$AM$7:$AM$78,"")</f>
        <v>0</v>
      </c>
      <c r="AH45" s="1935">
        <f ca="1">_xlfn.XLOOKUP(P45,MOPFRA!$R$7:$R$56,MOPFRA!$AI$7:$AI$56,"")</f>
        <v>331</v>
      </c>
      <c r="AI45" s="385"/>
      <c r="AJ45" s="1612">
        <f>_xlfn.XLOOKUP(P45,MOPFRA!$R$7:$R$56,MOPFRA!$AJ$7:$AJ$56,"")</f>
        <v>46205</v>
      </c>
      <c r="AK45" s="1691">
        <f>_xlfn.XLOOKUP(P45,MOPFRA!$R$7:$R$78,MOPFRA!$DY$7:$DY$78,"")</f>
        <v>1640</v>
      </c>
      <c r="AL45" s="1821">
        <f>_xlfn.XLOOKUP(P45,MOPFRA!$R$7:$R$58,MOPFRA!$AK$7:$AK$58,"")</f>
        <v>46319</v>
      </c>
      <c r="AM45" s="1825">
        <f>_xlfn.XLOOKUP($P45,MOPFRA!$R$7:$R$56,MOPFRA!$CC$7:$CC$56,"")</f>
        <v>16822</v>
      </c>
      <c r="AN45" s="1341">
        <f>_xlfn.XLOOKUP($P45,MOPFRA!$R$7:$R$56,MOPFRA!$BW$7:$BW$56,"")</f>
        <v>4.5521018805101718</v>
      </c>
      <c r="AO45" s="1207">
        <f>_xlfn.XLOOKUP($P45,MOPFRA!$R$7:$R$56,MOPFRA!$CD$7:$CD$56,"")</f>
        <v>9.09</v>
      </c>
      <c r="AP45" s="447"/>
      <c r="AQ45" s="572"/>
      <c r="AR45" s="797"/>
      <c r="AS45" s="798"/>
      <c r="AT45" s="329"/>
      <c r="AU45" s="334">
        <f t="shared" si="46"/>
        <v>0</v>
      </c>
      <c r="AV45" s="330">
        <f t="shared" si="7"/>
        <v>0</v>
      </c>
      <c r="AW45" s="272"/>
      <c r="AX45" s="234">
        <f t="shared" si="36"/>
        <v>0</v>
      </c>
      <c r="AY45" s="402">
        <v>3500</v>
      </c>
      <c r="AZ45" s="1137">
        <v>0</v>
      </c>
      <c r="BA45" s="342"/>
      <c r="BB45" s="334">
        <f t="shared" si="9"/>
        <v>0</v>
      </c>
      <c r="BC45" s="343">
        <f t="shared" si="10"/>
        <v>0</v>
      </c>
      <c r="BD45" s="272"/>
      <c r="BE45" s="234">
        <f t="shared" si="11"/>
        <v>0</v>
      </c>
      <c r="BF45" s="402">
        <v>2100</v>
      </c>
      <c r="BG45" s="1137">
        <v>0</v>
      </c>
      <c r="BH45" s="333"/>
      <c r="BI45" s="334">
        <f t="shared" si="12"/>
        <v>0</v>
      </c>
      <c r="BJ45" s="726">
        <f t="shared" si="13"/>
        <v>0</v>
      </c>
      <c r="BK45" s="310"/>
      <c r="BL45" s="234">
        <f t="shared" si="14"/>
        <v>0</v>
      </c>
      <c r="BM45" s="402">
        <v>648</v>
      </c>
      <c r="BN45" s="1137">
        <v>0</v>
      </c>
      <c r="BP45" s="720">
        <f t="shared" si="15"/>
        <v>0</v>
      </c>
      <c r="BQ45" s="721">
        <f t="shared" si="47"/>
        <v>0</v>
      </c>
      <c r="BR45" s="722">
        <f t="shared" si="32"/>
        <v>0</v>
      </c>
      <c r="BS45" s="604"/>
      <c r="BT45" s="610"/>
      <c r="BU45" s="334">
        <f t="shared" si="37"/>
        <v>0</v>
      </c>
      <c r="BV45" s="612">
        <f t="shared" si="38"/>
        <v>0</v>
      </c>
      <c r="BW45" s="272"/>
      <c r="BX45" s="234">
        <f t="shared" si="39"/>
        <v>0</v>
      </c>
      <c r="BY45" s="402">
        <v>700</v>
      </c>
      <c r="BZ45" s="1137">
        <v>0</v>
      </c>
      <c r="CA45" s="628"/>
      <c r="CB45" s="334">
        <f t="shared" si="40"/>
        <v>0</v>
      </c>
      <c r="CC45" s="630">
        <f t="shared" si="41"/>
        <v>0</v>
      </c>
      <c r="CD45" s="272"/>
      <c r="CE45" s="234">
        <f t="shared" si="42"/>
        <v>0</v>
      </c>
      <c r="CF45" s="402">
        <v>700</v>
      </c>
      <c r="CG45" s="1137">
        <v>0</v>
      </c>
      <c r="CH45" s="1764"/>
      <c r="CI45" s="334">
        <f t="shared" si="48"/>
        <v>0</v>
      </c>
      <c r="CJ45" s="1767">
        <f t="shared" si="49"/>
        <v>0</v>
      </c>
      <c r="CK45" s="272"/>
      <c r="CL45" s="234">
        <f t="shared" si="53"/>
        <v>0</v>
      </c>
      <c r="CM45" s="402"/>
      <c r="CN45" s="1137">
        <v>0</v>
      </c>
      <c r="CO45" s="2074"/>
      <c r="CP45" s="334">
        <f t="shared" si="50"/>
        <v>0</v>
      </c>
      <c r="CQ45" s="2070">
        <f t="shared" si="51"/>
        <v>0</v>
      </c>
      <c r="CR45" s="272"/>
      <c r="CS45" s="234">
        <f t="shared" si="52"/>
        <v>0</v>
      </c>
      <c r="CT45" s="402"/>
      <c r="CU45" s="1137">
        <v>0</v>
      </c>
      <c r="CX45" s="333"/>
      <c r="CY45" s="334">
        <f t="shared" si="29"/>
        <v>0</v>
      </c>
      <c r="CZ45" s="726">
        <f t="shared" si="30"/>
        <v>0</v>
      </c>
      <c r="DA45" s="310"/>
      <c r="DB45" s="234">
        <f t="shared" si="31"/>
        <v>0</v>
      </c>
      <c r="DC45" s="402">
        <v>648</v>
      </c>
      <c r="DD45" s="1137">
        <v>0</v>
      </c>
    </row>
    <row r="46" spans="1:108" ht="36" customHeight="1">
      <c r="A46" s="100">
        <f>_xlfn.XLOOKUP(P46,MOPFRA!R$7:R$78,MOPFRA!A$7:A$78,"")</f>
        <v>-12.256156490777114</v>
      </c>
      <c r="B46" s="99"/>
      <c r="C46" s="2109">
        <f ca="1">_xlfn.XLOOKUP(P46,MOPFRA!R$7:R$78,MOPFRA!$C$7:$C$78,"")</f>
        <v>0.18409280641838785</v>
      </c>
      <c r="D46" s="99"/>
      <c r="E46" s="2120">
        <f>_xlfn.XLOOKUP(P46,MOPFRA!$R$7:$R$56,MOPFRA!$D$7:$D$56,"")</f>
        <v>13.374336488953677</v>
      </c>
      <c r="F46" s="2110">
        <f>_xlfn.XLOOKUP($P46,MOPFRA!$R$7:$R$56,MOPFRA!$E$7:$E$56,"")</f>
        <v>6.9</v>
      </c>
      <c r="G46" s="2121">
        <f>_xlfn.XLOOKUP($P46,MOPFRA!$R$7:$R$56,MOPFRA!$F$7:$F$56,"")</f>
        <v>10.5</v>
      </c>
      <c r="H46" s="2124" cm="1">
        <f t="array" ref="H46">IFERROR(_xlfn.XLOOKUP(P46,'Sales Rec'!$E$37:$E$91,'Sales Rec'!$CU$37:$CU$91*100,""),"")</f>
        <v>47.041027332134391</v>
      </c>
      <c r="I46" s="2313">
        <f>_xlfn.XLOOKUP(P46,MOPFRA!$R$7:$R$56,MOPFRA!H$7:H$56,"")</f>
        <v>1.354436158879927</v>
      </c>
      <c r="J46" s="2313">
        <f>_xlfn.XLOOKUP(P46,MOPFRA!$R$7:$R$56,MOPFRA!J$7:J$56,"")</f>
        <v>0.98828025477707004</v>
      </c>
      <c r="K46" s="1942">
        <f>_xlfn.XLOOKUP(P46,'Sales Rec'!$E$4:$E$91,'Sales Rec'!$CV$4:$CV$91,"")</f>
        <v>13</v>
      </c>
      <c r="L46" s="2212">
        <f>_xlfn.XLOOKUP(P46,MOPFRA!R$7:R$78,MOPFRA!$L$7:$L$78,"")</f>
        <v>31</v>
      </c>
      <c r="M46" s="1586" t="str">
        <f>_xlfn.XLOOKUP(P46,'Sales Rec'!$E$4:$E$105,'Sales Rec'!$DS$4:$DS$105,"")</f>
        <v>B</v>
      </c>
      <c r="N46" s="1586" t="str">
        <f>_xlfn.XLOOKUP(P46,'Sales Rec'!$E$4:$E$105,'Sales Rec'!$DZ$4:$DZ$105,"")</f>
        <v>B</v>
      </c>
      <c r="O46" s="382" t="s">
        <v>122</v>
      </c>
      <c r="P46" s="1571" t="s">
        <v>123</v>
      </c>
      <c r="Q46" s="1929">
        <f>VLOOKUP(P46,MOPFRA!$R$7:$CF$78,2,FALSE)</f>
        <v>9</v>
      </c>
      <c r="R46" s="264">
        <f>VLOOKUP(P46,MOPFRA!$R$7:$CD$56,4,FALSE)</f>
        <v>2795</v>
      </c>
      <c r="S46" s="292">
        <f>_xlfn.XLOOKUP(P46,MOPFRA!$R$7:$R$56,MOPFRA!$V$7:$V$56,"")</f>
        <v>2.98</v>
      </c>
      <c r="T46" s="292">
        <f>_xlfn.XLOOKUP(P46,'دیده بان بازار'!$A$8:$A$3179,'دیده بان بازار'!$L$8:$L$3179,"")</f>
        <v>81</v>
      </c>
      <c r="U46" s="304">
        <f>VLOOKUP(P46,MOPFRA!$R$7:$CD$56,6,FALSE)</f>
        <v>2795</v>
      </c>
      <c r="V46" s="361">
        <f>_xlfn.XLOOKUP(P46,MOPFRA!$R$7:$R$56,MOPFRA!$X$7:$X$56,"")</f>
        <v>2.98</v>
      </c>
      <c r="W46" s="361">
        <f>_xlfn.XLOOKUP(P46,'دیده بان بازار'!$A$8:$A$3179,'دیده بان بازار'!$I$8:$I$3179,"")</f>
        <v>81</v>
      </c>
      <c r="X46" s="2057" t="str">
        <f>_xlfn.XLOOKUP(P46,MOPFRA!$R$7:$R$78,MOPFRA!$P$7:$P$78,"")</f>
        <v>M</v>
      </c>
      <c r="Y46" s="2058">
        <f t="shared" si="43"/>
        <v>3.6049848974958443E-2</v>
      </c>
      <c r="Z46" s="394">
        <f>_xlfn.XLOOKUP(P46,MOPFRA!$R$7:$R$78,MOPFRA!$T$7:$T$78,"")</f>
        <v>13975</v>
      </c>
      <c r="AA46" s="1030">
        <f>_xlfn.XLOOKUP(P46,'Sales Rec'!$E$4:$E$93,'Sales Rec'!$DW$4:$DW$93,"")</f>
        <v>-0.26621160409556316</v>
      </c>
      <c r="AB46" s="850">
        <f>_xlfn.XLOOKUP(O46,MOPFRA!$Q$7:$Q$56,MOPFRA!$AA$7:$AA$56,"")</f>
        <v>0.38985579313774243</v>
      </c>
      <c r="AC46" s="1221">
        <f t="shared" ca="1" si="44"/>
        <v>8.2771930602493091E-2</v>
      </c>
      <c r="AD46" s="825">
        <f ca="1">_xlfn.XLOOKUP(P46,MOPFRA!$R$7:$R$56,MOPFRA!$AC$7:$AC$56,"")</f>
        <v>16.380341186326035</v>
      </c>
      <c r="AE46" s="810" t="str">
        <f>_xlfn.XLOOKUP(O46,MOPFRA!$Q$7:$Q$56,MOPFRA!$AH$7:$AH$56,"")</f>
        <v/>
      </c>
      <c r="AF46" s="599">
        <f t="shared" si="45"/>
        <v>6.8271290944123404</v>
      </c>
      <c r="AG46" s="308">
        <f>_xlfn.XLOOKUP(O46,MOPFRA!$Q$7:$Q$78,MOPFRA!$AM$7:$AM$78,"")</f>
        <v>0</v>
      </c>
      <c r="AH46" s="1935">
        <f ca="1">_xlfn.XLOOKUP(P46,MOPFRA!$R$7:$R$56,MOPFRA!$AI$7:$AI$56,"")</f>
        <v>-106</v>
      </c>
      <c r="AI46" s="385"/>
      <c r="AJ46" s="1612">
        <f>_xlfn.XLOOKUP(P46,MOPFRA!$R$7:$R$56,MOPFRA!$AJ$7:$AJ$56,"")</f>
        <v>45768</v>
      </c>
      <c r="AK46" s="1828">
        <f>_xlfn.XLOOKUP(P46,MOPFRA!$R$7:$R$78,MOPFRA!$DY$7:$DY$78,"")</f>
        <v>105</v>
      </c>
      <c r="AL46" s="1829">
        <f>_xlfn.XLOOKUP(P46,MOPFRA!$R$7:$R$58,MOPFRA!$AK$7:$AK$58,"")</f>
        <v>46204</v>
      </c>
      <c r="AM46" s="1825">
        <f>_xlfn.XLOOKUP($P46,MOPFRA!$R$7:$R$56,MOPFRA!$CC$7:$CC$56,"")</f>
        <v>158</v>
      </c>
      <c r="AN46" s="1341">
        <f>_xlfn.XLOOKUP($P46,MOPFRA!$R$7:$R$56,MOPFRA!$BW$7:$BW$56,"")</f>
        <v>4.3156635110463251</v>
      </c>
      <c r="AO46" s="1207">
        <f>_xlfn.XLOOKUP($P46,MOPFRA!$R$7:$R$56,MOPFRA!$CD$7:$CD$56,"")</f>
        <v>17.690000000000001</v>
      </c>
      <c r="AP46" s="448" t="s">
        <v>197</v>
      </c>
      <c r="AQ46" s="571">
        <v>2595</v>
      </c>
      <c r="AR46" s="572">
        <v>3603</v>
      </c>
      <c r="AS46" s="836">
        <f t="shared" ref="AS46:AS51" si="54">IF(AR46&lt;1,"",(U46-AR46)/AR46)</f>
        <v>-0.22425756314182627</v>
      </c>
      <c r="AT46" s="329">
        <v>2678001</v>
      </c>
      <c r="AU46" s="334">
        <f t="shared" si="46"/>
        <v>741914.46824039996</v>
      </c>
      <c r="AV46" s="330">
        <f t="shared" si="7"/>
        <v>1.6124039028034443E-2</v>
      </c>
      <c r="AW46" s="272"/>
      <c r="AX46" s="234">
        <f t="shared" si="36"/>
        <v>0</v>
      </c>
      <c r="AY46" s="402">
        <v>103250</v>
      </c>
      <c r="AZ46" s="1137">
        <v>0</v>
      </c>
      <c r="BA46" s="342">
        <v>250000</v>
      </c>
      <c r="BB46" s="334">
        <f t="shared" si="9"/>
        <v>69260.099999999991</v>
      </c>
      <c r="BC46" s="343">
        <f t="shared" si="10"/>
        <v>3.1009403878171421E-3</v>
      </c>
      <c r="BD46" s="272"/>
      <c r="BE46" s="234">
        <f t="shared" si="11"/>
        <v>0</v>
      </c>
      <c r="BF46" s="402">
        <v>20125</v>
      </c>
      <c r="BG46" s="1137">
        <v>0</v>
      </c>
      <c r="BH46" s="333">
        <v>40000</v>
      </c>
      <c r="BI46" s="334">
        <f t="shared" si="12"/>
        <v>11081.616</v>
      </c>
      <c r="BJ46" s="726">
        <f t="shared" si="13"/>
        <v>7.172589887124243E-3</v>
      </c>
      <c r="BK46" s="310"/>
      <c r="BL46" s="234">
        <f t="shared" si="14"/>
        <v>0</v>
      </c>
      <c r="BM46" s="402">
        <v>4083</v>
      </c>
      <c r="BN46" s="1137">
        <v>0</v>
      </c>
      <c r="BP46" s="720">
        <f t="shared" si="15"/>
        <v>822256.18424039998</v>
      </c>
      <c r="BQ46" s="721">
        <f t="shared" si="47"/>
        <v>2968001</v>
      </c>
      <c r="BR46" s="722">
        <f t="shared" si="32"/>
        <v>3.4528216902886155E-2</v>
      </c>
      <c r="BS46" s="604"/>
      <c r="BT46" s="610">
        <v>100000</v>
      </c>
      <c r="BU46" s="334">
        <f t="shared" si="37"/>
        <v>27704.04</v>
      </c>
      <c r="BV46" s="612">
        <f t="shared" si="38"/>
        <v>1.68340170562515E-2</v>
      </c>
      <c r="BW46" s="272"/>
      <c r="BX46" s="234">
        <f t="shared" si="39"/>
        <v>0</v>
      </c>
      <c r="BY46" s="402">
        <v>7112</v>
      </c>
      <c r="BZ46" s="1137">
        <v>0</v>
      </c>
      <c r="CA46" s="628">
        <v>22000</v>
      </c>
      <c r="CB46" s="334">
        <f t="shared" si="40"/>
        <v>6094.8887999999997</v>
      </c>
      <c r="CC46" s="630">
        <f t="shared" si="41"/>
        <v>2.30096328837049E-2</v>
      </c>
      <c r="CD46" s="272"/>
      <c r="CE46" s="234">
        <f t="shared" si="42"/>
        <v>0</v>
      </c>
      <c r="CF46" s="402">
        <v>1964</v>
      </c>
      <c r="CG46" s="1137">
        <v>0</v>
      </c>
      <c r="CH46" s="1764">
        <v>200000</v>
      </c>
      <c r="CI46" s="334">
        <f t="shared" si="48"/>
        <v>55408.08</v>
      </c>
      <c r="CJ46" s="1767">
        <f t="shared" si="49"/>
        <v>4.5617027129187578E-3</v>
      </c>
      <c r="CK46" s="272"/>
      <c r="CL46" s="234">
        <f t="shared" si="53"/>
        <v>0</v>
      </c>
      <c r="CM46" s="402"/>
      <c r="CN46" s="1137">
        <v>0</v>
      </c>
      <c r="CO46" s="2074"/>
      <c r="CP46" s="334">
        <f t="shared" si="50"/>
        <v>0</v>
      </c>
      <c r="CQ46" s="2070">
        <f t="shared" si="51"/>
        <v>0</v>
      </c>
      <c r="CR46" s="272"/>
      <c r="CS46" s="234">
        <f t="shared" si="52"/>
        <v>0</v>
      </c>
      <c r="CT46" s="402"/>
      <c r="CU46" s="1137">
        <v>0</v>
      </c>
      <c r="CX46" s="333">
        <v>40000</v>
      </c>
      <c r="CY46" s="334">
        <f t="shared" si="29"/>
        <v>11081.616</v>
      </c>
      <c r="CZ46" s="726">
        <f t="shared" si="30"/>
        <v>7.172589887124243E-3</v>
      </c>
      <c r="DA46" s="310">
        <v>40000</v>
      </c>
      <c r="DB46" s="234">
        <f t="shared" si="31"/>
        <v>420</v>
      </c>
      <c r="DC46" s="402">
        <v>3663</v>
      </c>
      <c r="DD46" s="1137">
        <v>0</v>
      </c>
    </row>
    <row r="47" spans="1:108" ht="36" customHeight="1">
      <c r="A47" s="100">
        <f>_xlfn.XLOOKUP(P47,MOPFRA!R$7:R$78,MOPFRA!A$7:A$78,"")</f>
        <v>-16.082359578665564</v>
      </c>
      <c r="B47" s="99"/>
      <c r="C47" s="2109">
        <f ca="1">_xlfn.XLOOKUP(P47,MOPFRA!R$7:R$78,MOPFRA!$C$7:$C$78,"")</f>
        <v>0.19457477002144416</v>
      </c>
      <c r="D47" s="99"/>
      <c r="E47" s="2120">
        <f>_xlfn.XLOOKUP(P47,MOPFRA!$R$7:$R$56,MOPFRA!$D$7:$D$56,"")</f>
        <v>3.1627869963684567</v>
      </c>
      <c r="F47" s="2110">
        <f>_xlfn.XLOOKUP($P47,MOPFRA!$R$7:$R$56,MOPFRA!$E$7:$E$56,"")</f>
        <v>0.60000000000000053</v>
      </c>
      <c r="G47" s="2121">
        <f>_xlfn.XLOOKUP($P47,MOPFRA!$R$7:$R$56,MOPFRA!$F$7:$F$56,"")</f>
        <v>-1.3000000000000012</v>
      </c>
      <c r="H47" s="2124" cm="1">
        <f t="array" ref="H47">IFERROR(_xlfn.XLOOKUP(P47,'Sales Rec'!$E$37:$E$91,'Sales Rec'!$CU$37:$CU$91*100,""),"")</f>
        <v>-25.020122778445021</v>
      </c>
      <c r="I47" s="2313">
        <f>_xlfn.XLOOKUP(P47,MOPFRA!$R$7:$R$56,MOPFRA!H$7:H$56,"")</f>
        <v>0.28739374208717672</v>
      </c>
      <c r="J47" s="2313">
        <f>_xlfn.XLOOKUP(P47,MOPFRA!$R$7:$R$56,MOPFRA!J$7:J$56,"")</f>
        <v>0.37152209492635024</v>
      </c>
      <c r="K47" s="1942">
        <f>_xlfn.XLOOKUP(P47,'Sales Rec'!$E$4:$E$91,'Sales Rec'!$CV$4:$CV$91,"")</f>
        <v>44</v>
      </c>
      <c r="L47" s="2212">
        <f>_xlfn.XLOOKUP(P47,MOPFRA!R$7:R$78,MOPFRA!$L$7:$L$78,"")</f>
        <v>44</v>
      </c>
      <c r="M47" s="1586" t="str">
        <f>_xlfn.XLOOKUP(P47,'Sales Rec'!$E$4:$E$105,'Sales Rec'!$DS$4:$DS$105,"")</f>
        <v>S</v>
      </c>
      <c r="N47" s="1586" t="str">
        <f>_xlfn.XLOOKUP(P47,'Sales Rec'!$E$4:$E$105,'Sales Rec'!$DZ$4:$DZ$105,"")</f>
        <v>N</v>
      </c>
      <c r="O47" s="382" t="s">
        <v>187</v>
      </c>
      <c r="P47" s="1571" t="s">
        <v>188</v>
      </c>
      <c r="Q47" s="1929">
        <v>12</v>
      </c>
      <c r="R47" s="264">
        <f>VLOOKUP(P47,MOPFRA!$R$7:$CD$56,4,FALSE)</f>
        <v>6470</v>
      </c>
      <c r="S47" s="292">
        <f>_xlfn.XLOOKUP(P47,MOPFRA!$R$7:$R$56,MOPFRA!$V$7:$V$56,"")</f>
        <v>2.21</v>
      </c>
      <c r="T47" s="292">
        <f>_xlfn.XLOOKUP(P47,'دیده بان بازار'!$A$8:$A$3179,'دیده بان بازار'!$L$8:$L$3179,"")</f>
        <v>140</v>
      </c>
      <c r="U47" s="304">
        <f>VLOOKUP(P47,MOPFRA!$R$7:$CD$56,6,FALSE)</f>
        <v>6080</v>
      </c>
      <c r="V47" s="361">
        <f>_xlfn.XLOOKUP(P47,MOPFRA!$R$7:$R$56,MOPFRA!$X$7:$X$56,"")</f>
        <v>2.84</v>
      </c>
      <c r="W47" s="361">
        <f>_xlfn.XLOOKUP(P47,'دیده بان بازار'!$A$8:$A$3179,'دیده بان بازار'!$I$8:$I$3179,"")</f>
        <v>180</v>
      </c>
      <c r="X47" s="2057" t="str">
        <f>_xlfn.XLOOKUP(P47,MOPFRA!$R$7:$R$78,MOPFRA!$P$7:$P$78,"")</f>
        <v>T</v>
      </c>
      <c r="Y47" s="2058">
        <f t="shared" si="43"/>
        <v>7.9953684353221857E-4</v>
      </c>
      <c r="Z47" s="394">
        <f>_xlfn.XLOOKUP(P47,MOPFRA!$R$7:$R$78,MOPFRA!$T$7:$T$78,"")</f>
        <v>11973.343999999999</v>
      </c>
      <c r="AA47" s="1030">
        <f>_xlfn.XLOOKUP(P47,'Sales Rec'!$E$4:$E$93,'Sales Rec'!$DW$4:$DW$93,"")</f>
        <v>-0.16606444361283138</v>
      </c>
      <c r="AB47" s="850">
        <f>_xlfn.XLOOKUP(O47,MOPFRA!$Q$7:$Q$56,MOPFRA!$AA$7:$AA$56,"")</f>
        <v>2.8731312118862561E-5</v>
      </c>
      <c r="AC47" s="1221">
        <f t="shared" ca="1" si="44"/>
        <v>8.4503859173125183E-5</v>
      </c>
      <c r="AD47" s="825">
        <f ca="1">_xlfn.XLOOKUP(P47,MOPFRA!$R$7:$R$56,MOPFRA!$AC$7:$AC$56,"")</f>
        <v>24.649083860658031</v>
      </c>
      <c r="AE47" s="810">
        <f>_xlfn.XLOOKUP(O47,MOPFRA!$Q$7:$Q$56,MOPFRA!$AH$7:$AH$56,"")</f>
        <v>0.76234088901972319</v>
      </c>
      <c r="AF47" s="599" t="str">
        <f t="shared" si="45"/>
        <v/>
      </c>
      <c r="AG47" s="308">
        <f>_xlfn.XLOOKUP(O47,MOPFRA!$Q$7:$Q$78,MOPFRA!$AM$7:$AM$78,"")</f>
        <v>0</v>
      </c>
      <c r="AH47" s="1935">
        <f ca="1">_xlfn.XLOOKUP(P47,MOPFRA!$R$7:$R$56,MOPFRA!$AI$7:$AI$56,"")</f>
        <v>331</v>
      </c>
      <c r="AI47" s="385"/>
      <c r="AJ47" s="1612">
        <f>_xlfn.XLOOKUP(P47,MOPFRA!$R$7:$R$56,MOPFRA!$AJ$7:$AJ$56,"")</f>
        <v>46205</v>
      </c>
      <c r="AK47" s="1694">
        <f>_xlfn.XLOOKUP(P47,MOPFRA!$R$7:$R$78,MOPFRA!$DY$7:$DY$78,"")</f>
        <v>580</v>
      </c>
      <c r="AL47" s="1821">
        <f>_xlfn.XLOOKUP(P47,MOPFRA!$R$7:$R$58,MOPFRA!$AK$7:$AK$58,"")</f>
        <v>46327</v>
      </c>
      <c r="AM47" s="1825">
        <f>_xlfn.XLOOKUP($P47,MOPFRA!$R$7:$R$56,MOPFRA!$CC$7:$CC$56,"")</f>
        <v>953</v>
      </c>
      <c r="AN47" s="1341">
        <f>_xlfn.XLOOKUP($P47,MOPFRA!$R$7:$R$56,MOPFRA!$BW$7:$BW$56,"")</f>
        <v>3.6272130036315433</v>
      </c>
      <c r="AO47" s="1207">
        <f>_xlfn.XLOOKUP($P47,MOPFRA!$R$7:$R$56,MOPFRA!$CD$7:$CD$56,"")</f>
        <v>6.79</v>
      </c>
      <c r="AP47" s="448"/>
      <c r="AQ47" s="571"/>
      <c r="AR47" s="572"/>
      <c r="AS47" s="836" t="str">
        <f t="shared" si="54"/>
        <v/>
      </c>
      <c r="AT47" s="329"/>
      <c r="AU47" s="334">
        <f t="shared" si="46"/>
        <v>0</v>
      </c>
      <c r="AV47" s="330">
        <f t="shared" si="7"/>
        <v>0</v>
      </c>
      <c r="AW47" s="272"/>
      <c r="AX47" s="234">
        <f t="shared" si="36"/>
        <v>0</v>
      </c>
      <c r="AY47" s="402"/>
      <c r="AZ47" s="1137">
        <v>0</v>
      </c>
      <c r="BA47" s="342"/>
      <c r="BB47" s="334">
        <f t="shared" si="9"/>
        <v>0</v>
      </c>
      <c r="BC47" s="343">
        <f t="shared" si="10"/>
        <v>0</v>
      </c>
      <c r="BD47" s="272"/>
      <c r="BE47" s="234">
        <f t="shared" si="11"/>
        <v>0</v>
      </c>
      <c r="BF47" s="402"/>
      <c r="BG47" s="1137">
        <v>0</v>
      </c>
      <c r="BH47" s="333"/>
      <c r="BI47" s="334">
        <f t="shared" si="12"/>
        <v>0</v>
      </c>
      <c r="BJ47" s="726">
        <f t="shared" si="13"/>
        <v>0</v>
      </c>
      <c r="BK47" s="272"/>
      <c r="BL47" s="234">
        <f t="shared" si="14"/>
        <v>0</v>
      </c>
      <c r="BM47" s="402"/>
      <c r="BN47" s="1137">
        <v>0</v>
      </c>
      <c r="BP47" s="720">
        <f t="shared" si="15"/>
        <v>0</v>
      </c>
      <c r="BQ47" s="721">
        <f t="shared" si="47"/>
        <v>0</v>
      </c>
      <c r="BR47" s="722">
        <f t="shared" si="32"/>
        <v>0</v>
      </c>
      <c r="BS47" s="604"/>
      <c r="BT47" s="610"/>
      <c r="BU47" s="334">
        <f t="shared" si="37"/>
        <v>0</v>
      </c>
      <c r="BV47" s="612">
        <f t="shared" si="38"/>
        <v>0</v>
      </c>
      <c r="BW47" s="272"/>
      <c r="BX47" s="234">
        <f t="shared" si="39"/>
        <v>0</v>
      </c>
      <c r="BY47" s="402"/>
      <c r="BZ47" s="1137">
        <v>0</v>
      </c>
      <c r="CA47" s="628"/>
      <c r="CB47" s="334">
        <f t="shared" si="40"/>
        <v>0</v>
      </c>
      <c r="CC47" s="630">
        <f t="shared" si="41"/>
        <v>0</v>
      </c>
      <c r="CD47" s="272"/>
      <c r="CE47" s="234">
        <f t="shared" si="42"/>
        <v>0</v>
      </c>
      <c r="CF47" s="402"/>
      <c r="CG47" s="1137">
        <v>0</v>
      </c>
      <c r="CH47" s="1764"/>
      <c r="CI47" s="334">
        <f t="shared" si="48"/>
        <v>0</v>
      </c>
      <c r="CJ47" s="1767">
        <f t="shared" si="49"/>
        <v>0</v>
      </c>
      <c r="CK47" s="272"/>
      <c r="CL47" s="234">
        <f t="shared" si="53"/>
        <v>0</v>
      </c>
      <c r="CM47" s="402"/>
      <c r="CN47" s="1137">
        <v>0</v>
      </c>
      <c r="CO47" s="2074"/>
      <c r="CP47" s="334">
        <f t="shared" si="50"/>
        <v>0</v>
      </c>
      <c r="CQ47" s="2070">
        <f t="shared" si="51"/>
        <v>0</v>
      </c>
      <c r="CR47" s="272"/>
      <c r="CS47" s="234">
        <f t="shared" si="52"/>
        <v>0</v>
      </c>
      <c r="CT47" s="402"/>
      <c r="CU47" s="1137">
        <v>0</v>
      </c>
      <c r="CX47" s="333"/>
      <c r="CY47" s="334">
        <f t="shared" si="29"/>
        <v>0</v>
      </c>
      <c r="CZ47" s="726">
        <f t="shared" si="30"/>
        <v>0</v>
      </c>
      <c r="DA47" s="272"/>
      <c r="DB47" s="234">
        <f t="shared" si="31"/>
        <v>0</v>
      </c>
      <c r="DC47" s="402"/>
      <c r="DD47" s="1137">
        <v>0</v>
      </c>
    </row>
    <row r="48" spans="1:108" ht="36" customHeight="1">
      <c r="A48" s="100">
        <f>_xlfn.XLOOKUP(P48,MOPFRA!R$7:R$78,MOPFRA!A$7:A$78,"")</f>
        <v>-21.000719895593619</v>
      </c>
      <c r="B48" s="99"/>
      <c r="C48" s="2109">
        <f ca="1">_xlfn.XLOOKUP(P48,MOPFRA!R$7:R$78,MOPFRA!$C$7:$C$78,"")</f>
        <v>0.11077334055835787</v>
      </c>
      <c r="D48" s="99"/>
      <c r="E48" s="2120">
        <f>_xlfn.XLOOKUP(P48,MOPFRA!$R$7:$R$56,MOPFRA!$D$7:$D$56,"")</f>
        <v>2.3990654272327987</v>
      </c>
      <c r="F48" s="2110">
        <f>_xlfn.XLOOKUP($P48,MOPFRA!$R$7:$R$56,MOPFRA!$E$7:$E$56,"")</f>
        <v>-7.5999999999999988</v>
      </c>
      <c r="G48" s="2121">
        <f>_xlfn.XLOOKUP($P48,MOPFRA!$R$7:$R$56,MOPFRA!$F$7:$F$56,"")</f>
        <v>-7.3999999999999986</v>
      </c>
      <c r="H48" s="2124" cm="1">
        <f t="array" ref="H48">IFERROR(_xlfn.XLOOKUP(P48,'Sales Rec'!$E$37:$E$91,'Sales Rec'!$CU$37:$CU$91*100,""),"")</f>
        <v>1.5667179616726505</v>
      </c>
      <c r="I48" s="2313">
        <f>_xlfn.XLOOKUP(P48,MOPFRA!$R$7:$R$56,MOPFRA!H$7:H$56,"")</f>
        <v>0.25472829999345564</v>
      </c>
      <c r="J48" s="2313">
        <f>_xlfn.XLOOKUP(P48,MOPFRA!$R$7:$R$56,MOPFRA!J$7:J$56,"")</f>
        <v>0.2532076339388365</v>
      </c>
      <c r="K48" s="1942">
        <f>_xlfn.XLOOKUP(P48,'Sales Rec'!$E$4:$E$91,'Sales Rec'!$CV$4:$CV$91,"")</f>
        <v>47</v>
      </c>
      <c r="L48" s="2212">
        <f>_xlfn.XLOOKUP(P48,MOPFRA!R$7:R$78,MOPFRA!$L$7:$L$78,"")</f>
        <v>45</v>
      </c>
      <c r="M48" s="1586" t="str">
        <f>_xlfn.XLOOKUP(P48,'Sales Rec'!$E$4:$E$105,'Sales Rec'!$DS$4:$DS$105,"")</f>
        <v>S</v>
      </c>
      <c r="N48" s="1586" t="str">
        <f>_xlfn.XLOOKUP(P48,'Sales Rec'!$E$4:$E$105,'Sales Rec'!$DZ$4:$DZ$105,"")</f>
        <v>B</v>
      </c>
      <c r="O48" s="382" t="s">
        <v>136</v>
      </c>
      <c r="P48" s="1571" t="s">
        <v>137</v>
      </c>
      <c r="Q48" s="1929">
        <f>VLOOKUP(P48,MOPFRA!$R$7:$CF$78,2,FALSE)</f>
        <v>9</v>
      </c>
      <c r="R48" s="264">
        <f>VLOOKUP(P48,MOPFRA!$R$7:$CD$56,4,FALSE)</f>
        <v>2397</v>
      </c>
      <c r="S48" s="292">
        <f>_xlfn.XLOOKUP(P48,MOPFRA!$R$7:$R$56,MOPFRA!$V$7:$V$56,"")</f>
        <v>2.96</v>
      </c>
      <c r="T48" s="292">
        <f>_xlfn.XLOOKUP(P48,'دیده بان بازار'!$A$8:$A$3179,'دیده بان بازار'!$L$8:$L$3179,"")</f>
        <v>69</v>
      </c>
      <c r="U48" s="304">
        <f>VLOOKUP(P48,MOPFRA!$R$7:$CD$56,6,FALSE)</f>
        <v>2397</v>
      </c>
      <c r="V48" s="361">
        <f>_xlfn.XLOOKUP(P48,MOPFRA!$R$7:$R$56,MOPFRA!$X$7:$X$56,"")</f>
        <v>2.96</v>
      </c>
      <c r="W48" s="361">
        <f>_xlfn.XLOOKUP(P48,'دیده بان بازار'!$A$8:$A$3179,'دیده بان بازار'!$I$8:$I$3179,"")</f>
        <v>69</v>
      </c>
      <c r="X48" s="2057" t="str">
        <f>_xlfn.XLOOKUP(P48,MOPFRA!$R$7:$R$78,MOPFRA!$P$7:$P$78,"")</f>
        <v>KM</v>
      </c>
      <c r="Y48" s="2058">
        <f t="shared" si="43"/>
        <v>6.7126295427071651E-3</v>
      </c>
      <c r="Z48" s="394">
        <f>_xlfn.XLOOKUP(P48,MOPFRA!$R$7:$R$78,MOPFRA!$T$7:$T$78,"")</f>
        <v>136988.54999999999</v>
      </c>
      <c r="AA48" s="1030">
        <f>_xlfn.XLOOKUP(P48,'Sales Rec'!$E$4:$E$93,'Sales Rec'!$DW$4:$DW$93,"")</f>
        <v>0.1416235744138272</v>
      </c>
      <c r="AB48" s="850">
        <f>_xlfn.XLOOKUP(O48,MOPFRA!$Q$7:$Q$56,MOPFRA!$AA$7:$AA$56,"")</f>
        <v>5.5943066807470757E-2</v>
      </c>
      <c r="AC48" s="1221">
        <f t="shared" ca="1" si="44"/>
        <v>7.2653333516195795E-2</v>
      </c>
      <c r="AD48" s="825">
        <f ca="1">_xlfn.XLOOKUP(P48,MOPFRA!$R$7:$R$56,MOPFRA!$AC$7:$AC$56,"")</f>
        <v>17.392200894955764</v>
      </c>
      <c r="AE48" s="810">
        <f>_xlfn.XLOOKUP(O48,MOPFRA!$Q$7:$Q$56,MOPFRA!$AH$7:$AH$56,"")</f>
        <v>-0.20499704025256518</v>
      </c>
      <c r="AF48" s="599">
        <f t="shared" si="45"/>
        <v>6.0207460937500024</v>
      </c>
      <c r="AG48" s="308">
        <f>_xlfn.XLOOKUP(O48,MOPFRA!$Q$7:$Q$78,MOPFRA!$AM$7:$AM$78,"")</f>
        <v>0</v>
      </c>
      <c r="AH48" s="1935">
        <f ca="1">_xlfn.XLOOKUP(P48,MOPFRA!$R$7:$R$56,MOPFRA!$AI$7:$AI$56,"")</f>
        <v>288</v>
      </c>
      <c r="AI48" s="385"/>
      <c r="AJ48" s="1612">
        <f>_xlfn.XLOOKUP(P48,MOPFRA!$R$7:$R$56,MOPFRA!$AJ$7:$AJ$56,"")</f>
        <v>46162</v>
      </c>
      <c r="AK48" s="1691">
        <f>_xlfn.XLOOKUP(P48,MOPFRA!$R$7:$R$78,MOPFRA!$DY$7:$DY$78,"")</f>
        <v>200</v>
      </c>
      <c r="AL48" s="1821">
        <f>_xlfn.XLOOKUP(P48,MOPFRA!$R$7:$R$58,MOPFRA!$AK$7:$AK$58,"")</f>
        <v>46275</v>
      </c>
      <c r="AM48" s="1825">
        <f>_xlfn.XLOOKUP($P48,MOPFRA!$R$7:$R$56,MOPFRA!$CC$7:$CC$56,"")</f>
        <v>288</v>
      </c>
      <c r="AN48" s="1341">
        <f>_xlfn.XLOOKUP($P48,MOPFRA!$R$7:$R$56,MOPFRA!$BW$7:$BW$56,"")</f>
        <v>5.9209345727672016</v>
      </c>
      <c r="AO48" s="1207">
        <f>_xlfn.XLOOKUP($P48,MOPFRA!$R$7:$R$56,MOPFRA!$CD$7:$CD$56,"")</f>
        <v>8.32</v>
      </c>
      <c r="AP48" s="447" t="s">
        <v>603</v>
      </c>
      <c r="AQ48" s="572">
        <v>2560</v>
      </c>
      <c r="AR48" s="797">
        <v>2048</v>
      </c>
      <c r="AS48" s="798">
        <f t="shared" si="54"/>
        <v>0.17041015625</v>
      </c>
      <c r="AT48" s="1604">
        <v>1300000</v>
      </c>
      <c r="AU48" s="334">
        <f t="shared" si="46"/>
        <v>308867.83199999999</v>
      </c>
      <c r="AV48" s="330">
        <f t="shared" si="7"/>
        <v>6.7126295427071651E-3</v>
      </c>
      <c r="AW48" s="272">
        <v>1856839</v>
      </c>
      <c r="AX48" s="234">
        <f t="shared" si="36"/>
        <v>37136.78</v>
      </c>
      <c r="AY48" s="402">
        <v>22800</v>
      </c>
      <c r="AZ48" s="1137">
        <v>0</v>
      </c>
      <c r="BA48" s="342"/>
      <c r="BB48" s="334">
        <f t="shared" si="9"/>
        <v>0</v>
      </c>
      <c r="BC48" s="343">
        <f t="shared" si="10"/>
        <v>0</v>
      </c>
      <c r="BD48" s="272"/>
      <c r="BE48" s="234">
        <f t="shared" si="11"/>
        <v>0</v>
      </c>
      <c r="BF48" s="402"/>
      <c r="BG48" s="1137">
        <v>0</v>
      </c>
      <c r="BH48" s="333"/>
      <c r="BI48" s="334">
        <f t="shared" si="12"/>
        <v>0</v>
      </c>
      <c r="BJ48" s="726">
        <f t="shared" si="13"/>
        <v>0</v>
      </c>
      <c r="BK48" s="310"/>
      <c r="BL48" s="234">
        <f t="shared" si="14"/>
        <v>0</v>
      </c>
      <c r="BM48" s="402"/>
      <c r="BN48" s="1137">
        <v>0</v>
      </c>
      <c r="BP48" s="720">
        <f t="shared" si="15"/>
        <v>308867.83199999999</v>
      </c>
      <c r="BQ48" s="721">
        <f t="shared" si="47"/>
        <v>1300000</v>
      </c>
      <c r="BR48" s="722">
        <f t="shared" si="32"/>
        <v>1.2969991229037952E-2</v>
      </c>
      <c r="BS48" s="604"/>
      <c r="BT48" s="610"/>
      <c r="BU48" s="334">
        <f t="shared" si="37"/>
        <v>0</v>
      </c>
      <c r="BV48" s="612">
        <f t="shared" si="38"/>
        <v>0</v>
      </c>
      <c r="BW48" s="272"/>
      <c r="BX48" s="234">
        <f t="shared" si="39"/>
        <v>0</v>
      </c>
      <c r="BY48" s="402"/>
      <c r="BZ48" s="1137">
        <v>0</v>
      </c>
      <c r="CA48" s="628"/>
      <c r="CB48" s="334">
        <f t="shared" si="40"/>
        <v>0</v>
      </c>
      <c r="CC48" s="630">
        <f t="shared" si="41"/>
        <v>0</v>
      </c>
      <c r="CD48" s="272"/>
      <c r="CE48" s="234">
        <f t="shared" si="42"/>
        <v>0</v>
      </c>
      <c r="CF48" s="402"/>
      <c r="CG48" s="1137">
        <v>0</v>
      </c>
      <c r="CH48" s="1764"/>
      <c r="CI48" s="334">
        <f t="shared" si="48"/>
        <v>0</v>
      </c>
      <c r="CJ48" s="1767">
        <f t="shared" si="49"/>
        <v>0</v>
      </c>
      <c r="CK48" s="272"/>
      <c r="CL48" s="234">
        <f t="shared" si="53"/>
        <v>0</v>
      </c>
      <c r="CM48" s="402"/>
      <c r="CN48" s="1137">
        <v>0</v>
      </c>
      <c r="CO48" s="2074"/>
      <c r="CP48" s="334">
        <f t="shared" si="50"/>
        <v>0</v>
      </c>
      <c r="CQ48" s="2070">
        <f t="shared" si="51"/>
        <v>0</v>
      </c>
      <c r="CR48" s="272"/>
      <c r="CS48" s="234">
        <f t="shared" si="52"/>
        <v>0</v>
      </c>
      <c r="CT48" s="402"/>
      <c r="CU48" s="1137">
        <v>0</v>
      </c>
      <c r="CX48" s="333"/>
      <c r="CY48" s="334">
        <f t="shared" si="29"/>
        <v>0</v>
      </c>
      <c r="CZ48" s="726">
        <f t="shared" si="30"/>
        <v>0</v>
      </c>
      <c r="DA48" s="310"/>
      <c r="DB48" s="234">
        <f t="shared" si="31"/>
        <v>0</v>
      </c>
      <c r="DC48" s="402"/>
      <c r="DD48" s="1137">
        <v>0</v>
      </c>
    </row>
    <row r="49" spans="1:108" ht="36" customHeight="1">
      <c r="A49" s="100">
        <f>_xlfn.XLOOKUP(P49,MOPFRA!R$7:R$78,MOPFRA!A$7:A$78,"")</f>
        <v>-19.430894563608156</v>
      </c>
      <c r="B49" s="99"/>
      <c r="C49" s="2109">
        <f ca="1">_xlfn.XLOOKUP(P49,MOPFRA!R$7:R$78,MOPFRA!$C$7:$C$78,"")</f>
        <v>0.10920762959861102</v>
      </c>
      <c r="D49" s="99"/>
      <c r="E49" s="2120">
        <f>_xlfn.XLOOKUP(P49,MOPFRA!$R$7:$R$56,MOPFRA!$D$7:$D$56,"")</f>
        <v>2.9185395212263767</v>
      </c>
      <c r="F49" s="2110">
        <f>_xlfn.XLOOKUP($P49,MOPFRA!$R$7:$R$56,MOPFRA!$E$7:$E$56,"")</f>
        <v>3.4000000000000004</v>
      </c>
      <c r="G49" s="2121">
        <f>_xlfn.XLOOKUP($P49,MOPFRA!$R$7:$R$56,MOPFRA!$F$7:$F$56,"")</f>
        <v>8.3999999999999986</v>
      </c>
      <c r="H49" s="2124" cm="1">
        <f t="array" ref="H49">IFERROR(_xlfn.XLOOKUP(P49,'Sales Rec'!$E$37:$E$91,'Sales Rec'!$CU$37:$CU$91*100,""),"")</f>
        <v>-14.500778871929242</v>
      </c>
      <c r="I49" s="2313">
        <f>_xlfn.XLOOKUP(P49,MOPFRA!$R$7:$R$56,MOPFRA!H$7:H$56,"")</f>
        <v>1.1870503597122302</v>
      </c>
      <c r="J49" s="2313">
        <f>_xlfn.XLOOKUP(P49,MOPFRA!$R$7:$R$56,MOPFRA!J$7:J$56,"")</f>
        <v>0.76822276822276825</v>
      </c>
      <c r="K49" s="1942">
        <f>_xlfn.XLOOKUP(P49,'Sales Rec'!$E$4:$E$91,'Sales Rec'!$CV$4:$CV$91,"")</f>
        <v>15</v>
      </c>
      <c r="L49" s="2212">
        <f>_xlfn.XLOOKUP(P49,MOPFRA!R$7:R$78,MOPFRA!$L$7:$L$78,"")</f>
        <v>41</v>
      </c>
      <c r="M49" s="1586" t="str">
        <f>_xlfn.XLOOKUP(P49,'Sales Rec'!$E$4:$E$105,'Sales Rec'!$DS$4:$DS$105,"")</f>
        <v>BB</v>
      </c>
      <c r="N49" s="1586" t="str">
        <f>_xlfn.XLOOKUP(P49,'Sales Rec'!$E$4:$E$105,'Sales Rec'!$DZ$4:$DZ$105,"")</f>
        <v>BB</v>
      </c>
      <c r="O49" s="382" t="s">
        <v>94</v>
      </c>
      <c r="P49" s="1571" t="s">
        <v>95</v>
      </c>
      <c r="Q49" s="1929">
        <v>9</v>
      </c>
      <c r="R49" s="264">
        <f>VLOOKUP(P49,MOPFRA!$R$7:$CD$56,4,FALSE)</f>
        <v>2816</v>
      </c>
      <c r="S49" s="292">
        <f>_xlfn.XLOOKUP(P49,MOPFRA!$R$7:$R$56,MOPFRA!$V$7:$V$56,"")</f>
        <v>-0.81</v>
      </c>
      <c r="T49" s="292">
        <f>_xlfn.XLOOKUP(P49,'دیده بان بازار'!$A$8:$A$3179,'دیده بان بازار'!$L$8:$L$3179,"")</f>
        <v>-23</v>
      </c>
      <c r="U49" s="304">
        <f>VLOOKUP(P49,MOPFRA!$R$7:$CD$56,6,FALSE)</f>
        <v>2826</v>
      </c>
      <c r="V49" s="361">
        <f>_xlfn.XLOOKUP(P49,MOPFRA!$R$7:$R$56,MOPFRA!$X$7:$X$56,"")</f>
        <v>-0.46</v>
      </c>
      <c r="W49" s="361">
        <f>_xlfn.XLOOKUP(P49,'دیده بان بازار'!$A$8:$A$3179,'دیده بان بازار'!$I$8:$I$3179,"")</f>
        <v>-13</v>
      </c>
      <c r="X49" s="2057" t="str">
        <f>_xlfn.XLOOKUP(P49,MOPFRA!$R$7:$R$78,MOPFRA!$P$7:$P$78,"")</f>
        <v>DH</v>
      </c>
      <c r="Y49" s="2058">
        <f t="shared" si="43"/>
        <v>1.577659424704566E-2</v>
      </c>
      <c r="Z49" s="394">
        <f>_xlfn.XLOOKUP(P49,MOPFRA!$R$7:$R$78,MOPFRA!$T$7:$T$78,"")</f>
        <v>4804.2</v>
      </c>
      <c r="AA49" s="1030">
        <f>_xlfn.XLOOKUP(P49,'Sales Rec'!$E$4:$E$93,'Sales Rec'!$DW$4:$DW$93,"")</f>
        <v>2.2135117056856184</v>
      </c>
      <c r="AB49" s="850">
        <f>_xlfn.XLOOKUP(O49,MOPFRA!$Q$7:$Q$56,MOPFRA!$AA$7:$AA$56,"")</f>
        <v>1.7802083333333332</v>
      </c>
      <c r="AC49" s="1221">
        <f t="shared" ca="1" si="44"/>
        <v>1.2807254196642683</v>
      </c>
      <c r="AD49" s="825">
        <f ca="1">_xlfn.XLOOKUP(P49,MOPFRA!$R$7:$R$56,MOPFRA!$AC$7:$AC$56,"")</f>
        <v>-103.41500771985152</v>
      </c>
      <c r="AE49" s="810">
        <f>_xlfn.XLOOKUP(O49,MOPFRA!$Q$7:$Q$56,MOPFRA!$AH$7:$AH$56,"")</f>
        <v>3.9425925925925922</v>
      </c>
      <c r="AF49" s="599">
        <f t="shared" si="45"/>
        <v>1.9206016597510347</v>
      </c>
      <c r="AG49" s="308">
        <f>_xlfn.XLOOKUP(O49,MOPFRA!$Q$7:$Q$78,MOPFRA!$AM$7:$AM$78,"")</f>
        <v>0</v>
      </c>
      <c r="AH49" s="1935">
        <f ca="1">_xlfn.XLOOKUP(P49,MOPFRA!$R$7:$R$56,MOPFRA!$AI$7:$AI$56,"")</f>
        <v>226</v>
      </c>
      <c r="AI49" s="385"/>
      <c r="AJ49" s="1612">
        <f>_xlfn.XLOOKUP(P49,MOPFRA!$R$7:$R$56,MOPFRA!$AJ$7:$AJ$56,"")</f>
        <v>46100</v>
      </c>
      <c r="AK49" s="1691">
        <f>_xlfn.XLOOKUP(P49,MOPFRA!$R$7:$R$78,MOPFRA!$DY$7:$DY$78,"")</f>
        <v>40</v>
      </c>
      <c r="AL49" s="1821">
        <f>_xlfn.XLOOKUP(P49,MOPFRA!$R$7:$R$58,MOPFRA!$AK$7:$AK$58,"")</f>
        <v>46214</v>
      </c>
      <c r="AM49" s="1825">
        <f>_xlfn.XLOOKUP($P49,MOPFRA!$R$7:$R$56,MOPFRA!$CC$7:$CC$56,"")</f>
        <v>352</v>
      </c>
      <c r="AN49" s="1341">
        <f>_xlfn.XLOOKUP($P49,MOPFRA!$R$7:$R$56,MOPFRA!$BW$7:$BW$56,"")</f>
        <v>5.0814604787736233</v>
      </c>
      <c r="AO49" s="1207">
        <f>_xlfn.XLOOKUP($P49,MOPFRA!$R$7:$R$56,MOPFRA!$CD$7:$CD$56,"")</f>
        <v>8</v>
      </c>
      <c r="AP49" s="447" t="s">
        <v>603</v>
      </c>
      <c r="AQ49" s="572">
        <v>2892</v>
      </c>
      <c r="AR49" s="1932">
        <v>1030</v>
      </c>
      <c r="AS49" s="798">
        <f t="shared" si="54"/>
        <v>1.7436893203883495</v>
      </c>
      <c r="AT49" s="2241">
        <v>35288</v>
      </c>
      <c r="AU49" s="334">
        <f t="shared" si="46"/>
        <v>9884.6317785600004</v>
      </c>
      <c r="AV49" s="1257">
        <v>0</v>
      </c>
      <c r="AW49" s="272"/>
      <c r="AX49" s="234">
        <f t="shared" si="36"/>
        <v>0</v>
      </c>
      <c r="AY49" s="402">
        <v>80</v>
      </c>
      <c r="AZ49" s="1137">
        <v>35288</v>
      </c>
      <c r="BA49" s="2225"/>
      <c r="BB49" s="1256">
        <v>0</v>
      </c>
      <c r="BC49" s="1259">
        <v>0</v>
      </c>
      <c r="BD49" s="272"/>
      <c r="BE49" s="1258">
        <v>0</v>
      </c>
      <c r="BF49" s="402"/>
      <c r="BG49" s="1137">
        <v>0</v>
      </c>
      <c r="BH49" s="2226"/>
      <c r="BI49" s="1256">
        <v>0</v>
      </c>
      <c r="BJ49" s="1260">
        <v>0</v>
      </c>
      <c r="BK49" s="272"/>
      <c r="BL49" s="1258">
        <v>0</v>
      </c>
      <c r="BM49" s="402"/>
      <c r="BN49" s="1137">
        <v>0</v>
      </c>
      <c r="BO49" s="1222"/>
      <c r="BP49" s="1255">
        <v>0</v>
      </c>
      <c r="BQ49" s="721">
        <f t="shared" si="47"/>
        <v>35288</v>
      </c>
      <c r="BR49" s="1261">
        <v>0</v>
      </c>
      <c r="BS49" s="2227"/>
      <c r="BT49" s="2228"/>
      <c r="BU49" s="1256">
        <v>0</v>
      </c>
      <c r="BV49" s="1262">
        <v>0</v>
      </c>
      <c r="BW49" s="272"/>
      <c r="BX49" s="1258">
        <v>0</v>
      </c>
      <c r="BY49" s="402"/>
      <c r="BZ49" s="1137">
        <v>0</v>
      </c>
      <c r="CA49" s="2229"/>
      <c r="CB49" s="1256">
        <v>0</v>
      </c>
      <c r="CC49" s="1263">
        <v>0</v>
      </c>
      <c r="CD49" s="272"/>
      <c r="CE49" s="1258">
        <v>0</v>
      </c>
      <c r="CF49" s="402"/>
      <c r="CG49" s="1137">
        <v>0</v>
      </c>
      <c r="CH49" s="1764"/>
      <c r="CI49" s="334">
        <f t="shared" si="48"/>
        <v>0</v>
      </c>
      <c r="CJ49" s="1767">
        <f t="shared" si="49"/>
        <v>0</v>
      </c>
      <c r="CK49" s="272"/>
      <c r="CL49" s="234">
        <f t="shared" si="53"/>
        <v>0</v>
      </c>
      <c r="CM49" s="402"/>
      <c r="CN49" s="1137">
        <v>0</v>
      </c>
      <c r="CO49" s="2074"/>
      <c r="CP49" s="334">
        <f t="shared" si="50"/>
        <v>0</v>
      </c>
      <c r="CQ49" s="2070">
        <f t="shared" si="51"/>
        <v>0</v>
      </c>
      <c r="CR49" s="272"/>
      <c r="CS49" s="234">
        <f t="shared" si="52"/>
        <v>0</v>
      </c>
      <c r="CT49" s="402"/>
      <c r="CU49" s="1137">
        <v>0</v>
      </c>
      <c r="CX49" s="2226"/>
      <c r="CY49" s="1256">
        <v>0</v>
      </c>
      <c r="CZ49" s="1260">
        <v>0</v>
      </c>
      <c r="DA49" s="272"/>
      <c r="DB49" s="1258">
        <v>0</v>
      </c>
      <c r="DC49" s="402"/>
      <c r="DD49" s="1137">
        <v>0</v>
      </c>
    </row>
    <row r="50" spans="1:108" ht="36" customHeight="1">
      <c r="A50" s="100">
        <f>_xlfn.XLOOKUP(P50,MOPFRA!R$7:R$78,MOPFRA!A$7:A$78,"")</f>
        <v>-19.324231968038298</v>
      </c>
      <c r="B50" s="99"/>
      <c r="C50" s="2109">
        <f ca="1">_xlfn.XLOOKUP(P50,MOPFRA!R$7:R$78,MOPFRA!$C$7:$C$78,"")</f>
        <v>0.2901393459295783</v>
      </c>
      <c r="D50" s="99"/>
      <c r="E50" s="2120">
        <f>_xlfn.XLOOKUP(P50,MOPFRA!$R$7:$R$56,MOPFRA!$D$7:$D$56,"")</f>
        <v>-1.6610981364639192</v>
      </c>
      <c r="F50" s="2110">
        <f>_xlfn.XLOOKUP($P50,MOPFRA!$R$7:$R$56,MOPFRA!$E$7:$E$56,"")</f>
        <v>-4.0000000000000036</v>
      </c>
      <c r="G50" s="2121">
        <f>_xlfn.XLOOKUP($P50,MOPFRA!$R$7:$R$56,MOPFRA!$F$7:$F$56,"")</f>
        <v>-4.4000000000000012</v>
      </c>
      <c r="H50" s="2124" cm="1">
        <f t="array" ref="H50">IFERROR(_xlfn.XLOOKUP(P50,'Sales Rec'!$E$37:$E$91,'Sales Rec'!$CU$37:$CU$91*100,""),"")</f>
        <v>24.176309680389515</v>
      </c>
      <c r="I50" s="2313">
        <f>_xlfn.XLOOKUP(P50,MOPFRA!$R$7:$R$56,MOPFRA!H$7:H$56,"")</f>
        <v>0.25667567183278828</v>
      </c>
      <c r="J50" s="2313">
        <f>_xlfn.XLOOKUP(P50,MOPFRA!$R$7:$R$56,MOPFRA!J$7:J$56,"")</f>
        <v>0.50667374756594086</v>
      </c>
      <c r="K50" s="1942">
        <f>_xlfn.XLOOKUP(P50,'Sales Rec'!$E$4:$E$91,'Sales Rec'!$CV$4:$CV$91,"")</f>
        <v>46</v>
      </c>
      <c r="L50" s="2212">
        <f>_xlfn.XLOOKUP(P50,MOPFRA!R$7:R$78,MOPFRA!$L$7:$L$78,"")</f>
        <v>42</v>
      </c>
      <c r="M50" s="1586" t="str">
        <f>_xlfn.XLOOKUP(P50,'Sales Rec'!$E$4:$E$105,'Sales Rec'!$DS$4:$DS$105,"")</f>
        <v>B</v>
      </c>
      <c r="N50" s="1586" t="str">
        <f>_xlfn.XLOOKUP(P50,'Sales Rec'!$E$4:$E$105,'Sales Rec'!$DZ$4:$DZ$105,"")</f>
        <v>B</v>
      </c>
      <c r="O50" s="382" t="s">
        <v>118</v>
      </c>
      <c r="P50" s="1571" t="s">
        <v>119</v>
      </c>
      <c r="Q50" s="1929">
        <f>VLOOKUP(P50,MOPFRA!$R$7:$CF$78,2,FALSE)</f>
        <v>12</v>
      </c>
      <c r="R50" s="264">
        <f>VLOOKUP(P50,MOPFRA!$R$7:$CD$56,4,FALSE)</f>
        <v>2549</v>
      </c>
      <c r="S50" s="292" t="str">
        <f>_xlfn.XLOOKUP(P50,MOPFRA!$R$7:$R$56,MOPFRA!$V$7:$V$56,"")</f>
        <v/>
      </c>
      <c r="T50" s="292" t="str">
        <f>_xlfn.XLOOKUP(P50,'دیده بان بازار'!$A$8:$A$3179,'دیده بان بازار'!$L$8:$L$3179,"")</f>
        <v/>
      </c>
      <c r="U50" s="304">
        <f>VLOOKUP(P50,MOPFRA!$R$7:$CD$56,6,FALSE)</f>
        <v>2549</v>
      </c>
      <c r="V50" s="361" t="str">
        <f>_xlfn.XLOOKUP(P50,MOPFRA!$R$7:$R$56,MOPFRA!$X$7:$X$56,"")</f>
        <v/>
      </c>
      <c r="W50" s="361" t="str">
        <f>_xlfn.XLOOKUP(P50,'دیده بان بازار'!$A$8:$A$3179,'دیده بان بازار'!$I$8:$I$3179,"")</f>
        <v/>
      </c>
      <c r="X50" s="2057" t="str">
        <f>_xlfn.XLOOKUP(P50,MOPFRA!$R$7:$R$78,MOPFRA!$P$7:$P$78,"")</f>
        <v>M</v>
      </c>
      <c r="Y50" s="2058">
        <f t="shared" si="43"/>
        <v>3.6049848974958443E-2</v>
      </c>
      <c r="Z50" s="394">
        <f>_xlfn.XLOOKUP(P50,MOPFRA!$R$7:$R$78,MOPFRA!$T$7:$T$78,"")</f>
        <v>493231.5</v>
      </c>
      <c r="AA50" s="1030">
        <f>_xlfn.XLOOKUP(P50,'Sales Rec'!$E$4:$E$93,'Sales Rec'!$DW$4:$DW$93,"")</f>
        <v>-0.16754177215189872</v>
      </c>
      <c r="AB50" s="850">
        <f>_xlfn.XLOOKUP(O50,MOPFRA!$Q$7:$Q$56,MOPFRA!$AA$7:$AA$56,"")</f>
        <v>-1.0137217374379602E-6</v>
      </c>
      <c r="AC50" s="1221">
        <f t="shared" ca="1" si="44"/>
        <v>-3.3790724581265342E-5</v>
      </c>
      <c r="AD50" s="825">
        <f ca="1">_xlfn.XLOOKUP(P50,MOPFRA!$R$7:$R$56,MOPFRA!$AC$7:$AC$56,"")</f>
        <v>24.660913319033469</v>
      </c>
      <c r="AE50" s="810">
        <f>_xlfn.XLOOKUP(O50,MOPFRA!$Q$7:$Q$56,MOPFRA!$AH$7:$AH$56,"")</f>
        <v>0.77600280858418547</v>
      </c>
      <c r="AF50" s="599" t="str">
        <f t="shared" si="45"/>
        <v/>
      </c>
      <c r="AG50" s="308">
        <f>_xlfn.XLOOKUP(O50,MOPFRA!$Q$7:$Q$78,MOPFRA!$AM$7:$AM$78,"")</f>
        <v>0</v>
      </c>
      <c r="AH50" s="1935">
        <f ca="1">_xlfn.XLOOKUP(P50,MOPFRA!$R$7:$R$56,MOPFRA!$AI$7:$AI$56,"")</f>
        <v>362</v>
      </c>
      <c r="AI50" s="385"/>
      <c r="AJ50" s="1612">
        <f>_xlfn.XLOOKUP(P50,MOPFRA!$R$7:$R$56,MOPFRA!$AJ$7:$AJ$56,"")</f>
        <v>46236</v>
      </c>
      <c r="AK50" s="1694">
        <f>_xlfn.XLOOKUP(P50,MOPFRA!$R$7:$R$78,MOPFRA!$DY$7:$DY$78,"")</f>
        <v>55</v>
      </c>
      <c r="AL50" s="1822">
        <f>_xlfn.XLOOKUP(P50,MOPFRA!$R$7:$R$58,MOPFRA!$AK$7:$AK$58,"")</f>
        <v>46303</v>
      </c>
      <c r="AM50" s="1825">
        <f>_xlfn.XLOOKUP($P50,MOPFRA!$R$7:$R$56,MOPFRA!$CC$7:$CC$56,"")</f>
        <v>518</v>
      </c>
      <c r="AN50" s="1341">
        <f>_xlfn.XLOOKUP($P50,MOPFRA!$R$7:$R$56,MOPFRA!$BW$7:$BW$56,"")</f>
        <v>6.6910981364639195</v>
      </c>
      <c r="AO50" s="1207">
        <f>_xlfn.XLOOKUP($P50,MOPFRA!$R$7:$R$56,MOPFRA!$CD$7:$CD$56,"")</f>
        <v>5.03</v>
      </c>
      <c r="AP50" s="447"/>
      <c r="AQ50" s="572"/>
      <c r="AR50" s="572"/>
      <c r="AS50" s="836" t="str">
        <f t="shared" si="54"/>
        <v/>
      </c>
      <c r="AT50" s="329"/>
      <c r="AU50" s="334">
        <f t="shared" si="46"/>
        <v>0</v>
      </c>
      <c r="AV50" s="330">
        <f t="shared" ref="AV50:AV57" si="55">IFERROR(AU50/$AU$3,0)</f>
        <v>0</v>
      </c>
      <c r="AW50" s="272"/>
      <c r="AX50" s="234">
        <f t="shared" si="36"/>
        <v>0</v>
      </c>
      <c r="AY50" s="402">
        <v>99100</v>
      </c>
      <c r="AZ50" s="1137">
        <v>0</v>
      </c>
      <c r="BA50" s="342"/>
      <c r="BB50" s="334">
        <f t="shared" ref="BB50:BB57" si="56">(BA50*$U50/10000)*0.9912</f>
        <v>0</v>
      </c>
      <c r="BC50" s="343">
        <f t="shared" ref="BC50:BC57" si="57">IFERROR(BB50/$BB$3,0)</f>
        <v>0</v>
      </c>
      <c r="BD50" s="272"/>
      <c r="BE50" s="234">
        <f t="shared" ref="BE50:BE57" si="58">$AK50*BD50/10000</f>
        <v>0</v>
      </c>
      <c r="BF50" s="402">
        <v>44240</v>
      </c>
      <c r="BG50" s="1137">
        <v>0</v>
      </c>
      <c r="BH50" s="333"/>
      <c r="BI50" s="334">
        <f t="shared" ref="BI50:BI57" si="59">(BH50*$U50/10000)*0.9912</f>
        <v>0</v>
      </c>
      <c r="BJ50" s="726">
        <f t="shared" ref="BJ50:BJ57" si="60">IFERROR(BI50/$BI$3,0)</f>
        <v>0</v>
      </c>
      <c r="BK50" s="310"/>
      <c r="BL50" s="234">
        <f t="shared" ref="BL50:BL57" si="61">$AK50*BK50/10000</f>
        <v>0</v>
      </c>
      <c r="BM50" s="402">
        <v>4628</v>
      </c>
      <c r="BN50" s="1137">
        <v>0</v>
      </c>
      <c r="BP50" s="720">
        <f t="shared" ref="BP50:BP56" si="62">(BQ50*$U50/10000)*0.9912</f>
        <v>0</v>
      </c>
      <c r="BQ50" s="721">
        <f t="shared" si="47"/>
        <v>0</v>
      </c>
      <c r="BR50" s="722">
        <f t="shared" ref="BR50:BR56" si="63">BP50/$BP$81</f>
        <v>0</v>
      </c>
      <c r="BS50" s="604"/>
      <c r="BT50" s="610"/>
      <c r="BU50" s="334">
        <f t="shared" ref="BU50:BU57" si="64">(BT50*$U50/10000)*0.9912</f>
        <v>0</v>
      </c>
      <c r="BV50" s="612">
        <f t="shared" ref="BV50:BV57" si="65">IFERROR(BU50/$BU$3,0)</f>
        <v>0</v>
      </c>
      <c r="BW50" s="272"/>
      <c r="BX50" s="234">
        <f t="shared" ref="BX50:BX57" si="66">$AK50*BW50/10000</f>
        <v>0</v>
      </c>
      <c r="BY50" s="402"/>
      <c r="BZ50" s="1137">
        <v>0</v>
      </c>
      <c r="CA50" s="628">
        <v>15480</v>
      </c>
      <c r="CB50" s="334">
        <f t="shared" ref="CB50:CB57" si="67">(CA50*$U50/10000)*0.9912</f>
        <v>3911.1285023999999</v>
      </c>
      <c r="CC50" s="630">
        <f t="shared" ref="CC50:CC57" si="68">IFERROR(CB50/$CB$3,0)</f>
        <v>1.4765426237344731E-2</v>
      </c>
      <c r="CD50" s="272"/>
      <c r="CE50" s="234">
        <f t="shared" ref="CE50:CE57" si="69">$AK50*CD50/10000</f>
        <v>0</v>
      </c>
      <c r="CF50" s="402">
        <v>1168</v>
      </c>
      <c r="CG50" s="1137">
        <v>0</v>
      </c>
      <c r="CH50" s="1764"/>
      <c r="CI50" s="334">
        <f t="shared" si="48"/>
        <v>0</v>
      </c>
      <c r="CJ50" s="1767">
        <f t="shared" si="49"/>
        <v>0</v>
      </c>
      <c r="CK50" s="272"/>
      <c r="CL50" s="234">
        <f t="shared" si="53"/>
        <v>0</v>
      </c>
      <c r="CM50" s="402"/>
      <c r="CN50" s="1137">
        <v>0</v>
      </c>
      <c r="CO50" s="2074"/>
      <c r="CP50" s="334">
        <f t="shared" si="50"/>
        <v>0</v>
      </c>
      <c r="CQ50" s="2070">
        <f t="shared" si="51"/>
        <v>0</v>
      </c>
      <c r="CR50" s="272"/>
      <c r="CS50" s="234">
        <f t="shared" si="52"/>
        <v>0</v>
      </c>
      <c r="CT50" s="402"/>
      <c r="CU50" s="1137">
        <v>0</v>
      </c>
      <c r="CX50" s="333"/>
      <c r="CY50" s="334">
        <f t="shared" ref="CY50:CY57" si="70">(CX50*$U50/10000)*0.9912</f>
        <v>0</v>
      </c>
      <c r="CZ50" s="726">
        <f t="shared" ref="CZ50:CZ57" si="71">IFERROR(CY50/$BI$3,0)</f>
        <v>0</v>
      </c>
      <c r="DA50" s="310"/>
      <c r="DB50" s="234">
        <f t="shared" ref="DB50:DB57" si="72">$AK50*DA50/10000</f>
        <v>0</v>
      </c>
      <c r="DC50" s="402">
        <v>4628</v>
      </c>
      <c r="DD50" s="1137">
        <v>0</v>
      </c>
    </row>
    <row r="51" spans="1:108" ht="36" customHeight="1">
      <c r="A51" s="100">
        <f>_xlfn.XLOOKUP(P51,MOPFRA!R$7:R$78,MOPFRA!A$7:A$78,"")</f>
        <v>-22.462275219400578</v>
      </c>
      <c r="B51" s="99"/>
      <c r="C51" s="2109">
        <f ca="1">_xlfn.XLOOKUP(P51,MOPFRA!R$7:R$78,MOPFRA!$C$7:$C$78,"")</f>
        <v>8.8991737064660861E-2</v>
      </c>
      <c r="D51" s="99"/>
      <c r="E51" s="2120">
        <f>_xlfn.XLOOKUP(P51,MOPFRA!$R$7:$R$56,MOPFRA!$D$7:$D$56,"")</f>
        <v>0.95942452737950035</v>
      </c>
      <c r="F51" s="2110">
        <f>_xlfn.XLOOKUP($P51,MOPFRA!$R$7:$R$56,MOPFRA!$E$7:$E$56,"")</f>
        <v>7.8000000000000016</v>
      </c>
      <c r="G51" s="2121">
        <f>_xlfn.XLOOKUP($P51,MOPFRA!$R$7:$R$56,MOPFRA!$F$7:$F$56,"")</f>
        <v>-3.6000000000000005</v>
      </c>
      <c r="H51" s="2124" cm="1">
        <f t="array" ref="H51">IFERROR(_xlfn.XLOOKUP(P51,'Sales Rec'!$E$37:$E$91,'Sales Rec'!$CU$37:$CU$91*100,""),"")</f>
        <v>-2.0646163771013359</v>
      </c>
      <c r="I51" s="2313">
        <f>_xlfn.XLOOKUP(P51,MOPFRA!$R$7:$R$56,MOPFRA!H$7:H$56,"")</f>
        <v>0.78721409823772026</v>
      </c>
      <c r="J51" s="2313">
        <f>_xlfn.XLOOKUP(P51,MOPFRA!$R$7:$R$56,MOPFRA!J$7:J$56,"")</f>
        <v>0.95775563258232232</v>
      </c>
      <c r="K51" s="1942">
        <f>_xlfn.XLOOKUP(P51,'Sales Rec'!$E$4:$E$91,'Sales Rec'!$CV$4:$CV$91,"")</f>
        <v>29</v>
      </c>
      <c r="L51" s="2212">
        <f>_xlfn.XLOOKUP(P51,MOPFRA!R$7:R$78,MOPFRA!$L$7:$L$78,"")</f>
        <v>43</v>
      </c>
      <c r="M51" s="1586" t="str">
        <f>_xlfn.XLOOKUP(P51,'Sales Rec'!$E$4:$E$105,'Sales Rec'!$DS$4:$DS$105,"")</f>
        <v>B</v>
      </c>
      <c r="N51" s="1586" t="str">
        <f>_xlfn.XLOOKUP(P51,'Sales Rec'!$E$4:$E$105,'Sales Rec'!$DZ$4:$DZ$105,"")</f>
        <v>B</v>
      </c>
      <c r="O51" s="382" t="s">
        <v>128</v>
      </c>
      <c r="P51" s="1571" t="s">
        <v>129</v>
      </c>
      <c r="Q51" s="1929">
        <f>VLOOKUP(P51,MOPFRA!$R$7:$CF$78,2,FALSE)</f>
        <v>12</v>
      </c>
      <c r="R51" s="264">
        <f>VLOOKUP(P51,MOPFRA!$R$7:$CD$56,4,FALSE)</f>
        <v>10800</v>
      </c>
      <c r="S51" s="292">
        <f>_xlfn.XLOOKUP(P51,MOPFRA!$R$7:$R$56,MOPFRA!$V$7:$V$56,"")</f>
        <v>2.96</v>
      </c>
      <c r="T51" s="292">
        <f>_xlfn.XLOOKUP(P51,'دیده بان بازار'!$A$8:$A$3179,'دیده بان بازار'!$L$8:$L$3179,"")</f>
        <v>310</v>
      </c>
      <c r="U51" s="304">
        <f>VLOOKUP(P51,MOPFRA!$R$7:$CD$56,6,FALSE)</f>
        <v>10800</v>
      </c>
      <c r="V51" s="361">
        <f>_xlfn.XLOOKUP(P51,MOPFRA!$R$7:$R$56,MOPFRA!$X$7:$X$56,"")</f>
        <v>2.96</v>
      </c>
      <c r="W51" s="361">
        <f>_xlfn.XLOOKUP(P51,'دیده بان بازار'!$A$8:$A$3179,'دیده بان بازار'!$I$8:$I$3179,"")</f>
        <v>310</v>
      </c>
      <c r="X51" s="2057" t="str">
        <f>_xlfn.XLOOKUP(P51,MOPFRA!$R$7:$R$78,MOPFRA!$P$7:$P$78,"")</f>
        <v>CO</v>
      </c>
      <c r="Y51" s="2058">
        <f t="shared" si="43"/>
        <v>0</v>
      </c>
      <c r="Z51" s="394">
        <f>_xlfn.XLOOKUP(P51,MOPFRA!$R$7:$R$78,MOPFRA!$T$7:$T$78,"")</f>
        <v>26549.99856</v>
      </c>
      <c r="AA51" s="1030">
        <f>_xlfn.XLOOKUP(P51,'Sales Rec'!$E$4:$E$93,'Sales Rec'!$DW$4:$DW$93,"")</f>
        <v>0.18811881188118806</v>
      </c>
      <c r="AB51" s="850">
        <f>_xlfn.XLOOKUP(O51,MOPFRA!$Q$7:$Q$56,MOPFRA!$AA$7:$AA$56,"")</f>
        <v>0.25877102977432204</v>
      </c>
      <c r="AC51" s="1221">
        <f t="shared" ca="1" si="44"/>
        <v>1.6173189360895128</v>
      </c>
      <c r="AD51" s="825">
        <f ca="1">_xlfn.XLOOKUP(P51,MOPFRA!$R$7:$R$56,MOPFRA!$AC$7:$AC$56,"")</f>
        <v>-137.07435936237593</v>
      </c>
      <c r="AE51" s="810">
        <f>_xlfn.XLOOKUP(O51,MOPFRA!$Q$7:$Q$56,MOPFRA!$AH$7:$AH$56,"")</f>
        <v>2.6122447020408162</v>
      </c>
      <c r="AF51" s="599" t="str">
        <f t="shared" si="45"/>
        <v/>
      </c>
      <c r="AG51" s="308">
        <f>_xlfn.XLOOKUP(O51,MOPFRA!$Q$7:$Q$78,MOPFRA!$AM$7:$AM$78,"")</f>
        <v>0</v>
      </c>
      <c r="AH51" s="1935">
        <f ca="1">_xlfn.XLOOKUP(P51,MOPFRA!$R$7:$R$56,MOPFRA!$AI$7:$AI$56,"")</f>
        <v>349</v>
      </c>
      <c r="AI51" s="385"/>
      <c r="AJ51" s="1612">
        <f>_xlfn.XLOOKUP(P51,MOPFRA!$R$7:$R$56,MOPFRA!$AJ$7:$AJ$56,"")</f>
        <v>46223</v>
      </c>
      <c r="AK51" s="1691">
        <f>_xlfn.XLOOKUP(P51,MOPFRA!$R$7:$R$78,MOPFRA!$DY$7:$DY$78,"")</f>
        <v>720</v>
      </c>
      <c r="AL51" s="1821">
        <f>_xlfn.XLOOKUP(P51,MOPFRA!$R$7:$R$58,MOPFRA!$AK$7:$AK$58,"")</f>
        <v>46346</v>
      </c>
      <c r="AM51" s="1825">
        <f>_xlfn.XLOOKUP($P51,MOPFRA!$R$7:$R$56,MOPFRA!$CC$7:$CC$56,"")</f>
        <v>1069</v>
      </c>
      <c r="AN51" s="1341">
        <f>_xlfn.XLOOKUP($P51,MOPFRA!$R$7:$R$56,MOPFRA!$BW$7:$BW$56,"")</f>
        <v>9.1405754726204993</v>
      </c>
      <c r="AO51" s="1207">
        <f>_xlfn.XLOOKUP($P51,MOPFRA!$R$7:$R$56,MOPFRA!$CD$7:$CD$56,"")</f>
        <v>10.1</v>
      </c>
      <c r="AP51" s="447"/>
      <c r="AQ51" s="572"/>
      <c r="AR51" s="797"/>
      <c r="AS51" s="798" t="str">
        <f t="shared" si="54"/>
        <v/>
      </c>
      <c r="AT51" s="329"/>
      <c r="AU51" s="334">
        <f t="shared" si="46"/>
        <v>0</v>
      </c>
      <c r="AV51" s="330">
        <f t="shared" si="55"/>
        <v>0</v>
      </c>
      <c r="AW51" s="272"/>
      <c r="AX51" s="234">
        <f t="shared" si="36"/>
        <v>0</v>
      </c>
      <c r="AY51" s="402">
        <v>37640</v>
      </c>
      <c r="AZ51" s="1137">
        <v>0</v>
      </c>
      <c r="BA51" s="342"/>
      <c r="BB51" s="334">
        <f t="shared" si="56"/>
        <v>0</v>
      </c>
      <c r="BC51" s="343">
        <f t="shared" si="57"/>
        <v>0</v>
      </c>
      <c r="BD51" s="272"/>
      <c r="BE51" s="234">
        <f t="shared" si="58"/>
        <v>0</v>
      </c>
      <c r="BF51" s="402">
        <v>12655</v>
      </c>
      <c r="BG51" s="1137">
        <v>0</v>
      </c>
      <c r="BH51" s="333">
        <v>5000</v>
      </c>
      <c r="BI51" s="334">
        <f t="shared" si="59"/>
        <v>5352.48</v>
      </c>
      <c r="BJ51" s="726">
        <f t="shared" si="60"/>
        <v>3.4643994088077736E-3</v>
      </c>
      <c r="BK51" s="310">
        <v>5000</v>
      </c>
      <c r="BL51" s="234">
        <f t="shared" si="61"/>
        <v>360</v>
      </c>
      <c r="BM51" s="402">
        <v>3311</v>
      </c>
      <c r="BN51" s="1137">
        <v>0</v>
      </c>
      <c r="BP51" s="720">
        <f t="shared" si="62"/>
        <v>5352.48</v>
      </c>
      <c r="BQ51" s="721">
        <f t="shared" si="47"/>
        <v>5000</v>
      </c>
      <c r="BR51" s="722">
        <f t="shared" si="63"/>
        <v>2.2476156938739108E-4</v>
      </c>
      <c r="BS51" s="604"/>
      <c r="BT51" s="610"/>
      <c r="BU51" s="334">
        <f t="shared" si="64"/>
        <v>0</v>
      </c>
      <c r="BV51" s="612">
        <f t="shared" si="65"/>
        <v>0</v>
      </c>
      <c r="BW51" s="272"/>
      <c r="BX51" s="234">
        <f t="shared" si="66"/>
        <v>0</v>
      </c>
      <c r="BY51" s="402"/>
      <c r="BZ51" s="1137">
        <v>0</v>
      </c>
      <c r="CA51" s="628"/>
      <c r="CB51" s="334">
        <f t="shared" si="67"/>
        <v>0</v>
      </c>
      <c r="CC51" s="630">
        <f t="shared" si="68"/>
        <v>0</v>
      </c>
      <c r="CD51" s="272"/>
      <c r="CE51" s="234">
        <f t="shared" si="69"/>
        <v>0</v>
      </c>
      <c r="CF51" s="402">
        <v>801</v>
      </c>
      <c r="CG51" s="1137">
        <v>0</v>
      </c>
      <c r="CH51" s="1764"/>
      <c r="CI51" s="334">
        <f t="shared" si="48"/>
        <v>0</v>
      </c>
      <c r="CJ51" s="1767">
        <f t="shared" si="49"/>
        <v>0</v>
      </c>
      <c r="CK51" s="272"/>
      <c r="CL51" s="234">
        <f t="shared" si="53"/>
        <v>0</v>
      </c>
      <c r="CM51" s="402"/>
      <c r="CN51" s="1137">
        <v>0</v>
      </c>
      <c r="CO51" s="2074"/>
      <c r="CP51" s="334">
        <f t="shared" si="50"/>
        <v>0</v>
      </c>
      <c r="CQ51" s="2070">
        <f t="shared" si="51"/>
        <v>0</v>
      </c>
      <c r="CR51" s="272"/>
      <c r="CS51" s="234">
        <f t="shared" si="52"/>
        <v>0</v>
      </c>
      <c r="CT51" s="402"/>
      <c r="CU51" s="1137">
        <v>0</v>
      </c>
      <c r="CX51" s="333">
        <v>5000</v>
      </c>
      <c r="CY51" s="334">
        <f t="shared" si="70"/>
        <v>5352.48</v>
      </c>
      <c r="CZ51" s="726">
        <f t="shared" si="71"/>
        <v>3.4643994088077736E-3</v>
      </c>
      <c r="DA51" s="310"/>
      <c r="DB51" s="234">
        <f t="shared" si="72"/>
        <v>0</v>
      </c>
      <c r="DC51" s="402">
        <v>3311</v>
      </c>
      <c r="DD51" s="1137">
        <v>0</v>
      </c>
    </row>
    <row r="52" spans="1:108" ht="36" customHeight="1">
      <c r="A52" s="100">
        <f>_xlfn.XLOOKUP(P52,MOPFRA!R$7:R$78,MOPFRA!A$7:A$78,"")</f>
        <v>-24.01592737459827</v>
      </c>
      <c r="B52" s="99"/>
      <c r="C52" s="2109">
        <f ca="1">_xlfn.XLOOKUP(P52,MOPFRA!R$7:R$78,MOPFRA!$C$7:$C$78,"")</f>
        <v>0.20787021191637431</v>
      </c>
      <c r="D52" s="99"/>
      <c r="E52" s="2120">
        <f>_xlfn.XLOOKUP(P52,MOPFRA!$R$7:$R$56,MOPFRA!$D$7:$D$56,"")</f>
        <v>0.35121412803699315</v>
      </c>
      <c r="F52" s="2110">
        <f>_xlfn.XLOOKUP($P52,MOPFRA!$R$7:$R$56,MOPFRA!$E$7:$E$56,"")</f>
        <v>-3.2</v>
      </c>
      <c r="G52" s="2121">
        <f>_xlfn.XLOOKUP($P52,MOPFRA!$R$7:$R$56,MOPFRA!$F$7:$F$56,"")</f>
        <v>0.20000000000000018</v>
      </c>
      <c r="H52" s="2124" cm="1">
        <f t="array" ref="H52">IFERROR(_xlfn.XLOOKUP(P52,'Sales Rec'!$E$37:$E$91,'Sales Rec'!$CU$37:$CU$91*100,""),"")</f>
        <v>-19.832607764332401</v>
      </c>
      <c r="I52" s="2313">
        <f>_xlfn.XLOOKUP(P52,MOPFRA!$R$7:$R$56,MOPFRA!H$7:H$56,"")</f>
        <v>0.92467634366418205</v>
      </c>
      <c r="J52" s="2313">
        <f>_xlfn.XLOOKUP(P52,MOPFRA!$R$7:$R$56,MOPFRA!J$7:J$56,"")</f>
        <v>0.17831449126413154</v>
      </c>
      <c r="K52" s="1942">
        <f>_xlfn.XLOOKUP(P52,'Sales Rec'!$E$4:$E$91,'Sales Rec'!$CV$4:$CV$91,"")</f>
        <v>24</v>
      </c>
      <c r="L52" s="2212">
        <f>_xlfn.XLOOKUP(P52,MOPFRA!R$7:R$78,MOPFRA!$L$7:$L$78,"")</f>
        <v>40</v>
      </c>
      <c r="M52" s="1586" t="str">
        <f>_xlfn.XLOOKUP(P52,'Sales Rec'!$E$4:$E$105,'Sales Rec'!$DS$4:$DS$105,"")</f>
        <v>N</v>
      </c>
      <c r="N52" s="1586" t="str">
        <f>_xlfn.XLOOKUP(P52,'Sales Rec'!$E$4:$E$105,'Sales Rec'!$DZ$4:$DZ$105,"")</f>
        <v>N</v>
      </c>
      <c r="O52" s="382" t="s">
        <v>112</v>
      </c>
      <c r="P52" s="1571" t="s">
        <v>113</v>
      </c>
      <c r="Q52" s="1929">
        <f>VLOOKUP(P52,MOPFRA!$R$7:$CF$78,2,FALSE)</f>
        <v>9</v>
      </c>
      <c r="R52" s="264">
        <f>VLOOKUP(P52,MOPFRA!$R$7:$CD$56,4,FALSE)</f>
        <v>7440</v>
      </c>
      <c r="S52" s="292">
        <f>_xlfn.XLOOKUP(P52,MOPFRA!$R$7:$R$56,MOPFRA!$V$7:$V$56,"")</f>
        <v>2.9</v>
      </c>
      <c r="T52" s="292">
        <f>_xlfn.XLOOKUP(P52,'دیده بان بازار'!$A$8:$A$3179,'دیده بان بازار'!$L$8:$L$3179,"")</f>
        <v>210</v>
      </c>
      <c r="U52" s="304">
        <f>VLOOKUP(P52,MOPFRA!$R$7:$CD$56,6,FALSE)</f>
        <v>7440</v>
      </c>
      <c r="V52" s="361">
        <f>_xlfn.XLOOKUP(P52,MOPFRA!$R$7:$R$56,MOPFRA!$X$7:$X$56,"")</f>
        <v>2.9</v>
      </c>
      <c r="W52" s="361">
        <f>_xlfn.XLOOKUP(P52,'دیده بان بازار'!$A$8:$A$3179,'دیده بان بازار'!$I$8:$I$3179,"")</f>
        <v>210</v>
      </c>
      <c r="X52" s="2057" t="str">
        <f>_xlfn.XLOOKUP(P52,MOPFRA!$R$7:$R$78,MOPFRA!$P$7:$P$78,"")</f>
        <v>IT</v>
      </c>
      <c r="Y52" s="2058">
        <f t="shared" si="43"/>
        <v>0</v>
      </c>
      <c r="Z52" s="394">
        <f>_xlfn.XLOOKUP(P52,MOPFRA!$R$7:$R$78,MOPFRA!$T$7:$T$78,"")</f>
        <v>4464</v>
      </c>
      <c r="AA52" s="1030">
        <f>_xlfn.XLOOKUP(P52,'Sales Rec'!$E$4:$E$93,'Sales Rec'!$DW$4:$DW$93,"")</f>
        <v>2.196791750214838</v>
      </c>
      <c r="AB52" s="850">
        <f>_xlfn.XLOOKUP(O52,MOPFRA!$Q$7:$Q$56,MOPFRA!$AA$7:$AA$56,"")</f>
        <v>2.4577846630518976</v>
      </c>
      <c r="AC52" s="1221">
        <f t="shared" ca="1" si="44"/>
        <v>2.2757265398628683</v>
      </c>
      <c r="AD52" s="825">
        <f ca="1">_xlfn.XLOOKUP(P52,MOPFRA!$R$7:$R$56,MOPFRA!$AC$7:$AC$56,"")</f>
        <v>-202.91511973971143</v>
      </c>
      <c r="AE52" s="810" t="str">
        <f>_xlfn.XLOOKUP(O52,MOPFRA!$Q$7:$Q$56,MOPFRA!$AH$7:$AH$56,"")</f>
        <v/>
      </c>
      <c r="AF52" s="599" t="str">
        <f t="shared" si="45"/>
        <v/>
      </c>
      <c r="AG52" s="308">
        <f>_xlfn.XLOOKUP(O52,MOPFRA!$Q$7:$Q$78,MOPFRA!$AM$7:$AM$78,"")</f>
        <v>0</v>
      </c>
      <c r="AH52" s="1935">
        <f ca="1">_xlfn.XLOOKUP(P52,MOPFRA!$R$7:$R$56,MOPFRA!$AI$7:$AI$56,"")</f>
        <v>257</v>
      </c>
      <c r="AI52" s="385"/>
      <c r="AJ52" s="1612">
        <f>_xlfn.XLOOKUP(P52,MOPFRA!$R$7:$R$56,MOPFRA!$AJ$7:$AJ$56,"")</f>
        <v>46131</v>
      </c>
      <c r="AK52" s="1691">
        <f>_xlfn.XLOOKUP(P52,MOPFRA!$R$7:$R$78,MOPFRA!$DY$7:$DY$78,"")</f>
        <v>750</v>
      </c>
      <c r="AL52" s="1821">
        <f>_xlfn.XLOOKUP(P52,MOPFRA!$R$7:$R$58,MOPFRA!$AK$7:$AK$58,"")</f>
        <v>46251</v>
      </c>
      <c r="AM52" s="1825">
        <f>_xlfn.XLOOKUP($P52,MOPFRA!$R$7:$R$56,MOPFRA!$CC$7:$CC$56,"")</f>
        <v>1478</v>
      </c>
      <c r="AN52" s="1341">
        <f>_xlfn.XLOOKUP($P52,MOPFRA!$R$7:$R$56,MOPFRA!$BW$7:$BW$56,"")</f>
        <v>4.6787858719630071</v>
      </c>
      <c r="AO52" s="1207">
        <f>_xlfn.XLOOKUP($P52,MOPFRA!$R$7:$R$56,MOPFRA!$CD$7:$CD$56,"")</f>
        <v>5.03</v>
      </c>
      <c r="AP52" s="447"/>
      <c r="AQ52" s="572"/>
      <c r="AR52" s="797"/>
      <c r="AS52" s="798"/>
      <c r="AT52" s="329"/>
      <c r="AU52" s="334">
        <f t="shared" si="46"/>
        <v>0</v>
      </c>
      <c r="AV52" s="330">
        <f t="shared" si="55"/>
        <v>0</v>
      </c>
      <c r="AW52" s="272">
        <v>160000</v>
      </c>
      <c r="AX52" s="234">
        <f t="shared" si="36"/>
        <v>12000</v>
      </c>
      <c r="AY52" s="402">
        <v>5200</v>
      </c>
      <c r="AZ52" s="1137">
        <v>0</v>
      </c>
      <c r="BA52" s="342"/>
      <c r="BB52" s="334">
        <f t="shared" si="56"/>
        <v>0</v>
      </c>
      <c r="BC52" s="343">
        <f t="shared" si="57"/>
        <v>0</v>
      </c>
      <c r="BD52" s="272">
        <v>11998</v>
      </c>
      <c r="BE52" s="234">
        <f t="shared" si="58"/>
        <v>899.85</v>
      </c>
      <c r="BF52" s="402">
        <v>730</v>
      </c>
      <c r="BG52" s="1137">
        <v>0</v>
      </c>
      <c r="BH52" s="333"/>
      <c r="BI52" s="334">
        <f t="shared" si="59"/>
        <v>0</v>
      </c>
      <c r="BJ52" s="726">
        <f t="shared" si="60"/>
        <v>0</v>
      </c>
      <c r="BK52" s="310">
        <v>3750</v>
      </c>
      <c r="BL52" s="234">
        <f t="shared" si="61"/>
        <v>281.25</v>
      </c>
      <c r="BM52" s="402">
        <v>180</v>
      </c>
      <c r="BN52" s="1137">
        <v>0</v>
      </c>
      <c r="BP52" s="720">
        <f t="shared" si="62"/>
        <v>0</v>
      </c>
      <c r="BQ52" s="721">
        <f t="shared" si="47"/>
        <v>0</v>
      </c>
      <c r="BR52" s="722">
        <f t="shared" si="63"/>
        <v>0</v>
      </c>
      <c r="BS52" s="604"/>
      <c r="BT52" s="610"/>
      <c r="BU52" s="334">
        <f t="shared" si="64"/>
        <v>0</v>
      </c>
      <c r="BV52" s="612">
        <f t="shared" si="65"/>
        <v>0</v>
      </c>
      <c r="BW52" s="272"/>
      <c r="BX52" s="234">
        <f t="shared" si="66"/>
        <v>0</v>
      </c>
      <c r="BY52" s="402"/>
      <c r="BZ52" s="1137">
        <v>0</v>
      </c>
      <c r="CA52" s="628"/>
      <c r="CB52" s="334">
        <f t="shared" si="67"/>
        <v>0</v>
      </c>
      <c r="CC52" s="630">
        <f t="shared" si="68"/>
        <v>0</v>
      </c>
      <c r="CD52" s="272">
        <v>3999</v>
      </c>
      <c r="CE52" s="234">
        <f t="shared" si="69"/>
        <v>299.92500000000001</v>
      </c>
      <c r="CF52" s="402">
        <v>243</v>
      </c>
      <c r="CG52" s="1137">
        <v>0</v>
      </c>
      <c r="CH52" s="1764"/>
      <c r="CI52" s="334">
        <f t="shared" si="48"/>
        <v>0</v>
      </c>
      <c r="CJ52" s="1767">
        <f t="shared" si="49"/>
        <v>0</v>
      </c>
      <c r="CK52" s="272"/>
      <c r="CL52" s="234">
        <f t="shared" si="53"/>
        <v>0</v>
      </c>
      <c r="CM52" s="402"/>
      <c r="CN52" s="1137">
        <v>0</v>
      </c>
      <c r="CO52" s="2074"/>
      <c r="CP52" s="334">
        <f t="shared" si="50"/>
        <v>0</v>
      </c>
      <c r="CQ52" s="2070">
        <f t="shared" si="51"/>
        <v>0</v>
      </c>
      <c r="CR52" s="272"/>
      <c r="CS52" s="234">
        <f t="shared" si="52"/>
        <v>0</v>
      </c>
      <c r="CT52" s="402"/>
      <c r="CU52" s="1137">
        <v>0</v>
      </c>
      <c r="CX52" s="333">
        <v>3750</v>
      </c>
      <c r="CY52" s="334">
        <f t="shared" si="70"/>
        <v>2765.4479999999999</v>
      </c>
      <c r="CZ52" s="726">
        <f t="shared" si="71"/>
        <v>1.7899396945506832E-3</v>
      </c>
      <c r="DA52" s="310">
        <v>3750</v>
      </c>
      <c r="DB52" s="234">
        <f t="shared" si="72"/>
        <v>281.25</v>
      </c>
      <c r="DC52" s="402">
        <v>180</v>
      </c>
      <c r="DD52" s="1137">
        <v>0</v>
      </c>
    </row>
    <row r="53" spans="1:108" ht="36" customHeight="1">
      <c r="A53" s="100">
        <f>_xlfn.XLOOKUP(P53,MOPFRA!R$7:R$78,MOPFRA!A$7:A$78,"")</f>
        <v>-37.21765493050718</v>
      </c>
      <c r="B53" s="99"/>
      <c r="C53" s="2109">
        <f ca="1">_xlfn.XLOOKUP(P53,MOPFRA!R$7:R$78,MOPFRA!$C$7:$C$78,"")</f>
        <v>2.4177504525161231</v>
      </c>
      <c r="D53" s="99"/>
      <c r="E53" s="2120">
        <f>_xlfn.XLOOKUP(P53,MOPFRA!$R$7:$R$56,MOPFRA!$D$7:$D$56,"")</f>
        <v>-3.133633369709349</v>
      </c>
      <c r="F53" s="2110">
        <f>_xlfn.XLOOKUP($P53,MOPFRA!$R$7:$R$56,MOPFRA!$E$7:$E$56,"")</f>
        <v>2.0000000000000018</v>
      </c>
      <c r="G53" s="2121">
        <f>_xlfn.XLOOKUP($P53,MOPFRA!$R$7:$R$56,MOPFRA!$F$7:$F$56,"")</f>
        <v>-4.3999999999999995</v>
      </c>
      <c r="H53" s="2124" cm="1">
        <f t="array" ref="H53">IFERROR(_xlfn.XLOOKUP(P53,'Sales Rec'!$E$37:$E$91,'Sales Rec'!$CU$37:$CU$91*100,""),"")</f>
        <v>6.1209217497857686</v>
      </c>
      <c r="I53" s="2313">
        <f>_xlfn.XLOOKUP(P53,MOPFRA!$R$7:$R$56,MOPFRA!H$7:H$56,"")</f>
        <v>0.28640935672514622</v>
      </c>
      <c r="J53" s="2313">
        <f>_xlfn.XLOOKUP(P53,MOPFRA!$R$7:$R$56,MOPFRA!J$7:J$56,"")</f>
        <v>-6.9855513934055077E-2</v>
      </c>
      <c r="K53" s="1942">
        <f>_xlfn.XLOOKUP(P53,'Sales Rec'!$E$4:$E$91,'Sales Rec'!$CV$4:$CV$91,"")</f>
        <v>45</v>
      </c>
      <c r="L53" s="2212">
        <f>_xlfn.XLOOKUP(P53,MOPFRA!R$7:R$78,MOPFRA!$L$7:$L$78,"")</f>
        <v>47</v>
      </c>
      <c r="M53" s="1586" t="str">
        <f>_xlfn.XLOOKUP(P53,'Sales Rec'!$E$4:$E$105,'Sales Rec'!$DS$4:$DS$105,"")</f>
        <v>S</v>
      </c>
      <c r="N53" s="1586" t="str">
        <f>_xlfn.XLOOKUP(P53,'Sales Rec'!$E$4:$E$105,'Sales Rec'!$DZ$4:$DZ$105,"")</f>
        <v>SS</v>
      </c>
      <c r="O53" s="1931" t="s">
        <v>150</v>
      </c>
      <c r="P53" s="1811" t="s">
        <v>151</v>
      </c>
      <c r="Q53" s="66">
        <v>12</v>
      </c>
      <c r="R53" s="264">
        <f>VLOOKUP(P53,MOPFRA!$R$7:$CD$56,4,FALSE)</f>
        <v>55820</v>
      </c>
      <c r="S53" s="292">
        <f>_xlfn.XLOOKUP(P53,MOPFRA!$R$7:$R$56,MOPFRA!$V$7:$V$56,"")</f>
        <v>2.97</v>
      </c>
      <c r="T53" s="292">
        <f>_xlfn.XLOOKUP(P53,'دیده بان بازار'!$A$8:$A$3179,'دیده بان بازار'!$L$8:$L$3179,"")</f>
        <v>1610</v>
      </c>
      <c r="U53" s="304">
        <f>VLOOKUP(P53,MOPFRA!$R$7:$CD$56,6,FALSE)</f>
        <v>55830</v>
      </c>
      <c r="V53" s="361">
        <f>_xlfn.XLOOKUP(P53,MOPFRA!$R$7:$R$56,MOPFRA!$X$7:$X$56,"")</f>
        <v>2.99</v>
      </c>
      <c r="W53" s="361">
        <f>_xlfn.XLOOKUP(P53,'دیده بان بازار'!$A$8:$A$3179,'دیده بان بازار'!$I$8:$I$3179,"")</f>
        <v>1620</v>
      </c>
      <c r="X53" s="2057" t="str">
        <f>_xlfn.XLOOKUP(P53,MOPFRA!$R$7:$R$78,MOPFRA!$P$7:$P$78,"")</f>
        <v>PEP</v>
      </c>
      <c r="Y53" s="2058">
        <f t="shared" si="43"/>
        <v>5.4944427045437866E-3</v>
      </c>
      <c r="Z53" s="394">
        <f>_xlfn.XLOOKUP(P53,MOPFRA!$R$7:$R$78,MOPFRA!$T$7:$T$78,"")</f>
        <v>128409</v>
      </c>
      <c r="AA53" s="1030">
        <f>_xlfn.XLOOKUP(P53,'Sales Rec'!$E$4:$E$93,'Sales Rec'!$DW$4:$DW$93,"")</f>
        <v>1.2050756620428751E-2</v>
      </c>
      <c r="AB53" s="850">
        <f>_xlfn.XLOOKUP(O53,MOPFRA!$Q$7:$Q$56,MOPFRA!$AA$7:$AA$56,"")</f>
        <v>2.2039159503342884E-2</v>
      </c>
      <c r="AC53" s="1221">
        <f t="shared" ca="1" si="44"/>
        <v>6.2969027152408241E-3</v>
      </c>
      <c r="AD53" s="825">
        <f ca="1">_xlfn.XLOOKUP(P53,MOPFRA!$R$7:$R$56,MOPFRA!$AC$7:$AC$56,"")</f>
        <v>24.027843975051262</v>
      </c>
      <c r="AE53" s="810">
        <f>_xlfn.XLOOKUP(O53,MOPFRA!$Q$7:$Q$56,MOPFRA!$AH$7:$AH$56,"")</f>
        <v>-7.4863112391930831E-2</v>
      </c>
      <c r="AF53" s="599" t="str">
        <f t="shared" si="45"/>
        <v/>
      </c>
      <c r="AG53" s="308">
        <f>_xlfn.XLOOKUP(O53,MOPFRA!$Q$7:$Q$78,MOPFRA!$AM$7:$AM$78,"")</f>
        <v>0</v>
      </c>
      <c r="AH53" s="1935">
        <f ca="1">_xlfn.XLOOKUP(P53,MOPFRA!$R$7:$R$56,MOPFRA!$AI$7:$AI$56,"")</f>
        <v>15</v>
      </c>
      <c r="AI53" s="385"/>
      <c r="AJ53" s="1343">
        <f>_xlfn.XLOOKUP(P53,MOPFRA!$R$7:$R$56,MOPFRA!$AJ$7:$AJ$56,"")</f>
        <v>46254</v>
      </c>
      <c r="AK53" s="1694">
        <f>_xlfn.XLOOKUP(P53,MOPFRA!$R$7:$R$78,MOPFRA!$DY$7:$DY$78,"")</f>
        <v>8375</v>
      </c>
      <c r="AL53" s="1822">
        <f>_xlfn.XLOOKUP(P53,MOPFRA!$R$7:$R$58,MOPFRA!$AK$7:$AK$58,"")</f>
        <v>46295</v>
      </c>
      <c r="AM53" s="1825">
        <f>_xlfn.XLOOKUP($P53,MOPFRA!$R$7:$R$56,MOPFRA!$CC$7:$CC$56,"")</f>
        <v>9454</v>
      </c>
      <c r="AN53" s="1341">
        <f>_xlfn.XLOOKUP($P53,MOPFRA!$R$7:$R$56,MOPFRA!$BW$7:$BW$56,"")</f>
        <v>9.0336333697093494</v>
      </c>
      <c r="AO53" s="1207">
        <f>_xlfn.XLOOKUP($P53,MOPFRA!$R$7:$R$56,MOPFRA!$CD$7:$CD$56,"")</f>
        <v>5.9</v>
      </c>
      <c r="AP53" s="447"/>
      <c r="AQ53" s="573"/>
      <c r="AR53" s="797"/>
      <c r="AS53" s="798" t="str">
        <f>IF(AR53&lt;1,"",(U53-AR53)/AR53)</f>
        <v/>
      </c>
      <c r="AT53" s="329"/>
      <c r="AU53" s="334">
        <f t="shared" si="46"/>
        <v>0</v>
      </c>
      <c r="AV53" s="330">
        <f t="shared" si="55"/>
        <v>0</v>
      </c>
      <c r="AW53" s="272"/>
      <c r="AX53" s="234">
        <f t="shared" si="36"/>
        <v>0</v>
      </c>
      <c r="AY53" s="402"/>
      <c r="AZ53" s="1137">
        <v>0</v>
      </c>
      <c r="BA53" s="342"/>
      <c r="BB53" s="334">
        <f t="shared" si="56"/>
        <v>0</v>
      </c>
      <c r="BC53" s="343">
        <f t="shared" si="57"/>
        <v>0</v>
      </c>
      <c r="BD53" s="272"/>
      <c r="BE53" s="234">
        <f t="shared" si="58"/>
        <v>0</v>
      </c>
      <c r="BF53" s="402"/>
      <c r="BG53" s="1137">
        <v>0</v>
      </c>
      <c r="BH53" s="333"/>
      <c r="BI53" s="334">
        <f t="shared" si="59"/>
        <v>0</v>
      </c>
      <c r="BJ53" s="726">
        <f t="shared" si="60"/>
        <v>0</v>
      </c>
      <c r="BK53" s="310"/>
      <c r="BL53" s="234">
        <f t="shared" si="61"/>
        <v>0</v>
      </c>
      <c r="BM53" s="402"/>
      <c r="BN53" s="1137">
        <v>0</v>
      </c>
      <c r="BP53" s="720">
        <f t="shared" si="62"/>
        <v>0</v>
      </c>
      <c r="BQ53" s="721">
        <f t="shared" si="47"/>
        <v>0</v>
      </c>
      <c r="BR53" s="722">
        <f t="shared" si="63"/>
        <v>0</v>
      </c>
      <c r="BS53" s="604"/>
      <c r="BT53" s="610"/>
      <c r="BU53" s="334">
        <f t="shared" si="64"/>
        <v>0</v>
      </c>
      <c r="BV53" s="612">
        <f t="shared" si="65"/>
        <v>0</v>
      </c>
      <c r="BW53" s="272"/>
      <c r="BX53" s="234">
        <f t="shared" si="66"/>
        <v>0</v>
      </c>
      <c r="BY53" s="402"/>
      <c r="BZ53" s="1137">
        <v>0</v>
      </c>
      <c r="CA53" s="628"/>
      <c r="CB53" s="334">
        <f t="shared" si="67"/>
        <v>0</v>
      </c>
      <c r="CC53" s="630">
        <f t="shared" si="68"/>
        <v>0</v>
      </c>
      <c r="CD53" s="272"/>
      <c r="CE53" s="234">
        <f t="shared" si="69"/>
        <v>0</v>
      </c>
      <c r="CF53" s="402"/>
      <c r="CG53" s="1137">
        <v>0</v>
      </c>
      <c r="CH53" s="1764"/>
      <c r="CI53" s="334">
        <f t="shared" si="48"/>
        <v>0</v>
      </c>
      <c r="CJ53" s="1767">
        <f t="shared" si="49"/>
        <v>0</v>
      </c>
      <c r="CK53" s="272"/>
      <c r="CL53" s="234">
        <f t="shared" si="53"/>
        <v>0</v>
      </c>
      <c r="CM53" s="402"/>
      <c r="CN53" s="1137">
        <v>0</v>
      </c>
      <c r="CO53" s="2074"/>
      <c r="CP53" s="334">
        <f t="shared" si="50"/>
        <v>0</v>
      </c>
      <c r="CQ53" s="2070">
        <f t="shared" si="51"/>
        <v>0</v>
      </c>
      <c r="CR53" s="272"/>
      <c r="CS53" s="234">
        <f t="shared" si="52"/>
        <v>0</v>
      </c>
      <c r="CT53" s="402"/>
      <c r="CU53" s="1137">
        <v>0</v>
      </c>
      <c r="CX53" s="333"/>
      <c r="CY53" s="334">
        <f t="shared" si="70"/>
        <v>0</v>
      </c>
      <c r="CZ53" s="726">
        <f t="shared" si="71"/>
        <v>0</v>
      </c>
      <c r="DA53" s="310"/>
      <c r="DB53" s="234">
        <f t="shared" si="72"/>
        <v>0</v>
      </c>
      <c r="DC53" s="402"/>
      <c r="DD53" s="1137">
        <v>0</v>
      </c>
    </row>
    <row r="54" spans="1:108" ht="36" customHeight="1">
      <c r="A54" s="100">
        <f>_xlfn.XLOOKUP(P54,MOPFRA!R$7:R$78,MOPFRA!A$7:A$78,"")</f>
        <v>-38.669656839078094</v>
      </c>
      <c r="B54" s="99"/>
      <c r="C54" s="2109">
        <f ca="1">_xlfn.XLOOKUP(P54,MOPFRA!R$7:R$78,MOPFRA!$C$7:$C$78,"")</f>
        <v>0.14757847012322717</v>
      </c>
      <c r="D54" s="99"/>
      <c r="E54" s="2120">
        <f>_xlfn.XLOOKUP(P54,MOPFRA!$R$7:$R$56,MOPFRA!$D$7:$D$56,"")</f>
        <v>-248.47769673701751</v>
      </c>
      <c r="F54" s="2110">
        <f>_xlfn.XLOOKUP($P54,MOPFRA!$R$7:$R$56,MOPFRA!$E$7:$E$56,"")</f>
        <v>-5.6000000000000005</v>
      </c>
      <c r="G54" s="2121">
        <f>_xlfn.XLOOKUP($P54,MOPFRA!$R$7:$R$56,MOPFRA!$F$7:$F$56,"")</f>
        <v>-4.8</v>
      </c>
      <c r="H54" s="2124" cm="1">
        <f t="array" ref="H54">IFERROR(_xlfn.XLOOKUP(P54,'Sales Rec'!$E$37:$E$91,'Sales Rec'!$CU$37:$CU$91*100,""),"")</f>
        <v>-6.9237457377321716</v>
      </c>
      <c r="I54" s="2313">
        <f>_xlfn.XLOOKUP(P54,MOPFRA!$R$7:$R$56,MOPFRA!H$7:H$56,"")</f>
        <v>-0.12762910588024703</v>
      </c>
      <c r="J54" s="2313">
        <f>_xlfn.XLOOKUP(P54,MOPFRA!$R$7:$R$56,MOPFRA!J$7:J$56,"")</f>
        <v>-0.50940427662161192</v>
      </c>
      <c r="K54" s="1942">
        <f>_xlfn.XLOOKUP(P54,'Sales Rec'!$E$4:$E$91,'Sales Rec'!$CV$4:$CV$91,"")</f>
        <v>48</v>
      </c>
      <c r="L54" s="2212">
        <f>_xlfn.XLOOKUP(P54,MOPFRA!R$7:R$78,MOPFRA!$L$7:$L$78,"")</f>
        <v>50</v>
      </c>
      <c r="M54" s="1586" t="str">
        <f>_xlfn.XLOOKUP(P54,'Sales Rec'!$E$4:$E$105,'Sales Rec'!$DS$4:$DS$105,"")</f>
        <v>SS</v>
      </c>
      <c r="N54" s="1586" t="str">
        <f>_xlfn.XLOOKUP(P54,'Sales Rec'!$E$4:$E$105,'Sales Rec'!$DZ$4:$DZ$105,"")</f>
        <v>SS</v>
      </c>
      <c r="O54" s="382" t="s">
        <v>152</v>
      </c>
      <c r="P54" s="1571" t="s">
        <v>153</v>
      </c>
      <c r="Q54" s="1929">
        <f>VLOOKUP(P54,MOPFRA!$R$7:$CF$78,2,FALSE)</f>
        <v>12</v>
      </c>
      <c r="R54" s="264">
        <f>VLOOKUP(P54,MOPFRA!$R$7:$CD$56,4,FALSE)</f>
        <v>8020</v>
      </c>
      <c r="S54" s="292">
        <f>_xlfn.XLOOKUP(P54,MOPFRA!$R$7:$R$56,MOPFRA!$V$7:$V$56,"")</f>
        <v>2.56</v>
      </c>
      <c r="T54" s="292">
        <f>_xlfn.XLOOKUP(P54,'دیده بان بازار'!$A$8:$A$3179,'دیده بان بازار'!$L$8:$L$3179,"")</f>
        <v>200</v>
      </c>
      <c r="U54" s="304">
        <f>VLOOKUP(P54,MOPFRA!$R$7:$CD$56,6,FALSE)</f>
        <v>8050</v>
      </c>
      <c r="V54" s="361">
        <f>_xlfn.XLOOKUP(P54,MOPFRA!$R$7:$R$56,MOPFRA!$X$7:$X$56,"")</f>
        <v>2.94</v>
      </c>
      <c r="W54" s="361">
        <f>_xlfn.XLOOKUP(P54,'دیده بان بازار'!$A$8:$A$3179,'دیده بان بازار'!$I$8:$I$3179,"")</f>
        <v>230</v>
      </c>
      <c r="X54" s="2057" t="str">
        <f>_xlfn.XLOOKUP(P54,MOPFRA!$R$7:$R$78,MOPFRA!$P$7:$P$78,"")</f>
        <v>PET</v>
      </c>
      <c r="Y54" s="2058">
        <f t="shared" si="43"/>
        <v>0</v>
      </c>
      <c r="Z54" s="394">
        <f>_xlfn.XLOOKUP(P54,MOPFRA!$R$7:$R$78,MOPFRA!$T$7:$T$78,"")</f>
        <v>27370</v>
      </c>
      <c r="AA54" s="1030">
        <f>_xlfn.XLOOKUP(P54,'Sales Rec'!$E$4:$E$93,'Sales Rec'!$DW$4:$DW$93,"")</f>
        <v>0.31012823531720846</v>
      </c>
      <c r="AB54" s="850">
        <f>_xlfn.XLOOKUP(O54,MOPFRA!$Q$7:$Q$56,MOPFRA!$AA$7:$AA$56,"")</f>
        <v>-6.711203517502301E-2</v>
      </c>
      <c r="AC54" s="1221">
        <f t="shared" ca="1" si="44"/>
        <v>-0.17661061888163951</v>
      </c>
      <c r="AD54" s="825">
        <f ca="1">_xlfn.XLOOKUP(P54,MOPFRA!$R$7:$R$56,MOPFRA!$AC$7:$AC$56,"")</f>
        <v>42.318596134739302</v>
      </c>
      <c r="AE54" s="810">
        <f>_xlfn.XLOOKUP(O54,MOPFRA!$Q$7:$Q$56,MOPFRA!$AH$7:$AH$56,"")</f>
        <v>-5.7034911178116031E-3</v>
      </c>
      <c r="AF54" s="599" t="str">
        <f t="shared" si="45"/>
        <v/>
      </c>
      <c r="AG54" s="308">
        <f>_xlfn.XLOOKUP(O54,MOPFRA!$Q$7:$Q$78,MOPFRA!$AM$7:$AM$78,"")</f>
        <v>0</v>
      </c>
      <c r="AH54" s="1935">
        <f ca="1">_xlfn.XLOOKUP(P54,MOPFRA!$R$7:$R$56,MOPFRA!$AI$7:$AI$56,"")</f>
        <v>327</v>
      </c>
      <c r="AI54" s="385"/>
      <c r="AJ54" s="1612">
        <f>_xlfn.XLOOKUP(P54,MOPFRA!$R$7:$R$56,MOPFRA!$AJ$7:$AJ$56,"")</f>
        <v>46201</v>
      </c>
      <c r="AK54" s="1691">
        <f>_xlfn.XLOOKUP(P54,MOPFRA!$R$7:$R$78,MOPFRA!$DY$7:$DY$78,"")</f>
        <v>1561</v>
      </c>
      <c r="AL54" s="1821">
        <f>_xlfn.XLOOKUP(P54,MOPFRA!$R$7:$R$58,MOPFRA!$AK$7:$AK$58,"")</f>
        <v>46270</v>
      </c>
      <c r="AM54" s="1825">
        <f>_xlfn.XLOOKUP($P54,MOPFRA!$R$7:$R$56,MOPFRA!$CC$7:$CC$56,"")</f>
        <v>1099</v>
      </c>
      <c r="AN54" s="1341">
        <f>_xlfn.XLOOKUP($P54,MOPFRA!$R$7:$R$56,MOPFRA!$BW$7:$BW$56,"")</f>
        <v>255.77769673701752</v>
      </c>
      <c r="AO54" s="1207">
        <f>_xlfn.XLOOKUP($P54,MOPFRA!$R$7:$R$56,MOPFRA!$CD$7:$CD$56,"")</f>
        <v>7.3</v>
      </c>
      <c r="AP54" s="447"/>
      <c r="AQ54" s="572"/>
      <c r="AR54" s="797"/>
      <c r="AS54" s="798"/>
      <c r="AT54" s="329"/>
      <c r="AU54" s="334">
        <f t="shared" si="46"/>
        <v>0</v>
      </c>
      <c r="AV54" s="330">
        <f t="shared" si="55"/>
        <v>0</v>
      </c>
      <c r="AW54" s="272"/>
      <c r="AX54" s="234">
        <f t="shared" si="36"/>
        <v>0</v>
      </c>
      <c r="AY54" s="402">
        <v>8720</v>
      </c>
      <c r="AZ54" s="1137">
        <v>0</v>
      </c>
      <c r="BA54" s="342"/>
      <c r="BB54" s="334">
        <f t="shared" si="56"/>
        <v>0</v>
      </c>
      <c r="BC54" s="343">
        <f t="shared" si="57"/>
        <v>0</v>
      </c>
      <c r="BD54" s="272"/>
      <c r="BE54" s="234">
        <f t="shared" si="58"/>
        <v>0</v>
      </c>
      <c r="BF54" s="402"/>
      <c r="BG54" s="1137">
        <v>0</v>
      </c>
      <c r="BH54" s="333"/>
      <c r="BI54" s="334">
        <f t="shared" si="59"/>
        <v>0</v>
      </c>
      <c r="BJ54" s="726">
        <f t="shared" si="60"/>
        <v>0</v>
      </c>
      <c r="BK54" s="310"/>
      <c r="BL54" s="234">
        <f t="shared" si="61"/>
        <v>0</v>
      </c>
      <c r="BM54" s="402"/>
      <c r="BN54" s="1137">
        <v>0</v>
      </c>
      <c r="BP54" s="720">
        <f t="shared" si="62"/>
        <v>0</v>
      </c>
      <c r="BQ54" s="721">
        <f t="shared" si="47"/>
        <v>0</v>
      </c>
      <c r="BR54" s="722">
        <f t="shared" si="63"/>
        <v>0</v>
      </c>
      <c r="BS54" s="604"/>
      <c r="BT54" s="610"/>
      <c r="BU54" s="334">
        <f t="shared" si="64"/>
        <v>0</v>
      </c>
      <c r="BV54" s="612">
        <f t="shared" si="65"/>
        <v>0</v>
      </c>
      <c r="BW54" s="272"/>
      <c r="BX54" s="234">
        <f t="shared" si="66"/>
        <v>0</v>
      </c>
      <c r="BY54" s="402"/>
      <c r="BZ54" s="1137">
        <v>0</v>
      </c>
      <c r="CA54" s="628"/>
      <c r="CB54" s="334">
        <f t="shared" si="67"/>
        <v>0</v>
      </c>
      <c r="CC54" s="630">
        <f t="shared" si="68"/>
        <v>0</v>
      </c>
      <c r="CD54" s="272"/>
      <c r="CE54" s="234">
        <f t="shared" si="69"/>
        <v>0</v>
      </c>
      <c r="CF54" s="402"/>
      <c r="CG54" s="1137">
        <v>0</v>
      </c>
      <c r="CH54" s="1764"/>
      <c r="CI54" s="334">
        <f t="shared" si="48"/>
        <v>0</v>
      </c>
      <c r="CJ54" s="1767">
        <f t="shared" si="49"/>
        <v>0</v>
      </c>
      <c r="CK54" s="272"/>
      <c r="CL54" s="234">
        <f t="shared" si="53"/>
        <v>0</v>
      </c>
      <c r="CM54" s="402"/>
      <c r="CN54" s="1137">
        <v>0</v>
      </c>
      <c r="CO54" s="2074"/>
      <c r="CP54" s="334">
        <f t="shared" si="50"/>
        <v>0</v>
      </c>
      <c r="CQ54" s="2070">
        <f t="shared" si="51"/>
        <v>0</v>
      </c>
      <c r="CR54" s="272"/>
      <c r="CS54" s="234">
        <f t="shared" si="52"/>
        <v>0</v>
      </c>
      <c r="CT54" s="402"/>
      <c r="CU54" s="1137">
        <v>0</v>
      </c>
      <c r="CX54" s="333"/>
      <c r="CY54" s="334">
        <f t="shared" si="70"/>
        <v>0</v>
      </c>
      <c r="CZ54" s="726">
        <f t="shared" si="71"/>
        <v>0</v>
      </c>
      <c r="DA54" s="310"/>
      <c r="DB54" s="234">
        <f t="shared" si="72"/>
        <v>0</v>
      </c>
      <c r="DC54" s="402"/>
      <c r="DD54" s="1137">
        <v>0</v>
      </c>
    </row>
    <row r="55" spans="1:108" ht="36" customHeight="1">
      <c r="A55" s="100">
        <f>_xlfn.XLOOKUP(P55,MOPFRA!R$7:R$78,MOPFRA!A$7:A$78,"")</f>
        <v>-40.294632979004746</v>
      </c>
      <c r="B55" s="99"/>
      <c r="C55" s="2109">
        <f ca="1">_xlfn.XLOOKUP(P55,MOPFRA!R$7:R$78,MOPFRA!$C$7:$C$78,"")</f>
        <v>0.74061423061694365</v>
      </c>
      <c r="D55" s="99"/>
      <c r="E55" s="2120">
        <f>_xlfn.XLOOKUP(P55,MOPFRA!$R$7:$R$56,MOPFRA!$D$7:$D$56,"")</f>
        <v>-13.454830907467484</v>
      </c>
      <c r="F55" s="2110">
        <f>_xlfn.XLOOKUP($P55,MOPFRA!$R$7:$R$56,MOPFRA!$E$7:$E$56,"")</f>
        <v>0.20000000000000018</v>
      </c>
      <c r="G55" s="2121">
        <f>_xlfn.XLOOKUP($P55,MOPFRA!$R$7:$R$56,MOPFRA!$F$7:$F$56,"")</f>
        <v>-12</v>
      </c>
      <c r="H55" s="2124" cm="1">
        <f t="array" ref="H55">IFERROR(_xlfn.XLOOKUP(P55,'Sales Rec'!$E$37:$E$91,'Sales Rec'!$CU$37:$CU$91*100,""),"")</f>
        <v>12.920323524350369</v>
      </c>
      <c r="I55" s="2313">
        <f>_xlfn.XLOOKUP(P55,MOPFRA!$R$7:$R$56,MOPFRA!H$7:H$56,"")</f>
        <v>0.36410256410256409</v>
      </c>
      <c r="J55" s="2313">
        <f>_xlfn.XLOOKUP(P55,MOPFRA!$R$7:$R$56,MOPFRA!J$7:J$56,"")</f>
        <v>-0.67654986522911054</v>
      </c>
      <c r="K55" s="1942">
        <f>_xlfn.XLOOKUP(P55,'Sales Rec'!$E$4:$E$91,'Sales Rec'!$CV$4:$CV$91,"")</f>
        <v>43</v>
      </c>
      <c r="L55" s="2212">
        <f>_xlfn.XLOOKUP(P55,MOPFRA!R$7:R$78,MOPFRA!$L$7:$L$78,"")</f>
        <v>46</v>
      </c>
      <c r="M55" s="1586" t="str">
        <f>_xlfn.XLOOKUP(P55,'Sales Rec'!$E$4:$E$105,'Sales Rec'!$DS$4:$DS$105,"")</f>
        <v>S</v>
      </c>
      <c r="N55" s="1586" t="str">
        <f>_xlfn.XLOOKUP(P55,'Sales Rec'!$E$4:$E$105,'Sales Rec'!$DZ$4:$DZ$105,"")</f>
        <v>SS</v>
      </c>
      <c r="O55" s="1930" t="s">
        <v>134</v>
      </c>
      <c r="P55" s="2391" t="s">
        <v>135</v>
      </c>
      <c r="Q55" s="2055">
        <v>12</v>
      </c>
      <c r="R55" s="264">
        <f>VLOOKUP(P55,MOPFRA!$R$7:$CD$56,4,FALSE)</f>
        <v>14050</v>
      </c>
      <c r="S55" s="292">
        <f>_xlfn.XLOOKUP(P55,MOPFRA!$R$7:$R$56,MOPFRA!$V$7:$V$56,"")</f>
        <v>2.7</v>
      </c>
      <c r="T55" s="292">
        <f>_xlfn.XLOOKUP(P55,'دیده بان بازار'!$A$8:$A$3179,'دیده بان بازار'!$L$8:$L$3179,"")</f>
        <v>370</v>
      </c>
      <c r="U55" s="304">
        <f>VLOOKUP(P55,MOPFRA!$R$7:$CD$56,6,FALSE)</f>
        <v>14060</v>
      </c>
      <c r="V55" s="361">
        <f>_xlfn.XLOOKUP(P55,MOPFRA!$R$7:$R$56,MOPFRA!$X$7:$X$56,"")</f>
        <v>2.78</v>
      </c>
      <c r="W55" s="361">
        <f>_xlfn.XLOOKUP(P55,'دیده بان بازار'!$A$8:$A$3179,'دیده بان بازار'!$I$8:$I$3179,"")</f>
        <v>380</v>
      </c>
      <c r="X55" s="2057" t="str">
        <f>_xlfn.XLOOKUP(P55,MOPFRA!$R$7:$R$78,MOPFRA!$P$7:$P$78,"")</f>
        <v>KM</v>
      </c>
      <c r="Y55" s="2058">
        <f t="shared" si="43"/>
        <v>6.7126295427071651E-3</v>
      </c>
      <c r="Z55" s="394">
        <f>_xlfn.XLOOKUP(P55,MOPFRA!$R$7:$R$78,MOPFRA!$T$7:$T$78,"")</f>
        <v>7873.6</v>
      </c>
      <c r="AA55" s="1030" t="str">
        <f>_xlfn.XLOOKUP(P55,'Sales Rec'!$E$4:$E$93,'Sales Rec'!$DW$4:$DW$93,"")</f>
        <v>NEW</v>
      </c>
      <c r="AB55" s="850">
        <f>_xlfn.XLOOKUP(O55,MOPFRA!$Q$7:$Q$56,MOPFRA!$AA$7:$AA$56,"")</f>
        <v>0.28843069873997718</v>
      </c>
      <c r="AC55" s="1221">
        <f t="shared" ca="1" si="44"/>
        <v>8.1940539414766242E-2</v>
      </c>
      <c r="AD55" s="825">
        <f ca="1">_xlfn.XLOOKUP(P55,MOPFRA!$R$7:$R$56,MOPFRA!$AC$7:$AC$56,"")</f>
        <v>16.46348030509872</v>
      </c>
      <c r="AE55" s="810" t="str">
        <f>_xlfn.XLOOKUP(O55,MOPFRA!$Q$7:$Q$56,MOPFRA!$AH$7:$AH$56,"")</f>
        <v/>
      </c>
      <c r="AF55" s="599" t="str">
        <f t="shared" si="45"/>
        <v/>
      </c>
      <c r="AG55" s="308">
        <f>_xlfn.XLOOKUP(O55,MOPFRA!$Q$7:$Q$78,MOPFRA!$AM$7:$AM$78,"")</f>
        <v>0</v>
      </c>
      <c r="AH55" s="1935">
        <f ca="1">_xlfn.XLOOKUP(P55,MOPFRA!$R$7:$R$56,MOPFRA!$AI$7:$AI$56,"")</f>
        <v>13</v>
      </c>
      <c r="AI55" s="385"/>
      <c r="AJ55" s="1818">
        <f>_xlfn.XLOOKUP(P55,MOPFRA!$R$7:$R$56,MOPFRA!$AJ$7:$AJ$56,"")</f>
        <v>46252</v>
      </c>
      <c r="AK55" s="1694">
        <f>_xlfn.XLOOKUP(P55,MOPFRA!$R$7:$R$78,MOPFRA!$DY$7:$DY$78,"")</f>
        <v>1500</v>
      </c>
      <c r="AL55" s="1821">
        <f>_xlfn.XLOOKUP(P55,MOPFRA!$R$7:$R$58,MOPFRA!$AK$7:$AK$58,"")</f>
        <v>46336</v>
      </c>
      <c r="AM55" s="1825">
        <f>_xlfn.XLOOKUP($P55,MOPFRA!$R$7:$R$56,MOPFRA!$CC$7:$CC$56,"")</f>
        <v>1506</v>
      </c>
      <c r="AN55" s="1341">
        <f>_xlfn.XLOOKUP($P55,MOPFRA!$R$7:$R$56,MOPFRA!$BW$7:$BW$56,"")</f>
        <v>22.784830907467484</v>
      </c>
      <c r="AO55" s="1207">
        <f>_xlfn.XLOOKUP($P55,MOPFRA!$R$7:$R$56,MOPFRA!$CD$7:$CD$56,"")</f>
        <v>9.33</v>
      </c>
      <c r="AP55" s="447"/>
      <c r="AQ55" s="572"/>
      <c r="AR55" s="797"/>
      <c r="AS55" s="798" t="str">
        <f>IF(AR55&lt;1,"",(U55-AR55)/AR55)</f>
        <v/>
      </c>
      <c r="AT55" s="329"/>
      <c r="AU55" s="334">
        <f t="shared" si="46"/>
        <v>0</v>
      </c>
      <c r="AV55" s="330">
        <f t="shared" si="55"/>
        <v>0</v>
      </c>
      <c r="AW55" s="310"/>
      <c r="AX55" s="234">
        <f t="shared" si="36"/>
        <v>0</v>
      </c>
      <c r="AY55" s="402">
        <v>8</v>
      </c>
      <c r="AZ55" s="1137">
        <v>0</v>
      </c>
      <c r="BA55" s="437"/>
      <c r="BB55" s="334">
        <f t="shared" si="56"/>
        <v>0</v>
      </c>
      <c r="BC55" s="343">
        <f t="shared" si="57"/>
        <v>0</v>
      </c>
      <c r="BD55" s="310"/>
      <c r="BE55" s="234">
        <f t="shared" si="58"/>
        <v>0</v>
      </c>
      <c r="BF55" s="402">
        <v>8</v>
      </c>
      <c r="BG55" s="1137">
        <v>0</v>
      </c>
      <c r="BH55" s="718"/>
      <c r="BI55" s="334">
        <f t="shared" si="59"/>
        <v>0</v>
      </c>
      <c r="BJ55" s="726">
        <f t="shared" si="60"/>
        <v>0</v>
      </c>
      <c r="BK55" s="310"/>
      <c r="BL55" s="234">
        <f t="shared" si="61"/>
        <v>0</v>
      </c>
      <c r="BM55" s="402">
        <v>8</v>
      </c>
      <c r="BN55" s="1137">
        <v>0</v>
      </c>
      <c r="BP55" s="720">
        <f t="shared" si="62"/>
        <v>0</v>
      </c>
      <c r="BQ55" s="721">
        <f t="shared" si="47"/>
        <v>0</v>
      </c>
      <c r="BR55" s="722">
        <f t="shared" si="63"/>
        <v>0</v>
      </c>
      <c r="BS55" s="605"/>
      <c r="BT55" s="611"/>
      <c r="BU55" s="334">
        <f t="shared" si="64"/>
        <v>0</v>
      </c>
      <c r="BV55" s="612">
        <f t="shared" si="65"/>
        <v>0</v>
      </c>
      <c r="BW55" s="310"/>
      <c r="BX55" s="234">
        <f t="shared" si="66"/>
        <v>0</v>
      </c>
      <c r="BY55" s="402">
        <v>8</v>
      </c>
      <c r="BZ55" s="1137">
        <v>0</v>
      </c>
      <c r="CA55" s="633"/>
      <c r="CB55" s="334">
        <f t="shared" si="67"/>
        <v>0</v>
      </c>
      <c r="CC55" s="630">
        <f t="shared" si="68"/>
        <v>0</v>
      </c>
      <c r="CD55" s="272"/>
      <c r="CE55" s="234">
        <f t="shared" si="69"/>
        <v>0</v>
      </c>
      <c r="CF55" s="402">
        <v>8</v>
      </c>
      <c r="CG55" s="1137">
        <v>0</v>
      </c>
      <c r="CH55" s="1772"/>
      <c r="CI55" s="334">
        <f t="shared" si="48"/>
        <v>0</v>
      </c>
      <c r="CJ55" s="1767">
        <f t="shared" si="49"/>
        <v>0</v>
      </c>
      <c r="CK55" s="272"/>
      <c r="CL55" s="234">
        <f t="shared" si="53"/>
        <v>0</v>
      </c>
      <c r="CM55" s="402"/>
      <c r="CN55" s="1137">
        <v>0</v>
      </c>
      <c r="CO55" s="2080"/>
      <c r="CP55" s="334">
        <f t="shared" si="50"/>
        <v>0</v>
      </c>
      <c r="CQ55" s="2070">
        <f t="shared" si="51"/>
        <v>0</v>
      </c>
      <c r="CR55" s="272"/>
      <c r="CS55" s="234">
        <f t="shared" si="52"/>
        <v>0</v>
      </c>
      <c r="CT55" s="402"/>
      <c r="CU55" s="1137">
        <v>0</v>
      </c>
      <c r="CX55" s="718"/>
      <c r="CY55" s="334">
        <f t="shared" si="70"/>
        <v>0</v>
      </c>
      <c r="CZ55" s="726">
        <f t="shared" si="71"/>
        <v>0</v>
      </c>
      <c r="DA55" s="310"/>
      <c r="DB55" s="234">
        <f t="shared" si="72"/>
        <v>0</v>
      </c>
      <c r="DC55" s="402">
        <v>8</v>
      </c>
      <c r="DD55" s="1137">
        <v>0</v>
      </c>
    </row>
    <row r="56" spans="1:108" ht="36" customHeight="1">
      <c r="A56" s="100">
        <f>_xlfn.XLOOKUP(P56,MOPFRA!R$7:R$78,MOPFRA!A$7:A$78,"")</f>
        <v>-54.028353963789172</v>
      </c>
      <c r="B56" s="99"/>
      <c r="C56" s="2109">
        <f ca="1">_xlfn.XLOOKUP(P56,MOPFRA!R$7:R$78,MOPFRA!$C$7:$C$78,"")</f>
        <v>0.20364213845909584</v>
      </c>
      <c r="D56" s="99"/>
      <c r="E56" s="2120">
        <f>_xlfn.XLOOKUP(P56,MOPFRA!$R$7:$R$56,MOPFRA!$D$7:$D$56,"")</f>
        <v>-10.456929686628261</v>
      </c>
      <c r="F56" s="2110">
        <f>_xlfn.XLOOKUP($P56,MOPFRA!$R$7:$R$56,MOPFRA!$E$7:$E$56,"")</f>
        <v>6.400000000000003</v>
      </c>
      <c r="G56" s="2121">
        <f>_xlfn.XLOOKUP($P56,MOPFRA!$R$7:$R$56,MOPFRA!$F$7:$F$56,"")</f>
        <v>0.9000000000000008</v>
      </c>
      <c r="H56" s="2124" cm="1">
        <f t="array" ref="H56">IFERROR(_xlfn.XLOOKUP(P56,'Sales Rec'!$E$37:$E$91,'Sales Rec'!$CU$37:$CU$91*100,""),"")</f>
        <v>12.044688031111178</v>
      </c>
      <c r="I56" s="2313">
        <f>_xlfn.XLOOKUP(P56,MOPFRA!$R$7:$R$56,MOPFRA!H$7:H$56,"")</f>
        <v>-0.48956629491945475</v>
      </c>
      <c r="J56" s="2313">
        <f>_xlfn.XLOOKUP(P56,MOPFRA!$R$7:$R$56,MOPFRA!J$7:J$56,"")</f>
        <v>-0.53118473782243047</v>
      </c>
      <c r="K56" s="1942">
        <f>_xlfn.XLOOKUP(P56,'Sales Rec'!$E$4:$E$91,'Sales Rec'!$CV$4:$CV$91,"")</f>
        <v>50</v>
      </c>
      <c r="L56" s="2212">
        <f>_xlfn.XLOOKUP(P56,MOPFRA!R$7:R$78,MOPFRA!$L$7:$L$78,"")</f>
        <v>48</v>
      </c>
      <c r="M56" s="1586" t="str">
        <f>_xlfn.XLOOKUP(P56,'Sales Rec'!$E$4:$E$105,'Sales Rec'!$DS$4:$DS$105,"")</f>
        <v>SS</v>
      </c>
      <c r="N56" s="1586" t="str">
        <f>_xlfn.XLOOKUP(P56,'Sales Rec'!$E$4:$E$105,'Sales Rec'!$DZ$4:$DZ$105,"")</f>
        <v>SS</v>
      </c>
      <c r="O56" s="382" t="s">
        <v>146</v>
      </c>
      <c r="P56" s="1571" t="s">
        <v>147</v>
      </c>
      <c r="Q56" s="1929">
        <f>VLOOKUP(P56,MOPFRA!$R$7:$CF$78,2,FALSE)</f>
        <v>12</v>
      </c>
      <c r="R56" s="264">
        <f>VLOOKUP(P56,MOPFRA!$R$7:$CD$56,4,FALSE)</f>
        <v>29000</v>
      </c>
      <c r="S56" s="292">
        <f>_xlfn.XLOOKUP(P56,MOPFRA!$R$7:$R$56,MOPFRA!$V$7:$V$56,"")</f>
        <v>2.95</v>
      </c>
      <c r="T56" s="292">
        <f>_xlfn.XLOOKUP(P56,'دیده بان بازار'!$A$8:$A$3179,'دیده بان بازار'!$L$8:$L$3179,"")</f>
        <v>830</v>
      </c>
      <c r="U56" s="304">
        <f>VLOOKUP(P56,MOPFRA!$R$7:$CD$56,6,FALSE)</f>
        <v>29010</v>
      </c>
      <c r="V56" s="361">
        <f>_xlfn.XLOOKUP(P56,MOPFRA!$R$7:$R$56,MOPFRA!$X$7:$X$56,"")</f>
        <v>2.98</v>
      </c>
      <c r="W56" s="361">
        <f>_xlfn.XLOOKUP(P56,'دیده بان بازار'!$A$8:$A$3179,'دیده بان بازار'!$I$8:$I$3179,"")</f>
        <v>840</v>
      </c>
      <c r="X56" s="2057" t="str">
        <f>_xlfn.XLOOKUP(P56,MOPFRA!$R$7:$R$78,MOPFRA!$P$7:$P$78,"")</f>
        <v>PEP</v>
      </c>
      <c r="Y56" s="2058">
        <f t="shared" si="43"/>
        <v>5.4944427045437866E-3</v>
      </c>
      <c r="Z56" s="394">
        <f>_xlfn.XLOOKUP(P56,MOPFRA!$R$7:$R$78,MOPFRA!$T$7:$T$78,"")</f>
        <v>99732.898799999995</v>
      </c>
      <c r="AA56" s="1030">
        <f>_xlfn.XLOOKUP(P56,'Sales Rec'!$E$4:$E$93,'Sales Rec'!$DW$4:$DW$93,"")</f>
        <v>-0.24374348279457778</v>
      </c>
      <c r="AB56" s="850">
        <f>_xlfn.XLOOKUP(O56,MOPFRA!$Q$7:$Q$56,MOPFRA!$AA$7:$AA$56,"")</f>
        <v>-4.4154698102357719E-2</v>
      </c>
      <c r="AC56" s="1221">
        <f t="shared" ca="1" si="44"/>
        <v>-3.8732191317857649E-2</v>
      </c>
      <c r="AD56" s="825">
        <f ca="1">_xlfn.XLOOKUP(P56,MOPFRA!$R$7:$R$56,MOPFRA!$AC$7:$AC$56,"")</f>
        <v>28.530753378361105</v>
      </c>
      <c r="AE56" s="810">
        <f>_xlfn.XLOOKUP(O56,MOPFRA!$Q$7:$Q$56,MOPFRA!$AH$7:$AH$56,"")</f>
        <v>2.2922509179675435E-2</v>
      </c>
      <c r="AF56" s="599" t="str">
        <f t="shared" si="45"/>
        <v/>
      </c>
      <c r="AG56" s="308">
        <f>_xlfn.XLOOKUP(O56,MOPFRA!$Q$7:$Q$78,MOPFRA!$AM$7:$AM$78,"")</f>
        <v>0</v>
      </c>
      <c r="AH56" s="1935">
        <f ca="1">_xlfn.XLOOKUP(P56,MOPFRA!$R$7:$R$56,MOPFRA!$AI$7:$AI$56,"")</f>
        <v>251</v>
      </c>
      <c r="AI56" s="385"/>
      <c r="AJ56" s="1612">
        <f>_xlfn.XLOOKUP(P56,MOPFRA!$R$7:$R$56,MOPFRA!$AJ$7:$AJ$56,"")</f>
        <v>46125</v>
      </c>
      <c r="AK56" s="1828">
        <f>_xlfn.XLOOKUP(P56,MOPFRA!$R$7:$R$78,MOPFRA!$DY$7:$DY$78,"")</f>
        <v>5000</v>
      </c>
      <c r="AL56" s="1829">
        <f>_xlfn.XLOOKUP(P56,MOPFRA!$R$7:$R$58,MOPFRA!$AK$7:$AK$58,"")</f>
        <v>46132</v>
      </c>
      <c r="AM56" s="1825">
        <f>_xlfn.XLOOKUP($P56,MOPFRA!$R$7:$R$56,MOPFRA!$CC$7:$CC$56,"")</f>
        <v>4878</v>
      </c>
      <c r="AN56" s="1341">
        <f>_xlfn.XLOOKUP($P56,MOPFRA!$R$7:$R$56,MOPFRA!$BW$7:$BW$56,"")</f>
        <v>16.40692968662826</v>
      </c>
      <c r="AO56" s="1207">
        <f>_xlfn.XLOOKUP($P56,MOPFRA!$R$7:$R$56,MOPFRA!$CD$7:$CD$56,"")</f>
        <v>5.95</v>
      </c>
      <c r="AP56" s="447"/>
      <c r="AQ56" s="573"/>
      <c r="AR56" s="797"/>
      <c r="AS56" s="798" t="str">
        <f>IF(AR56&lt;1,"",(U56-AR56)/AR56)</f>
        <v/>
      </c>
      <c r="AT56" s="329"/>
      <c r="AU56" s="334">
        <f t="shared" si="46"/>
        <v>0</v>
      </c>
      <c r="AV56" s="330">
        <f t="shared" si="55"/>
        <v>0</v>
      </c>
      <c r="AW56" s="310"/>
      <c r="AX56" s="234">
        <f t="shared" si="36"/>
        <v>0</v>
      </c>
      <c r="AY56" s="402"/>
      <c r="AZ56" s="1137">
        <v>0</v>
      </c>
      <c r="BA56" s="437"/>
      <c r="BB56" s="334">
        <f t="shared" si="56"/>
        <v>0</v>
      </c>
      <c r="BC56" s="343">
        <f t="shared" si="57"/>
        <v>0</v>
      </c>
      <c r="BD56" s="310"/>
      <c r="BE56" s="234">
        <f t="shared" si="58"/>
        <v>0</v>
      </c>
      <c r="BF56" s="402"/>
      <c r="BG56" s="1137">
        <v>0</v>
      </c>
      <c r="BH56" s="718"/>
      <c r="BI56" s="334">
        <f t="shared" si="59"/>
        <v>0</v>
      </c>
      <c r="BJ56" s="726">
        <f t="shared" si="60"/>
        <v>0</v>
      </c>
      <c r="BK56" s="310"/>
      <c r="BL56" s="234">
        <f t="shared" si="61"/>
        <v>0</v>
      </c>
      <c r="BM56" s="402"/>
      <c r="BN56" s="1137">
        <v>0</v>
      </c>
      <c r="BP56" s="720">
        <f t="shared" si="62"/>
        <v>0</v>
      </c>
      <c r="BQ56" s="721">
        <f t="shared" si="47"/>
        <v>0</v>
      </c>
      <c r="BR56" s="722">
        <f t="shared" si="63"/>
        <v>0</v>
      </c>
      <c r="BS56" s="605"/>
      <c r="BT56" s="611"/>
      <c r="BU56" s="334">
        <f t="shared" si="64"/>
        <v>0</v>
      </c>
      <c r="BV56" s="612">
        <f t="shared" si="65"/>
        <v>0</v>
      </c>
      <c r="BW56" s="310"/>
      <c r="BX56" s="234">
        <f t="shared" si="66"/>
        <v>0</v>
      </c>
      <c r="BY56" s="402"/>
      <c r="BZ56" s="1137">
        <v>0</v>
      </c>
      <c r="CA56" s="633"/>
      <c r="CB56" s="334">
        <f t="shared" si="67"/>
        <v>0</v>
      </c>
      <c r="CC56" s="630">
        <f t="shared" si="68"/>
        <v>0</v>
      </c>
      <c r="CD56" s="272"/>
      <c r="CE56" s="234">
        <f t="shared" si="69"/>
        <v>0</v>
      </c>
      <c r="CF56" s="402"/>
      <c r="CG56" s="1137">
        <v>0</v>
      </c>
      <c r="CH56" s="1772"/>
      <c r="CI56" s="334">
        <f t="shared" si="48"/>
        <v>0</v>
      </c>
      <c r="CJ56" s="1767">
        <f t="shared" si="49"/>
        <v>0</v>
      </c>
      <c r="CK56" s="272"/>
      <c r="CL56" s="234">
        <f t="shared" si="53"/>
        <v>0</v>
      </c>
      <c r="CM56" s="402"/>
      <c r="CN56" s="1137">
        <v>0</v>
      </c>
      <c r="CO56" s="2080"/>
      <c r="CP56" s="334">
        <f t="shared" si="50"/>
        <v>0</v>
      </c>
      <c r="CQ56" s="2070">
        <f t="shared" si="51"/>
        <v>0</v>
      </c>
      <c r="CR56" s="272"/>
      <c r="CS56" s="234">
        <f t="shared" si="52"/>
        <v>0</v>
      </c>
      <c r="CT56" s="402"/>
      <c r="CU56" s="1137">
        <v>0</v>
      </c>
      <c r="CX56" s="718"/>
      <c r="CY56" s="334">
        <f t="shared" si="70"/>
        <v>0</v>
      </c>
      <c r="CZ56" s="726">
        <f t="shared" si="71"/>
        <v>0</v>
      </c>
      <c r="DA56" s="310"/>
      <c r="DB56" s="234">
        <f t="shared" si="72"/>
        <v>0</v>
      </c>
      <c r="DC56" s="402"/>
      <c r="DD56" s="1137">
        <v>0</v>
      </c>
    </row>
    <row r="57" spans="1:108" ht="36" customHeight="1">
      <c r="A57" s="100">
        <f>_xlfn.XLOOKUP(P57,MOPFRA!R$7:R$78,MOPFRA!A$7:A$78,"")</f>
        <v>-65.423574066630209</v>
      </c>
      <c r="B57" s="99"/>
      <c r="C57" s="2109">
        <f ca="1">_xlfn.XLOOKUP(P57,MOPFRA!R$7:R$78,MOPFRA!$C$7:$C$78,"")</f>
        <v>7.8603888365971361E-2</v>
      </c>
      <c r="D57" s="99"/>
      <c r="E57" s="2120">
        <f>_xlfn.XLOOKUP(P57,MOPFRA!$R$7:$R$56,MOPFRA!$D$7:$D$56,"")</f>
        <v>-18.539730044790549</v>
      </c>
      <c r="F57" s="2110">
        <f>_xlfn.XLOOKUP($P57,MOPFRA!$R$7:$R$56,MOPFRA!$E$7:$E$56,"")</f>
        <v>-37</v>
      </c>
      <c r="G57" s="2121">
        <f>_xlfn.XLOOKUP($P57,MOPFRA!$R$7:$R$56,MOPFRA!$F$7:$F$56,"")</f>
        <v>-31.599999999999994</v>
      </c>
      <c r="H57" s="2124" cm="1">
        <f t="array" ref="H57">IFERROR(_xlfn.XLOOKUP(P57,'Sales Rec'!$E$37:$E$91,'Sales Rec'!$CU$37:$CU$91*100,""),"")</f>
        <v>10.268798421660858</v>
      </c>
      <c r="I57" s="2313">
        <f>_xlfn.XLOOKUP(P57,MOPFRA!$R$7:$R$56,MOPFRA!H$7:H$56,"")</f>
        <v>-0.34496453900709217</v>
      </c>
      <c r="J57" s="2313">
        <f>_xlfn.XLOOKUP(P57,MOPFRA!$R$7:$R$56,MOPFRA!J$7:J$56,"")</f>
        <v>0.19475998534261635</v>
      </c>
      <c r="K57" s="1942">
        <f>_xlfn.XLOOKUP(P57,'Sales Rec'!$E$4:$E$91,'Sales Rec'!$CV$4:$CV$91,"")</f>
        <v>49</v>
      </c>
      <c r="L57" s="2210">
        <f>_xlfn.XLOOKUP(P57,MOPFRA!R$7:R$78,MOPFRA!$L$7:$L$78,"")</f>
        <v>49</v>
      </c>
      <c r="M57" s="1586" t="str">
        <f>_xlfn.XLOOKUP(P57,'Sales Rec'!$E$4:$E$105,'Sales Rec'!$DS$4:$DS$105,"")</f>
        <v>S</v>
      </c>
      <c r="N57" s="1586" t="str">
        <f>_xlfn.XLOOKUP(P57,'Sales Rec'!$E$4:$E$105,'Sales Rec'!$DZ$4:$DZ$105,"")</f>
        <v>S</v>
      </c>
      <c r="O57" s="382" t="s">
        <v>140</v>
      </c>
      <c r="P57" s="1571" t="s">
        <v>141</v>
      </c>
      <c r="Q57" s="1929">
        <v>12</v>
      </c>
      <c r="R57" s="264">
        <f>VLOOKUP(P57,MOPFRA!$R$7:$CD$56,4,FALSE)</f>
        <v>46590</v>
      </c>
      <c r="S57" s="292">
        <f>_xlfn.XLOOKUP(P57,MOPFRA!$R$7:$R$56,MOPFRA!$V$7:$V$56,"")</f>
        <v>2.94</v>
      </c>
      <c r="T57" s="292">
        <f>_xlfn.XLOOKUP(P57,'دیده بان بازار'!$A$8:$A$3179,'دیده بان بازار'!$L$8:$L$3179,"")</f>
        <v>1330</v>
      </c>
      <c r="U57" s="304">
        <f>VLOOKUP(P57,MOPFRA!$R$7:$CD$56,6,FALSE)</f>
        <v>46610</v>
      </c>
      <c r="V57" s="361">
        <f>_xlfn.XLOOKUP(P57,MOPFRA!$R$7:$R$56,MOPFRA!$X$7:$X$56,"")</f>
        <v>2.98</v>
      </c>
      <c r="W57" s="361">
        <f>_xlfn.XLOOKUP(P57,'دیده بان بازار'!$A$8:$A$3179,'دیده بان بازار'!$I$8:$I$3179,"")</f>
        <v>1350</v>
      </c>
      <c r="X57" s="2057" t="str">
        <f>_xlfn.XLOOKUP(P57,MOPFRA!$R$7:$R$78,MOPFRA!$P$7:$P$78,"")</f>
        <v>PVC</v>
      </c>
      <c r="Y57" s="2058">
        <f t="shared" si="43"/>
        <v>0</v>
      </c>
      <c r="Z57" s="394">
        <f>_xlfn.XLOOKUP(P57,MOPFRA!$R$7:$R$78,MOPFRA!$T$7:$T$78,"")</f>
        <v>55932</v>
      </c>
      <c r="AA57" s="1030">
        <f>_xlfn.XLOOKUP(P57,'Sales Rec'!$E$4:$E$93,'Sales Rec'!$DW$4:$DW$93,"")</f>
        <v>0.20688762299326774</v>
      </c>
      <c r="AB57" s="850">
        <f>_xlfn.XLOOKUP(O57,MOPFRA!$Q$7:$Q$56,MOPFRA!$AA$7:$AA$56,"")</f>
        <v>-3.6585365853658534E-2</v>
      </c>
      <c r="AC57" s="1221">
        <f t="shared" ca="1" si="44"/>
        <v>-0.16629711751662971</v>
      </c>
      <c r="AD57" s="825">
        <f ca="1">_xlfn.XLOOKUP(P57,MOPFRA!$R$7:$R$56,MOPFRA!$AC$7:$AC$56,"")</f>
        <v>41.287245998238312</v>
      </c>
      <c r="AE57" s="810" t="str">
        <f>_xlfn.XLOOKUP(O57,MOPFRA!$Q$7:$Q$56,MOPFRA!$AH$7:$AH$56,"")</f>
        <v/>
      </c>
      <c r="AF57" s="599" t="str">
        <f t="shared" si="45"/>
        <v/>
      </c>
      <c r="AG57" s="308">
        <f>_xlfn.XLOOKUP(O57,MOPFRA!$Q$7:$Q$78,MOPFRA!$AM$7:$AM$78,"")</f>
        <v>0</v>
      </c>
      <c r="AH57" s="1935">
        <f ca="1">_xlfn.XLOOKUP(P57,MOPFRA!$R$7:$R$56,MOPFRA!$AI$7:$AI$56,"")</f>
        <v>343</v>
      </c>
      <c r="AI57" s="385"/>
      <c r="AJ57" s="1612">
        <f>_xlfn.XLOOKUP(P57,MOPFRA!$R$7:$R$56,MOPFRA!$AJ$7:$AJ$56,"")</f>
        <v>46217</v>
      </c>
      <c r="AK57" s="1691">
        <f>_xlfn.XLOOKUP(P57,MOPFRA!$R$7:$R$78,MOPFRA!$DY$7:$DY$78,"")</f>
        <v>6000</v>
      </c>
      <c r="AL57" s="1821">
        <f>_xlfn.XLOOKUP(P57,MOPFRA!$R$7:$R$58,MOPFRA!$AK$7:$AK$58,"")</f>
        <v>46295</v>
      </c>
      <c r="AM57" s="1825">
        <f>_xlfn.XLOOKUP($P57,MOPFRA!$R$7:$R$56,MOPFRA!$CC$7:$CC$56,"")</f>
        <v>3275</v>
      </c>
      <c r="AN57" s="1341">
        <f>_xlfn.XLOOKUP($P57,MOPFRA!$R$7:$R$56,MOPFRA!$BW$7:$BW$56,"")</f>
        <v>32.769730044790549</v>
      </c>
      <c r="AO57" s="1207">
        <f>_xlfn.XLOOKUP($P57,MOPFRA!$R$7:$R$56,MOPFRA!$CD$7:$CD$56,"")</f>
        <v>14.23</v>
      </c>
      <c r="AP57" s="447"/>
      <c r="AQ57" s="572"/>
      <c r="AR57" s="797"/>
      <c r="AS57" s="798" t="str">
        <f>IF(AR57&lt;1,"",(U57-AR57)/AR57)</f>
        <v/>
      </c>
      <c r="AT57" s="329"/>
      <c r="AU57" s="334">
        <f t="shared" si="46"/>
        <v>0</v>
      </c>
      <c r="AV57" s="330">
        <f t="shared" si="55"/>
        <v>0</v>
      </c>
      <c r="AW57" s="272"/>
      <c r="AX57" s="234">
        <f t="shared" si="36"/>
        <v>0</v>
      </c>
      <c r="AY57" s="402"/>
      <c r="AZ57" s="1137">
        <v>0</v>
      </c>
      <c r="BA57" s="342"/>
      <c r="BB57" s="334">
        <f t="shared" si="56"/>
        <v>0</v>
      </c>
      <c r="BC57" s="343">
        <f t="shared" si="57"/>
        <v>0</v>
      </c>
      <c r="BD57" s="272"/>
      <c r="BE57" s="234">
        <f t="shared" si="58"/>
        <v>0</v>
      </c>
      <c r="BF57" s="402"/>
      <c r="BG57" s="1137">
        <v>0</v>
      </c>
      <c r="BH57" s="333"/>
      <c r="BI57" s="334">
        <f t="shared" si="59"/>
        <v>0</v>
      </c>
      <c r="BJ57" s="726">
        <f t="shared" si="60"/>
        <v>0</v>
      </c>
      <c r="BK57" s="272"/>
      <c r="BL57" s="234">
        <f t="shared" si="61"/>
        <v>0</v>
      </c>
      <c r="BM57" s="402"/>
      <c r="BN57" s="1137">
        <v>0</v>
      </c>
      <c r="BP57" s="720"/>
      <c r="BQ57" s="721">
        <f t="shared" si="47"/>
        <v>0</v>
      </c>
      <c r="BR57" s="722"/>
      <c r="BS57" s="604"/>
      <c r="BT57" s="610"/>
      <c r="BU57" s="334">
        <f t="shared" si="64"/>
        <v>0</v>
      </c>
      <c r="BV57" s="612">
        <f t="shared" si="65"/>
        <v>0</v>
      </c>
      <c r="BW57" s="272"/>
      <c r="BX57" s="234">
        <f t="shared" si="66"/>
        <v>0</v>
      </c>
      <c r="BY57" s="402"/>
      <c r="BZ57" s="1137">
        <v>0</v>
      </c>
      <c r="CA57" s="628"/>
      <c r="CB57" s="334">
        <f t="shared" si="67"/>
        <v>0</v>
      </c>
      <c r="CC57" s="630">
        <f t="shared" si="68"/>
        <v>0</v>
      </c>
      <c r="CD57" s="272"/>
      <c r="CE57" s="234">
        <f t="shared" si="69"/>
        <v>0</v>
      </c>
      <c r="CF57" s="402"/>
      <c r="CG57" s="1137">
        <v>0</v>
      </c>
      <c r="CH57" s="1764"/>
      <c r="CI57" s="334">
        <f t="shared" si="48"/>
        <v>0</v>
      </c>
      <c r="CJ57" s="1767">
        <f t="shared" si="49"/>
        <v>0</v>
      </c>
      <c r="CK57" s="272"/>
      <c r="CL57" s="234">
        <f t="shared" si="53"/>
        <v>0</v>
      </c>
      <c r="CM57" s="402"/>
      <c r="CN57" s="1137">
        <v>0</v>
      </c>
      <c r="CO57" s="2074"/>
      <c r="CP57" s="334">
        <f t="shared" si="50"/>
        <v>0</v>
      </c>
      <c r="CQ57" s="2070">
        <f t="shared" si="51"/>
        <v>0</v>
      </c>
      <c r="CR57" s="272"/>
      <c r="CS57" s="234">
        <f t="shared" si="52"/>
        <v>0</v>
      </c>
      <c r="CT57" s="402"/>
      <c r="CU57" s="1137">
        <v>0</v>
      </c>
      <c r="CX57" s="333">
        <v>454</v>
      </c>
      <c r="CY57" s="334">
        <f t="shared" si="70"/>
        <v>2097.4723727999999</v>
      </c>
      <c r="CZ57" s="726">
        <f t="shared" si="71"/>
        <v>1.357591630107718E-3</v>
      </c>
      <c r="DA57" s="272"/>
      <c r="DB57" s="234">
        <f t="shared" si="72"/>
        <v>0</v>
      </c>
      <c r="DC57" s="402"/>
      <c r="DD57" s="1137">
        <v>0</v>
      </c>
    </row>
    <row r="58" spans="1:108" ht="32" customHeight="1">
      <c r="A58" s="100"/>
      <c r="B58" s="100"/>
      <c r="C58" s="521"/>
      <c r="D58" s="521"/>
      <c r="E58" s="1649"/>
      <c r="F58" s="521"/>
      <c r="G58" s="521"/>
      <c r="H58" s="521"/>
      <c r="I58" s="521"/>
      <c r="J58" s="521"/>
      <c r="K58" s="1380"/>
      <c r="L58" s="521"/>
      <c r="M58" s="1510"/>
      <c r="N58" s="1510"/>
      <c r="O58" s="382"/>
      <c r="P58" s="382"/>
      <c r="Q58" s="1323"/>
      <c r="R58" s="264"/>
      <c r="S58" s="292"/>
      <c r="T58" s="292"/>
      <c r="U58" s="304"/>
      <c r="V58" s="361"/>
      <c r="W58" s="361"/>
      <c r="X58" s="1323"/>
      <c r="Y58" s="1739"/>
      <c r="Z58" s="394"/>
      <c r="AA58" s="1030"/>
      <c r="AB58" s="850"/>
      <c r="AC58" s="850"/>
      <c r="AD58" s="715"/>
      <c r="AE58" s="307"/>
      <c r="AF58" s="599"/>
      <c r="AG58" s="308"/>
      <c r="AH58" s="1935"/>
      <c r="AI58" s="385"/>
      <c r="AJ58" s="1424"/>
      <c r="AK58" s="1424"/>
      <c r="AL58" s="1824"/>
      <c r="AM58" s="1825" t="str">
        <f>_xlfn.XLOOKUP($P58,MOPFRA!$R$7:$R$56,MOPFRA!$CC$7:$CC$56,"")</f>
        <v/>
      </c>
      <c r="AN58" s="1340"/>
      <c r="AO58" s="1206"/>
      <c r="AP58" s="2001"/>
      <c r="AQ58" s="807"/>
      <c r="AR58" s="808"/>
      <c r="AS58" s="809" t="str">
        <f t="shared" ref="AS58:AS66" si="73">IF(AR58&lt;1,"",(U58-AR58)/AR58)</f>
        <v/>
      </c>
      <c r="AT58" s="2002"/>
      <c r="AU58" s="719"/>
      <c r="AV58" s="719"/>
      <c r="AW58" s="310"/>
      <c r="AX58" s="234"/>
      <c r="AY58" s="402"/>
      <c r="AZ58" s="1137"/>
      <c r="BA58" s="437"/>
      <c r="BB58" s="719"/>
      <c r="BC58" s="343"/>
      <c r="BD58" s="310"/>
      <c r="BE58" s="234"/>
      <c r="BF58" s="402"/>
      <c r="BG58" s="1137"/>
      <c r="BH58" s="718"/>
      <c r="BI58" s="719"/>
      <c r="BJ58" s="726">
        <f t="shared" ref="BJ58:BJ78" si="74">IFERROR(BI58/$BI$3,0)</f>
        <v>0</v>
      </c>
      <c r="BK58" s="272"/>
      <c r="BL58" s="234"/>
      <c r="BM58" s="402"/>
      <c r="BN58" s="1137"/>
      <c r="BP58" s="720">
        <f t="shared" ref="BP58:BP78" si="75">(BQ58*$U58/10000)*0.9912</f>
        <v>0</v>
      </c>
      <c r="BQ58" s="721">
        <f t="shared" ref="BQ58:BQ78" si="76">BH58+BA58+AT58</f>
        <v>0</v>
      </c>
      <c r="BR58" s="722"/>
      <c r="BS58" s="605"/>
      <c r="BT58" s="611"/>
      <c r="BU58" s="334"/>
      <c r="BV58" s="612"/>
      <c r="BW58" s="310"/>
      <c r="BX58" s="234"/>
      <c r="BY58" s="402"/>
      <c r="BZ58" s="1137"/>
      <c r="CA58" s="633"/>
      <c r="CB58" s="334"/>
      <c r="CC58" s="630"/>
      <c r="CD58" s="272"/>
      <c r="CE58" s="234"/>
      <c r="CF58" s="402"/>
      <c r="CG58" s="1137"/>
      <c r="CH58" s="1772"/>
      <c r="CI58" s="334"/>
      <c r="CJ58" s="1767">
        <f t="shared" ref="CJ58:CJ78" si="77">IFERROR(CI58/CI$3,0)</f>
        <v>0</v>
      </c>
      <c r="CK58" s="272"/>
      <c r="CL58" s="234"/>
      <c r="CM58" s="402"/>
      <c r="CN58" s="1137">
        <v>0</v>
      </c>
      <c r="CO58" s="2080"/>
      <c r="CP58" s="334"/>
      <c r="CQ58" s="2070">
        <f t="shared" ref="CQ58" si="78">IFERROR(CP58/CP$3,0)</f>
        <v>0</v>
      </c>
      <c r="CR58" s="272"/>
      <c r="CS58" s="234"/>
      <c r="CT58" s="402"/>
      <c r="CU58" s="1137">
        <v>0</v>
      </c>
      <c r="CX58" s="718"/>
      <c r="CY58" s="719"/>
      <c r="CZ58" s="726">
        <f t="shared" ref="CZ58" si="79">IFERROR(CY58/$BI$3,0)</f>
        <v>0</v>
      </c>
      <c r="DA58" s="272"/>
      <c r="DB58" s="234"/>
      <c r="DC58" s="402"/>
      <c r="DD58" s="1137"/>
    </row>
    <row r="59" spans="1:108" s="102" customFormat="1" ht="32" customHeight="1">
      <c r="A59" s="1955"/>
      <c r="B59" s="1955"/>
      <c r="C59" s="567"/>
      <c r="D59" s="567"/>
      <c r="E59" s="1956"/>
      <c r="F59" s="567"/>
      <c r="G59" s="567"/>
      <c r="H59" s="567"/>
      <c r="I59" s="567"/>
      <c r="J59" s="567"/>
      <c r="K59" s="1957"/>
      <c r="L59" s="567"/>
      <c r="M59" s="1958"/>
      <c r="N59" s="1958"/>
      <c r="O59" s="1959"/>
      <c r="P59" s="1959"/>
      <c r="Q59" s="1323"/>
      <c r="R59" s="1891"/>
      <c r="S59" s="1960"/>
      <c r="T59" s="1960"/>
      <c r="U59" s="1891"/>
      <c r="V59" s="1960"/>
      <c r="W59" s="1960"/>
      <c r="X59" s="1324"/>
      <c r="Y59" s="1739"/>
      <c r="Z59" s="394"/>
      <c r="AA59" s="1030"/>
      <c r="AB59" s="850"/>
      <c r="AC59" s="850"/>
      <c r="AD59" s="715"/>
      <c r="AE59" s="307"/>
      <c r="AF59" s="599"/>
      <c r="AG59" s="308"/>
      <c r="AH59" s="1935"/>
      <c r="AI59" s="385"/>
      <c r="AJ59" s="1343"/>
      <c r="AK59" s="1695"/>
      <c r="AL59" s="1822"/>
      <c r="AM59" s="1532"/>
      <c r="AN59" s="1954"/>
      <c r="AO59" s="1824"/>
      <c r="AP59" s="2001"/>
      <c r="AQ59" s="807"/>
      <c r="AR59" s="808"/>
      <c r="AS59" s="809" t="str">
        <f t="shared" ref="AS59:AS60" si="80">IF(AR59&lt;1,"",(U59-AR59)/AR59)</f>
        <v/>
      </c>
      <c r="AT59" s="2002"/>
      <c r="AU59" s="719"/>
      <c r="AV59" s="719"/>
      <c r="AW59" s="2000"/>
      <c r="AX59" s="1963"/>
      <c r="AY59" s="1964"/>
      <c r="AZ59" s="1965"/>
      <c r="BA59" s="1966"/>
      <c r="BB59" s="719"/>
      <c r="BC59" s="1961"/>
      <c r="BD59" s="1962"/>
      <c r="BE59" s="1963"/>
      <c r="BF59" s="1964"/>
      <c r="BG59" s="1965"/>
      <c r="BH59" s="1966"/>
      <c r="BI59" s="719"/>
      <c r="BJ59" s="1967"/>
      <c r="BK59" s="1962"/>
      <c r="BL59" s="1963"/>
      <c r="BM59" s="1964"/>
      <c r="BN59" s="1965"/>
      <c r="BP59" s="719"/>
      <c r="BQ59" s="721">
        <f t="shared" si="76"/>
        <v>0</v>
      </c>
      <c r="BR59" s="1968"/>
      <c r="BS59" s="605"/>
      <c r="BT59" s="1966"/>
      <c r="BU59" s="334"/>
      <c r="BV59" s="1961"/>
      <c r="BW59" s="1962"/>
      <c r="BX59" s="1963"/>
      <c r="BY59" s="1964"/>
      <c r="BZ59" s="1965"/>
      <c r="CA59" s="1966"/>
      <c r="CB59" s="334"/>
      <c r="CC59" s="1961"/>
      <c r="CD59" s="1969"/>
      <c r="CE59" s="1963"/>
      <c r="CF59" s="1964"/>
      <c r="CG59" s="1965"/>
      <c r="CH59" s="1966"/>
      <c r="CI59" s="334"/>
      <c r="CJ59" s="1961"/>
      <c r="CK59" s="1969"/>
      <c r="CL59" s="1963"/>
      <c r="CM59" s="1964"/>
      <c r="CN59" s="1965"/>
      <c r="CO59" s="2080"/>
      <c r="CP59" s="334"/>
      <c r="CQ59" s="2070"/>
      <c r="CR59" s="1969"/>
      <c r="CS59" s="1963"/>
      <c r="CT59" s="1964"/>
      <c r="CU59" s="1137">
        <v>0</v>
      </c>
      <c r="CX59" s="1966"/>
      <c r="CY59" s="719"/>
      <c r="CZ59" s="1967"/>
      <c r="DA59" s="1962"/>
      <c r="DB59" s="1963"/>
      <c r="DC59" s="1964"/>
      <c r="DD59" s="1965"/>
    </row>
    <row r="60" spans="1:108" ht="38" customHeight="1">
      <c r="A60" s="100"/>
      <c r="B60" s="100"/>
      <c r="C60" s="1711" t="s">
        <v>726</v>
      </c>
      <c r="D60" s="521"/>
      <c r="E60" s="568"/>
      <c r="F60" s="521"/>
      <c r="G60" s="521"/>
      <c r="H60" s="521"/>
      <c r="I60" s="521"/>
      <c r="J60" s="521"/>
      <c r="K60" s="1380"/>
      <c r="L60" s="521"/>
      <c r="M60" s="1510"/>
      <c r="N60" s="1510"/>
      <c r="O60" s="382"/>
      <c r="P60" s="382"/>
      <c r="Q60" s="1323"/>
      <c r="R60" s="764"/>
      <c r="S60" s="292"/>
      <c r="T60" s="292"/>
      <c r="U60" s="765"/>
      <c r="V60" s="361"/>
      <c r="W60" s="361"/>
      <c r="X60" s="1324"/>
      <c r="Y60" s="1739">
        <f t="shared" ref="Y60:Y67" si="81">SUMIF($X$8:$X$80,X60,$AU$8:$AU$80)/$AU$3</f>
        <v>0</v>
      </c>
      <c r="Z60" s="394"/>
      <c r="AA60" s="1030"/>
      <c r="AB60" s="850"/>
      <c r="AC60" s="850"/>
      <c r="AD60" s="715"/>
      <c r="AE60" s="307"/>
      <c r="AF60" s="599"/>
      <c r="AG60" s="308"/>
      <c r="AH60" s="1935"/>
      <c r="AI60" s="385"/>
      <c r="AJ60" s="1343"/>
      <c r="AK60" s="1695"/>
      <c r="AL60" s="1822"/>
      <c r="AM60" s="1825" t="str">
        <f>_xlfn.XLOOKUP($P60,MOPFRA!$R$7:$R$56,MOPFRA!$CC$7:$CC$56,"")</f>
        <v/>
      </c>
      <c r="AN60" s="1340"/>
      <c r="AO60" s="1206"/>
      <c r="AP60" s="2001"/>
      <c r="AQ60" s="807"/>
      <c r="AR60" s="808"/>
      <c r="AS60" s="809" t="str">
        <f t="shared" si="80"/>
        <v/>
      </c>
      <c r="AT60" s="2002"/>
      <c r="AU60" s="719"/>
      <c r="AV60" s="719"/>
      <c r="AW60" s="310"/>
      <c r="AX60" s="234"/>
      <c r="AY60" s="402"/>
      <c r="AZ60" s="1137">
        <v>0</v>
      </c>
      <c r="BA60" s="437"/>
      <c r="BB60" s="719"/>
      <c r="BC60" s="343"/>
      <c r="BD60" s="310"/>
      <c r="BE60" s="234"/>
      <c r="BF60" s="402"/>
      <c r="BG60" s="1137">
        <v>0</v>
      </c>
      <c r="BH60" s="718"/>
      <c r="BI60" s="719"/>
      <c r="BJ60" s="726">
        <f t="shared" si="74"/>
        <v>0</v>
      </c>
      <c r="BK60" s="310"/>
      <c r="BL60" s="234"/>
      <c r="BM60" s="402"/>
      <c r="BN60" s="1137">
        <v>0</v>
      </c>
      <c r="BP60" s="720">
        <f t="shared" si="75"/>
        <v>0</v>
      </c>
      <c r="BQ60" s="721">
        <f t="shared" si="76"/>
        <v>0</v>
      </c>
      <c r="BR60" s="722">
        <f>BP60/$BP$81</f>
        <v>0</v>
      </c>
      <c r="BS60" s="605"/>
      <c r="BT60" s="611"/>
      <c r="BU60" s="334"/>
      <c r="BV60" s="612">
        <f t="shared" ref="BV60:BV74" si="82">IFERROR(BU60/$BU$3,0)</f>
        <v>0</v>
      </c>
      <c r="BW60" s="310"/>
      <c r="BX60" s="234">
        <f t="shared" ref="BX60" si="83">$AK60*BW60/10000</f>
        <v>0</v>
      </c>
      <c r="BY60" s="402"/>
      <c r="BZ60" s="1137">
        <v>0</v>
      </c>
      <c r="CA60" s="633"/>
      <c r="CB60" s="334">
        <f t="shared" ref="CB60:CB64" si="84">(CA60*$U60/10000)*0.9912</f>
        <v>0</v>
      </c>
      <c r="CC60" s="630">
        <f t="shared" ref="CC60:CC64" si="85">IFERROR(CB60/$CB$3,0)</f>
        <v>0</v>
      </c>
      <c r="CD60" s="272"/>
      <c r="CE60" s="234"/>
      <c r="CF60" s="402"/>
      <c r="CG60" s="1137">
        <v>0</v>
      </c>
      <c r="CH60" s="1772"/>
      <c r="CI60" s="334">
        <f t="shared" ref="CI60" si="86">(CH60*$U60/10000)*0.9912</f>
        <v>0</v>
      </c>
      <c r="CJ60" s="1767">
        <f t="shared" si="77"/>
        <v>0</v>
      </c>
      <c r="CK60" s="272"/>
      <c r="CL60" s="234"/>
      <c r="CM60" s="402"/>
      <c r="CN60" s="1137">
        <v>0</v>
      </c>
      <c r="CO60" s="2080"/>
      <c r="CP60" s="334"/>
      <c r="CQ60" s="2070"/>
      <c r="CR60" s="272"/>
      <c r="CS60" s="234"/>
      <c r="CT60" s="402"/>
      <c r="CU60" s="1137">
        <v>0</v>
      </c>
      <c r="CX60" s="718"/>
      <c r="CY60" s="719"/>
      <c r="CZ60" s="726">
        <f t="shared" ref="CZ60:CZ61" si="87">IFERROR(CY60/$BI$3,0)</f>
        <v>0</v>
      </c>
      <c r="DA60" s="310"/>
      <c r="DB60" s="234"/>
      <c r="DC60" s="402"/>
      <c r="DD60" s="1137">
        <v>0</v>
      </c>
    </row>
    <row r="61" spans="1:108" ht="38" customHeight="1">
      <c r="A61" s="100"/>
      <c r="B61" s="100"/>
      <c r="C61" s="1355">
        <v>1000</v>
      </c>
      <c r="D61" s="521"/>
      <c r="E61" s="568"/>
      <c r="F61" s="521"/>
      <c r="G61" s="521"/>
      <c r="H61" s="521"/>
      <c r="I61" s="521"/>
      <c r="J61" s="521"/>
      <c r="K61" s="1380"/>
      <c r="L61" s="521"/>
      <c r="M61" s="1510"/>
      <c r="N61" s="1510"/>
      <c r="O61" s="382" t="s">
        <v>189</v>
      </c>
      <c r="P61" s="382" t="s">
        <v>190</v>
      </c>
      <c r="Q61" s="1323"/>
      <c r="R61" s="264">
        <f>_xlfn.XLOOKUP($P61,'Price Record'!$C$6:$C$106,'Price Record'!H$6:H$106,"")</f>
        <v>175399</v>
      </c>
      <c r="S61" s="292">
        <f>_xlfn.XLOOKUP(P61,'دیده بان بازار'!$A$3:$A$3542,'دیده بان بازار'!$M$3:$M$3542,"")</f>
        <v>-0.49</v>
      </c>
      <c r="T61" s="292">
        <f>_xlfn.XLOOKUP(P61,'دیده بان بازار'!$A$8:$A$3179,'دیده بان بازار'!$L$8:$L$3179,"")</f>
        <v>-857</v>
      </c>
      <c r="U61" s="264">
        <f>_xlfn.XLOOKUP($P61,'Price Record'!$C$6:$C$106,'Price Record'!G$6:G$106,"")</f>
        <v>175200</v>
      </c>
      <c r="V61" s="361">
        <f>_xlfn.XLOOKUP(P61,'دیده بان بازار'!$A$3:$A$3542,'دیده بان بازار'!$J$3:$J$3542,"")</f>
        <v>-0.6</v>
      </c>
      <c r="W61" s="361">
        <f>_xlfn.XLOOKUP(P61,'دیده بان بازار'!$A$8:$A$3179,'دیده بان بازار'!$I$8:$I$3179,"")</f>
        <v>-1056</v>
      </c>
      <c r="X61" s="2065" t="s">
        <v>191</v>
      </c>
      <c r="Y61" s="2058">
        <f t="shared" si="81"/>
        <v>0.13497337832726347</v>
      </c>
      <c r="Z61" s="394">
        <f t="shared" ref="Z61:Z76" si="88">(U61*C61)/1000</f>
        <v>175200</v>
      </c>
      <c r="AA61" s="1030" t="str">
        <f>IFERROR(_xlfn.XLOOKUP(P61,'Sales Rec'!$E$4:$E$100,'Sales Rec'!$DW$4:$DW$100,""),"")</f>
        <v/>
      </c>
      <c r="AB61" s="850"/>
      <c r="AC61" s="850"/>
      <c r="AD61" s="715"/>
      <c r="AE61" s="307"/>
      <c r="AF61" s="599">
        <f>IFERROR(IF(AP61="B",(U61-(AQ61*1.0088))/AQ61,IF(AP61="S",(AQ61-(U61*1.0037))/AQ61,""))*100,"")</f>
        <v>-1.029889150419167</v>
      </c>
      <c r="AG61" s="308"/>
      <c r="AH61" s="1935"/>
      <c r="AI61" s="385"/>
      <c r="AJ61" s="1343"/>
      <c r="AK61" s="1694"/>
      <c r="AL61" s="1822"/>
      <c r="AM61" s="1825" t="str">
        <f>_xlfn.XLOOKUP($P61,MOPFRA!$R$7:$R$56,MOPFRA!$CC$7:$CC$56,"")</f>
        <v/>
      </c>
      <c r="AN61" s="1341"/>
      <c r="AO61" s="1207"/>
      <c r="AP61" s="448" t="s">
        <v>197</v>
      </c>
      <c r="AQ61" s="571">
        <v>175463</v>
      </c>
      <c r="AR61" s="797">
        <v>167383</v>
      </c>
      <c r="AS61" s="798">
        <f t="shared" si="73"/>
        <v>4.6701277907553337E-2</v>
      </c>
      <c r="AT61" s="329">
        <v>300000</v>
      </c>
      <c r="AU61" s="334">
        <f t="shared" ref="AU61:AU76" si="89">(AT61*$U61/10000)*0.9912</f>
        <v>5209747.2</v>
      </c>
      <c r="AV61" s="330">
        <f t="shared" ref="AV61:AV76" si="90">IFERROR(AU61/$AU$3,0)</f>
        <v>0.11322351938791714</v>
      </c>
      <c r="AW61" s="310"/>
      <c r="AX61" s="234">
        <f t="shared" ref="AX61:AX63" si="91">$AK61*AW61/10000</f>
        <v>0</v>
      </c>
      <c r="AY61" s="402"/>
      <c r="AZ61" s="1137">
        <v>0</v>
      </c>
      <c r="BA61" s="437">
        <v>105000</v>
      </c>
      <c r="BB61" s="334">
        <f t="shared" ref="BB61:BB76" si="92">(BA61*$U61/10000)*0.9912</f>
        <v>1823411.52</v>
      </c>
      <c r="BC61" s="343">
        <f t="shared" ref="BC61" si="93">IFERROR(BB61/$BB$3,0)</f>
        <v>8.1638496421158002E-2</v>
      </c>
      <c r="BD61" s="310"/>
      <c r="BE61" s="234">
        <f t="shared" ref="BE61:BE75" si="94">$AK61*BD61/10000</f>
        <v>0</v>
      </c>
      <c r="BF61" s="402"/>
      <c r="BG61" s="1137">
        <v>0</v>
      </c>
      <c r="BH61" s="718">
        <v>18000</v>
      </c>
      <c r="BI61" s="719">
        <f>(BH61*$U61/10000)*0.9912</f>
        <v>312584.83199999999</v>
      </c>
      <c r="BJ61" s="726">
        <f t="shared" ref="BJ61" si="95">IFERROR(BI61/$BI$3,0)</f>
        <v>0.202320925474374</v>
      </c>
      <c r="BK61" s="310"/>
      <c r="BL61" s="234">
        <f t="shared" ref="BL61:BL73" si="96">$AK61*BK61/10000</f>
        <v>0</v>
      </c>
      <c r="BM61" s="402"/>
      <c r="BN61" s="1137">
        <v>0</v>
      </c>
      <c r="BP61" s="720">
        <f t="shared" si="75"/>
        <v>7345743.5520000001</v>
      </c>
      <c r="BQ61" s="721">
        <f t="shared" si="76"/>
        <v>423000</v>
      </c>
      <c r="BR61" s="722">
        <f t="shared" ref="BR61:BR78" si="97">BP61/$BP$81</f>
        <v>0.30846277782725556</v>
      </c>
      <c r="BS61" s="605"/>
      <c r="BT61" s="611">
        <v>20000</v>
      </c>
      <c r="BU61" s="334">
        <f t="shared" ref="BU61:BU63" si="98">(BT61*$U61/10000)*0.9912</f>
        <v>347316.47999999998</v>
      </c>
      <c r="BV61" s="612">
        <f t="shared" ref="BV61" si="99">IFERROR(BU61/$BU$3,0)</f>
        <v>0.21104256087694187</v>
      </c>
      <c r="BW61" s="310"/>
      <c r="BX61" s="234">
        <f t="shared" ref="BX61:BX76" si="100">$AK61*BW61/10000</f>
        <v>0</v>
      </c>
      <c r="BY61" s="402"/>
      <c r="BZ61" s="1137">
        <v>0</v>
      </c>
      <c r="CA61" s="633">
        <v>3000</v>
      </c>
      <c r="CB61" s="334">
        <f t="shared" ref="CB61" si="101">(CA61*$U61/10000)*0.9912</f>
        <v>52097.472000000002</v>
      </c>
      <c r="CC61" s="630">
        <f t="shared" ref="CC61" si="102">IFERROR(CB61/$CB$3,0)</f>
        <v>0.19668016008579114</v>
      </c>
      <c r="CD61" s="272"/>
      <c r="CE61" s="234">
        <f t="shared" ref="CE61:CE74" si="103">$AK61*CD61/10000</f>
        <v>0</v>
      </c>
      <c r="CF61" s="402"/>
      <c r="CG61" s="1137">
        <v>0</v>
      </c>
      <c r="CH61" s="1772">
        <v>115000</v>
      </c>
      <c r="CI61" s="334">
        <f t="shared" ref="CI61:CI64" si="104">(CH61*$U61/10000)*0.9912</f>
        <v>1997069.76</v>
      </c>
      <c r="CJ61" s="1767">
        <f t="shared" ref="CJ61:CJ64" si="105">IFERROR(CI61/CI$3,0)</f>
        <v>0.16441714894434192</v>
      </c>
      <c r="CK61" s="272"/>
      <c r="CL61" s="234">
        <f t="shared" ref="CL61:CL74" si="106">$AK61*CK61/10000</f>
        <v>0</v>
      </c>
      <c r="CM61" s="402"/>
      <c r="CN61" s="1137">
        <v>0</v>
      </c>
      <c r="CO61" s="2080">
        <v>60000</v>
      </c>
      <c r="CP61" s="334">
        <f t="shared" ref="CP61:CP63" si="107">(CO61*$U61/10000)*0.9912</f>
        <v>1041949.44</v>
      </c>
      <c r="CQ61" s="2070">
        <f t="shared" ref="CQ61" si="108">IFERROR(CP61/CP$3,0)</f>
        <v>1.3729530598163205E-2</v>
      </c>
      <c r="CR61" s="272"/>
      <c r="CS61" s="234">
        <f t="shared" ref="CS61:CS75" si="109">$AK61*CR61/10000</f>
        <v>0</v>
      </c>
      <c r="CT61" s="402"/>
      <c r="CU61" s="1137">
        <v>0</v>
      </c>
      <c r="CX61" s="718">
        <v>18000</v>
      </c>
      <c r="CY61" s="719">
        <f>(CX61*$U61/10000)*0.9912</f>
        <v>312584.83199999999</v>
      </c>
      <c r="CZ61" s="726">
        <f t="shared" si="87"/>
        <v>0.202320925474374</v>
      </c>
      <c r="DA61" s="310"/>
      <c r="DB61" s="234">
        <f t="shared" ref="DB61:DB75" si="110">$AK61*DA61/10000</f>
        <v>0</v>
      </c>
      <c r="DC61" s="402"/>
      <c r="DD61" s="1137">
        <v>0</v>
      </c>
    </row>
    <row r="62" spans="1:108" ht="38" customHeight="1">
      <c r="A62" s="100"/>
      <c r="B62" s="100"/>
      <c r="C62" s="1355">
        <v>1000</v>
      </c>
      <c r="D62" s="521"/>
      <c r="E62" s="568"/>
      <c r="F62" s="521"/>
      <c r="G62" s="521"/>
      <c r="H62" s="521"/>
      <c r="I62" s="521"/>
      <c r="J62" s="521"/>
      <c r="K62" s="1380"/>
      <c r="L62" s="521"/>
      <c r="M62" s="1510"/>
      <c r="N62" s="1510"/>
      <c r="O62" s="382" t="s">
        <v>193</v>
      </c>
      <c r="P62" s="382" t="s">
        <v>194</v>
      </c>
      <c r="Q62" s="1323"/>
      <c r="R62" s="264">
        <f>_xlfn.XLOOKUP($P62,'Price Record'!$C$6:$C$106,'Price Record'!H$6:H$106,"")</f>
        <v>505491</v>
      </c>
      <c r="S62" s="292">
        <f>_xlfn.XLOOKUP(P62,'دیده بان بازار'!$A$3:$A$3542,'دیده بان بازار'!$M$3:$M$3542,"")</f>
        <v>-0.62</v>
      </c>
      <c r="T62" s="292">
        <f>_xlfn.XLOOKUP(P62,'دیده بان بازار'!$A$8:$A$3179,'دیده بان بازار'!$L$8:$L$3179,"")</f>
        <v>-3133</v>
      </c>
      <c r="U62" s="264">
        <f>_xlfn.XLOOKUP($P62,'Price Record'!$C$6:$C$106,'Price Record'!G$6:G$106,"")</f>
        <v>504830</v>
      </c>
      <c r="V62" s="361">
        <f>_xlfn.XLOOKUP(P62,'دیده بان بازار'!$A$3:$A$3542,'دیده بان بازار'!$J$3:$J$3542,"")</f>
        <v>-0.75</v>
      </c>
      <c r="W62" s="361"/>
      <c r="X62" s="2065" t="s">
        <v>191</v>
      </c>
      <c r="Y62" s="2058">
        <f t="shared" si="81"/>
        <v>0.13497337832726347</v>
      </c>
      <c r="Z62" s="394">
        <f t="shared" si="88"/>
        <v>504830</v>
      </c>
      <c r="AA62" s="1030" t="str">
        <f>IFERROR(_xlfn.XLOOKUP(P62,'Sales Rec'!$E$4:$E$100,'Sales Rec'!$DW$4:$DW$100,""),"")</f>
        <v/>
      </c>
      <c r="AB62" s="850"/>
      <c r="AC62" s="850"/>
      <c r="AD62" s="715"/>
      <c r="AE62" s="307"/>
      <c r="AF62" s="599">
        <f>IFERROR(IF(AP62="B",(U62-(AQ62*1.0088))/AQ62,IF(AP62="S",(AQ62-(U62*1.0037))/AQ62,""))*100,"")</f>
        <v>-0.78582030514220436</v>
      </c>
      <c r="AG62" s="308"/>
      <c r="AH62" s="1935"/>
      <c r="AI62" s="385"/>
      <c r="AJ62" s="1343"/>
      <c r="AK62" s="1694"/>
      <c r="AL62" s="1822"/>
      <c r="AM62" s="1825"/>
      <c r="AN62" s="1341"/>
      <c r="AO62" s="1207"/>
      <c r="AP62" s="448" t="s">
        <v>197</v>
      </c>
      <c r="AQ62" s="571">
        <v>504355</v>
      </c>
      <c r="AR62" s="797">
        <v>491152</v>
      </c>
      <c r="AS62" s="798">
        <f>IF(AR62&lt;1,"",(U62-AR62)/AR62)</f>
        <v>2.784881258754927E-2</v>
      </c>
      <c r="AT62" s="329">
        <v>20000</v>
      </c>
      <c r="AU62" s="334">
        <f>(AT62*$U62/10000)*0.9912</f>
        <v>1000774.992</v>
      </c>
      <c r="AV62" s="330">
        <f>IFERROR(AU62/$AU$3,0)</f>
        <v>2.1749858939346348E-2</v>
      </c>
      <c r="AW62" s="310"/>
      <c r="AX62" s="234">
        <f t="shared" si="91"/>
        <v>0</v>
      </c>
      <c r="AY62" s="402"/>
      <c r="AZ62" s="1137">
        <v>0</v>
      </c>
      <c r="BA62" s="437"/>
      <c r="BB62" s="334"/>
      <c r="BC62" s="343"/>
      <c r="BD62" s="310"/>
      <c r="BE62" s="234">
        <f t="shared" si="94"/>
        <v>0</v>
      </c>
      <c r="BF62" s="402"/>
      <c r="BG62" s="1137">
        <v>0</v>
      </c>
      <c r="BH62" s="718"/>
      <c r="BI62" s="719">
        <f>(BH62*$U62/10000)*0.9912</f>
        <v>0</v>
      </c>
      <c r="BJ62" s="726"/>
      <c r="BK62" s="310"/>
      <c r="BL62" s="234">
        <f t="shared" si="96"/>
        <v>0</v>
      </c>
      <c r="BM62" s="402"/>
      <c r="BN62" s="1137">
        <v>0</v>
      </c>
      <c r="BP62" s="720">
        <f t="shared" si="75"/>
        <v>1000774.992</v>
      </c>
      <c r="BQ62" s="721">
        <f t="shared" si="76"/>
        <v>20000</v>
      </c>
      <c r="BR62" s="722">
        <f t="shared" si="97"/>
        <v>4.2024586323643198E-2</v>
      </c>
      <c r="BS62" s="605"/>
      <c r="BT62" s="611"/>
      <c r="BU62" s="334">
        <f t="shared" si="98"/>
        <v>0</v>
      </c>
      <c r="BV62" s="612"/>
      <c r="BW62" s="310"/>
      <c r="BX62" s="234">
        <f t="shared" si="100"/>
        <v>0</v>
      </c>
      <c r="BY62" s="402"/>
      <c r="BZ62" s="1137">
        <v>0</v>
      </c>
      <c r="CA62" s="633"/>
      <c r="CB62" s="334"/>
      <c r="CC62" s="630"/>
      <c r="CD62" s="272"/>
      <c r="CE62" s="234">
        <f t="shared" si="103"/>
        <v>0</v>
      </c>
      <c r="CF62" s="402"/>
      <c r="CG62" s="1137">
        <v>0</v>
      </c>
      <c r="CH62" s="1772"/>
      <c r="CI62" s="334"/>
      <c r="CJ62" s="1767"/>
      <c r="CK62" s="272"/>
      <c r="CL62" s="234">
        <f t="shared" si="106"/>
        <v>0</v>
      </c>
      <c r="CM62" s="402"/>
      <c r="CN62" s="1137">
        <v>0</v>
      </c>
      <c r="CO62" s="2080">
        <v>30000</v>
      </c>
      <c r="CP62" s="334">
        <f t="shared" si="107"/>
        <v>1501162.4879999999</v>
      </c>
      <c r="CQ62" s="2070">
        <f t="shared" ref="CQ62:CQ63" si="111">IFERROR(CP62/CP$3,0)</f>
        <v>1.9780476403740671E-2</v>
      </c>
      <c r="CR62" s="272"/>
      <c r="CS62" s="234">
        <f t="shared" si="109"/>
        <v>0</v>
      </c>
      <c r="CT62" s="402"/>
      <c r="CU62" s="1137">
        <v>0</v>
      </c>
      <c r="CX62" s="718"/>
      <c r="CY62" s="719">
        <f>(CX62*$U62/10000)*0.9912</f>
        <v>0</v>
      </c>
      <c r="CZ62" s="726"/>
      <c r="DA62" s="310"/>
      <c r="DB62" s="234">
        <f t="shared" si="110"/>
        <v>0</v>
      </c>
      <c r="DC62" s="402"/>
      <c r="DD62" s="1137">
        <v>0</v>
      </c>
    </row>
    <row r="63" spans="1:108" ht="44" customHeight="1">
      <c r="A63" s="100"/>
      <c r="B63" s="100"/>
      <c r="C63" s="1355">
        <v>1000</v>
      </c>
      <c r="D63" s="1148"/>
      <c r="E63" s="568"/>
      <c r="F63" s="1148"/>
      <c r="G63" s="1148"/>
      <c r="H63" s="521"/>
      <c r="I63" s="521"/>
      <c r="J63" s="521"/>
      <c r="K63" s="1380"/>
      <c r="L63" s="521"/>
      <c r="M63" s="1510"/>
      <c r="N63" s="1510"/>
      <c r="O63" s="2018" t="s">
        <v>204</v>
      </c>
      <c r="P63" s="382" t="s">
        <v>205</v>
      </c>
      <c r="Q63" s="1464"/>
      <c r="R63" s="264">
        <f>_xlfn.XLOOKUP($P63,'Price Record'!$C$6:$C$106,'Price Record'!H$6:H$106,"")</f>
        <v>16991</v>
      </c>
      <c r="S63" s="292">
        <f>_xlfn.XLOOKUP(P63,'دیده بان بازار'!$A$3:$A$3542,'دیده بان بازار'!$M$3:$M$3542,"")</f>
        <v>2.99</v>
      </c>
      <c r="T63" s="292">
        <f>_xlfn.XLOOKUP(P63,'دیده بان بازار'!$A$8:$A$3179,'دیده بان بازار'!$L$8:$L$3179,"")</f>
        <v>494</v>
      </c>
      <c r="U63" s="264">
        <f>_xlfn.XLOOKUP($P63,'Price Record'!$C$6:$C$106,'Price Record'!G$6:G$106,"")</f>
        <v>16991</v>
      </c>
      <c r="V63" s="361">
        <f>_xlfn.XLOOKUP(P63,'دیده بان بازار'!$A$3:$A$3542,'دیده بان بازار'!$J$3:$J$3542,"")</f>
        <v>2.99</v>
      </c>
      <c r="W63" s="361"/>
      <c r="X63" s="2057" t="s">
        <v>206</v>
      </c>
      <c r="Y63" s="2058">
        <f t="shared" si="81"/>
        <v>9.882435708493665E-3</v>
      </c>
      <c r="Z63" s="394">
        <f t="shared" si="88"/>
        <v>16991</v>
      </c>
      <c r="AA63" s="1030" t="str">
        <f>IFERROR(_xlfn.XLOOKUP(P63,'Sales Rec'!$E$4:$E$100,'Sales Rec'!$DW$4:$DW$100,""),"")</f>
        <v/>
      </c>
      <c r="AB63" s="850"/>
      <c r="AC63" s="850"/>
      <c r="AD63" s="715"/>
      <c r="AE63" s="307"/>
      <c r="AF63" s="599">
        <f>IFERROR(IF(AP63="B",(U63-(AQ63*1.0088))/AQ63,IF(AP63="S",(AQ63-(U63*1.0037))/AQ63,""))*100,"")</f>
        <v>9.7817168164647743</v>
      </c>
      <c r="AG63" s="308"/>
      <c r="AH63" s="1935"/>
      <c r="AI63" s="385"/>
      <c r="AJ63" s="1343"/>
      <c r="AK63" s="1694"/>
      <c r="AL63" s="1822"/>
      <c r="AM63" s="1825"/>
      <c r="AN63" s="1341"/>
      <c r="AO63" s="1207"/>
      <c r="AP63" s="448" t="s">
        <v>197</v>
      </c>
      <c r="AQ63" s="571">
        <v>15354</v>
      </c>
      <c r="AR63" s="797">
        <v>15040</v>
      </c>
      <c r="AS63" s="798">
        <f>IF(AR63&lt;1,"",(U63-AR63)/AR63)</f>
        <v>0.12972074468085107</v>
      </c>
      <c r="AT63" s="329">
        <v>270000</v>
      </c>
      <c r="AU63" s="334">
        <f>(AT63*$U63/10000)*0.9912</f>
        <v>454719.93839999998</v>
      </c>
      <c r="AV63" s="330">
        <f>IFERROR(AU63/$AU$3,0)</f>
        <v>9.882435708493665E-3</v>
      </c>
      <c r="AW63" s="310"/>
      <c r="AX63" s="234">
        <f t="shared" si="91"/>
        <v>0</v>
      </c>
      <c r="AY63" s="402"/>
      <c r="AZ63" s="1137">
        <v>0</v>
      </c>
      <c r="BA63" s="437"/>
      <c r="BB63" s="334"/>
      <c r="BC63" s="343"/>
      <c r="BD63" s="310"/>
      <c r="BE63" s="234">
        <f t="shared" si="94"/>
        <v>0</v>
      </c>
      <c r="BF63" s="402"/>
      <c r="BG63" s="1137">
        <v>0</v>
      </c>
      <c r="BH63" s="718"/>
      <c r="BI63" s="719"/>
      <c r="BJ63" s="726"/>
      <c r="BK63" s="310"/>
      <c r="BL63" s="234">
        <f t="shared" si="96"/>
        <v>0</v>
      </c>
      <c r="BM63" s="402"/>
      <c r="BN63" s="1137">
        <v>0</v>
      </c>
      <c r="BP63" s="720">
        <f t="shared" si="75"/>
        <v>454719.93839999998</v>
      </c>
      <c r="BQ63" s="721">
        <f t="shared" si="76"/>
        <v>270000</v>
      </c>
      <c r="BR63" s="722">
        <f t="shared" si="97"/>
        <v>1.9094619127305808E-2</v>
      </c>
      <c r="BS63" s="605"/>
      <c r="BT63" s="611"/>
      <c r="BU63" s="334">
        <f t="shared" si="98"/>
        <v>0</v>
      </c>
      <c r="BV63" s="612"/>
      <c r="BW63" s="310"/>
      <c r="BX63" s="234">
        <f t="shared" si="100"/>
        <v>0</v>
      </c>
      <c r="BY63" s="402"/>
      <c r="BZ63" s="1137">
        <v>0</v>
      </c>
      <c r="CA63" s="633"/>
      <c r="CB63" s="334"/>
      <c r="CC63" s="630"/>
      <c r="CD63" s="272"/>
      <c r="CE63" s="234">
        <f t="shared" si="103"/>
        <v>0</v>
      </c>
      <c r="CF63" s="402"/>
      <c r="CG63" s="1137">
        <v>0</v>
      </c>
      <c r="CH63" s="1772"/>
      <c r="CI63" s="334"/>
      <c r="CJ63" s="1767"/>
      <c r="CK63" s="272"/>
      <c r="CL63" s="234">
        <f t="shared" si="106"/>
        <v>0</v>
      </c>
      <c r="CM63" s="402"/>
      <c r="CN63" s="1137">
        <v>0</v>
      </c>
      <c r="CO63" s="2080"/>
      <c r="CP63" s="334">
        <f t="shared" si="107"/>
        <v>0</v>
      </c>
      <c r="CQ63" s="2070">
        <f t="shared" si="111"/>
        <v>0</v>
      </c>
      <c r="CR63" s="272"/>
      <c r="CS63" s="234">
        <f t="shared" si="109"/>
        <v>0</v>
      </c>
      <c r="CT63" s="402"/>
      <c r="CU63" s="1137">
        <v>0</v>
      </c>
      <c r="CX63" s="718"/>
      <c r="CY63" s="719"/>
      <c r="CZ63" s="726"/>
      <c r="DA63" s="310"/>
      <c r="DB63" s="234">
        <f t="shared" si="110"/>
        <v>0</v>
      </c>
      <c r="DC63" s="402"/>
      <c r="DD63" s="1137">
        <v>0</v>
      </c>
    </row>
    <row r="64" spans="1:108" ht="38" customHeight="1">
      <c r="A64" s="100"/>
      <c r="B64" s="100"/>
      <c r="C64" s="1355">
        <v>338200</v>
      </c>
      <c r="D64" s="1148"/>
      <c r="E64" s="568"/>
      <c r="F64" s="1148"/>
      <c r="G64" s="1148"/>
      <c r="H64" s="521"/>
      <c r="I64" s="521"/>
      <c r="J64" s="521"/>
      <c r="K64" s="1380"/>
      <c r="L64" s="521"/>
      <c r="M64" s="1510" t="str">
        <f>_xlfn.XLOOKUP(P64,'Sales Rec'!$E$4:$E$93,'Sales Rec'!$DS$4:$DS$93,"")</f>
        <v xml:space="preserve"> </v>
      </c>
      <c r="N64" s="1510"/>
      <c r="O64" s="382" t="s">
        <v>195</v>
      </c>
      <c r="P64" s="382" t="s">
        <v>196</v>
      </c>
      <c r="Q64" s="1464">
        <v>12</v>
      </c>
      <c r="R64" s="264">
        <f>_xlfn.XLOOKUP($P64,'Price Record'!$C$6:$C$106,'Price Record'!H$6:H$106,"")</f>
        <v>1234</v>
      </c>
      <c r="S64" s="292">
        <f>_xlfn.XLOOKUP(P64,'دیده بان بازار'!$A$3:$A$3542,'دیده بان بازار'!$M$3:$M$3542,"")</f>
        <v>2.92</v>
      </c>
      <c r="T64" s="292">
        <f>_xlfn.XLOOKUP(P64,'دیده بان بازار'!$A$8:$A$3179,'دیده بان بازار'!$L$8:$L$3179,"")</f>
        <v>35</v>
      </c>
      <c r="U64" s="264">
        <f>_xlfn.XLOOKUP($P64,'Price Record'!$C$6:$C$106,'Price Record'!G$6:G$106,"")</f>
        <v>1234</v>
      </c>
      <c r="V64" s="361">
        <f>_xlfn.XLOOKUP(P64,'دیده بان بازار'!$A$3:$A$3542,'دیده بان بازار'!$J$3:$J$3542,"")</f>
        <v>2.92</v>
      </c>
      <c r="W64" s="361">
        <f>_xlfn.XLOOKUP(P64,'دیده بان بازار'!$A$8:$A$3179,'دیده بان بازار'!$I$8:$I$3179,"")</f>
        <v>35</v>
      </c>
      <c r="X64" s="2057" t="s">
        <v>197</v>
      </c>
      <c r="Y64" s="2058">
        <f t="shared" si="81"/>
        <v>8.4162493059578292E-3</v>
      </c>
      <c r="Z64" s="394">
        <f t="shared" si="88"/>
        <v>417338.8</v>
      </c>
      <c r="AA64" s="1030">
        <f>IFERROR(_xlfn.XLOOKUP(P64,'Sales Rec'!$E$4:$E$100,'Sales Rec'!$DW$4:$DW$100,""),"")</f>
        <v>1.7175271694894283</v>
      </c>
      <c r="AB64" s="850"/>
      <c r="AC64" s="850"/>
      <c r="AD64" s="715"/>
      <c r="AE64" s="307"/>
      <c r="AF64" s="599">
        <f t="shared" ref="AF64:AF76" si="112">IFERROR(IF(AP64="B",(U64-(AQ64*1.0088))/AQ64,IF(AP64="S",(AQ64-(U64*1.0037))/AQ64,""))*100,"")</f>
        <v>-11.783916967509033</v>
      </c>
      <c r="AG64" s="308"/>
      <c r="AH64" s="1935">
        <f t="shared" ref="AH64:AH76" ca="1" si="113">IF((AJ64-TODAY())&gt;0,AJ64-TODAY(),(365-(TODAY()-AJ64)))</f>
        <v>351</v>
      </c>
      <c r="AI64" s="385"/>
      <c r="AJ64" s="1612">
        <v>46225</v>
      </c>
      <c r="AK64" s="1828">
        <v>46</v>
      </c>
      <c r="AL64" s="1829">
        <v>46235</v>
      </c>
      <c r="AM64" s="1825">
        <f>_xlfn.XLOOKUP($P64,'Price Record'!$C$6:$C$106,'Price Record'!I$6:I$106,"")</f>
        <v>454</v>
      </c>
      <c r="AN64" s="1341" t="str">
        <f>_xlfn.XLOOKUP($P64,MOPFRA!$R$7:$R$78,MOPFRA!$BY$7:$BY$78,"")</f>
        <v/>
      </c>
      <c r="AO64" s="1207">
        <f>_xlfn.XLOOKUP($P64,'Price Record'!$C$6:$C$106,'Price Record'!J$6:J$106,"")</f>
        <v>2.72</v>
      </c>
      <c r="AP64" s="447" t="s">
        <v>603</v>
      </c>
      <c r="AQ64" s="572">
        <v>1108</v>
      </c>
      <c r="AR64" s="797">
        <v>796</v>
      </c>
      <c r="AS64" s="798">
        <f t="shared" si="73"/>
        <v>0.55025125628140703</v>
      </c>
      <c r="AT64" s="329">
        <v>2000000</v>
      </c>
      <c r="AU64" s="334">
        <f t="shared" si="89"/>
        <v>244628.16</v>
      </c>
      <c r="AV64" s="330">
        <f t="shared" si="90"/>
        <v>5.3165077216396402E-3</v>
      </c>
      <c r="AW64" s="310"/>
      <c r="AX64" s="234">
        <f t="shared" ref="AX64:AX75" si="114">$AK64*AW64/10000</f>
        <v>0</v>
      </c>
      <c r="AY64" s="402">
        <v>18200</v>
      </c>
      <c r="AZ64" s="1137">
        <v>0</v>
      </c>
      <c r="BA64" s="437">
        <v>420000</v>
      </c>
      <c r="BB64" s="334">
        <f t="shared" si="92"/>
        <v>51371.9136</v>
      </c>
      <c r="BC64" s="343">
        <f t="shared" ref="BC64:BC74" si="115">IFERROR(BB64/$BB$3,0)</f>
        <v>2.3000434836463234E-3</v>
      </c>
      <c r="BD64" s="310"/>
      <c r="BE64" s="234">
        <f t="shared" si="94"/>
        <v>0</v>
      </c>
      <c r="BF64" s="402">
        <v>1932</v>
      </c>
      <c r="BG64" s="1137">
        <v>0</v>
      </c>
      <c r="BH64" s="718">
        <v>14219</v>
      </c>
      <c r="BI64" s="719">
        <f t="shared" ref="BI64:BI76" si="116">(BH64*$U64/10000)*0.9912</f>
        <v>1739.1839035200001</v>
      </c>
      <c r="BJ64" s="726">
        <f t="shared" si="74"/>
        <v>1.1256889679480699E-3</v>
      </c>
      <c r="BK64" s="272"/>
      <c r="BL64" s="234">
        <f t="shared" si="96"/>
        <v>0</v>
      </c>
      <c r="BM64" s="402">
        <v>571</v>
      </c>
      <c r="BN64" s="1137">
        <v>0</v>
      </c>
      <c r="BP64" s="720">
        <f t="shared" si="75"/>
        <v>297739.25750352</v>
      </c>
      <c r="BQ64" s="721">
        <f t="shared" si="76"/>
        <v>2434219</v>
      </c>
      <c r="BR64" s="722">
        <f t="shared" si="97"/>
        <v>1.2502679652185102E-2</v>
      </c>
      <c r="BS64" s="605"/>
      <c r="BT64" s="611">
        <v>83850</v>
      </c>
      <c r="BU64" s="334">
        <f t="shared" ref="BU64:BU74" si="117">(BT64*$U64/10000)*0.9912</f>
        <v>10256.035608</v>
      </c>
      <c r="BV64" s="612">
        <f t="shared" si="82"/>
        <v>6.2319531142243055E-3</v>
      </c>
      <c r="BW64" s="310"/>
      <c r="BX64" s="234">
        <f t="shared" si="100"/>
        <v>0</v>
      </c>
      <c r="BY64" s="402">
        <v>656</v>
      </c>
      <c r="BZ64" s="1137">
        <v>0</v>
      </c>
      <c r="CA64" s="633"/>
      <c r="CB64" s="334">
        <f t="shared" si="84"/>
        <v>0</v>
      </c>
      <c r="CC64" s="630">
        <f t="shared" si="85"/>
        <v>0</v>
      </c>
      <c r="CD64" s="272"/>
      <c r="CE64" s="234">
        <f t="shared" si="103"/>
        <v>0</v>
      </c>
      <c r="CF64" s="402"/>
      <c r="CG64" s="1137">
        <v>0</v>
      </c>
      <c r="CH64" s="1772">
        <v>2000000</v>
      </c>
      <c r="CI64" s="334">
        <f t="shared" si="104"/>
        <v>244628.16</v>
      </c>
      <c r="CJ64" s="1767">
        <f t="shared" si="105"/>
        <v>2.0140039884585858E-2</v>
      </c>
      <c r="CK64" s="272"/>
      <c r="CL64" s="234">
        <f t="shared" si="106"/>
        <v>0</v>
      </c>
      <c r="CM64" s="402">
        <v>9200</v>
      </c>
      <c r="CN64" s="1137">
        <v>0</v>
      </c>
      <c r="CO64" s="2080"/>
      <c r="CP64" s="334">
        <f t="shared" ref="CP64:CP78" si="118">(CO64*$U64/10000)*0.9912</f>
        <v>0</v>
      </c>
      <c r="CQ64" s="2070">
        <f t="shared" ref="CQ64:CQ78" si="119">IFERROR(CP64/CP$3,0)</f>
        <v>0</v>
      </c>
      <c r="CR64" s="272"/>
      <c r="CS64" s="234">
        <f t="shared" si="109"/>
        <v>0</v>
      </c>
      <c r="CT64" s="402"/>
      <c r="CU64" s="1137">
        <v>0</v>
      </c>
      <c r="CX64" s="718">
        <v>14219</v>
      </c>
      <c r="CY64" s="719">
        <f t="shared" ref="CY64:CY66" si="120">(CX64*$U64/10000)*0.9912</f>
        <v>1739.1839035200001</v>
      </c>
      <c r="CZ64" s="726">
        <f t="shared" ref="CZ64" si="121">IFERROR(CY64/$BI$3,0)</f>
        <v>1.1256889679480699E-3</v>
      </c>
      <c r="DA64" s="272"/>
      <c r="DB64" s="234">
        <f t="shared" si="110"/>
        <v>0</v>
      </c>
      <c r="DC64" s="402"/>
      <c r="DD64" s="1137">
        <v>0</v>
      </c>
    </row>
    <row r="65" spans="1:108" ht="38" customHeight="1">
      <c r="A65" s="100"/>
      <c r="B65" s="100"/>
      <c r="C65" s="1355">
        <v>159060</v>
      </c>
      <c r="D65" s="1148"/>
      <c r="E65" s="568"/>
      <c r="F65" s="1148"/>
      <c r="G65" s="1148"/>
      <c r="H65" s="521"/>
      <c r="I65" s="521"/>
      <c r="J65" s="521"/>
      <c r="K65" s="1380"/>
      <c r="L65" s="521"/>
      <c r="M65" s="1510" t="str">
        <f>_xlfn.XLOOKUP(P65,'Sales Rec'!$E$4:$E$93,'Sales Rec'!$DS$4:$DS$93,"")</f>
        <v xml:space="preserve"> </v>
      </c>
      <c r="N65" s="1510"/>
      <c r="O65" s="382" t="s">
        <v>198</v>
      </c>
      <c r="P65" s="382" t="s">
        <v>199</v>
      </c>
      <c r="Q65" s="1464">
        <v>12</v>
      </c>
      <c r="R65" s="264">
        <f>_xlfn.XLOOKUP($P65,'Price Record'!$C$6:$C$106,'Price Record'!H$6:H$106,"")</f>
        <v>661</v>
      </c>
      <c r="S65" s="292">
        <f>_xlfn.XLOOKUP(P65,'دیده بان بازار'!$A$3:$A$3542,'دیده بان بازار'!$M$3:$M$3542,"")</f>
        <v>2.96</v>
      </c>
      <c r="T65" s="292">
        <f>_xlfn.XLOOKUP(P65,'دیده بان بازار'!$A$8:$A$3179,'دیده بان بازار'!$L$8:$L$3179,"")</f>
        <v>19</v>
      </c>
      <c r="U65" s="264">
        <f>_xlfn.XLOOKUP($P65,'Price Record'!$C$6:$C$106,'Price Record'!G$6:G$106,"")</f>
        <v>661</v>
      </c>
      <c r="V65" s="361">
        <f>_xlfn.XLOOKUP(P65,'دیده بان بازار'!$A$3:$A$3542,'دیده بان بازار'!$J$3:$J$3542,"")</f>
        <v>2.96</v>
      </c>
      <c r="W65" s="361">
        <f>_xlfn.XLOOKUP(P65,'دیده بان بازار'!$A$8:$A$3179,'دیده بان بازار'!$I$8:$I$3179,"")</f>
        <v>19</v>
      </c>
      <c r="X65" s="2057" t="s">
        <v>197</v>
      </c>
      <c r="Y65" s="2058">
        <f t="shared" si="81"/>
        <v>8.4162493059578292E-3</v>
      </c>
      <c r="Z65" s="394">
        <f t="shared" si="88"/>
        <v>105138.66</v>
      </c>
      <c r="AA65" s="1030">
        <f>IFERROR(_xlfn.XLOOKUP(P65,'Sales Rec'!$E$4:$E$100,'Sales Rec'!$DW$4:$DW$100,""),"")</f>
        <v>0.71576520121413889</v>
      </c>
      <c r="AB65" s="850"/>
      <c r="AC65" s="850"/>
      <c r="AD65" s="715"/>
      <c r="AE65" s="307"/>
      <c r="AF65" s="599">
        <f t="shared" si="112"/>
        <v>26.726177606177604</v>
      </c>
      <c r="AG65" s="308"/>
      <c r="AH65" s="1935">
        <f t="shared" ca="1" si="113"/>
        <v>351</v>
      </c>
      <c r="AI65" s="385"/>
      <c r="AJ65" s="1612">
        <v>46225</v>
      </c>
      <c r="AK65" s="1828">
        <v>9</v>
      </c>
      <c r="AL65" s="1829">
        <v>46229</v>
      </c>
      <c r="AM65" s="1825">
        <f>_xlfn.XLOOKUP($P65,'Price Record'!$C$6:$C$106,'Price Record'!I$6:I$106,"")</f>
        <v>105</v>
      </c>
      <c r="AN65" s="1341"/>
      <c r="AO65" s="1207">
        <f>_xlfn.XLOOKUP($P65,'Price Record'!$C$6:$C$106,'Price Record'!J$6:J$106,"")</f>
        <v>6.3</v>
      </c>
      <c r="AP65" s="448" t="s">
        <v>197</v>
      </c>
      <c r="AQ65" s="571">
        <v>518</v>
      </c>
      <c r="AR65" s="797">
        <v>434</v>
      </c>
      <c r="AS65" s="798">
        <f t="shared" si="73"/>
        <v>0.52304147465437789</v>
      </c>
      <c r="AT65" s="329">
        <v>859705</v>
      </c>
      <c r="AU65" s="334">
        <f t="shared" si="89"/>
        <v>56326.427295599999</v>
      </c>
      <c r="AV65" s="330">
        <f t="shared" si="90"/>
        <v>1.2241431470907977E-3</v>
      </c>
      <c r="AW65" s="310"/>
      <c r="AX65" s="234">
        <f t="shared" si="114"/>
        <v>0</v>
      </c>
      <c r="AY65" s="402">
        <v>994</v>
      </c>
      <c r="AZ65" s="1137">
        <v>0</v>
      </c>
      <c r="BA65" s="437"/>
      <c r="BB65" s="334">
        <f t="shared" si="92"/>
        <v>0</v>
      </c>
      <c r="BC65" s="343">
        <f t="shared" si="115"/>
        <v>0</v>
      </c>
      <c r="BD65" s="310"/>
      <c r="BE65" s="234">
        <f t="shared" si="94"/>
        <v>0</v>
      </c>
      <c r="BF65" s="402"/>
      <c r="BG65" s="1137">
        <v>0</v>
      </c>
      <c r="BH65" s="718"/>
      <c r="BI65" s="719">
        <f t="shared" si="116"/>
        <v>0</v>
      </c>
      <c r="BJ65" s="726"/>
      <c r="BK65" s="310"/>
      <c r="BL65" s="234">
        <f t="shared" si="96"/>
        <v>0</v>
      </c>
      <c r="BM65" s="402"/>
      <c r="BN65" s="1137">
        <v>0</v>
      </c>
      <c r="BP65" s="720">
        <f t="shared" si="75"/>
        <v>56326.427295599999</v>
      </c>
      <c r="BQ65" s="721">
        <f t="shared" si="76"/>
        <v>859705</v>
      </c>
      <c r="BR65" s="722">
        <f t="shared" si="97"/>
        <v>2.3652617472543266E-3</v>
      </c>
      <c r="BS65" s="605"/>
      <c r="BT65" s="611"/>
      <c r="BU65" s="334">
        <f t="shared" si="117"/>
        <v>0</v>
      </c>
      <c r="BV65" s="612"/>
      <c r="BW65" s="310"/>
      <c r="BX65" s="234">
        <f t="shared" si="100"/>
        <v>0</v>
      </c>
      <c r="BY65" s="402"/>
      <c r="BZ65" s="1137">
        <v>0</v>
      </c>
      <c r="CA65" s="633"/>
      <c r="CB65" s="334"/>
      <c r="CC65" s="630"/>
      <c r="CD65" s="272"/>
      <c r="CE65" s="234">
        <f t="shared" si="103"/>
        <v>0</v>
      </c>
      <c r="CF65" s="402"/>
      <c r="CG65" s="1137">
        <v>0</v>
      </c>
      <c r="CH65" s="1772"/>
      <c r="CI65" s="334"/>
      <c r="CJ65" s="1767">
        <f t="shared" si="77"/>
        <v>0</v>
      </c>
      <c r="CK65" s="272"/>
      <c r="CL65" s="234">
        <f t="shared" si="106"/>
        <v>0</v>
      </c>
      <c r="CM65" s="402"/>
      <c r="CN65" s="1137">
        <v>0</v>
      </c>
      <c r="CO65" s="2080"/>
      <c r="CP65" s="334">
        <f t="shared" si="118"/>
        <v>0</v>
      </c>
      <c r="CQ65" s="2070">
        <f t="shared" si="119"/>
        <v>0</v>
      </c>
      <c r="CR65" s="272"/>
      <c r="CS65" s="234">
        <f t="shared" si="109"/>
        <v>0</v>
      </c>
      <c r="CT65" s="402"/>
      <c r="CU65" s="1137">
        <v>0</v>
      </c>
      <c r="CX65" s="718"/>
      <c r="CY65" s="719">
        <f t="shared" si="120"/>
        <v>0</v>
      </c>
      <c r="CZ65" s="726"/>
      <c r="DA65" s="310"/>
      <c r="DB65" s="234">
        <f t="shared" si="110"/>
        <v>0</v>
      </c>
      <c r="DC65" s="402"/>
      <c r="DD65" s="1137">
        <v>0</v>
      </c>
    </row>
    <row r="66" spans="1:108" ht="38" customHeight="1">
      <c r="A66" s="100"/>
      <c r="B66" s="100"/>
      <c r="C66" s="1355">
        <v>15800</v>
      </c>
      <c r="D66" s="1148"/>
      <c r="E66" s="568"/>
      <c r="F66" s="1148"/>
      <c r="G66" s="1148"/>
      <c r="H66" s="521"/>
      <c r="I66" s="521"/>
      <c r="J66" s="521"/>
      <c r="K66" s="1380"/>
      <c r="L66" s="521"/>
      <c r="M66" s="1510" t="str">
        <f>_xlfn.XLOOKUP(P66,'Sales Rec'!$E$4:$E$93,'Sales Rec'!$DS$4:$DS$93,"")</f>
        <v xml:space="preserve"> </v>
      </c>
      <c r="N66" s="1510"/>
      <c r="O66" s="2017" t="s">
        <v>200</v>
      </c>
      <c r="P66" s="382" t="s">
        <v>201</v>
      </c>
      <c r="Q66" s="1464">
        <v>12</v>
      </c>
      <c r="R66" s="264">
        <f>_xlfn.XLOOKUP($P66,'Price Record'!$C$6:$C$106,'Price Record'!H$6:H$106,"")</f>
        <v>7640</v>
      </c>
      <c r="S66" s="292">
        <f>_xlfn.XLOOKUP(P66,'دیده بان بازار'!$A$3:$A$3542,'دیده بان بازار'!$M$3:$M$3542,"")</f>
        <v>2.96</v>
      </c>
      <c r="T66" s="292">
        <f>_xlfn.XLOOKUP(P66,'دیده بان بازار'!$A$8:$A$3179,'دیده بان بازار'!$L$8:$L$3179,"")</f>
        <v>220</v>
      </c>
      <c r="U66" s="264">
        <f>_xlfn.XLOOKUP($P66,'Price Record'!$C$6:$C$106,'Price Record'!G$6:G$106,"")</f>
        <v>7640</v>
      </c>
      <c r="V66" s="361">
        <f>_xlfn.XLOOKUP(P66,'دیده بان بازار'!$A$3:$A$3542,'دیده بان بازار'!$J$3:$J$3542,"")</f>
        <v>2.96</v>
      </c>
      <c r="W66" s="361">
        <f>_xlfn.XLOOKUP(P66,'دیده بان بازار'!$A$8:$A$3179,'دیده بان بازار'!$I$8:$I$3179,"")</f>
        <v>220</v>
      </c>
      <c r="X66" s="2057" t="s">
        <v>197</v>
      </c>
      <c r="Y66" s="2058">
        <f t="shared" si="81"/>
        <v>8.4162493059578292E-3</v>
      </c>
      <c r="Z66" s="394">
        <f t="shared" si="88"/>
        <v>120712</v>
      </c>
      <c r="AA66" s="1030">
        <f>IFERROR(_xlfn.XLOOKUP(P66,'Sales Rec'!$E$4:$E$100,'Sales Rec'!$DW$4:$DW$100,""),"")</f>
        <v>5.3067920585161961</v>
      </c>
      <c r="AB66" s="850"/>
      <c r="AC66" s="850"/>
      <c r="AD66" s="715"/>
      <c r="AE66" s="307"/>
      <c r="AF66" s="599">
        <f t="shared" si="112"/>
        <v>147.89889938130904</v>
      </c>
      <c r="AG66" s="308"/>
      <c r="AH66" s="1935">
        <f t="shared" ca="1" si="113"/>
        <v>340</v>
      </c>
      <c r="AI66" s="385"/>
      <c r="AJ66" s="1612">
        <v>46214</v>
      </c>
      <c r="AK66" s="1828">
        <v>158</v>
      </c>
      <c r="AL66" s="1829">
        <v>46217</v>
      </c>
      <c r="AM66" s="1825">
        <f>_xlfn.XLOOKUP($P66,'Price Record'!$C$6:$C$106,'Price Record'!I$6:I$106,"")</f>
        <v>1396</v>
      </c>
      <c r="AN66" s="1341"/>
      <c r="AO66" s="1207">
        <f>_xlfn.XLOOKUP($P66,'Price Record'!$C$6:$C$106,'Price Record'!J$6:J$106,"")</f>
        <v>5.47</v>
      </c>
      <c r="AP66" s="448" t="s">
        <v>197</v>
      </c>
      <c r="AQ66" s="571">
        <v>3071</v>
      </c>
      <c r="AR66" s="797">
        <v>1986</v>
      </c>
      <c r="AS66" s="798">
        <f t="shared" si="73"/>
        <v>2.8469284994964754</v>
      </c>
      <c r="AT66" s="329">
        <v>70000</v>
      </c>
      <c r="AU66" s="334">
        <f t="shared" ref="AU66" si="122">(AT66*$U66/10000)*0.9912</f>
        <v>53009.375999999997</v>
      </c>
      <c r="AV66" s="330">
        <f t="shared" ref="AV66" si="123">IFERROR(AU66/$AU$3,0)</f>
        <v>1.1520536181251538E-3</v>
      </c>
      <c r="AW66" s="310"/>
      <c r="AX66" s="234">
        <f t="shared" si="114"/>
        <v>0</v>
      </c>
      <c r="AY66" s="402">
        <v>1506</v>
      </c>
      <c r="AZ66" s="1137">
        <v>0</v>
      </c>
      <c r="BA66" s="437"/>
      <c r="BB66" s="334">
        <f t="shared" ref="BB66" si="124">(BA66*$U66/10000)*0.9912</f>
        <v>0</v>
      </c>
      <c r="BC66" s="343">
        <f t="shared" ref="BC66" si="125">IFERROR(BB66/$BB$3,0)</f>
        <v>0</v>
      </c>
      <c r="BD66" s="310"/>
      <c r="BE66" s="234">
        <f t="shared" si="94"/>
        <v>0</v>
      </c>
      <c r="BF66" s="402"/>
      <c r="BG66" s="1137">
        <v>0</v>
      </c>
      <c r="BH66" s="718"/>
      <c r="BI66" s="719">
        <f t="shared" si="116"/>
        <v>0</v>
      </c>
      <c r="BJ66" s="726"/>
      <c r="BK66" s="310"/>
      <c r="BL66" s="234">
        <f t="shared" si="96"/>
        <v>0</v>
      </c>
      <c r="BM66" s="402">
        <v>79</v>
      </c>
      <c r="BN66" s="1137">
        <v>0</v>
      </c>
      <c r="BP66" s="720">
        <f t="shared" si="75"/>
        <v>53009.375999999997</v>
      </c>
      <c r="BQ66" s="721">
        <f t="shared" si="76"/>
        <v>70000</v>
      </c>
      <c r="BR66" s="722">
        <f t="shared" si="97"/>
        <v>2.225971987192162E-3</v>
      </c>
      <c r="BS66" s="605"/>
      <c r="BT66" s="611"/>
      <c r="BU66" s="334">
        <f t="shared" si="117"/>
        <v>0</v>
      </c>
      <c r="BV66" s="612"/>
      <c r="BW66" s="310"/>
      <c r="BX66" s="234">
        <f t="shared" si="100"/>
        <v>0</v>
      </c>
      <c r="BY66" s="402"/>
      <c r="BZ66" s="1137">
        <v>0</v>
      </c>
      <c r="CA66" s="633"/>
      <c r="CB66" s="334"/>
      <c r="CC66" s="630"/>
      <c r="CD66" s="272"/>
      <c r="CE66" s="234">
        <f t="shared" si="103"/>
        <v>0</v>
      </c>
      <c r="CF66" s="402"/>
      <c r="CG66" s="1137">
        <v>0</v>
      </c>
      <c r="CH66" s="1772"/>
      <c r="CI66" s="334"/>
      <c r="CJ66" s="1767">
        <f t="shared" si="77"/>
        <v>0</v>
      </c>
      <c r="CK66" s="272"/>
      <c r="CL66" s="234">
        <f t="shared" si="106"/>
        <v>0</v>
      </c>
      <c r="CM66" s="402"/>
      <c r="CN66" s="1137">
        <v>0</v>
      </c>
      <c r="CO66" s="2080"/>
      <c r="CP66" s="334">
        <f t="shared" si="118"/>
        <v>0</v>
      </c>
      <c r="CQ66" s="2070">
        <f t="shared" si="119"/>
        <v>0</v>
      </c>
      <c r="CR66" s="272"/>
      <c r="CS66" s="234">
        <f t="shared" si="109"/>
        <v>0</v>
      </c>
      <c r="CT66" s="402"/>
      <c r="CU66" s="1137">
        <v>0</v>
      </c>
      <c r="CX66" s="718">
        <v>5000</v>
      </c>
      <c r="CY66" s="719">
        <f t="shared" si="120"/>
        <v>3786.384</v>
      </c>
      <c r="CZ66" s="726"/>
      <c r="DA66" s="310"/>
      <c r="DB66" s="234">
        <f t="shared" si="110"/>
        <v>0</v>
      </c>
      <c r="DC66" s="402">
        <v>79</v>
      </c>
      <c r="DD66" s="1137">
        <v>0</v>
      </c>
    </row>
    <row r="67" spans="1:108" ht="38" customHeight="1">
      <c r="A67" s="100"/>
      <c r="B67" s="100"/>
      <c r="C67" s="1355">
        <v>7813</v>
      </c>
      <c r="D67" s="1148"/>
      <c r="E67" s="568"/>
      <c r="F67" s="1148"/>
      <c r="G67" s="1148"/>
      <c r="H67" s="521"/>
      <c r="I67" s="521"/>
      <c r="J67" s="521"/>
      <c r="K67" s="1380"/>
      <c r="L67" s="521"/>
      <c r="M67" s="1510"/>
      <c r="N67" s="1510"/>
      <c r="O67" s="2017" t="s">
        <v>202</v>
      </c>
      <c r="P67" s="382" t="s">
        <v>203</v>
      </c>
      <c r="Q67" s="1464">
        <v>12</v>
      </c>
      <c r="R67" s="264">
        <f>_xlfn.XLOOKUP($P67,'Price Record'!$C$6:$C$106,'Price Record'!H$6:H$106,"")</f>
        <v>2799</v>
      </c>
      <c r="S67" s="292">
        <f>_xlfn.XLOOKUP(P67,'دیده بان بازار'!$A$3:$A$3542,'دیده بان بازار'!$M$3:$M$3542,"")</f>
        <v>2.98</v>
      </c>
      <c r="T67" s="292">
        <f>_xlfn.XLOOKUP(P67,'دیده بان بازار'!$A$8:$A$3179,'دیده بان بازار'!$L$8:$L$3179,"")</f>
        <v>81</v>
      </c>
      <c r="U67" s="264">
        <f>_xlfn.XLOOKUP($P67,'Price Record'!$C$6:$C$106,'Price Record'!G$6:G$106,"")</f>
        <v>2799</v>
      </c>
      <c r="V67" s="361">
        <f>_xlfn.XLOOKUP(P67,'دیده بان بازار'!$A$3:$A$3542,'دیده بان بازار'!$J$3:$J$3542,"")</f>
        <v>2.98</v>
      </c>
      <c r="W67" s="361"/>
      <c r="X67" s="2057" t="s">
        <v>197</v>
      </c>
      <c r="Y67" s="2058">
        <f t="shared" si="81"/>
        <v>8.4162493059578292E-3</v>
      </c>
      <c r="Z67" s="394">
        <f t="shared" si="88"/>
        <v>21868.587</v>
      </c>
      <c r="AA67" s="1030">
        <f>IFERROR(_xlfn.XLOOKUP(P67,'Sales Rec'!$E$4:$E$100,'Sales Rec'!$DW$4:$DW$100,""),"")</f>
        <v>1.0685383087400682</v>
      </c>
      <c r="AB67" s="850"/>
      <c r="AC67" s="850"/>
      <c r="AD67" s="715"/>
      <c r="AE67" s="307"/>
      <c r="AF67" s="599">
        <f t="shared" ref="AF67:AF73" si="126">IFERROR(IF(AP67="B",(U67-(AQ67*1.0088))/AQ67,IF(AP67="S",(AQ67-(U67*1.0037))/AQ67,""))*100,"")</f>
        <v>12.623649635036513</v>
      </c>
      <c r="AG67" s="308"/>
      <c r="AH67" s="1935">
        <f ca="1">IF((AJ67-TODAY())&gt;0,AJ67-TODAY(),(365-(TODAY()-AJ67)))</f>
        <v>351</v>
      </c>
      <c r="AI67" s="385"/>
      <c r="AJ67" s="1612">
        <v>46225</v>
      </c>
      <c r="AK67" s="1691">
        <v>125</v>
      </c>
      <c r="AL67" s="1821">
        <v>46237</v>
      </c>
      <c r="AM67" s="1825">
        <f>_xlfn.XLOOKUP($P67,'Price Record'!$C$6:$C$106,'Price Record'!I$6:I$106,"")</f>
        <v>584</v>
      </c>
      <c r="AN67" s="1341"/>
      <c r="AO67" s="1207">
        <f>_xlfn.XLOOKUP($P67,'Price Record'!$C$6:$C$106,'Price Record'!J$6:J$106,"")</f>
        <v>4.79</v>
      </c>
      <c r="AP67" s="448" t="s">
        <v>197</v>
      </c>
      <c r="AQ67" s="571">
        <v>2466</v>
      </c>
      <c r="AR67" s="797">
        <v>2596</v>
      </c>
      <c r="AS67" s="798" t="s">
        <v>609</v>
      </c>
      <c r="AT67" s="329">
        <v>120000</v>
      </c>
      <c r="AU67" s="334">
        <f t="shared" ref="AU67:AU73" si="127">(AT67*$U67/10000)*0.9912</f>
        <v>33292.425600000002</v>
      </c>
      <c r="AV67" s="330">
        <f t="shared" ref="AV67:AV73" si="128">IFERROR(AU67/$AU$3,0)</f>
        <v>7.2354481910223765E-4</v>
      </c>
      <c r="AW67" s="310">
        <v>120000</v>
      </c>
      <c r="AX67" s="234">
        <f t="shared" si="114"/>
        <v>1500</v>
      </c>
      <c r="AY67" s="402"/>
      <c r="AZ67" s="1137">
        <v>0</v>
      </c>
      <c r="BA67" s="437"/>
      <c r="BB67" s="334"/>
      <c r="BC67" s="343"/>
      <c r="BD67" s="310"/>
      <c r="BE67" s="234">
        <f t="shared" si="94"/>
        <v>0</v>
      </c>
      <c r="BF67" s="402"/>
      <c r="BG67" s="1137">
        <v>0</v>
      </c>
      <c r="BH67" s="718"/>
      <c r="BI67" s="719"/>
      <c r="BJ67" s="726"/>
      <c r="BK67" s="310"/>
      <c r="BL67" s="234">
        <f t="shared" si="96"/>
        <v>0</v>
      </c>
      <c r="BM67" s="402"/>
      <c r="BN67" s="1137">
        <v>0</v>
      </c>
      <c r="BP67" s="720"/>
      <c r="BQ67" s="721"/>
      <c r="BR67" s="722"/>
      <c r="BS67" s="605"/>
      <c r="BT67" s="611"/>
      <c r="BU67" s="334"/>
      <c r="BV67" s="612"/>
      <c r="BW67" s="310"/>
      <c r="BX67" s="234">
        <f t="shared" si="100"/>
        <v>0</v>
      </c>
      <c r="BY67" s="402"/>
      <c r="BZ67" s="1137">
        <v>0</v>
      </c>
      <c r="CA67" s="633"/>
      <c r="CB67" s="334"/>
      <c r="CC67" s="630"/>
      <c r="CD67" s="272"/>
      <c r="CE67" s="234">
        <f t="shared" si="103"/>
        <v>0</v>
      </c>
      <c r="CF67" s="402"/>
      <c r="CG67" s="1137">
        <v>0</v>
      </c>
      <c r="CH67" s="1772"/>
      <c r="CI67" s="334"/>
      <c r="CJ67" s="1767"/>
      <c r="CK67" s="272"/>
      <c r="CL67" s="234">
        <f t="shared" si="106"/>
        <v>0</v>
      </c>
      <c r="CM67" s="402"/>
      <c r="CN67" s="1137">
        <v>0</v>
      </c>
      <c r="CO67" s="2080"/>
      <c r="CP67" s="334">
        <f t="shared" si="118"/>
        <v>0</v>
      </c>
      <c r="CQ67" s="2070">
        <f t="shared" si="119"/>
        <v>0</v>
      </c>
      <c r="CR67" s="272"/>
      <c r="CS67" s="234">
        <f t="shared" si="109"/>
        <v>0</v>
      </c>
      <c r="CT67" s="402"/>
      <c r="CU67" s="1137">
        <v>0</v>
      </c>
      <c r="CX67" s="718"/>
      <c r="CY67" s="719"/>
      <c r="CZ67" s="726"/>
      <c r="DA67" s="310"/>
      <c r="DB67" s="234">
        <f t="shared" si="110"/>
        <v>0</v>
      </c>
      <c r="DC67" s="402"/>
      <c r="DD67" s="1137">
        <v>0</v>
      </c>
    </row>
    <row r="68" spans="1:108" ht="38" customHeight="1">
      <c r="A68" s="100"/>
      <c r="B68" s="100"/>
      <c r="C68" s="1355"/>
      <c r="D68" s="1148"/>
      <c r="E68" s="568"/>
      <c r="F68" s="1148"/>
      <c r="G68" s="1148"/>
      <c r="H68" s="521"/>
      <c r="I68" s="521"/>
      <c r="J68" s="521"/>
      <c r="K68" s="1380"/>
      <c r="L68" s="521"/>
      <c r="M68" s="1510"/>
      <c r="N68" s="1510"/>
      <c r="O68" s="2197"/>
      <c r="P68" s="1930"/>
      <c r="Q68" s="2196"/>
      <c r="R68" s="264"/>
      <c r="S68" s="292"/>
      <c r="T68" s="292"/>
      <c r="U68" s="264"/>
      <c r="V68" s="361"/>
      <c r="W68" s="361"/>
      <c r="X68" s="2057"/>
      <c r="Y68" s="2058"/>
      <c r="Z68" s="394"/>
      <c r="AA68" s="1030"/>
      <c r="AB68" s="850"/>
      <c r="AC68" s="850"/>
      <c r="AD68" s="715"/>
      <c r="AE68" s="307"/>
      <c r="AF68" s="599"/>
      <c r="AG68" s="308"/>
      <c r="AH68" s="1935"/>
      <c r="AI68" s="385"/>
      <c r="AJ68" s="1818"/>
      <c r="AK68" s="1694"/>
      <c r="AL68" s="1821"/>
      <c r="AM68" s="1825"/>
      <c r="AN68" s="1341"/>
      <c r="AO68" s="1207"/>
      <c r="AP68" s="448"/>
      <c r="AQ68" s="571"/>
      <c r="AR68" s="572"/>
      <c r="AS68" s="836"/>
      <c r="AT68" s="329"/>
      <c r="AU68" s="334"/>
      <c r="AV68" s="330"/>
      <c r="AW68" s="310"/>
      <c r="AX68" s="234"/>
      <c r="AY68" s="402"/>
      <c r="AZ68" s="1137"/>
      <c r="BA68" s="437"/>
      <c r="BB68" s="334"/>
      <c r="BC68" s="343"/>
      <c r="BD68" s="310"/>
      <c r="BE68" s="234"/>
      <c r="BF68" s="402"/>
      <c r="BG68" s="1137"/>
      <c r="BH68" s="718"/>
      <c r="BI68" s="719"/>
      <c r="BJ68" s="726"/>
      <c r="BK68" s="310"/>
      <c r="BL68" s="234"/>
      <c r="BM68" s="402"/>
      <c r="BN68" s="1137"/>
      <c r="BP68" s="720"/>
      <c r="BQ68" s="721"/>
      <c r="BR68" s="722"/>
      <c r="BS68" s="605"/>
      <c r="BT68" s="611"/>
      <c r="BU68" s="334"/>
      <c r="BV68" s="612"/>
      <c r="BW68" s="310"/>
      <c r="BX68" s="234"/>
      <c r="BY68" s="402"/>
      <c r="BZ68" s="1137"/>
      <c r="CA68" s="633"/>
      <c r="CB68" s="334"/>
      <c r="CC68" s="630"/>
      <c r="CD68" s="272"/>
      <c r="CE68" s="234"/>
      <c r="CF68" s="402"/>
      <c r="CG68" s="1137"/>
      <c r="CH68" s="1772"/>
      <c r="CI68" s="334"/>
      <c r="CJ68" s="1767"/>
      <c r="CK68" s="272"/>
      <c r="CL68" s="234"/>
      <c r="CM68" s="402"/>
      <c r="CN68" s="1137"/>
      <c r="CO68" s="2080"/>
      <c r="CP68" s="334"/>
      <c r="CQ68" s="2070"/>
      <c r="CR68" s="272"/>
      <c r="CS68" s="234"/>
      <c r="CT68" s="402"/>
      <c r="CU68" s="1137"/>
      <c r="CX68" s="718"/>
      <c r="CY68" s="719"/>
      <c r="CZ68" s="726"/>
      <c r="DA68" s="310"/>
      <c r="DB68" s="234"/>
      <c r="DC68" s="402"/>
      <c r="DD68" s="1137"/>
    </row>
    <row r="69" spans="1:108" ht="38" customHeight="1">
      <c r="A69" s="100"/>
      <c r="B69" s="100"/>
      <c r="C69" s="1355">
        <v>1000</v>
      </c>
      <c r="D69" s="1148"/>
      <c r="E69" s="568"/>
      <c r="F69" s="1148"/>
      <c r="G69" s="1148"/>
      <c r="H69" s="521"/>
      <c r="I69" s="521"/>
      <c r="J69" s="521"/>
      <c r="K69" s="1380"/>
      <c r="L69" s="521"/>
      <c r="M69" s="1510"/>
      <c r="N69" s="1510"/>
      <c r="O69" s="2018" t="s">
        <v>207</v>
      </c>
      <c r="P69" s="382" t="s">
        <v>208</v>
      </c>
      <c r="Q69" s="1464">
        <v>6</v>
      </c>
      <c r="R69" s="264">
        <f>_xlfn.XLOOKUP($P69,'Price Record'!$C$6:$C$106,'Price Record'!H$6:H$106,"")</f>
        <v>16838</v>
      </c>
      <c r="S69" s="292">
        <f>_xlfn.XLOOKUP(P69,'دیده بان بازار'!$A$3:$A$3542,'دیده بان بازار'!$M$3:$M$3542,"")</f>
        <v>2.9</v>
      </c>
      <c r="T69" s="292">
        <f>_xlfn.XLOOKUP(P69,'دیده بان بازار'!$A$8:$A$3179,'دیده بان بازار'!$L$8:$L$3179,"")</f>
        <v>475</v>
      </c>
      <c r="U69" s="264">
        <f>_xlfn.XLOOKUP($P69,'Price Record'!$C$6:$C$106,'Price Record'!G$6:G$106,"")</f>
        <v>16845</v>
      </c>
      <c r="V69" s="361">
        <f>_xlfn.XLOOKUP(P69,'دیده بان بازار'!$A$3:$A$3542,'دیده بان بازار'!$J$3:$J$3542,"")</f>
        <v>2.95</v>
      </c>
      <c r="W69" s="361"/>
      <c r="X69" s="2057" t="s">
        <v>209</v>
      </c>
      <c r="Y69" s="2058">
        <f t="shared" ref="Y69:Y76" si="129">SUMIF($X$8:$X$80,X69,$AU$8:$AU$80)/$AU$3</f>
        <v>2.3636702178156787E-2</v>
      </c>
      <c r="Z69" s="394">
        <f t="shared" si="88"/>
        <v>16845</v>
      </c>
      <c r="AA69" s="1030" t="str">
        <f>IFERROR(_xlfn.XLOOKUP(P69,'Sales Rec'!$E$4:$E$100,'Sales Rec'!$DW$4:$DW$100,""),"")</f>
        <v/>
      </c>
      <c r="AB69" s="850"/>
      <c r="AC69" s="850"/>
      <c r="AD69" s="715"/>
      <c r="AE69" s="307"/>
      <c r="AF69" s="599">
        <f t="shared" si="126"/>
        <v>24.77269282410861</v>
      </c>
      <c r="AG69" s="308"/>
      <c r="AH69" s="1935"/>
      <c r="AI69" s="385"/>
      <c r="AJ69" s="1343"/>
      <c r="AK69" s="1694"/>
      <c r="AL69" s="1822"/>
      <c r="AM69" s="1825" t="str">
        <f>_xlfn.XLOOKUP($P69,'Price Record'!$C$6:$C$106,'Price Record'!I$6:I$106,"")</f>
        <v/>
      </c>
      <c r="AN69" s="1341"/>
      <c r="AO69" s="1207" t="str">
        <f>_xlfn.XLOOKUP($P69,'Price Record'!$C$6:$C$106,'Price Record'!J$6:J$106,"")</f>
        <v/>
      </c>
      <c r="AP69" s="448" t="s">
        <v>197</v>
      </c>
      <c r="AQ69" s="571">
        <v>13406</v>
      </c>
      <c r="AR69" s="797">
        <v>13437</v>
      </c>
      <c r="AS69" s="798">
        <f t="shared" ref="AS69:AS76" si="130">IF(AR69&lt;1,"",(U69-AR69)/AR69)</f>
        <v>0.25362804197365485</v>
      </c>
      <c r="AT69" s="329">
        <v>50000</v>
      </c>
      <c r="AU69" s="334">
        <f t="shared" si="127"/>
        <v>83483.819999999992</v>
      </c>
      <c r="AV69" s="330">
        <f t="shared" si="128"/>
        <v>1.8143551979542085E-3</v>
      </c>
      <c r="AW69" s="310"/>
      <c r="AX69" s="234">
        <f t="shared" si="114"/>
        <v>0</v>
      </c>
      <c r="AY69" s="402"/>
      <c r="AZ69" s="1137">
        <v>0</v>
      </c>
      <c r="BA69" s="437"/>
      <c r="BB69" s="334"/>
      <c r="BC69" s="343"/>
      <c r="BD69" s="310"/>
      <c r="BE69" s="234">
        <f t="shared" si="94"/>
        <v>0</v>
      </c>
      <c r="BF69" s="402"/>
      <c r="BG69" s="1137">
        <v>0</v>
      </c>
      <c r="BH69" s="718"/>
      <c r="BI69" s="719"/>
      <c r="BJ69" s="726"/>
      <c r="BK69" s="310"/>
      <c r="BL69" s="234">
        <f t="shared" si="96"/>
        <v>0</v>
      </c>
      <c r="BM69" s="402"/>
      <c r="BN69" s="1137">
        <v>0</v>
      </c>
      <c r="BP69" s="720"/>
      <c r="BQ69" s="721"/>
      <c r="BR69" s="722"/>
      <c r="BS69" s="605"/>
      <c r="BT69" s="611"/>
      <c r="BU69" s="334"/>
      <c r="BV69" s="612"/>
      <c r="BW69" s="310"/>
      <c r="BX69" s="234">
        <f t="shared" si="100"/>
        <v>0</v>
      </c>
      <c r="BY69" s="402"/>
      <c r="BZ69" s="1137">
        <v>0</v>
      </c>
      <c r="CA69" s="633"/>
      <c r="CB69" s="334"/>
      <c r="CC69" s="630"/>
      <c r="CD69" s="272"/>
      <c r="CE69" s="234">
        <f t="shared" si="103"/>
        <v>0</v>
      </c>
      <c r="CF69" s="402"/>
      <c r="CG69" s="1137">
        <v>0</v>
      </c>
      <c r="CH69" s="1772">
        <v>20000</v>
      </c>
      <c r="CI69" s="334"/>
      <c r="CJ69" s="1767"/>
      <c r="CK69" s="272"/>
      <c r="CL69" s="234">
        <f t="shared" si="106"/>
        <v>0</v>
      </c>
      <c r="CM69" s="402"/>
      <c r="CN69" s="1137">
        <v>0</v>
      </c>
      <c r="CO69" s="2080"/>
      <c r="CP69" s="334">
        <f t="shared" si="118"/>
        <v>0</v>
      </c>
      <c r="CQ69" s="2070">
        <f t="shared" si="119"/>
        <v>0</v>
      </c>
      <c r="CR69" s="272"/>
      <c r="CS69" s="234">
        <f t="shared" si="109"/>
        <v>0</v>
      </c>
      <c r="CT69" s="402"/>
      <c r="CU69" s="1137">
        <v>0</v>
      </c>
      <c r="CX69" s="718"/>
      <c r="CY69" s="719"/>
      <c r="CZ69" s="726"/>
      <c r="DA69" s="310"/>
      <c r="DB69" s="234">
        <f t="shared" si="110"/>
        <v>0</v>
      </c>
      <c r="DC69" s="402"/>
      <c r="DD69" s="1137">
        <v>0</v>
      </c>
    </row>
    <row r="70" spans="1:108" ht="38" customHeight="1">
      <c r="A70" s="100"/>
      <c r="B70" s="100"/>
      <c r="C70" s="1355">
        <v>488.5</v>
      </c>
      <c r="D70" s="1148"/>
      <c r="E70" s="568"/>
      <c r="F70" s="1148"/>
      <c r="G70" s="1148"/>
      <c r="H70" s="521"/>
      <c r="I70" s="521"/>
      <c r="J70" s="521"/>
      <c r="K70" s="1380"/>
      <c r="L70" s="521"/>
      <c r="M70" s="1510"/>
      <c r="N70" s="1510"/>
      <c r="O70" s="2018" t="s">
        <v>210</v>
      </c>
      <c r="P70" s="382" t="s">
        <v>211</v>
      </c>
      <c r="Q70" s="1325">
        <v>12</v>
      </c>
      <c r="R70" s="264">
        <f>_xlfn.XLOOKUP($P70,'Price Record'!$C$6:$C$106,'Price Record'!H$6:H$106,"")</f>
        <v>7120</v>
      </c>
      <c r="S70" s="292">
        <f>_xlfn.XLOOKUP(P70,'دیده بان بازار'!$A$3:$A$3542,'دیده بان بازار'!$M$3:$M$3542,"")</f>
        <v>2.89</v>
      </c>
      <c r="T70" s="292">
        <f>_xlfn.XLOOKUP(P70,'دیده بان بازار'!$A$8:$A$3179,'دیده بان بازار'!$L$8:$L$3179,"")</f>
        <v>200</v>
      </c>
      <c r="U70" s="264">
        <f>_xlfn.XLOOKUP($P70,'Price Record'!$C$6:$C$106,'Price Record'!G$6:G$106,"")</f>
        <v>7120</v>
      </c>
      <c r="V70" s="361">
        <f>_xlfn.XLOOKUP(P70,'دیده بان بازار'!$A$3:$A$3542,'دیده بان بازار'!$J$3:$J$3542,"")</f>
        <v>2.89</v>
      </c>
      <c r="W70" s="361"/>
      <c r="X70" s="2057" t="s">
        <v>209</v>
      </c>
      <c r="Y70" s="2058">
        <f t="shared" si="129"/>
        <v>2.3636702178156787E-2</v>
      </c>
      <c r="Z70" s="394">
        <f t="shared" si="88"/>
        <v>3478.12</v>
      </c>
      <c r="AA70" s="1030" t="str">
        <f>IFERROR(_xlfn.XLOOKUP(P70,'Sales Rec'!$E$4:$E$100,'Sales Rec'!$DW$4:$DW$100,""),"")</f>
        <v/>
      </c>
      <c r="AB70" s="850"/>
      <c r="AC70" s="850"/>
      <c r="AD70" s="715"/>
      <c r="AE70" s="307"/>
      <c r="AF70" s="599">
        <f t="shared" si="126"/>
        <v>-5.0135667160360757</v>
      </c>
      <c r="AG70" s="308"/>
      <c r="AH70" s="1935">
        <f ca="1">IF((AJ70-TODAY())&gt;0,AJ70-TODAY(),(365-(TODAY()-AJ70)))</f>
        <v>347</v>
      </c>
      <c r="AI70" s="385"/>
      <c r="AJ70" s="1612">
        <v>46221</v>
      </c>
      <c r="AK70" s="1691">
        <v>1300</v>
      </c>
      <c r="AL70" s="1821">
        <v>46312</v>
      </c>
      <c r="AM70" s="1825">
        <f>_xlfn.XLOOKUP($P70,'Price Record'!$C$6:$C$106,'Price Record'!I$6:I$106,"")</f>
        <v>797</v>
      </c>
      <c r="AN70" s="1341"/>
      <c r="AO70" s="1207">
        <f>_xlfn.XLOOKUP($P70,'Price Record'!$C$6:$C$106,'Price Record'!J$6:J$106,"")</f>
        <v>8.93</v>
      </c>
      <c r="AP70" s="448" t="s">
        <v>197</v>
      </c>
      <c r="AQ70" s="571">
        <v>7427</v>
      </c>
      <c r="AR70" s="572">
        <v>7635</v>
      </c>
      <c r="AS70" s="836">
        <f t="shared" si="130"/>
        <v>-6.7452521283562536E-2</v>
      </c>
      <c r="AT70" s="329">
        <v>30000</v>
      </c>
      <c r="AU70" s="334">
        <f t="shared" si="127"/>
        <v>21172.031999999999</v>
      </c>
      <c r="AV70" s="330">
        <f t="shared" si="128"/>
        <v>4.6013211075454906E-4</v>
      </c>
      <c r="AW70" s="310">
        <v>30000</v>
      </c>
      <c r="AX70" s="234">
        <f t="shared" si="114"/>
        <v>3900</v>
      </c>
      <c r="AY70" s="402"/>
      <c r="AZ70" s="1137">
        <v>0</v>
      </c>
      <c r="BA70" s="437"/>
      <c r="BB70" s="334"/>
      <c r="BC70" s="343"/>
      <c r="BD70" s="310"/>
      <c r="BE70" s="234">
        <f t="shared" si="94"/>
        <v>0</v>
      </c>
      <c r="BF70" s="402"/>
      <c r="BG70" s="1137">
        <v>0</v>
      </c>
      <c r="BH70" s="718"/>
      <c r="BI70" s="719"/>
      <c r="BJ70" s="726"/>
      <c r="BK70" s="310"/>
      <c r="BL70" s="234">
        <f t="shared" si="96"/>
        <v>0</v>
      </c>
      <c r="BM70" s="402"/>
      <c r="BN70" s="1137">
        <v>0</v>
      </c>
      <c r="BP70" s="720"/>
      <c r="BQ70" s="721"/>
      <c r="BR70" s="722"/>
      <c r="BS70" s="605"/>
      <c r="BT70" s="611"/>
      <c r="BU70" s="334"/>
      <c r="BV70" s="612"/>
      <c r="BW70" s="310"/>
      <c r="BX70" s="234">
        <f t="shared" si="100"/>
        <v>0</v>
      </c>
      <c r="BY70" s="402"/>
      <c r="BZ70" s="1137">
        <v>0</v>
      </c>
      <c r="CA70" s="633"/>
      <c r="CB70" s="334"/>
      <c r="CC70" s="630"/>
      <c r="CD70" s="272"/>
      <c r="CE70" s="234">
        <f t="shared" si="103"/>
        <v>0</v>
      </c>
      <c r="CF70" s="402"/>
      <c r="CG70" s="1137">
        <v>0</v>
      </c>
      <c r="CH70" s="1772"/>
      <c r="CI70" s="334"/>
      <c r="CJ70" s="1767"/>
      <c r="CK70" s="272"/>
      <c r="CL70" s="234">
        <f t="shared" si="106"/>
        <v>0</v>
      </c>
      <c r="CM70" s="402"/>
      <c r="CN70" s="1137">
        <v>0</v>
      </c>
      <c r="CO70" s="2080"/>
      <c r="CP70" s="334"/>
      <c r="CQ70" s="2070"/>
      <c r="CR70" s="272"/>
      <c r="CS70" s="234">
        <f t="shared" si="109"/>
        <v>0</v>
      </c>
      <c r="CT70" s="402"/>
      <c r="CU70" s="1137">
        <v>0</v>
      </c>
      <c r="CX70" s="718"/>
      <c r="CY70" s="719"/>
      <c r="CZ70" s="726"/>
      <c r="DA70" s="310"/>
      <c r="DB70" s="234">
        <f t="shared" si="110"/>
        <v>0</v>
      </c>
      <c r="DC70" s="402"/>
      <c r="DD70" s="1137"/>
    </row>
    <row r="71" spans="1:108" ht="38" customHeight="1">
      <c r="A71" s="100"/>
      <c r="B71" s="100"/>
      <c r="C71" s="1355">
        <v>143.9</v>
      </c>
      <c r="D71" s="1148"/>
      <c r="E71" s="568"/>
      <c r="F71" s="1148"/>
      <c r="G71" s="1148"/>
      <c r="H71" s="521"/>
      <c r="I71" s="521"/>
      <c r="J71" s="521"/>
      <c r="K71" s="1380"/>
      <c r="L71" s="521"/>
      <c r="M71" s="1510"/>
      <c r="N71" s="1510"/>
      <c r="O71" s="2018" t="s">
        <v>212</v>
      </c>
      <c r="P71" s="382" t="s">
        <v>213</v>
      </c>
      <c r="Q71" s="1325">
        <v>9</v>
      </c>
      <c r="R71" s="264">
        <f>_xlfn.XLOOKUP($P71,'Price Record'!$C$6:$C$106,'Price Record'!H$6:H$106,"")</f>
        <v>18840</v>
      </c>
      <c r="S71" s="292">
        <f>_xlfn.XLOOKUP(P71,'دیده بان بازار'!$A$3:$A$3542,'دیده بان بازار'!$M$3:$M$3542,"")</f>
        <v>2.67</v>
      </c>
      <c r="T71" s="292">
        <f>_xlfn.XLOOKUP(P71,'دیده بان بازار'!$A$8:$A$3179,'دیده بان بازار'!$L$8:$L$3179,"")</f>
        <v>490</v>
      </c>
      <c r="U71" s="264">
        <f>_xlfn.XLOOKUP($P71,'Price Record'!$C$6:$C$106,'Price Record'!G$6:G$106,"")</f>
        <v>18900</v>
      </c>
      <c r="V71" s="361">
        <f>_xlfn.XLOOKUP(P71,'دیده بان بازار'!$A$3:$A$3542,'دیده بان بازار'!$J$3:$J$3542,"")</f>
        <v>3</v>
      </c>
      <c r="W71" s="361"/>
      <c r="X71" s="2057" t="s">
        <v>209</v>
      </c>
      <c r="Y71" s="2058">
        <f t="shared" si="129"/>
        <v>2.3636702178156787E-2</v>
      </c>
      <c r="Z71" s="394">
        <f t="shared" si="88"/>
        <v>2719.71</v>
      </c>
      <c r="AA71" s="1030" t="str">
        <f>IFERROR(_xlfn.XLOOKUP(P71,'Sales Rec'!$E$4:$E$100,'Sales Rec'!$DW$4:$DW$100,""),"")</f>
        <v/>
      </c>
      <c r="AB71" s="850"/>
      <c r="AC71" s="850"/>
      <c r="AD71" s="715"/>
      <c r="AE71" s="307"/>
      <c r="AF71" s="599">
        <f t="shared" si="126"/>
        <v>1.8541414361037158</v>
      </c>
      <c r="AG71" s="308"/>
      <c r="AH71" s="1935">
        <f ca="1">IF((AJ71-TODAY())&gt;0,AJ71-TODAY(),(365-(TODAY()-AJ71)))</f>
        <v>257</v>
      </c>
      <c r="AI71" s="385"/>
      <c r="AJ71" s="1612">
        <v>46131</v>
      </c>
      <c r="AK71" s="1828">
        <v>1000</v>
      </c>
      <c r="AL71" s="1821">
        <v>46252</v>
      </c>
      <c r="AM71" s="1825">
        <f>_xlfn.XLOOKUP($P71,'Price Record'!$C$6:$C$106,'Price Record'!I$6:I$106,"")</f>
        <v>2921</v>
      </c>
      <c r="AN71" s="1341"/>
      <c r="AO71" s="1207">
        <f>_xlfn.XLOOKUP($P71,'Price Record'!$C$6:$C$106,'Price Record'!J$6:J$106,"")</f>
        <v>6.45</v>
      </c>
      <c r="AP71" s="448" t="s">
        <v>197</v>
      </c>
      <c r="AQ71" s="571">
        <v>18397</v>
      </c>
      <c r="AR71" s="797">
        <v>18560</v>
      </c>
      <c r="AS71" s="798">
        <f t="shared" si="130"/>
        <v>1.8318965517241378E-2</v>
      </c>
      <c r="AT71" s="329">
        <v>10000</v>
      </c>
      <c r="AU71" s="334">
        <f t="shared" si="127"/>
        <v>18733.68</v>
      </c>
      <c r="AV71" s="330">
        <f t="shared" si="128"/>
        <v>4.071393676620308E-4</v>
      </c>
      <c r="AW71" s="310"/>
      <c r="AX71" s="234">
        <f t="shared" si="114"/>
        <v>0</v>
      </c>
      <c r="AY71" s="402"/>
      <c r="AZ71" s="1137">
        <v>0</v>
      </c>
      <c r="BA71" s="437"/>
      <c r="BB71" s="334"/>
      <c r="BC71" s="343"/>
      <c r="BD71" s="310"/>
      <c r="BE71" s="234">
        <f t="shared" si="94"/>
        <v>0</v>
      </c>
      <c r="BF71" s="402"/>
      <c r="BG71" s="1137">
        <v>0</v>
      </c>
      <c r="BH71" s="718"/>
      <c r="BI71" s="719"/>
      <c r="BJ71" s="726"/>
      <c r="BK71" s="310"/>
      <c r="BL71" s="234">
        <f t="shared" si="96"/>
        <v>0</v>
      </c>
      <c r="BM71" s="402"/>
      <c r="BN71" s="1137">
        <v>0</v>
      </c>
      <c r="BP71" s="720"/>
      <c r="BQ71" s="721"/>
      <c r="BR71" s="722"/>
      <c r="BS71" s="605"/>
      <c r="BT71" s="611"/>
      <c r="BU71" s="334"/>
      <c r="BV71" s="612"/>
      <c r="BW71" s="310"/>
      <c r="BX71" s="234">
        <f t="shared" si="100"/>
        <v>0</v>
      </c>
      <c r="BY71" s="402"/>
      <c r="BZ71" s="1137">
        <v>0</v>
      </c>
      <c r="CA71" s="633"/>
      <c r="CB71" s="334"/>
      <c r="CC71" s="630"/>
      <c r="CD71" s="272"/>
      <c r="CE71" s="234">
        <f t="shared" si="103"/>
        <v>0</v>
      </c>
      <c r="CF71" s="402"/>
      <c r="CG71" s="1137">
        <v>0</v>
      </c>
      <c r="CH71" s="1772"/>
      <c r="CI71" s="334"/>
      <c r="CJ71" s="1767"/>
      <c r="CK71" s="272"/>
      <c r="CL71" s="234">
        <f t="shared" si="106"/>
        <v>0</v>
      </c>
      <c r="CM71" s="402"/>
      <c r="CN71" s="1137">
        <v>0</v>
      </c>
      <c r="CO71" s="2080"/>
      <c r="CP71" s="334"/>
      <c r="CQ71" s="2070"/>
      <c r="CR71" s="272"/>
      <c r="CS71" s="234">
        <f t="shared" si="109"/>
        <v>0</v>
      </c>
      <c r="CT71" s="402"/>
      <c r="CU71" s="1137">
        <v>0</v>
      </c>
      <c r="CX71" s="718"/>
      <c r="CY71" s="719"/>
      <c r="CZ71" s="726"/>
      <c r="DA71" s="310"/>
      <c r="DB71" s="234">
        <f t="shared" si="110"/>
        <v>0</v>
      </c>
      <c r="DC71" s="402"/>
      <c r="DD71" s="1137"/>
    </row>
    <row r="72" spans="1:108" ht="38" customHeight="1">
      <c r="A72" s="100"/>
      <c r="B72" s="100"/>
      <c r="C72" s="1355">
        <v>30</v>
      </c>
      <c r="D72" s="1148"/>
      <c r="E72" s="568"/>
      <c r="F72" s="1148"/>
      <c r="G72" s="1148"/>
      <c r="H72" s="521"/>
      <c r="I72" s="521"/>
      <c r="J72" s="521"/>
      <c r="K72" s="1380"/>
      <c r="L72" s="521"/>
      <c r="M72" s="1510"/>
      <c r="N72" s="1510"/>
      <c r="O72" s="2018" t="s">
        <v>214</v>
      </c>
      <c r="P72" s="382" t="s">
        <v>215</v>
      </c>
      <c r="Q72" s="1325">
        <v>12</v>
      </c>
      <c r="R72" s="264">
        <f>_xlfn.XLOOKUP($P72,'Price Record'!$C$6:$C$106,'Price Record'!H$6:H$106,"")</f>
        <v>77390</v>
      </c>
      <c r="S72" s="292">
        <f>_xlfn.XLOOKUP(P72,'دیده بان بازار'!$A$3:$A$3542,'دیده بان بازار'!$M$3:$M$3542,"")</f>
        <v>2.99</v>
      </c>
      <c r="T72" s="292">
        <f>_xlfn.XLOOKUP(P72,'دیده بان بازار'!$A$8:$A$3179,'دیده بان بازار'!$L$8:$L$3179,"")</f>
        <v>2250</v>
      </c>
      <c r="U72" s="264">
        <f>_xlfn.XLOOKUP($P72,'Price Record'!$C$6:$C$106,'Price Record'!G$6:G$106,"")</f>
        <v>77390</v>
      </c>
      <c r="V72" s="361">
        <f>_xlfn.XLOOKUP(P72,'دیده بان بازار'!$A$3:$A$3542,'دیده بان بازار'!$J$3:$J$3542,"")</f>
        <v>2.99</v>
      </c>
      <c r="W72" s="361"/>
      <c r="X72" s="2057" t="s">
        <v>209</v>
      </c>
      <c r="Y72" s="2058">
        <f t="shared" si="129"/>
        <v>2.3636702178156787E-2</v>
      </c>
      <c r="Z72" s="394">
        <f t="shared" ref="Z72:Z73" si="131">(U72*C72)/1000</f>
        <v>2321.6999999999998</v>
      </c>
      <c r="AA72" s="1030" t="str">
        <f>IFERROR(_xlfn.XLOOKUP(P72,'Sales Rec'!$E$4:$E$100,'Sales Rec'!$DW$4:$DW$100,""),"")</f>
        <v/>
      </c>
      <c r="AB72" s="850"/>
      <c r="AC72" s="850"/>
      <c r="AD72" s="715"/>
      <c r="AE72" s="307"/>
      <c r="AF72" s="599">
        <f t="shared" si="126"/>
        <v>5.6312374241319043</v>
      </c>
      <c r="AG72" s="308"/>
      <c r="AH72" s="1935">
        <f ca="1">IF((AJ72-TODAY())&gt;0,AJ72-TODAY(),(365-(TODAY()-AJ72)))</f>
        <v>331</v>
      </c>
      <c r="AI72" s="385"/>
      <c r="AJ72" s="1612">
        <v>46205</v>
      </c>
      <c r="AK72" s="1694">
        <v>8600</v>
      </c>
      <c r="AL72" s="1821">
        <v>46281</v>
      </c>
      <c r="AM72" s="1825">
        <f>_xlfn.XLOOKUP($P72,'Price Record'!$C$6:$C$106,'Price Record'!I$6:I$106,"")</f>
        <v>12169</v>
      </c>
      <c r="AN72" s="1341"/>
      <c r="AO72" s="1207">
        <f>_xlfn.XLOOKUP($P72,'Price Record'!$C$6:$C$106,'Price Record'!J$6:J$106,"")</f>
        <v>6.36</v>
      </c>
      <c r="AP72" s="448" t="s">
        <v>197</v>
      </c>
      <c r="AQ72" s="571">
        <v>72659</v>
      </c>
      <c r="AR72" s="797">
        <v>73304</v>
      </c>
      <c r="AS72" s="798">
        <f t="shared" si="130"/>
        <v>5.5740478009385572E-2</v>
      </c>
      <c r="AT72" s="329">
        <v>5000</v>
      </c>
      <c r="AU72" s="334">
        <f t="shared" si="127"/>
        <v>38354.483999999997</v>
      </c>
      <c r="AV72" s="330">
        <f t="shared" si="128"/>
        <v>8.3355861543292487E-4</v>
      </c>
      <c r="AW72" s="310"/>
      <c r="AX72" s="234">
        <f t="shared" si="114"/>
        <v>0</v>
      </c>
      <c r="AY72" s="402"/>
      <c r="AZ72" s="1137">
        <v>0</v>
      </c>
      <c r="BA72" s="437"/>
      <c r="BB72" s="334"/>
      <c r="BC72" s="343"/>
      <c r="BD72" s="310"/>
      <c r="BE72" s="234">
        <f t="shared" si="94"/>
        <v>0</v>
      </c>
      <c r="BF72" s="402"/>
      <c r="BG72" s="1137">
        <v>0</v>
      </c>
      <c r="BH72" s="718"/>
      <c r="BI72" s="719"/>
      <c r="BJ72" s="726"/>
      <c r="BK72" s="310"/>
      <c r="BL72" s="234">
        <f t="shared" si="96"/>
        <v>0</v>
      </c>
      <c r="BM72" s="402"/>
      <c r="BN72" s="1137">
        <v>0</v>
      </c>
      <c r="BP72" s="720"/>
      <c r="BQ72" s="721"/>
      <c r="BR72" s="722"/>
      <c r="BS72" s="605"/>
      <c r="BT72" s="611"/>
      <c r="BU72" s="334"/>
      <c r="BV72" s="612"/>
      <c r="BW72" s="310"/>
      <c r="BX72" s="234">
        <f t="shared" si="100"/>
        <v>0</v>
      </c>
      <c r="BY72" s="402"/>
      <c r="BZ72" s="1137">
        <v>0</v>
      </c>
      <c r="CA72" s="633"/>
      <c r="CB72" s="334"/>
      <c r="CC72" s="630"/>
      <c r="CD72" s="272"/>
      <c r="CE72" s="234">
        <f t="shared" si="103"/>
        <v>0</v>
      </c>
      <c r="CF72" s="402"/>
      <c r="CG72" s="1137">
        <v>0</v>
      </c>
      <c r="CH72" s="1772">
        <v>5000</v>
      </c>
      <c r="CI72" s="334"/>
      <c r="CJ72" s="1767"/>
      <c r="CK72" s="272"/>
      <c r="CL72" s="234">
        <f t="shared" si="106"/>
        <v>0</v>
      </c>
      <c r="CM72" s="402"/>
      <c r="CN72" s="1137">
        <v>0</v>
      </c>
      <c r="CO72" s="2080"/>
      <c r="CP72" s="334"/>
      <c r="CQ72" s="2070"/>
      <c r="CR72" s="272"/>
      <c r="CS72" s="234">
        <f t="shared" si="109"/>
        <v>0</v>
      </c>
      <c r="CT72" s="402"/>
      <c r="CU72" s="1137">
        <v>0</v>
      </c>
      <c r="CX72" s="718"/>
      <c r="CY72" s="719"/>
      <c r="CZ72" s="726"/>
      <c r="DA72" s="310"/>
      <c r="DB72" s="234">
        <f t="shared" si="110"/>
        <v>0</v>
      </c>
      <c r="DC72" s="402"/>
      <c r="DD72" s="1137"/>
    </row>
    <row r="73" spans="1:108" ht="38" customHeight="1">
      <c r="A73" s="100"/>
      <c r="B73" s="100"/>
      <c r="C73" s="1355">
        <v>786.8</v>
      </c>
      <c r="D73" s="1148"/>
      <c r="E73" s="568"/>
      <c r="F73" s="1148"/>
      <c r="G73" s="1148"/>
      <c r="H73" s="521"/>
      <c r="I73" s="521"/>
      <c r="J73" s="521"/>
      <c r="K73" s="1380"/>
      <c r="L73" s="521"/>
      <c r="M73" s="1510"/>
      <c r="N73" s="1510"/>
      <c r="O73" s="2018" t="s">
        <v>216</v>
      </c>
      <c r="P73" s="382" t="s">
        <v>217</v>
      </c>
      <c r="Q73" s="1325">
        <v>9</v>
      </c>
      <c r="R73" s="264">
        <f>_xlfn.XLOOKUP($P73,'Price Record'!$C$6:$C$106,'Price Record'!H$6:H$106,"")</f>
        <v>15000</v>
      </c>
      <c r="S73" s="292">
        <f>_xlfn.XLOOKUP(P73,'دیده بان بازار'!$A$3:$A$3542,'دیده بان بازار'!$M$3:$M$3542,"")</f>
        <v>1.28</v>
      </c>
      <c r="T73" s="292">
        <f>_xlfn.XLOOKUP(P73,'دیده بان بازار'!$A$8:$A$3179,'دیده بان بازار'!$L$8:$L$3179,"")</f>
        <v>190</v>
      </c>
      <c r="U73" s="264">
        <f>_xlfn.XLOOKUP($P73,'Price Record'!$C$6:$C$106,'Price Record'!G$6:G$106,"")</f>
        <v>14950</v>
      </c>
      <c r="V73" s="361">
        <f>_xlfn.XLOOKUP(P73,'دیده بان بازار'!$A$3:$A$3542,'دیده بان بازار'!$J$3:$J$3542,"")</f>
        <v>0.95</v>
      </c>
      <c r="W73" s="361"/>
      <c r="X73" s="2057" t="s">
        <v>209</v>
      </c>
      <c r="Y73" s="2058">
        <f t="shared" si="129"/>
        <v>2.3636702178156787E-2</v>
      </c>
      <c r="Z73" s="394">
        <f t="shared" si="131"/>
        <v>11762.66</v>
      </c>
      <c r="AA73" s="1030" t="str">
        <f>IFERROR(_xlfn.XLOOKUP(P73,'Sales Rec'!$E$4:$E$100,'Sales Rec'!$DW$4:$DW$100,""),"")</f>
        <v/>
      </c>
      <c r="AB73" s="850"/>
      <c r="AC73" s="850"/>
      <c r="AD73" s="715"/>
      <c r="AE73" s="307"/>
      <c r="AF73" s="599">
        <f t="shared" si="126"/>
        <v>15.953385432947803</v>
      </c>
      <c r="AG73" s="308"/>
      <c r="AH73" s="1935">
        <f ca="1">IF((AJ73-TODAY())&gt;0,AJ73-TODAY(),(365-(TODAY()-AJ73)))</f>
        <v>268</v>
      </c>
      <c r="AI73" s="385"/>
      <c r="AJ73" s="1612">
        <v>46142</v>
      </c>
      <c r="AK73" s="1828">
        <v>271</v>
      </c>
      <c r="AL73" s="1829">
        <v>46183</v>
      </c>
      <c r="AM73" s="1825">
        <f>_xlfn.XLOOKUP($P73,'Price Record'!$C$6:$C$106,'Price Record'!I$6:I$106,"")</f>
        <v>2531</v>
      </c>
      <c r="AN73" s="1341"/>
      <c r="AO73" s="1207">
        <f>_xlfn.XLOOKUP($P73,'Price Record'!$C$6:$C$106,'Price Record'!J$6:J$106,"")</f>
        <v>5.93</v>
      </c>
      <c r="AP73" s="448" t="s">
        <v>197</v>
      </c>
      <c r="AQ73" s="571">
        <v>12796</v>
      </c>
      <c r="AR73" s="797">
        <v>12910</v>
      </c>
      <c r="AS73" s="798">
        <f>IF(AR73&lt;1,"",(U73-AR73)/AR73)</f>
        <v>0.15801704105344694</v>
      </c>
      <c r="AT73" s="329">
        <v>10000</v>
      </c>
      <c r="AU73" s="334">
        <f t="shared" si="127"/>
        <v>14818.439999999999</v>
      </c>
      <c r="AV73" s="330">
        <f t="shared" si="128"/>
        <v>3.2204939399721482E-4</v>
      </c>
      <c r="AW73" s="310"/>
      <c r="AX73" s="234">
        <f t="shared" si="114"/>
        <v>0</v>
      </c>
      <c r="AY73" s="402"/>
      <c r="AZ73" s="1137">
        <v>0</v>
      </c>
      <c r="BA73" s="437"/>
      <c r="BB73" s="334"/>
      <c r="BC73" s="343"/>
      <c r="BD73" s="310"/>
      <c r="BE73" s="234">
        <f t="shared" si="94"/>
        <v>0</v>
      </c>
      <c r="BF73" s="402"/>
      <c r="BG73" s="1137">
        <v>0</v>
      </c>
      <c r="BH73" s="718"/>
      <c r="BI73" s="719"/>
      <c r="BJ73" s="726"/>
      <c r="BK73" s="310"/>
      <c r="BL73" s="234">
        <f t="shared" si="96"/>
        <v>0</v>
      </c>
      <c r="BM73" s="402"/>
      <c r="BN73" s="1137">
        <v>0</v>
      </c>
      <c r="BP73" s="720"/>
      <c r="BQ73" s="721"/>
      <c r="BR73" s="722"/>
      <c r="BS73" s="605"/>
      <c r="BT73" s="611"/>
      <c r="BU73" s="334"/>
      <c r="BV73" s="612"/>
      <c r="BW73" s="310"/>
      <c r="BX73" s="234">
        <f t="shared" si="100"/>
        <v>0</v>
      </c>
      <c r="BY73" s="402"/>
      <c r="BZ73" s="1137">
        <v>0</v>
      </c>
      <c r="CA73" s="633"/>
      <c r="CB73" s="334"/>
      <c r="CC73" s="630"/>
      <c r="CD73" s="272"/>
      <c r="CE73" s="234">
        <f t="shared" si="103"/>
        <v>0</v>
      </c>
      <c r="CF73" s="402"/>
      <c r="CG73" s="1137">
        <v>0</v>
      </c>
      <c r="CH73" s="1772"/>
      <c r="CI73" s="334"/>
      <c r="CJ73" s="1767"/>
      <c r="CK73" s="272"/>
      <c r="CL73" s="234">
        <f t="shared" si="106"/>
        <v>0</v>
      </c>
      <c r="CM73" s="402"/>
      <c r="CN73" s="1137">
        <v>0</v>
      </c>
      <c r="CO73" s="2080"/>
      <c r="CP73" s="334"/>
      <c r="CQ73" s="2070"/>
      <c r="CR73" s="272"/>
      <c r="CS73" s="234">
        <f t="shared" si="109"/>
        <v>0</v>
      </c>
      <c r="CT73" s="402"/>
      <c r="CU73" s="1137">
        <v>0</v>
      </c>
      <c r="CX73" s="718"/>
      <c r="CY73" s="719"/>
      <c r="CZ73" s="726"/>
      <c r="DA73" s="310"/>
      <c r="DB73" s="234">
        <f t="shared" si="110"/>
        <v>0</v>
      </c>
      <c r="DC73" s="402"/>
      <c r="DD73" s="1137"/>
    </row>
    <row r="74" spans="1:108" ht="38" customHeight="1">
      <c r="A74" s="100"/>
      <c r="B74" s="100"/>
      <c r="C74" s="1355">
        <v>286.5</v>
      </c>
      <c r="D74" s="1148"/>
      <c r="E74" s="568"/>
      <c r="F74" s="1148"/>
      <c r="G74" s="1148"/>
      <c r="H74" s="521"/>
      <c r="I74" s="521"/>
      <c r="J74" s="521"/>
      <c r="K74" s="1380"/>
      <c r="L74" s="521"/>
      <c r="M74" s="1510" t="str">
        <f>_xlfn.XLOOKUP(P74,'Sales Rec'!$E$4:$E$93,'Sales Rec'!$DS$4:$DS$93,"")</f>
        <v/>
      </c>
      <c r="N74" s="1510"/>
      <c r="O74" s="382" t="s">
        <v>218</v>
      </c>
      <c r="P74" s="382" t="s">
        <v>219</v>
      </c>
      <c r="Q74" s="1325">
        <v>12</v>
      </c>
      <c r="R74" s="264">
        <f>_xlfn.XLOOKUP($P74,'Price Record'!$C$6:$C$106,'Price Record'!H$6:H$106,"")</f>
        <v>5960</v>
      </c>
      <c r="S74" s="292">
        <f>_xlfn.XLOOKUP(P74,'دیده بان بازار'!$A$3:$A$3542,'دیده بان بازار'!$M$3:$M$3542,"")</f>
        <v>2.94</v>
      </c>
      <c r="T74" s="292">
        <f>_xlfn.XLOOKUP(P74,'دیده بان بازار'!$A$8:$A$3179,'دیده بان بازار'!$L$8:$L$3179,"")</f>
        <v>170</v>
      </c>
      <c r="U74" s="264">
        <f>_xlfn.XLOOKUP($P74,'Price Record'!$C$6:$C$106,'Price Record'!G$6:G$106,"")</f>
        <v>5960</v>
      </c>
      <c r="V74" s="361">
        <f>_xlfn.XLOOKUP(P74,'دیده بان بازار'!$A$3:$A$3542,'دیده بان بازار'!$J$3:$J$3542,"")</f>
        <v>2.94</v>
      </c>
      <c r="W74" s="361">
        <f>_xlfn.XLOOKUP(P74,'دیده بان بازار'!$A$8:$A$3179,'دیده بان بازار'!$I$8:$I$3179,"")</f>
        <v>170</v>
      </c>
      <c r="X74" s="2057" t="s">
        <v>29</v>
      </c>
      <c r="Y74" s="2058">
        <f t="shared" si="129"/>
        <v>0</v>
      </c>
      <c r="Z74" s="394">
        <f t="shared" si="88"/>
        <v>1707.54</v>
      </c>
      <c r="AA74" s="1030" t="str">
        <f>IFERROR(_xlfn.XLOOKUP(P74,'Sales Rec'!$E$4:$E$100,'Sales Rec'!$DW$4:$DW$100,""),"")</f>
        <v>NEW</v>
      </c>
      <c r="AB74" s="850"/>
      <c r="AC74" s="850"/>
      <c r="AD74" s="715"/>
      <c r="AE74" s="307"/>
      <c r="AF74" s="599">
        <f t="shared" si="112"/>
        <v>-196.28786527984155</v>
      </c>
      <c r="AG74" s="308"/>
      <c r="AH74" s="1935">
        <f t="shared" ca="1" si="113"/>
        <v>-14</v>
      </c>
      <c r="AI74" s="385"/>
      <c r="AJ74" s="1612">
        <v>45860</v>
      </c>
      <c r="AK74" s="2211"/>
      <c r="AL74" s="1822">
        <v>45983</v>
      </c>
      <c r="AM74" s="1825">
        <f>_xlfn.XLOOKUP($P74,'Price Record'!$C$6:$C$106,'Price Record'!I$6:I$106,"")</f>
        <v>-54</v>
      </c>
      <c r="AN74" s="1341" t="str">
        <f>_xlfn.XLOOKUP($P74,MOPFRA!$R$7:$R$78,MOPFRA!$BY$7:$BY$78,"")</f>
        <v/>
      </c>
      <c r="AO74" s="1207">
        <f>_xlfn.XLOOKUP($P74,'Price Record'!$C$6:$C$106,'Price Record'!J$6:J$106,"")</f>
        <v>-110.37</v>
      </c>
      <c r="AP74" s="447" t="s">
        <v>603</v>
      </c>
      <c r="AQ74" s="572">
        <v>2019</v>
      </c>
      <c r="AR74" s="572"/>
      <c r="AS74" s="836"/>
      <c r="AT74" s="329"/>
      <c r="AU74" s="334">
        <f t="shared" si="89"/>
        <v>0</v>
      </c>
      <c r="AV74" s="330">
        <f t="shared" si="90"/>
        <v>0</v>
      </c>
      <c r="AW74" s="310"/>
      <c r="AX74" s="234">
        <f t="shared" si="114"/>
        <v>0</v>
      </c>
      <c r="AY74" s="402"/>
      <c r="AZ74" s="1137">
        <v>0</v>
      </c>
      <c r="BA74" s="437"/>
      <c r="BB74" s="334">
        <f t="shared" si="92"/>
        <v>0</v>
      </c>
      <c r="BC74" s="343">
        <f t="shared" si="115"/>
        <v>0</v>
      </c>
      <c r="BD74" s="310"/>
      <c r="BE74" s="234">
        <f t="shared" si="94"/>
        <v>0</v>
      </c>
      <c r="BF74" s="402"/>
      <c r="BG74" s="1137">
        <v>0</v>
      </c>
      <c r="BH74" s="718"/>
      <c r="BI74" s="719">
        <f t="shared" si="116"/>
        <v>0</v>
      </c>
      <c r="BJ74" s="726">
        <f t="shared" si="74"/>
        <v>0</v>
      </c>
      <c r="BK74" s="310"/>
      <c r="BL74" s="234">
        <f t="shared" ref="BL74:BL76" si="132">$AK74*BK74/10000</f>
        <v>0</v>
      </c>
      <c r="BM74" s="402"/>
      <c r="BN74" s="1137">
        <v>0</v>
      </c>
      <c r="BP74" s="720">
        <f t="shared" si="75"/>
        <v>0</v>
      </c>
      <c r="BQ74" s="721">
        <f t="shared" si="76"/>
        <v>0</v>
      </c>
      <c r="BR74" s="722">
        <f t="shared" si="97"/>
        <v>0</v>
      </c>
      <c r="BS74" s="605"/>
      <c r="BT74" s="611"/>
      <c r="BU74" s="334">
        <f t="shared" si="117"/>
        <v>0</v>
      </c>
      <c r="BV74" s="612">
        <f t="shared" si="82"/>
        <v>0</v>
      </c>
      <c r="BW74" s="310"/>
      <c r="BX74" s="234">
        <f t="shared" si="100"/>
        <v>0</v>
      </c>
      <c r="BY74" s="402"/>
      <c r="BZ74" s="1137">
        <v>0</v>
      </c>
      <c r="CA74" s="633"/>
      <c r="CB74" s="334">
        <f t="shared" ref="CB74:CB76" si="133">(CA74*$U74/10000)*0.9912</f>
        <v>0</v>
      </c>
      <c r="CC74" s="630">
        <f t="shared" ref="CC74:CC76" si="134">IFERROR(CB74/$CB$3,0)</f>
        <v>0</v>
      </c>
      <c r="CD74" s="272"/>
      <c r="CE74" s="234">
        <f t="shared" si="103"/>
        <v>0</v>
      </c>
      <c r="CF74" s="402"/>
      <c r="CG74" s="1137">
        <v>0</v>
      </c>
      <c r="CH74" s="1772"/>
      <c r="CI74" s="334">
        <f t="shared" ref="CI74:CI76" si="135">(CH74*$U74/10000)*0.9912</f>
        <v>0</v>
      </c>
      <c r="CJ74" s="1767">
        <f t="shared" si="77"/>
        <v>0</v>
      </c>
      <c r="CK74" s="272"/>
      <c r="CL74" s="234">
        <f t="shared" si="106"/>
        <v>0</v>
      </c>
      <c r="CM74" s="402"/>
      <c r="CN74" s="1137">
        <v>0</v>
      </c>
      <c r="CO74" s="2080"/>
      <c r="CP74" s="334">
        <f t="shared" si="118"/>
        <v>0</v>
      </c>
      <c r="CQ74" s="2070">
        <f t="shared" si="119"/>
        <v>0</v>
      </c>
      <c r="CR74" s="272"/>
      <c r="CS74" s="234">
        <f t="shared" si="109"/>
        <v>0</v>
      </c>
      <c r="CT74" s="402"/>
      <c r="CU74" s="1137">
        <v>0</v>
      </c>
      <c r="CX74" s="718"/>
      <c r="CY74" s="719">
        <f t="shared" ref="CY74:CY78" si="136">(CX74*$U74/10000)*0.9912</f>
        <v>0</v>
      </c>
      <c r="CZ74" s="726">
        <f t="shared" ref="CZ74:CZ78" si="137">IFERROR(CY74/$BI$3,0)</f>
        <v>0</v>
      </c>
      <c r="DA74" s="310"/>
      <c r="DB74" s="234">
        <f t="shared" si="110"/>
        <v>0</v>
      </c>
      <c r="DC74" s="402"/>
      <c r="DD74" s="1137">
        <v>0</v>
      </c>
    </row>
    <row r="75" spans="1:108" ht="38" customHeight="1">
      <c r="A75" s="100"/>
      <c r="B75" s="100"/>
      <c r="C75" s="1355">
        <v>1000</v>
      </c>
      <c r="D75" s="1148"/>
      <c r="E75" s="568"/>
      <c r="F75" s="1148"/>
      <c r="G75" s="1148"/>
      <c r="H75" s="521"/>
      <c r="I75" s="521"/>
      <c r="J75" s="521"/>
      <c r="K75" s="1380"/>
      <c r="L75" s="521"/>
      <c r="M75" s="1510"/>
      <c r="N75" s="1510"/>
      <c r="O75" s="382" t="s">
        <v>220</v>
      </c>
      <c r="P75" s="382" t="s">
        <v>221</v>
      </c>
      <c r="Q75" s="1325">
        <v>9</v>
      </c>
      <c r="R75" s="264">
        <f>_xlfn.XLOOKUP($P75,'Price Record'!$C$6:$C$106,'Price Record'!H$6:H$106,"")</f>
        <v>9500</v>
      </c>
      <c r="S75" s="292">
        <f>_xlfn.XLOOKUP(P75,'دیده بان بازار'!$A$3:$A$3542,'دیده بان بازار'!$M$3:$M$3542,"")</f>
        <v>2.93</v>
      </c>
      <c r="T75" s="292">
        <f>_xlfn.XLOOKUP(P75,'دیده بان بازار'!$A$8:$A$3179,'دیده بان بازار'!$L$8:$L$3179,"")</f>
        <v>270</v>
      </c>
      <c r="U75" s="264">
        <f>_xlfn.XLOOKUP($P75,'Price Record'!$C$6:$C$106,'Price Record'!G$6:G$106,"")</f>
        <v>9500</v>
      </c>
      <c r="V75" s="361">
        <f>_xlfn.XLOOKUP(P75,'دیده بان بازار'!$A$3:$A$3542,'دیده بان بازار'!$J$3:$J$3542,"")</f>
        <v>2.93</v>
      </c>
      <c r="W75" s="361">
        <f>_xlfn.XLOOKUP(P75,'دیده بان بازار'!$A$8:$A$3179,'دیده بان بازار'!$I$8:$I$3179,"")</f>
        <v>270</v>
      </c>
      <c r="X75" s="2057" t="s">
        <v>168</v>
      </c>
      <c r="Y75" s="2058">
        <f t="shared" si="129"/>
        <v>4.7738921908439313E-2</v>
      </c>
      <c r="Z75" s="394">
        <f t="shared" si="88"/>
        <v>9500</v>
      </c>
      <c r="AA75" s="1030" t="str">
        <f>IFERROR(_xlfn.XLOOKUP(P75,'Sales Rec'!$E$4:$E$100,'Sales Rec'!$DW$4:$DW$100,""),"")</f>
        <v>NEW</v>
      </c>
      <c r="AB75" s="850"/>
      <c r="AC75" s="850"/>
      <c r="AD75" s="715"/>
      <c r="AE75" s="307"/>
      <c r="AF75" s="599">
        <f t="shared" ref="AF75" si="138">IFERROR(IF(AP75="B",(U75-(AQ75*1.0088))/AQ75,IF(AP75="S",(AQ75-(U75*1.0037))/AQ75,""))*100,"")</f>
        <v>-43.170420420420413</v>
      </c>
      <c r="AG75" s="308"/>
      <c r="AH75" s="1935">
        <f t="shared" ca="1" si="113"/>
        <v>281</v>
      </c>
      <c r="AI75" s="385"/>
      <c r="AJ75" s="1612">
        <v>46155</v>
      </c>
      <c r="AK75" s="1691">
        <v>160</v>
      </c>
      <c r="AL75" s="1821">
        <v>46276</v>
      </c>
      <c r="AM75" s="1825">
        <f>_xlfn.XLOOKUP($P75,'Price Record'!$C$6:$C$106,'Price Record'!I$6:I$106,"")</f>
        <v>1442</v>
      </c>
      <c r="AN75" s="1341" t="str">
        <f>_xlfn.XLOOKUP($P75,MOPFRA!$R$7:$R$78,MOPFRA!$BY$7:$BY$78,"")</f>
        <v/>
      </c>
      <c r="AO75" s="1207">
        <f>_xlfn.XLOOKUP($P75,'Price Record'!$C$6:$C$106,'Price Record'!J$6:J$106,"")</f>
        <v>6.59</v>
      </c>
      <c r="AP75" s="447" t="s">
        <v>603</v>
      </c>
      <c r="AQ75" s="572">
        <v>6660</v>
      </c>
      <c r="AR75" s="797"/>
      <c r="AS75" s="798" t="str">
        <f t="shared" si="130"/>
        <v/>
      </c>
      <c r="AT75" s="329"/>
      <c r="AU75" s="334">
        <f t="shared" si="89"/>
        <v>0</v>
      </c>
      <c r="AV75" s="330">
        <f t="shared" si="90"/>
        <v>0</v>
      </c>
      <c r="AW75" s="310">
        <v>150000</v>
      </c>
      <c r="AX75" s="234">
        <f t="shared" si="114"/>
        <v>2400</v>
      </c>
      <c r="AY75" s="402"/>
      <c r="AZ75" s="1137">
        <v>0</v>
      </c>
      <c r="BA75" s="437"/>
      <c r="BB75" s="334">
        <f t="shared" ref="BB75" si="139">(BA75*$U75/10000)*0.9912</f>
        <v>0</v>
      </c>
      <c r="BC75" s="343">
        <f t="shared" ref="BC75" si="140">IFERROR(BB75/$BB$3,0)</f>
        <v>0</v>
      </c>
      <c r="BD75" s="310"/>
      <c r="BE75" s="234">
        <f t="shared" si="94"/>
        <v>0</v>
      </c>
      <c r="BF75" s="402"/>
      <c r="BG75" s="1137">
        <v>0</v>
      </c>
      <c r="BH75" s="718"/>
      <c r="BI75" s="719">
        <f t="shared" si="116"/>
        <v>0</v>
      </c>
      <c r="BJ75" s="726">
        <f t="shared" ref="BJ75" si="141">IFERROR(BI75/$BI$3,0)</f>
        <v>0</v>
      </c>
      <c r="BK75" s="310"/>
      <c r="BL75" s="234">
        <f t="shared" ref="BL75" si="142">$AK75*BK75/10000</f>
        <v>0</v>
      </c>
      <c r="BM75" s="402"/>
      <c r="BN75" s="1137">
        <v>0</v>
      </c>
      <c r="BP75" s="720">
        <f t="shared" si="75"/>
        <v>0</v>
      </c>
      <c r="BQ75" s="721">
        <f t="shared" si="76"/>
        <v>0</v>
      </c>
      <c r="BR75" s="722">
        <f t="shared" si="97"/>
        <v>0</v>
      </c>
      <c r="BS75" s="605"/>
      <c r="BT75" s="611"/>
      <c r="BU75" s="334">
        <f t="shared" ref="BU75" si="143">(BT75*$U75/10000)*0.9912</f>
        <v>0</v>
      </c>
      <c r="BV75" s="612">
        <f t="shared" ref="BV75" si="144">IFERROR(BU75/$BU$3,0)</f>
        <v>0</v>
      </c>
      <c r="BW75" s="310"/>
      <c r="BX75" s="234">
        <f t="shared" si="100"/>
        <v>0</v>
      </c>
      <c r="BY75" s="402"/>
      <c r="BZ75" s="1137">
        <v>0</v>
      </c>
      <c r="CA75" s="633"/>
      <c r="CB75" s="334">
        <f t="shared" ref="CB75" si="145">(CA75*$U75/10000)*0.9912</f>
        <v>0</v>
      </c>
      <c r="CC75" s="630">
        <f t="shared" ref="CC75" si="146">IFERROR(CB75/$CB$3,0)</f>
        <v>0</v>
      </c>
      <c r="CD75" s="272"/>
      <c r="CE75" s="234">
        <f t="shared" ref="CE75" si="147">$AK75*CD75/10000</f>
        <v>0</v>
      </c>
      <c r="CF75" s="402"/>
      <c r="CG75" s="1137">
        <v>0</v>
      </c>
      <c r="CH75" s="1772"/>
      <c r="CI75" s="334">
        <f t="shared" si="135"/>
        <v>0</v>
      </c>
      <c r="CJ75" s="1767">
        <f t="shared" si="77"/>
        <v>0</v>
      </c>
      <c r="CK75" s="272"/>
      <c r="CL75" s="234">
        <f t="shared" ref="CL75:CL76" si="148">$AK75*CK75/10000</f>
        <v>0</v>
      </c>
      <c r="CM75" s="402"/>
      <c r="CN75" s="1137">
        <v>0</v>
      </c>
      <c r="CO75" s="2080"/>
      <c r="CP75" s="334">
        <f t="shared" si="118"/>
        <v>0</v>
      </c>
      <c r="CQ75" s="2070">
        <f t="shared" si="119"/>
        <v>0</v>
      </c>
      <c r="CR75" s="272"/>
      <c r="CS75" s="234">
        <f t="shared" si="109"/>
        <v>0</v>
      </c>
      <c r="CT75" s="402"/>
      <c r="CU75" s="1137">
        <v>0</v>
      </c>
      <c r="CX75" s="718">
        <v>5000</v>
      </c>
      <c r="CY75" s="719">
        <f t="shared" si="136"/>
        <v>4708.2</v>
      </c>
      <c r="CZ75" s="726">
        <f t="shared" si="137"/>
        <v>3.04738836885869E-3</v>
      </c>
      <c r="DA75" s="310"/>
      <c r="DB75" s="234">
        <f t="shared" si="110"/>
        <v>0</v>
      </c>
      <c r="DC75" s="402"/>
      <c r="DD75" s="1137">
        <v>0</v>
      </c>
    </row>
    <row r="76" spans="1:108" ht="38" customHeight="1">
      <c r="A76" s="100"/>
      <c r="B76" s="100"/>
      <c r="C76" s="1355">
        <v>256374.6</v>
      </c>
      <c r="D76" s="1148"/>
      <c r="E76" s="568"/>
      <c r="F76" s="1148"/>
      <c r="G76" s="1148"/>
      <c r="H76" s="521"/>
      <c r="I76" s="521"/>
      <c r="J76" s="521"/>
      <c r="K76" s="1380"/>
      <c r="L76" s="521"/>
      <c r="M76" s="1510" t="str">
        <f>_xlfn.XLOOKUP(P76,'Sales Rec'!$E$4:$E$93,'Sales Rec'!$DS$4:$DS$93,"")</f>
        <v/>
      </c>
      <c r="N76" s="1510"/>
      <c r="O76" s="382" t="s">
        <v>222</v>
      </c>
      <c r="P76" s="382" t="s">
        <v>223</v>
      </c>
      <c r="Q76" s="1325">
        <v>12</v>
      </c>
      <c r="R76" s="264">
        <f>_xlfn.XLOOKUP($P76,'Price Record'!$C$6:$C$106,'Price Record'!H$6:H$106,"")</f>
        <v>582</v>
      </c>
      <c r="S76" s="292">
        <f>_xlfn.XLOOKUP(P76,'دیده بان بازار'!$A$3:$A$3542,'دیده بان بازار'!$M$3:$M$3542,"")</f>
        <v>2.83</v>
      </c>
      <c r="T76" s="292">
        <f>_xlfn.XLOOKUP(P76,'دیده بان بازار'!$A$8:$A$3179,'دیده بان بازار'!$L$8:$L$3179,"")</f>
        <v>16</v>
      </c>
      <c r="U76" s="264">
        <f>_xlfn.XLOOKUP($P76,'Price Record'!$C$6:$C$106,'Price Record'!G$6:G$106,"")</f>
        <v>582</v>
      </c>
      <c r="V76" s="361">
        <f>_xlfn.XLOOKUP(P76,'دیده بان بازار'!$A$3:$A$3542,'دیده بان بازار'!$J$3:$J$3542,"")</f>
        <v>2.83</v>
      </c>
      <c r="W76" s="361">
        <f>_xlfn.XLOOKUP(P76,'دیده بان بازار'!$A$8:$A$3179,'دیده بان بازار'!$I$8:$I$3179,"")</f>
        <v>16</v>
      </c>
      <c r="X76" s="2057" t="s">
        <v>224</v>
      </c>
      <c r="Y76" s="2058">
        <f t="shared" si="129"/>
        <v>1.8805961268198565E-3</v>
      </c>
      <c r="Z76" s="394">
        <f t="shared" si="88"/>
        <v>149210.01720000003</v>
      </c>
      <c r="AA76" s="1030" t="str">
        <f>IFERROR(_xlfn.XLOOKUP(P76,'Sales Rec'!$E$4:$E$100,'Sales Rec'!$DW$4:$DW$100,""),"")</f>
        <v>NEW</v>
      </c>
      <c r="AB76" s="850"/>
      <c r="AC76" s="850"/>
      <c r="AD76" s="715"/>
      <c r="AE76" s="307"/>
      <c r="AF76" s="599">
        <f t="shared" si="112"/>
        <v>22.164397463002128</v>
      </c>
      <c r="AG76" s="308"/>
      <c r="AH76" s="1935">
        <f t="shared" ca="1" si="113"/>
        <v>351</v>
      </c>
      <c r="AI76" s="385"/>
      <c r="AJ76" s="1612">
        <v>46225</v>
      </c>
      <c r="AK76" s="2211"/>
      <c r="AL76" s="1821">
        <v>46347</v>
      </c>
      <c r="AM76" s="1825">
        <f>_xlfn.XLOOKUP($P76,'Price Record'!$C$6:$C$106,'Price Record'!I$6:I$106,"")</f>
        <v>-49</v>
      </c>
      <c r="AN76" s="1341"/>
      <c r="AO76" s="1207">
        <f>_xlfn.XLOOKUP($P76,'Price Record'!$C$6:$C$106,'Price Record'!J$6:J$106,"")</f>
        <v>-11.88</v>
      </c>
      <c r="AP76" s="448" t="s">
        <v>197</v>
      </c>
      <c r="AQ76" s="571">
        <v>473</v>
      </c>
      <c r="AR76" s="797">
        <v>515</v>
      </c>
      <c r="AS76" s="798">
        <f t="shared" si="130"/>
        <v>0.13009708737864079</v>
      </c>
      <c r="AT76" s="329">
        <v>1500000</v>
      </c>
      <c r="AU76" s="334">
        <f t="shared" si="89"/>
        <v>86531.76</v>
      </c>
      <c r="AV76" s="330">
        <f t="shared" si="90"/>
        <v>1.8805961268198565E-3</v>
      </c>
      <c r="AW76" s="310"/>
      <c r="AX76" s="234">
        <f t="shared" ref="AX76" si="149">$AK76*AW76/10000</f>
        <v>0</v>
      </c>
      <c r="AY76" s="402"/>
      <c r="AZ76" s="1137">
        <v>0</v>
      </c>
      <c r="BA76" s="437">
        <v>200000</v>
      </c>
      <c r="BB76" s="334">
        <f t="shared" si="92"/>
        <v>11537.567999999999</v>
      </c>
      <c r="BC76" s="343">
        <f t="shared" ref="BC76" si="150">IFERROR(BB76/$BB$3,0)</f>
        <v>5.1656452399558548E-4</v>
      </c>
      <c r="BD76" s="310"/>
      <c r="BE76" s="234">
        <f t="shared" ref="BE76" si="151">$AK76*BD76/10000</f>
        <v>0</v>
      </c>
      <c r="BF76" s="402"/>
      <c r="BG76" s="1137">
        <v>0</v>
      </c>
      <c r="BH76" s="718"/>
      <c r="BI76" s="719">
        <f t="shared" si="116"/>
        <v>0</v>
      </c>
      <c r="BJ76" s="726">
        <f t="shared" si="74"/>
        <v>0</v>
      </c>
      <c r="BK76" s="310"/>
      <c r="BL76" s="234">
        <f t="shared" si="132"/>
        <v>0</v>
      </c>
      <c r="BM76" s="402"/>
      <c r="BN76" s="1137">
        <v>0</v>
      </c>
      <c r="BP76" s="720">
        <f t="shared" si="75"/>
        <v>98069.327999999994</v>
      </c>
      <c r="BQ76" s="721">
        <f t="shared" si="76"/>
        <v>1700000</v>
      </c>
      <c r="BR76" s="722">
        <f t="shared" si="97"/>
        <v>4.1181314213311988E-3</v>
      </c>
      <c r="BS76" s="605"/>
      <c r="BT76" s="611"/>
      <c r="BU76" s="334">
        <f t="shared" ref="BU76" si="152">(BT76*$U76/10000)*0.9912</f>
        <v>0</v>
      </c>
      <c r="BV76" s="612">
        <f t="shared" ref="BV76" si="153">IFERROR(BU76/$BU$3,0)</f>
        <v>0</v>
      </c>
      <c r="BW76" s="310"/>
      <c r="BX76" s="234">
        <f t="shared" si="100"/>
        <v>0</v>
      </c>
      <c r="BY76" s="402"/>
      <c r="BZ76" s="1137">
        <v>0</v>
      </c>
      <c r="CA76" s="633"/>
      <c r="CB76" s="334">
        <f t="shared" si="133"/>
        <v>0</v>
      </c>
      <c r="CC76" s="630">
        <f t="shared" si="134"/>
        <v>0</v>
      </c>
      <c r="CD76" s="272"/>
      <c r="CE76" s="234">
        <f t="shared" ref="CE76" si="154">$AK76*CD76/10000</f>
        <v>0</v>
      </c>
      <c r="CF76" s="402"/>
      <c r="CG76" s="1137">
        <v>0</v>
      </c>
      <c r="CH76" s="1772"/>
      <c r="CI76" s="334">
        <f t="shared" si="135"/>
        <v>0</v>
      </c>
      <c r="CJ76" s="1767">
        <f t="shared" si="77"/>
        <v>0</v>
      </c>
      <c r="CK76" s="272"/>
      <c r="CL76" s="234">
        <f t="shared" si="148"/>
        <v>0</v>
      </c>
      <c r="CM76" s="402"/>
      <c r="CN76" s="1137">
        <v>0</v>
      </c>
      <c r="CO76" s="2080"/>
      <c r="CP76" s="334">
        <f t="shared" si="118"/>
        <v>0</v>
      </c>
      <c r="CQ76" s="2070">
        <f t="shared" si="119"/>
        <v>0</v>
      </c>
      <c r="CR76" s="272"/>
      <c r="CS76" s="234">
        <f t="shared" ref="CS76:CS78" si="155">$AK76*CR76/10000</f>
        <v>0</v>
      </c>
      <c r="CT76" s="402"/>
      <c r="CU76" s="1137">
        <v>0</v>
      </c>
      <c r="CX76" s="718"/>
      <c r="CY76" s="719">
        <f t="shared" si="136"/>
        <v>0</v>
      </c>
      <c r="CZ76" s="726">
        <f t="shared" si="137"/>
        <v>0</v>
      </c>
      <c r="DA76" s="310"/>
      <c r="DB76" s="234">
        <f t="shared" ref="DB76" si="156">$AK76*DA76/10000</f>
        <v>0</v>
      </c>
      <c r="DC76" s="402"/>
      <c r="DD76" s="1137">
        <v>0</v>
      </c>
    </row>
    <row r="77" spans="1:108" ht="38" customHeight="1">
      <c r="A77" s="100"/>
      <c r="B77" s="100"/>
      <c r="C77" s="1355"/>
      <c r="D77" s="1148"/>
      <c r="E77" s="568"/>
      <c r="F77" s="1148"/>
      <c r="G77" s="1148"/>
      <c r="H77" s="521"/>
      <c r="I77" s="521"/>
      <c r="J77" s="521"/>
      <c r="K77" s="1380"/>
      <c r="L77" s="521"/>
      <c r="M77" s="1510"/>
      <c r="N77" s="1510"/>
      <c r="O77" s="382" t="s">
        <v>6205</v>
      </c>
      <c r="P77" s="382" t="s">
        <v>6204</v>
      </c>
      <c r="Q77" s="2198"/>
      <c r="R77" s="264">
        <f>_xlfn.XLOOKUP($P77,'Price Record'!$C$6:$C$106,'Price Record'!H$6:H$106,"")</f>
        <v>29116</v>
      </c>
      <c r="S77" s="292">
        <f>_xlfn.XLOOKUP(P77,'دیده بان بازار'!$A$3:$A$3542,'دیده بان بازار'!$M$3:$M$3542,"")</f>
        <v>0.1</v>
      </c>
      <c r="T77" s="292">
        <f>_xlfn.XLOOKUP(P77,'دیده بان بازار'!$A$8:$A$3179,'دیده بان بازار'!$L$8:$L$3179,"")</f>
        <v>28</v>
      </c>
      <c r="U77" s="264">
        <f>_xlfn.XLOOKUP($P77,'Price Record'!$C$6:$C$106,'Price Record'!G$6:G$106,"")</f>
        <v>29128</v>
      </c>
      <c r="V77" s="361">
        <f>_xlfn.XLOOKUP(P77,'دیده بان بازار'!$A$3:$A$3542,'دیده بان بازار'!$J$3:$J$3542,"")</f>
        <v>0.14000000000000001</v>
      </c>
      <c r="W77" s="361"/>
      <c r="X77" s="2057"/>
      <c r="Y77" s="2058"/>
      <c r="Z77" s="394"/>
      <c r="AA77" s="1030"/>
      <c r="AB77" s="850"/>
      <c r="AC77" s="850"/>
      <c r="AD77" s="715"/>
      <c r="AE77" s="307"/>
      <c r="AF77" s="599"/>
      <c r="AG77" s="308"/>
      <c r="AH77" s="1935"/>
      <c r="AI77" s="1935"/>
      <c r="AJ77" s="1935"/>
      <c r="AK77" s="1935"/>
      <c r="AL77" s="1935"/>
      <c r="AM77" s="1935"/>
      <c r="AN77" s="1341"/>
      <c r="AO77" s="1207"/>
      <c r="AP77" s="448"/>
      <c r="AQ77" s="571"/>
      <c r="AR77" s="572"/>
      <c r="AS77" s="836"/>
      <c r="AT77" s="329"/>
      <c r="AU77" s="334"/>
      <c r="AV77" s="330"/>
      <c r="AW77" s="310"/>
      <c r="AX77" s="234"/>
      <c r="AY77" s="402"/>
      <c r="AZ77" s="1137"/>
      <c r="BA77" s="437"/>
      <c r="BB77" s="334"/>
      <c r="BC77" s="343"/>
      <c r="BD77" s="310"/>
      <c r="BE77" s="234"/>
      <c r="BF77" s="402"/>
      <c r="BG77" s="1137"/>
      <c r="BH77" s="718"/>
      <c r="BI77" s="719"/>
      <c r="BJ77" s="726"/>
      <c r="BK77" s="310"/>
      <c r="BL77" s="234"/>
      <c r="BM77" s="402"/>
      <c r="BN77" s="1137"/>
      <c r="BP77" s="720"/>
      <c r="BQ77" s="721"/>
      <c r="BR77" s="722"/>
      <c r="BS77" s="605"/>
      <c r="BT77" s="611"/>
      <c r="BU77" s="334"/>
      <c r="BV77" s="612"/>
      <c r="BW77" s="310"/>
      <c r="BX77" s="234"/>
      <c r="BY77" s="402"/>
      <c r="BZ77" s="1137"/>
      <c r="CA77" s="633"/>
      <c r="CB77" s="334"/>
      <c r="CC77" s="630"/>
      <c r="CD77" s="310"/>
      <c r="CE77" s="234"/>
      <c r="CF77" s="402"/>
      <c r="CG77" s="1137"/>
      <c r="CH77" s="1772"/>
      <c r="CI77" s="334"/>
      <c r="CJ77" s="1767"/>
      <c r="CK77" s="310"/>
      <c r="CL77" s="234"/>
      <c r="CM77" s="402"/>
      <c r="CN77" s="1137"/>
      <c r="CO77" s="2080">
        <v>10000000</v>
      </c>
      <c r="CP77" s="334">
        <f t="shared" ref="CP77" si="157">(CO77*$U77/10000)*0.9912</f>
        <v>28871673.599999998</v>
      </c>
      <c r="CQ77" s="2070">
        <f t="shared" ref="CQ77" si="158">IFERROR(CP77/CP$3,0)</f>
        <v>0.38043547114088455</v>
      </c>
      <c r="CR77" s="310"/>
      <c r="CS77" s="234"/>
      <c r="CT77" s="402"/>
      <c r="CU77" s="1137"/>
      <c r="CX77" s="718"/>
      <c r="CY77" s="719"/>
      <c r="CZ77" s="726"/>
      <c r="DA77" s="310"/>
      <c r="DB77" s="234"/>
      <c r="DC77" s="402"/>
      <c r="DD77" s="1137"/>
    </row>
    <row r="78" spans="1:108" ht="48" customHeight="1" thickBot="1">
      <c r="A78" s="99"/>
      <c r="B78" s="99"/>
      <c r="C78" s="306"/>
      <c r="D78" s="306"/>
      <c r="E78" s="569"/>
      <c r="F78" s="306"/>
      <c r="G78" s="306"/>
      <c r="H78" s="306"/>
      <c r="I78" s="306"/>
      <c r="J78" s="306"/>
      <c r="K78" s="1377"/>
      <c r="L78" s="306"/>
      <c r="M78" s="306"/>
      <c r="N78" s="306"/>
      <c r="O78" s="124" t="s">
        <v>727</v>
      </c>
      <c r="P78" s="60"/>
      <c r="Q78" s="223"/>
      <c r="R78" s="264"/>
      <c r="S78" s="292"/>
      <c r="T78" s="292"/>
      <c r="U78" s="304"/>
      <c r="V78" s="362"/>
      <c r="W78" s="361"/>
      <c r="X78" s="223"/>
      <c r="Y78" s="688"/>
      <c r="Z78" s="60"/>
      <c r="AA78" s="1030"/>
      <c r="AB78" s="850"/>
      <c r="AC78" s="850"/>
      <c r="AD78" s="715"/>
      <c r="AE78" s="307"/>
      <c r="AF78" s="307"/>
      <c r="AG78" s="2221"/>
      <c r="AH78" s="1936"/>
      <c r="AI78" s="385"/>
      <c r="AJ78" s="1342"/>
      <c r="AK78" s="1342"/>
      <c r="AL78" s="1342"/>
      <c r="AM78" s="1342"/>
      <c r="AN78" s="1135"/>
      <c r="AO78" s="1135"/>
      <c r="AP78" s="799"/>
      <c r="AQ78" s="573"/>
      <c r="AR78" s="797"/>
      <c r="AS78" s="798"/>
      <c r="AT78" s="329"/>
      <c r="AU78" s="334"/>
      <c r="AV78" s="330"/>
      <c r="AW78" s="310"/>
      <c r="AX78" s="234"/>
      <c r="AY78" s="402">
        <v>12349</v>
      </c>
      <c r="AZ78" s="1137">
        <v>0</v>
      </c>
      <c r="BA78" s="437"/>
      <c r="BB78" s="719"/>
      <c r="BC78" s="343"/>
      <c r="BD78" s="310"/>
      <c r="BE78" s="234"/>
      <c r="BF78" s="402">
        <v>32</v>
      </c>
      <c r="BG78" s="1137">
        <v>0</v>
      </c>
      <c r="BH78" s="648">
        <v>400000</v>
      </c>
      <c r="BI78" s="719">
        <v>105860</v>
      </c>
      <c r="BJ78" s="726">
        <f t="shared" si="74"/>
        <v>6.8518018080663726E-2</v>
      </c>
      <c r="BK78" s="310"/>
      <c r="BL78" s="234"/>
      <c r="BM78" s="402">
        <v>32</v>
      </c>
      <c r="BN78" s="1137">
        <v>0</v>
      </c>
      <c r="BP78" s="720">
        <f t="shared" si="75"/>
        <v>0</v>
      </c>
      <c r="BQ78" s="721">
        <f t="shared" si="76"/>
        <v>400000</v>
      </c>
      <c r="BR78" s="722">
        <f t="shared" si="97"/>
        <v>0</v>
      </c>
      <c r="BS78" s="605"/>
      <c r="BT78" s="611"/>
      <c r="BU78" s="334"/>
      <c r="BV78" s="612">
        <f>IFERROR(BU78/$BU$3,0)</f>
        <v>0</v>
      </c>
      <c r="BW78" s="310">
        <v>0</v>
      </c>
      <c r="BX78" s="234"/>
      <c r="BY78" s="402">
        <v>25</v>
      </c>
      <c r="BZ78" s="1137">
        <v>0</v>
      </c>
      <c r="CA78" s="633"/>
      <c r="CB78" s="334"/>
      <c r="CC78" s="630">
        <f>IFERROR(CB78/$CB$3,0)</f>
        <v>0</v>
      </c>
      <c r="CD78" s="310"/>
      <c r="CE78" s="234"/>
      <c r="CF78" s="402">
        <v>159</v>
      </c>
      <c r="CG78" s="1137">
        <v>0</v>
      </c>
      <c r="CH78" s="1772"/>
      <c r="CI78" s="334"/>
      <c r="CJ78" s="1767">
        <f t="shared" si="77"/>
        <v>0</v>
      </c>
      <c r="CK78" s="310"/>
      <c r="CL78" s="234"/>
      <c r="CM78" s="402">
        <v>22</v>
      </c>
      <c r="CN78" s="1137">
        <v>0</v>
      </c>
      <c r="CO78" s="2080"/>
      <c r="CP78" s="334">
        <f t="shared" si="118"/>
        <v>0</v>
      </c>
      <c r="CQ78" s="2070">
        <f t="shared" si="119"/>
        <v>0</v>
      </c>
      <c r="CR78" s="310"/>
      <c r="CS78" s="234">
        <f t="shared" si="155"/>
        <v>0</v>
      </c>
      <c r="CT78" s="402"/>
      <c r="CU78" s="1137">
        <v>0</v>
      </c>
      <c r="CX78" s="648">
        <v>423</v>
      </c>
      <c r="CY78" s="719">
        <f t="shared" si="136"/>
        <v>0</v>
      </c>
      <c r="CZ78" s="726">
        <f t="shared" si="137"/>
        <v>0</v>
      </c>
      <c r="DA78" s="310"/>
      <c r="DB78" s="234"/>
      <c r="DC78" s="402">
        <v>32</v>
      </c>
      <c r="DD78" s="1137">
        <v>0</v>
      </c>
    </row>
    <row r="79" spans="1:108" ht="48" customHeight="1" thickBot="1">
      <c r="A79" s="99"/>
      <c r="B79" s="99"/>
      <c r="C79" s="306"/>
      <c r="D79" s="306"/>
      <c r="E79" s="569"/>
      <c r="F79" s="306"/>
      <c r="G79" s="306"/>
      <c r="H79" s="306"/>
      <c r="I79" s="306"/>
      <c r="J79" s="306"/>
      <c r="K79" s="1377"/>
      <c r="L79" s="306"/>
      <c r="M79" s="306"/>
      <c r="N79" s="306"/>
      <c r="O79" s="382"/>
      <c r="P79" s="382"/>
      <c r="Q79" s="223"/>
      <c r="R79" s="264"/>
      <c r="S79" s="292"/>
      <c r="T79" s="292"/>
      <c r="U79" s="304"/>
      <c r="V79" s="362"/>
      <c r="W79" s="361"/>
      <c r="X79" s="1322"/>
      <c r="Y79" s="688"/>
      <c r="Z79" s="805"/>
      <c r="AA79" s="1030"/>
      <c r="AB79" s="850"/>
      <c r="AC79" s="850"/>
      <c r="AD79" s="715"/>
      <c r="AE79" s="307"/>
      <c r="AF79" s="307"/>
      <c r="AG79" s="2221"/>
      <c r="AH79" s="1936"/>
      <c r="AI79" s="385"/>
      <c r="AJ79" s="1135"/>
      <c r="AK79" s="1135"/>
      <c r="AL79" s="1135"/>
      <c r="AM79" s="1135"/>
      <c r="AN79" s="1135"/>
      <c r="AO79" s="1135"/>
      <c r="AP79" s="806"/>
      <c r="AQ79" s="807"/>
      <c r="AR79" s="808"/>
      <c r="AS79" s="809"/>
      <c r="AT79" s="329"/>
      <c r="AU79" s="334"/>
      <c r="AV79" s="330"/>
      <c r="AW79" s="310"/>
      <c r="AX79" s="234"/>
      <c r="AY79" s="402"/>
      <c r="AZ79" s="1137"/>
      <c r="BA79" s="437"/>
      <c r="BB79" s="334"/>
      <c r="BC79" s="343"/>
      <c r="BD79" s="310"/>
      <c r="BE79" s="234"/>
      <c r="BF79" s="402"/>
      <c r="BG79" s="1137"/>
      <c r="BH79" s="718"/>
      <c r="BI79" s="719"/>
      <c r="BJ79" s="726"/>
      <c r="BK79" s="272"/>
      <c r="BL79" s="234"/>
      <c r="BM79" s="402"/>
      <c r="BN79" s="1137"/>
      <c r="BP79" s="720"/>
      <c r="BQ79" s="721"/>
      <c r="BR79" s="722"/>
      <c r="BS79" s="605"/>
      <c r="BT79" s="611"/>
      <c r="BU79" s="334"/>
      <c r="BV79" s="612"/>
      <c r="BW79" s="310"/>
      <c r="BX79" s="234"/>
      <c r="BY79" s="402"/>
      <c r="BZ79" s="1137"/>
      <c r="CA79" s="633"/>
      <c r="CB79" s="334"/>
      <c r="CC79" s="630"/>
      <c r="CD79" s="310"/>
      <c r="CE79" s="234"/>
      <c r="CF79" s="402"/>
      <c r="CG79" s="1137"/>
      <c r="CH79" s="1772"/>
      <c r="CI79" s="334"/>
      <c r="CJ79" s="1767"/>
      <c r="CK79" s="310"/>
      <c r="CL79" s="234"/>
      <c r="CM79" s="402"/>
      <c r="CN79" s="1137"/>
      <c r="CO79" s="2080"/>
      <c r="CP79" s="334"/>
      <c r="CQ79" s="2070"/>
      <c r="CR79" s="310"/>
      <c r="CS79" s="234"/>
      <c r="CT79" s="402"/>
      <c r="CU79" s="1137">
        <v>0</v>
      </c>
      <c r="CX79" s="718"/>
      <c r="CY79" s="719"/>
      <c r="CZ79" s="726"/>
      <c r="DA79" s="272"/>
      <c r="DB79" s="234"/>
      <c r="DC79" s="402"/>
      <c r="DD79" s="1137"/>
    </row>
    <row r="80" spans="1:108" ht="38" customHeight="1" thickBot="1">
      <c r="A80" s="100"/>
      <c r="B80" s="100"/>
      <c r="C80" s="521"/>
      <c r="D80" s="521"/>
      <c r="E80" s="568"/>
      <c r="F80" s="521"/>
      <c r="G80" s="521"/>
      <c r="H80" s="521"/>
      <c r="I80" s="521"/>
      <c r="J80" s="521"/>
      <c r="K80" s="1380"/>
      <c r="L80" s="521"/>
      <c r="M80" s="521"/>
      <c r="N80" s="521"/>
      <c r="O80" s="382"/>
      <c r="P80" s="382"/>
      <c r="Q80" s="470"/>
      <c r="R80" s="764"/>
      <c r="S80" s="292"/>
      <c r="T80" s="292"/>
      <c r="U80" s="765"/>
      <c r="V80" s="361"/>
      <c r="W80" s="361"/>
      <c r="X80" s="264"/>
      <c r="Y80" s="688"/>
      <c r="Z80" s="394"/>
      <c r="AA80" s="1030"/>
      <c r="AB80" s="850"/>
      <c r="AC80" s="850"/>
      <c r="AD80" s="715"/>
      <c r="AE80" s="307"/>
      <c r="AF80" s="599"/>
      <c r="AG80" s="308"/>
      <c r="AH80" s="598"/>
      <c r="AI80" s="385"/>
      <c r="AJ80" s="1135"/>
      <c r="AK80" s="1135"/>
      <c r="AL80" s="1135"/>
      <c r="AM80" s="1135"/>
      <c r="AN80" s="1135"/>
      <c r="AO80" s="1135"/>
      <c r="AP80" s="2003"/>
      <c r="AQ80" s="2004"/>
      <c r="AR80" s="2005">
        <f>SUMPRODUCT(AR61:AR78,AT61:AT78)*10^-4</f>
        <v>6886901.1970000006</v>
      </c>
      <c r="AS80" s="2006">
        <f>(AU80-AR80)/AR80</f>
        <v>6.2247377453642248E-2</v>
      </c>
      <c r="AT80" s="2007">
        <f>SUM(AT61:AT78)</f>
        <v>5244705</v>
      </c>
      <c r="AU80" s="2007">
        <f>SUM(AU61:AU78)</f>
        <v>7315592.7352956003</v>
      </c>
      <c r="AV80" s="2008">
        <f>SUM(AV61:AV78)</f>
        <v>0.15898989415433573</v>
      </c>
      <c r="AW80" s="272"/>
      <c r="AX80" s="234"/>
      <c r="AY80" s="402"/>
      <c r="AZ80" s="1137"/>
      <c r="BA80" s="2019">
        <f>SUM(BA61:BA78)</f>
        <v>725000</v>
      </c>
      <c r="BB80" s="2020">
        <f>SUM(BB61:BB78)</f>
        <v>1886321.0016000001</v>
      </c>
      <c r="BC80" s="2021">
        <f>SUM(BC61:BC78)</f>
        <v>8.4455104428799901E-2</v>
      </c>
      <c r="BD80" s="272"/>
      <c r="BE80" s="234"/>
      <c r="BF80" s="402"/>
      <c r="BG80" s="1137"/>
      <c r="BH80" s="2022">
        <f>SUM(BH61:BH78)</f>
        <v>432219</v>
      </c>
      <c r="BI80" s="2023">
        <f>SUM(BI61:BI78)</f>
        <v>420184.01590351999</v>
      </c>
      <c r="BJ80" s="2024">
        <f>SUM(BJ61:BJ78)</f>
        <v>0.27196463252298581</v>
      </c>
      <c r="BK80" s="649"/>
      <c r="BL80" s="1110"/>
      <c r="BM80" s="405"/>
      <c r="BN80" s="1137"/>
      <c r="BP80" s="2031">
        <f>SUM(BP61:BP78)</f>
        <v>9306382.8711991198</v>
      </c>
      <c r="BQ80" s="2031">
        <f>SUM(BQ61:BQ78)</f>
        <v>6176924</v>
      </c>
      <c r="BR80" s="2032">
        <f>SUM(BR61:BR78)</f>
        <v>0.39079402808616737</v>
      </c>
      <c r="BS80" s="604"/>
      <c r="BT80" s="2025">
        <f>SUM(BT61:BT78)</f>
        <v>103850</v>
      </c>
      <c r="BU80" s="2020">
        <f>SUM(BU61:BU78)</f>
        <v>357572.51560799999</v>
      </c>
      <c r="BV80" s="2026">
        <f>SUM(BV61:BV78)</f>
        <v>0.21727451399116618</v>
      </c>
      <c r="BW80" s="272"/>
      <c r="BX80" s="234"/>
      <c r="BY80" s="402"/>
      <c r="BZ80" s="1137"/>
      <c r="CA80" s="2027">
        <f>SUM(CA61:CA78)</f>
        <v>3000</v>
      </c>
      <c r="CB80" s="2020">
        <f>SUM(CB61:CB78)</f>
        <v>52097.472000000002</v>
      </c>
      <c r="CC80" s="2029">
        <f>SUM(CC61:CC78)</f>
        <v>0.19668016008579114</v>
      </c>
      <c r="CD80" s="272"/>
      <c r="CE80" s="234"/>
      <c r="CF80" s="402"/>
      <c r="CG80" s="1137"/>
      <c r="CH80" s="2028">
        <f>SUM(CH61:CH78)</f>
        <v>2140000</v>
      </c>
      <c r="CI80" s="2020">
        <f>SUM(CI61:CI78)</f>
        <v>2241697.92</v>
      </c>
      <c r="CJ80" s="2030">
        <f>SUM(CJ61:CJ78)</f>
        <v>0.18455718882892777</v>
      </c>
      <c r="CK80" s="272"/>
      <c r="CL80" s="234"/>
      <c r="CM80" s="402"/>
      <c r="CN80" s="1137"/>
      <c r="CO80" s="2081">
        <f>SUM(CO61:CO78)</f>
        <v>10090000</v>
      </c>
      <c r="CP80" s="2020">
        <f>SUM(CP61:CP78)</f>
        <v>31414785.527999997</v>
      </c>
      <c r="CQ80" s="2090">
        <f>SUM(CQ61:CQ78)</f>
        <v>0.41394547814278843</v>
      </c>
      <c r="CR80" s="272"/>
      <c r="CS80" s="234"/>
      <c r="CT80" s="402"/>
      <c r="CU80" s="1137"/>
      <c r="CX80" s="2022">
        <f>SUM(CX61:CX78)</f>
        <v>42642</v>
      </c>
      <c r="CY80" s="2023">
        <f>SUM(CY61:CY78)</f>
        <v>322818.59990352002</v>
      </c>
      <c r="CZ80" s="2024">
        <f>SUM(CZ61:CZ78)</f>
        <v>0.20649400281118074</v>
      </c>
      <c r="DA80" s="649"/>
      <c r="DB80" s="1110"/>
      <c r="DC80" s="405"/>
      <c r="DD80" s="1137"/>
    </row>
    <row r="81" spans="1:108" ht="40" customHeight="1" thickBot="1">
      <c r="A81" s="1456"/>
      <c r="B81" s="1457"/>
      <c r="C81" s="1457"/>
      <c r="D81" s="1457"/>
      <c r="E81" s="1457"/>
      <c r="F81" s="1457"/>
      <c r="G81" s="1457"/>
      <c r="H81" s="1457"/>
      <c r="I81" s="1457"/>
      <c r="J81" s="1457"/>
      <c r="K81" s="1457"/>
      <c r="L81" s="1458"/>
      <c r="M81" s="1458"/>
      <c r="N81" s="1458"/>
      <c r="O81" s="420" t="s">
        <v>728</v>
      </c>
      <c r="P81" s="254"/>
      <c r="Q81" s="254"/>
      <c r="R81" s="255"/>
      <c r="S81" s="255"/>
      <c r="T81" s="255"/>
      <c r="U81" s="254"/>
      <c r="V81" s="256"/>
      <c r="W81" s="256"/>
      <c r="X81" s="254"/>
      <c r="Y81" s="254"/>
      <c r="Z81" s="255"/>
      <c r="AA81" s="255"/>
      <c r="AB81" s="256"/>
      <c r="AC81" s="256"/>
      <c r="AD81" s="256"/>
      <c r="AE81" s="256"/>
      <c r="AF81" s="256"/>
      <c r="AG81" s="255"/>
      <c r="AH81" s="255"/>
      <c r="AI81" s="60"/>
      <c r="AP81" s="188" t="s">
        <v>729</v>
      </c>
      <c r="AQ81" s="393">
        <f>AT81-AR2</f>
        <v>3881110.8133065645</v>
      </c>
      <c r="AT81" s="295">
        <f>SUM(AU8:AU78)</f>
        <v>18664941.101506565</v>
      </c>
      <c r="AU81" s="716"/>
      <c r="AV81" s="331">
        <f>SUM((AV8:AV78))</f>
        <v>0.40543064121862515</v>
      </c>
      <c r="AW81" s="300"/>
      <c r="AX81" s="323">
        <f>SUM(AX8:AX78)</f>
        <v>335835.72699999996</v>
      </c>
      <c r="AY81" s="404">
        <f>SUM(AY8:AY78)</f>
        <v>1691670</v>
      </c>
      <c r="AZ81" s="301"/>
      <c r="BA81" s="438">
        <f>SUM(BB8:BB78)</f>
        <v>4241648.1250416003</v>
      </c>
      <c r="BB81" s="335"/>
      <c r="BC81" s="344">
        <f>SUM(BC8:BC78)</f>
        <v>0.18990873507041361</v>
      </c>
      <c r="BD81" s="300"/>
      <c r="BE81" s="323">
        <f>SUM(BE8:BE78)</f>
        <v>72351.560500000007</v>
      </c>
      <c r="BF81" s="404">
        <f>SUM(BF8:BF78)</f>
        <v>350735</v>
      </c>
      <c r="BG81" s="301"/>
      <c r="BH81" s="1105">
        <f>SUM(BI8:BI78)</f>
        <v>907446.30714511988</v>
      </c>
      <c r="BI81" s="1106"/>
      <c r="BJ81" s="778">
        <f>SUM(BJ8:BJ78)</f>
        <v>0.58734576308521502</v>
      </c>
      <c r="BK81" s="1107"/>
      <c r="BL81" s="1108">
        <f>SUM(BL8:BL78)</f>
        <v>25124.951000000001</v>
      </c>
      <c r="BM81" s="1108">
        <f>SUM(BM8:BM78)</f>
        <v>80144</v>
      </c>
      <c r="BN81" s="1109"/>
      <c r="BP81" s="727">
        <f>AT81+BA81+BH81</f>
        <v>23814035.533693284</v>
      </c>
      <c r="BQ81" s="721">
        <f>BH81+BA81+AT81</f>
        <v>23814035.533693284</v>
      </c>
      <c r="BR81" s="723">
        <f>BP81/$BP$81</f>
        <v>1</v>
      </c>
      <c r="BS81" s="606"/>
      <c r="BT81" s="620">
        <f>SUM(BU8:BU78)</f>
        <v>773394.30840503995</v>
      </c>
      <c r="BU81" s="335"/>
      <c r="BV81" s="612">
        <f>SUM(BV8:BV78)</f>
        <v>0.46994348040568368</v>
      </c>
      <c r="BW81" s="300"/>
      <c r="BX81" s="323">
        <f>SUM(BX8:BX78)</f>
        <v>9971.9416000000019</v>
      </c>
      <c r="BY81" s="323">
        <f>SUM(BY8:BY78)</f>
        <v>45594</v>
      </c>
      <c r="BZ81" s="301"/>
      <c r="CA81" s="634">
        <f>SUM(CB8:CB78)</f>
        <v>162384.22613279999</v>
      </c>
      <c r="CB81" s="335"/>
      <c r="CC81" s="726">
        <f>SUM(CC8:CC78)</f>
        <v>0.6130384904512528</v>
      </c>
      <c r="CD81" s="300"/>
      <c r="CE81" s="323">
        <f>SUM(CE8:CE78)</f>
        <v>2912.7780000000002</v>
      </c>
      <c r="CF81" s="323">
        <f>SUM(CF8:CF78)</f>
        <v>17143</v>
      </c>
      <c r="CG81" s="301"/>
      <c r="CH81" s="1773">
        <f>SUM(CI8:CI78)</f>
        <v>3669666.4225368001</v>
      </c>
      <c r="CI81" s="335"/>
      <c r="CJ81" s="726">
        <f>SUM(CJ8:CJ78)</f>
        <v>0.30212068844820095</v>
      </c>
      <c r="CK81" s="300"/>
      <c r="CL81" s="323">
        <f>SUM(CL8:CL78)</f>
        <v>18434.699000000001</v>
      </c>
      <c r="CM81" s="323">
        <f>SUM(CM8:CM78)</f>
        <v>10822</v>
      </c>
      <c r="CN81" s="301"/>
      <c r="CO81" s="438">
        <f>SUM(CP8:CP78)</f>
        <v>31414785.527999997</v>
      </c>
      <c r="CP81" s="2083"/>
      <c r="CQ81" s="726">
        <f>SUM(CQ8:CQ78)</f>
        <v>0.41394547814278843</v>
      </c>
      <c r="CR81" s="300"/>
      <c r="CS81" s="323">
        <f>SUM(CS8:CS78)</f>
        <v>0</v>
      </c>
      <c r="CT81" s="323">
        <f>SUM(CT8:CT78)</f>
        <v>0</v>
      </c>
      <c r="CU81" s="301"/>
      <c r="CX81" s="1105">
        <f>SUM(CY8:CY78)</f>
        <v>827765.97471791983</v>
      </c>
      <c r="CY81" s="1106"/>
      <c r="CZ81" s="778">
        <f>SUM(CZ8:CZ78)</f>
        <v>0.53332182594850119</v>
      </c>
      <c r="DA81" s="1107"/>
      <c r="DB81" s="1108">
        <f>SUM(DB8:DB78)</f>
        <v>24163.73</v>
      </c>
      <c r="DC81" s="1108">
        <f>SUM(DC8:DC78)</f>
        <v>78914</v>
      </c>
      <c r="DD81" s="1109"/>
    </row>
    <row r="82" spans="1:108" ht="40" customHeight="1">
      <c r="A82" s="259"/>
      <c r="B82" s="259"/>
      <c r="C82" s="259"/>
      <c r="D82" s="259"/>
      <c r="E82" s="259"/>
      <c r="F82" s="259"/>
      <c r="G82" s="259"/>
      <c r="H82" s="259"/>
      <c r="I82" s="259"/>
      <c r="J82" s="259"/>
      <c r="K82" s="1381"/>
      <c r="L82" s="259"/>
      <c r="M82" s="259"/>
      <c r="N82" s="259"/>
      <c r="O82" s="420" t="s">
        <v>730</v>
      </c>
      <c r="P82" s="259"/>
      <c r="Q82" s="259"/>
      <c r="R82" s="260"/>
      <c r="S82" s="260"/>
      <c r="T82" s="260"/>
      <c r="U82" s="259"/>
      <c r="V82" s="261"/>
      <c r="W82" s="261"/>
      <c r="X82" s="259"/>
      <c r="Y82" s="259"/>
      <c r="Z82" s="260"/>
      <c r="AA82" s="260"/>
      <c r="AB82" s="261"/>
      <c r="AC82" s="261"/>
      <c r="AD82" s="261"/>
      <c r="AE82" s="261"/>
      <c r="AF82" s="261"/>
      <c r="AG82" s="260"/>
      <c r="AH82" s="260"/>
      <c r="AI82" s="60"/>
      <c r="AP82" s="188" t="s">
        <v>731</v>
      </c>
      <c r="AQ82" s="393">
        <f>AT82-AR2</f>
        <v>3686762.9702409599</v>
      </c>
      <c r="AT82" s="302">
        <f>(SUMPRODUCT(AT8:AT78,$R$8:$R$78)/10000)*0.9912+AU78</f>
        <v>18470593.25844096</v>
      </c>
      <c r="AU82" s="1043">
        <f>'Cement Portfolio'!AQ39</f>
        <v>45807244.646388963</v>
      </c>
      <c r="AV82" s="1044" t="str">
        <f>'Cement Portfolio'!AR39</f>
        <v>Cem+Metoil+Tav</v>
      </c>
      <c r="AW82" s="1045" t="str">
        <f>'Cement Portfolio'!AS39</f>
        <v>Capital</v>
      </c>
      <c r="AX82"/>
      <c r="AY82"/>
      <c r="AZ82"/>
      <c r="BA82" s="302">
        <f>(SUMPRODUCT(BA8:BA78,$R$8:$R$78)/10000)*0.9912+BB78</f>
        <v>4153863.9838415999</v>
      </c>
      <c r="BB82" s="651">
        <f>BA82+'Cement Portfolio'!AW39</f>
        <v>22232489.639841601</v>
      </c>
      <c r="BC82" s="523" t="s">
        <v>675</v>
      </c>
      <c r="BH82" s="302">
        <f>(SUMPRODUCT(BH8:BH78,$R$8:$R$78)/10000)*0.9912+BI78</f>
        <v>907639.78938511992</v>
      </c>
      <c r="BI82" s="652">
        <f>BH82+'Cement Portfolio'!BD39</f>
        <v>1545057.71178512</v>
      </c>
      <c r="BJ82" s="525" t="s">
        <v>675</v>
      </c>
      <c r="BK82" s="526" t="str">
        <f>'Cement Portfolio'!BG39</f>
        <v>Capital</v>
      </c>
      <c r="BL82" s="2403" t="e">
        <f>BL3-#REF!</f>
        <v>#REF!</v>
      </c>
      <c r="BM82" s="2403"/>
      <c r="BN82" s="188" t="s">
        <v>732</v>
      </c>
      <c r="BP82" s="302">
        <f>BH82+BA82+AT82</f>
        <v>23532097.03166768</v>
      </c>
      <c r="BQ82" s="226"/>
      <c r="BR82" s="225"/>
      <c r="BS82" s="607"/>
      <c r="BT82" s="302">
        <f>(SUMPRODUCT(BT8:BT78,$R$8:$R$78)/10000)*0.9912+BU78</f>
        <v>755767.48558583995</v>
      </c>
      <c r="BU82" s="653">
        <f>BT82+'Cement Portfolio'!BO39</f>
        <v>1627906.5239858399</v>
      </c>
      <c r="BV82" s="613" t="s">
        <v>675</v>
      </c>
      <c r="BW82" s="614"/>
      <c r="CA82" s="302">
        <f>(SUMPRODUCT(CA8:CA78,$R$8:$R$78)/10000)*0.9912+CB78</f>
        <v>160604.8754352</v>
      </c>
      <c r="CB82" s="635">
        <f>CA82+'Cement Portfolio'!BV39</f>
        <v>373983.47303519998</v>
      </c>
      <c r="CC82" s="636" t="s">
        <v>675</v>
      </c>
      <c r="CD82" s="637"/>
      <c r="CH82" s="302">
        <f>(SUMPRODUCT(CH8:CH78,$R$8:$R$78)/10000)*0.9912+CI78</f>
        <v>3688459.7569176001</v>
      </c>
      <c r="CI82" s="1774">
        <f>CH82+'Cement Portfolio'!CC39</f>
        <v>12164220.868917599</v>
      </c>
      <c r="CJ82" s="1775" t="s">
        <v>675</v>
      </c>
      <c r="CK82" s="1776"/>
      <c r="CO82" s="2082">
        <f>(SUMPRODUCT(CO8:CO78,$R$8:$R$78)/10000)*0.9912+CP78</f>
        <v>31406040.170399997</v>
      </c>
      <c r="CP82" s="2084">
        <f>CO82+'Cement Portfolio'!CJ39</f>
        <v>75880123.586400002</v>
      </c>
      <c r="CQ82" s="2085" t="s">
        <v>675</v>
      </c>
      <c r="CR82" s="2086"/>
      <c r="CX82" s="302">
        <f>(SUMPRODUCT(CX8:CX78,$R$8:$R$78)/10000)*0.9912+CY78</f>
        <v>827958.55694831989</v>
      </c>
      <c r="CY82" s="652">
        <f>CX82+'Cement Portfolio'!CT39</f>
        <v>2323053.9876566399</v>
      </c>
      <c r="CZ82" s="525" t="s">
        <v>675</v>
      </c>
      <c r="DA82" s="526">
        <f>'Cement Portfolio'!CW39</f>
        <v>0.8609085202688499</v>
      </c>
      <c r="DB82" s="2403" t="e">
        <f>DB3-#REF!</f>
        <v>#REF!</v>
      </c>
      <c r="DC82" s="2403"/>
      <c r="DD82" s="188" t="s">
        <v>732</v>
      </c>
    </row>
    <row r="83" spans="1:108" ht="51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1382"/>
      <c r="L83" s="216"/>
      <c r="M83" s="216"/>
      <c r="N83" s="216"/>
      <c r="O83" s="421" t="s">
        <v>676</v>
      </c>
      <c r="P83" s="216"/>
      <c r="Q83" s="216"/>
      <c r="R83" s="217"/>
      <c r="S83" s="217"/>
      <c r="T83" s="217"/>
      <c r="U83" s="216"/>
      <c r="V83" s="218"/>
      <c r="W83" s="218"/>
      <c r="X83" s="216"/>
      <c r="Y83" s="216"/>
      <c r="Z83" s="217"/>
      <c r="AA83" s="217"/>
      <c r="AB83" s="218"/>
      <c r="AC83" s="218"/>
      <c r="AD83" s="218"/>
      <c r="AE83" s="218"/>
      <c r="AF83" s="218"/>
      <c r="AG83" s="217"/>
      <c r="AH83" s="217"/>
      <c r="AI83" s="60"/>
      <c r="AJ83" s="1128"/>
      <c r="AK83"/>
      <c r="AL83" s="499"/>
      <c r="AM83" s="499"/>
      <c r="AN83" s="499"/>
      <c r="AO83"/>
      <c r="AP83"/>
      <c r="AQ83"/>
      <c r="AR83"/>
      <c r="AS83"/>
      <c r="AT83" s="222">
        <f>(SUMPRODUCT(AT8:AT78,$W$8:$W$78))/10000</f>
        <v>296880.42219999997</v>
      </c>
      <c r="AU83" s="1046">
        <f>'Cement Portfolio'!AQ40</f>
        <v>0</v>
      </c>
      <c r="AV83" s="1047">
        <f>'Cement Portfolio'!AR40</f>
        <v>0</v>
      </c>
      <c r="AW83" s="1048">
        <f>'Cement Portfolio'!AS40</f>
        <v>0</v>
      </c>
      <c r="AX83"/>
      <c r="AY83"/>
      <c r="AZ83"/>
      <c r="BA83" s="222">
        <f>(SUMPRODUCT(BA8:BA78,$W$8:$W$78))/10000</f>
        <v>56277.66</v>
      </c>
      <c r="BB83" s="651">
        <f>'Cement Portfolio'!AX40</f>
        <v>0</v>
      </c>
      <c r="BC83" s="524" t="s">
        <v>733</v>
      </c>
      <c r="BH83" s="222">
        <f>(SUMPRODUCT(BH8:BH78,$W$8:$W$78))/10000</f>
        <v>12087.7665</v>
      </c>
      <c r="BI83" s="652">
        <f>'Cement Portfolio'!BE40</f>
        <v>0</v>
      </c>
      <c r="BJ83" s="527" t="s">
        <v>733</v>
      </c>
      <c r="BK83" s="528">
        <f>'Cement Portfolio'!BG40</f>
        <v>0</v>
      </c>
      <c r="BP83" s="724">
        <f>BH83+BA83+AT83</f>
        <v>365245.84869999997</v>
      </c>
      <c r="BT83" s="222">
        <f>(SUMPRODUCT(BT8:BT78,$W$8:$W$78))/10000</f>
        <v>9671.9359999999997</v>
      </c>
      <c r="BU83" s="653">
        <f>'Cement Portfolio'!BP40</f>
        <v>0</v>
      </c>
      <c r="BV83" s="615" t="s">
        <v>733</v>
      </c>
      <c r="BW83" s="616"/>
      <c r="CA83" s="222">
        <f>(SUMPRODUCT(CA8:CA78,$W$8:$W$78))/10000</f>
        <v>2637.8679999999999</v>
      </c>
      <c r="CB83" s="635">
        <f>'Cement Portfolio'!BW40</f>
        <v>0</v>
      </c>
      <c r="CC83" s="638" t="s">
        <v>733</v>
      </c>
      <c r="CD83" s="639"/>
      <c r="CH83" s="222">
        <f>(SUMPRODUCT(CH8:CH78,$W$8:$W$78))/10000</f>
        <v>35853.606</v>
      </c>
      <c r="CI83" s="1774">
        <f>'Cement Portfolio'!CD40</f>
        <v>0</v>
      </c>
      <c r="CJ83" s="1777" t="s">
        <v>733</v>
      </c>
      <c r="CK83" s="1778"/>
      <c r="CO83" s="222">
        <f>(SUMPRODUCT(CO8:CO78,$W$8:$W$78))/10000</f>
        <v>-6336</v>
      </c>
      <c r="CP83" s="2084">
        <f>'Cement Portfolio'!CK40</f>
        <v>0</v>
      </c>
      <c r="CQ83" s="2087" t="s">
        <v>733</v>
      </c>
      <c r="CR83" s="2088"/>
      <c r="CX83" s="222">
        <f>(SUMPRODUCT(CX8:CX78,$W$8:$W$78))/10000</f>
        <v>12848.806500000001</v>
      </c>
      <c r="CY83" s="652">
        <f>'Cement Portfolio'!CU40</f>
        <v>0</v>
      </c>
      <c r="CZ83" s="527" t="s">
        <v>733</v>
      </c>
      <c r="DA83" s="528" t="str">
        <f>'Cement Portfolio'!CW40</f>
        <v>نسبت سهام به کل سرمایه</v>
      </c>
    </row>
    <row r="84" spans="1:108" ht="49" customHeight="1">
      <c r="A84" s="363"/>
      <c r="B84" s="363"/>
      <c r="C84" s="363"/>
      <c r="D84" s="363"/>
      <c r="E84" s="363"/>
      <c r="F84" s="363"/>
      <c r="G84" s="363"/>
      <c r="H84" s="363"/>
      <c r="I84" s="363"/>
      <c r="J84" s="363"/>
      <c r="K84" s="1383"/>
      <c r="L84" s="363"/>
      <c r="M84" s="363"/>
      <c r="N84" s="363"/>
      <c r="O84" s="421" t="s">
        <v>734</v>
      </c>
      <c r="P84" s="363"/>
      <c r="Q84" s="363"/>
      <c r="R84" s="364"/>
      <c r="S84" s="364"/>
      <c r="T84" s="364"/>
      <c r="U84" s="363"/>
      <c r="V84" s="365"/>
      <c r="W84" s="365"/>
      <c r="X84" s="363"/>
      <c r="Y84" s="363"/>
      <c r="Z84" s="364"/>
      <c r="AA84" s="364"/>
      <c r="AB84" s="365"/>
      <c r="AC84" s="365"/>
      <c r="AD84" s="365"/>
      <c r="AE84" s="365"/>
      <c r="AF84" s="365"/>
      <c r="AG84" s="364"/>
      <c r="AH84" s="364"/>
      <c r="AI84" s="248"/>
      <c r="AJ84" s="1128"/>
      <c r="AK84"/>
      <c r="AL84" s="499"/>
      <c r="AM84" s="499"/>
      <c r="AN84" s="499"/>
      <c r="AO84"/>
      <c r="AP84"/>
      <c r="AQ84"/>
      <c r="AR84"/>
      <c r="AS84"/>
      <c r="AT84" s="222">
        <f>(SUMPRODUCT(AT8:AT78,$T$8:$T$78))/10000</f>
        <v>308704.13419999997</v>
      </c>
      <c r="AU84" s="1049" t="str">
        <f>'Cement Portfolio'!AQ47</f>
        <v xml:space="preserve">موجودی نقدی حامی </v>
      </c>
      <c r="AV84" s="1050" t="str">
        <f>'Cement Portfolio'!AR47</f>
        <v>جمع ارزش خالص پرتفوی و نقد</v>
      </c>
      <c r="AW84" s="1051" t="str">
        <f>'Cement Portfolio'!AS47</f>
        <v xml:space="preserve">جمع پرتفوی و نقد و سود  دریافتنی مجامع </v>
      </c>
      <c r="AX84" s="1038" t="str">
        <f>'Cement Portfolio'!AT47</f>
        <v xml:space="preserve">سود کل </v>
      </c>
      <c r="AY84" s="1039" t="str">
        <f>'Cement Portfolio'!AU47</f>
        <v>درصد سود</v>
      </c>
      <c r="AZ84" s="1040" t="str">
        <f>'Cement Portfolio'!AV47</f>
        <v>مانده سرمایه اولیه</v>
      </c>
      <c r="BA84" s="222">
        <f>(SUMPRODUCT(BA8:BA78,$T$8:$T$78))/10000</f>
        <v>56964.160000000003</v>
      </c>
      <c r="BB84" s="651" t="str">
        <f>'Cement Portfolio'!AX47</f>
        <v xml:space="preserve">موجودی نقدی حامی </v>
      </c>
      <c r="BC84" s="524" t="s">
        <v>735</v>
      </c>
      <c r="BH84" s="222">
        <f>(SUMPRODUCT(BH8:BH78,$T$8:$T$78))/10000</f>
        <v>12282.9665</v>
      </c>
      <c r="BI84" s="652">
        <f>'Cement Portfolio'!BE41</f>
        <v>0</v>
      </c>
      <c r="BJ84" s="527" t="s">
        <v>735</v>
      </c>
      <c r="BK84" s="528">
        <f>'Cement Portfolio'!BG41</f>
        <v>0</v>
      </c>
      <c r="BP84" s="724">
        <f>BH84+BA84+AT84</f>
        <v>377951.26069999998</v>
      </c>
      <c r="BT84" s="222">
        <f>(SUMPRODUCT(BT8:BT78,$T$8:$T$78))/10000</f>
        <v>9738.6200000000008</v>
      </c>
      <c r="BU84" s="653">
        <f>'Cement Portfolio'!BP48</f>
        <v>120144</v>
      </c>
      <c r="BV84" s="615" t="s">
        <v>735</v>
      </c>
      <c r="BW84" s="616"/>
      <c r="CA84" s="222">
        <f>(SUMPRODUCT(CA8:CA78,$T$8:$T$78))/10000</f>
        <v>2627.72</v>
      </c>
      <c r="CB84" s="635">
        <v>12879</v>
      </c>
      <c r="CC84" s="638" t="s">
        <v>735</v>
      </c>
      <c r="CD84" s="639"/>
      <c r="CH84" s="222">
        <f>(SUMPRODUCT(CH8:CH78,$T$8:$T$78))/10000</f>
        <v>38067.79</v>
      </c>
      <c r="CI84" s="1774">
        <v>12880</v>
      </c>
      <c r="CJ84" s="1777" t="s">
        <v>735</v>
      </c>
      <c r="CK84" s="1778"/>
      <c r="CO84" s="222">
        <f>(SUMPRODUCT(CO8:CO78,$T$8:$T$78))/10000</f>
        <v>13459</v>
      </c>
      <c r="CP84" s="2084">
        <v>12881</v>
      </c>
      <c r="CQ84" s="2087" t="s">
        <v>735</v>
      </c>
      <c r="CR84" s="2088"/>
      <c r="CX84" s="222">
        <f>(SUMPRODUCT(CX8:CX78,$T$8:$T$78))/10000</f>
        <v>13043.0985</v>
      </c>
      <c r="CY84" s="652">
        <f>'Cement Portfolio'!CU41</f>
        <v>0</v>
      </c>
      <c r="CZ84" s="527" t="s">
        <v>735</v>
      </c>
      <c r="DA84" s="528">
        <f>'Cement Portfolio'!CW41</f>
        <v>0</v>
      </c>
    </row>
    <row r="85" spans="1:108" ht="43" customHeight="1" thickBot="1">
      <c r="A85" s="219"/>
      <c r="B85" s="219"/>
      <c r="C85" s="219"/>
      <c r="D85" s="219"/>
      <c r="E85" s="219"/>
      <c r="F85" s="219"/>
      <c r="G85" s="219"/>
      <c r="H85" s="219"/>
      <c r="I85" s="219"/>
      <c r="J85" s="219"/>
      <c r="K85" s="1384"/>
      <c r="L85" s="219"/>
      <c r="M85" s="219"/>
      <c r="N85" s="219"/>
      <c r="O85" s="422" t="s">
        <v>736</v>
      </c>
      <c r="P85" s="219"/>
      <c r="Q85" s="219"/>
      <c r="R85" s="220"/>
      <c r="S85" s="220"/>
      <c r="T85" s="220"/>
      <c r="U85" s="219"/>
      <c r="V85" s="219"/>
      <c r="W85" s="219"/>
      <c r="X85" s="219"/>
      <c r="Y85" s="219"/>
      <c r="Z85" s="220"/>
      <c r="AA85" s="220"/>
      <c r="AB85" s="219"/>
      <c r="AC85" s="219"/>
      <c r="AD85" s="219"/>
      <c r="AE85" s="219"/>
      <c r="AF85" s="219"/>
      <c r="AG85" s="219"/>
      <c r="AH85" s="220"/>
      <c r="AI85" s="248"/>
      <c r="AJ85" s="1128"/>
      <c r="AK85"/>
      <c r="AL85" s="499"/>
      <c r="AM85" s="499"/>
      <c r="AN85" s="499"/>
      <c r="AO85"/>
      <c r="AP85"/>
      <c r="AQ85"/>
      <c r="AR85"/>
      <c r="AS85"/>
      <c r="AT85" s="249">
        <f>IFERROR((AT84/AT82)*100,0)</f>
        <v>1.6713276605716163</v>
      </c>
      <c r="AU85" s="1052">
        <f>'Cement Portfolio'!AQ48</f>
        <v>361976</v>
      </c>
      <c r="AV85" s="1053">
        <f>'Cement Portfolio'!AR48</f>
        <v>46169220.646388963</v>
      </c>
      <c r="AW85" s="1054">
        <f>'Cement Portfolio'!AS48</f>
        <v>48344196.373388961</v>
      </c>
      <c r="AX85" s="1041">
        <f>'Cement Portfolio'!AT48</f>
        <v>49614957.773388967</v>
      </c>
      <c r="AY85" s="1042" t="str">
        <f>'Cement Portfolio'!AU48</f>
        <v/>
      </c>
      <c r="AZ85" s="1040">
        <f>'Cement Portfolio'!AV48</f>
        <v>-1270761.400000006</v>
      </c>
      <c r="BA85" s="249">
        <f>IFERROR((BA84/BA82)*100,0)</f>
        <v>1.3713535210008991</v>
      </c>
      <c r="BB85" s="651">
        <f>'Cement Portfolio'!AX48</f>
        <v>175966</v>
      </c>
      <c r="BC85" s="524" t="s">
        <v>737</v>
      </c>
      <c r="BH85" s="249">
        <f>IFERROR((BH84/BH82)*100,0)</f>
        <v>1.3532864737365788</v>
      </c>
      <c r="BI85" s="652">
        <f>'Cement Portfolio'!BE42</f>
        <v>0</v>
      </c>
      <c r="BJ85" s="527" t="s">
        <v>737</v>
      </c>
      <c r="BK85" s="529">
        <f>'Cement Portfolio'!BF42</f>
        <v>0</v>
      </c>
      <c r="BP85" s="725">
        <f>(BP84/BP82)*100</f>
        <v>1.6061095625748201</v>
      </c>
      <c r="BT85" s="249">
        <f>IFERROR((BT84/BT82)*100,0)</f>
        <v>1.2885735607494442</v>
      </c>
      <c r="BU85" s="653">
        <f>SUM((BU82:BU84))</f>
        <v>1748050.5239858399</v>
      </c>
      <c r="BV85" s="615" t="s">
        <v>737</v>
      </c>
      <c r="BW85" s="617"/>
      <c r="CA85" s="249">
        <f>IFERROR((CA84/CA82)*100,0)</f>
        <v>1.6361396208424683</v>
      </c>
      <c r="CB85" s="635">
        <f>SUM(CB82:CB84)</f>
        <v>386862.47303519998</v>
      </c>
      <c r="CC85" s="638" t="s">
        <v>737</v>
      </c>
      <c r="CD85" s="640"/>
      <c r="CH85" s="249">
        <f>IFERROR((CH84/CH82)*100,0)</f>
        <v>1.0320782252972927</v>
      </c>
      <c r="CI85" s="1774">
        <f>SUM(CI82:CI84)</f>
        <v>12177100.868917599</v>
      </c>
      <c r="CJ85" s="1777" t="s">
        <v>737</v>
      </c>
      <c r="CK85" s="1779"/>
      <c r="CO85" s="249">
        <f>IFERROR((CO84/CO82)*100,0)</f>
        <v>4.2854813682257929E-2</v>
      </c>
      <c r="CP85" s="2084">
        <f>SUM(CP82:CP84)</f>
        <v>75893004.586400002</v>
      </c>
      <c r="CQ85" s="2087" t="s">
        <v>737</v>
      </c>
      <c r="CR85" s="2089"/>
      <c r="CX85" s="249">
        <f>IFERROR((CX84/CX82)*100,0)</f>
        <v>1.5753322905525735</v>
      </c>
      <c r="CY85" s="652">
        <f>'Cement Portfolio'!CU42</f>
        <v>0</v>
      </c>
      <c r="CZ85" s="527" t="s">
        <v>737</v>
      </c>
      <c r="DA85" s="529">
        <f>'Cement Portfolio'!CV42</f>
        <v>0</v>
      </c>
    </row>
    <row r="86" spans="1:108" ht="13" customHeight="1" thickBot="1">
      <c r="A86" s="251"/>
      <c r="B86" s="251"/>
      <c r="C86" s="250"/>
      <c r="D86" s="251"/>
      <c r="E86" s="251"/>
      <c r="F86" s="251"/>
      <c r="G86" s="251"/>
      <c r="H86" s="251"/>
      <c r="I86" s="251"/>
      <c r="J86" s="251"/>
      <c r="K86" s="1385"/>
      <c r="L86" s="251"/>
      <c r="M86" s="251"/>
      <c r="N86" s="251"/>
      <c r="O86" s="251"/>
      <c r="P86" s="251"/>
      <c r="Q86" s="251"/>
      <c r="R86" s="252"/>
      <c r="S86" s="252"/>
      <c r="T86" s="252"/>
      <c r="U86" s="251"/>
      <c r="V86" s="253"/>
      <c r="W86" s="253"/>
      <c r="X86" s="251"/>
      <c r="Y86" s="251"/>
      <c r="Z86" s="252"/>
      <c r="AA86" s="252"/>
      <c r="AB86" s="253"/>
      <c r="AC86" s="253"/>
      <c r="AD86" s="253"/>
      <c r="AE86" s="253"/>
      <c r="AF86" s="253"/>
      <c r="AG86" s="252"/>
      <c r="AH86" s="252"/>
      <c r="AJ86" s="1128"/>
      <c r="AK86"/>
      <c r="AL86" s="499"/>
      <c r="AM86" s="499"/>
      <c r="AN86" s="499"/>
      <c r="AO86"/>
      <c r="AP86"/>
      <c r="AQ86"/>
      <c r="AR86"/>
      <c r="AS86"/>
      <c r="AT86" s="299"/>
      <c r="AU86"/>
      <c r="AV86"/>
      <c r="AW86"/>
      <c r="AX86"/>
      <c r="AY86"/>
      <c r="AZ86"/>
      <c r="BA86" s="299"/>
      <c r="BB86"/>
      <c r="BC86"/>
      <c r="BH86" s="299"/>
      <c r="BI86"/>
      <c r="BJ86"/>
      <c r="BK86"/>
      <c r="BP86" s="345"/>
      <c r="BT86" s="299"/>
      <c r="BU86"/>
      <c r="BV86"/>
      <c r="BW86"/>
      <c r="CA86" s="299"/>
      <c r="CB86"/>
      <c r="CC86"/>
      <c r="CD86"/>
      <c r="CH86" s="299"/>
      <c r="CI86"/>
      <c r="CJ86"/>
      <c r="CK86"/>
      <c r="CO86" s="299"/>
      <c r="CP86"/>
      <c r="CQ86"/>
      <c r="CR86"/>
      <c r="CX86" s="299"/>
      <c r="CY86"/>
      <c r="CZ86"/>
      <c r="DA86"/>
    </row>
    <row r="87" spans="1:108" ht="57" customHeight="1">
      <c r="AJ87" s="1128"/>
      <c r="AK87"/>
      <c r="AL87" s="499"/>
      <c r="AM87" s="499"/>
      <c r="AN87" s="499"/>
      <c r="AO87"/>
      <c r="AP87"/>
      <c r="AQ87"/>
      <c r="AR87"/>
      <c r="AS87"/>
      <c r="AW87" s="11"/>
      <c r="AX87"/>
      <c r="AY87"/>
      <c r="AZ87"/>
      <c r="BK87" s="530">
        <f>'Cement Portfolio'!BG47</f>
        <v>0</v>
      </c>
      <c r="BP87" s="531" t="s">
        <v>738</v>
      </c>
      <c r="BQ87" s="532">
        <f>'Cement Portfolio'!BM47</f>
        <v>0</v>
      </c>
      <c r="BW87" s="11"/>
      <c r="CD87" s="11"/>
      <c r="CK87" s="11"/>
      <c r="CR87" s="11"/>
      <c r="DA87" s="530">
        <f>'Cement Portfolio'!CW47</f>
        <v>0</v>
      </c>
    </row>
  </sheetData>
  <autoFilter ref="A7:DD7" xr:uid="{FDC1C47F-6B2D-A74A-B886-4462F7EA7D4E}">
    <sortState xmlns:xlrd2="http://schemas.microsoft.com/office/spreadsheetml/2017/richdata2" ref="A8:DD57">
      <sortCondition descending="1" ref="A7:A57"/>
    </sortState>
  </autoFilter>
  <mergeCells count="21">
    <mergeCell ref="DB3:DC3"/>
    <mergeCell ref="CX5:DD5"/>
    <mergeCell ref="DB82:DC82"/>
    <mergeCell ref="BL82:BM82"/>
    <mergeCell ref="CA5:CG5"/>
    <mergeCell ref="BT5:BZ5"/>
    <mergeCell ref="BP5:BR5"/>
    <mergeCell ref="CS3:CT3"/>
    <mergeCell ref="CO5:CU5"/>
    <mergeCell ref="CL3:CM3"/>
    <mergeCell ref="CH5:CN5"/>
    <mergeCell ref="AX3:AY3"/>
    <mergeCell ref="BE3:BF3"/>
    <mergeCell ref="BL3:BM3"/>
    <mergeCell ref="BX3:BY3"/>
    <mergeCell ref="CE3:CF3"/>
    <mergeCell ref="AJ5:AL5"/>
    <mergeCell ref="AN5:AO5"/>
    <mergeCell ref="AT5:AZ5"/>
    <mergeCell ref="BA5:BG5"/>
    <mergeCell ref="BH5:BN5"/>
  </mergeCells>
  <conditionalFormatting sqref="C8:C57">
    <cfRule type="aboveAverage" dxfId="203" priority="1761"/>
  </conditionalFormatting>
  <conditionalFormatting sqref="C2:N3 A8:G57 K8:AI57 AM8:AO76 CX8:DD80 CU10:CU79 CO26:CT79">
    <cfRule type="expression" dxfId="202" priority="48">
      <formula>ROW()=EVEN(ROW())</formula>
    </cfRule>
  </conditionalFormatting>
  <conditionalFormatting sqref="H8:J57">
    <cfRule type="cellIs" dxfId="201" priority="4" operator="lessThan">
      <formula>0</formula>
    </cfRule>
    <cfRule type="cellIs" dxfId="200" priority="5" operator="greaterThan">
      <formula>0</formula>
    </cfRule>
    <cfRule type="expression" dxfId="199" priority="6" stopIfTrue="1">
      <formula>ROW()=EVEN(ROW())</formula>
    </cfRule>
  </conditionalFormatting>
  <conditionalFormatting sqref="M8:N57">
    <cfRule type="cellIs" dxfId="198" priority="34" operator="equal">
      <formula>"SS"</formula>
    </cfRule>
    <cfRule type="cellIs" dxfId="197" priority="35" operator="equal">
      <formula>"BB"</formula>
    </cfRule>
    <cfRule type="cellIs" dxfId="196" priority="36" operator="equal">
      <formula>"B"</formula>
    </cfRule>
    <cfRule type="cellIs" dxfId="195" priority="37" operator="equal">
      <formula>"S"</formula>
    </cfRule>
    <cfRule type="cellIs" dxfId="194" priority="38" operator="equal">
      <formula>"N"</formula>
    </cfRule>
  </conditionalFormatting>
  <conditionalFormatting sqref="AF1">
    <cfRule type="expression" dxfId="193" priority="97">
      <formula>ROW()=EVEN(ROW())</formula>
    </cfRule>
  </conditionalFormatting>
  <conditionalFormatting sqref="AJ58:AL58">
    <cfRule type="expression" dxfId="192" priority="82">
      <formula>ROW()=EVEN(ROW())</formula>
    </cfRule>
  </conditionalFormatting>
  <conditionalFormatting sqref="AP80:AS80">
    <cfRule type="expression" dxfId="191" priority="14">
      <formula>ROW()=EVEN(ROW())</formula>
    </cfRule>
  </conditionalFormatting>
  <conditionalFormatting sqref="AP8:CJ8 CK8:CQ25 AP9:BQ55 BR14:BZ55 CA15:CG55 CH26:CN55 AP56:CN79 A58:AI75 W76:AI76 A76:V77 W77:AO77 A78:AI80 AW80:CU80">
    <cfRule type="expression" dxfId="190" priority="22">
      <formula>ROW()=EVEN(ROW())</formula>
    </cfRule>
  </conditionalFormatting>
  <conditionalFormatting sqref="AV1">
    <cfRule type="expression" dxfId="189" priority="124">
      <formula>ROW()=EVEN(ROW())</formula>
    </cfRule>
  </conditionalFormatting>
  <conditionalFormatting sqref="BC1">
    <cfRule type="expression" dxfId="188" priority="45">
      <formula>ROW()=EVEN(ROW())</formula>
    </cfRule>
  </conditionalFormatting>
  <conditionalFormatting sqref="BJ1">
    <cfRule type="expression" dxfId="187" priority="44">
      <formula>ROW()=EVEN(ROW())</formula>
    </cfRule>
  </conditionalFormatting>
  <conditionalFormatting sqref="BP78:BP81 AV81:AZ81 BC81:BG81 BJ81:BN81 BQ81:BS82">
    <cfRule type="expression" dxfId="186" priority="142">
      <formula>ROW()=EVEN(ROW())</formula>
    </cfRule>
  </conditionalFormatting>
  <conditionalFormatting sqref="BV1">
    <cfRule type="expression" dxfId="185" priority="43">
      <formula>ROW()=EVEN(ROW())</formula>
    </cfRule>
  </conditionalFormatting>
  <conditionalFormatting sqref="BV81:BZ81">
    <cfRule type="expression" dxfId="184" priority="65">
      <formula>ROW()=EVEN(ROW())</formula>
    </cfRule>
  </conditionalFormatting>
  <conditionalFormatting sqref="CC1 CJ1 CQ1">
    <cfRule type="expression" dxfId="183" priority="42">
      <formula>ROW()=EVEN(ROW())</formula>
    </cfRule>
  </conditionalFormatting>
  <conditionalFormatting sqref="CC81:CG81 CJ81:CN81 CQ81:CU81">
    <cfRule type="expression" dxfId="182" priority="103">
      <formula>ROW()=EVEN(ROW())</formula>
    </cfRule>
  </conditionalFormatting>
  <conditionalFormatting sqref="CR8:CU9 BR9:CJ13 CR10:CT25 CA14:CJ14 CH15:CJ25">
    <cfRule type="expression" dxfId="181" priority="29">
      <formula>ROW()=EVEN(ROW())</formula>
    </cfRule>
  </conditionalFormatting>
  <conditionalFormatting sqref="CZ1">
    <cfRule type="expression" dxfId="180" priority="2">
      <formula>ROW()=EVEN(ROW())</formula>
    </cfRule>
  </conditionalFormatting>
  <conditionalFormatting sqref="CZ81:DD81">
    <cfRule type="expression" dxfId="179" priority="3">
      <formula>ROW()=EVEN(ROW())</formula>
    </cfRule>
  </conditionalFormatting>
  <pageMargins left="0.7" right="0.7" top="0.75" bottom="0.75" header="0.3" footer="0.3"/>
  <pageSetup paperSize="9" scale="1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10FB-67DC-E646-B87B-F6FC2614A47E}">
  <sheetPr codeName="Sheet15">
    <tabColor theme="7" tint="0.39997558519241921"/>
  </sheetPr>
  <dimension ref="A1:L585"/>
  <sheetViews>
    <sheetView zoomScaleNormal="100" workbookViewId="0">
      <pane ySplit="2" topLeftCell="A556" activePane="bottomLeft" state="frozen"/>
      <selection pane="bottomLeft" activeCell="H578" sqref="H578"/>
    </sheetView>
  </sheetViews>
  <sheetFormatPr baseColWidth="10" defaultColWidth="11" defaultRowHeight="16"/>
  <cols>
    <col min="1" max="1" width="18" style="861" customWidth="1"/>
    <col min="2" max="2" width="21" style="862" customWidth="1"/>
    <col min="3" max="3" width="19" customWidth="1"/>
    <col min="4" max="4" width="15.83203125" style="31" customWidth="1"/>
    <col min="5" max="5" width="18" style="862" customWidth="1"/>
    <col min="6" max="6" width="16.6640625" style="862" customWidth="1"/>
    <col min="7" max="8" width="16.6640625" customWidth="1"/>
    <col min="9" max="9" width="16.33203125" customWidth="1"/>
    <col min="10" max="10" width="5.5" customWidth="1"/>
    <col min="11" max="11" width="25.83203125" customWidth="1"/>
    <col min="12" max="12" width="12.1640625" customWidth="1"/>
  </cols>
  <sheetData>
    <row r="1" spans="1:12" ht="33" customHeight="1">
      <c r="A1" s="869" t="s">
        <v>739</v>
      </c>
      <c r="B1" s="876" t="s">
        <v>740</v>
      </c>
      <c r="C1" s="870" t="s">
        <v>741</v>
      </c>
      <c r="D1" s="871" t="s">
        <v>742</v>
      </c>
      <c r="E1" s="872">
        <f ca="1">TODAY()</f>
        <v>46239</v>
      </c>
      <c r="F1" s="2195">
        <v>0.48799999999999999</v>
      </c>
      <c r="G1" s="871" t="s">
        <v>743</v>
      </c>
      <c r="H1" s="871" t="s">
        <v>258</v>
      </c>
      <c r="I1" s="2137">
        <v>9.9000000000000005E-2</v>
      </c>
      <c r="J1" s="1311"/>
      <c r="K1" s="871" t="s">
        <v>742</v>
      </c>
      <c r="L1" s="871" t="s">
        <v>744</v>
      </c>
    </row>
    <row r="2" spans="1:12" ht="15" customHeight="1">
      <c r="A2" s="859"/>
      <c r="B2" s="877"/>
      <c r="C2" s="858"/>
    </row>
    <row r="3" spans="1:12" ht="19">
      <c r="A3" s="860">
        <v>44311</v>
      </c>
      <c r="B3" s="875">
        <v>20000</v>
      </c>
      <c r="C3" s="500">
        <f t="shared" ref="C3:C66" si="0">C2+B3</f>
        <v>20000</v>
      </c>
      <c r="D3" s="31" t="s">
        <v>745</v>
      </c>
      <c r="E3" s="863">
        <f t="shared" ref="E3:E66" ca="1" si="1">IF(F3=0,0,F3-B3)</f>
        <v>239175</v>
      </c>
      <c r="F3" s="864">
        <f ca="1">IF(D3="Hami Interest",0,ROUNDUP(B3*(1+$F$1/12)^(($E$1-A3)/30),0))</f>
        <v>259175</v>
      </c>
      <c r="G3" s="1254">
        <v>23.704499999999999</v>
      </c>
      <c r="H3" s="1310">
        <f>B3/G3</f>
        <v>843.72165622561124</v>
      </c>
      <c r="I3" s="2191">
        <f ca="1">IF(D3="Hami Interest",0,ROUNDUP(H3*(1+$I$1/12)^(($E$1-A3)/30),0))</f>
        <v>1431</v>
      </c>
      <c r="J3" s="2392"/>
      <c r="L3">
        <f t="shared" ref="L3:L66" ca="1" si="2">$E$1-A3</f>
        <v>1928</v>
      </c>
    </row>
    <row r="4" spans="1:12" ht="19">
      <c r="A4" s="860">
        <v>44311</v>
      </c>
      <c r="B4" s="875">
        <v>50000</v>
      </c>
      <c r="C4" s="500">
        <f t="shared" si="0"/>
        <v>70000</v>
      </c>
      <c r="D4" s="31" t="s">
        <v>745</v>
      </c>
      <c r="E4" s="863">
        <f t="shared" ca="1" si="1"/>
        <v>597936</v>
      </c>
      <c r="F4" s="864">
        <f t="shared" ref="F4:F67" ca="1" si="3">IF(D4="Hami Interest",0,ROUNDUP(B4*(1+$F$1/12)^(($E$1-A4)/30),0))</f>
        <v>647936</v>
      </c>
      <c r="G4" s="1254">
        <v>23.704499999999999</v>
      </c>
      <c r="H4" s="1310">
        <f t="shared" ref="H4" si="4">B4/G4</f>
        <v>2109.3041405640279</v>
      </c>
      <c r="I4" s="2191">
        <f ca="1">IF(D4="Hami Interest",0,ROUNDUP(H4*(1+$I$1/12)^(($E$1-A4)/30),0))</f>
        <v>3577</v>
      </c>
      <c r="J4" s="2392"/>
      <c r="L4">
        <f t="shared" ca="1" si="2"/>
        <v>1928</v>
      </c>
    </row>
    <row r="5" spans="1:12" ht="19">
      <c r="A5" s="860">
        <v>44319</v>
      </c>
      <c r="B5" s="875">
        <v>50000</v>
      </c>
      <c r="C5" s="500">
        <f t="shared" si="0"/>
        <v>120000</v>
      </c>
      <c r="D5" s="31" t="s">
        <v>745</v>
      </c>
      <c r="E5" s="863">
        <f t="shared" ca="1" si="1"/>
        <v>591085</v>
      </c>
      <c r="F5" s="864">
        <f t="shared" ca="1" si="3"/>
        <v>641085</v>
      </c>
      <c r="G5" s="1254">
        <v>22.019500000000001</v>
      </c>
      <c r="H5" s="1310">
        <f t="shared" ref="H5:H7" si="5">B5/G5</f>
        <v>2270.7145938826948</v>
      </c>
      <c r="I5" s="2191">
        <f t="shared" ref="I5:I7" ca="1" si="6">IF(D5="Hami Interest",0,ROUNDUP(H5*(1+$I$1/12)^(($E$1-A5)/30),0))</f>
        <v>3842</v>
      </c>
      <c r="J5" s="2392"/>
      <c r="L5">
        <f t="shared" ca="1" si="2"/>
        <v>1920</v>
      </c>
    </row>
    <row r="6" spans="1:12" ht="20" customHeight="1">
      <c r="A6" s="860">
        <v>44326</v>
      </c>
      <c r="B6" s="875">
        <v>50000</v>
      </c>
      <c r="C6" s="500">
        <f t="shared" si="0"/>
        <v>170000</v>
      </c>
      <c r="D6" s="31" t="s">
        <v>745</v>
      </c>
      <c r="E6" s="863">
        <f t="shared" ca="1" si="1"/>
        <v>585150</v>
      </c>
      <c r="F6" s="864">
        <f t="shared" ca="1" si="3"/>
        <v>635150</v>
      </c>
      <c r="G6" s="1254">
        <v>21.856200000000001</v>
      </c>
      <c r="H6" s="1310">
        <f t="shared" si="5"/>
        <v>2287.6803835982464</v>
      </c>
      <c r="I6" s="2191">
        <f t="shared" ca="1" si="6"/>
        <v>3864</v>
      </c>
      <c r="J6" s="2392"/>
      <c r="L6">
        <f t="shared" ca="1" si="2"/>
        <v>1913</v>
      </c>
    </row>
    <row r="7" spans="1:12" ht="19">
      <c r="A7" s="860">
        <v>44334</v>
      </c>
      <c r="B7" s="875">
        <v>50000</v>
      </c>
      <c r="C7" s="500">
        <f t="shared" si="0"/>
        <v>220000</v>
      </c>
      <c r="D7" s="31" t="s">
        <v>745</v>
      </c>
      <c r="E7" s="863">
        <f t="shared" ca="1" si="1"/>
        <v>578434</v>
      </c>
      <c r="F7" s="864">
        <f t="shared" ca="1" si="3"/>
        <v>628434</v>
      </c>
      <c r="G7" s="1254">
        <v>22.7745</v>
      </c>
      <c r="H7" s="1310">
        <f t="shared" si="5"/>
        <v>2195.4378800851832</v>
      </c>
      <c r="I7" s="2191">
        <f t="shared" ca="1" si="6"/>
        <v>3700</v>
      </c>
      <c r="J7" s="2392"/>
      <c r="L7">
        <f t="shared" ca="1" si="2"/>
        <v>1905</v>
      </c>
    </row>
    <row r="8" spans="1:12" ht="19">
      <c r="A8" s="860">
        <v>44339</v>
      </c>
      <c r="B8" s="875">
        <v>50000</v>
      </c>
      <c r="C8" s="500">
        <f t="shared" si="0"/>
        <v>270000</v>
      </c>
      <c r="D8" s="31" t="s">
        <v>745</v>
      </c>
      <c r="E8" s="863">
        <f t="shared" ca="1" si="1"/>
        <v>574273</v>
      </c>
      <c r="F8" s="864">
        <f t="shared" ca="1" si="3"/>
        <v>624273</v>
      </c>
      <c r="G8" s="1254">
        <v>23.549499999999998</v>
      </c>
      <c r="H8" s="1310">
        <f t="shared" ref="H8:H71" si="7">B8/G8</f>
        <v>2123.1873288180218</v>
      </c>
      <c r="I8" s="2191">
        <f t="shared" ref="I8:I71" ca="1" si="8">IF(D8="Hami Interest",0,ROUNDUP(H8*(1+$I$1/12)^(($E$1-A8)/30),0))</f>
        <v>3573</v>
      </c>
      <c r="J8" s="2392"/>
      <c r="L8">
        <f t="shared" ca="1" si="2"/>
        <v>1900</v>
      </c>
    </row>
    <row r="9" spans="1:12" ht="19">
      <c r="A9" s="860">
        <v>44341</v>
      </c>
      <c r="B9" s="875">
        <v>50000</v>
      </c>
      <c r="C9" s="500">
        <f t="shared" si="0"/>
        <v>320000</v>
      </c>
      <c r="D9" s="31" t="s">
        <v>745</v>
      </c>
      <c r="E9" s="863">
        <f t="shared" ca="1" si="1"/>
        <v>572616</v>
      </c>
      <c r="F9" s="864">
        <f t="shared" ca="1" si="3"/>
        <v>622616</v>
      </c>
      <c r="G9" s="1254">
        <v>23.299499999999998</v>
      </c>
      <c r="H9" s="1310">
        <f t="shared" si="7"/>
        <v>2145.9687976136829</v>
      </c>
      <c r="I9" s="2191">
        <f t="shared" ca="1" si="8"/>
        <v>3609</v>
      </c>
      <c r="J9" s="2392"/>
      <c r="L9">
        <f t="shared" ca="1" si="2"/>
        <v>1898</v>
      </c>
    </row>
    <row r="10" spans="1:12" ht="19">
      <c r="A10" s="860">
        <v>44345</v>
      </c>
      <c r="B10" s="875">
        <v>50000</v>
      </c>
      <c r="C10" s="500">
        <f t="shared" si="0"/>
        <v>370000</v>
      </c>
      <c r="D10" s="31" t="s">
        <v>745</v>
      </c>
      <c r="E10" s="863">
        <f t="shared" ca="1" si="1"/>
        <v>569316</v>
      </c>
      <c r="F10" s="864">
        <f t="shared" ca="1" si="3"/>
        <v>619316</v>
      </c>
      <c r="G10" s="1254">
        <v>23.056000000000001</v>
      </c>
      <c r="H10" s="1310">
        <f t="shared" si="7"/>
        <v>2168.6328938237334</v>
      </c>
      <c r="I10" s="2191">
        <f t="shared" ca="1" si="8"/>
        <v>3644</v>
      </c>
      <c r="J10" s="2392"/>
      <c r="L10">
        <f t="shared" ca="1" si="2"/>
        <v>1894</v>
      </c>
    </row>
    <row r="11" spans="1:12" ht="19">
      <c r="A11" s="860">
        <v>44347</v>
      </c>
      <c r="B11" s="875">
        <v>50000</v>
      </c>
      <c r="C11" s="500">
        <f t="shared" si="0"/>
        <v>420000</v>
      </c>
      <c r="D11" s="31" t="s">
        <v>745</v>
      </c>
      <c r="E11" s="863">
        <f t="shared" ca="1" si="1"/>
        <v>567672</v>
      </c>
      <c r="F11" s="864">
        <f t="shared" ca="1" si="3"/>
        <v>617672</v>
      </c>
      <c r="G11" s="1254">
        <v>23.580500000000001</v>
      </c>
      <c r="H11" s="1310">
        <f t="shared" si="7"/>
        <v>2120.3960899896101</v>
      </c>
      <c r="I11" s="2191">
        <f t="shared" ca="1" si="8"/>
        <v>3561</v>
      </c>
      <c r="J11" s="2392"/>
      <c r="L11">
        <f t="shared" ca="1" si="2"/>
        <v>1892</v>
      </c>
    </row>
    <row r="12" spans="1:12" ht="19">
      <c r="A12" s="860">
        <v>44347</v>
      </c>
      <c r="B12" s="875">
        <v>50000</v>
      </c>
      <c r="C12" s="500">
        <f t="shared" si="0"/>
        <v>470000</v>
      </c>
      <c r="D12" s="31" t="s">
        <v>745</v>
      </c>
      <c r="E12" s="863">
        <f t="shared" ca="1" si="1"/>
        <v>567672</v>
      </c>
      <c r="F12" s="864">
        <f t="shared" ca="1" si="3"/>
        <v>617672</v>
      </c>
      <c r="G12" s="1254">
        <v>23.580500000000001</v>
      </c>
      <c r="H12" s="1310">
        <f t="shared" si="7"/>
        <v>2120.3960899896101</v>
      </c>
      <c r="I12" s="2191">
        <f t="shared" ca="1" si="8"/>
        <v>3561</v>
      </c>
      <c r="J12" s="2392"/>
      <c r="L12">
        <f t="shared" ca="1" si="2"/>
        <v>1892</v>
      </c>
    </row>
    <row r="13" spans="1:12" ht="19">
      <c r="A13" s="860">
        <v>44354</v>
      </c>
      <c r="B13" s="875">
        <v>50000</v>
      </c>
      <c r="C13" s="500">
        <f t="shared" si="0"/>
        <v>520000</v>
      </c>
      <c r="D13" s="31" t="s">
        <v>745</v>
      </c>
      <c r="E13" s="863">
        <f t="shared" ca="1" si="1"/>
        <v>561954</v>
      </c>
      <c r="F13" s="864">
        <f t="shared" ca="1" si="3"/>
        <v>611954</v>
      </c>
      <c r="G13" s="1254">
        <v>23.9695</v>
      </c>
      <c r="H13" s="1310">
        <f t="shared" si="7"/>
        <v>2085.9842716785915</v>
      </c>
      <c r="I13" s="2191">
        <f t="shared" ca="1" si="8"/>
        <v>3496</v>
      </c>
      <c r="J13" s="2392"/>
      <c r="L13">
        <f t="shared" ca="1" si="2"/>
        <v>1885</v>
      </c>
    </row>
    <row r="14" spans="1:12" ht="19">
      <c r="A14" s="860">
        <v>44355</v>
      </c>
      <c r="B14" s="875">
        <v>50000</v>
      </c>
      <c r="C14" s="500">
        <f t="shared" si="0"/>
        <v>570000</v>
      </c>
      <c r="D14" s="31" t="s">
        <v>745</v>
      </c>
      <c r="E14" s="863">
        <f t="shared" ca="1" si="1"/>
        <v>561141</v>
      </c>
      <c r="F14" s="864">
        <f t="shared" ca="1" si="3"/>
        <v>611141</v>
      </c>
      <c r="G14" s="1254">
        <v>24.134499999999999</v>
      </c>
      <c r="H14" s="1310">
        <f t="shared" si="7"/>
        <v>2071.7230520624003</v>
      </c>
      <c r="I14" s="2191">
        <f t="shared" ca="1" si="8"/>
        <v>3471</v>
      </c>
      <c r="J14" s="2392"/>
      <c r="L14">
        <f t="shared" ca="1" si="2"/>
        <v>1884</v>
      </c>
    </row>
    <row r="15" spans="1:12" ht="19">
      <c r="A15" s="860">
        <v>44359</v>
      </c>
      <c r="B15" s="875">
        <v>50000</v>
      </c>
      <c r="C15" s="500">
        <f t="shared" si="0"/>
        <v>620000</v>
      </c>
      <c r="D15" s="31" t="s">
        <v>745</v>
      </c>
      <c r="E15" s="863">
        <f t="shared" ca="1" si="1"/>
        <v>557902</v>
      </c>
      <c r="F15" s="864">
        <f t="shared" ca="1" si="3"/>
        <v>607902</v>
      </c>
      <c r="G15" s="1254">
        <v>24.009499999999999</v>
      </c>
      <c r="H15" s="1310">
        <f t="shared" si="7"/>
        <v>2082.5090068514546</v>
      </c>
      <c r="I15" s="2191">
        <f t="shared" ca="1" si="8"/>
        <v>3485</v>
      </c>
      <c r="J15" s="2392"/>
      <c r="L15">
        <f t="shared" ca="1" si="2"/>
        <v>1880</v>
      </c>
    </row>
    <row r="16" spans="1:12" ht="19">
      <c r="A16" s="860">
        <v>44361</v>
      </c>
      <c r="B16" s="875">
        <v>50000</v>
      </c>
      <c r="C16" s="500">
        <f t="shared" si="0"/>
        <v>670000</v>
      </c>
      <c r="D16" s="31" t="s">
        <v>745</v>
      </c>
      <c r="E16" s="863">
        <f t="shared" ca="1" si="1"/>
        <v>556288</v>
      </c>
      <c r="F16" s="864">
        <f t="shared" ca="1" si="3"/>
        <v>606288</v>
      </c>
      <c r="G16" s="1254">
        <v>24.06</v>
      </c>
      <c r="H16" s="1310">
        <f t="shared" si="7"/>
        <v>2078.1379883624272</v>
      </c>
      <c r="I16" s="2191">
        <f t="shared" ca="1" si="8"/>
        <v>3476</v>
      </c>
      <c r="J16" s="2392"/>
      <c r="L16">
        <f t="shared" ca="1" si="2"/>
        <v>1878</v>
      </c>
    </row>
    <row r="17" spans="1:12" ht="19">
      <c r="A17" s="860">
        <v>44363</v>
      </c>
      <c r="B17" s="875">
        <v>50000</v>
      </c>
      <c r="C17" s="500">
        <f t="shared" si="0"/>
        <v>720000</v>
      </c>
      <c r="D17" s="31" t="s">
        <v>745</v>
      </c>
      <c r="E17" s="863">
        <f t="shared" ca="1" si="1"/>
        <v>554679</v>
      </c>
      <c r="F17" s="864">
        <f t="shared" ca="1" si="3"/>
        <v>604679</v>
      </c>
      <c r="G17" s="1254">
        <v>24.329499999999999</v>
      </c>
      <c r="H17" s="1310">
        <f t="shared" si="7"/>
        <v>2055.1182720565571</v>
      </c>
      <c r="I17" s="2191">
        <f t="shared" ca="1" si="8"/>
        <v>3436</v>
      </c>
      <c r="J17" s="2392"/>
      <c r="L17">
        <f t="shared" ca="1" si="2"/>
        <v>1876</v>
      </c>
    </row>
    <row r="18" spans="1:12" ht="19">
      <c r="A18" s="860">
        <v>44366</v>
      </c>
      <c r="B18" s="875">
        <v>50000</v>
      </c>
      <c r="C18" s="500">
        <f t="shared" si="0"/>
        <v>770000</v>
      </c>
      <c r="D18" s="31" t="s">
        <v>745</v>
      </c>
      <c r="E18" s="863">
        <f t="shared" ca="1" si="1"/>
        <v>552274</v>
      </c>
      <c r="F18" s="864">
        <f t="shared" ca="1" si="3"/>
        <v>602274</v>
      </c>
      <c r="G18" s="1254">
        <v>23.756499999999999</v>
      </c>
      <c r="H18" s="1310">
        <f t="shared" si="7"/>
        <v>2104.6871382568984</v>
      </c>
      <c r="I18" s="2191">
        <f t="shared" ca="1" si="8"/>
        <v>3516</v>
      </c>
      <c r="J18" s="2392"/>
      <c r="L18">
        <f t="shared" ca="1" si="2"/>
        <v>1873</v>
      </c>
    </row>
    <row r="19" spans="1:12" ht="19">
      <c r="A19" s="860">
        <v>44373</v>
      </c>
      <c r="B19" s="875">
        <v>50000</v>
      </c>
      <c r="C19" s="500">
        <f t="shared" si="0"/>
        <v>820000</v>
      </c>
      <c r="D19" s="31" t="s">
        <v>745</v>
      </c>
      <c r="E19" s="863">
        <f t="shared" ca="1" si="1"/>
        <v>546698</v>
      </c>
      <c r="F19" s="864">
        <f t="shared" ca="1" si="3"/>
        <v>596698</v>
      </c>
      <c r="G19" s="1254">
        <v>24.5215</v>
      </c>
      <c r="H19" s="1310">
        <f t="shared" si="7"/>
        <v>2039.0269763268968</v>
      </c>
      <c r="I19" s="2191">
        <f t="shared" ca="1" si="8"/>
        <v>3400</v>
      </c>
      <c r="J19" s="2392"/>
      <c r="L19">
        <f t="shared" ca="1" si="2"/>
        <v>1866</v>
      </c>
    </row>
    <row r="20" spans="1:12" ht="19">
      <c r="A20" s="860">
        <v>44374</v>
      </c>
      <c r="B20" s="875">
        <v>20000</v>
      </c>
      <c r="C20" s="500">
        <f t="shared" si="0"/>
        <v>840000</v>
      </c>
      <c r="D20" s="31" t="s">
        <v>745</v>
      </c>
      <c r="E20" s="863">
        <f t="shared" ca="1" si="1"/>
        <v>218363</v>
      </c>
      <c r="F20" s="864">
        <f t="shared" ca="1" si="3"/>
        <v>238363</v>
      </c>
      <c r="G20" s="1254">
        <v>24.746500000000001</v>
      </c>
      <c r="H20" s="1310">
        <f t="shared" si="7"/>
        <v>808.19509829672882</v>
      </c>
      <c r="I20" s="2191">
        <f t="shared" ca="1" si="8"/>
        <v>1347</v>
      </c>
      <c r="J20" s="2392"/>
      <c r="L20">
        <f t="shared" ca="1" si="2"/>
        <v>1865</v>
      </c>
    </row>
    <row r="21" spans="1:12" ht="19">
      <c r="A21" s="860">
        <v>44374</v>
      </c>
      <c r="B21" s="875">
        <v>30000</v>
      </c>
      <c r="C21" s="500">
        <f t="shared" si="0"/>
        <v>870000</v>
      </c>
      <c r="D21" s="31" t="s">
        <v>745</v>
      </c>
      <c r="E21" s="863">
        <f t="shared" ca="1" si="1"/>
        <v>327544</v>
      </c>
      <c r="F21" s="864">
        <f t="shared" ca="1" si="3"/>
        <v>357544</v>
      </c>
      <c r="G21" s="1254">
        <v>24.746500000000001</v>
      </c>
      <c r="H21" s="1310">
        <f t="shared" si="7"/>
        <v>1212.2926474450933</v>
      </c>
      <c r="I21" s="2191">
        <f t="shared" ca="1" si="8"/>
        <v>2021</v>
      </c>
      <c r="J21" s="2392"/>
      <c r="L21">
        <f t="shared" ca="1" si="2"/>
        <v>1865</v>
      </c>
    </row>
    <row r="22" spans="1:12" ht="19">
      <c r="A22" s="860">
        <v>44375</v>
      </c>
      <c r="B22" s="875">
        <v>50000</v>
      </c>
      <c r="C22" s="500">
        <f t="shared" si="0"/>
        <v>920000</v>
      </c>
      <c r="D22" s="31" t="s">
        <v>745</v>
      </c>
      <c r="E22" s="863">
        <f t="shared" ca="1" si="1"/>
        <v>545114</v>
      </c>
      <c r="F22" s="864">
        <f t="shared" ca="1" si="3"/>
        <v>595114</v>
      </c>
      <c r="G22" s="1254">
        <v>25.046500000000002</v>
      </c>
      <c r="H22" s="1310">
        <f t="shared" si="7"/>
        <v>1996.2869063541812</v>
      </c>
      <c r="I22" s="2191">
        <f t="shared" ca="1" si="8"/>
        <v>3327</v>
      </c>
      <c r="J22" s="2392"/>
      <c r="L22">
        <f t="shared" ca="1" si="2"/>
        <v>1864</v>
      </c>
    </row>
    <row r="23" spans="1:12" ht="19">
      <c r="A23" s="860">
        <v>44376</v>
      </c>
      <c r="B23" s="875">
        <v>50000</v>
      </c>
      <c r="C23" s="500">
        <f t="shared" si="0"/>
        <v>970000</v>
      </c>
      <c r="D23" s="31" t="s">
        <v>745</v>
      </c>
      <c r="E23" s="863">
        <f t="shared" ca="1" si="1"/>
        <v>544324</v>
      </c>
      <c r="F23" s="864">
        <f t="shared" ca="1" si="3"/>
        <v>594324</v>
      </c>
      <c r="G23" s="1254">
        <v>25.206499999999998</v>
      </c>
      <c r="H23" s="1310">
        <f t="shared" si="7"/>
        <v>1983.6153373137881</v>
      </c>
      <c r="I23" s="2191">
        <f t="shared" ca="1" si="8"/>
        <v>3305</v>
      </c>
      <c r="J23" s="2392"/>
      <c r="L23">
        <f t="shared" ca="1" si="2"/>
        <v>1863</v>
      </c>
    </row>
    <row r="24" spans="1:12" ht="19">
      <c r="A24" s="860">
        <v>44378</v>
      </c>
      <c r="B24" s="875">
        <v>30000</v>
      </c>
      <c r="C24" s="500">
        <f t="shared" si="0"/>
        <v>1000000</v>
      </c>
      <c r="D24" s="31" t="s">
        <v>745</v>
      </c>
      <c r="E24" s="863">
        <f t="shared" ca="1" si="1"/>
        <v>325648</v>
      </c>
      <c r="F24" s="864">
        <f t="shared" ca="1" si="3"/>
        <v>355648</v>
      </c>
      <c r="G24" s="1254">
        <v>25.151</v>
      </c>
      <c r="H24" s="1310">
        <f t="shared" si="7"/>
        <v>1192.7955150888633</v>
      </c>
      <c r="I24" s="2191">
        <f t="shared" ca="1" si="8"/>
        <v>1986</v>
      </c>
      <c r="J24" s="2392"/>
      <c r="L24">
        <f t="shared" ca="1" si="2"/>
        <v>1861</v>
      </c>
    </row>
    <row r="25" spans="1:12" ht="19">
      <c r="A25" s="860">
        <v>44382</v>
      </c>
      <c r="B25" s="875">
        <v>50000</v>
      </c>
      <c r="C25" s="500">
        <f t="shared" si="0"/>
        <v>1050000</v>
      </c>
      <c r="D25" s="31" t="s">
        <v>745</v>
      </c>
      <c r="E25" s="863">
        <f t="shared" ca="1" si="1"/>
        <v>539605</v>
      </c>
      <c r="F25" s="864">
        <f t="shared" ca="1" si="3"/>
        <v>589605</v>
      </c>
      <c r="G25" s="1254">
        <v>25.111499999999999</v>
      </c>
      <c r="H25" s="1310">
        <f t="shared" si="7"/>
        <v>1991.1196065547658</v>
      </c>
      <c r="I25" s="2191">
        <f t="shared" ca="1" si="8"/>
        <v>3312</v>
      </c>
      <c r="J25" s="2392"/>
      <c r="L25">
        <f t="shared" ca="1" si="2"/>
        <v>1857</v>
      </c>
    </row>
    <row r="26" spans="1:12" ht="19">
      <c r="A26" s="860">
        <v>44390</v>
      </c>
      <c r="B26" s="875">
        <v>50000</v>
      </c>
      <c r="C26" s="500">
        <f t="shared" si="0"/>
        <v>1100000</v>
      </c>
      <c r="D26" s="31" t="s">
        <v>745</v>
      </c>
      <c r="E26" s="863">
        <f t="shared" ca="1" si="1"/>
        <v>533371</v>
      </c>
      <c r="F26" s="864">
        <f t="shared" ca="1" si="3"/>
        <v>583371</v>
      </c>
      <c r="G26" s="1254">
        <v>24.631499999999999</v>
      </c>
      <c r="H26" s="1310">
        <f t="shared" si="7"/>
        <v>2029.9210360716968</v>
      </c>
      <c r="I26" s="2191">
        <f t="shared" ca="1" si="8"/>
        <v>3369</v>
      </c>
      <c r="J26" s="2392"/>
      <c r="L26">
        <f t="shared" ca="1" si="2"/>
        <v>1849</v>
      </c>
    </row>
    <row r="27" spans="1:12" ht="19">
      <c r="A27" s="860">
        <v>44391</v>
      </c>
      <c r="B27" s="875">
        <v>50000</v>
      </c>
      <c r="C27" s="500">
        <f t="shared" si="0"/>
        <v>1150000</v>
      </c>
      <c r="D27" s="31" t="s">
        <v>745</v>
      </c>
      <c r="E27" s="863">
        <f t="shared" ca="1" si="1"/>
        <v>532596</v>
      </c>
      <c r="F27" s="864">
        <f t="shared" ca="1" si="3"/>
        <v>582596</v>
      </c>
      <c r="G27" s="1254">
        <v>24.706499999999998</v>
      </c>
      <c r="H27" s="1310">
        <f t="shared" si="7"/>
        <v>2023.758929836278</v>
      </c>
      <c r="I27" s="2191">
        <f t="shared" ca="1" si="8"/>
        <v>3358</v>
      </c>
      <c r="J27" s="2392"/>
      <c r="L27">
        <f t="shared" ca="1" si="2"/>
        <v>1848</v>
      </c>
    </row>
    <row r="28" spans="1:12" ht="19">
      <c r="A28" s="860">
        <v>44394</v>
      </c>
      <c r="B28" s="875">
        <v>50000</v>
      </c>
      <c r="C28" s="500">
        <f t="shared" si="0"/>
        <v>1200000</v>
      </c>
      <c r="D28" s="31" t="s">
        <v>745</v>
      </c>
      <c r="E28" s="863">
        <f t="shared" ca="1" si="1"/>
        <v>530279</v>
      </c>
      <c r="F28" s="864">
        <f t="shared" ca="1" si="3"/>
        <v>580279</v>
      </c>
      <c r="G28" s="1254">
        <v>24.641500000000001</v>
      </c>
      <c r="H28" s="1310">
        <f t="shared" si="7"/>
        <v>2029.0972546314144</v>
      </c>
      <c r="I28" s="2191">
        <f t="shared" ca="1" si="8"/>
        <v>3364</v>
      </c>
      <c r="J28" s="2392"/>
      <c r="L28">
        <f t="shared" ca="1" si="2"/>
        <v>1845</v>
      </c>
    </row>
    <row r="29" spans="1:12" ht="19">
      <c r="A29" s="860">
        <v>44396</v>
      </c>
      <c r="B29" s="875">
        <v>50000</v>
      </c>
      <c r="C29" s="500">
        <f t="shared" si="0"/>
        <v>1250000</v>
      </c>
      <c r="D29" s="31" t="s">
        <v>745</v>
      </c>
      <c r="E29" s="863">
        <f t="shared" ca="1" si="1"/>
        <v>528739</v>
      </c>
      <c r="F29" s="864">
        <f t="shared" ca="1" si="3"/>
        <v>578739</v>
      </c>
      <c r="G29" s="1254">
        <v>24.511500000000002</v>
      </c>
      <c r="H29" s="1310">
        <f t="shared" si="7"/>
        <v>2039.8588417681494</v>
      </c>
      <c r="I29" s="2191">
        <f t="shared" ca="1" si="8"/>
        <v>3380</v>
      </c>
      <c r="J29" s="2392"/>
      <c r="L29">
        <f t="shared" ca="1" si="2"/>
        <v>1843</v>
      </c>
    </row>
    <row r="30" spans="1:12" ht="19">
      <c r="A30" s="860">
        <v>44404</v>
      </c>
      <c r="B30" s="875">
        <v>48000</v>
      </c>
      <c r="C30" s="500">
        <f t="shared" si="0"/>
        <v>1298000</v>
      </c>
      <c r="D30" s="31" t="s">
        <v>745</v>
      </c>
      <c r="E30" s="863">
        <f t="shared" ca="1" si="1"/>
        <v>501714</v>
      </c>
      <c r="F30" s="864">
        <f t="shared" ca="1" si="3"/>
        <v>549714</v>
      </c>
      <c r="G30" s="1254">
        <v>25.3965</v>
      </c>
      <c r="H30" s="1310">
        <f t="shared" si="7"/>
        <v>1890.0242159352667</v>
      </c>
      <c r="I30" s="2191">
        <f t="shared" ca="1" si="8"/>
        <v>3125</v>
      </c>
      <c r="J30" s="2392"/>
      <c r="L30">
        <f t="shared" ca="1" si="2"/>
        <v>1835</v>
      </c>
    </row>
    <row r="31" spans="1:12" ht="19">
      <c r="A31" s="861">
        <v>44430</v>
      </c>
      <c r="B31" s="875">
        <v>50000</v>
      </c>
      <c r="C31" s="500">
        <f t="shared" si="0"/>
        <v>1348000</v>
      </c>
      <c r="D31" s="31" t="s">
        <v>745</v>
      </c>
      <c r="E31" s="863">
        <f t="shared" ca="1" si="1"/>
        <v>503175</v>
      </c>
      <c r="F31" s="864">
        <f t="shared" ca="1" si="3"/>
        <v>553175</v>
      </c>
      <c r="G31" s="1254">
        <v>27.531500000000001</v>
      </c>
      <c r="H31" s="1310">
        <f t="shared" si="7"/>
        <v>1816.1015563990338</v>
      </c>
      <c r="I31" s="2191">
        <f t="shared" ca="1" si="8"/>
        <v>2981</v>
      </c>
      <c r="J31" s="2392"/>
      <c r="L31">
        <f t="shared" ca="1" si="2"/>
        <v>1809</v>
      </c>
    </row>
    <row r="32" spans="1:12" ht="19">
      <c r="A32" s="860">
        <v>44431</v>
      </c>
      <c r="B32" s="875">
        <v>50000</v>
      </c>
      <c r="C32" s="500">
        <f t="shared" si="0"/>
        <v>1398000</v>
      </c>
      <c r="D32" s="31" t="s">
        <v>745</v>
      </c>
      <c r="E32" s="863">
        <f t="shared" ca="1" si="1"/>
        <v>502440</v>
      </c>
      <c r="F32" s="864">
        <f t="shared" ca="1" si="3"/>
        <v>552440</v>
      </c>
      <c r="G32" s="1254">
        <v>27.7315</v>
      </c>
      <c r="H32" s="1310">
        <f t="shared" si="7"/>
        <v>1803.0038043380271</v>
      </c>
      <c r="I32" s="2191">
        <f t="shared" ca="1" si="8"/>
        <v>2959</v>
      </c>
      <c r="J32" s="2392"/>
      <c r="L32">
        <f t="shared" ca="1" si="2"/>
        <v>1808</v>
      </c>
    </row>
    <row r="33" spans="1:12" ht="19">
      <c r="A33" s="861">
        <v>44432</v>
      </c>
      <c r="B33" s="875">
        <v>50000</v>
      </c>
      <c r="C33" s="500">
        <f t="shared" si="0"/>
        <v>1448000</v>
      </c>
      <c r="D33" s="31" t="s">
        <v>745</v>
      </c>
      <c r="E33" s="863">
        <f t="shared" ca="1" si="1"/>
        <v>501707</v>
      </c>
      <c r="F33" s="864">
        <f t="shared" ca="1" si="3"/>
        <v>551707</v>
      </c>
      <c r="G33" s="1254">
        <v>27.886500000000002</v>
      </c>
      <c r="H33" s="1310">
        <f t="shared" si="7"/>
        <v>1792.9822674053753</v>
      </c>
      <c r="I33" s="2191">
        <f t="shared" ca="1" si="8"/>
        <v>2942</v>
      </c>
      <c r="J33" s="2392"/>
      <c r="L33">
        <f t="shared" ca="1" si="2"/>
        <v>1807</v>
      </c>
    </row>
    <row r="34" spans="1:12" ht="19">
      <c r="A34" s="860">
        <v>44433</v>
      </c>
      <c r="B34" s="875">
        <v>50000</v>
      </c>
      <c r="C34" s="500">
        <f t="shared" si="0"/>
        <v>1498000</v>
      </c>
      <c r="D34" s="31" t="s">
        <v>745</v>
      </c>
      <c r="E34" s="863">
        <f t="shared" ca="1" si="1"/>
        <v>500974</v>
      </c>
      <c r="F34" s="864">
        <f t="shared" ca="1" si="3"/>
        <v>550974</v>
      </c>
      <c r="G34" s="1254">
        <v>27.906500000000001</v>
      </c>
      <c r="H34" s="1310">
        <f t="shared" si="7"/>
        <v>1791.697274828445</v>
      </c>
      <c r="I34" s="2191">
        <f t="shared" ca="1" si="8"/>
        <v>2939</v>
      </c>
      <c r="J34" s="2392"/>
      <c r="L34">
        <f t="shared" ca="1" si="2"/>
        <v>1806</v>
      </c>
    </row>
    <row r="35" spans="1:12" ht="19">
      <c r="A35" s="860">
        <v>44433</v>
      </c>
      <c r="B35" s="875">
        <v>-145</v>
      </c>
      <c r="C35" s="500">
        <f t="shared" si="0"/>
        <v>1497855</v>
      </c>
      <c r="D35" s="31" t="s">
        <v>638</v>
      </c>
      <c r="E35" s="863">
        <f t="shared" ca="1" si="1"/>
        <v>-1453</v>
      </c>
      <c r="F35" s="864">
        <f t="shared" ca="1" si="3"/>
        <v>-1598</v>
      </c>
      <c r="G35" s="1254">
        <v>27.906500000000001</v>
      </c>
      <c r="H35" s="1310">
        <f t="shared" si="7"/>
        <v>-5.19592209700249</v>
      </c>
      <c r="I35" s="2191">
        <f t="shared" ca="1" si="8"/>
        <v>-9</v>
      </c>
      <c r="J35" s="2392"/>
      <c r="L35">
        <f t="shared" ca="1" si="2"/>
        <v>1806</v>
      </c>
    </row>
    <row r="36" spans="1:12" ht="19">
      <c r="A36" s="860">
        <v>44436</v>
      </c>
      <c r="B36" s="875">
        <v>50000</v>
      </c>
      <c r="C36" s="500">
        <f t="shared" si="0"/>
        <v>1547855</v>
      </c>
      <c r="D36" s="31" t="s">
        <v>745</v>
      </c>
      <c r="E36" s="863">
        <f t="shared" ca="1" si="1"/>
        <v>498782</v>
      </c>
      <c r="F36" s="864">
        <f t="shared" ca="1" si="3"/>
        <v>548782</v>
      </c>
      <c r="G36" s="1254">
        <v>27.8765</v>
      </c>
      <c r="H36" s="1310">
        <f t="shared" si="7"/>
        <v>1793.6254551324591</v>
      </c>
      <c r="I36" s="2191">
        <f t="shared" ca="1" si="8"/>
        <v>2939</v>
      </c>
      <c r="J36" s="2392"/>
      <c r="L36">
        <f t="shared" ca="1" si="2"/>
        <v>1803</v>
      </c>
    </row>
    <row r="37" spans="1:12" ht="19">
      <c r="A37" s="860">
        <v>44437</v>
      </c>
      <c r="B37" s="875">
        <v>50000</v>
      </c>
      <c r="C37" s="500">
        <f t="shared" si="0"/>
        <v>1597855</v>
      </c>
      <c r="D37" s="31" t="s">
        <v>745</v>
      </c>
      <c r="E37" s="863">
        <f t="shared" ca="1" si="1"/>
        <v>498054</v>
      </c>
      <c r="F37" s="864">
        <f t="shared" ca="1" si="3"/>
        <v>548054</v>
      </c>
      <c r="G37" s="1254">
        <v>27.167999999999999</v>
      </c>
      <c r="H37" s="1310">
        <f t="shared" si="7"/>
        <v>1840.4004711425207</v>
      </c>
      <c r="I37" s="2191">
        <f t="shared" ca="1" si="8"/>
        <v>3015</v>
      </c>
      <c r="J37" s="2392"/>
      <c r="L37">
        <f t="shared" ca="1" si="2"/>
        <v>1802</v>
      </c>
    </row>
    <row r="38" spans="1:12" ht="19">
      <c r="A38" s="860">
        <v>44438</v>
      </c>
      <c r="B38" s="875">
        <v>50000</v>
      </c>
      <c r="C38" s="500">
        <f t="shared" si="0"/>
        <v>1647855</v>
      </c>
      <c r="D38" s="31" t="s">
        <v>745</v>
      </c>
      <c r="E38" s="863">
        <f t="shared" ca="1" si="1"/>
        <v>497326</v>
      </c>
      <c r="F38" s="864">
        <f t="shared" ca="1" si="3"/>
        <v>547326</v>
      </c>
      <c r="G38" s="1254">
        <v>27.327999999999999</v>
      </c>
      <c r="H38" s="1310">
        <f t="shared" si="7"/>
        <v>1829.6252927400469</v>
      </c>
      <c r="I38" s="2191">
        <f t="shared" ca="1" si="8"/>
        <v>2997</v>
      </c>
      <c r="J38" s="2392"/>
      <c r="L38">
        <f t="shared" ca="1" si="2"/>
        <v>1801</v>
      </c>
    </row>
    <row r="39" spans="1:12" ht="19">
      <c r="A39" s="860">
        <v>44439</v>
      </c>
      <c r="B39" s="875">
        <v>30000</v>
      </c>
      <c r="C39" s="500">
        <f t="shared" si="0"/>
        <v>1677855</v>
      </c>
      <c r="D39" s="31" t="s">
        <v>745</v>
      </c>
      <c r="E39" s="863">
        <f t="shared" ca="1" si="1"/>
        <v>297960</v>
      </c>
      <c r="F39" s="864">
        <f t="shared" ca="1" si="3"/>
        <v>327960</v>
      </c>
      <c r="G39" s="1254">
        <v>27.172999999999998</v>
      </c>
      <c r="H39" s="1310">
        <f t="shared" si="7"/>
        <v>1104.0370956464137</v>
      </c>
      <c r="I39" s="2191">
        <f t="shared" ca="1" si="8"/>
        <v>1808</v>
      </c>
      <c r="J39" s="2392"/>
      <c r="L39">
        <f t="shared" ca="1" si="2"/>
        <v>1800</v>
      </c>
    </row>
    <row r="40" spans="1:12" ht="19">
      <c r="A40" s="860">
        <v>44439</v>
      </c>
      <c r="B40" s="875">
        <v>20000</v>
      </c>
      <c r="C40" s="500">
        <f t="shared" si="0"/>
        <v>1697855</v>
      </c>
      <c r="D40" s="31" t="s">
        <v>745</v>
      </c>
      <c r="E40" s="863">
        <f t="shared" ca="1" si="1"/>
        <v>198640</v>
      </c>
      <c r="F40" s="864">
        <f t="shared" ca="1" si="3"/>
        <v>218640</v>
      </c>
      <c r="G40" s="1254">
        <v>27.172999999999998</v>
      </c>
      <c r="H40" s="1310">
        <f t="shared" si="7"/>
        <v>736.02473043094255</v>
      </c>
      <c r="I40" s="2191">
        <f t="shared" ca="1" si="8"/>
        <v>1205</v>
      </c>
      <c r="J40" s="2392"/>
      <c r="L40">
        <f t="shared" ca="1" si="2"/>
        <v>1800</v>
      </c>
    </row>
    <row r="41" spans="1:12" ht="19">
      <c r="A41" s="860">
        <v>44446</v>
      </c>
      <c r="B41" s="875">
        <v>50000</v>
      </c>
      <c r="C41" s="500">
        <f t="shared" si="0"/>
        <v>1747855</v>
      </c>
      <c r="D41" s="31" t="s">
        <v>745</v>
      </c>
      <c r="E41" s="863">
        <f t="shared" ca="1" si="1"/>
        <v>491539</v>
      </c>
      <c r="F41" s="864">
        <f t="shared" ca="1" si="3"/>
        <v>541539</v>
      </c>
      <c r="G41" s="1254">
        <v>27.617999999999999</v>
      </c>
      <c r="H41" s="1310">
        <f t="shared" si="7"/>
        <v>1810.4134984430445</v>
      </c>
      <c r="I41" s="2191">
        <f t="shared" ca="1" si="8"/>
        <v>2959</v>
      </c>
      <c r="J41" s="2392"/>
      <c r="L41">
        <f t="shared" ca="1" si="2"/>
        <v>1793</v>
      </c>
    </row>
    <row r="42" spans="1:12" ht="19">
      <c r="A42" s="860">
        <v>44459</v>
      </c>
      <c r="B42" s="875">
        <v>28000</v>
      </c>
      <c r="C42" s="500">
        <f t="shared" si="0"/>
        <v>1775855</v>
      </c>
      <c r="D42" s="31" t="s">
        <v>745</v>
      </c>
      <c r="E42" s="863">
        <f t="shared" ca="1" si="1"/>
        <v>270069</v>
      </c>
      <c r="F42" s="864">
        <f t="shared" ca="1" si="3"/>
        <v>298069</v>
      </c>
      <c r="G42" s="1254">
        <v>27.498000000000001</v>
      </c>
      <c r="H42" s="1310">
        <f t="shared" si="7"/>
        <v>1018.2558731544112</v>
      </c>
      <c r="I42" s="2191">
        <f t="shared" ca="1" si="8"/>
        <v>1658</v>
      </c>
      <c r="J42" s="2392"/>
      <c r="L42">
        <f t="shared" ca="1" si="2"/>
        <v>1780</v>
      </c>
    </row>
    <row r="43" spans="1:12" ht="19">
      <c r="A43" s="860">
        <v>44460</v>
      </c>
      <c r="B43" s="875">
        <v>24000</v>
      </c>
      <c r="C43" s="500">
        <f t="shared" si="0"/>
        <v>1799855</v>
      </c>
      <c r="D43" s="31" t="s">
        <v>745</v>
      </c>
      <c r="E43" s="863">
        <f t="shared" ca="1" si="1"/>
        <v>231148</v>
      </c>
      <c r="F43" s="864">
        <f t="shared" ca="1" si="3"/>
        <v>255148</v>
      </c>
      <c r="G43" s="1254">
        <v>27.498000000000001</v>
      </c>
      <c r="H43" s="1310">
        <f t="shared" si="7"/>
        <v>872.79074841806676</v>
      </c>
      <c r="I43" s="2191">
        <f t="shared" ca="1" si="8"/>
        <v>1421</v>
      </c>
      <c r="J43" s="2392"/>
      <c r="L43">
        <f t="shared" ca="1" si="2"/>
        <v>1779</v>
      </c>
    </row>
    <row r="44" spans="1:12" ht="19">
      <c r="A44" s="860">
        <v>44461</v>
      </c>
      <c r="B44" s="875">
        <v>-150</v>
      </c>
      <c r="C44" s="500">
        <f t="shared" si="0"/>
        <v>1799705</v>
      </c>
      <c r="D44" s="31" t="s">
        <v>638</v>
      </c>
      <c r="E44" s="863">
        <f t="shared" ca="1" si="1"/>
        <v>-1443</v>
      </c>
      <c r="F44" s="864">
        <f t="shared" ca="1" si="3"/>
        <v>-1593</v>
      </c>
      <c r="G44" s="1254">
        <v>27.527999999999999</v>
      </c>
      <c r="H44" s="1310">
        <f t="shared" si="7"/>
        <v>-5.448997384481256</v>
      </c>
      <c r="I44" s="2191">
        <f t="shared" ca="1" si="8"/>
        <v>-9</v>
      </c>
      <c r="J44" s="2392"/>
      <c r="L44">
        <f t="shared" ca="1" si="2"/>
        <v>1778</v>
      </c>
    </row>
    <row r="45" spans="1:12" ht="19">
      <c r="A45" s="860">
        <v>44489</v>
      </c>
      <c r="B45" s="875">
        <v>50000</v>
      </c>
      <c r="C45" s="500">
        <f t="shared" si="0"/>
        <v>1849705</v>
      </c>
      <c r="D45" s="31" t="s">
        <v>745</v>
      </c>
      <c r="E45" s="863">
        <f t="shared" ca="1" si="1"/>
        <v>461465</v>
      </c>
      <c r="F45" s="864">
        <f t="shared" ca="1" si="3"/>
        <v>511465</v>
      </c>
      <c r="G45" s="1254">
        <v>27.408999999999999</v>
      </c>
      <c r="H45" s="1310">
        <f t="shared" si="7"/>
        <v>1824.2183224488308</v>
      </c>
      <c r="I45" s="2191">
        <f t="shared" ca="1" si="8"/>
        <v>2946</v>
      </c>
      <c r="J45" s="2392"/>
      <c r="L45">
        <f t="shared" ca="1" si="2"/>
        <v>1750</v>
      </c>
    </row>
    <row r="46" spans="1:12" ht="19">
      <c r="A46" s="860">
        <v>44494</v>
      </c>
      <c r="B46" s="875">
        <v>50000</v>
      </c>
      <c r="C46" s="500">
        <f t="shared" si="0"/>
        <v>1899705</v>
      </c>
      <c r="D46" s="31" t="s">
        <v>745</v>
      </c>
      <c r="E46" s="863">
        <f t="shared" ca="1" si="1"/>
        <v>458079</v>
      </c>
      <c r="F46" s="864">
        <f t="shared" ca="1" si="3"/>
        <v>508079</v>
      </c>
      <c r="G46" s="1254">
        <v>27.484000000000002</v>
      </c>
      <c r="H46" s="1310">
        <f t="shared" si="7"/>
        <v>1819.2402852568766</v>
      </c>
      <c r="I46" s="2191">
        <f t="shared" ca="1" si="8"/>
        <v>2934</v>
      </c>
      <c r="J46" s="2392"/>
      <c r="L46">
        <f t="shared" ca="1" si="2"/>
        <v>1745</v>
      </c>
    </row>
    <row r="47" spans="1:12" ht="19">
      <c r="A47" s="860">
        <v>44506</v>
      </c>
      <c r="B47" s="875">
        <v>50000</v>
      </c>
      <c r="C47" s="500">
        <f t="shared" si="0"/>
        <v>1949705</v>
      </c>
      <c r="D47" s="31" t="s">
        <v>745</v>
      </c>
      <c r="E47" s="863">
        <f t="shared" ca="1" si="1"/>
        <v>450042</v>
      </c>
      <c r="F47" s="864">
        <f t="shared" ca="1" si="3"/>
        <v>500042</v>
      </c>
      <c r="G47" s="1254">
        <v>27.864000000000001</v>
      </c>
      <c r="H47" s="1310">
        <f t="shared" si="7"/>
        <v>1794.4300890037323</v>
      </c>
      <c r="I47" s="2191">
        <f t="shared" ca="1" si="8"/>
        <v>2885</v>
      </c>
      <c r="J47" s="2392"/>
      <c r="L47">
        <f t="shared" ca="1" si="2"/>
        <v>1733</v>
      </c>
    </row>
    <row r="48" spans="1:12" ht="19">
      <c r="A48" s="860">
        <v>44515</v>
      </c>
      <c r="B48" s="875">
        <v>50000</v>
      </c>
      <c r="C48" s="500">
        <f t="shared" si="0"/>
        <v>1999705</v>
      </c>
      <c r="D48" s="31" t="s">
        <v>745</v>
      </c>
      <c r="E48" s="863">
        <f t="shared" ca="1" si="1"/>
        <v>444098</v>
      </c>
      <c r="F48" s="864">
        <f t="shared" ca="1" si="3"/>
        <v>494098</v>
      </c>
      <c r="G48" s="1254">
        <v>28.061499999999999</v>
      </c>
      <c r="H48" s="1310">
        <f t="shared" si="7"/>
        <v>1781.8006877750656</v>
      </c>
      <c r="I48" s="2191">
        <f t="shared" ca="1" si="8"/>
        <v>2858</v>
      </c>
      <c r="J48" s="2392"/>
      <c r="L48">
        <f t="shared" ca="1" si="2"/>
        <v>1724</v>
      </c>
    </row>
    <row r="49" spans="1:12" ht="19">
      <c r="A49" s="860">
        <v>44518</v>
      </c>
      <c r="B49" s="875">
        <v>7800</v>
      </c>
      <c r="C49" s="500">
        <f t="shared" si="0"/>
        <v>2007505</v>
      </c>
      <c r="D49" s="31" t="s">
        <v>745</v>
      </c>
      <c r="E49" s="863">
        <f t="shared" ca="1" si="1"/>
        <v>68973</v>
      </c>
      <c r="F49" s="864">
        <f t="shared" ca="1" si="3"/>
        <v>76773</v>
      </c>
      <c r="G49" s="1254">
        <v>27.898</v>
      </c>
      <c r="H49" s="1310">
        <f t="shared" si="7"/>
        <v>279.58993476234855</v>
      </c>
      <c r="I49" s="2191">
        <f t="shared" ca="1" si="8"/>
        <v>448</v>
      </c>
      <c r="J49" s="2392"/>
      <c r="L49">
        <f t="shared" ca="1" si="2"/>
        <v>1721</v>
      </c>
    </row>
    <row r="50" spans="1:12" ht="19">
      <c r="A50" s="860">
        <v>44538</v>
      </c>
      <c r="B50" s="875">
        <v>-107671</v>
      </c>
      <c r="C50" s="500">
        <f t="shared" si="0"/>
        <v>1899834</v>
      </c>
      <c r="D50" s="31" t="s">
        <v>746</v>
      </c>
      <c r="E50" s="863">
        <f t="shared" ca="1" si="1"/>
        <v>-924304</v>
      </c>
      <c r="F50" s="864">
        <f t="shared" ca="1" si="3"/>
        <v>-1031975</v>
      </c>
      <c r="G50" s="1254">
        <v>30.715499999999999</v>
      </c>
      <c r="H50" s="1310">
        <f t="shared" si="7"/>
        <v>-3505.4288551382856</v>
      </c>
      <c r="I50" s="2191">
        <f t="shared" ca="1" si="8"/>
        <v>-5586</v>
      </c>
      <c r="J50" s="2392"/>
      <c r="L50">
        <f t="shared" ca="1" si="2"/>
        <v>1701</v>
      </c>
    </row>
    <row r="51" spans="1:12" ht="19">
      <c r="A51" s="860">
        <v>44542</v>
      </c>
      <c r="B51" s="875">
        <v>50000</v>
      </c>
      <c r="C51" s="500">
        <f t="shared" si="0"/>
        <v>1949834</v>
      </c>
      <c r="D51" s="31" t="s">
        <v>745</v>
      </c>
      <c r="E51" s="863">
        <f t="shared" ca="1" si="1"/>
        <v>426686</v>
      </c>
      <c r="F51" s="864">
        <f t="shared" ca="1" si="3"/>
        <v>476686</v>
      </c>
      <c r="G51" s="1254">
        <v>29.8125</v>
      </c>
      <c r="H51" s="1310">
        <f t="shared" si="7"/>
        <v>1677.1488469601677</v>
      </c>
      <c r="I51" s="2191">
        <f t="shared" ca="1" si="8"/>
        <v>2670</v>
      </c>
      <c r="J51" s="2392"/>
      <c r="L51">
        <f t="shared" ca="1" si="2"/>
        <v>1697</v>
      </c>
    </row>
    <row r="52" spans="1:12" ht="19">
      <c r="A52" s="860">
        <v>44544</v>
      </c>
      <c r="B52" s="875">
        <v>50000</v>
      </c>
      <c r="C52" s="500">
        <f t="shared" si="0"/>
        <v>1999834</v>
      </c>
      <c r="D52" s="31" t="s">
        <v>745</v>
      </c>
      <c r="E52" s="863">
        <f t="shared" ca="1" si="1"/>
        <v>425421</v>
      </c>
      <c r="F52" s="864">
        <f t="shared" ca="1" si="3"/>
        <v>475421</v>
      </c>
      <c r="G52" s="1254">
        <v>30.347000000000001</v>
      </c>
      <c r="H52" s="1310">
        <f t="shared" si="7"/>
        <v>1647.6093188783075</v>
      </c>
      <c r="I52" s="2191">
        <f t="shared" ca="1" si="8"/>
        <v>2621</v>
      </c>
      <c r="J52" s="2392"/>
      <c r="L52">
        <f t="shared" ca="1" si="2"/>
        <v>1695</v>
      </c>
    </row>
    <row r="53" spans="1:12" ht="19">
      <c r="A53" s="860">
        <v>44562</v>
      </c>
      <c r="B53" s="875">
        <v>-4263</v>
      </c>
      <c r="C53" s="500">
        <f t="shared" si="0"/>
        <v>1995571</v>
      </c>
      <c r="D53" s="31" t="s">
        <v>746</v>
      </c>
      <c r="E53" s="863">
        <f t="shared" ca="1" si="1"/>
        <v>-35314</v>
      </c>
      <c r="F53" s="864">
        <f t="shared" ca="1" si="3"/>
        <v>-39577</v>
      </c>
      <c r="G53" s="1254">
        <v>29.477</v>
      </c>
      <c r="H53" s="1310">
        <f t="shared" si="7"/>
        <v>-144.62123011161245</v>
      </c>
      <c r="I53" s="2191">
        <f t="shared" ca="1" si="8"/>
        <v>-229</v>
      </c>
      <c r="J53" s="2392"/>
      <c r="L53">
        <f t="shared" ca="1" si="2"/>
        <v>1677</v>
      </c>
    </row>
    <row r="54" spans="1:12" ht="19">
      <c r="A54" s="860">
        <v>44585</v>
      </c>
      <c r="B54" s="875">
        <v>50000</v>
      </c>
      <c r="C54" s="500">
        <f t="shared" si="0"/>
        <v>2045571</v>
      </c>
      <c r="D54" s="31" t="s">
        <v>745</v>
      </c>
      <c r="E54" s="863">
        <f t="shared" ca="1" si="1"/>
        <v>400214</v>
      </c>
      <c r="F54" s="864">
        <f t="shared" ca="1" si="3"/>
        <v>450214</v>
      </c>
      <c r="G54" s="1254">
        <v>27.807500000000001</v>
      </c>
      <c r="H54" s="1310">
        <f t="shared" si="7"/>
        <v>1798.0760586172794</v>
      </c>
      <c r="I54" s="2191">
        <f t="shared" ca="1" si="8"/>
        <v>2829</v>
      </c>
      <c r="J54" s="2392"/>
      <c r="L54">
        <f t="shared" ca="1" si="2"/>
        <v>1654</v>
      </c>
    </row>
    <row r="55" spans="1:12" ht="19">
      <c r="A55" s="860">
        <v>44601</v>
      </c>
      <c r="B55" s="875">
        <v>10000</v>
      </c>
      <c r="C55" s="500">
        <f t="shared" si="0"/>
        <v>2055571</v>
      </c>
      <c r="D55" s="31" t="s">
        <v>745</v>
      </c>
      <c r="E55" s="863">
        <f t="shared" ca="1" si="1"/>
        <v>78149</v>
      </c>
      <c r="F55" s="864">
        <f t="shared" ca="1" si="3"/>
        <v>88149</v>
      </c>
      <c r="G55" s="1254">
        <v>26.227499999999999</v>
      </c>
      <c r="H55" s="1310">
        <f t="shared" si="7"/>
        <v>381.27919168811366</v>
      </c>
      <c r="I55" s="2191">
        <f t="shared" ca="1" si="8"/>
        <v>598</v>
      </c>
      <c r="J55" s="2392"/>
      <c r="L55">
        <f t="shared" ca="1" si="2"/>
        <v>1638</v>
      </c>
    </row>
    <row r="56" spans="1:12" ht="19">
      <c r="A56" s="860">
        <v>44606</v>
      </c>
      <c r="B56" s="875">
        <v>40000</v>
      </c>
      <c r="C56" s="500">
        <f t="shared" si="0"/>
        <v>2095571</v>
      </c>
      <c r="D56" s="31" t="s">
        <v>745</v>
      </c>
      <c r="E56" s="863">
        <f t="shared" ca="1" si="1"/>
        <v>310260</v>
      </c>
      <c r="F56" s="864">
        <f t="shared" ca="1" si="3"/>
        <v>350260</v>
      </c>
      <c r="G56" s="1254">
        <v>26.906400000000001</v>
      </c>
      <c r="H56" s="1310">
        <f t="shared" si="7"/>
        <v>1486.6351500014866</v>
      </c>
      <c r="I56" s="2191">
        <f t="shared" ca="1" si="8"/>
        <v>2326</v>
      </c>
      <c r="J56" s="2392"/>
      <c r="L56">
        <f t="shared" ca="1" si="2"/>
        <v>1633</v>
      </c>
    </row>
    <row r="57" spans="1:12" ht="19">
      <c r="A57" s="860">
        <v>44620</v>
      </c>
      <c r="B57" s="875">
        <v>-130</v>
      </c>
      <c r="C57" s="500">
        <f t="shared" si="0"/>
        <v>2095441</v>
      </c>
      <c r="D57" s="31" t="s">
        <v>638</v>
      </c>
      <c r="E57" s="863">
        <f t="shared" ca="1" si="1"/>
        <v>-988</v>
      </c>
      <c r="F57" s="864">
        <f t="shared" ca="1" si="3"/>
        <v>-1118</v>
      </c>
      <c r="G57" s="1254">
        <v>25.965</v>
      </c>
      <c r="H57" s="1310">
        <f t="shared" si="7"/>
        <v>-5.0067398420951283</v>
      </c>
      <c r="I57" s="2191">
        <f t="shared" ca="1" si="8"/>
        <v>-8</v>
      </c>
      <c r="J57" s="2392"/>
      <c r="L57">
        <f t="shared" ca="1" si="2"/>
        <v>1619</v>
      </c>
    </row>
    <row r="58" spans="1:12" ht="19">
      <c r="A58" s="860">
        <v>44629</v>
      </c>
      <c r="B58" s="875">
        <v>-135</v>
      </c>
      <c r="C58" s="500">
        <f t="shared" si="0"/>
        <v>2095306</v>
      </c>
      <c r="D58" s="31" t="s">
        <v>638</v>
      </c>
      <c r="E58" s="863">
        <f t="shared" ca="1" si="1"/>
        <v>-1012</v>
      </c>
      <c r="F58" s="864">
        <f t="shared" ca="1" si="3"/>
        <v>-1147</v>
      </c>
      <c r="G58" s="1254">
        <v>25.743500000000001</v>
      </c>
      <c r="H58" s="1310">
        <f t="shared" si="7"/>
        <v>-5.2440421854060251</v>
      </c>
      <c r="I58" s="2191">
        <f t="shared" ca="1" si="8"/>
        <v>-9</v>
      </c>
      <c r="J58" s="2392"/>
      <c r="L58">
        <f t="shared" ca="1" si="2"/>
        <v>1610</v>
      </c>
    </row>
    <row r="59" spans="1:12" ht="19">
      <c r="A59" s="860">
        <v>44660</v>
      </c>
      <c r="B59" s="875">
        <v>-175</v>
      </c>
      <c r="C59" s="500">
        <f t="shared" si="0"/>
        <v>2095131</v>
      </c>
      <c r="D59" s="31" t="s">
        <v>638</v>
      </c>
      <c r="E59" s="863">
        <f t="shared" ca="1" si="1"/>
        <v>-1252</v>
      </c>
      <c r="F59" s="864">
        <f t="shared" ca="1" si="3"/>
        <v>-1427</v>
      </c>
      <c r="G59" s="1254">
        <v>27.84</v>
      </c>
      <c r="H59" s="1310">
        <f t="shared" si="7"/>
        <v>-6.2859195402298855</v>
      </c>
      <c r="I59" s="2191">
        <f t="shared" ca="1" si="8"/>
        <v>-10</v>
      </c>
      <c r="J59" s="2392"/>
      <c r="L59">
        <f t="shared" ca="1" si="2"/>
        <v>1579</v>
      </c>
    </row>
    <row r="60" spans="1:12" ht="19">
      <c r="A60" s="860">
        <v>44668</v>
      </c>
      <c r="B60" s="875">
        <v>50000</v>
      </c>
      <c r="C60" s="500">
        <f t="shared" si="0"/>
        <v>2145131</v>
      </c>
      <c r="D60" s="31" t="s">
        <v>747</v>
      </c>
      <c r="E60" s="863">
        <f t="shared" ca="1" si="1"/>
        <v>353203</v>
      </c>
      <c r="F60" s="864">
        <f t="shared" ca="1" si="3"/>
        <v>403203</v>
      </c>
      <c r="G60" s="1254">
        <v>27.795000000000002</v>
      </c>
      <c r="H60" s="1310">
        <f t="shared" si="7"/>
        <v>1798.8846914912754</v>
      </c>
      <c r="I60" s="2191">
        <f t="shared" ca="1" si="8"/>
        <v>2767</v>
      </c>
      <c r="J60" s="2392"/>
      <c r="L60">
        <f t="shared" ca="1" si="2"/>
        <v>1571</v>
      </c>
    </row>
    <row r="61" spans="1:12" ht="19">
      <c r="A61" s="860">
        <v>44669</v>
      </c>
      <c r="B61" s="875">
        <v>-12932</v>
      </c>
      <c r="C61" s="500">
        <f t="shared" si="0"/>
        <v>2132199</v>
      </c>
      <c r="D61" s="31" t="s">
        <v>746</v>
      </c>
      <c r="E61" s="863">
        <f t="shared" ca="1" si="1"/>
        <v>-91214</v>
      </c>
      <c r="F61" s="864">
        <f t="shared" ca="1" si="3"/>
        <v>-104146</v>
      </c>
      <c r="G61" s="1254">
        <v>27.68</v>
      </c>
      <c r="H61" s="1310">
        <f t="shared" si="7"/>
        <v>-467.19653179190755</v>
      </c>
      <c r="I61" s="2191">
        <f t="shared" ca="1" si="8"/>
        <v>-719</v>
      </c>
      <c r="J61" s="2392"/>
      <c r="L61">
        <f t="shared" ca="1" si="2"/>
        <v>1570</v>
      </c>
    </row>
    <row r="62" spans="1:12" ht="19">
      <c r="A62" s="860">
        <v>44671</v>
      </c>
      <c r="B62" s="1055">
        <v>34</v>
      </c>
      <c r="C62" s="500">
        <f t="shared" si="0"/>
        <v>2132233</v>
      </c>
      <c r="D62" s="1142" t="s">
        <v>748</v>
      </c>
      <c r="E62" s="863">
        <f t="shared" si="1"/>
        <v>0</v>
      </c>
      <c r="F62" s="864">
        <f t="shared" si="3"/>
        <v>0</v>
      </c>
      <c r="G62" s="1254">
        <v>27.83</v>
      </c>
      <c r="H62" s="1310">
        <f t="shared" si="7"/>
        <v>1.221703197987783</v>
      </c>
      <c r="I62" s="2191">
        <f t="shared" si="8"/>
        <v>0</v>
      </c>
      <c r="J62" s="2392"/>
      <c r="L62">
        <f t="shared" ca="1" si="2"/>
        <v>1568</v>
      </c>
    </row>
    <row r="63" spans="1:12" ht="19">
      <c r="A63" s="860">
        <v>44672</v>
      </c>
      <c r="B63" s="875">
        <v>-13088</v>
      </c>
      <c r="C63" s="500">
        <f t="shared" si="0"/>
        <v>2119145</v>
      </c>
      <c r="D63" s="31" t="s">
        <v>746</v>
      </c>
      <c r="E63" s="863">
        <f t="shared" ca="1" si="1"/>
        <v>-91895</v>
      </c>
      <c r="F63" s="864">
        <f t="shared" ca="1" si="3"/>
        <v>-104983</v>
      </c>
      <c r="G63" s="1254">
        <v>27.864000000000001</v>
      </c>
      <c r="H63" s="1310">
        <f t="shared" si="7"/>
        <v>-469.71002009761696</v>
      </c>
      <c r="I63" s="2191">
        <f t="shared" ca="1" si="8"/>
        <v>-722</v>
      </c>
      <c r="J63" s="2392"/>
      <c r="L63">
        <f t="shared" ca="1" si="2"/>
        <v>1567</v>
      </c>
    </row>
    <row r="64" spans="1:12" ht="19">
      <c r="A64" s="860">
        <v>44678</v>
      </c>
      <c r="B64" s="875">
        <v>-54000</v>
      </c>
      <c r="C64" s="500">
        <f t="shared" si="0"/>
        <v>2065145</v>
      </c>
      <c r="D64" s="31" t="s">
        <v>638</v>
      </c>
      <c r="E64" s="863">
        <f t="shared" ca="1" si="1"/>
        <v>-375711</v>
      </c>
      <c r="F64" s="864">
        <f t="shared" ca="1" si="3"/>
        <v>-429711</v>
      </c>
      <c r="G64" s="1254">
        <v>28.07</v>
      </c>
      <c r="H64" s="1310">
        <f t="shared" si="7"/>
        <v>-1923.7620235126469</v>
      </c>
      <c r="I64" s="2191">
        <f t="shared" ca="1" si="8"/>
        <v>-2950</v>
      </c>
      <c r="J64" s="2392"/>
      <c r="L64">
        <f t="shared" ca="1" si="2"/>
        <v>1561</v>
      </c>
    </row>
    <row r="65" spans="1:12" ht="19">
      <c r="A65" s="860">
        <v>44678</v>
      </c>
      <c r="B65" s="875">
        <v>50000</v>
      </c>
      <c r="C65" s="500">
        <f t="shared" si="0"/>
        <v>2115145</v>
      </c>
      <c r="D65" s="31" t="s">
        <v>747</v>
      </c>
      <c r="E65" s="863">
        <f t="shared" ca="1" si="1"/>
        <v>347881</v>
      </c>
      <c r="F65" s="864">
        <f t="shared" ca="1" si="3"/>
        <v>397881</v>
      </c>
      <c r="G65" s="1254">
        <v>28.07</v>
      </c>
      <c r="H65" s="1310">
        <f t="shared" si="7"/>
        <v>1781.2611328820806</v>
      </c>
      <c r="I65" s="2191">
        <f t="shared" ca="1" si="8"/>
        <v>2732</v>
      </c>
      <c r="J65" s="2392"/>
      <c r="L65">
        <f t="shared" ca="1" si="2"/>
        <v>1561</v>
      </c>
    </row>
    <row r="66" spans="1:12" ht="19">
      <c r="A66" s="860">
        <v>44691</v>
      </c>
      <c r="B66" s="875">
        <v>50000</v>
      </c>
      <c r="C66" s="500">
        <f t="shared" si="0"/>
        <v>2165145</v>
      </c>
      <c r="D66" s="31" t="s">
        <v>745</v>
      </c>
      <c r="E66" s="863">
        <f t="shared" ca="1" si="1"/>
        <v>341067</v>
      </c>
      <c r="F66" s="864">
        <f t="shared" ca="1" si="3"/>
        <v>391067</v>
      </c>
      <c r="G66" s="1254">
        <v>27.961849999999998</v>
      </c>
      <c r="H66" s="1310">
        <f t="shared" si="7"/>
        <v>1788.1506409625974</v>
      </c>
      <c r="I66" s="2191">
        <f t="shared" ca="1" si="8"/>
        <v>2733</v>
      </c>
      <c r="J66" s="2392"/>
      <c r="L66">
        <f t="shared" ca="1" si="2"/>
        <v>1548</v>
      </c>
    </row>
    <row r="67" spans="1:12" ht="19">
      <c r="A67" s="860">
        <v>44692</v>
      </c>
      <c r="B67" s="875">
        <v>50000</v>
      </c>
      <c r="C67" s="500">
        <f t="shared" ref="C67:C130" si="9">C66+B67</f>
        <v>2215145</v>
      </c>
      <c r="D67" s="31" t="s">
        <v>745</v>
      </c>
      <c r="E67" s="863">
        <f t="shared" ref="E67:E72" ca="1" si="10">IF(F67=0,0,F67-B67)</f>
        <v>340548</v>
      </c>
      <c r="F67" s="864">
        <f t="shared" ca="1" si="3"/>
        <v>390548</v>
      </c>
      <c r="G67" s="1254">
        <v>25.58</v>
      </c>
      <c r="H67" s="1310">
        <f t="shared" si="7"/>
        <v>1954.6520719311964</v>
      </c>
      <c r="I67" s="2191">
        <f t="shared" ca="1" si="8"/>
        <v>2986</v>
      </c>
      <c r="J67" s="2392"/>
      <c r="L67">
        <f t="shared" ref="L67:L130" ca="1" si="11">$E$1-A67</f>
        <v>1547</v>
      </c>
    </row>
    <row r="68" spans="1:12" ht="19">
      <c r="A68" s="860">
        <v>44693</v>
      </c>
      <c r="B68" s="875">
        <v>50000</v>
      </c>
      <c r="C68" s="500">
        <f t="shared" si="9"/>
        <v>2265145</v>
      </c>
      <c r="D68" s="31" t="s">
        <v>745</v>
      </c>
      <c r="E68" s="863">
        <f t="shared" ca="1" si="10"/>
        <v>340029</v>
      </c>
      <c r="F68" s="864">
        <f t="shared" ref="F68:F131" ca="1" si="12">IF(D68="Hami Interest",0,ROUNDUP(B68*(1+$F$1/12)^(($E$1-A68)/30),0))</f>
        <v>390029</v>
      </c>
      <c r="G68" s="1254">
        <v>25.59</v>
      </c>
      <c r="H68" s="1310">
        <f t="shared" si="7"/>
        <v>1953.8882375928097</v>
      </c>
      <c r="I68" s="2191">
        <f t="shared" ca="1" si="8"/>
        <v>2984</v>
      </c>
      <c r="J68" s="2392"/>
      <c r="L68">
        <f t="shared" ca="1" si="11"/>
        <v>1546</v>
      </c>
    </row>
    <row r="69" spans="1:12" ht="19">
      <c r="A69" s="860">
        <v>44695</v>
      </c>
      <c r="B69" s="875">
        <v>50000</v>
      </c>
      <c r="C69" s="500">
        <f t="shared" si="9"/>
        <v>2315145</v>
      </c>
      <c r="D69" s="31" t="s">
        <v>745</v>
      </c>
      <c r="E69" s="863">
        <f t="shared" ca="1" si="10"/>
        <v>338994</v>
      </c>
      <c r="F69" s="864">
        <f t="shared" ca="1" si="12"/>
        <v>388994</v>
      </c>
      <c r="G69" s="1254">
        <v>30.25</v>
      </c>
      <c r="H69" s="1310">
        <f t="shared" si="7"/>
        <v>1652.8925619834711</v>
      </c>
      <c r="I69" s="2191">
        <f t="shared" ca="1" si="8"/>
        <v>2523</v>
      </c>
      <c r="J69" s="2392"/>
      <c r="L69">
        <f t="shared" ca="1" si="11"/>
        <v>1544</v>
      </c>
    </row>
    <row r="70" spans="1:12" ht="19">
      <c r="A70" s="860">
        <v>44698</v>
      </c>
      <c r="B70" s="875">
        <v>50000</v>
      </c>
      <c r="C70" s="500">
        <f t="shared" si="9"/>
        <v>2365145</v>
      </c>
      <c r="D70" s="31" t="s">
        <v>745</v>
      </c>
      <c r="E70" s="863">
        <f t="shared" ca="1" si="10"/>
        <v>337447</v>
      </c>
      <c r="F70" s="864">
        <f t="shared" ca="1" si="12"/>
        <v>387447</v>
      </c>
      <c r="G70" s="1254">
        <v>30.09</v>
      </c>
      <c r="H70" s="1310">
        <f t="shared" si="7"/>
        <v>1661.681621801263</v>
      </c>
      <c r="I70" s="2191">
        <f t="shared" ca="1" si="8"/>
        <v>2535</v>
      </c>
      <c r="J70" s="2392"/>
      <c r="L70">
        <f t="shared" ca="1" si="11"/>
        <v>1541</v>
      </c>
    </row>
    <row r="71" spans="1:12" ht="19">
      <c r="A71" s="860">
        <v>44699</v>
      </c>
      <c r="B71" s="875">
        <v>-2400</v>
      </c>
      <c r="C71" s="500">
        <f t="shared" si="9"/>
        <v>2362745</v>
      </c>
      <c r="D71" s="31" t="s">
        <v>638</v>
      </c>
      <c r="E71" s="863">
        <f t="shared" ca="1" si="10"/>
        <v>-16173</v>
      </c>
      <c r="F71" s="864">
        <f t="shared" ca="1" si="12"/>
        <v>-18573</v>
      </c>
      <c r="G71" s="1254">
        <v>29.689499999999999</v>
      </c>
      <c r="H71" s="1310">
        <f t="shared" si="7"/>
        <v>-80.836659425049262</v>
      </c>
      <c r="I71" s="2191">
        <f t="shared" ca="1" si="8"/>
        <v>-124</v>
      </c>
      <c r="J71" s="2392"/>
      <c r="L71">
        <f t="shared" ca="1" si="11"/>
        <v>1540</v>
      </c>
    </row>
    <row r="72" spans="1:12" ht="19">
      <c r="A72" s="860">
        <v>44702</v>
      </c>
      <c r="B72" s="875">
        <v>50000</v>
      </c>
      <c r="C72" s="500">
        <f t="shared" si="9"/>
        <v>2412745</v>
      </c>
      <c r="D72" s="31" t="s">
        <v>745</v>
      </c>
      <c r="E72" s="863">
        <f t="shared" ca="1" si="10"/>
        <v>335393</v>
      </c>
      <c r="F72" s="864">
        <f t="shared" ca="1" si="12"/>
        <v>385393</v>
      </c>
      <c r="G72" s="1254">
        <v>30.39</v>
      </c>
      <c r="H72" s="1310">
        <f t="shared" ref="H72:H135" si="13">B72/G72</f>
        <v>1645.2780519907865</v>
      </c>
      <c r="I72" s="2191">
        <f t="shared" ref="I72:I135" ca="1" si="14">IF(D72="Hami Interest",0,ROUNDUP(H72*(1+$I$1/12)^(($E$1-A72)/30),0))</f>
        <v>2507</v>
      </c>
      <c r="J72" s="2392"/>
      <c r="L72">
        <f t="shared" ca="1" si="11"/>
        <v>1537</v>
      </c>
    </row>
    <row r="73" spans="1:12" ht="19">
      <c r="A73" s="860">
        <v>44702</v>
      </c>
      <c r="B73" s="1055">
        <v>1118</v>
      </c>
      <c r="C73" s="500">
        <f t="shared" si="9"/>
        <v>2413863</v>
      </c>
      <c r="D73" s="1142" t="s">
        <v>748</v>
      </c>
      <c r="E73" s="863">
        <f>IF(F73=0,0,F73-B73)</f>
        <v>0</v>
      </c>
      <c r="F73" s="864">
        <f t="shared" si="12"/>
        <v>0</v>
      </c>
      <c r="G73" s="1254">
        <v>30.39</v>
      </c>
      <c r="H73" s="1310">
        <f t="shared" si="13"/>
        <v>36.788417242513987</v>
      </c>
      <c r="I73" s="2191">
        <f t="shared" si="14"/>
        <v>0</v>
      </c>
      <c r="J73" s="2392"/>
      <c r="L73">
        <f t="shared" ca="1" si="11"/>
        <v>1537</v>
      </c>
    </row>
    <row r="74" spans="1:12" ht="19">
      <c r="A74" s="860">
        <v>44704</v>
      </c>
      <c r="B74" s="875">
        <v>50000</v>
      </c>
      <c r="C74" s="500">
        <f t="shared" si="9"/>
        <v>2463863</v>
      </c>
      <c r="D74" s="31" t="s">
        <v>745</v>
      </c>
      <c r="E74" s="863">
        <f t="shared" ref="E74:E137" ca="1" si="15">IF(F74=0,0,F74-B74)</f>
        <v>334370</v>
      </c>
      <c r="F74" s="864">
        <f t="shared" ca="1" si="12"/>
        <v>384370</v>
      </c>
      <c r="G74" s="1254">
        <v>30.295000000000002</v>
      </c>
      <c r="H74" s="1310">
        <f t="shared" si="13"/>
        <v>1650.4373659019639</v>
      </c>
      <c r="I74" s="2191">
        <f t="shared" ca="1" si="14"/>
        <v>2513</v>
      </c>
      <c r="J74" s="2392"/>
      <c r="L74">
        <f t="shared" ca="1" si="11"/>
        <v>1535</v>
      </c>
    </row>
    <row r="75" spans="1:12" ht="19">
      <c r="A75" s="860">
        <v>44704</v>
      </c>
      <c r="B75" s="875">
        <v>50000</v>
      </c>
      <c r="C75" s="500">
        <f t="shared" si="9"/>
        <v>2513863</v>
      </c>
      <c r="D75" s="31" t="s">
        <v>745</v>
      </c>
      <c r="E75" s="863">
        <f t="shared" ca="1" si="15"/>
        <v>334370</v>
      </c>
      <c r="F75" s="864">
        <f t="shared" ca="1" si="12"/>
        <v>384370</v>
      </c>
      <c r="G75" s="1254">
        <v>30.295000000000002</v>
      </c>
      <c r="H75" s="1310">
        <f t="shared" si="13"/>
        <v>1650.4373659019639</v>
      </c>
      <c r="I75" s="2191">
        <f t="shared" ca="1" si="14"/>
        <v>2513</v>
      </c>
      <c r="J75" s="2392"/>
      <c r="L75">
        <f t="shared" ca="1" si="11"/>
        <v>1535</v>
      </c>
    </row>
    <row r="76" spans="1:12" ht="19">
      <c r="A76" s="860">
        <v>44706</v>
      </c>
      <c r="B76" s="875">
        <v>50000</v>
      </c>
      <c r="C76" s="500">
        <f t="shared" si="9"/>
        <v>2563863</v>
      </c>
      <c r="D76" s="31" t="s">
        <v>747</v>
      </c>
      <c r="E76" s="863">
        <f t="shared" ca="1" si="15"/>
        <v>333350</v>
      </c>
      <c r="F76" s="864">
        <f t="shared" ca="1" si="12"/>
        <v>383350</v>
      </c>
      <c r="G76" s="1254">
        <v>30.305</v>
      </c>
      <c r="H76" s="1310">
        <f t="shared" si="13"/>
        <v>1649.8927569707969</v>
      </c>
      <c r="I76" s="2191">
        <f t="shared" ca="1" si="14"/>
        <v>2511</v>
      </c>
      <c r="J76" s="2392"/>
      <c r="L76">
        <f t="shared" ca="1" si="11"/>
        <v>1533</v>
      </c>
    </row>
    <row r="77" spans="1:12" ht="19">
      <c r="A77" s="860">
        <v>44706</v>
      </c>
      <c r="B77" s="875">
        <v>50000</v>
      </c>
      <c r="C77" s="500">
        <f t="shared" si="9"/>
        <v>2613863</v>
      </c>
      <c r="D77" s="31" t="s">
        <v>747</v>
      </c>
      <c r="E77" s="863">
        <f t="shared" ca="1" si="15"/>
        <v>333350</v>
      </c>
      <c r="F77" s="864">
        <f t="shared" ca="1" si="12"/>
        <v>383350</v>
      </c>
      <c r="G77" s="1254">
        <v>30.305</v>
      </c>
      <c r="H77" s="1310">
        <f t="shared" si="13"/>
        <v>1649.8927569707969</v>
      </c>
      <c r="I77" s="2191">
        <f t="shared" ca="1" si="14"/>
        <v>2511</v>
      </c>
      <c r="J77" s="2392"/>
      <c r="L77">
        <f t="shared" ca="1" si="11"/>
        <v>1533</v>
      </c>
    </row>
    <row r="78" spans="1:12" ht="19">
      <c r="A78" s="860">
        <v>44710</v>
      </c>
      <c r="B78" s="875">
        <v>50000</v>
      </c>
      <c r="C78" s="500">
        <f t="shared" si="9"/>
        <v>2663863</v>
      </c>
      <c r="D78" s="31" t="s">
        <v>747</v>
      </c>
      <c r="E78" s="863">
        <f t="shared" ca="1" si="15"/>
        <v>331318</v>
      </c>
      <c r="F78" s="864">
        <f t="shared" ca="1" si="12"/>
        <v>381318</v>
      </c>
      <c r="G78" s="1254">
        <v>30.734999999999999</v>
      </c>
      <c r="H78" s="1310">
        <f t="shared" si="13"/>
        <v>1626.8098259313488</v>
      </c>
      <c r="I78" s="2191">
        <f t="shared" ca="1" si="14"/>
        <v>2473</v>
      </c>
      <c r="J78" s="2392"/>
      <c r="L78">
        <f t="shared" ca="1" si="11"/>
        <v>1529</v>
      </c>
    </row>
    <row r="79" spans="1:12" ht="19">
      <c r="A79" s="860">
        <v>44710</v>
      </c>
      <c r="B79" s="875">
        <v>7451</v>
      </c>
      <c r="C79" s="500">
        <f t="shared" si="9"/>
        <v>2671314</v>
      </c>
      <c r="D79" s="31" t="s">
        <v>747</v>
      </c>
      <c r="E79" s="863">
        <f t="shared" ca="1" si="15"/>
        <v>49373</v>
      </c>
      <c r="F79" s="864">
        <f t="shared" ca="1" si="12"/>
        <v>56824</v>
      </c>
      <c r="G79" s="1254">
        <v>30.734999999999999</v>
      </c>
      <c r="H79" s="1310">
        <f t="shared" si="13"/>
        <v>242.42720026028957</v>
      </c>
      <c r="I79" s="2191">
        <f t="shared" ca="1" si="14"/>
        <v>369</v>
      </c>
      <c r="J79" s="2392"/>
      <c r="L79">
        <f t="shared" ca="1" si="11"/>
        <v>1529</v>
      </c>
    </row>
    <row r="80" spans="1:12" ht="19">
      <c r="A80" s="860">
        <v>44713</v>
      </c>
      <c r="B80" s="875">
        <v>50000</v>
      </c>
      <c r="C80" s="500">
        <f t="shared" si="9"/>
        <v>2721314</v>
      </c>
      <c r="D80" s="31" t="s">
        <v>745</v>
      </c>
      <c r="E80" s="863">
        <f t="shared" ca="1" si="15"/>
        <v>329801</v>
      </c>
      <c r="F80" s="864">
        <f t="shared" ca="1" si="12"/>
        <v>379801</v>
      </c>
      <c r="G80" s="1254">
        <v>31.42</v>
      </c>
      <c r="H80" s="1310">
        <f t="shared" si="13"/>
        <v>1591.3430935709739</v>
      </c>
      <c r="I80" s="2191">
        <f t="shared" ca="1" si="14"/>
        <v>2417</v>
      </c>
      <c r="J80" s="2392"/>
      <c r="L80">
        <f t="shared" ca="1" si="11"/>
        <v>1526</v>
      </c>
    </row>
    <row r="81" spans="1:12" ht="19">
      <c r="A81" s="860">
        <v>44714</v>
      </c>
      <c r="B81" s="875">
        <v>40149</v>
      </c>
      <c r="C81" s="500">
        <f t="shared" si="9"/>
        <v>2761463</v>
      </c>
      <c r="D81" s="31" t="s">
        <v>745</v>
      </c>
      <c r="E81" s="863">
        <f t="shared" ca="1" si="15"/>
        <v>264419</v>
      </c>
      <c r="F81" s="864">
        <f t="shared" ca="1" si="12"/>
        <v>304568</v>
      </c>
      <c r="G81" s="1254">
        <v>31.250599999999999</v>
      </c>
      <c r="H81" s="1310">
        <f t="shared" si="13"/>
        <v>1284.7433329280079</v>
      </c>
      <c r="I81" s="2191">
        <f t="shared" ca="1" si="14"/>
        <v>1951</v>
      </c>
      <c r="J81" s="2392"/>
      <c r="L81">
        <f t="shared" ca="1" si="11"/>
        <v>1525</v>
      </c>
    </row>
    <row r="82" spans="1:12" ht="19">
      <c r="A82" s="860">
        <v>44714</v>
      </c>
      <c r="B82" s="875">
        <v>16579</v>
      </c>
      <c r="C82" s="500">
        <f t="shared" si="9"/>
        <v>2778042</v>
      </c>
      <c r="D82" s="31" t="s">
        <v>745</v>
      </c>
      <c r="E82" s="863">
        <f t="shared" ca="1" si="15"/>
        <v>109189</v>
      </c>
      <c r="F82" s="864">
        <f t="shared" ca="1" si="12"/>
        <v>125768</v>
      </c>
      <c r="G82" s="1254">
        <v>31.250599999999999</v>
      </c>
      <c r="H82" s="1310">
        <f t="shared" si="13"/>
        <v>530.5178140579701</v>
      </c>
      <c r="I82" s="2191">
        <f t="shared" ca="1" si="14"/>
        <v>806</v>
      </c>
      <c r="J82" s="2392"/>
      <c r="L82">
        <f t="shared" ca="1" si="11"/>
        <v>1525</v>
      </c>
    </row>
    <row r="83" spans="1:12" ht="19">
      <c r="A83" s="860">
        <v>44718</v>
      </c>
      <c r="B83" s="875">
        <v>-16500</v>
      </c>
      <c r="C83" s="500">
        <f t="shared" si="9"/>
        <v>2761542</v>
      </c>
      <c r="D83" s="31" t="s">
        <v>638</v>
      </c>
      <c r="E83" s="863">
        <f t="shared" ca="1" si="15"/>
        <v>-108005</v>
      </c>
      <c r="F83" s="864">
        <f t="shared" ca="1" si="12"/>
        <v>-124505</v>
      </c>
      <c r="G83" s="1254">
        <v>31.5245</v>
      </c>
      <c r="H83" s="1310">
        <f t="shared" si="13"/>
        <v>-523.40243302827957</v>
      </c>
      <c r="I83" s="2191">
        <f t="shared" ca="1" si="14"/>
        <v>-794</v>
      </c>
      <c r="J83" s="2392"/>
      <c r="L83">
        <f t="shared" ca="1" si="11"/>
        <v>1521</v>
      </c>
    </row>
    <row r="84" spans="1:12" ht="19">
      <c r="A84" s="860">
        <v>44725</v>
      </c>
      <c r="B84" s="875">
        <v>-969</v>
      </c>
      <c r="C84" s="500">
        <f t="shared" si="9"/>
        <v>2760573</v>
      </c>
      <c r="D84" s="31" t="s">
        <v>638</v>
      </c>
      <c r="E84" s="863">
        <f t="shared" ca="1" si="15"/>
        <v>-6276</v>
      </c>
      <c r="F84" s="864">
        <f t="shared" ca="1" si="12"/>
        <v>-7245</v>
      </c>
      <c r="G84" s="1254">
        <v>32.340000000000003</v>
      </c>
      <c r="H84" s="1310">
        <f t="shared" si="13"/>
        <v>-29.962894248608531</v>
      </c>
      <c r="I84" s="2191">
        <f t="shared" ca="1" si="14"/>
        <v>-46</v>
      </c>
      <c r="J84" s="2392"/>
      <c r="L84">
        <f t="shared" ca="1" si="11"/>
        <v>1514</v>
      </c>
    </row>
    <row r="85" spans="1:12" ht="19">
      <c r="A85" s="860">
        <v>44733</v>
      </c>
      <c r="B85" s="1055">
        <v>2641</v>
      </c>
      <c r="C85" s="500">
        <f t="shared" si="9"/>
        <v>2763214</v>
      </c>
      <c r="D85" s="1142" t="s">
        <v>748</v>
      </c>
      <c r="E85" s="863">
        <f t="shared" si="15"/>
        <v>0</v>
      </c>
      <c r="F85" s="864">
        <f t="shared" si="12"/>
        <v>0</v>
      </c>
      <c r="G85" s="1254">
        <v>31.945</v>
      </c>
      <c r="H85" s="1310">
        <f t="shared" si="13"/>
        <v>82.673344811394585</v>
      </c>
      <c r="I85" s="2191">
        <f t="shared" si="14"/>
        <v>0</v>
      </c>
      <c r="J85" s="2392"/>
      <c r="L85">
        <f t="shared" ca="1" si="11"/>
        <v>1506</v>
      </c>
    </row>
    <row r="86" spans="1:12" ht="19">
      <c r="A86" s="860">
        <v>44741</v>
      </c>
      <c r="B86" s="875">
        <v>-31847</v>
      </c>
      <c r="C86" s="500">
        <f t="shared" si="9"/>
        <v>2731367</v>
      </c>
      <c r="D86" s="31" t="s">
        <v>638</v>
      </c>
      <c r="E86" s="863">
        <f t="shared" ca="1" si="15"/>
        <v>-201229</v>
      </c>
      <c r="F86" s="864">
        <f t="shared" ca="1" si="12"/>
        <v>-233076</v>
      </c>
      <c r="G86" s="1254">
        <v>31.795000000000002</v>
      </c>
      <c r="H86" s="1310">
        <f t="shared" si="13"/>
        <v>-1001.6354772763012</v>
      </c>
      <c r="I86" s="2191">
        <f t="shared" ca="1" si="14"/>
        <v>-1510</v>
      </c>
      <c r="J86" s="2392"/>
      <c r="L86">
        <f t="shared" ca="1" si="11"/>
        <v>1498</v>
      </c>
    </row>
    <row r="87" spans="1:12" ht="19">
      <c r="A87" s="860">
        <v>44759</v>
      </c>
      <c r="B87" s="875">
        <v>20000</v>
      </c>
      <c r="C87" s="500">
        <f t="shared" si="9"/>
        <v>2751367</v>
      </c>
      <c r="D87" s="31" t="s">
        <v>745</v>
      </c>
      <c r="E87" s="863">
        <f t="shared" ca="1" si="15"/>
        <v>122913</v>
      </c>
      <c r="F87" s="864">
        <f t="shared" ca="1" si="12"/>
        <v>142913</v>
      </c>
      <c r="G87" s="1254">
        <v>31.8597</v>
      </c>
      <c r="H87" s="1310">
        <f t="shared" si="13"/>
        <v>627.75230149687536</v>
      </c>
      <c r="I87" s="2191">
        <f t="shared" ca="1" si="14"/>
        <v>942</v>
      </c>
      <c r="J87" s="2392"/>
      <c r="L87">
        <f t="shared" ca="1" si="11"/>
        <v>1480</v>
      </c>
    </row>
    <row r="88" spans="1:12" ht="19">
      <c r="A88" s="860">
        <v>44762</v>
      </c>
      <c r="B88" s="875">
        <v>50000</v>
      </c>
      <c r="C88" s="500">
        <f t="shared" si="9"/>
        <v>2801367</v>
      </c>
      <c r="D88" s="31" t="s">
        <v>745</v>
      </c>
      <c r="E88" s="863">
        <f t="shared" ca="1" si="15"/>
        <v>305861</v>
      </c>
      <c r="F88" s="864">
        <f t="shared" ca="1" si="12"/>
        <v>355861</v>
      </c>
      <c r="G88" s="1254">
        <v>31.92</v>
      </c>
      <c r="H88" s="1310">
        <f t="shared" si="13"/>
        <v>1566.4160401002505</v>
      </c>
      <c r="I88" s="2191">
        <f t="shared" ca="1" si="14"/>
        <v>2348</v>
      </c>
      <c r="J88" s="2392"/>
      <c r="L88">
        <f t="shared" ca="1" si="11"/>
        <v>1477</v>
      </c>
    </row>
    <row r="89" spans="1:12" ht="19">
      <c r="A89" s="860">
        <v>44764</v>
      </c>
      <c r="B89" s="1055">
        <v>3214</v>
      </c>
      <c r="C89" s="500">
        <f t="shared" si="9"/>
        <v>2804581</v>
      </c>
      <c r="D89" s="1142" t="s">
        <v>748</v>
      </c>
      <c r="E89" s="863">
        <f t="shared" si="15"/>
        <v>0</v>
      </c>
      <c r="F89" s="864">
        <f t="shared" si="12"/>
        <v>0</v>
      </c>
      <c r="G89" s="1254">
        <v>31.92</v>
      </c>
      <c r="H89" s="1310">
        <f t="shared" si="13"/>
        <v>100.6892230576441</v>
      </c>
      <c r="I89" s="2191">
        <f t="shared" si="14"/>
        <v>0</v>
      </c>
      <c r="J89" s="2392"/>
      <c r="L89">
        <f t="shared" ca="1" si="11"/>
        <v>1475</v>
      </c>
    </row>
    <row r="90" spans="1:12" ht="19">
      <c r="A90" s="860">
        <v>44765</v>
      </c>
      <c r="B90" s="875">
        <v>-690</v>
      </c>
      <c r="C90" s="500">
        <f t="shared" si="9"/>
        <v>2803891</v>
      </c>
      <c r="D90" s="31" t="s">
        <v>638</v>
      </c>
      <c r="E90" s="863">
        <f t="shared" ca="1" si="15"/>
        <v>-4202</v>
      </c>
      <c r="F90" s="864">
        <f t="shared" ca="1" si="12"/>
        <v>-4892</v>
      </c>
      <c r="G90" s="1254">
        <v>32.024999999999999</v>
      </c>
      <c r="H90" s="1310">
        <f t="shared" si="13"/>
        <v>-21.545667447306794</v>
      </c>
      <c r="I90" s="2191">
        <f t="shared" ca="1" si="14"/>
        <v>-33</v>
      </c>
      <c r="J90" s="2392"/>
      <c r="L90">
        <f t="shared" ca="1" si="11"/>
        <v>1474</v>
      </c>
    </row>
    <row r="91" spans="1:12" ht="19">
      <c r="A91" s="860">
        <v>44767</v>
      </c>
      <c r="B91" s="875">
        <v>-8264</v>
      </c>
      <c r="C91" s="500">
        <f t="shared" si="9"/>
        <v>2795627</v>
      </c>
      <c r="D91" s="31" t="s">
        <v>638</v>
      </c>
      <c r="E91" s="863">
        <f t="shared" ca="1" si="15"/>
        <v>-50164</v>
      </c>
      <c r="F91" s="864">
        <f t="shared" ca="1" si="12"/>
        <v>-58428</v>
      </c>
      <c r="G91" s="1254">
        <v>31.94</v>
      </c>
      <c r="H91" s="1310">
        <f t="shared" si="13"/>
        <v>-258.73512836568563</v>
      </c>
      <c r="I91" s="2191">
        <f t="shared" ca="1" si="14"/>
        <v>-388</v>
      </c>
      <c r="J91" s="2392"/>
      <c r="L91">
        <f t="shared" ca="1" si="11"/>
        <v>1472</v>
      </c>
    </row>
    <row r="92" spans="1:12" ht="19">
      <c r="A92" s="860">
        <v>44767</v>
      </c>
      <c r="B92" s="875">
        <v>50000</v>
      </c>
      <c r="C92" s="500">
        <f t="shared" si="9"/>
        <v>2845627</v>
      </c>
      <c r="D92" s="31" t="s">
        <v>745</v>
      </c>
      <c r="E92" s="863">
        <f t="shared" ca="1" si="15"/>
        <v>303505</v>
      </c>
      <c r="F92" s="864">
        <f t="shared" ca="1" si="12"/>
        <v>353505</v>
      </c>
      <c r="G92" s="1254">
        <v>31.94</v>
      </c>
      <c r="H92" s="1310">
        <f t="shared" si="13"/>
        <v>1565.4351909830932</v>
      </c>
      <c r="I92" s="2191">
        <f t="shared" ca="1" si="14"/>
        <v>2343</v>
      </c>
      <c r="J92" s="2392"/>
      <c r="L92">
        <f t="shared" ca="1" si="11"/>
        <v>1472</v>
      </c>
    </row>
    <row r="93" spans="1:12" ht="19">
      <c r="A93" s="860">
        <v>44769</v>
      </c>
      <c r="B93" s="875">
        <v>50000</v>
      </c>
      <c r="C93" s="500">
        <f t="shared" si="9"/>
        <v>2895627</v>
      </c>
      <c r="D93" s="31" t="s">
        <v>745</v>
      </c>
      <c r="E93" s="863">
        <f t="shared" ca="1" si="15"/>
        <v>302567</v>
      </c>
      <c r="F93" s="864">
        <f t="shared" ca="1" si="12"/>
        <v>352567</v>
      </c>
      <c r="G93" s="1254">
        <v>31.93</v>
      </c>
      <c r="H93" s="1310">
        <f t="shared" si="13"/>
        <v>1565.9254619480114</v>
      </c>
      <c r="I93" s="2191">
        <f t="shared" ca="1" si="14"/>
        <v>2343</v>
      </c>
      <c r="J93" s="2392"/>
      <c r="L93">
        <f t="shared" ca="1" si="11"/>
        <v>1470</v>
      </c>
    </row>
    <row r="94" spans="1:12" ht="19">
      <c r="A94" s="860">
        <v>44769</v>
      </c>
      <c r="B94" s="875">
        <v>-1400</v>
      </c>
      <c r="C94" s="500">
        <f t="shared" si="9"/>
        <v>2894227</v>
      </c>
      <c r="D94" s="31" t="s">
        <v>638</v>
      </c>
      <c r="E94" s="863">
        <f t="shared" ca="1" si="15"/>
        <v>-8472</v>
      </c>
      <c r="F94" s="864">
        <f t="shared" ca="1" si="12"/>
        <v>-9872</v>
      </c>
      <c r="G94" s="1254">
        <v>31.93</v>
      </c>
      <c r="H94" s="1310">
        <f t="shared" si="13"/>
        <v>-43.845912934544316</v>
      </c>
      <c r="I94" s="2191">
        <f t="shared" ca="1" si="14"/>
        <v>-66</v>
      </c>
      <c r="J94" s="2392"/>
      <c r="L94">
        <f t="shared" ca="1" si="11"/>
        <v>1470</v>
      </c>
    </row>
    <row r="95" spans="1:12" ht="19">
      <c r="A95" s="860">
        <v>44772</v>
      </c>
      <c r="B95" s="875">
        <v>50000</v>
      </c>
      <c r="C95" s="500">
        <f t="shared" si="9"/>
        <v>2944227</v>
      </c>
      <c r="D95" s="31" t="s">
        <v>745</v>
      </c>
      <c r="E95" s="863">
        <f t="shared" ca="1" si="15"/>
        <v>301164</v>
      </c>
      <c r="F95" s="864">
        <f t="shared" ca="1" si="12"/>
        <v>351164</v>
      </c>
      <c r="G95" s="1254">
        <v>31.864999999999998</v>
      </c>
      <c r="H95" s="1310">
        <f t="shared" si="13"/>
        <v>1569.1197238349287</v>
      </c>
      <c r="I95" s="2191">
        <f t="shared" ca="1" si="14"/>
        <v>2345</v>
      </c>
      <c r="J95" s="2392"/>
      <c r="L95">
        <f t="shared" ca="1" si="11"/>
        <v>1467</v>
      </c>
    </row>
    <row r="96" spans="1:12" ht="19">
      <c r="A96" s="860">
        <v>44773</v>
      </c>
      <c r="B96" s="875">
        <v>50000</v>
      </c>
      <c r="C96" s="500">
        <f t="shared" si="9"/>
        <v>2994227</v>
      </c>
      <c r="D96" s="31" t="s">
        <v>745</v>
      </c>
      <c r="E96" s="863">
        <f t="shared" ca="1" si="15"/>
        <v>300698</v>
      </c>
      <c r="F96" s="864">
        <f t="shared" ca="1" si="12"/>
        <v>350698</v>
      </c>
      <c r="G96" s="1254">
        <v>31.7</v>
      </c>
      <c r="H96" s="1310">
        <f t="shared" si="13"/>
        <v>1577.2870662460568</v>
      </c>
      <c r="I96" s="2191">
        <f t="shared" ca="1" si="14"/>
        <v>2357</v>
      </c>
      <c r="J96" s="2392"/>
      <c r="L96">
        <f t="shared" ca="1" si="11"/>
        <v>1466</v>
      </c>
    </row>
    <row r="97" spans="1:12" ht="19">
      <c r="A97" s="860">
        <v>44773</v>
      </c>
      <c r="B97" s="875">
        <v>50000</v>
      </c>
      <c r="C97" s="500">
        <f t="shared" si="9"/>
        <v>3044227</v>
      </c>
      <c r="D97" s="31" t="s">
        <v>745</v>
      </c>
      <c r="E97" s="863">
        <f t="shared" ca="1" si="15"/>
        <v>300698</v>
      </c>
      <c r="F97" s="864">
        <f t="shared" ca="1" si="12"/>
        <v>350698</v>
      </c>
      <c r="G97" s="1254">
        <v>31.7</v>
      </c>
      <c r="H97" s="1310">
        <f t="shared" si="13"/>
        <v>1577.2870662460568</v>
      </c>
      <c r="I97" s="2191">
        <f t="shared" ca="1" si="14"/>
        <v>2357</v>
      </c>
      <c r="J97" s="2392"/>
      <c r="L97">
        <f t="shared" ca="1" si="11"/>
        <v>1466</v>
      </c>
    </row>
    <row r="98" spans="1:12" ht="19">
      <c r="A98" s="860">
        <v>44775</v>
      </c>
      <c r="B98" s="875">
        <v>50000</v>
      </c>
      <c r="C98" s="500">
        <f t="shared" si="9"/>
        <v>3094227</v>
      </c>
      <c r="D98" s="31" t="s">
        <v>745</v>
      </c>
      <c r="E98" s="863">
        <f t="shared" ca="1" si="15"/>
        <v>299767</v>
      </c>
      <c r="F98" s="864">
        <f t="shared" ca="1" si="12"/>
        <v>349767</v>
      </c>
      <c r="G98" s="1254">
        <v>31.324999999999999</v>
      </c>
      <c r="H98" s="1310">
        <f t="shared" si="13"/>
        <v>1596.1691939345571</v>
      </c>
      <c r="I98" s="2191">
        <f t="shared" ca="1" si="14"/>
        <v>2384</v>
      </c>
      <c r="J98" s="2392"/>
      <c r="L98">
        <f t="shared" ca="1" si="11"/>
        <v>1464</v>
      </c>
    </row>
    <row r="99" spans="1:12" ht="19">
      <c r="A99" s="860">
        <v>44783</v>
      </c>
      <c r="B99" s="875">
        <v>7806</v>
      </c>
      <c r="C99" s="500">
        <f t="shared" si="9"/>
        <v>3102033</v>
      </c>
      <c r="D99" s="31" t="s">
        <v>745</v>
      </c>
      <c r="E99" s="863">
        <f t="shared" ca="1" si="15"/>
        <v>46223</v>
      </c>
      <c r="F99" s="864">
        <f t="shared" ca="1" si="12"/>
        <v>54029</v>
      </c>
      <c r="G99" s="1254">
        <v>31.1</v>
      </c>
      <c r="H99" s="1310">
        <f t="shared" si="13"/>
        <v>250.99678456591639</v>
      </c>
      <c r="I99" s="2191">
        <f t="shared" ca="1" si="14"/>
        <v>374</v>
      </c>
      <c r="J99" s="2392"/>
      <c r="L99">
        <f t="shared" ca="1" si="11"/>
        <v>1456</v>
      </c>
    </row>
    <row r="100" spans="1:12" ht="19">
      <c r="A100" s="860">
        <v>44784</v>
      </c>
      <c r="B100" s="875">
        <v>50000</v>
      </c>
      <c r="C100" s="500">
        <f t="shared" si="9"/>
        <v>3152033</v>
      </c>
      <c r="D100" s="31" t="s">
        <v>747</v>
      </c>
      <c r="E100" s="863">
        <f t="shared" ca="1" si="15"/>
        <v>295609</v>
      </c>
      <c r="F100" s="864">
        <f t="shared" ca="1" si="12"/>
        <v>345609</v>
      </c>
      <c r="G100" s="1254">
        <v>31.132950000000001</v>
      </c>
      <c r="H100" s="1310">
        <f t="shared" si="13"/>
        <v>1606.0154916254321</v>
      </c>
      <c r="I100" s="2191">
        <f t="shared" ca="1" si="14"/>
        <v>2393</v>
      </c>
      <c r="J100" s="2392"/>
      <c r="L100">
        <f t="shared" ca="1" si="11"/>
        <v>1455</v>
      </c>
    </row>
    <row r="101" spans="1:12" ht="19">
      <c r="A101" s="860">
        <v>44790</v>
      </c>
      <c r="B101" s="875">
        <v>-124799</v>
      </c>
      <c r="C101" s="500">
        <f t="shared" si="9"/>
        <v>3027234</v>
      </c>
      <c r="D101" s="31" t="s">
        <v>638</v>
      </c>
      <c r="E101" s="863">
        <f t="shared" ca="1" si="15"/>
        <v>-730984</v>
      </c>
      <c r="F101" s="864">
        <f t="shared" ca="1" si="12"/>
        <v>-855783</v>
      </c>
      <c r="G101" s="1254">
        <v>29.99</v>
      </c>
      <c r="H101" s="1310">
        <f t="shared" si="13"/>
        <v>-4161.3537845948649</v>
      </c>
      <c r="I101" s="2191">
        <f t="shared" ca="1" si="14"/>
        <v>-6189</v>
      </c>
      <c r="J101" s="2392"/>
      <c r="L101">
        <f t="shared" ca="1" si="11"/>
        <v>1449</v>
      </c>
    </row>
    <row r="102" spans="1:12" ht="19">
      <c r="A102" s="860">
        <v>44795</v>
      </c>
      <c r="B102" s="875">
        <v>50000</v>
      </c>
      <c r="C102" s="500">
        <f t="shared" si="9"/>
        <v>3077234</v>
      </c>
      <c r="D102" s="31" t="s">
        <v>745</v>
      </c>
      <c r="E102" s="863">
        <f t="shared" ca="1" si="15"/>
        <v>290595</v>
      </c>
      <c r="F102" s="864">
        <f t="shared" ca="1" si="12"/>
        <v>340595</v>
      </c>
      <c r="G102" s="1254">
        <v>29.36</v>
      </c>
      <c r="H102" s="1310">
        <f t="shared" si="13"/>
        <v>1702.9972752043598</v>
      </c>
      <c r="I102" s="2191">
        <f t="shared" ca="1" si="14"/>
        <v>2530</v>
      </c>
      <c r="J102" s="2392"/>
      <c r="L102">
        <f t="shared" ca="1" si="11"/>
        <v>1444</v>
      </c>
    </row>
    <row r="103" spans="1:12" ht="19">
      <c r="A103" s="860">
        <v>44795</v>
      </c>
      <c r="B103" s="1055">
        <v>2623</v>
      </c>
      <c r="C103" s="500">
        <f t="shared" si="9"/>
        <v>3079857</v>
      </c>
      <c r="D103" s="1142" t="s">
        <v>748</v>
      </c>
      <c r="E103" s="863">
        <f t="shared" si="15"/>
        <v>0</v>
      </c>
      <c r="F103" s="864">
        <f t="shared" si="12"/>
        <v>0</v>
      </c>
      <c r="G103" s="1254">
        <v>29.36</v>
      </c>
      <c r="H103" s="1310">
        <f t="shared" si="13"/>
        <v>89.339237057220714</v>
      </c>
      <c r="I103" s="2191">
        <f t="shared" si="14"/>
        <v>0</v>
      </c>
      <c r="J103" s="2392"/>
      <c r="L103">
        <f t="shared" ca="1" si="11"/>
        <v>1444</v>
      </c>
    </row>
    <row r="104" spans="1:12" ht="19">
      <c r="A104" s="860">
        <v>44796</v>
      </c>
      <c r="B104" s="875">
        <v>50000</v>
      </c>
      <c r="C104" s="500">
        <f t="shared" si="9"/>
        <v>3129857</v>
      </c>
      <c r="D104" s="31" t="s">
        <v>747</v>
      </c>
      <c r="E104" s="863">
        <f t="shared" ca="1" si="15"/>
        <v>290142</v>
      </c>
      <c r="F104" s="864">
        <f t="shared" ca="1" si="12"/>
        <v>340142</v>
      </c>
      <c r="G104" s="1254">
        <v>29.08</v>
      </c>
      <c r="H104" s="1310">
        <f t="shared" si="13"/>
        <v>1719.39477303989</v>
      </c>
      <c r="I104" s="2191">
        <f t="shared" ca="1" si="14"/>
        <v>2553</v>
      </c>
      <c r="J104" s="2392"/>
      <c r="L104">
        <f t="shared" ca="1" si="11"/>
        <v>1443</v>
      </c>
    </row>
    <row r="105" spans="1:12" ht="19">
      <c r="A105" s="860">
        <v>44808</v>
      </c>
      <c r="B105" s="875">
        <v>-40440</v>
      </c>
      <c r="C105" s="500">
        <f t="shared" si="9"/>
        <v>3089417</v>
      </c>
      <c r="D105" s="31" t="s">
        <v>638</v>
      </c>
      <c r="E105" s="863">
        <f t="shared" ca="1" si="15"/>
        <v>-230316</v>
      </c>
      <c r="F105" s="864">
        <f t="shared" ca="1" si="12"/>
        <v>-270756</v>
      </c>
      <c r="G105" s="1254">
        <v>29.9955</v>
      </c>
      <c r="H105" s="1310">
        <f t="shared" si="13"/>
        <v>-1348.2022303345502</v>
      </c>
      <c r="I105" s="2191">
        <f t="shared" ca="1" si="14"/>
        <v>-1996</v>
      </c>
      <c r="J105" s="2392"/>
      <c r="L105">
        <f t="shared" ca="1" si="11"/>
        <v>1431</v>
      </c>
    </row>
    <row r="106" spans="1:12" ht="19">
      <c r="A106" s="860">
        <v>44811</v>
      </c>
      <c r="B106" s="875">
        <v>-13473</v>
      </c>
      <c r="C106" s="500">
        <f t="shared" si="9"/>
        <v>3075944</v>
      </c>
      <c r="D106" s="31" t="s">
        <v>638</v>
      </c>
      <c r="E106" s="863">
        <f t="shared" ca="1" si="15"/>
        <v>-76373</v>
      </c>
      <c r="F106" s="864">
        <f t="shared" ca="1" si="12"/>
        <v>-89846</v>
      </c>
      <c r="G106" s="1254">
        <v>30.2</v>
      </c>
      <c r="H106" s="1310">
        <f t="shared" si="13"/>
        <v>-446.12582781456956</v>
      </c>
      <c r="I106" s="2191">
        <f t="shared" ca="1" si="14"/>
        <v>-660</v>
      </c>
      <c r="J106" s="2392"/>
      <c r="L106">
        <f t="shared" ca="1" si="11"/>
        <v>1428</v>
      </c>
    </row>
    <row r="107" spans="1:12" ht="19">
      <c r="A107" s="860">
        <v>44826</v>
      </c>
      <c r="B107" s="1055">
        <v>1502</v>
      </c>
      <c r="C107" s="500">
        <f t="shared" si="9"/>
        <v>3077446</v>
      </c>
      <c r="D107" s="1142" t="s">
        <v>748</v>
      </c>
      <c r="E107" s="863">
        <f t="shared" si="15"/>
        <v>0</v>
      </c>
      <c r="F107" s="864">
        <f t="shared" si="12"/>
        <v>0</v>
      </c>
      <c r="G107" s="1254">
        <v>31.666</v>
      </c>
      <c r="H107" s="1310">
        <f t="shared" si="13"/>
        <v>47.432577527947956</v>
      </c>
      <c r="I107" s="2191">
        <f t="shared" si="14"/>
        <v>0</v>
      </c>
      <c r="J107" s="2392"/>
      <c r="L107">
        <f t="shared" ca="1" si="11"/>
        <v>1413</v>
      </c>
    </row>
    <row r="108" spans="1:12" ht="19">
      <c r="A108" s="860">
        <v>44833</v>
      </c>
      <c r="B108" s="875">
        <v>-23603</v>
      </c>
      <c r="C108" s="500">
        <f t="shared" si="9"/>
        <v>3053843</v>
      </c>
      <c r="D108" s="31" t="s">
        <v>638</v>
      </c>
      <c r="E108" s="863">
        <f t="shared" ca="1" si="15"/>
        <v>-129262</v>
      </c>
      <c r="F108" s="864">
        <f t="shared" ca="1" si="12"/>
        <v>-152865</v>
      </c>
      <c r="G108" s="1254">
        <v>31.847999999999999</v>
      </c>
      <c r="H108" s="1310">
        <f t="shared" si="13"/>
        <v>-741.11404169806588</v>
      </c>
      <c r="I108" s="2191">
        <f t="shared" ca="1" si="14"/>
        <v>-1090</v>
      </c>
      <c r="J108" s="2392"/>
      <c r="L108">
        <f t="shared" ca="1" si="11"/>
        <v>1406</v>
      </c>
    </row>
    <row r="109" spans="1:12" ht="19">
      <c r="A109" s="860">
        <v>44837</v>
      </c>
      <c r="B109" s="875">
        <v>50000</v>
      </c>
      <c r="C109" s="500">
        <f t="shared" si="9"/>
        <v>3103843</v>
      </c>
      <c r="D109" s="31" t="s">
        <v>747</v>
      </c>
      <c r="E109" s="863">
        <f t="shared" ca="1" si="15"/>
        <v>272108</v>
      </c>
      <c r="F109" s="864">
        <f t="shared" ca="1" si="12"/>
        <v>322108</v>
      </c>
      <c r="G109" s="1254">
        <v>33.185000000000002</v>
      </c>
      <c r="H109" s="1310">
        <f t="shared" si="13"/>
        <v>1506.7048365225251</v>
      </c>
      <c r="I109" s="2191">
        <f t="shared" ca="1" si="14"/>
        <v>2212</v>
      </c>
      <c r="J109" s="2392"/>
      <c r="L109">
        <f t="shared" ca="1" si="11"/>
        <v>1402</v>
      </c>
    </row>
    <row r="110" spans="1:12" ht="19">
      <c r="A110" s="860">
        <v>44846</v>
      </c>
      <c r="B110" s="875">
        <v>-1900</v>
      </c>
      <c r="C110" s="500">
        <f t="shared" si="9"/>
        <v>3101943</v>
      </c>
      <c r="D110" s="31" t="s">
        <v>638</v>
      </c>
      <c r="E110" s="863">
        <f t="shared" ca="1" si="15"/>
        <v>-10195</v>
      </c>
      <c r="F110" s="864">
        <f t="shared" ca="1" si="12"/>
        <v>-12095</v>
      </c>
      <c r="G110" s="1254">
        <v>32.784500000000001</v>
      </c>
      <c r="H110" s="1310">
        <f t="shared" si="13"/>
        <v>-57.954216169226306</v>
      </c>
      <c r="I110" s="2191">
        <f t="shared" ca="1" si="14"/>
        <v>-85</v>
      </c>
      <c r="J110" s="2392"/>
      <c r="L110">
        <f t="shared" ca="1" si="11"/>
        <v>1393</v>
      </c>
    </row>
    <row r="111" spans="1:12" ht="19">
      <c r="A111" s="860">
        <v>44856</v>
      </c>
      <c r="B111" s="1055">
        <v>931</v>
      </c>
      <c r="C111" s="500">
        <f t="shared" si="9"/>
        <v>3102874</v>
      </c>
      <c r="D111" s="1142" t="s">
        <v>748</v>
      </c>
      <c r="E111" s="863">
        <f t="shared" si="15"/>
        <v>0</v>
      </c>
      <c r="F111" s="864">
        <f t="shared" si="12"/>
        <v>0</v>
      </c>
      <c r="G111" s="1254">
        <v>32.831499999999998</v>
      </c>
      <c r="H111" s="1310">
        <f t="shared" si="13"/>
        <v>28.35691333018595</v>
      </c>
      <c r="I111" s="2191">
        <f t="shared" si="14"/>
        <v>0</v>
      </c>
      <c r="J111" s="2392"/>
      <c r="L111">
        <f t="shared" ca="1" si="11"/>
        <v>1383</v>
      </c>
    </row>
    <row r="112" spans="1:12" ht="19">
      <c r="A112" s="860">
        <v>44857</v>
      </c>
      <c r="B112" s="875">
        <v>50000</v>
      </c>
      <c r="C112" s="500">
        <f t="shared" si="9"/>
        <v>3152874</v>
      </c>
      <c r="D112" s="31" t="s">
        <v>747</v>
      </c>
      <c r="E112" s="863">
        <f t="shared" ca="1" si="15"/>
        <v>263661</v>
      </c>
      <c r="F112" s="864">
        <f t="shared" ca="1" si="12"/>
        <v>313661</v>
      </c>
      <c r="G112" s="1254">
        <v>32.714500000000001</v>
      </c>
      <c r="H112" s="1310">
        <f t="shared" si="13"/>
        <v>1528.3742682908189</v>
      </c>
      <c r="I112" s="2191">
        <f t="shared" ca="1" si="14"/>
        <v>2232</v>
      </c>
      <c r="J112" s="2392"/>
      <c r="L112">
        <f t="shared" ca="1" si="11"/>
        <v>1382</v>
      </c>
    </row>
    <row r="113" spans="1:12" ht="19">
      <c r="A113" s="860">
        <v>44865</v>
      </c>
      <c r="B113" s="875">
        <v>50000</v>
      </c>
      <c r="C113" s="500">
        <f t="shared" si="9"/>
        <v>3202874</v>
      </c>
      <c r="D113" s="31" t="s">
        <v>747</v>
      </c>
      <c r="E113" s="863">
        <f t="shared" ca="1" si="15"/>
        <v>260344</v>
      </c>
      <c r="F113" s="864">
        <f t="shared" ca="1" si="12"/>
        <v>310344</v>
      </c>
      <c r="G113" s="1254">
        <v>33.39</v>
      </c>
      <c r="H113" s="1310">
        <f t="shared" si="13"/>
        <v>1497.4543276430068</v>
      </c>
      <c r="I113" s="2191">
        <f t="shared" ca="1" si="14"/>
        <v>2182</v>
      </c>
      <c r="J113" s="2392"/>
      <c r="L113">
        <f t="shared" ca="1" si="11"/>
        <v>1374</v>
      </c>
    </row>
    <row r="114" spans="1:12" ht="19">
      <c r="A114" s="860">
        <v>44871</v>
      </c>
      <c r="B114" s="1055">
        <v>58</v>
      </c>
      <c r="C114" s="500">
        <f t="shared" si="9"/>
        <v>3202932</v>
      </c>
      <c r="D114" s="1142" t="s">
        <v>748</v>
      </c>
      <c r="E114" s="863">
        <f t="shared" si="15"/>
        <v>0</v>
      </c>
      <c r="F114" s="864">
        <f t="shared" si="12"/>
        <v>0</v>
      </c>
      <c r="G114" s="1254">
        <v>36.156500000000001</v>
      </c>
      <c r="H114" s="1310">
        <f t="shared" si="13"/>
        <v>1.6041375686252817</v>
      </c>
      <c r="I114" s="2191">
        <f t="shared" si="14"/>
        <v>0</v>
      </c>
      <c r="J114" s="2392"/>
      <c r="L114">
        <f t="shared" ca="1" si="11"/>
        <v>1368</v>
      </c>
    </row>
    <row r="115" spans="1:12" ht="19">
      <c r="A115" s="860">
        <v>44873</v>
      </c>
      <c r="B115" s="875">
        <v>-495</v>
      </c>
      <c r="C115" s="500">
        <f t="shared" si="9"/>
        <v>3202437</v>
      </c>
      <c r="D115" s="31" t="s">
        <v>638</v>
      </c>
      <c r="E115" s="863">
        <f t="shared" ca="1" si="15"/>
        <v>-2545</v>
      </c>
      <c r="F115" s="864">
        <f t="shared" ca="1" si="12"/>
        <v>-3040</v>
      </c>
      <c r="G115" s="1254">
        <v>35.827500000000001</v>
      </c>
      <c r="H115" s="1310">
        <f t="shared" si="13"/>
        <v>-13.816202637638686</v>
      </c>
      <c r="I115" s="2191">
        <f t="shared" ca="1" si="14"/>
        <v>-21</v>
      </c>
      <c r="J115" s="2392"/>
      <c r="L115">
        <f t="shared" ca="1" si="11"/>
        <v>1366</v>
      </c>
    </row>
    <row r="116" spans="1:12" ht="19">
      <c r="A116" s="860">
        <v>44886</v>
      </c>
      <c r="B116" s="1055">
        <v>58</v>
      </c>
      <c r="C116" s="500">
        <f t="shared" si="9"/>
        <v>3202495</v>
      </c>
      <c r="D116" s="1142" t="s">
        <v>748</v>
      </c>
      <c r="E116" s="863">
        <f t="shared" si="15"/>
        <v>0</v>
      </c>
      <c r="F116" s="864">
        <f t="shared" si="12"/>
        <v>0</v>
      </c>
      <c r="G116" s="1254">
        <v>35.482849999999999</v>
      </c>
      <c r="H116" s="1310">
        <f t="shared" si="13"/>
        <v>1.6345924862292629</v>
      </c>
      <c r="I116" s="2191">
        <f t="shared" si="14"/>
        <v>0</v>
      </c>
      <c r="J116" s="2392"/>
      <c r="L116">
        <f t="shared" ca="1" si="11"/>
        <v>1353</v>
      </c>
    </row>
    <row r="117" spans="1:12" ht="19">
      <c r="A117" s="860">
        <v>44887</v>
      </c>
      <c r="B117" s="875">
        <v>-10473</v>
      </c>
      <c r="C117" s="500">
        <f t="shared" si="9"/>
        <v>3192022</v>
      </c>
      <c r="D117" s="31" t="s">
        <v>746</v>
      </c>
      <c r="E117" s="863">
        <f t="shared" ca="1" si="15"/>
        <v>-52659</v>
      </c>
      <c r="F117" s="864">
        <f t="shared" ca="1" si="12"/>
        <v>-63132</v>
      </c>
      <c r="G117" s="1254">
        <v>35.568399999999997</v>
      </c>
      <c r="H117" s="1310">
        <f t="shared" si="13"/>
        <v>-294.44675610935553</v>
      </c>
      <c r="I117" s="2191">
        <f t="shared" ca="1" si="14"/>
        <v>-427</v>
      </c>
      <c r="J117" s="2392"/>
      <c r="L117">
        <f t="shared" ca="1" si="11"/>
        <v>1352</v>
      </c>
    </row>
    <row r="118" spans="1:12" ht="19">
      <c r="A118" s="860">
        <v>44895</v>
      </c>
      <c r="B118" s="875">
        <v>-7700</v>
      </c>
      <c r="C118" s="500">
        <f t="shared" si="9"/>
        <v>3184322</v>
      </c>
      <c r="D118" s="31" t="s">
        <v>638</v>
      </c>
      <c r="E118" s="863">
        <f t="shared" ca="1" si="15"/>
        <v>-38226</v>
      </c>
      <c r="F118" s="864">
        <f t="shared" ca="1" si="12"/>
        <v>-45926</v>
      </c>
      <c r="G118" s="1254">
        <v>35.624200000000002</v>
      </c>
      <c r="H118" s="1310">
        <f t="shared" si="13"/>
        <v>-216.14520466424509</v>
      </c>
      <c r="I118" s="2191">
        <f t="shared" ca="1" si="14"/>
        <v>-313</v>
      </c>
      <c r="J118" s="2392"/>
      <c r="L118">
        <f t="shared" ca="1" si="11"/>
        <v>1344</v>
      </c>
    </row>
    <row r="119" spans="1:12" ht="19">
      <c r="A119" s="860">
        <v>44898</v>
      </c>
      <c r="B119" s="875">
        <v>-70000</v>
      </c>
      <c r="C119" s="500">
        <f t="shared" si="9"/>
        <v>3114322</v>
      </c>
      <c r="D119" s="31" t="s">
        <v>746</v>
      </c>
      <c r="E119" s="863">
        <f t="shared" ca="1" si="15"/>
        <v>-345843</v>
      </c>
      <c r="F119" s="864">
        <f t="shared" ca="1" si="12"/>
        <v>-415843</v>
      </c>
      <c r="G119" s="1254">
        <v>36.055500000000002</v>
      </c>
      <c r="H119" s="1310">
        <f t="shared" si="13"/>
        <v>-1941.4513735768467</v>
      </c>
      <c r="I119" s="2191">
        <f t="shared" ca="1" si="14"/>
        <v>-2804</v>
      </c>
      <c r="J119" s="2392"/>
      <c r="L119">
        <f t="shared" ca="1" si="11"/>
        <v>1341</v>
      </c>
    </row>
    <row r="120" spans="1:12" ht="19">
      <c r="A120" s="860">
        <v>44899</v>
      </c>
      <c r="B120" s="875">
        <v>-54277</v>
      </c>
      <c r="C120" s="500">
        <f t="shared" si="9"/>
        <v>3060045</v>
      </c>
      <c r="D120" s="31" t="s">
        <v>746</v>
      </c>
      <c r="E120" s="863">
        <f t="shared" ca="1" si="15"/>
        <v>-267733</v>
      </c>
      <c r="F120" s="864">
        <f t="shared" ca="1" si="12"/>
        <v>-322010</v>
      </c>
      <c r="G120" s="1254">
        <v>36.355499999999999</v>
      </c>
      <c r="H120" s="1310">
        <f t="shared" si="13"/>
        <v>-1492.9515479088445</v>
      </c>
      <c r="I120" s="2191">
        <f t="shared" ca="1" si="14"/>
        <v>-2155</v>
      </c>
      <c r="J120" s="2392"/>
      <c r="L120">
        <f t="shared" ca="1" si="11"/>
        <v>1340</v>
      </c>
    </row>
    <row r="121" spans="1:12" ht="19">
      <c r="A121" s="860">
        <v>44901</v>
      </c>
      <c r="B121" s="1055">
        <v>110</v>
      </c>
      <c r="C121" s="500">
        <f t="shared" si="9"/>
        <v>3060155</v>
      </c>
      <c r="D121" s="1142" t="s">
        <v>748</v>
      </c>
      <c r="E121" s="863">
        <f t="shared" si="15"/>
        <v>0</v>
      </c>
      <c r="F121" s="864">
        <f t="shared" si="12"/>
        <v>0</v>
      </c>
      <c r="G121" s="1254">
        <v>36.165500000000002</v>
      </c>
      <c r="H121" s="1310">
        <f t="shared" si="13"/>
        <v>3.0415727696285133</v>
      </c>
      <c r="I121" s="2191">
        <f t="shared" si="14"/>
        <v>0</v>
      </c>
      <c r="J121" s="2392"/>
      <c r="L121">
        <f t="shared" ca="1" si="11"/>
        <v>1338</v>
      </c>
    </row>
    <row r="122" spans="1:12" ht="19">
      <c r="A122" s="860">
        <v>44908</v>
      </c>
      <c r="B122" s="875">
        <v>10473</v>
      </c>
      <c r="C122" s="500">
        <f t="shared" si="9"/>
        <v>3070628</v>
      </c>
      <c r="D122" s="31" t="s">
        <v>745</v>
      </c>
      <c r="E122" s="863">
        <f t="shared" ca="1" si="15"/>
        <v>50922</v>
      </c>
      <c r="F122" s="864">
        <f t="shared" ca="1" si="12"/>
        <v>61395</v>
      </c>
      <c r="G122" s="1254">
        <v>38.320500000000003</v>
      </c>
      <c r="H122" s="1310">
        <f t="shared" si="13"/>
        <v>273.30019180334284</v>
      </c>
      <c r="I122" s="2191">
        <f t="shared" ca="1" si="14"/>
        <v>394</v>
      </c>
      <c r="J122" s="2392"/>
      <c r="K122" t="s">
        <v>749</v>
      </c>
      <c r="L122">
        <f t="shared" ca="1" si="11"/>
        <v>1331</v>
      </c>
    </row>
    <row r="123" spans="1:12" ht="19">
      <c r="A123" s="860">
        <v>45280</v>
      </c>
      <c r="B123" s="875">
        <v>-385</v>
      </c>
      <c r="C123" s="500">
        <f t="shared" si="9"/>
        <v>3070243</v>
      </c>
      <c r="D123" s="31" t="s">
        <v>638</v>
      </c>
      <c r="E123" s="863">
        <f t="shared" ca="1" si="15"/>
        <v>-992</v>
      </c>
      <c r="F123" s="864">
        <f t="shared" ca="1" si="12"/>
        <v>-1377</v>
      </c>
      <c r="G123" s="1254">
        <v>50.073700000000002</v>
      </c>
      <c r="H123" s="1310">
        <f t="shared" si="13"/>
        <v>-7.688666904982056</v>
      </c>
      <c r="I123" s="2191">
        <f t="shared" ca="1" si="14"/>
        <v>-10</v>
      </c>
      <c r="J123" s="2392"/>
      <c r="L123">
        <f t="shared" ca="1" si="11"/>
        <v>959</v>
      </c>
    </row>
    <row r="124" spans="1:12" ht="19">
      <c r="A124" s="860">
        <v>44916</v>
      </c>
      <c r="B124" s="1055">
        <v>59</v>
      </c>
      <c r="C124" s="500">
        <f t="shared" si="9"/>
        <v>3070302</v>
      </c>
      <c r="D124" s="1142" t="s">
        <v>748</v>
      </c>
      <c r="E124" s="863">
        <f t="shared" si="15"/>
        <v>0</v>
      </c>
      <c r="F124" s="864">
        <f t="shared" si="12"/>
        <v>0</v>
      </c>
      <c r="G124" s="1254">
        <v>39.780500000000004</v>
      </c>
      <c r="H124" s="1310">
        <f t="shared" si="13"/>
        <v>1.4831387237465592</v>
      </c>
      <c r="I124" s="2191">
        <f t="shared" si="14"/>
        <v>0</v>
      </c>
      <c r="J124" s="2392"/>
      <c r="L124">
        <f t="shared" ca="1" si="11"/>
        <v>1323</v>
      </c>
    </row>
    <row r="125" spans="1:12" ht="19">
      <c r="A125" s="860">
        <v>44930</v>
      </c>
      <c r="B125" s="875">
        <v>100000</v>
      </c>
      <c r="C125" s="500">
        <f t="shared" si="9"/>
        <v>3170302</v>
      </c>
      <c r="D125" s="31" t="s">
        <v>747</v>
      </c>
      <c r="E125" s="863">
        <f t="shared" ca="1" si="15"/>
        <v>469331</v>
      </c>
      <c r="F125" s="864">
        <f t="shared" ca="1" si="12"/>
        <v>569331</v>
      </c>
      <c r="G125" s="1254">
        <v>39.720999999999997</v>
      </c>
      <c r="H125" s="1310">
        <f t="shared" si="13"/>
        <v>2517.5599808665443</v>
      </c>
      <c r="I125" s="2191">
        <f t="shared" ca="1" si="14"/>
        <v>3604</v>
      </c>
      <c r="J125" s="2392"/>
      <c r="L125">
        <f t="shared" ca="1" si="11"/>
        <v>1309</v>
      </c>
    </row>
    <row r="126" spans="1:12" ht="19">
      <c r="A126" s="860">
        <v>44934</v>
      </c>
      <c r="B126" s="875">
        <v>-92288</v>
      </c>
      <c r="C126" s="500">
        <f t="shared" si="9"/>
        <v>3078014</v>
      </c>
      <c r="D126" s="31" t="s">
        <v>746</v>
      </c>
      <c r="E126" s="863">
        <f t="shared" ca="1" si="15"/>
        <v>-430351</v>
      </c>
      <c r="F126" s="864">
        <f t="shared" ca="1" si="12"/>
        <v>-522639</v>
      </c>
      <c r="G126" s="1254">
        <v>40.854999999999997</v>
      </c>
      <c r="H126" s="1310">
        <f t="shared" si="13"/>
        <v>-2258.9156773956679</v>
      </c>
      <c r="I126" s="2191">
        <f t="shared" ca="1" si="14"/>
        <v>-3230</v>
      </c>
      <c r="J126" s="2392"/>
      <c r="L126">
        <f t="shared" ca="1" si="11"/>
        <v>1305</v>
      </c>
    </row>
    <row r="127" spans="1:12" ht="19">
      <c r="A127" s="860">
        <v>44935</v>
      </c>
      <c r="B127" s="875">
        <v>-100000</v>
      </c>
      <c r="C127" s="500">
        <f t="shared" si="9"/>
        <v>2978014</v>
      </c>
      <c r="D127" s="31" t="s">
        <v>746</v>
      </c>
      <c r="E127" s="863">
        <f t="shared" ca="1" si="15"/>
        <v>-465562</v>
      </c>
      <c r="F127" s="864">
        <f t="shared" ca="1" si="12"/>
        <v>-565562</v>
      </c>
      <c r="G127" s="1254">
        <v>40.892499999999998</v>
      </c>
      <c r="H127" s="1310">
        <f t="shared" si="13"/>
        <v>-2445.4362046830106</v>
      </c>
      <c r="I127" s="2191">
        <f t="shared" ca="1" si="14"/>
        <v>-3496</v>
      </c>
      <c r="J127" s="2392"/>
      <c r="L127">
        <f t="shared" ca="1" si="11"/>
        <v>1304</v>
      </c>
    </row>
    <row r="128" spans="1:12" ht="19">
      <c r="A128" s="860">
        <v>44935</v>
      </c>
      <c r="B128" s="875">
        <v>-4606</v>
      </c>
      <c r="C128" s="500">
        <f t="shared" si="9"/>
        <v>2973408</v>
      </c>
      <c r="D128" s="31" t="s">
        <v>746</v>
      </c>
      <c r="E128" s="863">
        <f t="shared" ca="1" si="15"/>
        <v>-21444</v>
      </c>
      <c r="F128" s="864">
        <f t="shared" ca="1" si="12"/>
        <v>-26050</v>
      </c>
      <c r="G128" s="1254">
        <v>40.892499999999998</v>
      </c>
      <c r="H128" s="1310">
        <f t="shared" si="13"/>
        <v>-112.63679158769946</v>
      </c>
      <c r="I128" s="2191">
        <f t="shared" ca="1" si="14"/>
        <v>-161</v>
      </c>
      <c r="J128" s="2392"/>
      <c r="L128">
        <f t="shared" ca="1" si="11"/>
        <v>1304</v>
      </c>
    </row>
    <row r="129" spans="1:12" ht="19">
      <c r="A129" s="860">
        <v>44935</v>
      </c>
      <c r="B129" s="875">
        <v>48688</v>
      </c>
      <c r="C129" s="500">
        <f t="shared" si="9"/>
        <v>3022096</v>
      </c>
      <c r="D129" s="31" t="s">
        <v>747</v>
      </c>
      <c r="E129" s="863">
        <f t="shared" ca="1" si="15"/>
        <v>226673</v>
      </c>
      <c r="F129" s="864">
        <f t="shared" ca="1" si="12"/>
        <v>275361</v>
      </c>
      <c r="G129" s="1254">
        <v>40.892499999999998</v>
      </c>
      <c r="H129" s="1310">
        <f t="shared" si="13"/>
        <v>1190.6339793360642</v>
      </c>
      <c r="I129" s="2191">
        <f t="shared" ca="1" si="14"/>
        <v>1702</v>
      </c>
      <c r="J129" s="2392"/>
      <c r="L129">
        <f t="shared" ca="1" si="11"/>
        <v>1304</v>
      </c>
    </row>
    <row r="130" spans="1:12" ht="19">
      <c r="A130" s="860">
        <v>44935</v>
      </c>
      <c r="B130" s="875">
        <v>50000</v>
      </c>
      <c r="C130" s="500">
        <f t="shared" si="9"/>
        <v>3072096</v>
      </c>
      <c r="D130" s="31" t="s">
        <v>747</v>
      </c>
      <c r="E130" s="863">
        <f t="shared" ca="1" si="15"/>
        <v>232781</v>
      </c>
      <c r="F130" s="864">
        <f t="shared" ca="1" si="12"/>
        <v>282781</v>
      </c>
      <c r="G130" s="1254">
        <v>40.892499999999998</v>
      </c>
      <c r="H130" s="1310">
        <f t="shared" si="13"/>
        <v>1222.7181023415053</v>
      </c>
      <c r="I130" s="2191">
        <f t="shared" ca="1" si="14"/>
        <v>1748</v>
      </c>
      <c r="J130" s="2392"/>
      <c r="L130">
        <f t="shared" ca="1" si="11"/>
        <v>1304</v>
      </c>
    </row>
    <row r="131" spans="1:12" ht="19">
      <c r="A131" s="860">
        <v>44938</v>
      </c>
      <c r="B131" s="875">
        <v>-100000</v>
      </c>
      <c r="C131" s="500">
        <f t="shared" ref="C131:C194" si="16">C130+B131</f>
        <v>2972096</v>
      </c>
      <c r="D131" s="31" t="s">
        <v>746</v>
      </c>
      <c r="E131" s="863">
        <f t="shared" ca="1" si="15"/>
        <v>-463312</v>
      </c>
      <c r="F131" s="864">
        <f t="shared" ca="1" si="12"/>
        <v>-563312</v>
      </c>
      <c r="G131" s="1254">
        <v>40.950049999999997</v>
      </c>
      <c r="H131" s="1310">
        <f t="shared" si="13"/>
        <v>-2441.9994603181194</v>
      </c>
      <c r="I131" s="2191">
        <f t="shared" ca="1" si="14"/>
        <v>-3488</v>
      </c>
      <c r="J131" s="2392"/>
      <c r="L131">
        <f t="shared" ref="L131:L194" ca="1" si="17">$E$1-A131</f>
        <v>1301</v>
      </c>
    </row>
    <row r="132" spans="1:12" ht="19">
      <c r="A132" s="860">
        <v>44938</v>
      </c>
      <c r="B132" s="875">
        <v>-100000</v>
      </c>
      <c r="C132" s="500">
        <f t="shared" si="16"/>
        <v>2872096</v>
      </c>
      <c r="D132" s="31" t="s">
        <v>746</v>
      </c>
      <c r="E132" s="863">
        <f t="shared" ca="1" si="15"/>
        <v>-463312</v>
      </c>
      <c r="F132" s="864">
        <f t="shared" ref="F132:F195" ca="1" si="18">IF(D132="Hami Interest",0,ROUNDUP(B132*(1+$F$1/12)^(($E$1-A132)/30),0))</f>
        <v>-563312</v>
      </c>
      <c r="G132" s="1254">
        <v>40.950049999999997</v>
      </c>
      <c r="H132" s="1310">
        <f t="shared" si="13"/>
        <v>-2441.9994603181194</v>
      </c>
      <c r="I132" s="2191">
        <f t="shared" ca="1" si="14"/>
        <v>-3488</v>
      </c>
      <c r="J132" s="2392"/>
      <c r="L132">
        <f t="shared" ca="1" si="17"/>
        <v>1301</v>
      </c>
    </row>
    <row r="133" spans="1:12" ht="19">
      <c r="A133" s="860">
        <v>44940</v>
      </c>
      <c r="B133" s="875">
        <v>-100000</v>
      </c>
      <c r="C133" s="500">
        <f t="shared" si="16"/>
        <v>2772096</v>
      </c>
      <c r="D133" s="31" t="s">
        <v>746</v>
      </c>
      <c r="E133" s="863">
        <f t="shared" ca="1" si="15"/>
        <v>-461817</v>
      </c>
      <c r="F133" s="864">
        <f t="shared" ca="1" si="18"/>
        <v>-561817</v>
      </c>
      <c r="G133" s="1254">
        <v>40.895000000000003</v>
      </c>
      <c r="H133" s="1310">
        <f t="shared" si="13"/>
        <v>-2445.2867098667316</v>
      </c>
      <c r="I133" s="2191">
        <f t="shared" ca="1" si="14"/>
        <v>-3491</v>
      </c>
      <c r="J133" s="2392"/>
      <c r="L133">
        <f t="shared" ca="1" si="17"/>
        <v>1299</v>
      </c>
    </row>
    <row r="134" spans="1:12" ht="19">
      <c r="A134" s="860">
        <v>44941</v>
      </c>
      <c r="B134" s="875">
        <v>100000</v>
      </c>
      <c r="C134" s="500">
        <f t="shared" si="16"/>
        <v>2872096</v>
      </c>
      <c r="D134" s="31" t="s">
        <v>747</v>
      </c>
      <c r="E134" s="863">
        <f t="shared" ca="1" si="15"/>
        <v>461071</v>
      </c>
      <c r="F134" s="864">
        <f t="shared" ca="1" si="18"/>
        <v>561071</v>
      </c>
      <c r="G134" s="1254">
        <v>41.020499999999998</v>
      </c>
      <c r="H134" s="1310">
        <f t="shared" si="13"/>
        <v>2437.8054875001526</v>
      </c>
      <c r="I134" s="2191">
        <f t="shared" ca="1" si="14"/>
        <v>3479</v>
      </c>
      <c r="J134" s="2392"/>
      <c r="L134">
        <f t="shared" ca="1" si="17"/>
        <v>1298</v>
      </c>
    </row>
    <row r="135" spans="1:12" ht="19">
      <c r="A135" s="860">
        <v>44944</v>
      </c>
      <c r="B135" s="875">
        <v>100000</v>
      </c>
      <c r="C135" s="500">
        <f t="shared" si="16"/>
        <v>2972096</v>
      </c>
      <c r="D135" s="31" t="s">
        <v>747</v>
      </c>
      <c r="E135" s="863">
        <f t="shared" ca="1" si="15"/>
        <v>458839</v>
      </c>
      <c r="F135" s="864">
        <f t="shared" ca="1" si="18"/>
        <v>558839</v>
      </c>
      <c r="G135" s="1254">
        <v>42.8825</v>
      </c>
      <c r="H135" s="1310">
        <f t="shared" si="13"/>
        <v>2331.9535941234767</v>
      </c>
      <c r="I135" s="2191">
        <f t="shared" ca="1" si="14"/>
        <v>3325</v>
      </c>
      <c r="J135" s="2392"/>
      <c r="L135">
        <f t="shared" ca="1" si="17"/>
        <v>1295</v>
      </c>
    </row>
    <row r="136" spans="1:12" ht="19">
      <c r="A136" s="860">
        <v>44946</v>
      </c>
      <c r="B136" s="1055">
        <v>454</v>
      </c>
      <c r="C136" s="500">
        <f t="shared" si="16"/>
        <v>2972550</v>
      </c>
      <c r="D136" s="1142" t="s">
        <v>748</v>
      </c>
      <c r="E136" s="863">
        <f t="shared" si="15"/>
        <v>0</v>
      </c>
      <c r="F136" s="864">
        <f t="shared" si="18"/>
        <v>0</v>
      </c>
      <c r="G136" s="1254">
        <v>44.19</v>
      </c>
      <c r="H136" s="1310">
        <f t="shared" ref="H136:H199" si="19">B136/G136</f>
        <v>10.273817605793166</v>
      </c>
      <c r="I136" s="2191">
        <f t="shared" ref="I136:I199" si="20">IF(D136="Hami Interest",0,ROUNDUP(H136*(1+$I$1/12)^(($E$1-A136)/30),0))</f>
        <v>0</v>
      </c>
      <c r="J136" s="2392"/>
      <c r="L136">
        <f t="shared" ca="1" si="17"/>
        <v>1293</v>
      </c>
    </row>
    <row r="137" spans="1:12" ht="19">
      <c r="A137" s="860">
        <v>44949</v>
      </c>
      <c r="B137" s="875">
        <v>100000</v>
      </c>
      <c r="C137" s="500">
        <f t="shared" si="16"/>
        <v>3072550</v>
      </c>
      <c r="D137" s="31" t="s">
        <v>747</v>
      </c>
      <c r="E137" s="863">
        <f t="shared" ca="1" si="15"/>
        <v>455138</v>
      </c>
      <c r="F137" s="864">
        <f t="shared" ca="1" si="18"/>
        <v>555138</v>
      </c>
      <c r="G137" s="1254">
        <v>44.1935</v>
      </c>
      <c r="H137" s="1310">
        <f t="shared" si="19"/>
        <v>2262.7762001199271</v>
      </c>
      <c r="I137" s="2191">
        <f t="shared" ca="1" si="20"/>
        <v>3222</v>
      </c>
      <c r="J137" s="2392"/>
      <c r="L137">
        <f t="shared" ca="1" si="17"/>
        <v>1290</v>
      </c>
    </row>
    <row r="138" spans="1:12" ht="19">
      <c r="A138" s="860">
        <v>44951</v>
      </c>
      <c r="B138" s="875">
        <v>100000</v>
      </c>
      <c r="C138" s="500">
        <f t="shared" si="16"/>
        <v>3172550</v>
      </c>
      <c r="D138" s="31" t="s">
        <v>747</v>
      </c>
      <c r="E138" s="863">
        <f t="shared" ref="E138:E201" ca="1" si="21">IF(F138=0,0,F138-B138)</f>
        <v>453665</v>
      </c>
      <c r="F138" s="864">
        <f t="shared" ca="1" si="18"/>
        <v>553665</v>
      </c>
      <c r="G138" s="1254">
        <v>44.17</v>
      </c>
      <c r="H138" s="1310">
        <f t="shared" si="19"/>
        <v>2263.9800769753224</v>
      </c>
      <c r="I138" s="2191">
        <f t="shared" ca="1" si="20"/>
        <v>3222</v>
      </c>
      <c r="J138" s="2392"/>
      <c r="L138">
        <f t="shared" ca="1" si="17"/>
        <v>1288</v>
      </c>
    </row>
    <row r="139" spans="1:12" ht="19">
      <c r="A139" s="860">
        <v>44952</v>
      </c>
      <c r="B139" s="875">
        <v>100000</v>
      </c>
      <c r="C139" s="500">
        <f t="shared" si="16"/>
        <v>3272550</v>
      </c>
      <c r="D139" s="31" t="s">
        <v>747</v>
      </c>
      <c r="E139" s="863">
        <f t="shared" ca="1" si="21"/>
        <v>452930</v>
      </c>
      <c r="F139" s="864">
        <f t="shared" ca="1" si="18"/>
        <v>552930</v>
      </c>
      <c r="G139" s="1254">
        <v>44.28145</v>
      </c>
      <c r="H139" s="1310">
        <f t="shared" si="19"/>
        <v>2258.2819668280963</v>
      </c>
      <c r="I139" s="2191">
        <f t="shared" ca="1" si="20"/>
        <v>3213</v>
      </c>
      <c r="J139" s="2392"/>
      <c r="L139">
        <f t="shared" ca="1" si="17"/>
        <v>1287</v>
      </c>
    </row>
    <row r="140" spans="1:12" ht="19">
      <c r="A140" s="860">
        <v>44953</v>
      </c>
      <c r="B140" s="875">
        <v>-11750</v>
      </c>
      <c r="C140" s="500">
        <f t="shared" si="16"/>
        <v>3260800</v>
      </c>
      <c r="D140" s="31" t="s">
        <v>638</v>
      </c>
      <c r="E140" s="863">
        <f t="shared" ca="1" si="21"/>
        <v>-53133</v>
      </c>
      <c r="F140" s="864">
        <f t="shared" ca="1" si="18"/>
        <v>-64883</v>
      </c>
      <c r="G140" s="1254">
        <v>44.32</v>
      </c>
      <c r="H140" s="1310">
        <f t="shared" si="19"/>
        <v>-265.11732851985562</v>
      </c>
      <c r="I140" s="2191">
        <f t="shared" ca="1" si="20"/>
        <v>-378</v>
      </c>
      <c r="J140" s="2392"/>
      <c r="L140">
        <f t="shared" ca="1" si="17"/>
        <v>1286</v>
      </c>
    </row>
    <row r="141" spans="1:12" ht="19">
      <c r="A141" s="860">
        <v>44953</v>
      </c>
      <c r="B141" s="875">
        <v>100000</v>
      </c>
      <c r="C141" s="500">
        <f t="shared" si="16"/>
        <v>3360800</v>
      </c>
      <c r="D141" s="31" t="s">
        <v>747</v>
      </c>
      <c r="E141" s="863">
        <f t="shared" ca="1" si="21"/>
        <v>452196</v>
      </c>
      <c r="F141" s="864">
        <f t="shared" ca="1" si="18"/>
        <v>552196</v>
      </c>
      <c r="G141" s="1254">
        <v>44.32</v>
      </c>
      <c r="H141" s="1310">
        <f t="shared" si="19"/>
        <v>2256.317689530686</v>
      </c>
      <c r="I141" s="2191">
        <f t="shared" ca="1" si="20"/>
        <v>3209</v>
      </c>
      <c r="J141" s="2392"/>
      <c r="L141">
        <f t="shared" ca="1" si="17"/>
        <v>1286</v>
      </c>
    </row>
    <row r="142" spans="1:12" ht="19">
      <c r="A142" s="860">
        <v>44954</v>
      </c>
      <c r="B142" s="875">
        <v>100000</v>
      </c>
      <c r="C142" s="500">
        <f t="shared" si="16"/>
        <v>3460800</v>
      </c>
      <c r="D142" s="31" t="s">
        <v>747</v>
      </c>
      <c r="E142" s="863">
        <f t="shared" ca="1" si="21"/>
        <v>451462</v>
      </c>
      <c r="F142" s="864">
        <f t="shared" ca="1" si="18"/>
        <v>551462</v>
      </c>
      <c r="G142" s="1254">
        <v>44.314999999999998</v>
      </c>
      <c r="H142" s="1310">
        <f t="shared" si="19"/>
        <v>2256.5722667268419</v>
      </c>
      <c r="I142" s="2191">
        <f t="shared" ca="1" si="20"/>
        <v>3209</v>
      </c>
      <c r="J142" s="2392"/>
      <c r="L142">
        <f t="shared" ca="1" si="17"/>
        <v>1285</v>
      </c>
    </row>
    <row r="143" spans="1:12" ht="19">
      <c r="A143" s="860">
        <v>44957</v>
      </c>
      <c r="B143" s="875">
        <v>100000</v>
      </c>
      <c r="C143" s="500">
        <f t="shared" si="16"/>
        <v>3560800</v>
      </c>
      <c r="D143" s="31" t="s">
        <v>747</v>
      </c>
      <c r="E143" s="863">
        <f t="shared" ca="1" si="21"/>
        <v>449268</v>
      </c>
      <c r="F143" s="864">
        <f t="shared" ca="1" si="18"/>
        <v>549268</v>
      </c>
      <c r="G143" s="1254">
        <v>44.634500000000003</v>
      </c>
      <c r="H143" s="1310">
        <f t="shared" si="19"/>
        <v>2240.4194065128991</v>
      </c>
      <c r="I143" s="2191">
        <f t="shared" ca="1" si="20"/>
        <v>3183</v>
      </c>
      <c r="J143" s="2392"/>
      <c r="L143">
        <f t="shared" ca="1" si="17"/>
        <v>1282</v>
      </c>
    </row>
    <row r="144" spans="1:12" ht="19">
      <c r="A144" s="860">
        <v>44960</v>
      </c>
      <c r="B144" s="875">
        <v>100000</v>
      </c>
      <c r="C144" s="500">
        <f t="shared" si="16"/>
        <v>3660800</v>
      </c>
      <c r="D144" s="31" t="s">
        <v>747</v>
      </c>
      <c r="E144" s="863">
        <f t="shared" ca="1" si="21"/>
        <v>447083</v>
      </c>
      <c r="F144" s="864">
        <f t="shared" ca="1" si="18"/>
        <v>547083</v>
      </c>
      <c r="G144" s="1254">
        <v>44.63</v>
      </c>
      <c r="H144" s="1310">
        <f t="shared" si="19"/>
        <v>2240.6453058480843</v>
      </c>
      <c r="I144" s="2191">
        <f t="shared" ca="1" si="20"/>
        <v>3181</v>
      </c>
      <c r="J144" s="2392"/>
      <c r="L144">
        <f t="shared" ca="1" si="17"/>
        <v>1279</v>
      </c>
    </row>
    <row r="145" spans="1:12" ht="19">
      <c r="A145" s="860">
        <v>44961</v>
      </c>
      <c r="B145" s="1055">
        <v>2534</v>
      </c>
      <c r="C145" s="500">
        <f t="shared" si="16"/>
        <v>3663334</v>
      </c>
      <c r="D145" s="1142" t="s">
        <v>748</v>
      </c>
      <c r="E145" s="863">
        <f t="shared" si="21"/>
        <v>0</v>
      </c>
      <c r="F145" s="864">
        <f t="shared" si="18"/>
        <v>0</v>
      </c>
      <c r="G145" s="1254">
        <v>49.66</v>
      </c>
      <c r="H145" s="1310">
        <f t="shared" si="19"/>
        <v>51.026983487716478</v>
      </c>
      <c r="I145" s="2191">
        <f t="shared" si="20"/>
        <v>0</v>
      </c>
      <c r="J145" s="2392"/>
      <c r="L145">
        <f t="shared" ca="1" si="17"/>
        <v>1278</v>
      </c>
    </row>
    <row r="146" spans="1:12" ht="19">
      <c r="A146" s="860">
        <v>44976</v>
      </c>
      <c r="B146" s="1055">
        <v>5990</v>
      </c>
      <c r="C146" s="500">
        <f t="shared" si="16"/>
        <v>3669324</v>
      </c>
      <c r="D146" s="1142" t="s">
        <v>748</v>
      </c>
      <c r="E146" s="863">
        <f t="shared" si="21"/>
        <v>0</v>
      </c>
      <c r="F146" s="864">
        <f t="shared" si="18"/>
        <v>0</v>
      </c>
      <c r="G146" s="1254">
        <v>49.66</v>
      </c>
      <c r="H146" s="1310">
        <f t="shared" si="19"/>
        <v>120.62021747885623</v>
      </c>
      <c r="I146" s="2191">
        <f t="shared" si="20"/>
        <v>0</v>
      </c>
      <c r="J146" s="2392"/>
      <c r="L146">
        <f t="shared" ca="1" si="17"/>
        <v>1263</v>
      </c>
    </row>
    <row r="147" spans="1:12" ht="19">
      <c r="A147" s="860">
        <v>44985</v>
      </c>
      <c r="B147" s="875">
        <v>100000</v>
      </c>
      <c r="C147" s="500">
        <f t="shared" si="16"/>
        <v>3769324</v>
      </c>
      <c r="D147" s="31" t="s">
        <v>747</v>
      </c>
      <c r="E147" s="863">
        <f t="shared" ca="1" si="21"/>
        <v>429209</v>
      </c>
      <c r="F147" s="864">
        <f t="shared" ca="1" si="18"/>
        <v>529209</v>
      </c>
      <c r="G147" s="1254">
        <v>55.645000000000003</v>
      </c>
      <c r="H147" s="1310">
        <f t="shared" si="19"/>
        <v>1797.1066582801689</v>
      </c>
      <c r="I147" s="2191">
        <f t="shared" ca="1" si="20"/>
        <v>2534</v>
      </c>
      <c r="J147" s="2392"/>
      <c r="L147">
        <f t="shared" ca="1" si="17"/>
        <v>1254</v>
      </c>
    </row>
    <row r="148" spans="1:12" ht="19">
      <c r="A148" s="860">
        <v>44986</v>
      </c>
      <c r="B148" s="875">
        <v>-3500</v>
      </c>
      <c r="C148" s="500">
        <f t="shared" si="16"/>
        <v>3765824</v>
      </c>
      <c r="D148" s="31" t="s">
        <v>638</v>
      </c>
      <c r="E148" s="863">
        <f t="shared" ca="1" si="21"/>
        <v>-14998</v>
      </c>
      <c r="F148" s="864">
        <f t="shared" ca="1" si="18"/>
        <v>-18498</v>
      </c>
      <c r="G148" s="1254">
        <v>55.645000000000003</v>
      </c>
      <c r="H148" s="1310">
        <f t="shared" si="19"/>
        <v>-62.898733039805911</v>
      </c>
      <c r="I148" s="2191">
        <f t="shared" ca="1" si="20"/>
        <v>-89</v>
      </c>
      <c r="J148" s="2392"/>
      <c r="L148">
        <f t="shared" ca="1" si="17"/>
        <v>1253</v>
      </c>
    </row>
    <row r="149" spans="1:12" ht="19">
      <c r="A149" s="860">
        <v>44986</v>
      </c>
      <c r="B149" s="875">
        <v>100000</v>
      </c>
      <c r="C149" s="500">
        <f t="shared" si="16"/>
        <v>3865824</v>
      </c>
      <c r="D149" s="31" t="s">
        <v>747</v>
      </c>
      <c r="E149" s="863">
        <f t="shared" ca="1" si="21"/>
        <v>428506</v>
      </c>
      <c r="F149" s="864">
        <f t="shared" ca="1" si="18"/>
        <v>528506</v>
      </c>
      <c r="G149" s="1254">
        <v>55.645000000000003</v>
      </c>
      <c r="H149" s="1310">
        <f t="shared" si="19"/>
        <v>1797.1066582801689</v>
      </c>
      <c r="I149" s="2191">
        <f t="shared" ca="1" si="20"/>
        <v>2533</v>
      </c>
      <c r="J149" s="2392"/>
      <c r="L149">
        <f t="shared" ca="1" si="17"/>
        <v>1253</v>
      </c>
    </row>
    <row r="150" spans="1:12" ht="19">
      <c r="A150" s="860">
        <v>44991</v>
      </c>
      <c r="B150" s="875">
        <v>-26743</v>
      </c>
      <c r="C150" s="500">
        <f t="shared" si="16"/>
        <v>3839081</v>
      </c>
      <c r="D150" s="31" t="s">
        <v>638</v>
      </c>
      <c r="E150" s="863">
        <f t="shared" ca="1" si="21"/>
        <v>-113660</v>
      </c>
      <c r="F150" s="864">
        <f t="shared" ca="1" si="18"/>
        <v>-140403</v>
      </c>
      <c r="G150" s="1254">
        <v>49.394500000000001</v>
      </c>
      <c r="H150" s="1310">
        <f t="shared" si="19"/>
        <v>-541.4165544746885</v>
      </c>
      <c r="I150" s="2191">
        <f t="shared" ca="1" si="20"/>
        <v>-763</v>
      </c>
      <c r="J150" s="2392"/>
      <c r="L150">
        <f t="shared" ca="1" si="17"/>
        <v>1248</v>
      </c>
    </row>
    <row r="151" spans="1:12" ht="19">
      <c r="A151" s="860">
        <v>44991</v>
      </c>
      <c r="B151" s="1055">
        <v>6081</v>
      </c>
      <c r="C151" s="500">
        <f t="shared" si="16"/>
        <v>3845162</v>
      </c>
      <c r="D151" s="1142" t="s">
        <v>748</v>
      </c>
      <c r="E151" s="863">
        <f t="shared" si="21"/>
        <v>0</v>
      </c>
      <c r="F151" s="864">
        <f t="shared" si="18"/>
        <v>0</v>
      </c>
      <c r="G151" s="1254">
        <v>49.394500000000001</v>
      </c>
      <c r="H151" s="1310">
        <f t="shared" si="19"/>
        <v>123.11087266800959</v>
      </c>
      <c r="I151" s="2191">
        <f t="shared" si="20"/>
        <v>0</v>
      </c>
      <c r="J151" s="2392"/>
      <c r="L151">
        <f t="shared" ca="1" si="17"/>
        <v>1248</v>
      </c>
    </row>
    <row r="152" spans="1:12" ht="19">
      <c r="A152" s="860">
        <v>44996</v>
      </c>
      <c r="B152" s="875">
        <v>50000</v>
      </c>
      <c r="C152" s="500">
        <f t="shared" si="16"/>
        <v>3895162</v>
      </c>
      <c r="D152" s="31" t="s">
        <v>745</v>
      </c>
      <c r="E152" s="863">
        <f t="shared" ca="1" si="21"/>
        <v>210765</v>
      </c>
      <c r="F152" s="864">
        <f t="shared" ca="1" si="18"/>
        <v>260765</v>
      </c>
      <c r="G152" s="1254">
        <v>44.094999999999999</v>
      </c>
      <c r="H152" s="1310">
        <f t="shared" si="19"/>
        <v>1133.9154099104207</v>
      </c>
      <c r="I152" s="2191">
        <f t="shared" ca="1" si="20"/>
        <v>1594</v>
      </c>
      <c r="J152" s="2392"/>
      <c r="L152">
        <f t="shared" ca="1" si="17"/>
        <v>1243</v>
      </c>
    </row>
    <row r="153" spans="1:12" ht="19">
      <c r="A153" s="860">
        <v>44997</v>
      </c>
      <c r="B153" s="875">
        <v>36379</v>
      </c>
      <c r="C153" s="500">
        <f t="shared" si="16"/>
        <v>3931541</v>
      </c>
      <c r="D153" s="31" t="s">
        <v>745</v>
      </c>
      <c r="E153" s="863">
        <f t="shared" ca="1" si="21"/>
        <v>153097</v>
      </c>
      <c r="F153" s="864">
        <f t="shared" ca="1" si="18"/>
        <v>189476</v>
      </c>
      <c r="G153" s="1254">
        <v>44.667999999999999</v>
      </c>
      <c r="H153" s="1310">
        <f t="shared" si="19"/>
        <v>814.43091251007434</v>
      </c>
      <c r="I153" s="2191">
        <f t="shared" ca="1" si="20"/>
        <v>1145</v>
      </c>
      <c r="J153" s="2392"/>
      <c r="L153">
        <f t="shared" ca="1" si="17"/>
        <v>1242</v>
      </c>
    </row>
    <row r="154" spans="1:12" ht="19">
      <c r="A154" s="860">
        <v>44998</v>
      </c>
      <c r="B154" s="875">
        <v>5944</v>
      </c>
      <c r="C154" s="500">
        <f t="shared" si="16"/>
        <v>3937485</v>
      </c>
      <c r="D154" s="31" t="s">
        <v>747</v>
      </c>
      <c r="E154" s="863">
        <f t="shared" ca="1" si="21"/>
        <v>24974</v>
      </c>
      <c r="F154" s="864">
        <f t="shared" ca="1" si="18"/>
        <v>30918</v>
      </c>
      <c r="G154" s="1254">
        <v>46.195</v>
      </c>
      <c r="H154" s="1310">
        <f t="shared" si="19"/>
        <v>128.67193419201212</v>
      </c>
      <c r="I154" s="2191">
        <f t="shared" ca="1" si="20"/>
        <v>181</v>
      </c>
      <c r="J154" s="2392"/>
      <c r="L154">
        <f t="shared" ca="1" si="17"/>
        <v>1241</v>
      </c>
    </row>
    <row r="155" spans="1:12" ht="19">
      <c r="A155" s="860">
        <v>45003</v>
      </c>
      <c r="B155" s="875">
        <v>200000</v>
      </c>
      <c r="C155" s="500">
        <f t="shared" si="16"/>
        <v>4137485</v>
      </c>
      <c r="D155" s="31" t="s">
        <v>747</v>
      </c>
      <c r="E155" s="863">
        <f t="shared" ca="1" si="21"/>
        <v>833404</v>
      </c>
      <c r="F155" s="864">
        <f t="shared" ca="1" si="18"/>
        <v>1033404</v>
      </c>
      <c r="G155" s="1254">
        <v>47.545000000000002</v>
      </c>
      <c r="H155" s="1310">
        <f t="shared" si="19"/>
        <v>4206.541171521716</v>
      </c>
      <c r="I155" s="2191">
        <f t="shared" ca="1" si="20"/>
        <v>5902</v>
      </c>
      <c r="J155" s="2392"/>
      <c r="L155">
        <f t="shared" ca="1" si="17"/>
        <v>1236</v>
      </c>
    </row>
    <row r="156" spans="1:12" ht="19">
      <c r="A156" s="860">
        <v>45004</v>
      </c>
      <c r="B156" s="875">
        <v>100000</v>
      </c>
      <c r="C156" s="500">
        <f t="shared" si="16"/>
        <v>4237485</v>
      </c>
      <c r="D156" s="31" t="s">
        <v>747</v>
      </c>
      <c r="E156" s="863">
        <f t="shared" ca="1" si="21"/>
        <v>416016</v>
      </c>
      <c r="F156" s="864">
        <f t="shared" ca="1" si="18"/>
        <v>516016</v>
      </c>
      <c r="G156" s="1254">
        <v>48.308399999999999</v>
      </c>
      <c r="H156" s="1310">
        <f t="shared" si="19"/>
        <v>2070.0333689379072</v>
      </c>
      <c r="I156" s="2191">
        <f t="shared" ca="1" si="20"/>
        <v>2904</v>
      </c>
      <c r="J156" s="2392"/>
      <c r="L156">
        <f t="shared" ca="1" si="17"/>
        <v>1235</v>
      </c>
    </row>
    <row r="157" spans="1:12" ht="19">
      <c r="A157" s="860">
        <v>45005</v>
      </c>
      <c r="B157" s="1055">
        <v>5511</v>
      </c>
      <c r="C157" s="500">
        <f t="shared" si="16"/>
        <v>4242996</v>
      </c>
      <c r="D157" s="1142" t="s">
        <v>748</v>
      </c>
      <c r="E157" s="863">
        <f t="shared" si="21"/>
        <v>0</v>
      </c>
      <c r="F157" s="864">
        <f t="shared" si="18"/>
        <v>0</v>
      </c>
      <c r="G157" s="1254">
        <v>48.31</v>
      </c>
      <c r="H157" s="1310">
        <f t="shared" si="19"/>
        <v>114.07576071206789</v>
      </c>
      <c r="I157" s="2191">
        <f t="shared" si="20"/>
        <v>0</v>
      </c>
      <c r="J157" s="2392"/>
      <c r="L157">
        <f t="shared" ca="1" si="17"/>
        <v>1234</v>
      </c>
    </row>
    <row r="158" spans="1:12" ht="19">
      <c r="A158" s="860">
        <v>45020</v>
      </c>
      <c r="B158" s="1055">
        <v>8630</v>
      </c>
      <c r="C158" s="500">
        <f t="shared" si="16"/>
        <v>4251626</v>
      </c>
      <c r="D158" s="1142" t="s">
        <v>748</v>
      </c>
      <c r="E158" s="863">
        <f t="shared" si="21"/>
        <v>0</v>
      </c>
      <c r="F158" s="864">
        <f t="shared" si="18"/>
        <v>0</v>
      </c>
      <c r="G158" s="1254">
        <v>51.226999999999997</v>
      </c>
      <c r="H158" s="1310">
        <f t="shared" si="19"/>
        <v>168.46584808792238</v>
      </c>
      <c r="I158" s="2191">
        <f t="shared" si="20"/>
        <v>0</v>
      </c>
      <c r="J158" s="2392"/>
      <c r="L158">
        <f t="shared" ca="1" si="17"/>
        <v>1219</v>
      </c>
    </row>
    <row r="159" spans="1:12" ht="19">
      <c r="A159" s="860">
        <v>45026</v>
      </c>
      <c r="B159" s="875">
        <v>50000</v>
      </c>
      <c r="C159" s="500">
        <f t="shared" si="16"/>
        <v>4301626</v>
      </c>
      <c r="D159" s="31" t="s">
        <v>745</v>
      </c>
      <c r="E159" s="863">
        <f t="shared" ca="1" si="21"/>
        <v>200575</v>
      </c>
      <c r="F159" s="864">
        <f t="shared" ca="1" si="18"/>
        <v>250575</v>
      </c>
      <c r="G159" s="1254">
        <v>51.070999999999998</v>
      </c>
      <c r="H159" s="1310">
        <f t="shared" si="19"/>
        <v>979.02919465058449</v>
      </c>
      <c r="I159" s="2191">
        <f t="shared" ca="1" si="20"/>
        <v>1365</v>
      </c>
      <c r="J159" s="2392"/>
      <c r="L159">
        <f t="shared" ca="1" si="17"/>
        <v>1213</v>
      </c>
    </row>
    <row r="160" spans="1:12" ht="19">
      <c r="A160" s="860">
        <v>45026</v>
      </c>
      <c r="B160" s="875">
        <v>-166059</v>
      </c>
      <c r="C160" s="500">
        <f t="shared" si="16"/>
        <v>4135567</v>
      </c>
      <c r="D160" s="31" t="s">
        <v>746</v>
      </c>
      <c r="E160" s="863">
        <f t="shared" ca="1" si="21"/>
        <v>-666146</v>
      </c>
      <c r="F160" s="864">
        <f t="shared" ca="1" si="18"/>
        <v>-832205</v>
      </c>
      <c r="G160" s="1254">
        <v>51.070999999999998</v>
      </c>
      <c r="H160" s="1310">
        <f t="shared" si="19"/>
        <v>-3251.5321806896281</v>
      </c>
      <c r="I160" s="2191">
        <f t="shared" ca="1" si="20"/>
        <v>-4533</v>
      </c>
      <c r="J160" s="2392"/>
      <c r="L160">
        <f t="shared" ca="1" si="17"/>
        <v>1213</v>
      </c>
    </row>
    <row r="161" spans="1:12" ht="19">
      <c r="A161" s="860">
        <v>45027</v>
      </c>
      <c r="B161" s="875">
        <v>-22350</v>
      </c>
      <c r="C161" s="500">
        <f t="shared" si="16"/>
        <v>4113217</v>
      </c>
      <c r="D161" s="31" t="s">
        <v>746</v>
      </c>
      <c r="E161" s="863">
        <f t="shared" ca="1" si="21"/>
        <v>-89509</v>
      </c>
      <c r="F161" s="864">
        <f t="shared" ca="1" si="18"/>
        <v>-111859</v>
      </c>
      <c r="G161" s="1254">
        <v>51.12</v>
      </c>
      <c r="H161" s="1310">
        <f t="shared" si="19"/>
        <v>-437.20657276995308</v>
      </c>
      <c r="I161" s="2191">
        <f t="shared" ca="1" si="20"/>
        <v>-610</v>
      </c>
      <c r="J161" s="2392"/>
      <c r="L161">
        <f t="shared" ca="1" si="17"/>
        <v>1212</v>
      </c>
    </row>
    <row r="162" spans="1:12" ht="19">
      <c r="A162" s="860">
        <v>45033</v>
      </c>
      <c r="B162" s="875">
        <v>-350000</v>
      </c>
      <c r="C162" s="500">
        <f t="shared" si="16"/>
        <v>3763217</v>
      </c>
      <c r="D162" s="31" t="s">
        <v>746</v>
      </c>
      <c r="E162" s="863">
        <f t="shared" ca="1" si="21"/>
        <v>-1387786</v>
      </c>
      <c r="F162" s="864">
        <f t="shared" ca="1" si="18"/>
        <v>-1737786</v>
      </c>
      <c r="G162" s="1254">
        <v>51.42</v>
      </c>
      <c r="H162" s="1310">
        <f t="shared" si="19"/>
        <v>-6806.6900038895374</v>
      </c>
      <c r="I162" s="2191">
        <f t="shared" ca="1" si="20"/>
        <v>-9471</v>
      </c>
      <c r="J162" s="2392"/>
      <c r="L162">
        <f t="shared" ca="1" si="17"/>
        <v>1206</v>
      </c>
    </row>
    <row r="163" spans="1:12" ht="19">
      <c r="A163" s="860">
        <v>45033</v>
      </c>
      <c r="B163" s="875">
        <v>250000</v>
      </c>
      <c r="C163" s="500">
        <f t="shared" si="16"/>
        <v>4013217</v>
      </c>
      <c r="D163" s="31" t="s">
        <v>747</v>
      </c>
      <c r="E163" s="863">
        <f t="shared" ca="1" si="21"/>
        <v>991276</v>
      </c>
      <c r="F163" s="864">
        <f t="shared" ca="1" si="18"/>
        <v>1241276</v>
      </c>
      <c r="G163" s="1254">
        <v>51.42</v>
      </c>
      <c r="H163" s="1310">
        <f t="shared" si="19"/>
        <v>4861.9214313496695</v>
      </c>
      <c r="I163" s="2191">
        <f t="shared" ca="1" si="20"/>
        <v>6765</v>
      </c>
      <c r="J163" s="2392"/>
      <c r="L163">
        <f t="shared" ca="1" si="17"/>
        <v>1206</v>
      </c>
    </row>
    <row r="164" spans="1:12" ht="19">
      <c r="A164" s="860">
        <v>45034</v>
      </c>
      <c r="B164" s="875">
        <v>100000</v>
      </c>
      <c r="C164" s="500">
        <f t="shared" si="16"/>
        <v>4113217</v>
      </c>
      <c r="D164" s="31" t="s">
        <v>747</v>
      </c>
      <c r="E164" s="863">
        <f t="shared" ca="1" si="21"/>
        <v>395851</v>
      </c>
      <c r="F164" s="864">
        <f t="shared" ca="1" si="18"/>
        <v>495851</v>
      </c>
      <c r="G164" s="1254">
        <v>51.82</v>
      </c>
      <c r="H164" s="1310">
        <f t="shared" si="19"/>
        <v>1929.7568506368198</v>
      </c>
      <c r="I164" s="2191">
        <f t="shared" ca="1" si="20"/>
        <v>2685</v>
      </c>
      <c r="J164" s="2392"/>
      <c r="L164">
        <f t="shared" ca="1" si="17"/>
        <v>1205</v>
      </c>
    </row>
    <row r="165" spans="1:12" ht="19">
      <c r="A165" s="860">
        <v>45036</v>
      </c>
      <c r="B165" s="1055">
        <v>8574</v>
      </c>
      <c r="C165" s="500">
        <f t="shared" si="16"/>
        <v>4121791</v>
      </c>
      <c r="D165" s="1142" t="s">
        <v>748</v>
      </c>
      <c r="E165" s="863">
        <f t="shared" si="21"/>
        <v>0</v>
      </c>
      <c r="F165" s="864">
        <f t="shared" si="18"/>
        <v>0</v>
      </c>
      <c r="G165" s="1254">
        <v>51.703949999999999</v>
      </c>
      <c r="H165" s="1310">
        <f t="shared" si="19"/>
        <v>165.82872295056762</v>
      </c>
      <c r="I165" s="2191">
        <f t="shared" si="20"/>
        <v>0</v>
      </c>
      <c r="J165" s="2392"/>
      <c r="L165">
        <f t="shared" ca="1" si="17"/>
        <v>1203</v>
      </c>
    </row>
    <row r="166" spans="1:12" ht="19">
      <c r="A166" s="860">
        <v>45040</v>
      </c>
      <c r="B166" s="875">
        <v>-100000</v>
      </c>
      <c r="C166" s="500">
        <f t="shared" si="16"/>
        <v>4021791</v>
      </c>
      <c r="D166" s="31" t="s">
        <v>746</v>
      </c>
      <c r="E166" s="863">
        <f t="shared" ca="1" si="21"/>
        <v>-391914</v>
      </c>
      <c r="F166" s="864">
        <f t="shared" ca="1" si="18"/>
        <v>-491914</v>
      </c>
      <c r="G166" s="1254">
        <v>51.924750000000003</v>
      </c>
      <c r="H166" s="1310">
        <f t="shared" si="19"/>
        <v>-1925.8638703123268</v>
      </c>
      <c r="I166" s="2191">
        <f t="shared" ca="1" si="20"/>
        <v>-2675</v>
      </c>
      <c r="J166" s="2392"/>
      <c r="L166">
        <f t="shared" ca="1" si="17"/>
        <v>1199</v>
      </c>
    </row>
    <row r="167" spans="1:12" ht="19">
      <c r="A167" s="860">
        <v>45041</v>
      </c>
      <c r="B167" s="875">
        <v>-17940</v>
      </c>
      <c r="C167" s="500">
        <f t="shared" si="16"/>
        <v>4003851</v>
      </c>
      <c r="D167" s="31" t="s">
        <v>638</v>
      </c>
      <c r="E167" s="863">
        <f t="shared" ca="1" si="21"/>
        <v>-70193</v>
      </c>
      <c r="F167" s="864">
        <f t="shared" ca="1" si="18"/>
        <v>-88133</v>
      </c>
      <c r="G167" s="1254">
        <v>51.77</v>
      </c>
      <c r="H167" s="1310">
        <f t="shared" si="19"/>
        <v>-346.53274096967351</v>
      </c>
      <c r="I167" s="2191">
        <f t="shared" ca="1" si="20"/>
        <v>-482</v>
      </c>
      <c r="J167" s="2392"/>
      <c r="L167">
        <f t="shared" ca="1" si="17"/>
        <v>1198</v>
      </c>
    </row>
    <row r="168" spans="1:12" ht="19">
      <c r="A168" s="860">
        <v>45042</v>
      </c>
      <c r="B168" s="875">
        <v>-32060</v>
      </c>
      <c r="C168" s="500">
        <f t="shared" si="16"/>
        <v>3971791</v>
      </c>
      <c r="D168" s="31" t="s">
        <v>746</v>
      </c>
      <c r="E168" s="863">
        <f t="shared" ca="1" si="21"/>
        <v>-125229</v>
      </c>
      <c r="F168" s="864">
        <f t="shared" ca="1" si="18"/>
        <v>-157289</v>
      </c>
      <c r="G168" s="1254">
        <v>53.1</v>
      </c>
      <c r="H168" s="1310">
        <f t="shared" si="19"/>
        <v>-603.76647834274956</v>
      </c>
      <c r="I168" s="2191">
        <f t="shared" ca="1" si="20"/>
        <v>-838</v>
      </c>
      <c r="J168" s="2392"/>
      <c r="L168">
        <f t="shared" ca="1" si="17"/>
        <v>1197</v>
      </c>
    </row>
    <row r="169" spans="1:12" ht="19">
      <c r="A169" s="860">
        <v>45042</v>
      </c>
      <c r="B169" s="875">
        <v>100000</v>
      </c>
      <c r="C169" s="500">
        <f t="shared" si="16"/>
        <v>4071791</v>
      </c>
      <c r="D169" s="31" t="s">
        <v>747</v>
      </c>
      <c r="E169" s="863">
        <f t="shared" ca="1" si="21"/>
        <v>390608</v>
      </c>
      <c r="F169" s="864">
        <f t="shared" ca="1" si="18"/>
        <v>490608</v>
      </c>
      <c r="G169" s="1254">
        <v>53.1</v>
      </c>
      <c r="H169" s="1310">
        <f t="shared" si="19"/>
        <v>1883.2391713747645</v>
      </c>
      <c r="I169" s="2191">
        <f t="shared" ca="1" si="20"/>
        <v>2614</v>
      </c>
      <c r="J169" s="2392"/>
      <c r="L169">
        <f t="shared" ca="1" si="17"/>
        <v>1197</v>
      </c>
    </row>
    <row r="170" spans="1:12" ht="19">
      <c r="A170" s="860">
        <v>45043</v>
      </c>
      <c r="B170" s="875">
        <v>100000</v>
      </c>
      <c r="C170" s="500">
        <f t="shared" si="16"/>
        <v>4171791</v>
      </c>
      <c r="D170" s="31" t="s">
        <v>747</v>
      </c>
      <c r="E170" s="863">
        <f t="shared" ca="1" si="21"/>
        <v>389957</v>
      </c>
      <c r="F170" s="864">
        <f t="shared" ca="1" si="18"/>
        <v>489957</v>
      </c>
      <c r="G170" s="1254">
        <v>53.295999999999999</v>
      </c>
      <c r="H170" s="1310">
        <f t="shared" si="19"/>
        <v>1876.3134193935755</v>
      </c>
      <c r="I170" s="2191">
        <f t="shared" ca="1" si="20"/>
        <v>2604</v>
      </c>
      <c r="J170" s="2392"/>
      <c r="L170">
        <f t="shared" ca="1" si="17"/>
        <v>1196</v>
      </c>
    </row>
    <row r="171" spans="1:12" ht="19">
      <c r="A171" s="860">
        <v>45044</v>
      </c>
      <c r="B171" s="875">
        <v>100000</v>
      </c>
      <c r="C171" s="500">
        <f t="shared" si="16"/>
        <v>4271791</v>
      </c>
      <c r="D171" s="31" t="s">
        <v>747</v>
      </c>
      <c r="E171" s="863">
        <f t="shared" ca="1" si="21"/>
        <v>389306</v>
      </c>
      <c r="F171" s="864">
        <f t="shared" ca="1" si="18"/>
        <v>489306</v>
      </c>
      <c r="G171" s="1254">
        <v>53.3</v>
      </c>
      <c r="H171" s="1310">
        <f t="shared" si="19"/>
        <v>1876.172607879925</v>
      </c>
      <c r="I171" s="2191">
        <f t="shared" ca="1" si="20"/>
        <v>2603</v>
      </c>
      <c r="J171" s="2392"/>
      <c r="L171">
        <f t="shared" ca="1" si="17"/>
        <v>1195</v>
      </c>
    </row>
    <row r="172" spans="1:12" ht="19">
      <c r="A172" s="860">
        <v>45046</v>
      </c>
      <c r="B172" s="875">
        <v>100000</v>
      </c>
      <c r="C172" s="500">
        <f t="shared" si="16"/>
        <v>4371791</v>
      </c>
      <c r="D172" s="31" t="s">
        <v>747</v>
      </c>
      <c r="E172" s="863">
        <f t="shared" ca="1" si="21"/>
        <v>388008</v>
      </c>
      <c r="F172" s="864">
        <f t="shared" ca="1" si="18"/>
        <v>488008</v>
      </c>
      <c r="G172" s="1254">
        <v>55.52</v>
      </c>
      <c r="H172" s="1310">
        <f t="shared" si="19"/>
        <v>1801.1527377521613</v>
      </c>
      <c r="I172" s="2191">
        <f t="shared" ca="1" si="20"/>
        <v>2498</v>
      </c>
      <c r="J172" s="2392"/>
      <c r="L172">
        <f t="shared" ca="1" si="17"/>
        <v>1193</v>
      </c>
    </row>
    <row r="173" spans="1:12" ht="19">
      <c r="A173" s="860">
        <v>45047</v>
      </c>
      <c r="B173" s="875">
        <v>100000</v>
      </c>
      <c r="C173" s="500">
        <f t="shared" si="16"/>
        <v>4471791</v>
      </c>
      <c r="D173" s="31" t="s">
        <v>747</v>
      </c>
      <c r="E173" s="863">
        <f t="shared" ca="1" si="21"/>
        <v>387360</v>
      </c>
      <c r="F173" s="864">
        <f t="shared" ca="1" si="18"/>
        <v>487360</v>
      </c>
      <c r="G173" s="1254">
        <v>55.02</v>
      </c>
      <c r="H173" s="1310">
        <f t="shared" si="19"/>
        <v>1817.5209014903671</v>
      </c>
      <c r="I173" s="2191">
        <f t="shared" ca="1" si="20"/>
        <v>2520</v>
      </c>
      <c r="J173" s="2392"/>
      <c r="L173">
        <f t="shared" ca="1" si="17"/>
        <v>1192</v>
      </c>
    </row>
    <row r="174" spans="1:12" ht="19">
      <c r="A174" s="860">
        <v>45049</v>
      </c>
      <c r="B174" s="875">
        <v>100000</v>
      </c>
      <c r="C174" s="500">
        <f t="shared" si="16"/>
        <v>4571791</v>
      </c>
      <c r="D174" s="31" t="s">
        <v>747</v>
      </c>
      <c r="E174" s="863">
        <f t="shared" ca="1" si="21"/>
        <v>386066</v>
      </c>
      <c r="F174" s="864">
        <f t="shared" ca="1" si="18"/>
        <v>486066</v>
      </c>
      <c r="G174" s="1254">
        <v>54.311</v>
      </c>
      <c r="H174" s="1310">
        <f t="shared" si="19"/>
        <v>1841.2476293936772</v>
      </c>
      <c r="I174" s="2191">
        <f t="shared" ca="1" si="20"/>
        <v>2551</v>
      </c>
      <c r="J174" s="2392"/>
      <c r="L174">
        <f t="shared" ca="1" si="17"/>
        <v>1190</v>
      </c>
    </row>
    <row r="175" spans="1:12" ht="19">
      <c r="A175" s="860">
        <v>45050</v>
      </c>
      <c r="B175" s="875">
        <v>100000</v>
      </c>
      <c r="C175" s="500">
        <f t="shared" si="16"/>
        <v>4671791</v>
      </c>
      <c r="D175" s="31" t="s">
        <v>747</v>
      </c>
      <c r="E175" s="863">
        <f t="shared" ca="1" si="21"/>
        <v>385421</v>
      </c>
      <c r="F175" s="864">
        <f t="shared" ca="1" si="18"/>
        <v>485421</v>
      </c>
      <c r="G175" s="1254">
        <v>53.6935</v>
      </c>
      <c r="H175" s="1310">
        <f t="shared" si="19"/>
        <v>1862.4228258541536</v>
      </c>
      <c r="I175" s="2191">
        <f t="shared" ca="1" si="20"/>
        <v>2580</v>
      </c>
      <c r="J175" s="2392"/>
      <c r="L175">
        <f t="shared" ca="1" si="17"/>
        <v>1189</v>
      </c>
    </row>
    <row r="176" spans="1:12" ht="19">
      <c r="A176" s="860">
        <v>45051</v>
      </c>
      <c r="B176" s="1055">
        <v>11781</v>
      </c>
      <c r="C176" s="500">
        <f t="shared" si="16"/>
        <v>4683572</v>
      </c>
      <c r="D176" s="1142" t="s">
        <v>748</v>
      </c>
      <c r="E176" s="863">
        <f t="shared" si="21"/>
        <v>0</v>
      </c>
      <c r="F176" s="864">
        <f t="shared" si="18"/>
        <v>0</v>
      </c>
      <c r="G176" s="1254">
        <v>53.69</v>
      </c>
      <c r="H176" s="1310">
        <f t="shared" si="19"/>
        <v>219.42633637548892</v>
      </c>
      <c r="I176" s="2191">
        <f t="shared" si="20"/>
        <v>0</v>
      </c>
      <c r="J176" s="2392"/>
      <c r="L176">
        <f t="shared" ca="1" si="17"/>
        <v>1188</v>
      </c>
    </row>
    <row r="177" spans="1:12" ht="19">
      <c r="A177" s="860">
        <v>45053</v>
      </c>
      <c r="B177" s="875">
        <v>100000</v>
      </c>
      <c r="C177" s="500">
        <f t="shared" si="16"/>
        <v>4783572</v>
      </c>
      <c r="D177" s="31" t="s">
        <v>747</v>
      </c>
      <c r="E177" s="863">
        <f t="shared" ca="1" si="21"/>
        <v>383490</v>
      </c>
      <c r="F177" s="864">
        <f t="shared" ca="1" si="18"/>
        <v>483490</v>
      </c>
      <c r="G177" s="1254">
        <v>53.17</v>
      </c>
      <c r="H177" s="1310">
        <f t="shared" si="19"/>
        <v>1880.7598269700959</v>
      </c>
      <c r="I177" s="2191">
        <f t="shared" ca="1" si="20"/>
        <v>2603</v>
      </c>
      <c r="J177" s="2392"/>
      <c r="L177">
        <f t="shared" ca="1" si="17"/>
        <v>1186</v>
      </c>
    </row>
    <row r="178" spans="1:12" ht="19">
      <c r="A178" s="860">
        <v>45055</v>
      </c>
      <c r="B178" s="875">
        <v>100000</v>
      </c>
      <c r="C178" s="500">
        <f t="shared" si="16"/>
        <v>4883572</v>
      </c>
      <c r="D178" s="31" t="s">
        <v>747</v>
      </c>
      <c r="E178" s="863">
        <f t="shared" ca="1" si="21"/>
        <v>382207</v>
      </c>
      <c r="F178" s="864">
        <f t="shared" ca="1" si="18"/>
        <v>482207</v>
      </c>
      <c r="G178" s="1254">
        <v>52.92</v>
      </c>
      <c r="H178" s="1310">
        <f t="shared" si="19"/>
        <v>1889.6447467876039</v>
      </c>
      <c r="I178" s="2191">
        <f t="shared" ca="1" si="20"/>
        <v>2614</v>
      </c>
      <c r="J178" s="2392"/>
      <c r="L178">
        <f t="shared" ca="1" si="17"/>
        <v>1184</v>
      </c>
    </row>
    <row r="179" spans="1:12" ht="19">
      <c r="A179" s="860">
        <v>45059</v>
      </c>
      <c r="B179" s="875">
        <v>50000</v>
      </c>
      <c r="C179" s="500">
        <f t="shared" si="16"/>
        <v>4933572</v>
      </c>
      <c r="D179" s="31" t="s">
        <v>745</v>
      </c>
      <c r="E179" s="863">
        <f t="shared" ca="1" si="21"/>
        <v>189826</v>
      </c>
      <c r="F179" s="864">
        <f t="shared" ca="1" si="18"/>
        <v>239826</v>
      </c>
      <c r="G179" s="1254">
        <v>51.969499999999996</v>
      </c>
      <c r="H179" s="1310">
        <f t="shared" si="19"/>
        <v>962.10277181808567</v>
      </c>
      <c r="I179" s="2191">
        <f t="shared" ca="1" si="20"/>
        <v>1330</v>
      </c>
      <c r="J179" s="2392"/>
      <c r="L179">
        <f t="shared" ca="1" si="17"/>
        <v>1180</v>
      </c>
    </row>
    <row r="180" spans="1:12" ht="19">
      <c r="A180" s="860">
        <v>45067</v>
      </c>
      <c r="B180" s="875">
        <v>100000</v>
      </c>
      <c r="C180" s="500">
        <f t="shared" si="16"/>
        <v>5033572</v>
      </c>
      <c r="D180" s="31" t="s">
        <v>747</v>
      </c>
      <c r="E180" s="863">
        <f t="shared" ca="1" si="21"/>
        <v>374579</v>
      </c>
      <c r="F180" s="864">
        <f t="shared" ca="1" si="18"/>
        <v>474579</v>
      </c>
      <c r="G180" s="1254">
        <v>52.42</v>
      </c>
      <c r="H180" s="1310">
        <f t="shared" si="19"/>
        <v>1907.6688286913391</v>
      </c>
      <c r="I180" s="2191">
        <f t="shared" ca="1" si="20"/>
        <v>2630</v>
      </c>
      <c r="J180" s="2392"/>
      <c r="L180">
        <f t="shared" ca="1" si="17"/>
        <v>1172</v>
      </c>
    </row>
    <row r="181" spans="1:12" ht="19">
      <c r="A181" s="860">
        <v>45067</v>
      </c>
      <c r="B181" s="1055">
        <v>18488</v>
      </c>
      <c r="C181" s="500">
        <f t="shared" si="16"/>
        <v>5052060</v>
      </c>
      <c r="D181" s="1142" t="s">
        <v>748</v>
      </c>
      <c r="E181" s="863">
        <f t="shared" si="21"/>
        <v>0</v>
      </c>
      <c r="F181" s="864">
        <f t="shared" si="18"/>
        <v>0</v>
      </c>
      <c r="G181" s="1254">
        <v>52.42</v>
      </c>
      <c r="H181" s="1310">
        <f t="shared" si="19"/>
        <v>352.68981304845477</v>
      </c>
      <c r="I181" s="2191">
        <f t="shared" si="20"/>
        <v>0</v>
      </c>
      <c r="J181" s="2392"/>
      <c r="L181">
        <f t="shared" ca="1" si="17"/>
        <v>1172</v>
      </c>
    </row>
    <row r="182" spans="1:12" ht="19">
      <c r="A182" s="860">
        <v>45068</v>
      </c>
      <c r="B182" s="875">
        <v>100000</v>
      </c>
      <c r="C182" s="500">
        <f t="shared" si="16"/>
        <v>5152060</v>
      </c>
      <c r="D182" s="31" t="s">
        <v>747</v>
      </c>
      <c r="E182" s="863">
        <f t="shared" ca="1" si="21"/>
        <v>373949</v>
      </c>
      <c r="F182" s="864">
        <f t="shared" ca="1" si="18"/>
        <v>473949</v>
      </c>
      <c r="G182" s="1254">
        <v>52.344999999999999</v>
      </c>
      <c r="H182" s="1310">
        <f t="shared" si="19"/>
        <v>1910.4021396503965</v>
      </c>
      <c r="I182" s="2191">
        <f t="shared" ca="1" si="20"/>
        <v>2633</v>
      </c>
      <c r="J182" s="2392"/>
      <c r="L182">
        <f t="shared" ca="1" si="17"/>
        <v>1171</v>
      </c>
    </row>
    <row r="183" spans="1:12" ht="19">
      <c r="A183" s="860">
        <v>45076</v>
      </c>
      <c r="B183" s="875">
        <v>40000</v>
      </c>
      <c r="C183" s="500">
        <f t="shared" si="16"/>
        <v>5192060</v>
      </c>
      <c r="D183" s="31" t="s">
        <v>747</v>
      </c>
      <c r="E183" s="863">
        <f t="shared" ca="1" si="21"/>
        <v>147575</v>
      </c>
      <c r="F183" s="864">
        <f t="shared" ca="1" si="18"/>
        <v>187575</v>
      </c>
      <c r="G183" s="1254">
        <v>50.994999999999997</v>
      </c>
      <c r="H183" s="1310">
        <f t="shared" si="19"/>
        <v>784.39062653201302</v>
      </c>
      <c r="I183" s="2191">
        <f t="shared" ca="1" si="20"/>
        <v>1079</v>
      </c>
      <c r="J183" s="2392"/>
      <c r="L183">
        <f t="shared" ca="1" si="17"/>
        <v>1163</v>
      </c>
    </row>
    <row r="184" spans="1:12" ht="19">
      <c r="A184" s="860">
        <v>45076</v>
      </c>
      <c r="B184" s="875">
        <v>5000</v>
      </c>
      <c r="C184" s="500">
        <f t="shared" si="16"/>
        <v>5197060</v>
      </c>
      <c r="D184" s="31" t="s">
        <v>747</v>
      </c>
      <c r="E184" s="863">
        <f t="shared" ca="1" si="21"/>
        <v>18447</v>
      </c>
      <c r="F184" s="864">
        <f t="shared" ca="1" si="18"/>
        <v>23447</v>
      </c>
      <c r="G184" s="1254">
        <v>50.994999999999997</v>
      </c>
      <c r="H184" s="1310">
        <f t="shared" si="19"/>
        <v>98.048828316501627</v>
      </c>
      <c r="I184" s="2191">
        <f t="shared" ca="1" si="20"/>
        <v>135</v>
      </c>
      <c r="J184" s="2392"/>
      <c r="L184">
        <f t="shared" ca="1" si="17"/>
        <v>1163</v>
      </c>
    </row>
    <row r="185" spans="1:12" ht="19">
      <c r="A185" s="860">
        <v>45077</v>
      </c>
      <c r="B185" s="875">
        <v>-65510</v>
      </c>
      <c r="C185" s="500">
        <f t="shared" si="16"/>
        <v>5131550</v>
      </c>
      <c r="D185" s="31" t="s">
        <v>638</v>
      </c>
      <c r="E185" s="863">
        <f t="shared" ca="1" si="21"/>
        <v>-241283</v>
      </c>
      <c r="F185" s="864">
        <f t="shared" ca="1" si="18"/>
        <v>-306793</v>
      </c>
      <c r="G185" s="1254">
        <v>51.244999999999997</v>
      </c>
      <c r="H185" s="1310">
        <f t="shared" si="19"/>
        <v>-1278.3686213289102</v>
      </c>
      <c r="I185" s="2191">
        <f t="shared" ca="1" si="20"/>
        <v>-1758</v>
      </c>
      <c r="J185" s="2392"/>
      <c r="L185">
        <f t="shared" ca="1" si="17"/>
        <v>1162</v>
      </c>
    </row>
    <row r="186" spans="1:12" ht="19">
      <c r="A186" s="860">
        <v>45077</v>
      </c>
      <c r="B186" s="875">
        <v>50000</v>
      </c>
      <c r="C186" s="500">
        <f t="shared" si="16"/>
        <v>5181550</v>
      </c>
      <c r="D186" s="31" t="s">
        <v>747</v>
      </c>
      <c r="E186" s="863">
        <f t="shared" ca="1" si="21"/>
        <v>184158</v>
      </c>
      <c r="F186" s="864">
        <f t="shared" ca="1" si="18"/>
        <v>234158</v>
      </c>
      <c r="G186" s="1254">
        <v>51.244999999999997</v>
      </c>
      <c r="H186" s="1310">
        <f t="shared" si="19"/>
        <v>975.70494682408048</v>
      </c>
      <c r="I186" s="2191">
        <f t="shared" ca="1" si="20"/>
        <v>1342</v>
      </c>
      <c r="J186" s="2392"/>
      <c r="L186">
        <f t="shared" ca="1" si="17"/>
        <v>1162</v>
      </c>
    </row>
    <row r="187" spans="1:12" ht="19">
      <c r="A187" s="860">
        <v>45078</v>
      </c>
      <c r="B187" s="875">
        <v>100000</v>
      </c>
      <c r="C187" s="500">
        <f t="shared" si="16"/>
        <v>5281550</v>
      </c>
      <c r="D187" s="31" t="s">
        <v>747</v>
      </c>
      <c r="E187" s="863">
        <f t="shared" ca="1" si="21"/>
        <v>367693</v>
      </c>
      <c r="F187" s="864">
        <f t="shared" ca="1" si="18"/>
        <v>467693</v>
      </c>
      <c r="G187" s="1254">
        <v>51.088999999999999</v>
      </c>
      <c r="H187" s="1310">
        <f t="shared" si="19"/>
        <v>1957.3685137700875</v>
      </c>
      <c r="I187" s="2191">
        <f t="shared" ca="1" si="20"/>
        <v>2691</v>
      </c>
      <c r="J187" s="2392"/>
      <c r="L187">
        <f t="shared" ca="1" si="17"/>
        <v>1161</v>
      </c>
    </row>
    <row r="188" spans="1:12" ht="19">
      <c r="A188" s="860">
        <v>45079</v>
      </c>
      <c r="B188" s="875">
        <v>100000</v>
      </c>
      <c r="C188" s="500">
        <f t="shared" si="16"/>
        <v>5381550</v>
      </c>
      <c r="D188" s="31" t="s">
        <v>747</v>
      </c>
      <c r="E188" s="863">
        <f t="shared" ca="1" si="21"/>
        <v>367072</v>
      </c>
      <c r="F188" s="864">
        <f t="shared" ca="1" si="18"/>
        <v>467072</v>
      </c>
      <c r="G188" s="1254">
        <v>51.09</v>
      </c>
      <c r="H188" s="1310">
        <f t="shared" si="19"/>
        <v>1957.3302016050106</v>
      </c>
      <c r="I188" s="2191">
        <f t="shared" ca="1" si="20"/>
        <v>2690</v>
      </c>
      <c r="J188" s="2392"/>
      <c r="L188">
        <f t="shared" ca="1" si="17"/>
        <v>1160</v>
      </c>
    </row>
    <row r="189" spans="1:12" ht="19">
      <c r="A189" s="860">
        <v>45082</v>
      </c>
      <c r="B189" s="1055">
        <v>18306</v>
      </c>
      <c r="C189" s="500">
        <f t="shared" si="16"/>
        <v>5399856</v>
      </c>
      <c r="D189" s="1142" t="s">
        <v>748</v>
      </c>
      <c r="E189" s="863">
        <f t="shared" si="21"/>
        <v>0</v>
      </c>
      <c r="F189" s="864">
        <f t="shared" si="18"/>
        <v>0</v>
      </c>
      <c r="G189" s="1254">
        <v>49.5</v>
      </c>
      <c r="H189" s="1310">
        <f t="shared" si="19"/>
        <v>369.81818181818181</v>
      </c>
      <c r="I189" s="2191">
        <f t="shared" si="20"/>
        <v>0</v>
      </c>
      <c r="J189" s="2392"/>
      <c r="L189">
        <f t="shared" ca="1" si="17"/>
        <v>1157</v>
      </c>
    </row>
    <row r="190" spans="1:12" ht="19">
      <c r="A190" s="860">
        <v>45084</v>
      </c>
      <c r="B190" s="875">
        <v>100000</v>
      </c>
      <c r="C190" s="500">
        <f t="shared" si="16"/>
        <v>5499856</v>
      </c>
      <c r="D190" s="31" t="s">
        <v>747</v>
      </c>
      <c r="E190" s="863">
        <f t="shared" ca="1" si="21"/>
        <v>363979</v>
      </c>
      <c r="F190" s="864">
        <f t="shared" ca="1" si="18"/>
        <v>463979</v>
      </c>
      <c r="G190" s="1254">
        <v>49.494999999999997</v>
      </c>
      <c r="H190" s="1310">
        <f t="shared" si="19"/>
        <v>2020.406101626427</v>
      </c>
      <c r="I190" s="2191">
        <f t="shared" ca="1" si="20"/>
        <v>2773</v>
      </c>
      <c r="J190" s="2392"/>
      <c r="L190">
        <f t="shared" ca="1" si="17"/>
        <v>1155</v>
      </c>
    </row>
    <row r="191" spans="1:12" ht="19">
      <c r="A191" s="860">
        <v>45087</v>
      </c>
      <c r="B191" s="875">
        <v>-5490</v>
      </c>
      <c r="C191" s="500">
        <f t="shared" si="16"/>
        <v>5494366</v>
      </c>
      <c r="D191" s="31" t="s">
        <v>746</v>
      </c>
      <c r="E191" s="863">
        <f t="shared" ca="1" si="21"/>
        <v>-19882</v>
      </c>
      <c r="F191" s="864">
        <f t="shared" ca="1" si="18"/>
        <v>-25372</v>
      </c>
      <c r="G191" s="1254">
        <v>48.045000000000002</v>
      </c>
      <c r="H191" s="1310">
        <f t="shared" si="19"/>
        <v>-114.26787386824851</v>
      </c>
      <c r="I191" s="2191">
        <f t="shared" ca="1" si="20"/>
        <v>-157</v>
      </c>
      <c r="J191" s="2392"/>
      <c r="L191">
        <f t="shared" ca="1" si="17"/>
        <v>1152</v>
      </c>
    </row>
    <row r="192" spans="1:12" ht="19">
      <c r="A192" s="860">
        <v>45087</v>
      </c>
      <c r="B192" s="875">
        <v>-5000</v>
      </c>
      <c r="C192" s="500">
        <f t="shared" si="16"/>
        <v>5489366</v>
      </c>
      <c r="D192" s="31" t="s">
        <v>746</v>
      </c>
      <c r="E192" s="863">
        <f t="shared" ca="1" si="21"/>
        <v>-18107</v>
      </c>
      <c r="F192" s="864">
        <f t="shared" ca="1" si="18"/>
        <v>-23107</v>
      </c>
      <c r="G192" s="1254">
        <v>48.045000000000002</v>
      </c>
      <c r="H192" s="1310">
        <f t="shared" si="19"/>
        <v>-104.06910188365075</v>
      </c>
      <c r="I192" s="2191">
        <f t="shared" ca="1" si="20"/>
        <v>-143</v>
      </c>
      <c r="J192" s="2392"/>
      <c r="L192">
        <f t="shared" ca="1" si="17"/>
        <v>1152</v>
      </c>
    </row>
    <row r="193" spans="1:12" ht="19">
      <c r="A193" s="860">
        <v>45456</v>
      </c>
      <c r="B193" s="875">
        <v>-5000</v>
      </c>
      <c r="C193" s="500">
        <f t="shared" si="16"/>
        <v>5484366</v>
      </c>
      <c r="D193" s="31" t="s">
        <v>746</v>
      </c>
      <c r="E193" s="863">
        <f t="shared" ca="1" si="21"/>
        <v>-9152</v>
      </c>
      <c r="F193" s="864">
        <f t="shared" ca="1" si="18"/>
        <v>-14152</v>
      </c>
      <c r="G193" s="1254">
        <v>60.99</v>
      </c>
      <c r="H193" s="1310">
        <f t="shared" si="19"/>
        <v>-81.980652565994419</v>
      </c>
      <c r="I193" s="2191">
        <f t="shared" ca="1" si="20"/>
        <v>-102</v>
      </c>
      <c r="J193" s="2392"/>
      <c r="L193">
        <f t="shared" ca="1" si="17"/>
        <v>783</v>
      </c>
    </row>
    <row r="194" spans="1:12" ht="19">
      <c r="A194" s="860">
        <v>45457</v>
      </c>
      <c r="B194" s="875">
        <v>-40000</v>
      </c>
      <c r="C194" s="500">
        <f t="shared" si="16"/>
        <v>5444366</v>
      </c>
      <c r="D194" s="31" t="s">
        <v>746</v>
      </c>
      <c r="E194" s="863">
        <f t="shared" ca="1" si="21"/>
        <v>-73063</v>
      </c>
      <c r="F194" s="864">
        <f t="shared" ca="1" si="18"/>
        <v>-113063</v>
      </c>
      <c r="G194" s="1254">
        <v>60.99</v>
      </c>
      <c r="H194" s="1310">
        <f t="shared" si="19"/>
        <v>-655.84522052795535</v>
      </c>
      <c r="I194" s="2191">
        <f t="shared" ca="1" si="20"/>
        <v>-813</v>
      </c>
      <c r="J194" s="2392"/>
      <c r="L194">
        <f t="shared" ca="1" si="17"/>
        <v>782</v>
      </c>
    </row>
    <row r="195" spans="1:12" ht="19">
      <c r="A195" s="860">
        <v>45091</v>
      </c>
      <c r="B195" s="875">
        <v>100000</v>
      </c>
      <c r="C195" s="500">
        <f t="shared" ref="C195:C258" si="22">C194+B195</f>
        <v>5544366</v>
      </c>
      <c r="D195" s="31" t="s">
        <v>747</v>
      </c>
      <c r="E195" s="863">
        <f t="shared" ca="1" si="21"/>
        <v>359684</v>
      </c>
      <c r="F195" s="864">
        <f t="shared" ca="1" si="18"/>
        <v>459684</v>
      </c>
      <c r="G195" s="1254">
        <v>48.744999999999997</v>
      </c>
      <c r="H195" s="1310">
        <f t="shared" si="19"/>
        <v>2051.4924607652069</v>
      </c>
      <c r="I195" s="2191">
        <f t="shared" ca="1" si="20"/>
        <v>2810</v>
      </c>
      <c r="J195" s="2392"/>
      <c r="L195">
        <f t="shared" ref="L195:L258" ca="1" si="23">$E$1-A195</f>
        <v>1148</v>
      </c>
    </row>
    <row r="196" spans="1:12" ht="19">
      <c r="A196" s="860">
        <v>45092</v>
      </c>
      <c r="B196" s="875">
        <v>50000</v>
      </c>
      <c r="C196" s="500">
        <f t="shared" si="22"/>
        <v>5594366</v>
      </c>
      <c r="D196" s="31" t="s">
        <v>747</v>
      </c>
      <c r="E196" s="863">
        <f t="shared" ca="1" si="21"/>
        <v>179537</v>
      </c>
      <c r="F196" s="864">
        <f t="shared" ref="F196:F259" ca="1" si="24">IF(D196="Hami Interest",0,ROUNDUP(B196*(1+$F$1/12)^(($E$1-A196)/30),0))</f>
        <v>229537</v>
      </c>
      <c r="G196" s="1254">
        <v>48.805500000000002</v>
      </c>
      <c r="H196" s="1310">
        <f t="shared" si="19"/>
        <v>1024.4747005972688</v>
      </c>
      <c r="I196" s="2191">
        <f t="shared" ca="1" si="20"/>
        <v>1403</v>
      </c>
      <c r="J196" s="2392"/>
      <c r="L196">
        <f t="shared" ca="1" si="23"/>
        <v>1147</v>
      </c>
    </row>
    <row r="197" spans="1:12" ht="19">
      <c r="A197" s="860">
        <v>45092</v>
      </c>
      <c r="B197" s="875">
        <v>5020</v>
      </c>
      <c r="C197" s="500">
        <f t="shared" si="22"/>
        <v>5599386</v>
      </c>
      <c r="D197" s="31" t="s">
        <v>747</v>
      </c>
      <c r="E197" s="863">
        <f t="shared" ca="1" si="21"/>
        <v>18026</v>
      </c>
      <c r="F197" s="864">
        <f t="shared" ca="1" si="24"/>
        <v>23046</v>
      </c>
      <c r="G197" s="1254">
        <v>48.805500000000002</v>
      </c>
      <c r="H197" s="1310">
        <f t="shared" si="19"/>
        <v>102.85725993996577</v>
      </c>
      <c r="I197" s="2191">
        <f t="shared" ca="1" si="20"/>
        <v>141</v>
      </c>
      <c r="J197" s="2392"/>
      <c r="L197">
        <f t="shared" ca="1" si="23"/>
        <v>1147</v>
      </c>
    </row>
    <row r="198" spans="1:12" ht="19">
      <c r="A198" s="860">
        <v>45092</v>
      </c>
      <c r="B198" s="875">
        <v>40000</v>
      </c>
      <c r="C198" s="500">
        <f t="shared" si="22"/>
        <v>5639386</v>
      </c>
      <c r="D198" s="31" t="s">
        <v>747</v>
      </c>
      <c r="E198" s="863">
        <f t="shared" ca="1" si="21"/>
        <v>143630</v>
      </c>
      <c r="F198" s="864">
        <f t="shared" ca="1" si="24"/>
        <v>183630</v>
      </c>
      <c r="G198" s="1254">
        <v>48.805500000000002</v>
      </c>
      <c r="H198" s="1310">
        <f t="shared" si="19"/>
        <v>819.57976047781494</v>
      </c>
      <c r="I198" s="2191">
        <f t="shared" ca="1" si="20"/>
        <v>1123</v>
      </c>
      <c r="J198" s="2392"/>
      <c r="L198">
        <f t="shared" ca="1" si="23"/>
        <v>1147</v>
      </c>
    </row>
    <row r="199" spans="1:12" ht="19">
      <c r="A199" s="860">
        <v>45093</v>
      </c>
      <c r="B199" s="875">
        <v>100000</v>
      </c>
      <c r="C199" s="500">
        <f t="shared" si="22"/>
        <v>5739386</v>
      </c>
      <c r="D199" s="31" t="s">
        <v>747</v>
      </c>
      <c r="E199" s="863">
        <f t="shared" ca="1" si="21"/>
        <v>358464</v>
      </c>
      <c r="F199" s="864">
        <f t="shared" ca="1" si="24"/>
        <v>458464</v>
      </c>
      <c r="G199" s="1254">
        <v>48.81</v>
      </c>
      <c r="H199" s="1310">
        <f t="shared" si="19"/>
        <v>2048.7604998975617</v>
      </c>
      <c r="I199" s="2191">
        <f t="shared" ca="1" si="20"/>
        <v>2805</v>
      </c>
      <c r="J199" s="2392"/>
      <c r="L199">
        <f t="shared" ca="1" si="23"/>
        <v>1146</v>
      </c>
    </row>
    <row r="200" spans="1:12" ht="19">
      <c r="A200" s="860">
        <v>45095</v>
      </c>
      <c r="B200" s="875">
        <v>-10000</v>
      </c>
      <c r="C200" s="500">
        <f t="shared" si="22"/>
        <v>5729386</v>
      </c>
      <c r="D200" s="31" t="s">
        <v>746</v>
      </c>
      <c r="E200" s="863">
        <f t="shared" ca="1" si="21"/>
        <v>-35725</v>
      </c>
      <c r="F200" s="864">
        <f t="shared" ca="1" si="24"/>
        <v>-45725</v>
      </c>
      <c r="G200" s="1254">
        <v>48.772500000000001</v>
      </c>
      <c r="H200" s="1310">
        <f t="shared" ref="H200:H263" si="25">B200/G200</f>
        <v>-205.03357424778306</v>
      </c>
      <c r="I200" s="2191">
        <f t="shared" ref="I200:I263" ca="1" si="26">IF(D200="Hami Interest",0,ROUNDUP(H200*(1+$I$1/12)^(($E$1-A200)/30),0))</f>
        <v>-281</v>
      </c>
      <c r="J200" s="2392"/>
      <c r="L200">
        <f t="shared" ca="1" si="23"/>
        <v>1144</v>
      </c>
    </row>
    <row r="201" spans="1:12" ht="19">
      <c r="A201" s="860">
        <v>45095</v>
      </c>
      <c r="B201" s="875">
        <v>100000</v>
      </c>
      <c r="C201" s="500">
        <f t="shared" si="22"/>
        <v>5829386</v>
      </c>
      <c r="D201" s="31" t="s">
        <v>747</v>
      </c>
      <c r="E201" s="863">
        <f t="shared" ca="1" si="21"/>
        <v>357247</v>
      </c>
      <c r="F201" s="864">
        <f t="shared" ca="1" si="24"/>
        <v>457247</v>
      </c>
      <c r="G201" s="1254">
        <v>48.772500000000001</v>
      </c>
      <c r="H201" s="1310">
        <f t="shared" si="25"/>
        <v>2050.3357424778305</v>
      </c>
      <c r="I201" s="2191">
        <f t="shared" ca="1" si="26"/>
        <v>2805</v>
      </c>
      <c r="J201" s="2392"/>
      <c r="L201">
        <f t="shared" ca="1" si="23"/>
        <v>1144</v>
      </c>
    </row>
    <row r="202" spans="1:12" ht="19">
      <c r="A202" s="860">
        <v>45096</v>
      </c>
      <c r="B202" s="875">
        <v>10000</v>
      </c>
      <c r="C202" s="500">
        <f t="shared" si="22"/>
        <v>5839386</v>
      </c>
      <c r="D202" s="31" t="s">
        <v>747</v>
      </c>
      <c r="E202" s="863">
        <f t="shared" ref="E202:E265" ca="1" si="27">IF(F202=0,0,F202-B202)</f>
        <v>35664</v>
      </c>
      <c r="F202" s="864">
        <f t="shared" ca="1" si="24"/>
        <v>45664</v>
      </c>
      <c r="G202" s="1254">
        <v>48.802500000000002</v>
      </c>
      <c r="H202" s="1310">
        <f t="shared" si="25"/>
        <v>204.90753547461708</v>
      </c>
      <c r="I202" s="2191">
        <f t="shared" ca="1" si="26"/>
        <v>281</v>
      </c>
      <c r="J202" s="2392"/>
      <c r="L202">
        <f t="shared" ca="1" si="23"/>
        <v>1143</v>
      </c>
    </row>
    <row r="203" spans="1:12" ht="19">
      <c r="A203" s="860">
        <v>45098</v>
      </c>
      <c r="B203" s="1055">
        <v>26183</v>
      </c>
      <c r="C203" s="500">
        <f t="shared" si="22"/>
        <v>5865569</v>
      </c>
      <c r="D203" s="1142" t="s">
        <v>748</v>
      </c>
      <c r="E203" s="863">
        <f t="shared" si="27"/>
        <v>0</v>
      </c>
      <c r="F203" s="864">
        <f t="shared" si="24"/>
        <v>0</v>
      </c>
      <c r="G203" s="1254">
        <v>49.594999999999999</v>
      </c>
      <c r="H203" s="1310">
        <f t="shared" si="25"/>
        <v>527.93628389958667</v>
      </c>
      <c r="I203" s="2191">
        <f t="shared" si="26"/>
        <v>0</v>
      </c>
      <c r="J203" s="2392"/>
      <c r="L203">
        <f t="shared" ca="1" si="23"/>
        <v>1141</v>
      </c>
    </row>
    <row r="204" spans="1:12" ht="19">
      <c r="A204" s="860">
        <v>45101</v>
      </c>
      <c r="B204" s="875">
        <v>-43248</v>
      </c>
      <c r="C204" s="500">
        <f t="shared" si="22"/>
        <v>5822321</v>
      </c>
      <c r="D204" s="31" t="s">
        <v>638</v>
      </c>
      <c r="E204" s="863">
        <f t="shared" ca="1" si="27"/>
        <v>-152932</v>
      </c>
      <c r="F204" s="864">
        <f t="shared" ca="1" si="24"/>
        <v>-196180</v>
      </c>
      <c r="G204" s="1254">
        <v>50.295000000000002</v>
      </c>
      <c r="H204" s="1310">
        <f t="shared" si="25"/>
        <v>-859.88666865493587</v>
      </c>
      <c r="I204" s="2191">
        <f t="shared" ca="1" si="26"/>
        <v>-1175</v>
      </c>
      <c r="J204" s="2392"/>
      <c r="L204">
        <f t="shared" ca="1" si="23"/>
        <v>1138</v>
      </c>
    </row>
    <row r="205" spans="1:12" ht="19">
      <c r="A205" s="860">
        <v>45102</v>
      </c>
      <c r="B205" s="875">
        <v>100000</v>
      </c>
      <c r="C205" s="500">
        <f t="shared" si="22"/>
        <v>5922321</v>
      </c>
      <c r="D205" s="31" t="s">
        <v>747</v>
      </c>
      <c r="E205" s="863">
        <f t="shared" ca="1" si="27"/>
        <v>353014</v>
      </c>
      <c r="F205" s="864">
        <f t="shared" ca="1" si="24"/>
        <v>453014</v>
      </c>
      <c r="G205" s="1254">
        <v>49.795000000000002</v>
      </c>
      <c r="H205" s="1310">
        <f t="shared" si="25"/>
        <v>2008.2337584094787</v>
      </c>
      <c r="I205" s="2191">
        <f t="shared" ca="1" si="26"/>
        <v>2742</v>
      </c>
      <c r="J205" s="2392"/>
      <c r="L205">
        <f t="shared" ca="1" si="23"/>
        <v>1137</v>
      </c>
    </row>
    <row r="206" spans="1:12" ht="19">
      <c r="A206" s="860">
        <v>45104</v>
      </c>
      <c r="B206" s="875">
        <v>-14391</v>
      </c>
      <c r="C206" s="500">
        <f t="shared" si="22"/>
        <v>5907930</v>
      </c>
      <c r="D206" s="31" t="s">
        <v>638</v>
      </c>
      <c r="E206" s="863">
        <f t="shared" ca="1" si="27"/>
        <v>-50630</v>
      </c>
      <c r="F206" s="864">
        <f t="shared" ca="1" si="24"/>
        <v>-65021</v>
      </c>
      <c r="G206" s="1254">
        <v>49.195</v>
      </c>
      <c r="H206" s="1310">
        <f t="shared" si="25"/>
        <v>-292.5297286309584</v>
      </c>
      <c r="I206" s="2191">
        <f t="shared" ca="1" si="26"/>
        <v>-400</v>
      </c>
      <c r="J206" s="2392"/>
      <c r="L206">
        <f t="shared" ca="1" si="23"/>
        <v>1135</v>
      </c>
    </row>
    <row r="207" spans="1:12" ht="19">
      <c r="A207" s="860">
        <v>45104</v>
      </c>
      <c r="B207" s="875">
        <v>100000</v>
      </c>
      <c r="C207" s="500">
        <f t="shared" si="22"/>
        <v>6007930</v>
      </c>
      <c r="D207" s="31" t="s">
        <v>747</v>
      </c>
      <c r="E207" s="863">
        <f t="shared" ca="1" si="27"/>
        <v>351812</v>
      </c>
      <c r="F207" s="864">
        <f t="shared" ca="1" si="24"/>
        <v>451812</v>
      </c>
      <c r="G207" s="1254">
        <v>49.195</v>
      </c>
      <c r="H207" s="1310">
        <f t="shared" si="25"/>
        <v>2032.7269031405631</v>
      </c>
      <c r="I207" s="2191">
        <f t="shared" ca="1" si="26"/>
        <v>2774</v>
      </c>
      <c r="J207" s="2392"/>
      <c r="L207">
        <f t="shared" ca="1" si="23"/>
        <v>1135</v>
      </c>
    </row>
    <row r="208" spans="1:12" ht="19">
      <c r="A208" s="860">
        <v>45105</v>
      </c>
      <c r="B208" s="875">
        <v>100000</v>
      </c>
      <c r="C208" s="500">
        <f t="shared" si="22"/>
        <v>6107930</v>
      </c>
      <c r="D208" s="31" t="s">
        <v>747</v>
      </c>
      <c r="E208" s="863">
        <f t="shared" ca="1" si="27"/>
        <v>351212</v>
      </c>
      <c r="F208" s="864">
        <f t="shared" ca="1" si="24"/>
        <v>451212</v>
      </c>
      <c r="G208" s="1254">
        <v>49.295000000000002</v>
      </c>
      <c r="H208" s="1310">
        <f t="shared" si="25"/>
        <v>2028.6033066233897</v>
      </c>
      <c r="I208" s="2191">
        <f t="shared" ca="1" si="26"/>
        <v>2768</v>
      </c>
      <c r="J208" s="2392"/>
      <c r="L208">
        <f t="shared" ca="1" si="23"/>
        <v>1134</v>
      </c>
    </row>
    <row r="209" spans="1:12" ht="19">
      <c r="A209" s="860">
        <v>45107</v>
      </c>
      <c r="B209" s="875">
        <v>100000</v>
      </c>
      <c r="C209" s="500">
        <f t="shared" si="22"/>
        <v>6207930</v>
      </c>
      <c r="D209" s="31" t="s">
        <v>747</v>
      </c>
      <c r="E209" s="863">
        <f t="shared" ca="1" si="27"/>
        <v>350015</v>
      </c>
      <c r="F209" s="864">
        <f t="shared" ca="1" si="24"/>
        <v>450015</v>
      </c>
      <c r="G209" s="1254">
        <v>49.3</v>
      </c>
      <c r="H209" s="1310">
        <f t="shared" si="25"/>
        <v>2028.3975659229211</v>
      </c>
      <c r="I209" s="2191">
        <f t="shared" ca="1" si="26"/>
        <v>2766</v>
      </c>
      <c r="J209" s="2392"/>
      <c r="L209">
        <f t="shared" ca="1" si="23"/>
        <v>1132</v>
      </c>
    </row>
    <row r="210" spans="1:12" ht="19">
      <c r="A210" s="860">
        <v>45109</v>
      </c>
      <c r="B210" s="875">
        <v>-90880</v>
      </c>
      <c r="C210" s="500">
        <f t="shared" si="22"/>
        <v>6117050</v>
      </c>
      <c r="D210" s="31" t="s">
        <v>638</v>
      </c>
      <c r="E210" s="863">
        <f t="shared" ca="1" si="27"/>
        <v>-317008</v>
      </c>
      <c r="F210" s="864">
        <f t="shared" ca="1" si="24"/>
        <v>-407888</v>
      </c>
      <c r="G210" s="1254">
        <v>50.32</v>
      </c>
      <c r="H210" s="1310">
        <f t="shared" si="25"/>
        <v>-1806.0413354531001</v>
      </c>
      <c r="I210" s="2191">
        <f t="shared" ca="1" si="26"/>
        <v>-2462</v>
      </c>
      <c r="J210" s="2392"/>
      <c r="L210">
        <f t="shared" ca="1" si="23"/>
        <v>1130</v>
      </c>
    </row>
    <row r="211" spans="1:12" ht="19">
      <c r="A211" s="860">
        <v>45110</v>
      </c>
      <c r="B211" s="875">
        <v>100000</v>
      </c>
      <c r="C211" s="500">
        <f t="shared" si="22"/>
        <v>6217050</v>
      </c>
      <c r="D211" s="31" t="s">
        <v>747</v>
      </c>
      <c r="E211" s="863">
        <f t="shared" ca="1" si="27"/>
        <v>348224</v>
      </c>
      <c r="F211" s="864">
        <f t="shared" ca="1" si="24"/>
        <v>448224</v>
      </c>
      <c r="G211" s="1254">
        <v>50.12</v>
      </c>
      <c r="H211" s="1310">
        <f t="shared" si="25"/>
        <v>1995.2114924181965</v>
      </c>
      <c r="I211" s="2191">
        <f t="shared" ca="1" si="26"/>
        <v>2719</v>
      </c>
      <c r="J211" s="2392"/>
      <c r="L211">
        <f t="shared" ca="1" si="23"/>
        <v>1129</v>
      </c>
    </row>
    <row r="212" spans="1:12" ht="19">
      <c r="A212" s="860">
        <v>45111</v>
      </c>
      <c r="B212" s="875">
        <v>49165</v>
      </c>
      <c r="C212" s="500">
        <f t="shared" si="22"/>
        <v>6266215</v>
      </c>
      <c r="D212" s="31" t="s">
        <v>747</v>
      </c>
      <c r="E212" s="863">
        <f t="shared" ca="1" si="27"/>
        <v>170912</v>
      </c>
      <c r="F212" s="864">
        <f t="shared" ca="1" si="24"/>
        <v>220077</v>
      </c>
      <c r="G212" s="1254">
        <v>50.183</v>
      </c>
      <c r="H212" s="1310">
        <f t="shared" si="25"/>
        <v>979.71424586015189</v>
      </c>
      <c r="I212" s="2191">
        <f t="shared" ca="1" si="26"/>
        <v>1335</v>
      </c>
      <c r="J212" s="2392"/>
      <c r="L212">
        <f t="shared" ca="1" si="23"/>
        <v>1128</v>
      </c>
    </row>
    <row r="213" spans="1:12" ht="19">
      <c r="A213" s="860">
        <v>45113</v>
      </c>
      <c r="B213" s="1055">
        <v>27676</v>
      </c>
      <c r="C213" s="500">
        <f t="shared" si="22"/>
        <v>6293891</v>
      </c>
      <c r="D213" s="1142" t="s">
        <v>748</v>
      </c>
      <c r="E213" s="863">
        <f t="shared" si="27"/>
        <v>0</v>
      </c>
      <c r="F213" s="864">
        <f t="shared" si="24"/>
        <v>0</v>
      </c>
      <c r="G213" s="1254">
        <v>50.313000000000002</v>
      </c>
      <c r="H213" s="1310">
        <f t="shared" si="25"/>
        <v>550.07652097867344</v>
      </c>
      <c r="I213" s="2191">
        <f t="shared" si="26"/>
        <v>0</v>
      </c>
      <c r="J213" s="2392"/>
      <c r="L213">
        <f t="shared" ca="1" si="23"/>
        <v>1126</v>
      </c>
    </row>
    <row r="214" spans="1:12" ht="19">
      <c r="A214" s="860">
        <v>45117</v>
      </c>
      <c r="B214" s="875">
        <v>-7700</v>
      </c>
      <c r="C214" s="500">
        <f t="shared" si="22"/>
        <v>6286191</v>
      </c>
      <c r="D214" s="31" t="s">
        <v>638</v>
      </c>
      <c r="E214" s="863">
        <f t="shared" ca="1" si="27"/>
        <v>-26494</v>
      </c>
      <c r="F214" s="864">
        <f t="shared" ca="1" si="24"/>
        <v>-34194</v>
      </c>
      <c r="G214" s="1254">
        <v>49.4345</v>
      </c>
      <c r="H214" s="1310">
        <f t="shared" si="25"/>
        <v>-155.7616644246427</v>
      </c>
      <c r="I214" s="2191">
        <f t="shared" ca="1" si="26"/>
        <v>-212</v>
      </c>
      <c r="J214" s="2392"/>
      <c r="L214">
        <f t="shared" ca="1" si="23"/>
        <v>1122</v>
      </c>
    </row>
    <row r="215" spans="1:12" ht="19">
      <c r="A215" s="860">
        <v>45122</v>
      </c>
      <c r="B215" s="875">
        <v>-21433</v>
      </c>
      <c r="C215" s="500">
        <f t="shared" si="22"/>
        <v>6264758</v>
      </c>
      <c r="D215" s="31" t="s">
        <v>638</v>
      </c>
      <c r="E215" s="863">
        <f t="shared" ca="1" si="27"/>
        <v>-73116</v>
      </c>
      <c r="F215" s="864">
        <f t="shared" ca="1" si="24"/>
        <v>-94549</v>
      </c>
      <c r="G215" s="1254">
        <v>48.582999999999998</v>
      </c>
      <c r="H215" s="1310">
        <f t="shared" si="25"/>
        <v>-441.16254656978782</v>
      </c>
      <c r="I215" s="2191">
        <f t="shared" ca="1" si="26"/>
        <v>-600</v>
      </c>
      <c r="J215" s="2392"/>
      <c r="L215">
        <f t="shared" ca="1" si="23"/>
        <v>1117</v>
      </c>
    </row>
    <row r="216" spans="1:12" ht="19">
      <c r="A216" s="860">
        <v>45123</v>
      </c>
      <c r="B216" s="875">
        <v>-19980</v>
      </c>
      <c r="C216" s="500">
        <f t="shared" si="22"/>
        <v>6244778</v>
      </c>
      <c r="D216" s="31" t="s">
        <v>638</v>
      </c>
      <c r="E216" s="863">
        <f t="shared" ca="1" si="27"/>
        <v>-68042</v>
      </c>
      <c r="F216" s="864">
        <f t="shared" ca="1" si="24"/>
        <v>-88022</v>
      </c>
      <c r="G216" s="1254">
        <v>48.600999999999999</v>
      </c>
      <c r="H216" s="1310">
        <f t="shared" si="25"/>
        <v>-411.10265220880228</v>
      </c>
      <c r="I216" s="2191">
        <f t="shared" ca="1" si="26"/>
        <v>-559</v>
      </c>
      <c r="J216" s="2392"/>
      <c r="L216">
        <f t="shared" ca="1" si="23"/>
        <v>1116</v>
      </c>
    </row>
    <row r="217" spans="1:12" ht="19">
      <c r="A217" s="860">
        <v>45123</v>
      </c>
      <c r="B217" s="875">
        <v>100000</v>
      </c>
      <c r="C217" s="500">
        <f t="shared" si="22"/>
        <v>6344778</v>
      </c>
      <c r="D217" s="31" t="s">
        <v>747</v>
      </c>
      <c r="E217" s="863">
        <f t="shared" ca="1" si="27"/>
        <v>340548</v>
      </c>
      <c r="F217" s="864">
        <f t="shared" ca="1" si="24"/>
        <v>440548</v>
      </c>
      <c r="G217" s="1254">
        <v>48.600999999999999</v>
      </c>
      <c r="H217" s="1310">
        <f t="shared" si="25"/>
        <v>2057.5708318758875</v>
      </c>
      <c r="I217" s="2191">
        <f t="shared" ca="1" si="26"/>
        <v>2794</v>
      </c>
      <c r="J217" s="2392"/>
      <c r="L217">
        <f t="shared" ca="1" si="23"/>
        <v>1116</v>
      </c>
    </row>
    <row r="218" spans="1:12" ht="19">
      <c r="A218" s="860">
        <v>45125</v>
      </c>
      <c r="B218" s="875">
        <v>99113</v>
      </c>
      <c r="C218" s="500">
        <f t="shared" si="22"/>
        <v>6443891</v>
      </c>
      <c r="D218" s="31" t="s">
        <v>747</v>
      </c>
      <c r="E218" s="863">
        <f t="shared" ca="1" si="27"/>
        <v>336369</v>
      </c>
      <c r="F218" s="864">
        <f t="shared" ca="1" si="24"/>
        <v>435482</v>
      </c>
      <c r="G218" s="1254">
        <v>48.638500000000001</v>
      </c>
      <c r="H218" s="1310">
        <f t="shared" si="25"/>
        <v>2037.7478746260679</v>
      </c>
      <c r="I218" s="2191">
        <f t="shared" ca="1" si="26"/>
        <v>2765</v>
      </c>
      <c r="J218" s="2392"/>
      <c r="L218">
        <f t="shared" ca="1" si="23"/>
        <v>1114</v>
      </c>
    </row>
    <row r="219" spans="1:12" ht="19">
      <c r="A219" s="860">
        <v>45127</v>
      </c>
      <c r="B219" s="875">
        <v>100000</v>
      </c>
      <c r="C219" s="500">
        <f t="shared" si="22"/>
        <v>6543891</v>
      </c>
      <c r="D219" s="31" t="s">
        <v>747</v>
      </c>
      <c r="E219" s="863">
        <f t="shared" ca="1" si="27"/>
        <v>338213</v>
      </c>
      <c r="F219" s="864">
        <f t="shared" ca="1" si="24"/>
        <v>438213</v>
      </c>
      <c r="G219" s="1254">
        <v>48.637</v>
      </c>
      <c r="H219" s="1310">
        <f t="shared" si="25"/>
        <v>2056.0478647942923</v>
      </c>
      <c r="I219" s="2191">
        <f t="shared" ca="1" si="26"/>
        <v>2789</v>
      </c>
      <c r="J219" s="2392"/>
      <c r="L219">
        <f t="shared" ca="1" si="23"/>
        <v>1112</v>
      </c>
    </row>
    <row r="220" spans="1:12" ht="19">
      <c r="A220" s="860">
        <v>45128</v>
      </c>
      <c r="B220" s="875">
        <v>100000</v>
      </c>
      <c r="C220" s="500">
        <f t="shared" si="22"/>
        <v>6643891</v>
      </c>
      <c r="D220" s="31" t="s">
        <v>747</v>
      </c>
      <c r="E220" s="863">
        <f t="shared" ca="1" si="27"/>
        <v>337631</v>
      </c>
      <c r="F220" s="864">
        <f t="shared" ca="1" si="24"/>
        <v>437631</v>
      </c>
      <c r="G220" s="1254">
        <v>48.64</v>
      </c>
      <c r="H220" s="1310">
        <f t="shared" si="25"/>
        <v>2055.9210526315787</v>
      </c>
      <c r="I220" s="2191">
        <f t="shared" ca="1" si="26"/>
        <v>2788</v>
      </c>
      <c r="J220" s="2392"/>
      <c r="L220">
        <f t="shared" ca="1" si="23"/>
        <v>1111</v>
      </c>
    </row>
    <row r="221" spans="1:12" ht="19">
      <c r="A221" s="860">
        <v>45129</v>
      </c>
      <c r="B221" s="875">
        <v>100000</v>
      </c>
      <c r="C221" s="500">
        <f t="shared" si="22"/>
        <v>6743891</v>
      </c>
      <c r="D221" s="31" t="s">
        <v>747</v>
      </c>
      <c r="E221" s="863">
        <f t="shared" ca="1" si="27"/>
        <v>337050</v>
      </c>
      <c r="F221" s="864">
        <f t="shared" ca="1" si="24"/>
        <v>437050</v>
      </c>
      <c r="G221" s="1254">
        <v>48.3735</v>
      </c>
      <c r="H221" s="1310">
        <f t="shared" si="25"/>
        <v>2067.2475632319347</v>
      </c>
      <c r="I221" s="2191">
        <f t="shared" ca="1" si="26"/>
        <v>2802</v>
      </c>
      <c r="J221" s="2392"/>
      <c r="L221">
        <f t="shared" ca="1" si="23"/>
        <v>1110</v>
      </c>
    </row>
    <row r="222" spans="1:12" ht="19">
      <c r="A222" s="860">
        <v>45129</v>
      </c>
      <c r="B222" s="1055">
        <v>30554</v>
      </c>
      <c r="C222" s="500">
        <f t="shared" si="22"/>
        <v>6774445</v>
      </c>
      <c r="D222" s="1142" t="s">
        <v>748</v>
      </c>
      <c r="E222" s="863">
        <f t="shared" si="27"/>
        <v>0</v>
      </c>
      <c r="F222" s="864">
        <f t="shared" si="24"/>
        <v>0</v>
      </c>
      <c r="G222" s="1254">
        <v>48.3735</v>
      </c>
      <c r="H222" s="1310">
        <f t="shared" si="25"/>
        <v>631.62682046988539</v>
      </c>
      <c r="I222" s="2191">
        <f t="shared" si="26"/>
        <v>0</v>
      </c>
      <c r="J222" s="2392"/>
      <c r="L222">
        <f t="shared" ca="1" si="23"/>
        <v>1110</v>
      </c>
    </row>
    <row r="223" spans="1:12" ht="19">
      <c r="A223" s="860">
        <v>45130</v>
      </c>
      <c r="B223" s="875">
        <v>-3960</v>
      </c>
      <c r="C223" s="500">
        <f t="shared" si="22"/>
        <v>6770485</v>
      </c>
      <c r="D223" s="31" t="s">
        <v>638</v>
      </c>
      <c r="E223" s="863">
        <f t="shared" ca="1" si="27"/>
        <v>-13325</v>
      </c>
      <c r="F223" s="864">
        <f t="shared" ca="1" si="24"/>
        <v>-17285</v>
      </c>
      <c r="G223" s="1254">
        <v>48.328000000000003</v>
      </c>
      <c r="H223" s="1310">
        <f t="shared" si="25"/>
        <v>-81.940076146333382</v>
      </c>
      <c r="I223" s="2191">
        <f t="shared" ca="1" si="26"/>
        <v>-112</v>
      </c>
      <c r="J223" s="2392"/>
      <c r="L223">
        <f t="shared" ca="1" si="23"/>
        <v>1109</v>
      </c>
    </row>
    <row r="224" spans="1:12" ht="19">
      <c r="A224" s="860">
        <v>45130</v>
      </c>
      <c r="B224" s="875">
        <v>100000</v>
      </c>
      <c r="C224" s="500">
        <f t="shared" si="22"/>
        <v>6870485</v>
      </c>
      <c r="D224" s="31" t="s">
        <v>747</v>
      </c>
      <c r="E224" s="863">
        <f t="shared" ca="1" si="27"/>
        <v>336470</v>
      </c>
      <c r="F224" s="864">
        <f t="shared" ca="1" si="24"/>
        <v>436470</v>
      </c>
      <c r="G224" s="1254">
        <v>48.328000000000003</v>
      </c>
      <c r="H224" s="1310">
        <f t="shared" si="25"/>
        <v>2069.1938420791257</v>
      </c>
      <c r="I224" s="2191">
        <f t="shared" ca="1" si="26"/>
        <v>2804</v>
      </c>
      <c r="J224" s="2392"/>
      <c r="L224">
        <f t="shared" ca="1" si="23"/>
        <v>1109</v>
      </c>
    </row>
    <row r="225" spans="1:12" ht="19">
      <c r="A225" s="860">
        <v>45131</v>
      </c>
      <c r="B225" s="875">
        <v>100000</v>
      </c>
      <c r="C225" s="500">
        <f t="shared" si="22"/>
        <v>6970485</v>
      </c>
      <c r="D225" s="31" t="s">
        <v>747</v>
      </c>
      <c r="E225" s="863">
        <f t="shared" ca="1" si="27"/>
        <v>335890</v>
      </c>
      <c r="F225" s="864">
        <f t="shared" ca="1" si="24"/>
        <v>435890</v>
      </c>
      <c r="G225" s="1254">
        <v>48.638500000000001</v>
      </c>
      <c r="H225" s="1310">
        <f t="shared" si="25"/>
        <v>2055.9844567575069</v>
      </c>
      <c r="I225" s="2191">
        <f t="shared" ca="1" si="26"/>
        <v>2785</v>
      </c>
      <c r="J225" s="2392"/>
      <c r="L225">
        <f t="shared" ca="1" si="23"/>
        <v>1108</v>
      </c>
    </row>
    <row r="226" spans="1:12" ht="19">
      <c r="A226" s="860">
        <v>45132</v>
      </c>
      <c r="B226" s="875">
        <v>-82565</v>
      </c>
      <c r="C226" s="500">
        <f t="shared" si="22"/>
        <v>6887920</v>
      </c>
      <c r="D226" s="31" t="s">
        <v>638</v>
      </c>
      <c r="E226" s="863">
        <f t="shared" ca="1" si="27"/>
        <v>-276850</v>
      </c>
      <c r="F226" s="864">
        <f t="shared" ca="1" si="24"/>
        <v>-359415</v>
      </c>
      <c r="G226" s="1254">
        <v>48.9985</v>
      </c>
      <c r="H226" s="1310">
        <f t="shared" si="25"/>
        <v>-1685.051583211731</v>
      </c>
      <c r="I226" s="2191">
        <f t="shared" ca="1" si="26"/>
        <v>-2282</v>
      </c>
      <c r="J226" s="2392"/>
      <c r="L226">
        <f t="shared" ca="1" si="23"/>
        <v>1107</v>
      </c>
    </row>
    <row r="227" spans="1:12" ht="19">
      <c r="A227" s="860">
        <v>45132</v>
      </c>
      <c r="B227" s="875">
        <v>100000</v>
      </c>
      <c r="C227" s="500">
        <f t="shared" si="22"/>
        <v>6987920</v>
      </c>
      <c r="D227" s="31" t="s">
        <v>747</v>
      </c>
      <c r="E227" s="863">
        <f t="shared" ca="1" si="27"/>
        <v>335312</v>
      </c>
      <c r="F227" s="864">
        <f t="shared" ca="1" si="24"/>
        <v>435312</v>
      </c>
      <c r="G227" s="1254">
        <v>48.9985</v>
      </c>
      <c r="H227" s="1310">
        <f t="shared" si="25"/>
        <v>2040.8788024123187</v>
      </c>
      <c r="I227" s="2191">
        <f t="shared" ca="1" si="26"/>
        <v>2764</v>
      </c>
      <c r="J227" s="2392"/>
      <c r="L227">
        <f t="shared" ca="1" si="23"/>
        <v>1107</v>
      </c>
    </row>
    <row r="228" spans="1:12" ht="19">
      <c r="A228" s="860">
        <v>45132</v>
      </c>
      <c r="B228" s="875">
        <v>2000000</v>
      </c>
      <c r="C228" s="500">
        <f t="shared" si="22"/>
        <v>8987920</v>
      </c>
      <c r="D228" s="31" t="s">
        <v>747</v>
      </c>
      <c r="E228" s="863">
        <f t="shared" ca="1" si="27"/>
        <v>6706221</v>
      </c>
      <c r="F228" s="864">
        <f t="shared" ca="1" si="24"/>
        <v>8706221</v>
      </c>
      <c r="G228" s="1254">
        <v>48.9985</v>
      </c>
      <c r="H228" s="1310">
        <f t="shared" si="25"/>
        <v>40817.576048246374</v>
      </c>
      <c r="I228" s="2191">
        <f t="shared" ca="1" si="26"/>
        <v>55274</v>
      </c>
      <c r="J228" s="2392"/>
      <c r="L228">
        <f t="shared" ca="1" si="23"/>
        <v>1107</v>
      </c>
    </row>
    <row r="229" spans="1:12" ht="19">
      <c r="A229" s="860">
        <v>45133</v>
      </c>
      <c r="B229" s="875">
        <v>100000</v>
      </c>
      <c r="C229" s="500">
        <f t="shared" si="22"/>
        <v>9087920</v>
      </c>
      <c r="D229" s="31" t="s">
        <v>747</v>
      </c>
      <c r="E229" s="863">
        <f t="shared" ca="1" si="27"/>
        <v>334734</v>
      </c>
      <c r="F229" s="864">
        <f t="shared" ca="1" si="24"/>
        <v>434734</v>
      </c>
      <c r="G229" s="1254">
        <v>48.999499999999998</v>
      </c>
      <c r="H229" s="1310">
        <f t="shared" si="25"/>
        <v>2040.8371513995041</v>
      </c>
      <c r="I229" s="2191">
        <f t="shared" ca="1" si="26"/>
        <v>2763</v>
      </c>
      <c r="J229" s="2392"/>
      <c r="L229">
        <f t="shared" ca="1" si="23"/>
        <v>1106</v>
      </c>
    </row>
    <row r="230" spans="1:12" ht="19">
      <c r="A230" s="860">
        <v>45134</v>
      </c>
      <c r="B230" s="875">
        <v>86525</v>
      </c>
      <c r="C230" s="500">
        <f t="shared" si="22"/>
        <v>9174445</v>
      </c>
      <c r="D230" s="31" t="s">
        <v>747</v>
      </c>
      <c r="E230" s="863">
        <f t="shared" ca="1" si="27"/>
        <v>289129</v>
      </c>
      <c r="F230" s="864">
        <f t="shared" ca="1" si="24"/>
        <v>375654</v>
      </c>
      <c r="G230" s="1254">
        <v>49</v>
      </c>
      <c r="H230" s="1310">
        <f t="shared" si="25"/>
        <v>1765.8163265306123</v>
      </c>
      <c r="I230" s="2191">
        <f t="shared" ca="1" si="26"/>
        <v>2390</v>
      </c>
      <c r="J230" s="2392"/>
      <c r="L230">
        <f t="shared" ca="1" si="23"/>
        <v>1105</v>
      </c>
    </row>
    <row r="231" spans="1:12" ht="19">
      <c r="A231" s="860">
        <v>45136</v>
      </c>
      <c r="B231" s="875">
        <v>100000</v>
      </c>
      <c r="C231" s="500">
        <f t="shared" si="22"/>
        <v>9274445</v>
      </c>
      <c r="D231" s="31" t="s">
        <v>747</v>
      </c>
      <c r="E231" s="863">
        <f t="shared" ca="1" si="27"/>
        <v>333004</v>
      </c>
      <c r="F231" s="864">
        <f t="shared" ca="1" si="24"/>
        <v>433004</v>
      </c>
      <c r="G231" s="1254">
        <v>48.948999999999998</v>
      </c>
      <c r="H231" s="1310">
        <f t="shared" si="25"/>
        <v>2042.9426545996855</v>
      </c>
      <c r="I231" s="2191">
        <f t="shared" ca="1" si="26"/>
        <v>2764</v>
      </c>
      <c r="J231" s="2392"/>
      <c r="L231">
        <f t="shared" ca="1" si="23"/>
        <v>1103</v>
      </c>
    </row>
    <row r="232" spans="1:12" ht="19">
      <c r="A232" s="860">
        <v>45136</v>
      </c>
      <c r="B232" s="875">
        <v>100000</v>
      </c>
      <c r="C232" s="500">
        <f t="shared" si="22"/>
        <v>9374445</v>
      </c>
      <c r="D232" s="31" t="s">
        <v>747</v>
      </c>
      <c r="E232" s="863">
        <f t="shared" ca="1" si="27"/>
        <v>333004</v>
      </c>
      <c r="F232" s="864">
        <f t="shared" ca="1" si="24"/>
        <v>433004</v>
      </c>
      <c r="G232" s="1254">
        <v>48.948999999999998</v>
      </c>
      <c r="H232" s="1310">
        <f t="shared" si="25"/>
        <v>2042.9426545996855</v>
      </c>
      <c r="I232" s="2191">
        <f t="shared" ca="1" si="26"/>
        <v>2764</v>
      </c>
      <c r="J232" s="2392"/>
      <c r="L232">
        <f t="shared" ca="1" si="23"/>
        <v>1103</v>
      </c>
    </row>
    <row r="233" spans="1:12" ht="19">
      <c r="A233" s="860">
        <v>45137</v>
      </c>
      <c r="B233" s="875">
        <v>-146074</v>
      </c>
      <c r="C233" s="500">
        <f t="shared" si="22"/>
        <v>9228371</v>
      </c>
      <c r="D233" s="31" t="s">
        <v>638</v>
      </c>
      <c r="E233" s="863">
        <f t="shared" ca="1" si="27"/>
        <v>-485592</v>
      </c>
      <c r="F233" s="864">
        <f t="shared" ca="1" si="24"/>
        <v>-631666</v>
      </c>
      <c r="G233" s="1254">
        <v>49.0535</v>
      </c>
      <c r="H233" s="1310">
        <f t="shared" si="25"/>
        <v>-2977.8507140163292</v>
      </c>
      <c r="I233" s="2191">
        <f t="shared" ca="1" si="26"/>
        <v>-4027</v>
      </c>
      <c r="J233" s="2392"/>
      <c r="L233">
        <f t="shared" ca="1" si="23"/>
        <v>1102</v>
      </c>
    </row>
    <row r="234" spans="1:12" ht="19">
      <c r="A234" s="860">
        <v>45137</v>
      </c>
      <c r="B234" s="875">
        <v>100000</v>
      </c>
      <c r="C234" s="500">
        <f t="shared" si="22"/>
        <v>9328371</v>
      </c>
      <c r="D234" s="31" t="s">
        <v>747</v>
      </c>
      <c r="E234" s="863">
        <f t="shared" ca="1" si="27"/>
        <v>332429</v>
      </c>
      <c r="F234" s="864">
        <f t="shared" ca="1" si="24"/>
        <v>432429</v>
      </c>
      <c r="G234" s="1254">
        <v>49.0535</v>
      </c>
      <c r="H234" s="1310">
        <f t="shared" si="25"/>
        <v>2038.5905185154984</v>
      </c>
      <c r="I234" s="2191">
        <f t="shared" ca="1" si="26"/>
        <v>2757</v>
      </c>
      <c r="J234" s="2392"/>
      <c r="L234">
        <f t="shared" ca="1" si="23"/>
        <v>1102</v>
      </c>
    </row>
    <row r="235" spans="1:12" ht="19">
      <c r="A235" s="860">
        <v>45138</v>
      </c>
      <c r="B235" s="875">
        <v>97574</v>
      </c>
      <c r="C235" s="500">
        <f t="shared" si="22"/>
        <v>9425945</v>
      </c>
      <c r="D235" s="31" t="s">
        <v>747</v>
      </c>
      <c r="E235" s="863">
        <f t="shared" ca="1" si="27"/>
        <v>323804</v>
      </c>
      <c r="F235" s="864">
        <f t="shared" ca="1" si="24"/>
        <v>421378</v>
      </c>
      <c r="G235" s="1254">
        <v>49.832500000000003</v>
      </c>
      <c r="H235" s="1310">
        <f t="shared" si="25"/>
        <v>1958.0394320975265</v>
      </c>
      <c r="I235" s="2191">
        <f t="shared" ca="1" si="26"/>
        <v>2648</v>
      </c>
      <c r="J235" s="2392"/>
      <c r="L235">
        <f t="shared" ca="1" si="23"/>
        <v>1101</v>
      </c>
    </row>
    <row r="236" spans="1:12" ht="19">
      <c r="A236" s="860">
        <v>45139</v>
      </c>
      <c r="B236" s="875">
        <v>-718</v>
      </c>
      <c r="C236" s="500">
        <f t="shared" si="22"/>
        <v>9425227</v>
      </c>
      <c r="D236" s="31" t="s">
        <v>638</v>
      </c>
      <c r="E236" s="863">
        <f t="shared" ca="1" si="27"/>
        <v>-2379</v>
      </c>
      <c r="F236" s="864">
        <f t="shared" ca="1" si="24"/>
        <v>-3097</v>
      </c>
      <c r="G236" s="1254">
        <v>50.07</v>
      </c>
      <c r="H236" s="1310">
        <f t="shared" si="25"/>
        <v>-14.339924106251248</v>
      </c>
      <c r="I236" s="2191">
        <f t="shared" ca="1" si="26"/>
        <v>-20</v>
      </c>
      <c r="J236" s="2392"/>
      <c r="L236">
        <f t="shared" ca="1" si="23"/>
        <v>1100</v>
      </c>
    </row>
    <row r="237" spans="1:12" ht="19">
      <c r="A237" s="860">
        <v>45139</v>
      </c>
      <c r="B237" s="875">
        <v>98500</v>
      </c>
      <c r="C237" s="500">
        <f t="shared" si="22"/>
        <v>9523727</v>
      </c>
      <c r="D237" s="31" t="s">
        <v>747</v>
      </c>
      <c r="E237" s="863">
        <f t="shared" ca="1" si="27"/>
        <v>326312</v>
      </c>
      <c r="F237" s="864">
        <f t="shared" ca="1" si="24"/>
        <v>424812</v>
      </c>
      <c r="G237" s="1254">
        <v>50.07</v>
      </c>
      <c r="H237" s="1310">
        <f t="shared" si="25"/>
        <v>1967.2458558018773</v>
      </c>
      <c r="I237" s="2191">
        <f t="shared" ca="1" si="26"/>
        <v>2659</v>
      </c>
      <c r="J237" s="2392"/>
      <c r="L237">
        <f t="shared" ca="1" si="23"/>
        <v>1100</v>
      </c>
    </row>
    <row r="238" spans="1:12" ht="19">
      <c r="A238" s="860">
        <v>45150</v>
      </c>
      <c r="B238" s="875">
        <v>-41100</v>
      </c>
      <c r="C238" s="500">
        <f t="shared" si="22"/>
        <v>9482627</v>
      </c>
      <c r="D238" s="31" t="s">
        <v>638</v>
      </c>
      <c r="E238" s="863">
        <f t="shared" ca="1" si="27"/>
        <v>-133585</v>
      </c>
      <c r="F238" s="864">
        <f t="shared" ca="1" si="24"/>
        <v>-174685</v>
      </c>
      <c r="G238" s="1254">
        <v>48.92</v>
      </c>
      <c r="H238" s="1310">
        <f t="shared" si="25"/>
        <v>-840.14717906786586</v>
      </c>
      <c r="I238" s="2191">
        <f t="shared" ca="1" si="26"/>
        <v>-1133</v>
      </c>
      <c r="J238" s="2392"/>
      <c r="L238">
        <f t="shared" ca="1" si="23"/>
        <v>1089</v>
      </c>
    </row>
    <row r="239" spans="1:12" ht="19">
      <c r="A239" s="860">
        <v>45151</v>
      </c>
      <c r="B239" s="875">
        <v>-32000</v>
      </c>
      <c r="C239" s="500">
        <f t="shared" si="22"/>
        <v>9450627</v>
      </c>
      <c r="D239" s="31" t="s">
        <v>638</v>
      </c>
      <c r="E239" s="863">
        <f t="shared" ca="1" si="27"/>
        <v>-103827</v>
      </c>
      <c r="F239" s="864">
        <f t="shared" ca="1" si="24"/>
        <v>-135827</v>
      </c>
      <c r="G239" s="1254">
        <v>49.265999999999998</v>
      </c>
      <c r="H239" s="1310">
        <f t="shared" si="25"/>
        <v>-649.53517638939638</v>
      </c>
      <c r="I239" s="2191">
        <f t="shared" ca="1" si="26"/>
        <v>-876</v>
      </c>
      <c r="J239" s="2392"/>
      <c r="L239">
        <f t="shared" ca="1" si="23"/>
        <v>1088</v>
      </c>
    </row>
    <row r="240" spans="1:12" ht="19">
      <c r="A240" s="860">
        <v>45157</v>
      </c>
      <c r="B240" s="875">
        <v>-2160</v>
      </c>
      <c r="C240" s="500">
        <f t="shared" si="22"/>
        <v>9448467</v>
      </c>
      <c r="D240" s="31" t="s">
        <v>638</v>
      </c>
      <c r="E240" s="863">
        <f t="shared" ca="1" si="27"/>
        <v>-6936</v>
      </c>
      <c r="F240" s="864">
        <f t="shared" ca="1" si="24"/>
        <v>-9096</v>
      </c>
      <c r="G240" s="1254">
        <v>48.860500000000002</v>
      </c>
      <c r="H240" s="1310">
        <f t="shared" si="25"/>
        <v>-44.207488666714418</v>
      </c>
      <c r="I240" s="2191">
        <f t="shared" ca="1" si="26"/>
        <v>-60</v>
      </c>
      <c r="J240" s="2392"/>
      <c r="L240">
        <f t="shared" ca="1" si="23"/>
        <v>1082</v>
      </c>
    </row>
    <row r="241" spans="1:12" ht="19">
      <c r="A241" s="860">
        <v>45160</v>
      </c>
      <c r="B241" s="875">
        <v>-1920</v>
      </c>
      <c r="C241" s="500">
        <f t="shared" si="22"/>
        <v>9446547</v>
      </c>
      <c r="D241" s="31" t="s">
        <v>638</v>
      </c>
      <c r="E241" s="863">
        <f t="shared" ca="1" si="27"/>
        <v>-6133</v>
      </c>
      <c r="F241" s="864">
        <f t="shared" ca="1" si="24"/>
        <v>-8053</v>
      </c>
      <c r="G241" s="1254">
        <v>49.154000000000003</v>
      </c>
      <c r="H241" s="1310">
        <f t="shared" si="25"/>
        <v>-39.060910607478533</v>
      </c>
      <c r="I241" s="2191">
        <f t="shared" ca="1" si="26"/>
        <v>-53</v>
      </c>
      <c r="J241" s="2392"/>
      <c r="L241">
        <f t="shared" ca="1" si="23"/>
        <v>1079</v>
      </c>
    </row>
    <row r="242" spans="1:12" ht="19">
      <c r="A242" s="860">
        <v>45160</v>
      </c>
      <c r="B242" s="1055">
        <v>102481</v>
      </c>
      <c r="C242" s="500">
        <f t="shared" si="22"/>
        <v>9549028</v>
      </c>
      <c r="D242" s="1142" t="s">
        <v>748</v>
      </c>
      <c r="E242" s="863">
        <f t="shared" si="27"/>
        <v>0</v>
      </c>
      <c r="F242" s="864">
        <f t="shared" si="24"/>
        <v>0</v>
      </c>
      <c r="G242" s="1254">
        <v>49.154000000000003</v>
      </c>
      <c r="H242" s="1310">
        <f t="shared" si="25"/>
        <v>2084.8964478984417</v>
      </c>
      <c r="I242" s="2191">
        <f t="shared" si="26"/>
        <v>0</v>
      </c>
      <c r="J242" s="2392"/>
      <c r="L242">
        <f t="shared" ca="1" si="23"/>
        <v>1079</v>
      </c>
    </row>
    <row r="243" spans="1:12" ht="19">
      <c r="A243" s="860">
        <v>45163</v>
      </c>
      <c r="B243" s="875">
        <v>-85491</v>
      </c>
      <c r="C243" s="500">
        <f t="shared" si="22"/>
        <v>9463537</v>
      </c>
      <c r="D243" s="31" t="s">
        <v>638</v>
      </c>
      <c r="E243" s="863">
        <f t="shared" ca="1" si="27"/>
        <v>-271644</v>
      </c>
      <c r="F243" s="864">
        <f t="shared" ca="1" si="24"/>
        <v>-357135</v>
      </c>
      <c r="G243" s="1254">
        <v>49.15</v>
      </c>
      <c r="H243" s="1310">
        <f t="shared" si="25"/>
        <v>-1739.3896236012208</v>
      </c>
      <c r="I243" s="2191">
        <f t="shared" ca="1" si="26"/>
        <v>-2336</v>
      </c>
      <c r="J243" s="2392"/>
      <c r="L243">
        <f t="shared" ca="1" si="23"/>
        <v>1076</v>
      </c>
    </row>
    <row r="244" spans="1:12" ht="19">
      <c r="A244" s="860">
        <v>45165</v>
      </c>
      <c r="B244" s="875">
        <v>100000</v>
      </c>
      <c r="C244" s="500">
        <f t="shared" si="22"/>
        <v>9563537</v>
      </c>
      <c r="D244" s="31" t="s">
        <v>747</v>
      </c>
      <c r="E244" s="863">
        <f t="shared" ca="1" si="27"/>
        <v>316637</v>
      </c>
      <c r="F244" s="864">
        <f t="shared" ca="1" si="24"/>
        <v>416637</v>
      </c>
      <c r="G244" s="1254">
        <v>49.052500000000002</v>
      </c>
      <c r="H244" s="1310">
        <f t="shared" si="25"/>
        <v>2038.6320778757454</v>
      </c>
      <c r="I244" s="2191">
        <f t="shared" ca="1" si="26"/>
        <v>2736</v>
      </c>
      <c r="J244" s="2392"/>
      <c r="L244">
        <f t="shared" ca="1" si="23"/>
        <v>1074</v>
      </c>
    </row>
    <row r="245" spans="1:12" ht="19">
      <c r="A245" s="860">
        <v>45166</v>
      </c>
      <c r="B245" s="875">
        <v>-21600</v>
      </c>
      <c r="C245" s="500">
        <f t="shared" si="22"/>
        <v>9541937</v>
      </c>
      <c r="D245" s="31" t="s">
        <v>638</v>
      </c>
      <c r="E245" s="863">
        <f t="shared" ca="1" si="27"/>
        <v>-68274</v>
      </c>
      <c r="F245" s="864">
        <f t="shared" ca="1" si="24"/>
        <v>-89874</v>
      </c>
      <c r="G245" s="1254">
        <v>49.082999999999998</v>
      </c>
      <c r="H245" s="1310">
        <f t="shared" si="25"/>
        <v>-440.07090031171691</v>
      </c>
      <c r="I245" s="2191">
        <f t="shared" ca="1" si="26"/>
        <v>-591</v>
      </c>
      <c r="J245" s="2392"/>
      <c r="L245">
        <f t="shared" ca="1" si="23"/>
        <v>1073</v>
      </c>
    </row>
    <row r="246" spans="1:12" ht="19">
      <c r="A246" s="860">
        <v>45166</v>
      </c>
      <c r="B246" s="875">
        <v>-18000</v>
      </c>
      <c r="C246" s="500">
        <f t="shared" si="22"/>
        <v>9523937</v>
      </c>
      <c r="D246" s="31" t="s">
        <v>638</v>
      </c>
      <c r="E246" s="863">
        <f t="shared" ca="1" si="27"/>
        <v>-56895</v>
      </c>
      <c r="F246" s="864">
        <f t="shared" ca="1" si="24"/>
        <v>-74895</v>
      </c>
      <c r="G246" s="1254">
        <v>49.082999999999998</v>
      </c>
      <c r="H246" s="1310">
        <f t="shared" si="25"/>
        <v>-366.72575025976408</v>
      </c>
      <c r="I246" s="2191">
        <f t="shared" ca="1" si="26"/>
        <v>-493</v>
      </c>
      <c r="J246" s="2392"/>
      <c r="L246">
        <f t="shared" ca="1" si="23"/>
        <v>1073</v>
      </c>
    </row>
    <row r="247" spans="1:12" ht="19">
      <c r="A247" s="860">
        <v>45168</v>
      </c>
      <c r="B247" s="875">
        <v>52989</v>
      </c>
      <c r="C247" s="500">
        <f t="shared" si="22"/>
        <v>9576926</v>
      </c>
      <c r="D247" s="31" t="s">
        <v>747</v>
      </c>
      <c r="E247" s="863">
        <f t="shared" ca="1" si="27"/>
        <v>166905</v>
      </c>
      <c r="F247" s="864">
        <f t="shared" ca="1" si="24"/>
        <v>219894</v>
      </c>
      <c r="G247" s="1254">
        <v>49.015500000000003</v>
      </c>
      <c r="H247" s="1310">
        <f t="shared" si="25"/>
        <v>1081.0661933470024</v>
      </c>
      <c r="I247" s="2191">
        <f t="shared" ca="1" si="26"/>
        <v>1450</v>
      </c>
      <c r="J247" s="2392"/>
      <c r="L247">
        <f t="shared" ca="1" si="23"/>
        <v>1071</v>
      </c>
    </row>
    <row r="248" spans="1:12" ht="19">
      <c r="A248" s="860">
        <v>45179</v>
      </c>
      <c r="B248" s="875">
        <v>-26100</v>
      </c>
      <c r="C248" s="500">
        <f t="shared" si="22"/>
        <v>9550826</v>
      </c>
      <c r="D248" s="31" t="s">
        <v>638</v>
      </c>
      <c r="E248" s="863">
        <f t="shared" ca="1" si="27"/>
        <v>-80638</v>
      </c>
      <c r="F248" s="864">
        <f t="shared" ca="1" si="24"/>
        <v>-106738</v>
      </c>
      <c r="G248" s="1254">
        <v>49.710999999999999</v>
      </c>
      <c r="H248" s="1310">
        <f t="shared" si="25"/>
        <v>-525.03470056929052</v>
      </c>
      <c r="I248" s="2191">
        <f t="shared" ca="1" si="26"/>
        <v>-702</v>
      </c>
      <c r="J248" s="2392"/>
      <c r="L248">
        <f t="shared" ca="1" si="23"/>
        <v>1060</v>
      </c>
    </row>
    <row r="249" spans="1:12" ht="19">
      <c r="A249" s="860">
        <v>45181</v>
      </c>
      <c r="B249" s="875">
        <v>-31500</v>
      </c>
      <c r="C249" s="500">
        <f t="shared" si="22"/>
        <v>9519326</v>
      </c>
      <c r="D249" s="31" t="s">
        <v>638</v>
      </c>
      <c r="E249" s="863">
        <f t="shared" ca="1" si="27"/>
        <v>-96980</v>
      </c>
      <c r="F249" s="864">
        <f t="shared" ca="1" si="24"/>
        <v>-128480</v>
      </c>
      <c r="G249" s="1254">
        <v>49.874499999999998</v>
      </c>
      <c r="H249" s="1310">
        <f t="shared" si="25"/>
        <v>-631.5852790504166</v>
      </c>
      <c r="I249" s="2191">
        <f t="shared" ca="1" si="26"/>
        <v>-844</v>
      </c>
      <c r="J249" s="2392"/>
      <c r="L249">
        <f t="shared" ca="1" si="23"/>
        <v>1058</v>
      </c>
    </row>
    <row r="250" spans="1:12" ht="19">
      <c r="A250" s="860">
        <v>45191</v>
      </c>
      <c r="B250" s="1055">
        <v>106870</v>
      </c>
      <c r="C250" s="500">
        <f t="shared" si="22"/>
        <v>9626196</v>
      </c>
      <c r="D250" s="1142" t="s">
        <v>748</v>
      </c>
      <c r="E250" s="863">
        <f t="shared" si="27"/>
        <v>0</v>
      </c>
      <c r="F250" s="864">
        <f t="shared" si="24"/>
        <v>0</v>
      </c>
      <c r="G250" s="1254">
        <v>49.87</v>
      </c>
      <c r="H250" s="1310">
        <f t="shared" si="25"/>
        <v>2142.9717264888714</v>
      </c>
      <c r="I250" s="2191">
        <f t="shared" si="26"/>
        <v>0</v>
      </c>
      <c r="J250" s="2392"/>
      <c r="L250">
        <f t="shared" ca="1" si="23"/>
        <v>1048</v>
      </c>
    </row>
    <row r="251" spans="1:12" ht="19">
      <c r="A251" s="860">
        <v>45193</v>
      </c>
      <c r="B251" s="875">
        <v>-25000</v>
      </c>
      <c r="C251" s="500">
        <f t="shared" si="22"/>
        <v>9601196</v>
      </c>
      <c r="D251" s="31" t="s">
        <v>638</v>
      </c>
      <c r="E251" s="863">
        <f t="shared" ca="1" si="27"/>
        <v>-75356</v>
      </c>
      <c r="F251" s="864">
        <f t="shared" ca="1" si="24"/>
        <v>-100356</v>
      </c>
      <c r="G251" s="1254">
        <v>49.87</v>
      </c>
      <c r="H251" s="1310">
        <f t="shared" si="25"/>
        <v>-501.30338881090836</v>
      </c>
      <c r="I251" s="2191">
        <f t="shared" ca="1" si="26"/>
        <v>-668</v>
      </c>
      <c r="J251" s="2392"/>
      <c r="L251">
        <f t="shared" ca="1" si="23"/>
        <v>1046</v>
      </c>
    </row>
    <row r="252" spans="1:12" ht="19">
      <c r="A252" s="860">
        <v>45198</v>
      </c>
      <c r="B252" s="875">
        <v>100000</v>
      </c>
      <c r="C252" s="500">
        <f t="shared" si="22"/>
        <v>9701196</v>
      </c>
      <c r="D252" s="31" t="s">
        <v>747</v>
      </c>
      <c r="E252" s="863">
        <f t="shared" ca="1" si="27"/>
        <v>298763</v>
      </c>
      <c r="F252" s="864">
        <f t="shared" ca="1" si="24"/>
        <v>398763</v>
      </c>
      <c r="G252" s="1254">
        <v>49.87</v>
      </c>
      <c r="H252" s="1310">
        <f t="shared" si="25"/>
        <v>2005.2135552436334</v>
      </c>
      <c r="I252" s="2191">
        <f t="shared" ca="1" si="26"/>
        <v>2667</v>
      </c>
      <c r="J252" s="2392"/>
      <c r="L252">
        <f t="shared" ca="1" si="23"/>
        <v>1041</v>
      </c>
    </row>
    <row r="253" spans="1:12" ht="19">
      <c r="A253" s="860">
        <v>45199</v>
      </c>
      <c r="B253" s="875">
        <v>30000</v>
      </c>
      <c r="C253" s="500">
        <f t="shared" si="22"/>
        <v>9731196</v>
      </c>
      <c r="D253" s="31" t="s">
        <v>747</v>
      </c>
      <c r="E253" s="863">
        <f t="shared" ca="1" si="27"/>
        <v>89470</v>
      </c>
      <c r="F253" s="864">
        <f t="shared" ca="1" si="24"/>
        <v>119470</v>
      </c>
      <c r="G253" s="1254">
        <v>49.61</v>
      </c>
      <c r="H253" s="1310">
        <f t="shared" si="25"/>
        <v>604.71679096956257</v>
      </c>
      <c r="I253" s="2191">
        <f t="shared" ca="1" si="26"/>
        <v>804</v>
      </c>
      <c r="J253" s="2392"/>
      <c r="L253">
        <f t="shared" ca="1" si="23"/>
        <v>1040</v>
      </c>
    </row>
    <row r="254" spans="1:12" ht="19">
      <c r="A254" s="860">
        <v>45200</v>
      </c>
      <c r="B254" s="875">
        <v>1600000</v>
      </c>
      <c r="C254" s="500">
        <f t="shared" si="22"/>
        <v>11331196</v>
      </c>
      <c r="D254" s="31" t="s">
        <v>747</v>
      </c>
      <c r="E254" s="863">
        <f t="shared" ca="1" si="27"/>
        <v>4763264</v>
      </c>
      <c r="F254" s="864">
        <f t="shared" ca="1" si="24"/>
        <v>6363264</v>
      </c>
      <c r="G254" s="1254">
        <v>49.655000000000001</v>
      </c>
      <c r="H254" s="1310">
        <f t="shared" si="25"/>
        <v>32222.334105326754</v>
      </c>
      <c r="I254" s="2191">
        <f t="shared" ca="1" si="26"/>
        <v>42829</v>
      </c>
      <c r="J254" s="2392"/>
      <c r="L254">
        <f t="shared" ca="1" si="23"/>
        <v>1039</v>
      </c>
    </row>
    <row r="255" spans="1:12" ht="19">
      <c r="A255" s="860">
        <v>45201</v>
      </c>
      <c r="B255" s="875">
        <v>100000</v>
      </c>
      <c r="C255" s="500">
        <f t="shared" si="22"/>
        <v>11431196</v>
      </c>
      <c r="D255" s="31" t="s">
        <v>747</v>
      </c>
      <c r="E255" s="863">
        <f t="shared" ca="1" si="27"/>
        <v>297176</v>
      </c>
      <c r="F255" s="864">
        <f t="shared" ca="1" si="24"/>
        <v>397176</v>
      </c>
      <c r="G255" s="1254">
        <v>49.62</v>
      </c>
      <c r="H255" s="1310">
        <f t="shared" si="25"/>
        <v>2015.3164046755342</v>
      </c>
      <c r="I255" s="2191">
        <f t="shared" ca="1" si="26"/>
        <v>2678</v>
      </c>
      <c r="J255" s="2392"/>
      <c r="L255">
        <f t="shared" ca="1" si="23"/>
        <v>1038</v>
      </c>
    </row>
    <row r="256" spans="1:12" ht="19">
      <c r="A256" s="860">
        <v>45203</v>
      </c>
      <c r="B256" s="875">
        <v>100000</v>
      </c>
      <c r="C256" s="500">
        <f t="shared" si="22"/>
        <v>11531196</v>
      </c>
      <c r="D256" s="31" t="s">
        <v>747</v>
      </c>
      <c r="E256" s="863">
        <f t="shared" ca="1" si="27"/>
        <v>296122</v>
      </c>
      <c r="F256" s="864">
        <f t="shared" ca="1" si="24"/>
        <v>396122</v>
      </c>
      <c r="G256" s="1254">
        <v>49.79</v>
      </c>
      <c r="H256" s="1310">
        <f t="shared" si="25"/>
        <v>2008.435428800964</v>
      </c>
      <c r="I256" s="2191">
        <f t="shared" ca="1" si="26"/>
        <v>2668</v>
      </c>
      <c r="J256" s="2392"/>
      <c r="L256">
        <f t="shared" ca="1" si="23"/>
        <v>1036</v>
      </c>
    </row>
    <row r="257" spans="1:12" ht="19">
      <c r="A257" s="860">
        <v>45204</v>
      </c>
      <c r="B257" s="875">
        <v>50000</v>
      </c>
      <c r="C257" s="500">
        <f t="shared" si="22"/>
        <v>11581196</v>
      </c>
      <c r="D257" s="31" t="s">
        <v>747</v>
      </c>
      <c r="E257" s="863">
        <f t="shared" ca="1" si="27"/>
        <v>147798</v>
      </c>
      <c r="F257" s="864">
        <f t="shared" ca="1" si="24"/>
        <v>197798</v>
      </c>
      <c r="G257" s="1254">
        <v>49.893999999999998</v>
      </c>
      <c r="H257" s="1310">
        <f t="shared" si="25"/>
        <v>1002.1245039483706</v>
      </c>
      <c r="I257" s="2191">
        <f t="shared" ca="1" si="26"/>
        <v>1331</v>
      </c>
      <c r="J257" s="2392"/>
      <c r="L257">
        <f t="shared" ca="1" si="23"/>
        <v>1035</v>
      </c>
    </row>
    <row r="258" spans="1:12" ht="19">
      <c r="A258" s="860">
        <v>45204</v>
      </c>
      <c r="B258" s="875">
        <v>42600</v>
      </c>
      <c r="C258" s="500">
        <f t="shared" si="22"/>
        <v>11623796</v>
      </c>
      <c r="D258" s="31" t="s">
        <v>747</v>
      </c>
      <c r="E258" s="863">
        <f t="shared" ca="1" si="27"/>
        <v>125924</v>
      </c>
      <c r="F258" s="864">
        <f t="shared" ca="1" si="24"/>
        <v>168524</v>
      </c>
      <c r="G258" s="1254">
        <v>49.893999999999998</v>
      </c>
      <c r="H258" s="1310">
        <f t="shared" si="25"/>
        <v>853.8100773640117</v>
      </c>
      <c r="I258" s="2191">
        <f t="shared" ca="1" si="26"/>
        <v>1134</v>
      </c>
      <c r="J258" s="2392"/>
      <c r="L258">
        <f t="shared" ca="1" si="23"/>
        <v>1035</v>
      </c>
    </row>
    <row r="259" spans="1:12" ht="19">
      <c r="A259" s="860">
        <v>45205</v>
      </c>
      <c r="B259" s="875">
        <v>60000</v>
      </c>
      <c r="C259" s="500">
        <f t="shared" ref="C259:C322" si="28">C258+B259</f>
        <v>11683796</v>
      </c>
      <c r="D259" s="31" t="s">
        <v>747</v>
      </c>
      <c r="E259" s="863">
        <f t="shared" ca="1" si="27"/>
        <v>177043</v>
      </c>
      <c r="F259" s="864">
        <f t="shared" ca="1" si="24"/>
        <v>237043</v>
      </c>
      <c r="G259" s="1254">
        <v>49.893999999999998</v>
      </c>
      <c r="H259" s="1310">
        <f t="shared" si="25"/>
        <v>1202.5494047380446</v>
      </c>
      <c r="I259" s="2191">
        <f t="shared" ca="1" si="26"/>
        <v>1597</v>
      </c>
      <c r="J259" s="2392"/>
      <c r="L259">
        <f t="shared" ref="L259:L322" ca="1" si="29">$E$1-A259</f>
        <v>1034</v>
      </c>
    </row>
    <row r="260" spans="1:12" ht="19">
      <c r="A260" s="860">
        <v>45206</v>
      </c>
      <c r="B260" s="875">
        <v>50000</v>
      </c>
      <c r="C260" s="500">
        <f t="shared" si="28"/>
        <v>11733796</v>
      </c>
      <c r="D260" s="31" t="s">
        <v>747</v>
      </c>
      <c r="E260" s="863">
        <f t="shared" ca="1" si="27"/>
        <v>147273</v>
      </c>
      <c r="F260" s="864">
        <f t="shared" ref="F260:F323" ca="1" si="30">IF(D260="Hami Interest",0,ROUNDUP(B260*(1+$F$1/12)^(($E$1-A260)/30),0))</f>
        <v>197273</v>
      </c>
      <c r="G260" s="1254">
        <v>51.898000000000003</v>
      </c>
      <c r="H260" s="1310">
        <f t="shared" si="25"/>
        <v>963.42826313152716</v>
      </c>
      <c r="I260" s="2191">
        <f t="shared" ca="1" si="26"/>
        <v>1279</v>
      </c>
      <c r="J260" s="2392"/>
      <c r="L260">
        <f t="shared" ca="1" si="29"/>
        <v>1033</v>
      </c>
    </row>
    <row r="261" spans="1:12" ht="19">
      <c r="A261" s="860">
        <v>45206</v>
      </c>
      <c r="B261" s="875">
        <v>50000</v>
      </c>
      <c r="C261" s="500">
        <f t="shared" si="28"/>
        <v>11783796</v>
      </c>
      <c r="D261" s="31" t="s">
        <v>747</v>
      </c>
      <c r="E261" s="863">
        <f t="shared" ca="1" si="27"/>
        <v>147273</v>
      </c>
      <c r="F261" s="864">
        <f t="shared" ca="1" si="30"/>
        <v>197273</v>
      </c>
      <c r="G261" s="1254">
        <v>51.898000000000003</v>
      </c>
      <c r="H261" s="1310">
        <f t="shared" si="25"/>
        <v>963.42826313152716</v>
      </c>
      <c r="I261" s="2191">
        <f t="shared" ca="1" si="26"/>
        <v>1279</v>
      </c>
      <c r="J261" s="2392"/>
      <c r="L261">
        <f t="shared" ca="1" si="29"/>
        <v>1033</v>
      </c>
    </row>
    <row r="262" spans="1:12" ht="19">
      <c r="A262" s="860">
        <v>45209</v>
      </c>
      <c r="B262" s="875">
        <v>50000</v>
      </c>
      <c r="C262" s="500">
        <f t="shared" si="28"/>
        <v>11833796</v>
      </c>
      <c r="D262" s="31" t="s">
        <v>747</v>
      </c>
      <c r="E262" s="863">
        <f t="shared" ca="1" si="27"/>
        <v>146489</v>
      </c>
      <c r="F262" s="864">
        <f t="shared" ca="1" si="30"/>
        <v>196489</v>
      </c>
      <c r="G262" s="1254">
        <v>51.844999999999999</v>
      </c>
      <c r="H262" s="1310">
        <f t="shared" si="25"/>
        <v>964.41315459542875</v>
      </c>
      <c r="I262" s="2191">
        <f t="shared" ca="1" si="26"/>
        <v>1279</v>
      </c>
      <c r="J262" s="2392"/>
      <c r="L262">
        <f t="shared" ca="1" si="29"/>
        <v>1030</v>
      </c>
    </row>
    <row r="263" spans="1:12" ht="19">
      <c r="A263" s="860">
        <v>45210</v>
      </c>
      <c r="B263" s="875">
        <v>50000</v>
      </c>
      <c r="C263" s="500">
        <f t="shared" si="28"/>
        <v>11883796</v>
      </c>
      <c r="D263" s="31" t="s">
        <v>747</v>
      </c>
      <c r="E263" s="863">
        <f t="shared" ca="1" si="27"/>
        <v>146228</v>
      </c>
      <c r="F263" s="864">
        <f t="shared" ca="1" si="30"/>
        <v>196228</v>
      </c>
      <c r="G263" s="1254">
        <v>51.545000000000002</v>
      </c>
      <c r="H263" s="1310">
        <f t="shared" si="25"/>
        <v>970.02619070714911</v>
      </c>
      <c r="I263" s="2191">
        <f t="shared" ca="1" si="26"/>
        <v>1286</v>
      </c>
      <c r="J263" s="2392"/>
      <c r="L263">
        <f t="shared" ca="1" si="29"/>
        <v>1029</v>
      </c>
    </row>
    <row r="264" spans="1:12" ht="19">
      <c r="A264" s="860">
        <v>45210</v>
      </c>
      <c r="B264" s="875">
        <v>50000</v>
      </c>
      <c r="C264" s="500">
        <f t="shared" si="28"/>
        <v>11933796</v>
      </c>
      <c r="D264" s="31" t="s">
        <v>747</v>
      </c>
      <c r="E264" s="863">
        <f t="shared" ca="1" si="27"/>
        <v>146228</v>
      </c>
      <c r="F264" s="864">
        <f t="shared" ca="1" si="30"/>
        <v>196228</v>
      </c>
      <c r="G264" s="1254">
        <v>51.545000000000002</v>
      </c>
      <c r="H264" s="1310">
        <f t="shared" ref="H264:H327" si="31">B264/G264</f>
        <v>970.02619070714911</v>
      </c>
      <c r="I264" s="2191">
        <f t="shared" ref="I264:I327" ca="1" si="32">IF(D264="Hami Interest",0,ROUNDUP(H264*(1+$I$1/12)^(($E$1-A264)/30),0))</f>
        <v>1286</v>
      </c>
      <c r="J264" s="2392"/>
      <c r="L264">
        <f t="shared" ca="1" si="29"/>
        <v>1029</v>
      </c>
    </row>
    <row r="265" spans="1:12" ht="19">
      <c r="A265" s="860">
        <v>45211</v>
      </c>
      <c r="B265" s="875">
        <v>100000</v>
      </c>
      <c r="C265" s="500">
        <f t="shared" si="28"/>
        <v>12033796</v>
      </c>
      <c r="D265" s="31" t="s">
        <v>747</v>
      </c>
      <c r="E265" s="863">
        <f t="shared" ca="1" si="27"/>
        <v>291934</v>
      </c>
      <c r="F265" s="864">
        <f t="shared" ca="1" si="30"/>
        <v>391934</v>
      </c>
      <c r="G265" s="1254">
        <v>51.17</v>
      </c>
      <c r="H265" s="1310">
        <f t="shared" si="31"/>
        <v>1954.2700801250733</v>
      </c>
      <c r="I265" s="2191">
        <f t="shared" ca="1" si="32"/>
        <v>2590</v>
      </c>
      <c r="J265" s="2392"/>
      <c r="L265">
        <f t="shared" ca="1" si="29"/>
        <v>1028</v>
      </c>
    </row>
    <row r="266" spans="1:12" ht="19">
      <c r="A266" s="860">
        <v>45221</v>
      </c>
      <c r="B266" s="1055">
        <v>136198</v>
      </c>
      <c r="C266" s="500">
        <f t="shared" si="28"/>
        <v>12169994</v>
      </c>
      <c r="D266" s="1142" t="s">
        <v>748</v>
      </c>
      <c r="E266" s="863">
        <f t="shared" ref="E266:E329" si="33">IF(F266=0,0,F266-B266)</f>
        <v>0</v>
      </c>
      <c r="F266" s="864">
        <f t="shared" si="30"/>
        <v>0</v>
      </c>
      <c r="G266" s="1254">
        <v>50.500749999999996</v>
      </c>
      <c r="H266" s="1310">
        <f t="shared" si="31"/>
        <v>2696.9500452963571</v>
      </c>
      <c r="I266" s="2191">
        <f t="shared" si="32"/>
        <v>0</v>
      </c>
      <c r="J266" s="2392"/>
      <c r="L266">
        <f t="shared" ca="1" si="29"/>
        <v>1018</v>
      </c>
    </row>
    <row r="267" spans="1:12" ht="19">
      <c r="A267" s="860">
        <v>45222</v>
      </c>
      <c r="B267" s="875">
        <v>-11865</v>
      </c>
      <c r="C267" s="500">
        <f t="shared" si="28"/>
        <v>12158129</v>
      </c>
      <c r="D267" s="31" t="s">
        <v>638</v>
      </c>
      <c r="E267" s="863">
        <f t="shared" ca="1" si="33"/>
        <v>-33964</v>
      </c>
      <c r="F267" s="864">
        <f t="shared" ca="1" si="30"/>
        <v>-45829</v>
      </c>
      <c r="G267" s="1254">
        <v>50.702500000000001</v>
      </c>
      <c r="H267" s="1310">
        <f t="shared" si="31"/>
        <v>-234.0121295794093</v>
      </c>
      <c r="I267" s="2191">
        <f t="shared" ca="1" si="32"/>
        <v>-310</v>
      </c>
      <c r="J267" s="2392"/>
      <c r="L267">
        <f t="shared" ca="1" si="29"/>
        <v>1017</v>
      </c>
    </row>
    <row r="268" spans="1:12" ht="19">
      <c r="A268" s="860">
        <v>45227</v>
      </c>
      <c r="B268" s="875">
        <v>-600000</v>
      </c>
      <c r="C268" s="500">
        <f t="shared" si="28"/>
        <v>11558129</v>
      </c>
      <c r="D268" s="31" t="s">
        <v>750</v>
      </c>
      <c r="E268" s="863">
        <f t="shared" ca="1" si="33"/>
        <v>-1702135</v>
      </c>
      <c r="F268" s="864">
        <f t="shared" ca="1" si="30"/>
        <v>-2302135</v>
      </c>
      <c r="G268" s="1254">
        <v>52.072499999999998</v>
      </c>
      <c r="H268" s="1310">
        <f t="shared" si="31"/>
        <v>-11522.396658504969</v>
      </c>
      <c r="I268" s="2191">
        <f t="shared" ca="1" si="32"/>
        <v>-15203</v>
      </c>
      <c r="J268" s="2392"/>
      <c r="L268">
        <f t="shared" ca="1" si="29"/>
        <v>1012</v>
      </c>
    </row>
    <row r="269" spans="1:12" ht="19">
      <c r="A269" s="860">
        <v>45229</v>
      </c>
      <c r="B269" s="875">
        <v>-900000</v>
      </c>
      <c r="C269" s="500">
        <f t="shared" si="28"/>
        <v>10658129</v>
      </c>
      <c r="D269" s="31" t="s">
        <v>750</v>
      </c>
      <c r="E269" s="863">
        <f t="shared" ca="1" si="33"/>
        <v>-2544038</v>
      </c>
      <c r="F269" s="864">
        <f t="shared" ca="1" si="30"/>
        <v>-3444038</v>
      </c>
      <c r="G269" s="1254">
        <v>51.262500000000003</v>
      </c>
      <c r="H269" s="1310">
        <f t="shared" si="31"/>
        <v>-17556.69348939283</v>
      </c>
      <c r="I269" s="2191">
        <f t="shared" ca="1" si="32"/>
        <v>-23152</v>
      </c>
      <c r="J269" s="2392"/>
      <c r="L269">
        <f t="shared" ca="1" si="29"/>
        <v>1010</v>
      </c>
    </row>
    <row r="270" spans="1:12" ht="19">
      <c r="A270" s="860">
        <v>45229</v>
      </c>
      <c r="B270" s="1055">
        <v>56232</v>
      </c>
      <c r="C270" s="500">
        <f t="shared" si="28"/>
        <v>10714361</v>
      </c>
      <c r="D270" s="1142" t="s">
        <v>748</v>
      </c>
      <c r="E270" s="863">
        <f t="shared" si="33"/>
        <v>0</v>
      </c>
      <c r="F270" s="864">
        <f t="shared" si="30"/>
        <v>0</v>
      </c>
      <c r="G270" s="1254">
        <v>51.262500000000003</v>
      </c>
      <c r="H270" s="1310">
        <f t="shared" si="31"/>
        <v>1096.942209217264</v>
      </c>
      <c r="I270" s="2191">
        <f t="shared" si="32"/>
        <v>0</v>
      </c>
      <c r="J270" s="2392"/>
      <c r="L270">
        <f t="shared" ca="1" si="29"/>
        <v>1010</v>
      </c>
    </row>
    <row r="271" spans="1:12" ht="19">
      <c r="A271" s="860">
        <v>45230</v>
      </c>
      <c r="B271" s="875">
        <v>-275</v>
      </c>
      <c r="C271" s="500">
        <f t="shared" si="28"/>
        <v>10714086</v>
      </c>
      <c r="D271" s="31" t="s">
        <v>638</v>
      </c>
      <c r="E271" s="863">
        <f t="shared" ca="1" si="33"/>
        <v>-776</v>
      </c>
      <c r="F271" s="864">
        <f t="shared" ca="1" si="30"/>
        <v>-1051</v>
      </c>
      <c r="G271" s="1254">
        <v>51.676499999999997</v>
      </c>
      <c r="H271" s="1310">
        <f t="shared" si="31"/>
        <v>-5.3215678306386849</v>
      </c>
      <c r="I271" s="2191">
        <f t="shared" ca="1" si="32"/>
        <v>-8</v>
      </c>
      <c r="J271" s="2392"/>
      <c r="L271">
        <f t="shared" ca="1" si="29"/>
        <v>1009</v>
      </c>
    </row>
    <row r="272" spans="1:12" ht="19">
      <c r="A272" s="860">
        <v>45234</v>
      </c>
      <c r="B272" s="875">
        <v>62140</v>
      </c>
      <c r="C272" s="500">
        <f t="shared" si="28"/>
        <v>10776226</v>
      </c>
      <c r="D272" s="31" t="s">
        <v>747</v>
      </c>
      <c r="E272" s="863">
        <f t="shared" ca="1" si="33"/>
        <v>174078</v>
      </c>
      <c r="F272" s="864">
        <f t="shared" ca="1" si="30"/>
        <v>236218</v>
      </c>
      <c r="G272" s="1254">
        <v>51.397500000000001</v>
      </c>
      <c r="H272" s="1310">
        <f t="shared" si="31"/>
        <v>1209.0082202441754</v>
      </c>
      <c r="I272" s="2191">
        <f t="shared" ca="1" si="32"/>
        <v>1593</v>
      </c>
      <c r="J272" s="2392"/>
      <c r="L272">
        <f t="shared" ca="1" si="29"/>
        <v>1005</v>
      </c>
    </row>
    <row r="273" spans="1:12" ht="19">
      <c r="A273" s="860">
        <v>45234</v>
      </c>
      <c r="B273" s="875">
        <v>400000</v>
      </c>
      <c r="C273" s="500">
        <f t="shared" si="28"/>
        <v>11176226</v>
      </c>
      <c r="D273" s="31" t="s">
        <v>747</v>
      </c>
      <c r="E273" s="863">
        <f t="shared" ca="1" si="33"/>
        <v>1120548</v>
      </c>
      <c r="F273" s="864">
        <f t="shared" ca="1" si="30"/>
        <v>1520548</v>
      </c>
      <c r="G273" s="1254">
        <v>51.397500000000001</v>
      </c>
      <c r="H273" s="1310">
        <f t="shared" si="31"/>
        <v>7782.4796925920518</v>
      </c>
      <c r="I273" s="2191">
        <f t="shared" ca="1" si="32"/>
        <v>10249</v>
      </c>
      <c r="J273" s="2392"/>
      <c r="L273">
        <f t="shared" ca="1" si="29"/>
        <v>1005</v>
      </c>
    </row>
    <row r="274" spans="1:12" ht="19">
      <c r="A274" s="860">
        <v>45235</v>
      </c>
      <c r="B274" s="875">
        <v>100000</v>
      </c>
      <c r="C274" s="500">
        <f t="shared" si="28"/>
        <v>11276226</v>
      </c>
      <c r="D274" s="31" t="s">
        <v>747</v>
      </c>
      <c r="E274" s="863">
        <f t="shared" ca="1" si="33"/>
        <v>279633</v>
      </c>
      <c r="F274" s="864">
        <f t="shared" ca="1" si="30"/>
        <v>379633</v>
      </c>
      <c r="G274" s="1254">
        <v>51.422499999999999</v>
      </c>
      <c r="H274" s="1310">
        <f t="shared" si="31"/>
        <v>1944.6740240167242</v>
      </c>
      <c r="I274" s="2191">
        <f t="shared" ca="1" si="32"/>
        <v>2561</v>
      </c>
      <c r="J274" s="2392"/>
      <c r="L274">
        <f t="shared" ca="1" si="29"/>
        <v>1004</v>
      </c>
    </row>
    <row r="275" spans="1:12" ht="19">
      <c r="A275" s="860">
        <v>45241</v>
      </c>
      <c r="B275" s="875">
        <v>-38250</v>
      </c>
      <c r="C275" s="500">
        <f t="shared" si="28"/>
        <v>11237976</v>
      </c>
      <c r="D275" s="31" t="s">
        <v>638</v>
      </c>
      <c r="E275" s="863">
        <f t="shared" ca="1" si="33"/>
        <v>-105807</v>
      </c>
      <c r="F275" s="864">
        <f t="shared" ca="1" si="30"/>
        <v>-144057</v>
      </c>
      <c r="G275" s="1254">
        <v>51.422499999999999</v>
      </c>
      <c r="H275" s="1310">
        <f t="shared" si="31"/>
        <v>-743.83781418639705</v>
      </c>
      <c r="I275" s="2191">
        <f t="shared" ca="1" si="32"/>
        <v>-978</v>
      </c>
      <c r="J275" s="2392"/>
      <c r="L275">
        <f t="shared" ca="1" si="29"/>
        <v>998</v>
      </c>
    </row>
    <row r="276" spans="1:12" ht="19">
      <c r="A276" s="860">
        <v>45242</v>
      </c>
      <c r="B276" s="875">
        <v>-1200000</v>
      </c>
      <c r="C276" s="500">
        <f t="shared" si="28"/>
        <v>10037976</v>
      </c>
      <c r="D276" s="31" t="s">
        <v>750</v>
      </c>
      <c r="E276" s="863">
        <f t="shared" ca="1" si="33"/>
        <v>-3313411</v>
      </c>
      <c r="F276" s="864">
        <f t="shared" ca="1" si="30"/>
        <v>-4513411</v>
      </c>
      <c r="G276" s="1254">
        <v>51.3825</v>
      </c>
      <c r="H276" s="1310">
        <f t="shared" si="31"/>
        <v>-23354.254853306087</v>
      </c>
      <c r="I276" s="2191">
        <f t="shared" ca="1" si="32"/>
        <v>-30687</v>
      </c>
      <c r="J276" s="2392"/>
      <c r="L276">
        <f t="shared" ca="1" si="29"/>
        <v>997</v>
      </c>
    </row>
    <row r="277" spans="1:12" ht="19">
      <c r="A277" s="860">
        <v>45245</v>
      </c>
      <c r="B277" s="875">
        <v>-1050</v>
      </c>
      <c r="C277" s="500">
        <f t="shared" si="28"/>
        <v>10036926</v>
      </c>
      <c r="D277" s="31" t="s">
        <v>638</v>
      </c>
      <c r="E277" s="863">
        <f t="shared" ca="1" si="33"/>
        <v>-2884</v>
      </c>
      <c r="F277" s="864">
        <f t="shared" ca="1" si="30"/>
        <v>-3934</v>
      </c>
      <c r="G277" s="1254">
        <v>51.022500000000001</v>
      </c>
      <c r="H277" s="1310">
        <f t="shared" si="31"/>
        <v>-20.57915625459356</v>
      </c>
      <c r="I277" s="2191">
        <f t="shared" ca="1" si="32"/>
        <v>-28</v>
      </c>
      <c r="J277" s="2392"/>
      <c r="L277">
        <f t="shared" ca="1" si="29"/>
        <v>994</v>
      </c>
    </row>
    <row r="278" spans="1:12" ht="19">
      <c r="A278" s="860">
        <v>45246</v>
      </c>
      <c r="B278" s="875">
        <v>100000</v>
      </c>
      <c r="C278" s="500">
        <f t="shared" si="28"/>
        <v>10136926</v>
      </c>
      <c r="D278" s="31" t="s">
        <v>747</v>
      </c>
      <c r="E278" s="863">
        <f t="shared" ca="1" si="33"/>
        <v>274124</v>
      </c>
      <c r="F278" s="864">
        <f t="shared" ca="1" si="30"/>
        <v>374124</v>
      </c>
      <c r="G278" s="1254">
        <v>50.972499999999997</v>
      </c>
      <c r="H278" s="1310">
        <f t="shared" si="31"/>
        <v>1961.84216979744</v>
      </c>
      <c r="I278" s="2191">
        <f t="shared" ca="1" si="32"/>
        <v>2575</v>
      </c>
      <c r="J278" s="2392"/>
      <c r="L278">
        <f t="shared" ca="1" si="29"/>
        <v>993</v>
      </c>
    </row>
    <row r="279" spans="1:12" ht="19">
      <c r="A279" s="860">
        <v>45247</v>
      </c>
      <c r="B279" s="875">
        <v>100000</v>
      </c>
      <c r="C279" s="500">
        <f t="shared" si="28"/>
        <v>10236926</v>
      </c>
      <c r="D279" s="31" t="s">
        <v>747</v>
      </c>
      <c r="E279" s="863">
        <f t="shared" ca="1" si="33"/>
        <v>273628</v>
      </c>
      <c r="F279" s="864">
        <f t="shared" ca="1" si="30"/>
        <v>373628</v>
      </c>
      <c r="G279" s="1254">
        <v>50.972499999999997</v>
      </c>
      <c r="H279" s="1310">
        <f t="shared" si="31"/>
        <v>1961.84216979744</v>
      </c>
      <c r="I279" s="2191">
        <f t="shared" ca="1" si="32"/>
        <v>2575</v>
      </c>
      <c r="J279" s="2392"/>
      <c r="L279">
        <f t="shared" ca="1" si="29"/>
        <v>992</v>
      </c>
    </row>
    <row r="280" spans="1:12" ht="19">
      <c r="A280" s="860">
        <v>45251</v>
      </c>
      <c r="B280" s="875">
        <v>-1500000</v>
      </c>
      <c r="C280" s="500">
        <f t="shared" si="28"/>
        <v>8736926</v>
      </c>
      <c r="D280" s="31" t="s">
        <v>750</v>
      </c>
      <c r="E280" s="863">
        <f t="shared" ca="1" si="33"/>
        <v>-4074699</v>
      </c>
      <c r="F280" s="864">
        <f t="shared" ca="1" si="30"/>
        <v>-5574699</v>
      </c>
      <c r="G280" s="1254">
        <v>50.390500000000003</v>
      </c>
      <c r="H280" s="1310">
        <f t="shared" si="31"/>
        <v>-29767.51570236453</v>
      </c>
      <c r="I280" s="2191">
        <f t="shared" ca="1" si="32"/>
        <v>-39018</v>
      </c>
      <c r="J280" s="2392"/>
      <c r="L280">
        <f t="shared" ca="1" si="29"/>
        <v>988</v>
      </c>
    </row>
    <row r="281" spans="1:12" ht="19">
      <c r="A281" s="860">
        <v>45251</v>
      </c>
      <c r="B281" s="875">
        <v>33930</v>
      </c>
      <c r="C281" s="500">
        <f t="shared" si="28"/>
        <v>8770856</v>
      </c>
      <c r="D281" s="31" t="s">
        <v>747</v>
      </c>
      <c r="E281" s="863">
        <f t="shared" ca="1" si="33"/>
        <v>92170</v>
      </c>
      <c r="F281" s="864">
        <f t="shared" ca="1" si="30"/>
        <v>126100</v>
      </c>
      <c r="G281" s="1254">
        <v>50.390500000000003</v>
      </c>
      <c r="H281" s="1310">
        <f t="shared" si="31"/>
        <v>673.34120518748568</v>
      </c>
      <c r="I281" s="2191">
        <f t="shared" ca="1" si="32"/>
        <v>883</v>
      </c>
      <c r="J281" s="2392"/>
      <c r="L281">
        <f t="shared" ca="1" si="29"/>
        <v>988</v>
      </c>
    </row>
    <row r="282" spans="1:12" ht="19">
      <c r="A282" s="860">
        <v>45251</v>
      </c>
      <c r="B282" s="875">
        <v>5370</v>
      </c>
      <c r="C282" s="500">
        <f t="shared" si="28"/>
        <v>8776226</v>
      </c>
      <c r="D282" s="31" t="s">
        <v>747</v>
      </c>
      <c r="E282" s="863">
        <f t="shared" ca="1" si="33"/>
        <v>14588</v>
      </c>
      <c r="F282" s="864">
        <f t="shared" ca="1" si="30"/>
        <v>19958</v>
      </c>
      <c r="G282" s="1254">
        <v>50.390500000000003</v>
      </c>
      <c r="H282" s="1310">
        <f t="shared" si="31"/>
        <v>106.56770621446502</v>
      </c>
      <c r="I282" s="2191">
        <f t="shared" ca="1" si="32"/>
        <v>140</v>
      </c>
      <c r="J282" s="2392"/>
      <c r="L282">
        <f t="shared" ca="1" si="29"/>
        <v>988</v>
      </c>
    </row>
    <row r="283" spans="1:12" ht="19">
      <c r="A283" s="860">
        <v>45251</v>
      </c>
      <c r="B283" s="1055">
        <v>94193</v>
      </c>
      <c r="C283" s="500">
        <f t="shared" si="28"/>
        <v>8870419</v>
      </c>
      <c r="D283" s="1142" t="s">
        <v>748</v>
      </c>
      <c r="E283" s="863">
        <f t="shared" si="33"/>
        <v>0</v>
      </c>
      <c r="F283" s="864">
        <f t="shared" si="30"/>
        <v>0</v>
      </c>
      <c r="G283" s="1254">
        <v>50.390500000000003</v>
      </c>
      <c r="H283" s="1310">
        <f t="shared" si="31"/>
        <v>1869.2610710352149</v>
      </c>
      <c r="I283" s="2191">
        <f t="shared" si="32"/>
        <v>0</v>
      </c>
      <c r="J283" s="2392"/>
      <c r="L283">
        <f t="shared" ca="1" si="29"/>
        <v>988</v>
      </c>
    </row>
    <row r="284" spans="1:12" ht="19">
      <c r="A284" s="860">
        <v>45256</v>
      </c>
      <c r="B284" s="875">
        <v>-646</v>
      </c>
      <c r="C284" s="500">
        <f t="shared" si="28"/>
        <v>8869773</v>
      </c>
      <c r="D284" s="31" t="s">
        <v>746</v>
      </c>
      <c r="E284" s="863">
        <f t="shared" ca="1" si="33"/>
        <v>-1739</v>
      </c>
      <c r="F284" s="864">
        <f t="shared" ca="1" si="30"/>
        <v>-2385</v>
      </c>
      <c r="G284" s="1254">
        <v>50.375500000000002</v>
      </c>
      <c r="H284" s="1310">
        <f t="shared" si="31"/>
        <v>-12.823694057627218</v>
      </c>
      <c r="I284" s="2191">
        <f t="shared" ca="1" si="32"/>
        <v>-17</v>
      </c>
      <c r="J284" s="2392"/>
      <c r="L284">
        <f t="shared" ca="1" si="29"/>
        <v>983</v>
      </c>
    </row>
    <row r="285" spans="1:12" ht="19">
      <c r="A285" s="860">
        <v>45266</v>
      </c>
      <c r="B285" s="875">
        <v>-1000696</v>
      </c>
      <c r="C285" s="500">
        <f t="shared" si="28"/>
        <v>7869077</v>
      </c>
      <c r="D285" s="31" t="s">
        <v>750</v>
      </c>
      <c r="E285" s="863">
        <f t="shared" ca="1" si="33"/>
        <v>-2644967</v>
      </c>
      <c r="F285" s="864">
        <f t="shared" ca="1" si="30"/>
        <v>-3645663</v>
      </c>
      <c r="G285" s="1254">
        <v>50.468000000000004</v>
      </c>
      <c r="H285" s="1310">
        <f t="shared" si="31"/>
        <v>-19828.326860584923</v>
      </c>
      <c r="I285" s="2191">
        <f t="shared" ca="1" si="32"/>
        <v>-25884</v>
      </c>
      <c r="J285" s="2392"/>
      <c r="K285" t="s">
        <v>751</v>
      </c>
      <c r="L285">
        <f t="shared" ca="1" si="29"/>
        <v>973</v>
      </c>
    </row>
    <row r="286" spans="1:12" ht="19">
      <c r="A286" s="860">
        <v>45266</v>
      </c>
      <c r="B286" s="875">
        <v>80000</v>
      </c>
      <c r="C286" s="500">
        <f t="shared" si="28"/>
        <v>7949077</v>
      </c>
      <c r="D286" s="31" t="s">
        <v>747</v>
      </c>
      <c r="E286" s="863">
        <f t="shared" ca="1" si="33"/>
        <v>211451</v>
      </c>
      <c r="F286" s="864">
        <f t="shared" ca="1" si="30"/>
        <v>291451</v>
      </c>
      <c r="G286" s="1254">
        <v>50.468000000000004</v>
      </c>
      <c r="H286" s="1310">
        <f t="shared" si="31"/>
        <v>1585.162875485456</v>
      </c>
      <c r="I286" s="2191">
        <f t="shared" ca="1" si="32"/>
        <v>2070</v>
      </c>
      <c r="J286" s="2392"/>
      <c r="L286">
        <f t="shared" ca="1" si="29"/>
        <v>973</v>
      </c>
    </row>
    <row r="287" spans="1:12" ht="19">
      <c r="A287" s="860">
        <v>45266</v>
      </c>
      <c r="B287" s="875">
        <v>100000</v>
      </c>
      <c r="C287" s="500">
        <f t="shared" si="28"/>
        <v>8049077</v>
      </c>
      <c r="D287" s="31" t="s">
        <v>747</v>
      </c>
      <c r="E287" s="863">
        <f t="shared" ca="1" si="33"/>
        <v>264313</v>
      </c>
      <c r="F287" s="864">
        <f t="shared" ca="1" si="30"/>
        <v>364313</v>
      </c>
      <c r="G287" s="1254">
        <v>50.468000000000004</v>
      </c>
      <c r="H287" s="1310">
        <f t="shared" si="31"/>
        <v>1981.4535943568201</v>
      </c>
      <c r="I287" s="2191">
        <f t="shared" ca="1" si="32"/>
        <v>2587</v>
      </c>
      <c r="J287" s="2392"/>
      <c r="L287">
        <f t="shared" ca="1" si="29"/>
        <v>973</v>
      </c>
    </row>
    <row r="288" spans="1:12" ht="19">
      <c r="A288" s="860">
        <v>45267</v>
      </c>
      <c r="B288" s="875">
        <v>150000</v>
      </c>
      <c r="C288" s="500">
        <f t="shared" si="28"/>
        <v>8199077</v>
      </c>
      <c r="D288" s="31" t="s">
        <v>747</v>
      </c>
      <c r="E288" s="863">
        <f t="shared" ca="1" si="33"/>
        <v>395744</v>
      </c>
      <c r="F288" s="864">
        <f t="shared" ca="1" si="30"/>
        <v>545744</v>
      </c>
      <c r="G288" s="1254">
        <v>50.518000000000001</v>
      </c>
      <c r="H288" s="1310">
        <f t="shared" si="31"/>
        <v>2969.2386872006018</v>
      </c>
      <c r="I288" s="2191">
        <f t="shared" ca="1" si="32"/>
        <v>3875</v>
      </c>
      <c r="J288" s="2392"/>
      <c r="L288">
        <f t="shared" ca="1" si="29"/>
        <v>972</v>
      </c>
    </row>
    <row r="289" spans="1:12" ht="19">
      <c r="A289" s="860">
        <v>45267</v>
      </c>
      <c r="B289" s="875">
        <v>20000</v>
      </c>
      <c r="C289" s="500">
        <f t="shared" si="28"/>
        <v>8219077</v>
      </c>
      <c r="D289" s="31" t="s">
        <v>747</v>
      </c>
      <c r="E289" s="863">
        <f t="shared" ca="1" si="33"/>
        <v>52766</v>
      </c>
      <c r="F289" s="864">
        <f t="shared" ca="1" si="30"/>
        <v>72766</v>
      </c>
      <c r="G289" s="1254">
        <v>50.518000000000001</v>
      </c>
      <c r="H289" s="1310">
        <f t="shared" si="31"/>
        <v>395.89849162674687</v>
      </c>
      <c r="I289" s="2191">
        <f t="shared" ca="1" si="32"/>
        <v>517</v>
      </c>
      <c r="J289" s="2392"/>
      <c r="L289">
        <f t="shared" ca="1" si="29"/>
        <v>972</v>
      </c>
    </row>
    <row r="290" spans="1:12" ht="19">
      <c r="A290" s="860">
        <v>45268</v>
      </c>
      <c r="B290" s="875">
        <v>180000</v>
      </c>
      <c r="C290" s="500">
        <f t="shared" si="28"/>
        <v>8399077</v>
      </c>
      <c r="D290" s="31" t="s">
        <v>747</v>
      </c>
      <c r="E290" s="863">
        <f t="shared" ca="1" si="33"/>
        <v>474023</v>
      </c>
      <c r="F290" s="864">
        <f t="shared" ca="1" si="30"/>
        <v>654023</v>
      </c>
      <c r="G290" s="1254">
        <v>50.518000000000001</v>
      </c>
      <c r="H290" s="1310">
        <f t="shared" si="31"/>
        <v>3563.0864246407223</v>
      </c>
      <c r="I290" s="2191">
        <f t="shared" ca="1" si="32"/>
        <v>4649</v>
      </c>
      <c r="J290" s="2392"/>
      <c r="L290">
        <f t="shared" ca="1" si="29"/>
        <v>971</v>
      </c>
    </row>
    <row r="291" spans="1:12" ht="19">
      <c r="A291" s="860">
        <v>45269</v>
      </c>
      <c r="B291" s="875">
        <v>-3000000</v>
      </c>
      <c r="C291" s="500">
        <f t="shared" si="28"/>
        <v>5399077</v>
      </c>
      <c r="D291" s="31" t="s">
        <v>750</v>
      </c>
      <c r="E291" s="863">
        <f t="shared" ca="1" si="33"/>
        <v>-7885902</v>
      </c>
      <c r="F291" s="864">
        <f t="shared" ca="1" si="30"/>
        <v>-10885902</v>
      </c>
      <c r="G291" s="1254">
        <v>50.532499999999999</v>
      </c>
      <c r="H291" s="1310">
        <f t="shared" si="31"/>
        <v>-59367.733636768418</v>
      </c>
      <c r="I291" s="2191">
        <f t="shared" ca="1" si="32"/>
        <v>-77433</v>
      </c>
      <c r="J291" s="2392"/>
      <c r="L291">
        <f t="shared" ca="1" si="29"/>
        <v>970</v>
      </c>
    </row>
    <row r="292" spans="1:12" ht="19">
      <c r="A292" s="860">
        <v>45281</v>
      </c>
      <c r="B292" s="1055">
        <v>27039</v>
      </c>
      <c r="C292" s="500">
        <f t="shared" si="28"/>
        <v>5426116</v>
      </c>
      <c r="D292" s="1142" t="s">
        <v>748</v>
      </c>
      <c r="E292" s="863">
        <f t="shared" si="33"/>
        <v>0</v>
      </c>
      <c r="F292" s="864">
        <f t="shared" si="30"/>
        <v>0</v>
      </c>
      <c r="G292" s="1254">
        <v>49.991999999999997</v>
      </c>
      <c r="H292" s="1310">
        <f t="shared" si="31"/>
        <v>540.86653864618347</v>
      </c>
      <c r="I292" s="2191">
        <f t="shared" si="32"/>
        <v>0</v>
      </c>
      <c r="J292" s="2392"/>
      <c r="L292">
        <f t="shared" ca="1" si="29"/>
        <v>958</v>
      </c>
    </row>
    <row r="293" spans="1:12" ht="19">
      <c r="A293" s="860">
        <v>45291</v>
      </c>
      <c r="B293" s="875">
        <v>-5834</v>
      </c>
      <c r="C293" s="500">
        <f t="shared" si="28"/>
        <v>5420282</v>
      </c>
      <c r="D293" s="31" t="s">
        <v>638</v>
      </c>
      <c r="E293" s="863">
        <f t="shared" ca="1" si="33"/>
        <v>-14726</v>
      </c>
      <c r="F293" s="864">
        <f t="shared" ca="1" si="30"/>
        <v>-20560</v>
      </c>
      <c r="G293" s="1254">
        <v>50.517000000000003</v>
      </c>
      <c r="H293" s="1310">
        <f t="shared" si="31"/>
        <v>-115.48587604172852</v>
      </c>
      <c r="I293" s="2191">
        <f t="shared" ca="1" si="32"/>
        <v>-150</v>
      </c>
      <c r="J293" s="2392"/>
      <c r="K293" t="s">
        <v>752</v>
      </c>
      <c r="L293">
        <f t="shared" ca="1" si="29"/>
        <v>948</v>
      </c>
    </row>
    <row r="294" spans="1:12" ht="19">
      <c r="A294" s="860">
        <v>45291</v>
      </c>
      <c r="B294" s="875">
        <v>86887</v>
      </c>
      <c r="C294" s="500">
        <f t="shared" si="28"/>
        <v>5507169</v>
      </c>
      <c r="D294" s="31" t="s">
        <v>747</v>
      </c>
      <c r="E294" s="863">
        <f t="shared" ca="1" si="33"/>
        <v>219312</v>
      </c>
      <c r="F294" s="864">
        <f t="shared" ca="1" si="30"/>
        <v>306199</v>
      </c>
      <c r="G294" s="1254">
        <v>50.517000000000003</v>
      </c>
      <c r="H294" s="1310">
        <f t="shared" si="31"/>
        <v>1719.9556584912009</v>
      </c>
      <c r="I294" s="2191">
        <f t="shared" ca="1" si="32"/>
        <v>2230</v>
      </c>
      <c r="J294" s="2392"/>
      <c r="K294" t="s">
        <v>752</v>
      </c>
      <c r="L294">
        <f t="shared" ca="1" si="29"/>
        <v>948</v>
      </c>
    </row>
    <row r="295" spans="1:12" ht="19">
      <c r="A295" s="860">
        <v>45293</v>
      </c>
      <c r="B295" s="1055">
        <v>71060</v>
      </c>
      <c r="C295" s="500">
        <f t="shared" si="28"/>
        <v>5578229</v>
      </c>
      <c r="D295" s="1142" t="s">
        <v>753</v>
      </c>
      <c r="E295" s="863">
        <f t="shared" ca="1" si="33"/>
        <v>178698</v>
      </c>
      <c r="F295" s="864">
        <f t="shared" ca="1" si="30"/>
        <v>249758</v>
      </c>
      <c r="G295" s="1254">
        <v>50.5625</v>
      </c>
      <c r="H295" s="1310">
        <f t="shared" si="31"/>
        <v>1405.389369592089</v>
      </c>
      <c r="I295" s="2191">
        <f t="shared" ca="1" si="32"/>
        <v>1822</v>
      </c>
      <c r="J295" s="2392"/>
      <c r="K295" t="s">
        <v>754</v>
      </c>
      <c r="L295">
        <f t="shared" ca="1" si="29"/>
        <v>946</v>
      </c>
    </row>
    <row r="296" spans="1:12" ht="19">
      <c r="A296" s="860">
        <v>45293</v>
      </c>
      <c r="B296" s="875">
        <v>-62931</v>
      </c>
      <c r="C296" s="500">
        <f t="shared" si="28"/>
        <v>5515298</v>
      </c>
      <c r="D296" s="31" t="s">
        <v>750</v>
      </c>
      <c r="E296" s="863">
        <f t="shared" ca="1" si="33"/>
        <v>-158256</v>
      </c>
      <c r="F296" s="864">
        <f t="shared" ca="1" si="30"/>
        <v>-221187</v>
      </c>
      <c r="G296" s="1254">
        <v>50.5625</v>
      </c>
      <c r="H296" s="1310">
        <f t="shared" si="31"/>
        <v>-1244.6180469715698</v>
      </c>
      <c r="I296" s="2191">
        <f t="shared" ca="1" si="32"/>
        <v>-1613</v>
      </c>
      <c r="J296" s="2392"/>
      <c r="L296">
        <f t="shared" ca="1" si="29"/>
        <v>946</v>
      </c>
    </row>
    <row r="297" spans="1:12" ht="19">
      <c r="A297" s="860">
        <v>45298</v>
      </c>
      <c r="B297" s="875">
        <v>-60500</v>
      </c>
      <c r="C297" s="500">
        <f t="shared" si="28"/>
        <v>5454798</v>
      </c>
      <c r="D297" s="31" t="s">
        <v>638</v>
      </c>
      <c r="E297" s="863">
        <f t="shared" ca="1" si="33"/>
        <v>-150735</v>
      </c>
      <c r="F297" s="864">
        <f t="shared" ca="1" si="30"/>
        <v>-211235</v>
      </c>
      <c r="G297" s="1254">
        <v>50.772500000000001</v>
      </c>
      <c r="H297" s="1310">
        <f t="shared" si="31"/>
        <v>-1191.5899354965779</v>
      </c>
      <c r="I297" s="2191">
        <f t="shared" ca="1" si="32"/>
        <v>-1542</v>
      </c>
      <c r="J297" s="2392"/>
      <c r="L297">
        <f t="shared" ca="1" si="29"/>
        <v>941</v>
      </c>
    </row>
    <row r="298" spans="1:12" ht="19">
      <c r="A298" s="860">
        <v>45305</v>
      </c>
      <c r="B298" s="875">
        <v>-1008133</v>
      </c>
      <c r="C298" s="500">
        <f t="shared" si="28"/>
        <v>4446665</v>
      </c>
      <c r="D298" s="31" t="s">
        <v>750</v>
      </c>
      <c r="E298" s="863">
        <f t="shared" ca="1" si="33"/>
        <v>-2479149</v>
      </c>
      <c r="F298" s="864">
        <f t="shared" ca="1" si="30"/>
        <v>-3487282</v>
      </c>
      <c r="G298" s="1254">
        <v>52.564999999999998</v>
      </c>
      <c r="H298" s="1310">
        <f t="shared" si="31"/>
        <v>-19178.788167031296</v>
      </c>
      <c r="I298" s="2191">
        <f t="shared" ca="1" si="32"/>
        <v>-24770</v>
      </c>
      <c r="J298" s="2392"/>
      <c r="K298" t="s">
        <v>751</v>
      </c>
      <c r="L298">
        <f t="shared" ca="1" si="29"/>
        <v>934</v>
      </c>
    </row>
    <row r="299" spans="1:12" ht="19">
      <c r="A299" s="860">
        <v>45307</v>
      </c>
      <c r="B299" s="875">
        <v>-29500</v>
      </c>
      <c r="C299" s="500">
        <f t="shared" si="28"/>
        <v>4417165</v>
      </c>
      <c r="D299" s="31" t="s">
        <v>750</v>
      </c>
      <c r="E299" s="863">
        <f t="shared" ca="1" si="33"/>
        <v>-72275</v>
      </c>
      <c r="F299" s="864">
        <f t="shared" ca="1" si="30"/>
        <v>-101775</v>
      </c>
      <c r="G299" s="1254">
        <v>52.777500000000003</v>
      </c>
      <c r="H299" s="1310">
        <f t="shared" si="31"/>
        <v>-558.9503102647908</v>
      </c>
      <c r="I299" s="2191">
        <f t="shared" ca="1" si="32"/>
        <v>-722</v>
      </c>
      <c r="J299" s="2392"/>
      <c r="L299">
        <f t="shared" ca="1" si="29"/>
        <v>932</v>
      </c>
    </row>
    <row r="300" spans="1:12" ht="19">
      <c r="A300" s="860">
        <v>45311</v>
      </c>
      <c r="B300" s="1055">
        <v>2416</v>
      </c>
      <c r="C300" s="500">
        <f t="shared" si="28"/>
        <v>4419581</v>
      </c>
      <c r="D300" s="1142" t="s">
        <v>748</v>
      </c>
      <c r="E300" s="863">
        <f t="shared" si="33"/>
        <v>0</v>
      </c>
      <c r="F300" s="864">
        <f t="shared" si="30"/>
        <v>0</v>
      </c>
      <c r="G300" s="1254">
        <v>53.953499999999998</v>
      </c>
      <c r="H300" s="1310">
        <f t="shared" si="31"/>
        <v>44.77930069411623</v>
      </c>
      <c r="I300" s="2191">
        <f t="shared" si="32"/>
        <v>0</v>
      </c>
      <c r="J300" s="2392"/>
      <c r="L300">
        <f t="shared" ca="1" si="29"/>
        <v>928</v>
      </c>
    </row>
    <row r="301" spans="1:12" ht="19">
      <c r="A301" s="860">
        <v>45314</v>
      </c>
      <c r="B301" s="875">
        <v>100000</v>
      </c>
      <c r="C301" s="500">
        <f t="shared" si="28"/>
        <v>4519581</v>
      </c>
      <c r="D301" s="31" t="s">
        <v>747</v>
      </c>
      <c r="E301" s="863">
        <f t="shared" ca="1" si="33"/>
        <v>241803</v>
      </c>
      <c r="F301" s="864">
        <f t="shared" ca="1" si="30"/>
        <v>341803</v>
      </c>
      <c r="G301" s="1254">
        <v>54.493000000000002</v>
      </c>
      <c r="H301" s="1310">
        <f t="shared" si="31"/>
        <v>1835.0980859926963</v>
      </c>
      <c r="I301" s="2191">
        <f t="shared" ca="1" si="32"/>
        <v>2365</v>
      </c>
      <c r="J301" s="2392"/>
      <c r="L301">
        <f t="shared" ca="1" si="29"/>
        <v>925</v>
      </c>
    </row>
    <row r="302" spans="1:12" ht="19">
      <c r="A302" s="860">
        <v>45315</v>
      </c>
      <c r="B302" s="875">
        <v>1400000</v>
      </c>
      <c r="C302" s="500">
        <f t="shared" si="28"/>
        <v>5919581</v>
      </c>
      <c r="D302" s="31" t="s">
        <v>747</v>
      </c>
      <c r="E302" s="863">
        <f t="shared" ca="1" si="33"/>
        <v>3378887</v>
      </c>
      <c r="F302" s="864">
        <f t="shared" ca="1" si="30"/>
        <v>4778887</v>
      </c>
      <c r="G302" s="1254">
        <v>55.267499999999998</v>
      </c>
      <c r="H302" s="1310">
        <f t="shared" si="31"/>
        <v>25331.343013525129</v>
      </c>
      <c r="I302" s="2191">
        <f t="shared" ca="1" si="32"/>
        <v>32626</v>
      </c>
      <c r="J302" s="2392"/>
      <c r="L302">
        <f t="shared" ca="1" si="29"/>
        <v>924</v>
      </c>
    </row>
    <row r="303" spans="1:12" ht="19">
      <c r="A303" s="860">
        <v>45321</v>
      </c>
      <c r="B303" s="875">
        <v>-263253</v>
      </c>
      <c r="C303" s="500">
        <f t="shared" si="28"/>
        <v>5656328</v>
      </c>
      <c r="D303" s="31" t="s">
        <v>750</v>
      </c>
      <c r="E303" s="863">
        <f t="shared" ca="1" si="33"/>
        <v>-628223</v>
      </c>
      <c r="F303" s="864">
        <f t="shared" ca="1" si="30"/>
        <v>-891476</v>
      </c>
      <c r="G303" s="1254">
        <v>58.125500000000002</v>
      </c>
      <c r="H303" s="1310">
        <f t="shared" si="31"/>
        <v>-4529.0449114416215</v>
      </c>
      <c r="I303" s="2191">
        <f t="shared" ca="1" si="32"/>
        <v>-5824</v>
      </c>
      <c r="J303" s="2392"/>
      <c r="K303" t="s">
        <v>755</v>
      </c>
      <c r="L303">
        <f t="shared" ca="1" si="29"/>
        <v>918</v>
      </c>
    </row>
    <row r="304" spans="1:12" ht="19">
      <c r="A304" s="860">
        <v>45321</v>
      </c>
      <c r="B304" s="875">
        <v>-106747</v>
      </c>
      <c r="C304" s="500">
        <f t="shared" si="28"/>
        <v>5549581</v>
      </c>
      <c r="D304" s="31" t="s">
        <v>750</v>
      </c>
      <c r="E304" s="863">
        <f t="shared" ca="1" si="33"/>
        <v>-254740</v>
      </c>
      <c r="F304" s="864">
        <f t="shared" ca="1" si="30"/>
        <v>-361487</v>
      </c>
      <c r="G304" s="1254">
        <v>58.125500000000002</v>
      </c>
      <c r="H304" s="1310">
        <f t="shared" si="31"/>
        <v>-1836.4917291034055</v>
      </c>
      <c r="I304" s="2191">
        <f t="shared" ca="1" si="32"/>
        <v>-2362</v>
      </c>
      <c r="J304" s="2392"/>
      <c r="K304" t="s">
        <v>755</v>
      </c>
      <c r="L304">
        <f t="shared" ca="1" si="29"/>
        <v>918</v>
      </c>
    </row>
    <row r="305" spans="1:12" ht="19">
      <c r="A305" s="860">
        <v>45323</v>
      </c>
      <c r="B305" s="875">
        <v>130000</v>
      </c>
      <c r="C305" s="500">
        <f t="shared" si="28"/>
        <v>5679581</v>
      </c>
      <c r="D305" s="31" t="s">
        <v>747</v>
      </c>
      <c r="E305" s="863">
        <f t="shared" ca="1" si="33"/>
        <v>309062</v>
      </c>
      <c r="F305" s="864">
        <f t="shared" ca="1" si="30"/>
        <v>439062</v>
      </c>
      <c r="G305" s="1254">
        <v>57.555149999999998</v>
      </c>
      <c r="H305" s="1310">
        <f t="shared" si="31"/>
        <v>2258.7031742598188</v>
      </c>
      <c r="I305" s="2191">
        <f t="shared" ca="1" si="32"/>
        <v>2903</v>
      </c>
      <c r="J305" s="2392"/>
      <c r="L305">
        <f t="shared" ca="1" si="29"/>
        <v>916</v>
      </c>
    </row>
    <row r="306" spans="1:12" ht="19">
      <c r="A306" s="860">
        <v>45324</v>
      </c>
      <c r="B306" s="875">
        <v>10000000</v>
      </c>
      <c r="C306" s="500">
        <f t="shared" si="28"/>
        <v>15679581</v>
      </c>
      <c r="D306" s="31" t="s">
        <v>747</v>
      </c>
      <c r="E306" s="863">
        <f t="shared" ca="1" si="33"/>
        <v>23729131</v>
      </c>
      <c r="F306" s="864">
        <f t="shared" ca="1" si="30"/>
        <v>33729131</v>
      </c>
      <c r="G306" s="1254">
        <v>57.555149999999998</v>
      </c>
      <c r="H306" s="1310">
        <f t="shared" si="31"/>
        <v>173746.39801998605</v>
      </c>
      <c r="I306" s="2191">
        <f t="shared" ca="1" si="32"/>
        <v>223228</v>
      </c>
      <c r="J306" s="2392"/>
      <c r="L306">
        <f t="shared" ca="1" si="29"/>
        <v>915</v>
      </c>
    </row>
    <row r="307" spans="1:12" ht="19">
      <c r="A307" s="860">
        <v>45324</v>
      </c>
      <c r="B307" s="875">
        <v>5000000</v>
      </c>
      <c r="C307" s="500">
        <f t="shared" si="28"/>
        <v>20679581</v>
      </c>
      <c r="D307" s="31" t="s">
        <v>747</v>
      </c>
      <c r="E307" s="863">
        <f t="shared" ca="1" si="33"/>
        <v>11864566</v>
      </c>
      <c r="F307" s="864">
        <f t="shared" ca="1" si="30"/>
        <v>16864566</v>
      </c>
      <c r="G307" s="1254">
        <v>57.555149999999998</v>
      </c>
      <c r="H307" s="1310">
        <f t="shared" si="31"/>
        <v>86873.199009993026</v>
      </c>
      <c r="I307" s="2191">
        <f t="shared" ca="1" si="32"/>
        <v>111614</v>
      </c>
      <c r="J307" s="2392"/>
      <c r="L307">
        <f t="shared" ca="1" si="29"/>
        <v>915</v>
      </c>
    </row>
    <row r="308" spans="1:12" ht="19">
      <c r="A308" s="860">
        <v>45324</v>
      </c>
      <c r="B308" s="875">
        <v>4600000</v>
      </c>
      <c r="C308" s="500">
        <f t="shared" si="28"/>
        <v>25279581</v>
      </c>
      <c r="D308" s="31" t="s">
        <v>747</v>
      </c>
      <c r="E308" s="863">
        <f t="shared" ca="1" si="33"/>
        <v>10915400</v>
      </c>
      <c r="F308" s="864">
        <f t="shared" ca="1" si="30"/>
        <v>15515400</v>
      </c>
      <c r="G308" s="1254">
        <v>57.555149999999998</v>
      </c>
      <c r="H308" s="1310">
        <f t="shared" si="31"/>
        <v>79923.343089193586</v>
      </c>
      <c r="I308" s="2191">
        <f t="shared" ca="1" si="32"/>
        <v>102685</v>
      </c>
      <c r="J308" s="2392"/>
      <c r="L308">
        <f t="shared" ca="1" si="29"/>
        <v>915</v>
      </c>
    </row>
    <row r="309" spans="1:12" ht="19">
      <c r="A309" s="860">
        <v>45327</v>
      </c>
      <c r="B309" s="875">
        <v>200000</v>
      </c>
      <c r="C309" s="500">
        <f t="shared" si="28"/>
        <v>25479581</v>
      </c>
      <c r="D309" s="31" t="s">
        <v>747</v>
      </c>
      <c r="E309" s="863">
        <f t="shared" ca="1" si="33"/>
        <v>471899</v>
      </c>
      <c r="F309" s="864">
        <f t="shared" ca="1" si="30"/>
        <v>671899</v>
      </c>
      <c r="G309" s="1254">
        <v>55.139000000000003</v>
      </c>
      <c r="H309" s="1310">
        <f t="shared" si="31"/>
        <v>3627.1967210141638</v>
      </c>
      <c r="I309" s="2191">
        <f t="shared" ca="1" si="32"/>
        <v>4657</v>
      </c>
      <c r="J309" s="2392"/>
      <c r="L309">
        <f t="shared" ca="1" si="29"/>
        <v>912</v>
      </c>
    </row>
    <row r="310" spans="1:12" ht="19">
      <c r="A310" s="860">
        <v>45328</v>
      </c>
      <c r="B310" s="875">
        <v>-18000000</v>
      </c>
      <c r="C310" s="500">
        <f t="shared" si="28"/>
        <v>7479581</v>
      </c>
      <c r="D310" s="31" t="s">
        <v>750</v>
      </c>
      <c r="E310" s="863">
        <f t="shared" ca="1" si="33"/>
        <v>-42390612</v>
      </c>
      <c r="F310" s="864">
        <f t="shared" ca="1" si="30"/>
        <v>-60390612</v>
      </c>
      <c r="G310" s="1254">
        <v>55.622399999999999</v>
      </c>
      <c r="H310" s="1310">
        <f t="shared" si="31"/>
        <v>-323610.63168795308</v>
      </c>
      <c r="I310" s="2191">
        <f t="shared" ca="1" si="32"/>
        <v>-415316</v>
      </c>
      <c r="J310" s="2392"/>
      <c r="L310">
        <f t="shared" ca="1" si="29"/>
        <v>911</v>
      </c>
    </row>
    <row r="311" spans="1:12" ht="19">
      <c r="A311" s="860">
        <v>45336</v>
      </c>
      <c r="B311" s="875">
        <v>-2600000</v>
      </c>
      <c r="C311" s="500">
        <f t="shared" si="28"/>
        <v>4879581</v>
      </c>
      <c r="D311" s="31" t="s">
        <v>750</v>
      </c>
      <c r="E311" s="863">
        <f t="shared" ca="1" si="33"/>
        <v>-6030856</v>
      </c>
      <c r="F311" s="864">
        <f t="shared" ca="1" si="30"/>
        <v>-8630856</v>
      </c>
      <c r="G311" s="1254">
        <v>55.536000000000001</v>
      </c>
      <c r="H311" s="1310">
        <f t="shared" si="31"/>
        <v>-46816.479400749064</v>
      </c>
      <c r="I311" s="2191">
        <f t="shared" ca="1" si="32"/>
        <v>-59952</v>
      </c>
      <c r="J311" s="2392"/>
      <c r="L311">
        <f t="shared" ca="1" si="29"/>
        <v>903</v>
      </c>
    </row>
    <row r="312" spans="1:12" ht="19">
      <c r="A312" s="860">
        <v>45338</v>
      </c>
      <c r="B312" s="875">
        <v>300000</v>
      </c>
      <c r="C312" s="500">
        <f t="shared" si="28"/>
        <v>5179581</v>
      </c>
      <c r="D312" s="31" t="s">
        <v>747</v>
      </c>
      <c r="E312" s="863">
        <f t="shared" ca="1" si="33"/>
        <v>693225</v>
      </c>
      <c r="F312" s="864">
        <f t="shared" ca="1" si="30"/>
        <v>993225</v>
      </c>
      <c r="G312" s="1254">
        <v>55.536000000000001</v>
      </c>
      <c r="H312" s="1310">
        <f t="shared" si="31"/>
        <v>5401.9014693171994</v>
      </c>
      <c r="I312" s="2191">
        <f t="shared" ca="1" si="32"/>
        <v>6914</v>
      </c>
      <c r="J312" s="2392"/>
      <c r="L312">
        <f t="shared" ca="1" si="29"/>
        <v>901</v>
      </c>
    </row>
    <row r="313" spans="1:12" ht="19">
      <c r="A313" s="860">
        <v>45341</v>
      </c>
      <c r="B313" s="1055">
        <v>46742</v>
      </c>
      <c r="C313" s="500">
        <f t="shared" si="28"/>
        <v>5226323</v>
      </c>
      <c r="D313" s="1142" t="s">
        <v>748</v>
      </c>
      <c r="E313" s="863">
        <f t="shared" si="33"/>
        <v>0</v>
      </c>
      <c r="F313" s="864">
        <f t="shared" si="30"/>
        <v>0</v>
      </c>
      <c r="G313" s="1254">
        <v>57.052500000000002</v>
      </c>
      <c r="H313" s="1310">
        <f t="shared" si="31"/>
        <v>819.28048727049645</v>
      </c>
      <c r="I313" s="2191">
        <f t="shared" si="32"/>
        <v>0</v>
      </c>
      <c r="J313" s="2392"/>
      <c r="L313">
        <f t="shared" ca="1" si="29"/>
        <v>898</v>
      </c>
    </row>
    <row r="314" spans="1:12" ht="19">
      <c r="A314" s="860">
        <v>45344</v>
      </c>
      <c r="B314" s="875">
        <v>250000</v>
      </c>
      <c r="C314" s="500">
        <f t="shared" si="28"/>
        <v>5476323</v>
      </c>
      <c r="D314" s="31" t="s">
        <v>747</v>
      </c>
      <c r="E314" s="863">
        <f t="shared" ca="1" si="33"/>
        <v>571116</v>
      </c>
      <c r="F314" s="864">
        <f t="shared" ca="1" si="30"/>
        <v>821116</v>
      </c>
      <c r="G314" s="1254">
        <v>57.200499999999998</v>
      </c>
      <c r="H314" s="1310">
        <f t="shared" si="31"/>
        <v>4370.5911661611353</v>
      </c>
      <c r="I314" s="2191">
        <f t="shared" ca="1" si="32"/>
        <v>5585</v>
      </c>
      <c r="J314" s="2392"/>
      <c r="L314">
        <f t="shared" ca="1" si="29"/>
        <v>895</v>
      </c>
    </row>
    <row r="315" spans="1:12" ht="19">
      <c r="A315" s="860">
        <v>45349</v>
      </c>
      <c r="B315" s="875">
        <v>-59428</v>
      </c>
      <c r="C315" s="500">
        <f t="shared" si="28"/>
        <v>5416895</v>
      </c>
      <c r="D315" s="31" t="s">
        <v>638</v>
      </c>
      <c r="E315" s="863">
        <f t="shared" ca="1" si="33"/>
        <v>-134469</v>
      </c>
      <c r="F315" s="864">
        <f t="shared" ca="1" si="30"/>
        <v>-193897</v>
      </c>
      <c r="G315" s="1254">
        <v>58.317999999999998</v>
      </c>
      <c r="H315" s="1310">
        <f t="shared" si="31"/>
        <v>-1019.0335745395932</v>
      </c>
      <c r="I315" s="2191">
        <f t="shared" ca="1" si="32"/>
        <v>-1301</v>
      </c>
      <c r="J315" s="2392"/>
      <c r="L315">
        <f t="shared" ca="1" si="29"/>
        <v>890</v>
      </c>
    </row>
    <row r="316" spans="1:12" ht="19">
      <c r="A316" s="860">
        <v>45349</v>
      </c>
      <c r="B316" s="875">
        <v>100000</v>
      </c>
      <c r="C316" s="500">
        <f t="shared" si="28"/>
        <v>5516895</v>
      </c>
      <c r="D316" s="31" t="s">
        <v>747</v>
      </c>
      <c r="E316" s="863">
        <f t="shared" ca="1" si="33"/>
        <v>226272</v>
      </c>
      <c r="F316" s="864">
        <f t="shared" ca="1" si="30"/>
        <v>326272</v>
      </c>
      <c r="G316" s="1254">
        <v>58.317999999999998</v>
      </c>
      <c r="H316" s="1310">
        <f t="shared" si="31"/>
        <v>1714.7364450084024</v>
      </c>
      <c r="I316" s="2191">
        <f t="shared" ca="1" si="32"/>
        <v>2189</v>
      </c>
      <c r="J316" s="2392"/>
      <c r="L316">
        <f t="shared" ca="1" si="29"/>
        <v>890</v>
      </c>
    </row>
    <row r="317" spans="1:12" ht="19">
      <c r="A317" s="860">
        <v>45350</v>
      </c>
      <c r="B317" s="875">
        <v>100000</v>
      </c>
      <c r="C317" s="500">
        <f t="shared" si="28"/>
        <v>5616895</v>
      </c>
      <c r="D317" s="31" t="s">
        <v>747</v>
      </c>
      <c r="E317" s="863">
        <f t="shared" ca="1" si="33"/>
        <v>225838</v>
      </c>
      <c r="F317" s="864">
        <f t="shared" ca="1" si="30"/>
        <v>325838</v>
      </c>
      <c r="G317" s="1254">
        <v>58.393000000000001</v>
      </c>
      <c r="H317" s="1310">
        <f t="shared" si="31"/>
        <v>1712.5340366139776</v>
      </c>
      <c r="I317" s="2191">
        <f t="shared" ca="1" si="32"/>
        <v>2185</v>
      </c>
      <c r="J317" s="2392"/>
      <c r="L317">
        <f t="shared" ca="1" si="29"/>
        <v>889</v>
      </c>
    </row>
    <row r="318" spans="1:12" ht="19">
      <c r="A318" s="860">
        <v>45350</v>
      </c>
      <c r="B318" s="875">
        <v>59428</v>
      </c>
      <c r="C318" s="500">
        <f t="shared" si="28"/>
        <v>5676323</v>
      </c>
      <c r="D318" s="31" t="s">
        <v>747</v>
      </c>
      <c r="E318" s="863">
        <f t="shared" ca="1" si="33"/>
        <v>134212</v>
      </c>
      <c r="F318" s="864">
        <f t="shared" ca="1" si="30"/>
        <v>193640</v>
      </c>
      <c r="G318" s="1254">
        <v>58.393000000000001</v>
      </c>
      <c r="H318" s="1310">
        <f t="shared" si="31"/>
        <v>1017.7247272789547</v>
      </c>
      <c r="I318" s="2191">
        <f t="shared" ca="1" si="32"/>
        <v>1299</v>
      </c>
      <c r="J318" s="2392"/>
      <c r="L318">
        <f t="shared" ca="1" si="29"/>
        <v>889</v>
      </c>
    </row>
    <row r="319" spans="1:12" ht="19">
      <c r="A319" s="860">
        <v>45351</v>
      </c>
      <c r="B319" s="875">
        <v>50000</v>
      </c>
      <c r="C319" s="500">
        <f t="shared" si="28"/>
        <v>5726323</v>
      </c>
      <c r="D319" s="31" t="s">
        <v>747</v>
      </c>
      <c r="E319" s="863">
        <f t="shared" ca="1" si="33"/>
        <v>112703</v>
      </c>
      <c r="F319" s="864">
        <f t="shared" ca="1" si="30"/>
        <v>162703</v>
      </c>
      <c r="G319" s="1254">
        <v>58.292499999999997</v>
      </c>
      <c r="H319" s="1310">
        <f t="shared" si="31"/>
        <v>857.74327743706317</v>
      </c>
      <c r="I319" s="2191">
        <f t="shared" ca="1" si="32"/>
        <v>1094</v>
      </c>
      <c r="J319" s="2392"/>
      <c r="L319">
        <f t="shared" ca="1" si="29"/>
        <v>888</v>
      </c>
    </row>
    <row r="320" spans="1:12" ht="19">
      <c r="A320" s="860">
        <v>45352</v>
      </c>
      <c r="B320" s="875">
        <v>50000</v>
      </c>
      <c r="C320" s="500">
        <f t="shared" si="28"/>
        <v>5776323</v>
      </c>
      <c r="D320" s="31" t="s">
        <v>747</v>
      </c>
      <c r="E320" s="863">
        <f t="shared" ca="1" si="33"/>
        <v>112487</v>
      </c>
      <c r="F320" s="864">
        <f t="shared" ca="1" si="30"/>
        <v>162487</v>
      </c>
      <c r="G320" s="1254">
        <v>58.292499999999997</v>
      </c>
      <c r="H320" s="1310">
        <f t="shared" si="31"/>
        <v>857.74327743706317</v>
      </c>
      <c r="I320" s="2191">
        <f t="shared" ca="1" si="32"/>
        <v>1094</v>
      </c>
      <c r="J320" s="2392"/>
      <c r="L320">
        <f t="shared" ca="1" si="29"/>
        <v>887</v>
      </c>
    </row>
    <row r="321" spans="1:12" ht="19">
      <c r="A321" s="860">
        <v>45352</v>
      </c>
      <c r="B321" s="875">
        <v>1800000</v>
      </c>
      <c r="C321" s="500">
        <f t="shared" si="28"/>
        <v>7576323</v>
      </c>
      <c r="D321" s="31" t="s">
        <v>747</v>
      </c>
      <c r="E321" s="863">
        <f t="shared" ca="1" si="33"/>
        <v>4049519</v>
      </c>
      <c r="F321" s="864">
        <f t="shared" ca="1" si="30"/>
        <v>5849519</v>
      </c>
      <c r="G321" s="1254">
        <v>58.292499999999997</v>
      </c>
      <c r="H321" s="1310">
        <f t="shared" si="31"/>
        <v>30878.757987734272</v>
      </c>
      <c r="I321" s="2191">
        <f t="shared" ca="1" si="32"/>
        <v>39370</v>
      </c>
      <c r="J321" s="2392"/>
      <c r="L321">
        <f t="shared" ca="1" si="29"/>
        <v>887</v>
      </c>
    </row>
    <row r="322" spans="1:12" ht="19">
      <c r="A322" s="860">
        <v>45356</v>
      </c>
      <c r="B322" s="875">
        <v>-92855</v>
      </c>
      <c r="C322" s="500">
        <f t="shared" si="28"/>
        <v>7483468</v>
      </c>
      <c r="D322" s="31" t="s">
        <v>638</v>
      </c>
      <c r="E322" s="863">
        <f t="shared" ca="1" si="33"/>
        <v>-207300</v>
      </c>
      <c r="F322" s="864">
        <f t="shared" ca="1" si="30"/>
        <v>-300155</v>
      </c>
      <c r="G322" s="1254">
        <v>60.957650000000001</v>
      </c>
      <c r="H322" s="1310">
        <f t="shared" si="31"/>
        <v>-1523.2706641414161</v>
      </c>
      <c r="I322" s="2191">
        <f t="shared" ca="1" si="32"/>
        <v>-1941</v>
      </c>
      <c r="J322" s="2392"/>
      <c r="L322">
        <f t="shared" ca="1" si="29"/>
        <v>883</v>
      </c>
    </row>
    <row r="323" spans="1:12" ht="19">
      <c r="A323" s="860">
        <v>45356</v>
      </c>
      <c r="B323" s="875">
        <v>-3900</v>
      </c>
      <c r="C323" s="500">
        <f t="shared" ref="C323:C386" si="34">C322+B323</f>
        <v>7479568</v>
      </c>
      <c r="D323" s="31" t="s">
        <v>638</v>
      </c>
      <c r="E323" s="863">
        <f t="shared" ca="1" si="33"/>
        <v>-8707</v>
      </c>
      <c r="F323" s="864">
        <f t="shared" ca="1" si="30"/>
        <v>-12607</v>
      </c>
      <c r="G323" s="1254">
        <v>60.957650000000001</v>
      </c>
      <c r="H323" s="1310">
        <f t="shared" si="31"/>
        <v>-63.978844328808606</v>
      </c>
      <c r="I323" s="2191">
        <f t="shared" ca="1" si="32"/>
        <v>-82</v>
      </c>
      <c r="J323" s="2392"/>
      <c r="L323">
        <f t="shared" ref="L323:L386" ca="1" si="35">$E$1-A323</f>
        <v>883</v>
      </c>
    </row>
    <row r="324" spans="1:12" ht="19">
      <c r="A324" s="860">
        <v>45356</v>
      </c>
      <c r="B324" s="875">
        <v>100000</v>
      </c>
      <c r="C324" s="500">
        <f t="shared" si="34"/>
        <v>7579568</v>
      </c>
      <c r="D324" s="31" t="s">
        <v>747</v>
      </c>
      <c r="E324" s="863">
        <f t="shared" ca="1" si="33"/>
        <v>223251</v>
      </c>
      <c r="F324" s="864">
        <f t="shared" ref="F324:F387" ca="1" si="36">IF(D324="Hami Interest",0,ROUNDUP(B324*(1+$F$1/12)^(($E$1-A324)/30),0))</f>
        <v>323251</v>
      </c>
      <c r="G324" s="1254">
        <v>60.957650000000001</v>
      </c>
      <c r="H324" s="1310">
        <f t="shared" si="31"/>
        <v>1640.4831879181693</v>
      </c>
      <c r="I324" s="2191">
        <f t="shared" ca="1" si="32"/>
        <v>2090</v>
      </c>
      <c r="J324" s="2392"/>
      <c r="L324">
        <f t="shared" ca="1" si="35"/>
        <v>883</v>
      </c>
    </row>
    <row r="325" spans="1:12" ht="19">
      <c r="A325" s="860">
        <v>45358</v>
      </c>
      <c r="B325" s="875">
        <v>96755</v>
      </c>
      <c r="C325" s="500">
        <f t="shared" si="34"/>
        <v>7676323</v>
      </c>
      <c r="D325" s="31" t="s">
        <v>747</v>
      </c>
      <c r="E325" s="863">
        <f t="shared" ca="1" si="33"/>
        <v>215177</v>
      </c>
      <c r="F325" s="864">
        <f t="shared" ca="1" si="36"/>
        <v>311932</v>
      </c>
      <c r="G325" s="1254">
        <v>60.547600000000003</v>
      </c>
      <c r="H325" s="1310">
        <f t="shared" si="31"/>
        <v>1597.9989297676539</v>
      </c>
      <c r="I325" s="2191">
        <f t="shared" ca="1" si="32"/>
        <v>2035</v>
      </c>
      <c r="J325" s="2392"/>
      <c r="L325">
        <f t="shared" ca="1" si="35"/>
        <v>881</v>
      </c>
    </row>
    <row r="326" spans="1:12" ht="19">
      <c r="A326" s="860">
        <v>45363</v>
      </c>
      <c r="B326" s="875">
        <v>1000000</v>
      </c>
      <c r="C326" s="500">
        <f t="shared" si="34"/>
        <v>8676323</v>
      </c>
      <c r="D326" s="31" t="s">
        <v>747</v>
      </c>
      <c r="E326" s="863">
        <f t="shared" ca="1" si="33"/>
        <v>2202581</v>
      </c>
      <c r="F326" s="864">
        <f t="shared" ca="1" si="36"/>
        <v>3202581</v>
      </c>
      <c r="G326" s="1254">
        <v>59.758000000000003</v>
      </c>
      <c r="H326" s="1310">
        <f t="shared" si="31"/>
        <v>16734.16111650323</v>
      </c>
      <c r="I326" s="2191">
        <f t="shared" ca="1" si="32"/>
        <v>21272</v>
      </c>
      <c r="J326" s="2392"/>
      <c r="L326">
        <f t="shared" ca="1" si="35"/>
        <v>876</v>
      </c>
    </row>
    <row r="327" spans="1:12" ht="19">
      <c r="A327" s="860">
        <v>45364</v>
      </c>
      <c r="B327" s="875">
        <v>-3000000</v>
      </c>
      <c r="C327" s="500">
        <f t="shared" si="34"/>
        <v>5676323</v>
      </c>
      <c r="D327" s="31" t="s">
        <v>750</v>
      </c>
      <c r="E327" s="863">
        <f t="shared" ca="1" si="33"/>
        <v>-6594983</v>
      </c>
      <c r="F327" s="864">
        <f t="shared" ca="1" si="36"/>
        <v>-9594983</v>
      </c>
      <c r="G327" s="1254">
        <v>59.463999999999999</v>
      </c>
      <c r="H327" s="1310">
        <f t="shared" si="31"/>
        <v>-50450.692856181893</v>
      </c>
      <c r="I327" s="2191">
        <f t="shared" ca="1" si="32"/>
        <v>-64113</v>
      </c>
      <c r="J327" s="2392"/>
      <c r="L327">
        <f t="shared" ca="1" si="35"/>
        <v>875</v>
      </c>
    </row>
    <row r="328" spans="1:12" ht="19">
      <c r="A328" s="860">
        <v>45370</v>
      </c>
      <c r="B328" s="1055">
        <v>29356</v>
      </c>
      <c r="C328" s="500">
        <f t="shared" si="34"/>
        <v>5705679</v>
      </c>
      <c r="D328" s="1142" t="s">
        <v>748</v>
      </c>
      <c r="E328" s="863">
        <f t="shared" si="33"/>
        <v>0</v>
      </c>
      <c r="F328" s="864">
        <f t="shared" si="36"/>
        <v>0</v>
      </c>
      <c r="G328" s="1254">
        <v>59.463999999999999</v>
      </c>
      <c r="H328" s="1310">
        <f t="shared" ref="H328:H391" si="37">B328/G328</f>
        <v>493.67684649535857</v>
      </c>
      <c r="I328" s="2191">
        <f t="shared" ref="I328:I391" si="38">IF(D328="Hami Interest",0,ROUNDUP(H328*(1+$I$1/12)^(($E$1-A328)/30),0))</f>
        <v>0</v>
      </c>
      <c r="J328" s="2392"/>
      <c r="L328">
        <f t="shared" ca="1" si="35"/>
        <v>869</v>
      </c>
    </row>
    <row r="329" spans="1:12" ht="19">
      <c r="A329" s="860">
        <v>45385</v>
      </c>
      <c r="B329" s="875">
        <v>-51493</v>
      </c>
      <c r="C329" s="500">
        <f t="shared" si="34"/>
        <v>5654186</v>
      </c>
      <c r="D329" s="31" t="s">
        <v>638</v>
      </c>
      <c r="E329" s="863">
        <f t="shared" ca="1" si="33"/>
        <v>-108667</v>
      </c>
      <c r="F329" s="864">
        <f t="shared" ca="1" si="36"/>
        <v>-160160</v>
      </c>
      <c r="G329" s="1254">
        <v>63.112499999999997</v>
      </c>
      <c r="H329" s="1310">
        <f t="shared" si="37"/>
        <v>-815.89225589225589</v>
      </c>
      <c r="I329" s="2191">
        <f t="shared" ca="1" si="38"/>
        <v>-1031</v>
      </c>
      <c r="J329" s="2392"/>
      <c r="L329">
        <f t="shared" ca="1" si="35"/>
        <v>854</v>
      </c>
    </row>
    <row r="330" spans="1:12" ht="19">
      <c r="A330" s="860">
        <v>45385</v>
      </c>
      <c r="B330" s="875">
        <v>-2800</v>
      </c>
      <c r="C330" s="500">
        <f t="shared" si="34"/>
        <v>5651386</v>
      </c>
      <c r="D330" s="31" t="s">
        <v>638</v>
      </c>
      <c r="E330" s="863">
        <f t="shared" ref="E330:E393" ca="1" si="39">IF(F330=0,0,F330-B330)</f>
        <v>-5909</v>
      </c>
      <c r="F330" s="864">
        <f t="shared" ca="1" si="36"/>
        <v>-8709</v>
      </c>
      <c r="G330" s="1254">
        <v>63.112499999999997</v>
      </c>
      <c r="H330" s="1310">
        <f t="shared" si="37"/>
        <v>-44.365220835809076</v>
      </c>
      <c r="I330" s="2191">
        <f t="shared" ca="1" si="38"/>
        <v>-57</v>
      </c>
      <c r="J330" s="2392"/>
      <c r="L330">
        <f t="shared" ca="1" si="35"/>
        <v>854</v>
      </c>
    </row>
    <row r="331" spans="1:12" ht="19">
      <c r="A331" s="860">
        <v>45391</v>
      </c>
      <c r="B331" s="875">
        <v>200000</v>
      </c>
      <c r="C331" s="500">
        <f t="shared" si="34"/>
        <v>5851386</v>
      </c>
      <c r="D331" s="31" t="s">
        <v>747</v>
      </c>
      <c r="E331" s="863">
        <f t="shared" ca="1" si="39"/>
        <v>417125</v>
      </c>
      <c r="F331" s="864">
        <f t="shared" ca="1" si="36"/>
        <v>617125</v>
      </c>
      <c r="G331" s="1254">
        <v>62.68</v>
      </c>
      <c r="H331" s="1310">
        <f t="shared" si="37"/>
        <v>3190.8104658583279</v>
      </c>
      <c r="I331" s="2191">
        <f t="shared" ca="1" si="38"/>
        <v>4025</v>
      </c>
      <c r="J331" s="2392"/>
      <c r="L331">
        <f t="shared" ca="1" si="35"/>
        <v>848</v>
      </c>
    </row>
    <row r="332" spans="1:12" ht="19">
      <c r="A332" s="860">
        <v>45398</v>
      </c>
      <c r="B332" s="875">
        <v>100000</v>
      </c>
      <c r="C332" s="500">
        <f t="shared" si="34"/>
        <v>5951386</v>
      </c>
      <c r="D332" s="31" t="s">
        <v>747</v>
      </c>
      <c r="E332" s="863">
        <f t="shared" ca="1" si="39"/>
        <v>205706</v>
      </c>
      <c r="F332" s="864">
        <f t="shared" ca="1" si="36"/>
        <v>305706</v>
      </c>
      <c r="G332" s="1254">
        <v>62.05</v>
      </c>
      <c r="H332" s="1310">
        <f t="shared" si="37"/>
        <v>1611.6035455278002</v>
      </c>
      <c r="I332" s="2191">
        <f t="shared" ca="1" si="38"/>
        <v>2030</v>
      </c>
      <c r="J332" s="2392"/>
      <c r="L332">
        <f t="shared" ca="1" si="35"/>
        <v>841</v>
      </c>
    </row>
    <row r="333" spans="1:12" ht="19">
      <c r="A333" s="860">
        <v>45400</v>
      </c>
      <c r="B333" s="875">
        <v>100000</v>
      </c>
      <c r="C333" s="500">
        <f t="shared" si="34"/>
        <v>6051386</v>
      </c>
      <c r="D333" s="31" t="s">
        <v>747</v>
      </c>
      <c r="E333" s="863">
        <f t="shared" ca="1" si="39"/>
        <v>204895</v>
      </c>
      <c r="F333" s="864">
        <f t="shared" ca="1" si="36"/>
        <v>304895</v>
      </c>
      <c r="G333" s="1254">
        <v>62.045000000000002</v>
      </c>
      <c r="H333" s="1310">
        <f t="shared" si="37"/>
        <v>1611.7334192924491</v>
      </c>
      <c r="I333" s="2191">
        <f t="shared" ca="1" si="38"/>
        <v>2029</v>
      </c>
      <c r="J333" s="2392"/>
      <c r="L333">
        <f t="shared" ca="1" si="35"/>
        <v>839</v>
      </c>
    </row>
    <row r="334" spans="1:12" ht="19">
      <c r="A334" s="860">
        <v>45401</v>
      </c>
      <c r="B334" s="1055">
        <v>20742</v>
      </c>
      <c r="C334" s="500">
        <f t="shared" si="34"/>
        <v>6072128</v>
      </c>
      <c r="D334" s="1142" t="s">
        <v>748</v>
      </c>
      <c r="E334" s="863">
        <f t="shared" si="39"/>
        <v>0</v>
      </c>
      <c r="F334" s="864">
        <f t="shared" si="36"/>
        <v>0</v>
      </c>
      <c r="G334" s="1254">
        <v>62.045000000000002</v>
      </c>
      <c r="H334" s="1310">
        <f t="shared" si="37"/>
        <v>334.30574582963976</v>
      </c>
      <c r="I334" s="2191">
        <f t="shared" si="38"/>
        <v>0</v>
      </c>
      <c r="J334" s="2392"/>
      <c r="L334">
        <f t="shared" ca="1" si="35"/>
        <v>838</v>
      </c>
    </row>
    <row r="335" spans="1:12" ht="19">
      <c r="A335" s="860">
        <v>45404</v>
      </c>
      <c r="B335" s="875">
        <v>304312</v>
      </c>
      <c r="C335" s="500">
        <f t="shared" si="34"/>
        <v>6376440</v>
      </c>
      <c r="D335" s="31" t="s">
        <v>747</v>
      </c>
      <c r="E335" s="863">
        <f t="shared" ca="1" si="39"/>
        <v>618600</v>
      </c>
      <c r="F335" s="864">
        <f t="shared" ca="1" si="36"/>
        <v>922912</v>
      </c>
      <c r="G335" s="1254">
        <v>63.06</v>
      </c>
      <c r="H335" s="1310">
        <f t="shared" si="37"/>
        <v>4825.7532508721852</v>
      </c>
      <c r="I335" s="2191">
        <f t="shared" ca="1" si="38"/>
        <v>6066</v>
      </c>
      <c r="J335" s="2392"/>
      <c r="L335">
        <f t="shared" ca="1" si="35"/>
        <v>835</v>
      </c>
    </row>
    <row r="336" spans="1:12" ht="19">
      <c r="A336" s="860">
        <v>45405</v>
      </c>
      <c r="B336" s="875">
        <v>200000</v>
      </c>
      <c r="C336" s="500">
        <f t="shared" si="34"/>
        <v>6576440</v>
      </c>
      <c r="D336" s="31" t="s">
        <v>747</v>
      </c>
      <c r="E336" s="863">
        <f t="shared" ca="1" si="39"/>
        <v>405751</v>
      </c>
      <c r="F336" s="864">
        <f t="shared" ca="1" si="36"/>
        <v>605751</v>
      </c>
      <c r="G336" s="1254">
        <v>60.6</v>
      </c>
      <c r="H336" s="1310">
        <f t="shared" si="37"/>
        <v>3300.3300330033003</v>
      </c>
      <c r="I336" s="2191">
        <f t="shared" ca="1" si="38"/>
        <v>4148</v>
      </c>
      <c r="J336" s="2392"/>
      <c r="L336">
        <f t="shared" ca="1" si="35"/>
        <v>834</v>
      </c>
    </row>
    <row r="337" spans="1:12" ht="19">
      <c r="A337" s="860">
        <v>45409</v>
      </c>
      <c r="B337" s="875">
        <v>-25200</v>
      </c>
      <c r="C337" s="500">
        <f t="shared" si="34"/>
        <v>6551240</v>
      </c>
      <c r="D337" s="31" t="s">
        <v>638</v>
      </c>
      <c r="E337" s="863">
        <f t="shared" ca="1" si="39"/>
        <v>-50720</v>
      </c>
      <c r="F337" s="864">
        <f t="shared" ca="1" si="36"/>
        <v>-75920</v>
      </c>
      <c r="G337" s="1254">
        <v>61.93</v>
      </c>
      <c r="H337" s="1310">
        <f t="shared" si="37"/>
        <v>-406.91102858065557</v>
      </c>
      <c r="I337" s="2191">
        <f t="shared" ca="1" si="38"/>
        <v>-511</v>
      </c>
      <c r="J337" s="2392"/>
      <c r="L337">
        <f t="shared" ca="1" si="35"/>
        <v>830</v>
      </c>
    </row>
    <row r="338" spans="1:12" ht="19">
      <c r="A338" s="860">
        <v>45411</v>
      </c>
      <c r="B338" s="875">
        <v>125200</v>
      </c>
      <c r="C338" s="500">
        <f t="shared" si="34"/>
        <v>6676440</v>
      </c>
      <c r="D338" s="31" t="s">
        <v>747</v>
      </c>
      <c r="E338" s="863">
        <f t="shared" ca="1" si="39"/>
        <v>250989</v>
      </c>
      <c r="F338" s="864">
        <f t="shared" ca="1" si="36"/>
        <v>376189</v>
      </c>
      <c r="G338" s="1254">
        <v>62.045000000000002</v>
      </c>
      <c r="H338" s="1310">
        <f t="shared" si="37"/>
        <v>2017.8902409541461</v>
      </c>
      <c r="I338" s="2191">
        <f t="shared" ca="1" si="38"/>
        <v>2532</v>
      </c>
      <c r="J338" s="2392"/>
      <c r="L338">
        <f t="shared" ca="1" si="35"/>
        <v>828</v>
      </c>
    </row>
    <row r="339" spans="1:12" ht="19">
      <c r="A339" s="860">
        <v>45414</v>
      </c>
      <c r="B339" s="875">
        <v>1000000</v>
      </c>
      <c r="C339" s="500">
        <f t="shared" si="34"/>
        <v>7676440</v>
      </c>
      <c r="D339" s="31" t="s">
        <v>747</v>
      </c>
      <c r="E339" s="863">
        <f t="shared" ca="1" si="39"/>
        <v>1992749</v>
      </c>
      <c r="F339" s="864">
        <f t="shared" ca="1" si="36"/>
        <v>2992749</v>
      </c>
      <c r="G339" s="1254">
        <v>61.155000000000001</v>
      </c>
      <c r="H339" s="1310">
        <f t="shared" si="37"/>
        <v>16351.892731583681</v>
      </c>
      <c r="I339" s="2191">
        <f t="shared" ca="1" si="38"/>
        <v>20498</v>
      </c>
      <c r="J339" s="2392"/>
      <c r="L339">
        <f t="shared" ca="1" si="35"/>
        <v>825</v>
      </c>
    </row>
    <row r="340" spans="1:12" ht="19">
      <c r="A340" s="860">
        <v>45423</v>
      </c>
      <c r="B340" s="875">
        <v>-64928</v>
      </c>
      <c r="C340" s="500">
        <f t="shared" si="34"/>
        <v>7611512</v>
      </c>
      <c r="D340" s="31" t="s">
        <v>638</v>
      </c>
      <c r="E340" s="863">
        <f t="shared" ca="1" si="39"/>
        <v>-127076</v>
      </c>
      <c r="F340" s="864">
        <f t="shared" ca="1" si="36"/>
        <v>-192004</v>
      </c>
      <c r="G340" s="1254">
        <v>63.11</v>
      </c>
      <c r="H340" s="1310">
        <f t="shared" si="37"/>
        <v>-1028.8068451909364</v>
      </c>
      <c r="I340" s="2191">
        <f t="shared" ca="1" si="38"/>
        <v>-1287</v>
      </c>
      <c r="J340" s="2392"/>
      <c r="L340">
        <f t="shared" ca="1" si="35"/>
        <v>816</v>
      </c>
    </row>
    <row r="341" spans="1:12" ht="19">
      <c r="A341" s="860">
        <v>45423</v>
      </c>
      <c r="B341" s="875">
        <v>-5073</v>
      </c>
      <c r="C341" s="500">
        <f t="shared" si="34"/>
        <v>7606439</v>
      </c>
      <c r="D341" s="31" t="s">
        <v>750</v>
      </c>
      <c r="E341" s="863">
        <f t="shared" ca="1" si="39"/>
        <v>-9929</v>
      </c>
      <c r="F341" s="864">
        <f t="shared" ca="1" si="36"/>
        <v>-15002</v>
      </c>
      <c r="G341" s="1254">
        <v>63.11</v>
      </c>
      <c r="H341" s="1310">
        <f t="shared" si="37"/>
        <v>-80.383457455236893</v>
      </c>
      <c r="I341" s="2191">
        <f t="shared" ca="1" si="38"/>
        <v>-101</v>
      </c>
      <c r="J341" s="2392"/>
      <c r="L341">
        <f t="shared" ca="1" si="35"/>
        <v>816</v>
      </c>
    </row>
    <row r="342" spans="1:12" ht="19">
      <c r="A342" s="860">
        <v>45425</v>
      </c>
      <c r="B342" s="875">
        <v>670000</v>
      </c>
      <c r="C342" s="500">
        <f t="shared" si="34"/>
        <v>8276439</v>
      </c>
      <c r="D342" s="31" t="s">
        <v>747</v>
      </c>
      <c r="E342" s="863">
        <f t="shared" ca="1" si="39"/>
        <v>1306048</v>
      </c>
      <c r="F342" s="864">
        <f t="shared" ca="1" si="36"/>
        <v>1976048</v>
      </c>
      <c r="G342" s="1254">
        <v>62.445</v>
      </c>
      <c r="H342" s="1310">
        <f t="shared" si="37"/>
        <v>10729.441908879815</v>
      </c>
      <c r="I342" s="2191">
        <f t="shared" ca="1" si="38"/>
        <v>13409</v>
      </c>
      <c r="J342" s="2392"/>
      <c r="L342">
        <f t="shared" ca="1" si="35"/>
        <v>814</v>
      </c>
    </row>
    <row r="343" spans="1:12" ht="19">
      <c r="A343" s="860">
        <v>45432</v>
      </c>
      <c r="B343" s="1055">
        <v>50102</v>
      </c>
      <c r="C343" s="500">
        <f t="shared" si="34"/>
        <v>8326541</v>
      </c>
      <c r="D343" s="1142" t="s">
        <v>748</v>
      </c>
      <c r="E343" s="863">
        <f t="shared" si="39"/>
        <v>0</v>
      </c>
      <c r="F343" s="864">
        <f t="shared" si="36"/>
        <v>0</v>
      </c>
      <c r="G343" s="1254">
        <v>60.494999999999997</v>
      </c>
      <c r="H343" s="1310">
        <f t="shared" si="37"/>
        <v>828.20067774196218</v>
      </c>
      <c r="I343" s="2191">
        <f t="shared" si="38"/>
        <v>0</v>
      </c>
      <c r="J343" s="2392"/>
      <c r="L343">
        <f t="shared" ca="1" si="35"/>
        <v>807</v>
      </c>
    </row>
    <row r="344" spans="1:12" ht="19">
      <c r="A344" s="860">
        <v>45452</v>
      </c>
      <c r="B344" s="875">
        <v>-195440</v>
      </c>
      <c r="C344" s="500">
        <f t="shared" si="34"/>
        <v>8131101</v>
      </c>
      <c r="D344" s="31" t="s">
        <v>638</v>
      </c>
      <c r="E344" s="863">
        <f t="shared" ca="1" si="39"/>
        <v>-360664</v>
      </c>
      <c r="F344" s="864">
        <f t="shared" ca="1" si="36"/>
        <v>-556104</v>
      </c>
      <c r="G344" s="1254">
        <v>61.075000000000003</v>
      </c>
      <c r="H344" s="1310">
        <f t="shared" si="37"/>
        <v>-3200</v>
      </c>
      <c r="I344" s="2191">
        <f t="shared" ca="1" si="38"/>
        <v>-3970</v>
      </c>
      <c r="J344" s="2392"/>
      <c r="L344">
        <f t="shared" ca="1" si="35"/>
        <v>787</v>
      </c>
    </row>
    <row r="345" spans="1:12" ht="19">
      <c r="A345" s="860">
        <v>45453</v>
      </c>
      <c r="B345" s="875">
        <v>145440</v>
      </c>
      <c r="C345" s="500">
        <f t="shared" si="34"/>
        <v>8276541</v>
      </c>
      <c r="D345" s="31" t="s">
        <v>747</v>
      </c>
      <c r="E345" s="863">
        <f t="shared" ca="1" si="39"/>
        <v>267845</v>
      </c>
      <c r="F345" s="864">
        <f t="shared" ca="1" si="36"/>
        <v>413285</v>
      </c>
      <c r="G345" s="1254">
        <v>60.594999999999999</v>
      </c>
      <c r="H345" s="1310">
        <f t="shared" si="37"/>
        <v>2400.1980361415958</v>
      </c>
      <c r="I345" s="2191">
        <f t="shared" ca="1" si="38"/>
        <v>2977</v>
      </c>
      <c r="J345" s="2392"/>
      <c r="L345">
        <f t="shared" ca="1" si="35"/>
        <v>786</v>
      </c>
    </row>
    <row r="346" spans="1:12" ht="19">
      <c r="A346" s="860">
        <v>45454</v>
      </c>
      <c r="B346" s="875">
        <v>-12210</v>
      </c>
      <c r="C346" s="500">
        <f t="shared" si="34"/>
        <v>8264331</v>
      </c>
      <c r="D346" s="31" t="s">
        <v>638</v>
      </c>
      <c r="E346" s="863">
        <f t="shared" ca="1" si="39"/>
        <v>-22441</v>
      </c>
      <c r="F346" s="864">
        <f t="shared" ca="1" si="36"/>
        <v>-34651</v>
      </c>
      <c r="G346" s="1254">
        <v>61.28</v>
      </c>
      <c r="H346" s="1310">
        <f t="shared" si="37"/>
        <v>-199.24934725848564</v>
      </c>
      <c r="I346" s="2191">
        <f t="shared" ca="1" si="38"/>
        <v>-248</v>
      </c>
      <c r="J346" s="2392"/>
      <c r="L346">
        <f t="shared" ca="1" si="35"/>
        <v>785</v>
      </c>
    </row>
    <row r="347" spans="1:12" ht="19">
      <c r="A347" s="860">
        <v>45456</v>
      </c>
      <c r="B347" s="875">
        <v>-11680</v>
      </c>
      <c r="C347" s="500">
        <f t="shared" si="34"/>
        <v>8252651</v>
      </c>
      <c r="D347" s="31" t="s">
        <v>638</v>
      </c>
      <c r="E347" s="863">
        <f t="shared" ca="1" si="39"/>
        <v>-21379</v>
      </c>
      <c r="F347" s="864">
        <f t="shared" ca="1" si="36"/>
        <v>-33059</v>
      </c>
      <c r="G347" s="1254">
        <v>60.99</v>
      </c>
      <c r="H347" s="1310">
        <f t="shared" si="37"/>
        <v>-191.50680439416297</v>
      </c>
      <c r="I347" s="2191">
        <f t="shared" ca="1" si="38"/>
        <v>-238</v>
      </c>
      <c r="J347" s="2392"/>
      <c r="L347">
        <f t="shared" ca="1" si="35"/>
        <v>783</v>
      </c>
    </row>
    <row r="348" spans="1:12" ht="19">
      <c r="A348" s="860">
        <v>45463</v>
      </c>
      <c r="B348" s="1055">
        <v>62134</v>
      </c>
      <c r="C348" s="500">
        <f t="shared" si="34"/>
        <v>8314785</v>
      </c>
      <c r="D348" s="1142" t="s">
        <v>748</v>
      </c>
      <c r="E348" s="863">
        <f t="shared" si="39"/>
        <v>0</v>
      </c>
      <c r="F348" s="864">
        <f t="shared" si="36"/>
        <v>0</v>
      </c>
      <c r="G348" s="1254">
        <v>61.204999999999998</v>
      </c>
      <c r="H348" s="1310">
        <f t="shared" si="37"/>
        <v>1015.1784984886856</v>
      </c>
      <c r="I348" s="2191">
        <f t="shared" si="38"/>
        <v>0</v>
      </c>
      <c r="J348" s="2392"/>
      <c r="L348">
        <f t="shared" ca="1" si="35"/>
        <v>776</v>
      </c>
    </row>
    <row r="349" spans="1:12" ht="19">
      <c r="A349" s="860">
        <v>45470</v>
      </c>
      <c r="B349" s="875">
        <v>-5320</v>
      </c>
      <c r="C349" s="500">
        <f t="shared" si="34"/>
        <v>8309465</v>
      </c>
      <c r="D349" s="31" t="s">
        <v>638</v>
      </c>
      <c r="E349" s="863">
        <f t="shared" ca="1" si="39"/>
        <v>-9460</v>
      </c>
      <c r="F349" s="864">
        <f t="shared" ca="1" si="36"/>
        <v>-14780</v>
      </c>
      <c r="G349" s="1254">
        <v>60.77</v>
      </c>
      <c r="H349" s="1310">
        <f t="shared" si="37"/>
        <v>-87.543195655751191</v>
      </c>
      <c r="I349" s="2191">
        <f t="shared" ca="1" si="38"/>
        <v>-109</v>
      </c>
      <c r="J349" s="2392"/>
      <c r="L349">
        <f t="shared" ca="1" si="35"/>
        <v>769</v>
      </c>
    </row>
    <row r="350" spans="1:12" ht="19">
      <c r="A350" s="860">
        <v>45472</v>
      </c>
      <c r="B350" s="875">
        <v>-81807</v>
      </c>
      <c r="C350" s="500">
        <f t="shared" si="34"/>
        <v>8227658</v>
      </c>
      <c r="D350" s="31" t="s">
        <v>638</v>
      </c>
      <c r="E350" s="863">
        <f t="shared" ca="1" si="39"/>
        <v>-144862</v>
      </c>
      <c r="F350" s="864">
        <f t="shared" ca="1" si="36"/>
        <v>-226669</v>
      </c>
      <c r="G350" s="1254">
        <v>60.22</v>
      </c>
      <c r="H350" s="1310">
        <f t="shared" si="37"/>
        <v>-1358.4689471936233</v>
      </c>
      <c r="I350" s="2191">
        <f t="shared" ca="1" si="38"/>
        <v>-1677</v>
      </c>
      <c r="J350" s="2392"/>
      <c r="L350">
        <f t="shared" ca="1" si="35"/>
        <v>767</v>
      </c>
    </row>
    <row r="351" spans="1:12" ht="19">
      <c r="A351" s="860">
        <v>45474</v>
      </c>
      <c r="B351" s="875">
        <v>-27500</v>
      </c>
      <c r="C351" s="500">
        <f t="shared" si="34"/>
        <v>8200158</v>
      </c>
      <c r="D351" s="31" t="s">
        <v>638</v>
      </c>
      <c r="E351" s="863">
        <f t="shared" ca="1" si="39"/>
        <v>-48495</v>
      </c>
      <c r="F351" s="864">
        <f t="shared" ca="1" si="36"/>
        <v>-75995</v>
      </c>
      <c r="G351" s="1254">
        <v>61.380499999999998</v>
      </c>
      <c r="H351" s="1310">
        <f t="shared" si="37"/>
        <v>-448.02502423408089</v>
      </c>
      <c r="I351" s="2191">
        <f t="shared" ca="1" si="38"/>
        <v>-553</v>
      </c>
      <c r="J351" s="2392"/>
      <c r="L351">
        <f t="shared" ca="1" si="35"/>
        <v>765</v>
      </c>
    </row>
    <row r="352" spans="1:12" ht="19">
      <c r="A352" s="860">
        <v>45475</v>
      </c>
      <c r="B352" s="875">
        <v>-37000</v>
      </c>
      <c r="C352" s="500">
        <f t="shared" si="34"/>
        <v>8163158</v>
      </c>
      <c r="D352" s="31" t="s">
        <v>638</v>
      </c>
      <c r="E352" s="863">
        <f t="shared" ca="1" si="39"/>
        <v>-65111</v>
      </c>
      <c r="F352" s="864">
        <f t="shared" ca="1" si="36"/>
        <v>-102111</v>
      </c>
      <c r="G352" s="1254">
        <v>61.12</v>
      </c>
      <c r="H352" s="1310">
        <f t="shared" si="37"/>
        <v>-605.3664921465969</v>
      </c>
      <c r="I352" s="2191">
        <f t="shared" ca="1" si="38"/>
        <v>-747</v>
      </c>
      <c r="J352" s="2392"/>
      <c r="L352">
        <f t="shared" ca="1" si="35"/>
        <v>764</v>
      </c>
    </row>
    <row r="353" spans="1:12" ht="19">
      <c r="A353" s="860">
        <v>45482</v>
      </c>
      <c r="B353" s="875">
        <v>-9495</v>
      </c>
      <c r="C353" s="500">
        <f t="shared" si="34"/>
        <v>8153663</v>
      </c>
      <c r="D353" s="31" t="s">
        <v>638</v>
      </c>
      <c r="E353" s="863">
        <f t="shared" ca="1" si="39"/>
        <v>-16467</v>
      </c>
      <c r="F353" s="864">
        <f t="shared" ca="1" si="36"/>
        <v>-25962</v>
      </c>
      <c r="G353" s="1254">
        <v>58.86</v>
      </c>
      <c r="H353" s="1310">
        <f t="shared" si="37"/>
        <v>-161.31498470948011</v>
      </c>
      <c r="I353" s="2191">
        <f t="shared" ca="1" si="38"/>
        <v>-199</v>
      </c>
      <c r="J353" s="2392"/>
      <c r="L353">
        <f t="shared" ca="1" si="35"/>
        <v>757</v>
      </c>
    </row>
    <row r="354" spans="1:12" ht="19">
      <c r="A354" s="860">
        <v>45482</v>
      </c>
      <c r="B354" s="875">
        <v>-8203</v>
      </c>
      <c r="C354" s="500">
        <f t="shared" si="34"/>
        <v>8145460</v>
      </c>
      <c r="D354" s="31" t="s">
        <v>638</v>
      </c>
      <c r="E354" s="863">
        <f t="shared" ca="1" si="39"/>
        <v>-14226</v>
      </c>
      <c r="F354" s="864">
        <f t="shared" ca="1" si="36"/>
        <v>-22429</v>
      </c>
      <c r="G354" s="1254">
        <v>58.86</v>
      </c>
      <c r="H354" s="1310">
        <f t="shared" si="37"/>
        <v>-139.36459395174992</v>
      </c>
      <c r="I354" s="2191">
        <f t="shared" ca="1" si="38"/>
        <v>-172</v>
      </c>
      <c r="J354" s="2392"/>
      <c r="L354">
        <f t="shared" ca="1" si="35"/>
        <v>757</v>
      </c>
    </row>
    <row r="355" spans="1:12" ht="19">
      <c r="A355" s="860">
        <v>45482</v>
      </c>
      <c r="B355" s="875">
        <v>-83790</v>
      </c>
      <c r="C355" s="500">
        <f t="shared" si="34"/>
        <v>8061670</v>
      </c>
      <c r="D355" s="31" t="s">
        <v>638</v>
      </c>
      <c r="E355" s="863">
        <f t="shared" ca="1" si="39"/>
        <v>-145309</v>
      </c>
      <c r="F355" s="864">
        <f t="shared" ca="1" si="36"/>
        <v>-229099</v>
      </c>
      <c r="G355" s="1254">
        <v>58.86</v>
      </c>
      <c r="H355" s="1310">
        <f t="shared" si="37"/>
        <v>-1423.5474006116208</v>
      </c>
      <c r="I355" s="2191">
        <f t="shared" ca="1" si="38"/>
        <v>-1752</v>
      </c>
      <c r="J355" s="2392"/>
      <c r="L355">
        <f t="shared" ca="1" si="35"/>
        <v>757</v>
      </c>
    </row>
    <row r="356" spans="1:12" ht="19">
      <c r="A356" s="860">
        <v>45482</v>
      </c>
      <c r="B356" s="875">
        <v>-14</v>
      </c>
      <c r="C356" s="500">
        <f t="shared" si="34"/>
        <v>8061656</v>
      </c>
      <c r="D356" s="31" t="s">
        <v>638</v>
      </c>
      <c r="E356" s="863">
        <f t="shared" ca="1" si="39"/>
        <v>-25</v>
      </c>
      <c r="F356" s="864">
        <f t="shared" ca="1" si="36"/>
        <v>-39</v>
      </c>
      <c r="G356" s="1254">
        <v>58.86</v>
      </c>
      <c r="H356" s="1310">
        <f t="shared" si="37"/>
        <v>-0.23785253143051308</v>
      </c>
      <c r="I356" s="2191">
        <f t="shared" ca="1" si="38"/>
        <v>-1</v>
      </c>
      <c r="J356" s="2392"/>
      <c r="L356">
        <f t="shared" ca="1" si="35"/>
        <v>757</v>
      </c>
    </row>
    <row r="357" spans="1:12" ht="19">
      <c r="A357" s="860">
        <v>45482</v>
      </c>
      <c r="B357" s="875">
        <v>300000</v>
      </c>
      <c r="C357" s="500">
        <f t="shared" si="34"/>
        <v>8361656</v>
      </c>
      <c r="D357" s="31" t="s">
        <v>747</v>
      </c>
      <c r="E357" s="863">
        <f t="shared" ca="1" si="39"/>
        <v>520261</v>
      </c>
      <c r="F357" s="864">
        <f t="shared" ca="1" si="36"/>
        <v>820261</v>
      </c>
      <c r="G357" s="1254">
        <v>58.86</v>
      </c>
      <c r="H357" s="1310">
        <f t="shared" si="37"/>
        <v>5096.8399592252799</v>
      </c>
      <c r="I357" s="2191">
        <f t="shared" ca="1" si="38"/>
        <v>6272</v>
      </c>
      <c r="J357" s="2392"/>
      <c r="L357">
        <f t="shared" ca="1" si="35"/>
        <v>757</v>
      </c>
    </row>
    <row r="358" spans="1:12" ht="19">
      <c r="A358" s="860">
        <v>45483</v>
      </c>
      <c r="B358" s="875">
        <v>-41301</v>
      </c>
      <c r="C358" s="500">
        <f t="shared" si="34"/>
        <v>8320355</v>
      </c>
      <c r="D358" s="31" t="s">
        <v>638</v>
      </c>
      <c r="E358" s="863">
        <f t="shared" ca="1" si="39"/>
        <v>-71475</v>
      </c>
      <c r="F358" s="864">
        <f t="shared" ca="1" si="36"/>
        <v>-112776</v>
      </c>
      <c r="G358" s="1254">
        <v>58.674999999999997</v>
      </c>
      <c r="H358" s="1310">
        <f t="shared" si="37"/>
        <v>-703.89433319130808</v>
      </c>
      <c r="I358" s="2191">
        <f t="shared" ca="1" si="38"/>
        <v>-866</v>
      </c>
      <c r="J358" s="2392"/>
      <c r="L358">
        <f t="shared" ca="1" si="35"/>
        <v>756</v>
      </c>
    </row>
    <row r="359" spans="1:12" ht="19">
      <c r="A359" s="860">
        <v>45484</v>
      </c>
      <c r="B359" s="875">
        <v>125517</v>
      </c>
      <c r="C359" s="500">
        <f t="shared" si="34"/>
        <v>8445872</v>
      </c>
      <c r="D359" s="31" t="s">
        <v>747</v>
      </c>
      <c r="E359" s="863">
        <f t="shared" ca="1" si="39"/>
        <v>216761</v>
      </c>
      <c r="F359" s="864">
        <f t="shared" ca="1" si="36"/>
        <v>342278</v>
      </c>
      <c r="G359" s="1254">
        <v>58.225000000000001</v>
      </c>
      <c r="H359" s="1310">
        <f t="shared" si="37"/>
        <v>2155.7234864748821</v>
      </c>
      <c r="I359" s="2191">
        <f t="shared" ca="1" si="38"/>
        <v>2651</v>
      </c>
      <c r="J359" s="2392"/>
      <c r="L359">
        <f t="shared" ca="1" si="35"/>
        <v>755</v>
      </c>
    </row>
    <row r="360" spans="1:12" ht="19">
      <c r="A360" s="860">
        <v>45484</v>
      </c>
      <c r="B360" s="875">
        <v>101502</v>
      </c>
      <c r="C360" s="500">
        <f t="shared" si="34"/>
        <v>8547374</v>
      </c>
      <c r="D360" s="31" t="s">
        <v>747</v>
      </c>
      <c r="E360" s="863">
        <f t="shared" ca="1" si="39"/>
        <v>175289</v>
      </c>
      <c r="F360" s="864">
        <f t="shared" ca="1" si="36"/>
        <v>276791</v>
      </c>
      <c r="G360" s="1254">
        <v>58.225000000000001</v>
      </c>
      <c r="H360" s="1310">
        <f t="shared" si="37"/>
        <v>1743.2717904680119</v>
      </c>
      <c r="I360" s="2191">
        <f t="shared" ca="1" si="38"/>
        <v>2144</v>
      </c>
      <c r="J360" s="2392"/>
      <c r="L360">
        <f t="shared" ca="1" si="35"/>
        <v>755</v>
      </c>
    </row>
    <row r="361" spans="1:12" ht="19">
      <c r="A361" s="860">
        <v>45484</v>
      </c>
      <c r="B361" s="875">
        <v>91301</v>
      </c>
      <c r="C361" s="500">
        <f t="shared" si="34"/>
        <v>8638675</v>
      </c>
      <c r="D361" s="31" t="s">
        <v>747</v>
      </c>
      <c r="E361" s="863">
        <f t="shared" ca="1" si="39"/>
        <v>157672</v>
      </c>
      <c r="F361" s="864">
        <f t="shared" ca="1" si="36"/>
        <v>248973</v>
      </c>
      <c r="G361" s="1254">
        <v>58.225000000000001</v>
      </c>
      <c r="H361" s="1310">
        <f t="shared" si="37"/>
        <v>1568.0721339630743</v>
      </c>
      <c r="I361" s="2191">
        <f t="shared" ca="1" si="38"/>
        <v>1929</v>
      </c>
      <c r="J361" s="2392"/>
      <c r="L361">
        <f t="shared" ca="1" si="35"/>
        <v>755</v>
      </c>
    </row>
    <row r="362" spans="1:12" ht="19">
      <c r="A362" s="860">
        <v>45494</v>
      </c>
      <c r="B362" s="1055">
        <v>69076</v>
      </c>
      <c r="C362" s="500">
        <f t="shared" si="34"/>
        <v>8707751</v>
      </c>
      <c r="D362" s="1142" t="s">
        <v>748</v>
      </c>
      <c r="E362" s="863">
        <f t="shared" si="39"/>
        <v>0</v>
      </c>
      <c r="F362" s="864">
        <f t="shared" si="36"/>
        <v>0</v>
      </c>
      <c r="G362" s="1254">
        <v>57.71</v>
      </c>
      <c r="H362" s="1310">
        <f t="shared" si="37"/>
        <v>1196.9502685843008</v>
      </c>
      <c r="I362" s="2191">
        <f t="shared" si="38"/>
        <v>0</v>
      </c>
      <c r="J362" s="2392"/>
      <c r="L362">
        <f t="shared" ca="1" si="35"/>
        <v>745</v>
      </c>
    </row>
    <row r="363" spans="1:12" ht="19">
      <c r="A363" s="860">
        <v>45497</v>
      </c>
      <c r="B363" s="875">
        <v>-56950</v>
      </c>
      <c r="C363" s="500">
        <f t="shared" si="34"/>
        <v>8650801</v>
      </c>
      <c r="D363" s="31" t="s">
        <v>638</v>
      </c>
      <c r="E363" s="863">
        <f t="shared" ca="1" si="39"/>
        <v>-95691</v>
      </c>
      <c r="F363" s="864">
        <f t="shared" ca="1" si="36"/>
        <v>-152641</v>
      </c>
      <c r="G363" s="1254">
        <v>58.375</v>
      </c>
      <c r="H363" s="1310">
        <f t="shared" si="37"/>
        <v>-975.58886509635977</v>
      </c>
      <c r="I363" s="2191">
        <f t="shared" ca="1" si="38"/>
        <v>-1196</v>
      </c>
      <c r="J363" s="2392"/>
      <c r="L363">
        <f t="shared" ca="1" si="35"/>
        <v>742</v>
      </c>
    </row>
    <row r="364" spans="1:12" ht="19">
      <c r="A364" s="860">
        <v>45500</v>
      </c>
      <c r="B364" s="875">
        <v>-54750</v>
      </c>
      <c r="C364" s="500">
        <f t="shared" si="34"/>
        <v>8596051</v>
      </c>
      <c r="D364" s="31" t="s">
        <v>638</v>
      </c>
      <c r="E364" s="863">
        <f t="shared" ca="1" si="39"/>
        <v>-91410</v>
      </c>
      <c r="F364" s="864">
        <f t="shared" ca="1" si="36"/>
        <v>-146160</v>
      </c>
      <c r="G364" s="1254">
        <v>58.69</v>
      </c>
      <c r="H364" s="1310">
        <f t="shared" si="37"/>
        <v>-932.8676094735049</v>
      </c>
      <c r="I364" s="2191">
        <f t="shared" ca="1" si="38"/>
        <v>-1143</v>
      </c>
      <c r="J364" s="2392"/>
      <c r="L364">
        <f t="shared" ca="1" si="35"/>
        <v>739</v>
      </c>
    </row>
    <row r="365" spans="1:12" ht="19">
      <c r="A365" s="860">
        <v>45501</v>
      </c>
      <c r="B365" s="875">
        <v>200000</v>
      </c>
      <c r="C365" s="500">
        <f t="shared" si="34"/>
        <v>8796051</v>
      </c>
      <c r="D365" s="31" t="s">
        <v>747</v>
      </c>
      <c r="E365" s="863">
        <f t="shared" ca="1" si="39"/>
        <v>333208</v>
      </c>
      <c r="F365" s="864">
        <f t="shared" ca="1" si="36"/>
        <v>533208</v>
      </c>
      <c r="G365" s="1254">
        <v>58.96</v>
      </c>
      <c r="H365" s="1310">
        <f t="shared" si="37"/>
        <v>3392.1302578018995</v>
      </c>
      <c r="I365" s="2191">
        <f t="shared" ca="1" si="38"/>
        <v>4152</v>
      </c>
      <c r="J365" s="2392"/>
      <c r="L365">
        <f t="shared" ca="1" si="35"/>
        <v>738</v>
      </c>
    </row>
    <row r="366" spans="1:12" ht="19">
      <c r="A366" s="860">
        <v>45501</v>
      </c>
      <c r="B366" s="875">
        <v>100000</v>
      </c>
      <c r="C366" s="500">
        <f t="shared" si="34"/>
        <v>8896051</v>
      </c>
      <c r="D366" s="31" t="s">
        <v>747</v>
      </c>
      <c r="E366" s="863">
        <f t="shared" ca="1" si="39"/>
        <v>166604</v>
      </c>
      <c r="F366" s="864">
        <f t="shared" ca="1" si="36"/>
        <v>266604</v>
      </c>
      <c r="G366" s="1254">
        <v>58.96</v>
      </c>
      <c r="H366" s="1310">
        <f t="shared" si="37"/>
        <v>1696.0651289009497</v>
      </c>
      <c r="I366" s="2191">
        <f t="shared" ca="1" si="38"/>
        <v>2076</v>
      </c>
      <c r="J366" s="2392"/>
      <c r="L366">
        <f t="shared" ca="1" si="35"/>
        <v>738</v>
      </c>
    </row>
    <row r="367" spans="1:12" ht="19">
      <c r="A367" s="860">
        <v>45501</v>
      </c>
      <c r="B367" s="875">
        <v>50000</v>
      </c>
      <c r="C367" s="500">
        <f t="shared" si="34"/>
        <v>8946051</v>
      </c>
      <c r="D367" s="31" t="s">
        <v>747</v>
      </c>
      <c r="E367" s="863">
        <f t="shared" ca="1" si="39"/>
        <v>83302</v>
      </c>
      <c r="F367" s="864">
        <f t="shared" ca="1" si="36"/>
        <v>133302</v>
      </c>
      <c r="G367" s="1254">
        <v>58.96</v>
      </c>
      <c r="H367" s="1310">
        <f t="shared" si="37"/>
        <v>848.03256445047487</v>
      </c>
      <c r="I367" s="2191">
        <f t="shared" ca="1" si="38"/>
        <v>1038</v>
      </c>
      <c r="J367" s="2392"/>
      <c r="L367">
        <f t="shared" ca="1" si="35"/>
        <v>738</v>
      </c>
    </row>
    <row r="368" spans="1:12" ht="19">
      <c r="A368" s="860">
        <v>45503</v>
      </c>
      <c r="B368" s="875">
        <v>50000</v>
      </c>
      <c r="C368" s="500">
        <f t="shared" si="34"/>
        <v>8996051</v>
      </c>
      <c r="D368" s="31" t="s">
        <v>747</v>
      </c>
      <c r="E368" s="863">
        <f t="shared" ca="1" si="39"/>
        <v>82949</v>
      </c>
      <c r="F368" s="864">
        <f t="shared" ca="1" si="36"/>
        <v>132949</v>
      </c>
      <c r="G368" s="1254">
        <v>59.14</v>
      </c>
      <c r="H368" s="1310">
        <f t="shared" si="37"/>
        <v>845.45147108555966</v>
      </c>
      <c r="I368" s="2191">
        <f t="shared" ca="1" si="38"/>
        <v>1035</v>
      </c>
      <c r="J368" s="2392"/>
      <c r="L368">
        <f t="shared" ca="1" si="35"/>
        <v>736</v>
      </c>
    </row>
    <row r="369" spans="1:12" ht="19">
      <c r="A369" s="860">
        <v>45503</v>
      </c>
      <c r="B369" s="875">
        <v>50000</v>
      </c>
      <c r="C369" s="500">
        <f t="shared" si="34"/>
        <v>9046051</v>
      </c>
      <c r="D369" s="31" t="s">
        <v>747</v>
      </c>
      <c r="E369" s="863">
        <f t="shared" ca="1" si="39"/>
        <v>82949</v>
      </c>
      <c r="F369" s="864">
        <f t="shared" ca="1" si="36"/>
        <v>132949</v>
      </c>
      <c r="G369" s="1254">
        <v>59.14</v>
      </c>
      <c r="H369" s="1310">
        <f t="shared" si="37"/>
        <v>845.45147108555966</v>
      </c>
      <c r="I369" s="2191">
        <f t="shared" ca="1" si="38"/>
        <v>1035</v>
      </c>
      <c r="J369" s="2392"/>
      <c r="L369">
        <f t="shared" ca="1" si="35"/>
        <v>736</v>
      </c>
    </row>
    <row r="370" spans="1:12" ht="19">
      <c r="A370" s="860">
        <v>45505</v>
      </c>
      <c r="B370" s="875">
        <v>120000</v>
      </c>
      <c r="C370" s="500">
        <f t="shared" si="34"/>
        <v>9166051</v>
      </c>
      <c r="D370" s="31" t="s">
        <v>747</v>
      </c>
      <c r="E370" s="863">
        <f t="shared" ca="1" si="39"/>
        <v>198229</v>
      </c>
      <c r="F370" s="864">
        <f t="shared" ca="1" si="36"/>
        <v>318229</v>
      </c>
      <c r="G370" s="1254">
        <v>60.28</v>
      </c>
      <c r="H370" s="1310">
        <f t="shared" si="37"/>
        <v>1990.7100199071001</v>
      </c>
      <c r="I370" s="2191">
        <f t="shared" ca="1" si="38"/>
        <v>2434</v>
      </c>
      <c r="J370" s="2392"/>
      <c r="L370">
        <f t="shared" ca="1" si="35"/>
        <v>734</v>
      </c>
    </row>
    <row r="371" spans="1:12" ht="19">
      <c r="A371" s="860">
        <v>45515</v>
      </c>
      <c r="B371" s="875">
        <v>-18460</v>
      </c>
      <c r="C371" s="500">
        <f t="shared" si="34"/>
        <v>9147591</v>
      </c>
      <c r="D371" s="31" t="s">
        <v>638</v>
      </c>
      <c r="E371" s="863">
        <f t="shared" ca="1" si="39"/>
        <v>-29849</v>
      </c>
      <c r="F371" s="864">
        <f t="shared" ca="1" si="36"/>
        <v>-48309</v>
      </c>
      <c r="G371" s="1254">
        <v>59.354999999999997</v>
      </c>
      <c r="H371" s="1310">
        <f t="shared" si="37"/>
        <v>-311.01002442928149</v>
      </c>
      <c r="I371" s="2191">
        <f t="shared" ca="1" si="38"/>
        <v>-380</v>
      </c>
      <c r="J371" s="2392"/>
      <c r="L371">
        <f t="shared" ca="1" si="35"/>
        <v>724</v>
      </c>
    </row>
    <row r="372" spans="1:12" ht="19">
      <c r="A372" s="860">
        <v>45517</v>
      </c>
      <c r="B372" s="875">
        <v>-14100</v>
      </c>
      <c r="C372" s="500">
        <f t="shared" si="34"/>
        <v>9133491</v>
      </c>
      <c r="D372" s="31" t="s">
        <v>638</v>
      </c>
      <c r="E372" s="863">
        <f t="shared" ca="1" si="39"/>
        <v>-22701</v>
      </c>
      <c r="F372" s="864">
        <f t="shared" ca="1" si="36"/>
        <v>-36801</v>
      </c>
      <c r="G372" s="1254">
        <v>59.59</v>
      </c>
      <c r="H372" s="1310">
        <f t="shared" si="37"/>
        <v>-236.61688202718577</v>
      </c>
      <c r="I372" s="2191">
        <f t="shared" ca="1" si="38"/>
        <v>-289</v>
      </c>
      <c r="J372" s="2392"/>
      <c r="L372">
        <f t="shared" ca="1" si="35"/>
        <v>722</v>
      </c>
    </row>
    <row r="373" spans="1:12" ht="19">
      <c r="A373" s="860">
        <v>45517</v>
      </c>
      <c r="B373" s="875">
        <v>-7054</v>
      </c>
      <c r="C373" s="500">
        <f t="shared" si="34"/>
        <v>9126437</v>
      </c>
      <c r="D373" s="31" t="s">
        <v>638</v>
      </c>
      <c r="E373" s="863">
        <f t="shared" ca="1" si="39"/>
        <v>-11357</v>
      </c>
      <c r="F373" s="864">
        <f t="shared" ca="1" si="36"/>
        <v>-18411</v>
      </c>
      <c r="G373" s="1254">
        <v>59.59</v>
      </c>
      <c r="H373" s="1310">
        <f t="shared" si="37"/>
        <v>-118.37556637019634</v>
      </c>
      <c r="I373" s="2191">
        <f t="shared" ca="1" si="38"/>
        <v>-145</v>
      </c>
      <c r="J373" s="2392"/>
      <c r="L373">
        <f t="shared" ca="1" si="35"/>
        <v>722</v>
      </c>
    </row>
    <row r="374" spans="1:12" ht="19">
      <c r="A374" s="860">
        <v>45524</v>
      </c>
      <c r="B374" s="875">
        <v>-2200</v>
      </c>
      <c r="C374" s="500">
        <f t="shared" si="34"/>
        <v>9124237</v>
      </c>
      <c r="D374" s="31" t="s">
        <v>638</v>
      </c>
      <c r="E374" s="863">
        <f t="shared" ca="1" si="39"/>
        <v>-3489</v>
      </c>
      <c r="F374" s="864">
        <f t="shared" ca="1" si="36"/>
        <v>-5689</v>
      </c>
      <c r="G374" s="1254">
        <v>58.432499999999997</v>
      </c>
      <c r="H374" s="1310">
        <f t="shared" si="37"/>
        <v>-37.650280237881319</v>
      </c>
      <c r="I374" s="2191">
        <f t="shared" ca="1" si="38"/>
        <v>-46</v>
      </c>
      <c r="J374" s="2392"/>
      <c r="L374">
        <f t="shared" ca="1" si="35"/>
        <v>715</v>
      </c>
    </row>
    <row r="375" spans="1:12" ht="19">
      <c r="A375" s="860">
        <v>45525</v>
      </c>
      <c r="B375" s="1055">
        <v>85380</v>
      </c>
      <c r="C375" s="500">
        <f t="shared" si="34"/>
        <v>9209617</v>
      </c>
      <c r="D375" s="1142" t="s">
        <v>748</v>
      </c>
      <c r="E375" s="863">
        <f t="shared" si="39"/>
        <v>0</v>
      </c>
      <c r="F375" s="864">
        <f t="shared" si="36"/>
        <v>0</v>
      </c>
      <c r="G375" s="1254">
        <v>58.307499999999997</v>
      </c>
      <c r="H375" s="1310">
        <f t="shared" si="37"/>
        <v>1464.3056210607556</v>
      </c>
      <c r="I375" s="2191">
        <f t="shared" si="38"/>
        <v>0</v>
      </c>
      <c r="J375" s="2392"/>
      <c r="L375">
        <f t="shared" ca="1" si="35"/>
        <v>714</v>
      </c>
    </row>
    <row r="376" spans="1:12" ht="19">
      <c r="A376" s="860">
        <v>45532</v>
      </c>
      <c r="B376" s="875">
        <v>-11000</v>
      </c>
      <c r="C376" s="500">
        <f t="shared" si="34"/>
        <v>9198617</v>
      </c>
      <c r="D376" s="31" t="s">
        <v>638</v>
      </c>
      <c r="E376" s="863">
        <f t="shared" ca="1" si="39"/>
        <v>-17144</v>
      </c>
      <c r="F376" s="864">
        <f t="shared" ca="1" si="36"/>
        <v>-28144</v>
      </c>
      <c r="G376" s="1254">
        <v>59.27</v>
      </c>
      <c r="H376" s="1310">
        <f t="shared" si="37"/>
        <v>-185.5913615657162</v>
      </c>
      <c r="I376" s="2191">
        <f t="shared" ca="1" si="38"/>
        <v>-226</v>
      </c>
      <c r="J376" s="2392"/>
      <c r="L376">
        <f t="shared" ca="1" si="35"/>
        <v>707</v>
      </c>
    </row>
    <row r="377" spans="1:12" ht="19">
      <c r="A377" s="860">
        <v>45535</v>
      </c>
      <c r="B377" s="875">
        <v>-155486</v>
      </c>
      <c r="C377" s="500">
        <f t="shared" si="34"/>
        <v>9043131</v>
      </c>
      <c r="D377" s="31" t="s">
        <v>750</v>
      </c>
      <c r="E377" s="863">
        <f t="shared" ca="1" si="39"/>
        <v>-240736</v>
      </c>
      <c r="F377" s="864">
        <f t="shared" ca="1" si="36"/>
        <v>-396222</v>
      </c>
      <c r="G377" s="1254">
        <v>59.53</v>
      </c>
      <c r="H377" s="1310">
        <f t="shared" si="37"/>
        <v>-2611.8931631110363</v>
      </c>
      <c r="I377" s="2191">
        <f t="shared" ca="1" si="38"/>
        <v>-3168</v>
      </c>
      <c r="J377" s="2392"/>
      <c r="L377">
        <f t="shared" ca="1" si="35"/>
        <v>704</v>
      </c>
    </row>
    <row r="378" spans="1:12" ht="19">
      <c r="A378" s="860">
        <v>45544</v>
      </c>
      <c r="B378" s="875">
        <v>-34770</v>
      </c>
      <c r="C378" s="500">
        <f t="shared" si="34"/>
        <v>9008361</v>
      </c>
      <c r="D378" s="31" t="s">
        <v>638</v>
      </c>
      <c r="E378" s="863">
        <f t="shared" ca="1" si="39"/>
        <v>-52781</v>
      </c>
      <c r="F378" s="864">
        <f t="shared" ca="1" si="36"/>
        <v>-87551</v>
      </c>
      <c r="G378" s="1254">
        <v>59.62</v>
      </c>
      <c r="H378" s="1310">
        <f t="shared" si="37"/>
        <v>-583.19355920831936</v>
      </c>
      <c r="I378" s="2191">
        <f t="shared" ca="1" si="38"/>
        <v>-706</v>
      </c>
      <c r="J378" s="2392"/>
      <c r="L378">
        <f t="shared" ca="1" si="35"/>
        <v>695</v>
      </c>
    </row>
    <row r="379" spans="1:12" ht="19">
      <c r="A379" s="860">
        <v>45546</v>
      </c>
      <c r="B379" s="875">
        <v>-1295</v>
      </c>
      <c r="C379" s="500">
        <f t="shared" si="34"/>
        <v>9007066</v>
      </c>
      <c r="D379" s="31" t="s">
        <v>638</v>
      </c>
      <c r="E379" s="863">
        <f t="shared" ca="1" si="39"/>
        <v>-1958</v>
      </c>
      <c r="F379" s="864">
        <f t="shared" ca="1" si="36"/>
        <v>-3253</v>
      </c>
      <c r="G379" s="1254">
        <v>59.66</v>
      </c>
      <c r="H379" s="1310">
        <f t="shared" si="37"/>
        <v>-21.706335903452899</v>
      </c>
      <c r="I379" s="2191">
        <f t="shared" ca="1" si="38"/>
        <v>-27</v>
      </c>
      <c r="J379" s="2392"/>
      <c r="L379">
        <f t="shared" ca="1" si="35"/>
        <v>693</v>
      </c>
    </row>
    <row r="380" spans="1:12" ht="19">
      <c r="A380" s="860">
        <v>45551</v>
      </c>
      <c r="B380" s="875">
        <v>-24400</v>
      </c>
      <c r="C380" s="500">
        <f t="shared" si="34"/>
        <v>8982666</v>
      </c>
      <c r="D380" s="31" t="s">
        <v>638</v>
      </c>
      <c r="E380" s="863">
        <f t="shared" ca="1" si="39"/>
        <v>-36471</v>
      </c>
      <c r="F380" s="864">
        <f t="shared" ca="1" si="36"/>
        <v>-60871</v>
      </c>
      <c r="G380" s="1254">
        <v>59.115000000000002</v>
      </c>
      <c r="H380" s="1310">
        <f t="shared" si="37"/>
        <v>-412.75479996616764</v>
      </c>
      <c r="I380" s="2191">
        <f t="shared" ca="1" si="38"/>
        <v>-499</v>
      </c>
      <c r="J380" s="2392"/>
      <c r="L380">
        <f t="shared" ca="1" si="35"/>
        <v>688</v>
      </c>
    </row>
    <row r="381" spans="1:12" ht="19">
      <c r="A381" s="860">
        <v>45553</v>
      </c>
      <c r="B381" s="875">
        <v>1900000</v>
      </c>
      <c r="C381" s="500">
        <f t="shared" si="34"/>
        <v>10882666</v>
      </c>
      <c r="D381" s="31" t="s">
        <v>747</v>
      </c>
      <c r="E381" s="863">
        <f t="shared" ca="1" si="39"/>
        <v>2827301</v>
      </c>
      <c r="F381" s="864">
        <f t="shared" ca="1" si="36"/>
        <v>4727301</v>
      </c>
      <c r="G381" s="1254">
        <v>59.487499999999997</v>
      </c>
      <c r="H381" s="1310">
        <f t="shared" si="37"/>
        <v>31939.483084681659</v>
      </c>
      <c r="I381" s="2191">
        <f t="shared" ca="1" si="38"/>
        <v>38541</v>
      </c>
      <c r="J381" s="2392"/>
      <c r="L381">
        <f t="shared" ca="1" si="35"/>
        <v>686</v>
      </c>
    </row>
    <row r="382" spans="1:12" ht="19">
      <c r="A382" s="860">
        <v>45556</v>
      </c>
      <c r="B382" s="1055">
        <v>71327</v>
      </c>
      <c r="C382" s="500">
        <f t="shared" si="34"/>
        <v>10953993</v>
      </c>
      <c r="D382" s="1142" t="s">
        <v>748</v>
      </c>
      <c r="E382" s="863">
        <f t="shared" si="39"/>
        <v>0</v>
      </c>
      <c r="F382" s="864">
        <f t="shared" si="36"/>
        <v>0</v>
      </c>
      <c r="G382" s="1254">
        <v>59.487499999999997</v>
      </c>
      <c r="H382" s="1310">
        <f t="shared" si="37"/>
        <v>1199.0250052532044</v>
      </c>
      <c r="I382" s="2191">
        <f t="shared" si="38"/>
        <v>0</v>
      </c>
      <c r="J382" s="2392"/>
      <c r="L382">
        <f t="shared" ca="1" si="35"/>
        <v>683</v>
      </c>
    </row>
    <row r="383" spans="1:12" ht="19">
      <c r="A383" s="860">
        <v>45566</v>
      </c>
      <c r="B383" s="875">
        <v>500000</v>
      </c>
      <c r="C383" s="500">
        <f t="shared" si="34"/>
        <v>11453993</v>
      </c>
      <c r="D383" s="31" t="s">
        <v>747</v>
      </c>
      <c r="E383" s="863">
        <f t="shared" ca="1" si="39"/>
        <v>722723</v>
      </c>
      <c r="F383" s="864">
        <f t="shared" ca="1" si="36"/>
        <v>1222723</v>
      </c>
      <c r="G383" s="1254">
        <v>61.03</v>
      </c>
      <c r="H383" s="1310">
        <f t="shared" si="37"/>
        <v>8192.6921186301824</v>
      </c>
      <c r="I383" s="2191">
        <f t="shared" ca="1" si="38"/>
        <v>9851</v>
      </c>
      <c r="J383" s="2392"/>
      <c r="L383">
        <f t="shared" ca="1" si="35"/>
        <v>673</v>
      </c>
    </row>
    <row r="384" spans="1:12" ht="19">
      <c r="A384" s="860">
        <v>45566</v>
      </c>
      <c r="B384" s="875">
        <v>348000</v>
      </c>
      <c r="C384" s="500">
        <f t="shared" si="34"/>
        <v>11801993</v>
      </c>
      <c r="D384" s="31" t="s">
        <v>747</v>
      </c>
      <c r="E384" s="863">
        <f t="shared" ca="1" si="39"/>
        <v>503015</v>
      </c>
      <c r="F384" s="864">
        <f t="shared" ca="1" si="36"/>
        <v>851015</v>
      </c>
      <c r="G384" s="1254">
        <v>61.03</v>
      </c>
      <c r="H384" s="1310">
        <f t="shared" si="37"/>
        <v>5702.1137145666062</v>
      </c>
      <c r="I384" s="2191">
        <f t="shared" ca="1" si="38"/>
        <v>6857</v>
      </c>
      <c r="J384" s="2392"/>
      <c r="L384">
        <f t="shared" ca="1" si="35"/>
        <v>673</v>
      </c>
    </row>
    <row r="385" spans="1:12" ht="19">
      <c r="A385" s="860">
        <v>45566</v>
      </c>
      <c r="B385" s="875">
        <v>-48000</v>
      </c>
      <c r="C385" s="500">
        <f t="shared" si="34"/>
        <v>11753993</v>
      </c>
      <c r="D385" s="31" t="s">
        <v>638</v>
      </c>
      <c r="E385" s="863">
        <f t="shared" ca="1" si="39"/>
        <v>-69382</v>
      </c>
      <c r="F385" s="864">
        <f t="shared" ca="1" si="36"/>
        <v>-117382</v>
      </c>
      <c r="G385" s="1254">
        <v>61.03</v>
      </c>
      <c r="H385" s="1310">
        <f t="shared" si="37"/>
        <v>-786.49844338849744</v>
      </c>
      <c r="I385" s="2191">
        <f t="shared" ca="1" si="38"/>
        <v>-946</v>
      </c>
      <c r="J385" s="2392"/>
      <c r="L385">
        <f t="shared" ca="1" si="35"/>
        <v>673</v>
      </c>
    </row>
    <row r="386" spans="1:12" ht="19">
      <c r="A386" s="860">
        <v>45566</v>
      </c>
      <c r="B386" s="875">
        <v>-1239535</v>
      </c>
      <c r="C386" s="500">
        <f t="shared" si="34"/>
        <v>10514458</v>
      </c>
      <c r="D386" s="31" t="s">
        <v>750</v>
      </c>
      <c r="E386" s="863">
        <f t="shared" ca="1" si="39"/>
        <v>-1791680</v>
      </c>
      <c r="F386" s="864">
        <f t="shared" ca="1" si="36"/>
        <v>-3031215</v>
      </c>
      <c r="G386" s="1254">
        <v>61.03</v>
      </c>
      <c r="H386" s="1310">
        <f t="shared" si="37"/>
        <v>-20310.257250532526</v>
      </c>
      <c r="I386" s="2191">
        <f t="shared" ca="1" si="38"/>
        <v>-24421</v>
      </c>
      <c r="J386" s="2392"/>
      <c r="L386">
        <f t="shared" ca="1" si="35"/>
        <v>673</v>
      </c>
    </row>
    <row r="387" spans="1:12" ht="19">
      <c r="A387" s="860">
        <v>45571</v>
      </c>
      <c r="B387" s="875">
        <v>-124300</v>
      </c>
      <c r="C387" s="500">
        <f t="shared" ref="C387:C450" si="40">C386+B387</f>
        <v>10390158</v>
      </c>
      <c r="D387" s="31" t="s">
        <v>638</v>
      </c>
      <c r="E387" s="863">
        <f t="shared" ca="1" si="39"/>
        <v>-177657</v>
      </c>
      <c r="F387" s="864">
        <f t="shared" ca="1" si="36"/>
        <v>-301957</v>
      </c>
      <c r="G387" s="1254">
        <v>62.95</v>
      </c>
      <c r="H387" s="1310">
        <f t="shared" si="37"/>
        <v>-1974.5830023828435</v>
      </c>
      <c r="I387" s="2191">
        <f t="shared" ca="1" si="38"/>
        <v>-2371</v>
      </c>
      <c r="J387" s="2392"/>
      <c r="L387">
        <f t="shared" ref="L387:L450" ca="1" si="41">$E$1-A387</f>
        <v>668</v>
      </c>
    </row>
    <row r="388" spans="1:12" ht="19">
      <c r="A388" s="860">
        <v>45572</v>
      </c>
      <c r="B388" s="875">
        <v>824300</v>
      </c>
      <c r="C388" s="500">
        <f t="shared" si="40"/>
        <v>11214458</v>
      </c>
      <c r="D388" s="31" t="s">
        <v>747</v>
      </c>
      <c r="E388" s="863">
        <f t="shared" ca="1" si="39"/>
        <v>1175474</v>
      </c>
      <c r="F388" s="864">
        <f t="shared" ref="F388:F412" ca="1" si="42">IF(D388="Hami Interest",0,ROUNDUP(B388*(1+$F$1/12)^(($E$1-A388)/30),0))</f>
        <v>1999774</v>
      </c>
      <c r="G388" s="1254">
        <v>63.075000000000003</v>
      </c>
      <c r="H388" s="1310">
        <f t="shared" si="37"/>
        <v>13068.569163694014</v>
      </c>
      <c r="I388" s="2191">
        <f t="shared" ca="1" si="38"/>
        <v>15688</v>
      </c>
      <c r="J388" s="2392"/>
      <c r="L388">
        <f t="shared" ca="1" si="41"/>
        <v>667</v>
      </c>
    </row>
    <row r="389" spans="1:12" ht="19">
      <c r="A389" s="860">
        <v>45585</v>
      </c>
      <c r="B389" s="875">
        <v>-4522</v>
      </c>
      <c r="C389" s="500">
        <f t="shared" si="40"/>
        <v>11209936</v>
      </c>
      <c r="D389" s="31" t="s">
        <v>638</v>
      </c>
      <c r="E389" s="863">
        <f t="shared" ca="1" si="39"/>
        <v>-6261</v>
      </c>
      <c r="F389" s="864">
        <f t="shared" ca="1" si="42"/>
        <v>-10783</v>
      </c>
      <c r="G389" s="1254">
        <v>64.192499999999995</v>
      </c>
      <c r="H389" s="1310">
        <f t="shared" si="37"/>
        <v>-70.444366553725132</v>
      </c>
      <c r="I389" s="2191">
        <f t="shared" ca="1" si="38"/>
        <v>-85</v>
      </c>
      <c r="J389" s="2392"/>
      <c r="L389">
        <f t="shared" ca="1" si="41"/>
        <v>654</v>
      </c>
    </row>
    <row r="390" spans="1:12" ht="19">
      <c r="A390" s="860">
        <v>45585</v>
      </c>
      <c r="B390" s="875">
        <v>104521</v>
      </c>
      <c r="C390" s="500">
        <f t="shared" si="40"/>
        <v>11314457</v>
      </c>
      <c r="D390" s="31" t="s">
        <v>747</v>
      </c>
      <c r="E390" s="863">
        <f t="shared" ca="1" si="39"/>
        <v>144708</v>
      </c>
      <c r="F390" s="864">
        <f t="shared" ca="1" si="42"/>
        <v>249229</v>
      </c>
      <c r="G390" s="1254">
        <v>64.192499999999995</v>
      </c>
      <c r="H390" s="1310">
        <f t="shared" si="37"/>
        <v>1628.2431748257197</v>
      </c>
      <c r="I390" s="2191">
        <f t="shared" ca="1" si="38"/>
        <v>1948</v>
      </c>
      <c r="J390" s="2392"/>
      <c r="L390">
        <f t="shared" ca="1" si="41"/>
        <v>654</v>
      </c>
    </row>
    <row r="391" spans="1:12" ht="19">
      <c r="A391" s="860">
        <v>45586</v>
      </c>
      <c r="B391" s="875">
        <v>100000</v>
      </c>
      <c r="C391" s="500">
        <f t="shared" si="40"/>
        <v>11414457</v>
      </c>
      <c r="D391" s="31" t="s">
        <v>747</v>
      </c>
      <c r="E391" s="863">
        <f t="shared" ca="1" si="39"/>
        <v>138132</v>
      </c>
      <c r="F391" s="864">
        <f t="shared" ca="1" si="42"/>
        <v>238132</v>
      </c>
      <c r="G391" s="1254">
        <v>64.510000000000005</v>
      </c>
      <c r="H391" s="1310">
        <f t="shared" si="37"/>
        <v>1550.147263990079</v>
      </c>
      <c r="I391" s="2191">
        <f t="shared" ca="1" si="38"/>
        <v>1854</v>
      </c>
      <c r="J391" s="2392"/>
      <c r="L391">
        <f t="shared" ca="1" si="41"/>
        <v>653</v>
      </c>
    </row>
    <row r="392" spans="1:12" ht="19">
      <c r="A392" s="860">
        <v>45586</v>
      </c>
      <c r="B392" s="875">
        <v>100000</v>
      </c>
      <c r="C392" s="500">
        <f t="shared" si="40"/>
        <v>11514457</v>
      </c>
      <c r="D392" s="31" t="s">
        <v>747</v>
      </c>
      <c r="E392" s="863">
        <f t="shared" ca="1" si="39"/>
        <v>138132</v>
      </c>
      <c r="F392" s="864">
        <f t="shared" ca="1" si="42"/>
        <v>238132</v>
      </c>
      <c r="G392" s="1254">
        <v>64.510000000000005</v>
      </c>
      <c r="H392" s="1310">
        <f t="shared" ref="H392:H448" si="43">B392/G392</f>
        <v>1550.147263990079</v>
      </c>
      <c r="I392" s="2191">
        <f t="shared" ref="I392:I448" ca="1" si="44">IF(D392="Hami Interest",0,ROUNDUP(H392*(1+$I$1/12)^(($E$1-A392)/30),0))</f>
        <v>1854</v>
      </c>
      <c r="J392" s="2392"/>
      <c r="L392">
        <f t="shared" ca="1" si="41"/>
        <v>653</v>
      </c>
    </row>
    <row r="393" spans="1:12" ht="19">
      <c r="A393" s="860">
        <v>45586</v>
      </c>
      <c r="B393" s="1055">
        <v>107923</v>
      </c>
      <c r="C393" s="500">
        <f t="shared" si="40"/>
        <v>11622380</v>
      </c>
      <c r="D393" s="1142" t="s">
        <v>748</v>
      </c>
      <c r="E393" s="863">
        <f t="shared" si="39"/>
        <v>0</v>
      </c>
      <c r="F393" s="864">
        <f t="shared" si="42"/>
        <v>0</v>
      </c>
      <c r="G393" s="1254">
        <v>64.510000000000005</v>
      </c>
      <c r="H393" s="1310">
        <f t="shared" si="43"/>
        <v>1672.965431716013</v>
      </c>
      <c r="I393" s="2191">
        <f t="shared" si="44"/>
        <v>0</v>
      </c>
      <c r="J393" s="2392"/>
      <c r="L393">
        <f t="shared" ca="1" si="41"/>
        <v>653</v>
      </c>
    </row>
    <row r="394" spans="1:12" ht="19">
      <c r="A394" s="860">
        <v>45592</v>
      </c>
      <c r="B394" s="875">
        <v>65525</v>
      </c>
      <c r="C394" s="500">
        <f t="shared" si="40"/>
        <v>11687905</v>
      </c>
      <c r="D394" s="31" t="s">
        <v>747</v>
      </c>
      <c r="E394" s="863">
        <f t="shared" ref="E394:E412" ca="1" si="45">IF(F394=0,0,F394-B394)</f>
        <v>89272</v>
      </c>
      <c r="F394" s="864">
        <f t="shared" ca="1" si="42"/>
        <v>154797</v>
      </c>
      <c r="G394" s="1254">
        <v>66.082499999999996</v>
      </c>
      <c r="H394" s="1310">
        <f t="shared" si="43"/>
        <v>991.56357583323881</v>
      </c>
      <c r="I394" s="2191">
        <f t="shared" ca="1" si="44"/>
        <v>1184</v>
      </c>
      <c r="J394" s="2392"/>
      <c r="L394">
        <f t="shared" ca="1" si="41"/>
        <v>647</v>
      </c>
    </row>
    <row r="395" spans="1:12" ht="19">
      <c r="A395" s="860">
        <v>45592</v>
      </c>
      <c r="B395" s="875">
        <v>-15525</v>
      </c>
      <c r="C395" s="500">
        <f t="shared" si="40"/>
        <v>11672380</v>
      </c>
      <c r="D395" s="31" t="s">
        <v>638</v>
      </c>
      <c r="E395" s="863">
        <f t="shared" ca="1" si="45"/>
        <v>-21152</v>
      </c>
      <c r="F395" s="864">
        <f t="shared" ca="1" si="42"/>
        <v>-36677</v>
      </c>
      <c r="G395" s="1254">
        <v>66.082499999999996</v>
      </c>
      <c r="H395" s="1310">
        <f t="shared" si="43"/>
        <v>-234.93360572012259</v>
      </c>
      <c r="I395" s="2191">
        <f t="shared" ca="1" si="44"/>
        <v>-281</v>
      </c>
      <c r="J395" s="2392"/>
      <c r="L395">
        <f t="shared" ca="1" si="41"/>
        <v>647</v>
      </c>
    </row>
    <row r="396" spans="1:12" ht="19">
      <c r="A396" s="860">
        <v>45594</v>
      </c>
      <c r="B396" s="1055">
        <v>45652</v>
      </c>
      <c r="C396" s="500">
        <f t="shared" si="40"/>
        <v>11718032</v>
      </c>
      <c r="D396" s="1142" t="s">
        <v>748</v>
      </c>
      <c r="E396" s="863">
        <f t="shared" si="45"/>
        <v>0</v>
      </c>
      <c r="F396" s="864">
        <f t="shared" si="42"/>
        <v>0</v>
      </c>
      <c r="G396" s="1254">
        <v>68.122500000000002</v>
      </c>
      <c r="H396" s="1310">
        <f t="shared" si="43"/>
        <v>670.14569341994195</v>
      </c>
      <c r="I396" s="2191">
        <f t="shared" si="44"/>
        <v>0</v>
      </c>
      <c r="J396" s="2392"/>
      <c r="L396">
        <f t="shared" ca="1" si="41"/>
        <v>645</v>
      </c>
    </row>
    <row r="397" spans="1:12" ht="19">
      <c r="A397" s="860">
        <v>45595</v>
      </c>
      <c r="B397" s="875">
        <v>-8400</v>
      </c>
      <c r="C397" s="500">
        <f t="shared" si="40"/>
        <v>11709632</v>
      </c>
      <c r="D397" s="31" t="s">
        <v>638</v>
      </c>
      <c r="E397" s="863">
        <f t="shared" ca="1" si="45"/>
        <v>-11366</v>
      </c>
      <c r="F397" s="864">
        <f t="shared" ca="1" si="42"/>
        <v>-19766</v>
      </c>
      <c r="G397" s="1254">
        <v>68.900000000000006</v>
      </c>
      <c r="H397" s="1310">
        <f t="shared" si="43"/>
        <v>-121.91582002902757</v>
      </c>
      <c r="I397" s="2191">
        <f t="shared" ca="1" si="44"/>
        <v>-146</v>
      </c>
      <c r="J397" s="2392"/>
      <c r="L397">
        <f t="shared" ca="1" si="41"/>
        <v>644</v>
      </c>
    </row>
    <row r="398" spans="1:12" ht="19">
      <c r="A398" s="860">
        <v>45605</v>
      </c>
      <c r="B398" s="875">
        <v>158400</v>
      </c>
      <c r="C398" s="500">
        <f t="shared" si="40"/>
        <v>11868032</v>
      </c>
      <c r="D398" s="31" t="s">
        <v>747</v>
      </c>
      <c r="E398" s="863">
        <f t="shared" ca="1" si="45"/>
        <v>209397</v>
      </c>
      <c r="F398" s="864">
        <f t="shared" ca="1" si="42"/>
        <v>367797</v>
      </c>
      <c r="G398" s="1254">
        <v>69.385000000000005</v>
      </c>
      <c r="H398" s="1310">
        <f t="shared" si="43"/>
        <v>2282.9141745334005</v>
      </c>
      <c r="I398" s="2191">
        <f t="shared" ca="1" si="44"/>
        <v>2716</v>
      </c>
      <c r="J398" s="2392"/>
      <c r="L398">
        <f t="shared" ca="1" si="41"/>
        <v>634</v>
      </c>
    </row>
    <row r="399" spans="1:12" ht="19">
      <c r="A399" s="860">
        <v>45609</v>
      </c>
      <c r="B399" s="875">
        <v>-107440</v>
      </c>
      <c r="C399" s="500">
        <f t="shared" si="40"/>
        <v>11760592</v>
      </c>
      <c r="D399" s="31" t="s">
        <v>638</v>
      </c>
      <c r="E399" s="863">
        <f t="shared" ca="1" si="45"/>
        <v>-140708</v>
      </c>
      <c r="F399" s="864">
        <f t="shared" ca="1" si="42"/>
        <v>-248148</v>
      </c>
      <c r="G399" s="1254">
        <v>68.400000000000006</v>
      </c>
      <c r="H399" s="1310">
        <f t="shared" si="43"/>
        <v>-1570.7602339181285</v>
      </c>
      <c r="I399" s="2191">
        <f t="shared" ca="1" si="44"/>
        <v>-1867</v>
      </c>
      <c r="J399" s="2392"/>
      <c r="L399">
        <f t="shared" ca="1" si="41"/>
        <v>630</v>
      </c>
    </row>
    <row r="400" spans="1:12" ht="19">
      <c r="A400" s="860">
        <v>45609</v>
      </c>
      <c r="B400" s="875">
        <v>-32700</v>
      </c>
      <c r="C400" s="500">
        <f t="shared" si="40"/>
        <v>11727892</v>
      </c>
      <c r="D400" s="31" t="s">
        <v>638</v>
      </c>
      <c r="E400" s="863">
        <f t="shared" ca="1" si="45"/>
        <v>-42826</v>
      </c>
      <c r="F400" s="864">
        <f t="shared" ca="1" si="42"/>
        <v>-75526</v>
      </c>
      <c r="G400" s="1254">
        <v>68.400000000000006</v>
      </c>
      <c r="H400" s="1310">
        <f t="shared" si="43"/>
        <v>-478.07017543859644</v>
      </c>
      <c r="I400" s="2191">
        <f t="shared" ca="1" si="44"/>
        <v>-569</v>
      </c>
      <c r="J400" s="2392"/>
      <c r="L400">
        <f t="shared" ca="1" si="41"/>
        <v>630</v>
      </c>
    </row>
    <row r="401" spans="1:12" ht="19">
      <c r="A401" s="860">
        <v>45613</v>
      </c>
      <c r="B401" s="875">
        <v>-56000</v>
      </c>
      <c r="C401" s="500">
        <f t="shared" si="40"/>
        <v>11671892</v>
      </c>
      <c r="D401" s="31" t="s">
        <v>638</v>
      </c>
      <c r="E401" s="863">
        <f t="shared" ca="1" si="45"/>
        <v>-72655</v>
      </c>
      <c r="F401" s="864">
        <f t="shared" ca="1" si="42"/>
        <v>-128655</v>
      </c>
      <c r="G401" s="1254">
        <v>68.502499999999998</v>
      </c>
      <c r="H401" s="1310">
        <f t="shared" si="43"/>
        <v>-817.48841283164847</v>
      </c>
      <c r="I401" s="2191">
        <f t="shared" ca="1" si="44"/>
        <v>-971</v>
      </c>
      <c r="J401" s="2392"/>
      <c r="L401">
        <f t="shared" ca="1" si="41"/>
        <v>626</v>
      </c>
    </row>
    <row r="402" spans="1:12" ht="19">
      <c r="A402" s="860">
        <v>45616</v>
      </c>
      <c r="B402" s="1055">
        <v>97865</v>
      </c>
      <c r="C402" s="500">
        <f t="shared" si="40"/>
        <v>11769757</v>
      </c>
      <c r="D402" s="1142" t="s">
        <v>748</v>
      </c>
      <c r="E402" s="863">
        <f t="shared" si="45"/>
        <v>0</v>
      </c>
      <c r="F402" s="864">
        <f t="shared" si="42"/>
        <v>0</v>
      </c>
      <c r="G402" s="1254">
        <v>69.2</v>
      </c>
      <c r="H402" s="1310">
        <f t="shared" si="43"/>
        <v>1414.2341040462427</v>
      </c>
      <c r="I402" s="2191">
        <f t="shared" si="44"/>
        <v>0</v>
      </c>
      <c r="J402" s="2392"/>
      <c r="L402">
        <f t="shared" ca="1" si="41"/>
        <v>623</v>
      </c>
    </row>
    <row r="403" spans="1:12" ht="19">
      <c r="A403" s="860">
        <v>45617</v>
      </c>
      <c r="B403" s="875">
        <v>-2753860</v>
      </c>
      <c r="C403" s="500">
        <f t="shared" si="40"/>
        <v>9015897</v>
      </c>
      <c r="D403" s="31" t="s">
        <v>750</v>
      </c>
      <c r="E403" s="863">
        <f t="shared" ca="1" si="45"/>
        <v>-3539317</v>
      </c>
      <c r="F403" s="864">
        <f t="shared" ca="1" si="42"/>
        <v>-6293177</v>
      </c>
      <c r="G403" s="1254">
        <v>69.215000000000003</v>
      </c>
      <c r="H403" s="1310">
        <f t="shared" si="43"/>
        <v>-39787.040381420207</v>
      </c>
      <c r="I403" s="2191">
        <f t="shared" ca="1" si="44"/>
        <v>-47177</v>
      </c>
      <c r="J403" s="2392"/>
      <c r="L403">
        <f t="shared" ca="1" si="41"/>
        <v>622</v>
      </c>
    </row>
    <row r="404" spans="1:12" ht="19">
      <c r="A404" s="860">
        <v>45620</v>
      </c>
      <c r="B404" s="875">
        <v>-12600</v>
      </c>
      <c r="C404" s="500">
        <f t="shared" si="40"/>
        <v>9003297</v>
      </c>
      <c r="D404" s="31" t="s">
        <v>638</v>
      </c>
      <c r="E404" s="863">
        <f t="shared" ca="1" si="45"/>
        <v>-16080</v>
      </c>
      <c r="F404" s="864">
        <f t="shared" ca="1" si="42"/>
        <v>-28680</v>
      </c>
      <c r="G404" s="1254">
        <v>69.38</v>
      </c>
      <c r="H404" s="1310">
        <f t="shared" si="43"/>
        <v>-181.60853271836265</v>
      </c>
      <c r="I404" s="2191">
        <f t="shared" ca="1" si="44"/>
        <v>-216</v>
      </c>
      <c r="J404" s="2392"/>
      <c r="L404">
        <f t="shared" ca="1" si="41"/>
        <v>619</v>
      </c>
    </row>
    <row r="405" spans="1:12" ht="19">
      <c r="A405" s="860">
        <v>45621</v>
      </c>
      <c r="B405" s="1055">
        <v>13209</v>
      </c>
      <c r="C405" s="500">
        <f t="shared" si="40"/>
        <v>9016506</v>
      </c>
      <c r="D405" s="1142" t="s">
        <v>748</v>
      </c>
      <c r="E405" s="863">
        <f t="shared" si="45"/>
        <v>0</v>
      </c>
      <c r="F405" s="864">
        <f t="shared" si="42"/>
        <v>0</v>
      </c>
      <c r="G405" s="1254">
        <v>68.724999999999994</v>
      </c>
      <c r="H405" s="1310">
        <f t="shared" si="43"/>
        <v>192.20080029101493</v>
      </c>
      <c r="I405" s="2191">
        <f t="shared" si="44"/>
        <v>0</v>
      </c>
      <c r="J405" s="2392"/>
      <c r="L405">
        <f t="shared" ca="1" si="41"/>
        <v>618</v>
      </c>
    </row>
    <row r="406" spans="1:12" ht="19">
      <c r="A406" s="860">
        <v>45643</v>
      </c>
      <c r="B406" s="875">
        <v>38451</v>
      </c>
      <c r="C406" s="500">
        <f t="shared" si="40"/>
        <v>9054957</v>
      </c>
      <c r="D406" s="31" t="s">
        <v>747</v>
      </c>
      <c r="E406" s="863">
        <f t="shared" ca="1" si="45"/>
        <v>46435</v>
      </c>
      <c r="F406" s="864">
        <f t="shared" ca="1" si="42"/>
        <v>84886</v>
      </c>
      <c r="G406" s="1254">
        <v>76.599999999999994</v>
      </c>
      <c r="H406" s="1310">
        <f t="shared" si="43"/>
        <v>501.97127937336819</v>
      </c>
      <c r="I406" s="2191">
        <f t="shared" ca="1" si="44"/>
        <v>591</v>
      </c>
      <c r="J406" s="2392"/>
      <c r="L406">
        <f t="shared" ca="1" si="41"/>
        <v>596</v>
      </c>
    </row>
    <row r="407" spans="1:12" ht="19">
      <c r="A407" s="860">
        <v>45643</v>
      </c>
      <c r="B407" s="875">
        <v>-75850</v>
      </c>
      <c r="C407" s="500">
        <f t="shared" si="40"/>
        <v>8979107</v>
      </c>
      <c r="D407" s="31" t="s">
        <v>638</v>
      </c>
      <c r="E407" s="863">
        <f t="shared" ca="1" si="45"/>
        <v>-91599</v>
      </c>
      <c r="F407" s="864">
        <f t="shared" ca="1" si="42"/>
        <v>-167449</v>
      </c>
      <c r="G407" s="1254">
        <v>76.599999999999994</v>
      </c>
      <c r="H407" s="1310">
        <f t="shared" si="43"/>
        <v>-990.20887728459536</v>
      </c>
      <c r="I407" s="2191">
        <f t="shared" ca="1" si="44"/>
        <v>-1166</v>
      </c>
      <c r="J407" s="2392"/>
      <c r="L407">
        <f t="shared" ca="1" si="41"/>
        <v>596</v>
      </c>
    </row>
    <row r="408" spans="1:12" ht="19">
      <c r="A408" s="860">
        <v>45646</v>
      </c>
      <c r="B408" s="1055">
        <v>68513</v>
      </c>
      <c r="C408" s="500">
        <f t="shared" si="40"/>
        <v>9047620</v>
      </c>
      <c r="D408" s="1142" t="s">
        <v>748</v>
      </c>
      <c r="E408" s="863">
        <f t="shared" si="45"/>
        <v>0</v>
      </c>
      <c r="F408" s="864">
        <f t="shared" si="42"/>
        <v>0</v>
      </c>
      <c r="G408" s="1254">
        <v>76.599999999999994</v>
      </c>
      <c r="H408" s="1310">
        <f t="shared" si="43"/>
        <v>894.42558746736302</v>
      </c>
      <c r="I408" s="2191">
        <f t="shared" si="44"/>
        <v>0</v>
      </c>
      <c r="J408" s="2392"/>
      <c r="L408">
        <f t="shared" ca="1" si="41"/>
        <v>593</v>
      </c>
    </row>
    <row r="409" spans="1:12" ht="19">
      <c r="A409" s="860">
        <v>45656</v>
      </c>
      <c r="B409" s="875">
        <v>150000</v>
      </c>
      <c r="C409" s="500">
        <f t="shared" si="40"/>
        <v>9197620</v>
      </c>
      <c r="D409" s="31" t="s">
        <v>747</v>
      </c>
      <c r="E409" s="863">
        <f t="shared" ca="1" si="45"/>
        <v>175473</v>
      </c>
      <c r="F409" s="864">
        <f t="shared" ca="1" si="42"/>
        <v>325473</v>
      </c>
      <c r="G409" s="1254">
        <v>80.402500000000003</v>
      </c>
      <c r="H409" s="1310">
        <f t="shared" si="43"/>
        <v>1865.6136314169335</v>
      </c>
      <c r="I409" s="2191">
        <f t="shared" ca="1" si="44"/>
        <v>2189</v>
      </c>
      <c r="J409" s="2392"/>
      <c r="L409">
        <f t="shared" ca="1" si="41"/>
        <v>583</v>
      </c>
    </row>
    <row r="410" spans="1:12" ht="19">
      <c r="A410" s="860">
        <v>45661</v>
      </c>
      <c r="B410" s="875">
        <v>200000</v>
      </c>
      <c r="C410" s="500">
        <f t="shared" si="40"/>
        <v>9397620</v>
      </c>
      <c r="D410" s="31" t="s">
        <v>747</v>
      </c>
      <c r="E410" s="863">
        <f t="shared" ca="1" si="45"/>
        <v>231090</v>
      </c>
      <c r="F410" s="864">
        <f t="shared" ca="1" si="42"/>
        <v>431090</v>
      </c>
      <c r="G410" s="1254">
        <v>79.599999999999994</v>
      </c>
      <c r="H410" s="1310">
        <f t="shared" si="43"/>
        <v>2512.562814070352</v>
      </c>
      <c r="I410" s="2191">
        <f t="shared" ca="1" si="44"/>
        <v>2944</v>
      </c>
      <c r="J410" s="2392"/>
      <c r="L410">
        <f t="shared" ca="1" si="41"/>
        <v>578</v>
      </c>
    </row>
    <row r="411" spans="1:12" ht="19">
      <c r="A411" s="860">
        <v>45677</v>
      </c>
      <c r="B411" s="1055">
        <v>112733</v>
      </c>
      <c r="C411" s="500">
        <f t="shared" si="40"/>
        <v>9510353</v>
      </c>
      <c r="D411" s="1142" t="s">
        <v>748</v>
      </c>
      <c r="E411" s="863">
        <f t="shared" si="45"/>
        <v>0</v>
      </c>
      <c r="F411" s="864">
        <f t="shared" si="42"/>
        <v>0</v>
      </c>
      <c r="G411" s="1254">
        <v>80.924999999999997</v>
      </c>
      <c r="H411" s="1310">
        <f t="shared" si="43"/>
        <v>1393.055298115539</v>
      </c>
      <c r="I411" s="2191">
        <f t="shared" si="44"/>
        <v>0</v>
      </c>
      <c r="J411" s="2392"/>
      <c r="L411">
        <f t="shared" ca="1" si="41"/>
        <v>562</v>
      </c>
    </row>
    <row r="412" spans="1:12" ht="19">
      <c r="A412" s="860">
        <v>45682</v>
      </c>
      <c r="B412" s="1093">
        <v>8250000</v>
      </c>
      <c r="C412" s="500">
        <f t="shared" si="40"/>
        <v>17760353</v>
      </c>
      <c r="D412" s="31" t="s">
        <v>747</v>
      </c>
      <c r="E412" s="863">
        <f t="shared" ca="1" si="45"/>
        <v>9043125</v>
      </c>
      <c r="F412" s="864">
        <f t="shared" ca="1" si="42"/>
        <v>17293125</v>
      </c>
      <c r="G412" s="1254">
        <v>83.25</v>
      </c>
      <c r="H412" s="1310">
        <f t="shared" si="43"/>
        <v>99099.099099099098</v>
      </c>
      <c r="I412" s="2191">
        <f t="shared" ca="1" si="44"/>
        <v>115431</v>
      </c>
      <c r="J412" s="2392"/>
      <c r="L412">
        <f t="shared" ca="1" si="41"/>
        <v>557</v>
      </c>
    </row>
    <row r="413" spans="1:12" ht="19">
      <c r="A413" s="860">
        <v>45696</v>
      </c>
      <c r="B413" s="1093">
        <v>600000</v>
      </c>
      <c r="C413" s="500">
        <f t="shared" si="40"/>
        <v>18360353</v>
      </c>
      <c r="D413" s="31" t="s">
        <v>747</v>
      </c>
      <c r="E413" s="863">
        <f ca="1">IF(F413=0,0,F413-B413)</f>
        <v>634503</v>
      </c>
      <c r="F413" s="864">
        <f ca="1">IF(D413="Hami Interest",0,ROUNDUP(B413*(1+$F$1/12)^(($E$1-A413)/30),0))</f>
        <v>1234503</v>
      </c>
      <c r="G413" s="1254">
        <v>88.25</v>
      </c>
      <c r="H413" s="1310">
        <f t="shared" si="43"/>
        <v>6798.8668555240793</v>
      </c>
      <c r="I413" s="2191">
        <f t="shared" ca="1" si="44"/>
        <v>7889</v>
      </c>
      <c r="J413" s="2392"/>
      <c r="L413">
        <f t="shared" ca="1" si="41"/>
        <v>543</v>
      </c>
    </row>
    <row r="414" spans="1:12" ht="19">
      <c r="A414" s="860">
        <v>45708</v>
      </c>
      <c r="B414" s="1055">
        <v>252103</v>
      </c>
      <c r="C414" s="500">
        <f t="shared" si="40"/>
        <v>18612456</v>
      </c>
      <c r="D414" s="1142" t="s">
        <v>748</v>
      </c>
      <c r="E414" s="863">
        <f t="shared" ref="E414:E421" si="46">IF(F414=0,0,F414-B414)</f>
        <v>0</v>
      </c>
      <c r="F414" s="864">
        <f t="shared" ref="F414:F421" si="47">IF(D414="Hami Interest",0,ROUNDUP(B414*(1+$F$1/12)^(($E$1-A414)/30),0))</f>
        <v>0</v>
      </c>
      <c r="G414" s="1254">
        <v>92.02</v>
      </c>
      <c r="H414" s="1310">
        <f t="shared" si="43"/>
        <v>2739.6544229515325</v>
      </c>
      <c r="I414" s="2191">
        <f t="shared" si="44"/>
        <v>0</v>
      </c>
      <c r="J414" s="2392"/>
      <c r="L414">
        <f t="shared" ca="1" si="41"/>
        <v>531</v>
      </c>
    </row>
    <row r="415" spans="1:12" ht="19">
      <c r="A415" s="860">
        <v>45718</v>
      </c>
      <c r="B415" s="1055">
        <v>-255300</v>
      </c>
      <c r="C415" s="500">
        <f t="shared" si="40"/>
        <v>18357156</v>
      </c>
      <c r="D415" s="31" t="s">
        <v>638</v>
      </c>
      <c r="E415" s="863">
        <f t="shared" ca="1" si="46"/>
        <v>-254849</v>
      </c>
      <c r="F415" s="864">
        <f t="shared" ca="1" si="47"/>
        <v>-510149</v>
      </c>
      <c r="G415" s="1254">
        <v>92.33</v>
      </c>
      <c r="H415" s="1310">
        <f t="shared" si="43"/>
        <v>-2765.0817719051229</v>
      </c>
      <c r="I415" s="2191">
        <f t="shared" ca="1" si="44"/>
        <v>-3190</v>
      </c>
      <c r="J415" s="2392"/>
      <c r="L415">
        <f t="shared" ca="1" si="41"/>
        <v>521</v>
      </c>
    </row>
    <row r="416" spans="1:12" ht="19">
      <c r="A416" s="860">
        <v>45719</v>
      </c>
      <c r="B416" s="1055">
        <v>-2000000</v>
      </c>
      <c r="C416" s="500">
        <f t="shared" si="40"/>
        <v>16357156</v>
      </c>
      <c r="D416" s="31" t="s">
        <v>750</v>
      </c>
      <c r="E416" s="863">
        <f t="shared" ca="1" si="46"/>
        <v>-1991155</v>
      </c>
      <c r="F416" s="864">
        <f t="shared" ca="1" si="47"/>
        <v>-3991155</v>
      </c>
      <c r="G416" s="1254">
        <v>92.12</v>
      </c>
      <c r="H416" s="1310">
        <f t="shared" si="43"/>
        <v>-21710.811984368214</v>
      </c>
      <c r="I416" s="2191">
        <f t="shared" ca="1" si="44"/>
        <v>-25034</v>
      </c>
      <c r="J416" s="2392"/>
      <c r="L416">
        <f t="shared" ca="1" si="41"/>
        <v>520</v>
      </c>
    </row>
    <row r="417" spans="1:12" ht="19">
      <c r="A417" s="860">
        <v>45720</v>
      </c>
      <c r="B417" s="1093">
        <v>300000</v>
      </c>
      <c r="C417" s="500">
        <f t="shared" si="40"/>
        <v>16657156</v>
      </c>
      <c r="D417" s="31" t="s">
        <v>747</v>
      </c>
      <c r="E417" s="863">
        <f t="shared" ca="1" si="46"/>
        <v>297879</v>
      </c>
      <c r="F417" s="864">
        <f t="shared" ca="1" si="47"/>
        <v>597879</v>
      </c>
      <c r="G417" s="1254">
        <v>92.12</v>
      </c>
      <c r="H417" s="1310">
        <f t="shared" si="43"/>
        <v>3256.6217976552321</v>
      </c>
      <c r="I417" s="2191">
        <f t="shared" ca="1" si="44"/>
        <v>3755</v>
      </c>
      <c r="J417" s="2392"/>
      <c r="L417">
        <f t="shared" ca="1" si="41"/>
        <v>519</v>
      </c>
    </row>
    <row r="418" spans="1:12" ht="19">
      <c r="A418" s="860">
        <v>45721</v>
      </c>
      <c r="B418" s="1055">
        <v>-202400</v>
      </c>
      <c r="C418" s="500">
        <f t="shared" si="40"/>
        <v>16454756</v>
      </c>
      <c r="D418" s="31" t="s">
        <v>638</v>
      </c>
      <c r="E418" s="863">
        <f t="shared" ca="1" si="46"/>
        <v>-200433</v>
      </c>
      <c r="F418" s="864">
        <f t="shared" ca="1" si="47"/>
        <v>-402833</v>
      </c>
      <c r="G418" s="1254">
        <v>90.69</v>
      </c>
      <c r="H418" s="1310">
        <f t="shared" si="43"/>
        <v>-2231.7785863932077</v>
      </c>
      <c r="I418" s="2191">
        <f t="shared" ca="1" si="44"/>
        <v>-2572</v>
      </c>
      <c r="J418" s="2392"/>
      <c r="L418">
        <f t="shared" ca="1" si="41"/>
        <v>518</v>
      </c>
    </row>
    <row r="419" spans="1:12" ht="19">
      <c r="A419" s="860">
        <v>45721</v>
      </c>
      <c r="B419" s="1055">
        <v>-6250</v>
      </c>
      <c r="C419" s="500">
        <f t="shared" si="40"/>
        <v>16448506</v>
      </c>
      <c r="D419" s="31" t="s">
        <v>638</v>
      </c>
      <c r="E419" s="863">
        <f t="shared" ca="1" si="46"/>
        <v>-6190</v>
      </c>
      <c r="F419" s="864">
        <f t="shared" ca="1" si="47"/>
        <v>-12440</v>
      </c>
      <c r="G419" s="1254">
        <v>90.69</v>
      </c>
      <c r="H419" s="1310">
        <f t="shared" si="43"/>
        <v>-68.916087771529391</v>
      </c>
      <c r="I419" s="2191">
        <f t="shared" ca="1" si="44"/>
        <v>-80</v>
      </c>
      <c r="J419" s="2392"/>
      <c r="L419">
        <f t="shared" ca="1" si="41"/>
        <v>518</v>
      </c>
    </row>
    <row r="420" spans="1:12" ht="19">
      <c r="A420" s="860">
        <v>45728</v>
      </c>
      <c r="B420" s="1055">
        <v>-7736050</v>
      </c>
      <c r="C420" s="500">
        <f t="shared" si="40"/>
        <v>8712456</v>
      </c>
      <c r="D420" s="31" t="s">
        <v>750</v>
      </c>
      <c r="E420" s="863">
        <f t="shared" ca="1" si="46"/>
        <v>-7518320</v>
      </c>
      <c r="F420" s="864">
        <f t="shared" ca="1" si="47"/>
        <v>-15254370</v>
      </c>
      <c r="G420" s="1254">
        <v>93.47</v>
      </c>
      <c r="H420" s="1310">
        <f t="shared" si="43"/>
        <v>-82765.058307478335</v>
      </c>
      <c r="I420" s="2191">
        <f t="shared" ca="1" si="44"/>
        <v>-95198</v>
      </c>
      <c r="J420" s="2392"/>
      <c r="L420">
        <f t="shared" ca="1" si="41"/>
        <v>511</v>
      </c>
    </row>
    <row r="421" spans="1:12" ht="19">
      <c r="A421" s="860">
        <v>45729</v>
      </c>
      <c r="B421" s="1055">
        <v>-28.8</v>
      </c>
      <c r="C421" s="500">
        <f t="shared" si="40"/>
        <v>8712427.1999999993</v>
      </c>
      <c r="D421" s="31" t="s">
        <v>638</v>
      </c>
      <c r="E421" s="863">
        <f t="shared" ca="1" si="46"/>
        <v>-28.2</v>
      </c>
      <c r="F421" s="864">
        <f t="shared" ca="1" si="47"/>
        <v>-57</v>
      </c>
      <c r="G421" s="1254">
        <v>93.47</v>
      </c>
      <c r="H421" s="1310">
        <f t="shared" si="43"/>
        <v>-0.30812025248742914</v>
      </c>
      <c r="I421" s="2191">
        <f t="shared" ca="1" si="44"/>
        <v>-1</v>
      </c>
      <c r="J421" s="2392"/>
      <c r="L421">
        <f t="shared" ca="1" si="41"/>
        <v>510</v>
      </c>
    </row>
    <row r="422" spans="1:12" ht="19">
      <c r="A422" s="860">
        <v>45731</v>
      </c>
      <c r="B422" s="1093">
        <v>100000</v>
      </c>
      <c r="C422" s="500">
        <f t="shared" si="40"/>
        <v>8812427.1999999993</v>
      </c>
      <c r="D422" s="31" t="s">
        <v>747</v>
      </c>
      <c r="E422" s="863">
        <f ca="1">IF(F422=0,0,F422-B422)</f>
        <v>96402</v>
      </c>
      <c r="F422" s="864">
        <f ca="1">IF(D422="Hami Interest",0,ROUNDUP(B422*(1+$F$1/12)^(($E$1-A422)/30),0))</f>
        <v>196402</v>
      </c>
      <c r="G422" s="1254">
        <v>92.29</v>
      </c>
      <c r="H422" s="1310">
        <f t="shared" si="43"/>
        <v>1083.5410120273052</v>
      </c>
      <c r="I422" s="2191">
        <f t="shared" ca="1" si="44"/>
        <v>1246</v>
      </c>
      <c r="J422" s="2392"/>
      <c r="L422">
        <f t="shared" ca="1" si="41"/>
        <v>508</v>
      </c>
    </row>
    <row r="423" spans="1:12" ht="19">
      <c r="A423" s="860">
        <v>45736</v>
      </c>
      <c r="B423" s="1055">
        <v>195629</v>
      </c>
      <c r="C423" s="500">
        <f t="shared" si="40"/>
        <v>9008056.1999999993</v>
      </c>
      <c r="D423" s="1142" t="s">
        <v>748</v>
      </c>
      <c r="E423" s="863">
        <f>IF(F423=0,0,F423-B423)</f>
        <v>0</v>
      </c>
      <c r="F423" s="864">
        <f>IF(D423="Hami Interest",0,ROUNDUP(B423*(1+$F$1/12)^(($E$1-A423)/30),0))</f>
        <v>0</v>
      </c>
      <c r="G423" s="1254">
        <v>96.9</v>
      </c>
      <c r="H423" s="1310">
        <f t="shared" si="43"/>
        <v>2018.875128998968</v>
      </c>
      <c r="I423" s="2191">
        <f t="shared" si="44"/>
        <v>0</v>
      </c>
      <c r="J423" s="2392"/>
      <c r="L423">
        <f t="shared" ca="1" si="41"/>
        <v>503</v>
      </c>
    </row>
    <row r="424" spans="1:12" ht="19">
      <c r="A424" s="860">
        <v>45760</v>
      </c>
      <c r="B424" s="1093">
        <v>100000</v>
      </c>
      <c r="C424" s="500">
        <f t="shared" si="40"/>
        <v>9108056.1999999993</v>
      </c>
      <c r="D424" s="31" t="s">
        <v>747</v>
      </c>
      <c r="E424" s="863">
        <f ca="1">IF(F424=0,0,F424-B424)</f>
        <v>88978</v>
      </c>
      <c r="F424" s="864">
        <f ca="1">IF(D424="Hami Interest",0,ROUNDUP(B424*(1+$F$1/12)^(($E$1-A424)/30),0))</f>
        <v>188978</v>
      </c>
      <c r="G424" s="1254">
        <v>90.1</v>
      </c>
      <c r="H424" s="1310">
        <f t="shared" si="43"/>
        <v>1109.8779134295228</v>
      </c>
      <c r="I424" s="2191">
        <f t="shared" ca="1" si="44"/>
        <v>1266</v>
      </c>
      <c r="J424" s="2392"/>
      <c r="L424">
        <f t="shared" ca="1" si="41"/>
        <v>479</v>
      </c>
    </row>
    <row r="425" spans="1:12" ht="19">
      <c r="A425" s="860">
        <v>45761</v>
      </c>
      <c r="B425" s="1093">
        <v>8000000</v>
      </c>
      <c r="C425" s="500">
        <f t="shared" si="40"/>
        <v>17108056.199999999</v>
      </c>
      <c r="D425" s="31" t="s">
        <v>747</v>
      </c>
      <c r="E425" s="863">
        <f t="shared" ref="E425:E432" ca="1" si="48">IF(F425=0,0,F425-B425)</f>
        <v>7098096</v>
      </c>
      <c r="F425" s="864">
        <f t="shared" ref="F425:F432" ca="1" si="49">IF(D425="Hami Interest",0,ROUNDUP(B425*(1+$F$1/12)^(($E$1-A425)/30),0))</f>
        <v>15098096</v>
      </c>
      <c r="G425" s="1254">
        <v>90.1</v>
      </c>
      <c r="H425" s="1310">
        <f t="shared" si="43"/>
        <v>88790.233074361822</v>
      </c>
      <c r="I425" s="2191">
        <f t="shared" ca="1" si="44"/>
        <v>101209</v>
      </c>
      <c r="J425" s="2392"/>
      <c r="L425">
        <f t="shared" ca="1" si="41"/>
        <v>478</v>
      </c>
    </row>
    <row r="426" spans="1:12" ht="19">
      <c r="A426" s="860">
        <v>45769</v>
      </c>
      <c r="B426" s="1055">
        <v>68606</v>
      </c>
      <c r="C426" s="500">
        <f t="shared" si="40"/>
        <v>17176662.199999999</v>
      </c>
      <c r="D426" s="1142" t="s">
        <v>748</v>
      </c>
      <c r="E426" s="863">
        <f t="shared" si="48"/>
        <v>0</v>
      </c>
      <c r="F426" s="864">
        <f t="shared" si="49"/>
        <v>0</v>
      </c>
      <c r="G426" s="1254">
        <v>81.44</v>
      </c>
      <c r="H426" s="1310">
        <f t="shared" si="43"/>
        <v>842.41159135559928</v>
      </c>
      <c r="I426" s="2191">
        <f t="shared" si="44"/>
        <v>0</v>
      </c>
      <c r="J426" s="2392"/>
      <c r="L426">
        <f t="shared" ca="1" si="41"/>
        <v>470</v>
      </c>
    </row>
    <row r="427" spans="1:12" ht="19">
      <c r="A427" s="860">
        <v>45769</v>
      </c>
      <c r="B427" s="1055">
        <v>-4000000</v>
      </c>
      <c r="C427" s="500">
        <f t="shared" si="40"/>
        <v>13176662.199999999</v>
      </c>
      <c r="D427" s="31" t="s">
        <v>750</v>
      </c>
      <c r="E427" s="863">
        <f t="shared" ca="1" si="48"/>
        <v>-3469229</v>
      </c>
      <c r="F427" s="864">
        <f t="shared" ca="1" si="49"/>
        <v>-7469229</v>
      </c>
      <c r="G427" s="1254">
        <v>81.44</v>
      </c>
      <c r="H427" s="1310">
        <f t="shared" si="43"/>
        <v>-49115.913555992141</v>
      </c>
      <c r="I427" s="2191">
        <f t="shared" ca="1" si="44"/>
        <v>-55864</v>
      </c>
      <c r="J427" s="2392"/>
      <c r="L427">
        <f t="shared" ca="1" si="41"/>
        <v>470</v>
      </c>
    </row>
    <row r="428" spans="1:12" ht="19">
      <c r="A428" s="860">
        <v>45774</v>
      </c>
      <c r="B428" s="1093">
        <v>-3000000</v>
      </c>
      <c r="C428" s="500">
        <f t="shared" si="40"/>
        <v>10176662.199999999</v>
      </c>
      <c r="D428" s="31" t="s">
        <v>750</v>
      </c>
      <c r="E428" s="863">
        <f t="shared" ca="1" si="48"/>
        <v>-2564828</v>
      </c>
      <c r="F428" s="864">
        <f t="shared" ca="1" si="49"/>
        <v>-5564828</v>
      </c>
      <c r="G428" s="1254">
        <v>81</v>
      </c>
      <c r="H428" s="1310">
        <f t="shared" si="43"/>
        <v>-37037.037037037036</v>
      </c>
      <c r="I428" s="2191">
        <f t="shared" ca="1" si="44"/>
        <v>-42068</v>
      </c>
      <c r="J428" s="2392"/>
      <c r="L428">
        <f t="shared" ca="1" si="41"/>
        <v>465</v>
      </c>
    </row>
    <row r="429" spans="1:12" ht="19">
      <c r="A429" s="860">
        <v>45776</v>
      </c>
      <c r="B429" s="1093">
        <v>3500000</v>
      </c>
      <c r="C429" s="500">
        <f t="shared" si="40"/>
        <v>13676662.199999999</v>
      </c>
      <c r="D429" s="31" t="s">
        <v>747</v>
      </c>
      <c r="E429" s="863">
        <f t="shared" ca="1" si="48"/>
        <v>2975070</v>
      </c>
      <c r="F429" s="864">
        <f t="shared" ca="1" si="49"/>
        <v>6475070</v>
      </c>
      <c r="G429" s="1254">
        <v>81</v>
      </c>
      <c r="H429" s="1310">
        <f t="shared" si="43"/>
        <v>43209.876543209873</v>
      </c>
      <c r="I429" s="2191">
        <f t="shared" ca="1" si="44"/>
        <v>49052</v>
      </c>
      <c r="J429" s="2392"/>
      <c r="L429">
        <f t="shared" ca="1" si="41"/>
        <v>463</v>
      </c>
    </row>
    <row r="430" spans="1:12" ht="19">
      <c r="A430" s="860">
        <v>45778</v>
      </c>
      <c r="B430" s="1055">
        <v>-64400</v>
      </c>
      <c r="C430" s="500">
        <f t="shared" si="40"/>
        <v>13612262.199999999</v>
      </c>
      <c r="D430" s="31" t="s">
        <v>638</v>
      </c>
      <c r="E430" s="863">
        <f t="shared" ca="1" si="48"/>
        <v>-54426</v>
      </c>
      <c r="F430" s="864">
        <f t="shared" ca="1" si="49"/>
        <v>-118826</v>
      </c>
      <c r="G430" s="1254">
        <v>81.89</v>
      </c>
      <c r="H430" s="1310">
        <f t="shared" si="43"/>
        <v>-786.42080840151425</v>
      </c>
      <c r="I430" s="2191">
        <f t="shared" ca="1" si="44"/>
        <v>-893</v>
      </c>
      <c r="J430" s="2392"/>
      <c r="L430">
        <f t="shared" ca="1" si="41"/>
        <v>461</v>
      </c>
    </row>
    <row r="431" spans="1:12" ht="19">
      <c r="A431" s="860">
        <v>45780</v>
      </c>
      <c r="B431" s="1093">
        <v>464429</v>
      </c>
      <c r="C431" s="500">
        <f t="shared" si="40"/>
        <v>14076691.199999999</v>
      </c>
      <c r="D431" s="31" t="s">
        <v>747</v>
      </c>
      <c r="E431" s="863">
        <f t="shared" ca="1" si="48"/>
        <v>390220</v>
      </c>
      <c r="F431" s="864">
        <f t="shared" ca="1" si="49"/>
        <v>854649</v>
      </c>
      <c r="G431" s="1254">
        <v>86.55</v>
      </c>
      <c r="H431" s="1310">
        <f t="shared" si="43"/>
        <v>5366.0196418255346</v>
      </c>
      <c r="I431" s="2191">
        <f t="shared" ca="1" si="44"/>
        <v>6085</v>
      </c>
      <c r="J431" s="2392"/>
      <c r="L431">
        <f t="shared" ca="1" si="41"/>
        <v>459</v>
      </c>
    </row>
    <row r="432" spans="1:12" ht="19">
      <c r="A432" s="860">
        <v>45795</v>
      </c>
      <c r="B432" s="1093">
        <v>-140000</v>
      </c>
      <c r="C432" s="500">
        <f t="shared" si="40"/>
        <v>13936691.199999999</v>
      </c>
      <c r="D432" s="31" t="s">
        <v>750</v>
      </c>
      <c r="E432" s="863">
        <f t="shared" ca="1" si="48"/>
        <v>-112546</v>
      </c>
      <c r="F432" s="864">
        <f t="shared" ca="1" si="49"/>
        <v>-252546</v>
      </c>
      <c r="G432" s="1254">
        <v>82.59</v>
      </c>
      <c r="H432" s="1310">
        <f t="shared" si="43"/>
        <v>-1695.1204746337328</v>
      </c>
      <c r="I432" s="2191">
        <f t="shared" ca="1" si="44"/>
        <v>-1915</v>
      </c>
      <c r="J432" s="2392"/>
      <c r="L432">
        <f t="shared" ca="1" si="41"/>
        <v>444</v>
      </c>
    </row>
    <row r="433" spans="1:12" ht="19">
      <c r="A433" s="860">
        <v>45795</v>
      </c>
      <c r="B433" s="1055">
        <v>-3350000</v>
      </c>
      <c r="C433" s="500">
        <f t="shared" si="40"/>
        <v>10586691.199999999</v>
      </c>
      <c r="D433" s="31" t="s">
        <v>750</v>
      </c>
      <c r="E433" s="863">
        <f t="shared" ref="E433:E439" ca="1" si="50">IF(F433=0,0,F433-B433)</f>
        <v>-2693064</v>
      </c>
      <c r="F433" s="864">
        <f t="shared" ref="F433:F446" ca="1" si="51">IF(D433="Hami Interest",0,ROUNDUP(B433*(1+$F$1/12)^(($E$1-A433)/30),0))</f>
        <v>-6043064</v>
      </c>
      <c r="G433" s="1254">
        <v>82.59</v>
      </c>
      <c r="H433" s="1310">
        <f t="shared" si="43"/>
        <v>-40561.811357307175</v>
      </c>
      <c r="I433" s="2191">
        <f t="shared" ca="1" si="44"/>
        <v>-45807</v>
      </c>
      <c r="J433" s="2392"/>
      <c r="L433">
        <f t="shared" ca="1" si="41"/>
        <v>444</v>
      </c>
    </row>
    <row r="434" spans="1:12" ht="19">
      <c r="A434" s="860">
        <v>45796</v>
      </c>
      <c r="B434" s="1093">
        <v>140000</v>
      </c>
      <c r="C434" s="500">
        <f t="shared" si="40"/>
        <v>10726691.199999999</v>
      </c>
      <c r="D434" s="31" t="s">
        <v>747</v>
      </c>
      <c r="E434" s="863">
        <f t="shared" ca="1" si="50"/>
        <v>112211</v>
      </c>
      <c r="F434" s="864">
        <f t="shared" ca="1" si="51"/>
        <v>252211</v>
      </c>
      <c r="G434" s="1254">
        <v>82.59</v>
      </c>
      <c r="H434" s="1310">
        <f t="shared" si="43"/>
        <v>1695.1204746337328</v>
      </c>
      <c r="I434" s="2191">
        <f t="shared" ca="1" si="44"/>
        <v>1914</v>
      </c>
      <c r="J434" s="2392"/>
      <c r="K434" t="s">
        <v>756</v>
      </c>
      <c r="L434">
        <f t="shared" ca="1" si="41"/>
        <v>443</v>
      </c>
    </row>
    <row r="435" spans="1:12" ht="19">
      <c r="A435" s="860">
        <v>45799</v>
      </c>
      <c r="B435" s="1055">
        <v>182410</v>
      </c>
      <c r="C435" s="500">
        <f t="shared" si="40"/>
        <v>10909101.199999999</v>
      </c>
      <c r="D435" s="1142" t="s">
        <v>748</v>
      </c>
      <c r="E435" s="863">
        <f t="shared" si="50"/>
        <v>0</v>
      </c>
      <c r="F435" s="864">
        <f t="shared" si="51"/>
        <v>0</v>
      </c>
      <c r="G435" s="1254">
        <v>82.23</v>
      </c>
      <c r="H435" s="1310">
        <f t="shared" si="43"/>
        <v>2218.2901617414568</v>
      </c>
      <c r="I435" s="2191">
        <f t="shared" si="44"/>
        <v>0</v>
      </c>
      <c r="J435" s="2392"/>
      <c r="L435">
        <f t="shared" ca="1" si="41"/>
        <v>440</v>
      </c>
    </row>
    <row r="436" spans="1:12" ht="19">
      <c r="A436" s="860">
        <v>45799</v>
      </c>
      <c r="B436" s="1093">
        <v>50000</v>
      </c>
      <c r="C436" s="500">
        <f t="shared" si="40"/>
        <v>10959101.199999999</v>
      </c>
      <c r="D436" s="31" t="s">
        <v>747</v>
      </c>
      <c r="E436" s="863">
        <f t="shared" ca="1" si="50"/>
        <v>39717</v>
      </c>
      <c r="F436" s="864">
        <f t="shared" ca="1" si="51"/>
        <v>89717</v>
      </c>
      <c r="G436" s="1254">
        <v>82.23</v>
      </c>
      <c r="H436" s="1310">
        <f t="shared" si="43"/>
        <v>608.05058980907211</v>
      </c>
      <c r="I436" s="2191">
        <f t="shared" ca="1" si="44"/>
        <v>686</v>
      </c>
      <c r="J436" s="2392"/>
      <c r="L436">
        <f t="shared" ca="1" si="41"/>
        <v>440</v>
      </c>
    </row>
    <row r="437" spans="1:12" ht="19">
      <c r="A437" s="860">
        <v>45799</v>
      </c>
      <c r="B437" s="1093">
        <v>-7.6</v>
      </c>
      <c r="C437" s="500">
        <f t="shared" si="40"/>
        <v>10959093.6</v>
      </c>
      <c r="D437" s="31" t="s">
        <v>638</v>
      </c>
      <c r="E437" s="863">
        <f t="shared" ca="1" si="50"/>
        <v>-6.4</v>
      </c>
      <c r="F437" s="864">
        <f t="shared" ca="1" si="51"/>
        <v>-14</v>
      </c>
      <c r="G437" s="1254">
        <v>83.23</v>
      </c>
      <c r="H437" s="1310">
        <f t="shared" si="43"/>
        <v>-9.1313228403219981E-2</v>
      </c>
      <c r="I437" s="2191">
        <f t="shared" ca="1" si="44"/>
        <v>-1</v>
      </c>
      <c r="J437" s="2392"/>
      <c r="L437">
        <f t="shared" ca="1" si="41"/>
        <v>440</v>
      </c>
    </row>
    <row r="438" spans="1:12" ht="19">
      <c r="A438" s="860">
        <v>45809</v>
      </c>
      <c r="B438" s="1093">
        <v>-6500000</v>
      </c>
      <c r="C438" s="500">
        <f t="shared" si="40"/>
        <v>4459093.5999999996</v>
      </c>
      <c r="D438" s="31" t="s">
        <v>750</v>
      </c>
      <c r="E438" s="863">
        <f t="shared" ca="1" si="50"/>
        <v>-5009248</v>
      </c>
      <c r="F438" s="864">
        <f t="shared" ca="1" si="51"/>
        <v>-11509248</v>
      </c>
      <c r="G438" s="1254">
        <v>82.21</v>
      </c>
      <c r="H438" s="1310">
        <f t="shared" si="43"/>
        <v>-79065.807079430728</v>
      </c>
      <c r="I438" s="2191">
        <f t="shared" ca="1" si="44"/>
        <v>-88948</v>
      </c>
      <c r="J438" s="2392"/>
      <c r="L438">
        <f t="shared" ca="1" si="41"/>
        <v>430</v>
      </c>
    </row>
    <row r="439" spans="1:12" ht="19">
      <c r="A439" s="860">
        <v>45810</v>
      </c>
      <c r="B439" s="1093">
        <v>-32000</v>
      </c>
      <c r="C439" s="500">
        <f t="shared" si="40"/>
        <v>4427093.5999999996</v>
      </c>
      <c r="D439" s="31" t="s">
        <v>638</v>
      </c>
      <c r="E439" s="863">
        <f t="shared" ca="1" si="50"/>
        <v>-24586</v>
      </c>
      <c r="F439" s="864">
        <f t="shared" ca="1" si="51"/>
        <v>-56586</v>
      </c>
      <c r="G439" s="1254">
        <v>82</v>
      </c>
      <c r="H439" s="1310">
        <f t="shared" si="43"/>
        <v>-390.2439024390244</v>
      </c>
      <c r="I439" s="2191">
        <f t="shared" ca="1" si="44"/>
        <v>-439</v>
      </c>
      <c r="J439" s="2392"/>
      <c r="L439">
        <f t="shared" ca="1" si="41"/>
        <v>429</v>
      </c>
    </row>
    <row r="440" spans="1:12" ht="19">
      <c r="A440" s="860">
        <v>45816</v>
      </c>
      <c r="B440" s="1093">
        <v>-14350</v>
      </c>
      <c r="C440" s="500">
        <f t="shared" si="40"/>
        <v>4412743.5999999996</v>
      </c>
      <c r="D440" s="31" t="s">
        <v>638</v>
      </c>
      <c r="E440" s="863">
        <f t="shared" ref="E440" ca="1" si="52">IF(F440=0,0,F440-B440)</f>
        <v>-10824</v>
      </c>
      <c r="F440" s="864">
        <f t="shared" ref="F440" ca="1" si="53">IF(D440="Hami Interest",0,ROUNDUP(B440*(1+$F$1/12)^(($E$1-A440)/30),0))</f>
        <v>-25174</v>
      </c>
      <c r="G440" s="1254">
        <v>83</v>
      </c>
      <c r="H440" s="1310">
        <f t="shared" si="43"/>
        <v>-172.89156626506025</v>
      </c>
      <c r="I440" s="2191">
        <f t="shared" ca="1" si="44"/>
        <v>-195</v>
      </c>
      <c r="J440" s="2392"/>
      <c r="L440">
        <f t="shared" ca="1" si="41"/>
        <v>423</v>
      </c>
    </row>
    <row r="441" spans="1:12" ht="19">
      <c r="A441" s="860">
        <v>45818</v>
      </c>
      <c r="B441" s="1093">
        <v>-1246</v>
      </c>
      <c r="C441" s="500">
        <f t="shared" si="40"/>
        <v>4411497.5999999996</v>
      </c>
      <c r="D441" s="31" t="s">
        <v>638</v>
      </c>
      <c r="E441" s="863">
        <f t="shared" ref="E441:E443" ca="1" si="54">IF(F441=0,0,F441-B441)</f>
        <v>-935</v>
      </c>
      <c r="F441" s="864">
        <f t="shared" ca="1" si="51"/>
        <v>-2181</v>
      </c>
      <c r="G441" s="1254">
        <v>83</v>
      </c>
      <c r="H441" s="1310">
        <f t="shared" si="43"/>
        <v>-15.012048192771084</v>
      </c>
      <c r="I441" s="2191">
        <f t="shared" ca="1" si="44"/>
        <v>-17</v>
      </c>
      <c r="J441" s="2392"/>
      <c r="L441">
        <f t="shared" ca="1" si="41"/>
        <v>421</v>
      </c>
    </row>
    <row r="442" spans="1:12" ht="19">
      <c r="A442" s="860">
        <v>45818</v>
      </c>
      <c r="B442" s="1093">
        <v>-2000</v>
      </c>
      <c r="C442" s="500">
        <f t="shared" si="40"/>
        <v>4409497.5999999996</v>
      </c>
      <c r="D442" s="31" t="s">
        <v>638</v>
      </c>
      <c r="E442" s="863">
        <f t="shared" ca="1" si="54"/>
        <v>-1500</v>
      </c>
      <c r="F442" s="864">
        <f t="shared" ca="1" si="51"/>
        <v>-3500</v>
      </c>
      <c r="G442" s="1254">
        <v>83</v>
      </c>
      <c r="H442" s="1310">
        <f t="shared" si="43"/>
        <v>-24.096385542168676</v>
      </c>
      <c r="I442" s="2191">
        <f t="shared" ca="1" si="44"/>
        <v>-28</v>
      </c>
      <c r="J442" s="2392"/>
      <c r="L442">
        <f t="shared" ca="1" si="41"/>
        <v>421</v>
      </c>
    </row>
    <row r="443" spans="1:12" ht="19">
      <c r="A443" s="860">
        <v>45827</v>
      </c>
      <c r="B443" s="1093">
        <v>-3000</v>
      </c>
      <c r="C443" s="500">
        <f t="shared" si="40"/>
        <v>4406497.5999999996</v>
      </c>
      <c r="D443" s="31" t="s">
        <v>638</v>
      </c>
      <c r="E443" s="863">
        <f t="shared" ca="1" si="54"/>
        <v>-2187</v>
      </c>
      <c r="F443" s="864">
        <f t="shared" ca="1" si="51"/>
        <v>-5187</v>
      </c>
      <c r="G443" s="1254">
        <v>83</v>
      </c>
      <c r="H443" s="1310">
        <f t="shared" si="43"/>
        <v>-36.144578313253014</v>
      </c>
      <c r="I443" s="2191">
        <f t="shared" ca="1" si="44"/>
        <v>-41</v>
      </c>
      <c r="J443" s="2392"/>
      <c r="L443">
        <f t="shared" ca="1" si="41"/>
        <v>412</v>
      </c>
    </row>
    <row r="444" spans="1:12" ht="19">
      <c r="A444" s="860">
        <v>45830</v>
      </c>
      <c r="B444" s="1055">
        <v>61103</v>
      </c>
      <c r="C444" s="500">
        <f t="shared" si="40"/>
        <v>4467600.5999999996</v>
      </c>
      <c r="D444" s="1142" t="s">
        <v>748</v>
      </c>
      <c r="E444" s="863">
        <f t="shared" ref="E444:E445" si="55">IF(F444=0,0,F444-B444)</f>
        <v>0</v>
      </c>
      <c r="F444" s="864">
        <f t="shared" ref="F444:F445" si="56">IF(D444="Hami Interest",0,ROUNDUP(B444*(1+$F$1/12)^(($E$1-A444)/30),0))</f>
        <v>0</v>
      </c>
      <c r="G444" s="1254">
        <v>84</v>
      </c>
      <c r="H444" s="1310">
        <f t="shared" si="43"/>
        <v>727.41666666666663</v>
      </c>
      <c r="I444" s="2191">
        <f t="shared" si="44"/>
        <v>0</v>
      </c>
      <c r="J444" s="2392"/>
      <c r="L444">
        <f t="shared" ca="1" si="41"/>
        <v>409</v>
      </c>
    </row>
    <row r="445" spans="1:12" ht="19">
      <c r="A445" s="860">
        <v>45834</v>
      </c>
      <c r="B445" s="1055">
        <v>-32500</v>
      </c>
      <c r="C445" s="500">
        <f t="shared" si="40"/>
        <v>4435100.5999999996</v>
      </c>
      <c r="D445" s="31" t="s">
        <v>638</v>
      </c>
      <c r="E445" s="863">
        <f t="shared" ca="1" si="55"/>
        <v>-23167</v>
      </c>
      <c r="F445" s="864">
        <f t="shared" ca="1" si="56"/>
        <v>-55667</v>
      </c>
      <c r="G445" s="1254">
        <v>84</v>
      </c>
      <c r="H445" s="1310">
        <f t="shared" si="43"/>
        <v>-386.90476190476193</v>
      </c>
      <c r="I445" s="2191">
        <f t="shared" ca="1" si="44"/>
        <v>-433</v>
      </c>
      <c r="J445" s="2392"/>
      <c r="L445">
        <f t="shared" ca="1" si="41"/>
        <v>405</v>
      </c>
    </row>
    <row r="446" spans="1:12" ht="19">
      <c r="A446" s="860">
        <v>45837</v>
      </c>
      <c r="B446" s="1093">
        <v>500000</v>
      </c>
      <c r="C446" s="500">
        <f t="shared" si="40"/>
        <v>4935100.5999999996</v>
      </c>
      <c r="D446" s="31" t="s">
        <v>747</v>
      </c>
      <c r="E446" s="863">
        <f t="shared" ref="E446" ca="1" si="57">IF(F446=0,0,F446-B446)</f>
        <v>352995</v>
      </c>
      <c r="F446" s="864">
        <f t="shared" ca="1" si="51"/>
        <v>852995</v>
      </c>
      <c r="G446" s="1254">
        <v>88</v>
      </c>
      <c r="H446" s="1310">
        <f t="shared" si="43"/>
        <v>5681.818181818182</v>
      </c>
      <c r="I446" s="2191">
        <f t="shared" ca="1" si="44"/>
        <v>6344</v>
      </c>
      <c r="J446" s="2392"/>
      <c r="L446">
        <f t="shared" ca="1" si="41"/>
        <v>402</v>
      </c>
    </row>
    <row r="447" spans="1:12" ht="19">
      <c r="A447" s="860">
        <v>45838</v>
      </c>
      <c r="B447" s="1093">
        <v>3500000</v>
      </c>
      <c r="C447" s="500">
        <f t="shared" si="40"/>
        <v>8435100.5999999996</v>
      </c>
      <c r="D447" s="31" t="s">
        <v>747</v>
      </c>
      <c r="E447" s="863">
        <f t="shared" ref="E447:E448" ca="1" si="58">IF(F447=0,0,F447-B447)</f>
        <v>2463031</v>
      </c>
      <c r="F447" s="864">
        <f t="shared" ref="F447:F448" ca="1" si="59">IF(D447="Hami Interest",0,ROUNDUP(B447*(1+$F$1/12)^(($E$1-A447)/30),0))</f>
        <v>5963031</v>
      </c>
      <c r="G447" s="1254">
        <v>91</v>
      </c>
      <c r="H447" s="1310">
        <f t="shared" si="43"/>
        <v>38461.538461538461</v>
      </c>
      <c r="I447" s="2191">
        <f t="shared" ca="1" si="44"/>
        <v>42927</v>
      </c>
      <c r="J447" s="2392"/>
      <c r="L447">
        <f t="shared" ca="1" si="41"/>
        <v>401</v>
      </c>
    </row>
    <row r="448" spans="1:12" ht="19">
      <c r="A448" s="860">
        <v>45838</v>
      </c>
      <c r="B448" s="1093">
        <v>447603</v>
      </c>
      <c r="C448" s="500">
        <f t="shared" si="40"/>
        <v>8882703.5999999996</v>
      </c>
      <c r="D448" s="31" t="s">
        <v>747</v>
      </c>
      <c r="E448" s="863">
        <f t="shared" ca="1" si="58"/>
        <v>314989</v>
      </c>
      <c r="F448" s="864">
        <f t="shared" ca="1" si="59"/>
        <v>762592</v>
      </c>
      <c r="G448" s="1254">
        <v>91</v>
      </c>
      <c r="H448" s="1310">
        <f t="shared" si="43"/>
        <v>4918.7142857142853</v>
      </c>
      <c r="I448" s="2191">
        <f t="shared" ca="1" si="44"/>
        <v>5490</v>
      </c>
      <c r="J448" s="2392"/>
      <c r="L448">
        <f t="shared" ca="1" si="41"/>
        <v>401</v>
      </c>
    </row>
    <row r="449" spans="1:12" ht="19">
      <c r="A449" s="860">
        <v>45838</v>
      </c>
      <c r="B449" s="1093">
        <v>-1245</v>
      </c>
      <c r="C449" s="500">
        <f t="shared" si="40"/>
        <v>8881458.5999999996</v>
      </c>
      <c r="D449" s="31" t="s">
        <v>638</v>
      </c>
      <c r="E449" s="863">
        <f t="shared" ref="E449" ca="1" si="60">IF(F449=0,0,F449-B449)</f>
        <v>-877</v>
      </c>
      <c r="F449" s="864">
        <f t="shared" ref="F449" ca="1" si="61">IF(D449="Hami Interest",0,ROUNDUP(B449*(1+$F$1/12)^(($E$1-A449)/30),0))</f>
        <v>-2122</v>
      </c>
      <c r="G449" s="1254">
        <v>91</v>
      </c>
      <c r="H449" s="1310">
        <f t="shared" ref="H449" si="62">B449/G449</f>
        <v>-13.681318681318681</v>
      </c>
      <c r="I449" s="2191">
        <f t="shared" ref="I449" ca="1" si="63">IF(D449="Hami Interest",0,ROUNDUP(H449*(1+$I$1/12)^(($E$1-A449)/30),0))</f>
        <v>-16</v>
      </c>
      <c r="J449" s="2392"/>
      <c r="L449">
        <f t="shared" ca="1" si="41"/>
        <v>401</v>
      </c>
    </row>
    <row r="450" spans="1:12" ht="19">
      <c r="A450" s="860">
        <v>45839</v>
      </c>
      <c r="B450" s="1093">
        <v>-90300</v>
      </c>
      <c r="C450" s="500">
        <f t="shared" si="40"/>
        <v>8791158.5999999996</v>
      </c>
      <c r="D450" s="31" t="s">
        <v>638</v>
      </c>
      <c r="E450" s="863">
        <f t="shared" ref="E450" ca="1" si="64">IF(F450=0,0,F450-B450)</f>
        <v>-63342</v>
      </c>
      <c r="F450" s="864">
        <f t="shared" ref="F450" ca="1" si="65">IF(D450="Hami Interest",0,ROUNDUP(B450*(1+$F$1/12)^(($E$1-A450)/30),0))</f>
        <v>-153642</v>
      </c>
      <c r="G450" s="1254">
        <v>91</v>
      </c>
      <c r="H450" s="1310">
        <f t="shared" ref="H450" si="66">B450/G450</f>
        <v>-992.30769230769226</v>
      </c>
      <c r="I450" s="2191">
        <f t="shared" ref="I450" ca="1" si="67">IF(D450="Hami Interest",0,ROUNDUP(H450*(1+$I$1/12)^(($E$1-A450)/30),0))</f>
        <v>-1108</v>
      </c>
      <c r="J450" s="2392"/>
      <c r="L450">
        <f t="shared" ca="1" si="41"/>
        <v>400</v>
      </c>
    </row>
    <row r="451" spans="1:12" ht="19">
      <c r="A451" s="860">
        <v>45839</v>
      </c>
      <c r="B451" s="1093">
        <v>-253945</v>
      </c>
      <c r="C451" s="500">
        <f t="shared" ref="C451:C497" si="68">C450+B451</f>
        <v>8537213.5999999996</v>
      </c>
      <c r="D451" s="31" t="s">
        <v>638</v>
      </c>
      <c r="E451" s="863">
        <f t="shared" ref="E451" ca="1" si="69">IF(F451=0,0,F451-B451)</f>
        <v>-178133</v>
      </c>
      <c r="F451" s="864">
        <f t="shared" ref="F451" ca="1" si="70">IF(D451="Hami Interest",0,ROUNDUP(B451*(1+$F$1/12)^(($E$1-A451)/30),0))</f>
        <v>-432078</v>
      </c>
      <c r="G451" s="1254">
        <v>91</v>
      </c>
      <c r="H451" s="1310">
        <f t="shared" ref="H451" si="71">B451/G451</f>
        <v>-2790.6043956043954</v>
      </c>
      <c r="I451" s="2191">
        <f t="shared" ref="I451" ca="1" si="72">IF(D451="Hami Interest",0,ROUNDUP(H451*(1+$I$1/12)^(($E$1-A451)/30),0))</f>
        <v>-3114</v>
      </c>
      <c r="J451" s="2392"/>
      <c r="L451">
        <f t="shared" ref="L451:L514" ca="1" si="73">$E$1-A451</f>
        <v>400</v>
      </c>
    </row>
    <row r="452" spans="1:12" ht="19">
      <c r="A452" s="860">
        <v>45839</v>
      </c>
      <c r="B452" s="1093">
        <v>-20000</v>
      </c>
      <c r="C452" s="500">
        <f t="shared" si="68"/>
        <v>8517213.5999999996</v>
      </c>
      <c r="D452" s="31" t="s">
        <v>638</v>
      </c>
      <c r="E452" s="863">
        <f t="shared" ref="E452" ca="1" si="74">IF(F452=0,0,F452-B452)</f>
        <v>-14030</v>
      </c>
      <c r="F452" s="864">
        <f t="shared" ref="F452" ca="1" si="75">IF(D452="Hami Interest",0,ROUNDUP(B452*(1+$F$1/12)^(($E$1-A452)/30),0))</f>
        <v>-34030</v>
      </c>
      <c r="G452" s="1254">
        <v>91</v>
      </c>
      <c r="H452" s="1310">
        <f t="shared" ref="H452" si="76">B452/G452</f>
        <v>-219.78021978021977</v>
      </c>
      <c r="I452" s="2191">
        <f t="shared" ref="I452" ca="1" si="77">IF(D452="Hami Interest",0,ROUNDUP(H452*(1+$I$1/12)^(($E$1-A452)/30),0))</f>
        <v>-246</v>
      </c>
      <c r="J452" s="2392"/>
      <c r="L452">
        <f t="shared" ca="1" si="73"/>
        <v>400</v>
      </c>
    </row>
    <row r="453" spans="1:12" ht="19">
      <c r="A453" s="860">
        <v>45844</v>
      </c>
      <c r="B453" s="1093">
        <v>845490</v>
      </c>
      <c r="C453" s="500">
        <f t="shared" si="68"/>
        <v>9362703.5999999996</v>
      </c>
      <c r="D453" s="31" t="s">
        <v>747</v>
      </c>
      <c r="E453" s="863">
        <f t="shared" ref="E453" ca="1" si="78">IF(F453=0,0,F453-B453)</f>
        <v>583553</v>
      </c>
      <c r="F453" s="864">
        <f t="shared" ref="F453" ca="1" si="79">IF(D453="Hami Interest",0,ROUNDUP(B453*(1+$F$1/12)^(($E$1-A453)/30),0))</f>
        <v>1429043</v>
      </c>
      <c r="G453" s="1254">
        <v>91</v>
      </c>
      <c r="H453" s="1310">
        <f t="shared" ref="H453" si="80">B453/G453</f>
        <v>9291.0989010989015</v>
      </c>
      <c r="I453" s="2191">
        <f t="shared" ref="I453" ca="1" si="81">IF(D453="Hami Interest",0,ROUNDUP(H453*(1+$I$1/12)^(($E$1-A453)/30),0))</f>
        <v>10353</v>
      </c>
      <c r="J453" s="2392"/>
      <c r="L453">
        <f t="shared" ca="1" si="73"/>
        <v>395</v>
      </c>
    </row>
    <row r="454" spans="1:12" ht="19">
      <c r="A454" s="860">
        <v>45846</v>
      </c>
      <c r="B454" s="1093">
        <v>1457500</v>
      </c>
      <c r="C454" s="500">
        <f t="shared" si="68"/>
        <v>10820203.6</v>
      </c>
      <c r="D454" s="31" t="s">
        <v>747</v>
      </c>
      <c r="E454" s="863">
        <f t="shared" ref="E454" ca="1" si="82">IF(F454=0,0,F454-B454)</f>
        <v>999421</v>
      </c>
      <c r="F454" s="864">
        <f t="shared" ref="F454" ca="1" si="83">IF(D454="Hami Interest",0,ROUNDUP(B454*(1+$F$1/12)^(($E$1-A454)/30),0))</f>
        <v>2456921</v>
      </c>
      <c r="G454" s="1254">
        <v>87</v>
      </c>
      <c r="H454" s="1310">
        <f t="shared" ref="H454" si="84">B454/G454</f>
        <v>16752.873563218393</v>
      </c>
      <c r="I454" s="2191">
        <f t="shared" ref="I454" ca="1" si="85">IF(D454="Hami Interest",0,ROUNDUP(H454*(1+$I$1/12)^(($E$1-A454)/30),0))</f>
        <v>18657</v>
      </c>
      <c r="J454" s="2392"/>
      <c r="L454">
        <f t="shared" ca="1" si="73"/>
        <v>393</v>
      </c>
    </row>
    <row r="455" spans="1:12" ht="19">
      <c r="A455" s="860">
        <v>45851</v>
      </c>
      <c r="B455" s="1093">
        <v>900000</v>
      </c>
      <c r="C455" s="500">
        <f t="shared" si="68"/>
        <v>11720203.6</v>
      </c>
      <c r="D455" s="31" t="s">
        <v>747</v>
      </c>
      <c r="E455" s="863">
        <f t="shared" ref="E455" ca="1" si="86">IF(F455=0,0,F455-B455)</f>
        <v>607093</v>
      </c>
      <c r="F455" s="864">
        <f t="shared" ref="F455" ca="1" si="87">IF(D455="Hami Interest",0,ROUNDUP(B455*(1+$F$1/12)^(($E$1-A455)/30),0))</f>
        <v>1507093</v>
      </c>
      <c r="G455" s="1254">
        <v>88</v>
      </c>
      <c r="H455" s="1310">
        <f t="shared" ref="H455" si="88">B455/G455</f>
        <v>10227.272727272728</v>
      </c>
      <c r="I455" s="2191">
        <f t="shared" ref="I455" ca="1" si="89">IF(D455="Hami Interest",0,ROUNDUP(H455*(1+$I$1/12)^(($E$1-A455)/30),0))</f>
        <v>11374</v>
      </c>
      <c r="J455" s="2392"/>
      <c r="L455">
        <f t="shared" ca="1" si="73"/>
        <v>388</v>
      </c>
    </row>
    <row r="456" spans="1:12" ht="19">
      <c r="A456" s="860">
        <v>45860</v>
      </c>
      <c r="B456" s="1055">
        <v>90177</v>
      </c>
      <c r="C456" s="500">
        <f t="shared" si="68"/>
        <v>11810380.6</v>
      </c>
      <c r="D456" s="1142" t="s">
        <v>748</v>
      </c>
      <c r="E456" s="863">
        <f t="shared" ref="E456" si="90">IF(F456=0,0,F456-B456)</f>
        <v>0</v>
      </c>
      <c r="F456" s="864">
        <f t="shared" ref="F456" si="91">IF(D456="Hami Interest",0,ROUNDUP(B456*(1+$F$1/12)^(($E$1-A456)/30),0))</f>
        <v>0</v>
      </c>
      <c r="G456" s="1254">
        <v>89</v>
      </c>
      <c r="H456" s="1310">
        <f t="shared" ref="H456" si="92">B456/G456</f>
        <v>1013.2247191011236</v>
      </c>
      <c r="I456" s="2191">
        <f t="shared" ref="I456" si="93">IF(D456="Hami Interest",0,ROUNDUP(H456*(1+$I$1/12)^(($E$1-A456)/30),0))</f>
        <v>0</v>
      </c>
      <c r="J456" s="2392"/>
      <c r="L456">
        <f t="shared" ca="1" si="73"/>
        <v>379</v>
      </c>
    </row>
    <row r="457" spans="1:12" ht="19">
      <c r="A457" s="860">
        <v>45864</v>
      </c>
      <c r="B457" s="1093">
        <v>-9000</v>
      </c>
      <c r="C457" s="500">
        <f t="shared" si="68"/>
        <v>11801380.6</v>
      </c>
      <c r="D457" s="31" t="s">
        <v>638</v>
      </c>
      <c r="E457" s="863">
        <f t="shared" ref="E457" ca="1" si="94">IF(F457=0,0,F457-B457)</f>
        <v>-5813</v>
      </c>
      <c r="F457" s="864">
        <f t="shared" ref="F457" ca="1" si="95">IF(D457="Hami Interest",0,ROUNDUP(B457*(1+$F$1/12)^(($E$1-A457)/30),0))</f>
        <v>-14813</v>
      </c>
      <c r="G457" s="1254">
        <v>87</v>
      </c>
      <c r="H457" s="1310">
        <f t="shared" ref="H457" si="96">B457/G457</f>
        <v>-103.44827586206897</v>
      </c>
      <c r="I457" s="2191">
        <f t="shared" ref="I457" ca="1" si="97">IF(D457="Hami Interest",0,ROUNDUP(H457*(1+$I$1/12)^(($E$1-A457)/30),0))</f>
        <v>-115</v>
      </c>
      <c r="J457" s="2392"/>
      <c r="L457">
        <f t="shared" ca="1" si="73"/>
        <v>375</v>
      </c>
    </row>
    <row r="458" spans="1:12" ht="19">
      <c r="A458" s="860">
        <v>45864</v>
      </c>
      <c r="B458" s="1093">
        <v>-7</v>
      </c>
      <c r="C458" s="500">
        <f t="shared" si="68"/>
        <v>11801373.6</v>
      </c>
      <c r="D458" s="31" t="s">
        <v>638</v>
      </c>
      <c r="E458" s="863">
        <f t="shared" ref="E458" ca="1" si="98">IF(F458=0,0,F458-B458)</f>
        <v>-5</v>
      </c>
      <c r="F458" s="864">
        <f t="shared" ref="F458" ca="1" si="99">IF(D458="Hami Interest",0,ROUNDUP(B458*(1+$F$1/12)^(($E$1-A458)/30),0))</f>
        <v>-12</v>
      </c>
      <c r="G458" s="1254">
        <v>87</v>
      </c>
      <c r="H458" s="1310">
        <f t="shared" ref="H458" si="100">B458/G458</f>
        <v>-8.0459770114942528E-2</v>
      </c>
      <c r="I458" s="2191">
        <f t="shared" ref="I458" ca="1" si="101">IF(D458="Hami Interest",0,ROUNDUP(H458*(1+$I$1/12)^(($E$1-A458)/30),0))</f>
        <v>-1</v>
      </c>
      <c r="J458" s="2392"/>
      <c r="L458">
        <f t="shared" ca="1" si="73"/>
        <v>375</v>
      </c>
    </row>
    <row r="459" spans="1:12" ht="19">
      <c r="A459" s="860">
        <v>45867</v>
      </c>
      <c r="B459" s="1093">
        <v>-4000000</v>
      </c>
      <c r="C459" s="500">
        <f t="shared" si="68"/>
        <v>7801373.5999999996</v>
      </c>
      <c r="D459" s="31" t="s">
        <v>750</v>
      </c>
      <c r="E459" s="863">
        <f t="shared" ref="E459" ca="1" si="102">IF(F459=0,0,F459-B459)</f>
        <v>-2557290</v>
      </c>
      <c r="F459" s="864">
        <f t="shared" ref="F459" ca="1" si="103">IF(D459="Hami Interest",0,ROUNDUP(B459*(1+$F$1/12)^(($E$1-A459)/30),0))</f>
        <v>-6557290</v>
      </c>
      <c r="G459" s="1254">
        <v>88</v>
      </c>
      <c r="H459" s="1310">
        <f t="shared" ref="H459" si="104">B459/G459</f>
        <v>-45454.545454545456</v>
      </c>
      <c r="I459" s="2191">
        <f t="shared" ref="I459" ca="1" si="105">IF(D459="Hami Interest",0,ROUNDUP(H459*(1+$I$1/12)^(($E$1-A459)/30),0))</f>
        <v>-50330</v>
      </c>
      <c r="J459" s="2392"/>
      <c r="L459">
        <f t="shared" ca="1" si="73"/>
        <v>372</v>
      </c>
    </row>
    <row r="460" spans="1:12" ht="19">
      <c r="A460" s="860">
        <v>45868</v>
      </c>
      <c r="B460" s="1093">
        <v>-400</v>
      </c>
      <c r="C460" s="500">
        <f t="shared" si="68"/>
        <v>7800973.5999999996</v>
      </c>
      <c r="D460" s="31" t="s">
        <v>638</v>
      </c>
      <c r="E460" s="863">
        <f t="shared" ref="E460:E461" ca="1" si="106">IF(F460=0,0,F460-B460)</f>
        <v>-255</v>
      </c>
      <c r="F460" s="864">
        <f t="shared" ref="F460:F461" ca="1" si="107">IF(D460="Hami Interest",0,ROUNDUP(B460*(1+$F$1/12)^(($E$1-A460)/30),0))</f>
        <v>-655</v>
      </c>
      <c r="G460" s="1254">
        <v>89</v>
      </c>
      <c r="H460" s="1310">
        <f t="shared" ref="H460:H461" si="108">B460/G460</f>
        <v>-4.4943820224719104</v>
      </c>
      <c r="I460" s="2191">
        <f t="shared" ref="I460:I461" ca="1" si="109">IF(D460="Hami Interest",0,ROUNDUP(H460*(1+$I$1/12)^(($E$1-A460)/30),0))</f>
        <v>-5</v>
      </c>
      <c r="J460" s="2392"/>
      <c r="L460">
        <f t="shared" ca="1" si="73"/>
        <v>371</v>
      </c>
    </row>
    <row r="461" spans="1:12" ht="19">
      <c r="A461" s="860">
        <v>45879</v>
      </c>
      <c r="B461" s="1093">
        <v>-220</v>
      </c>
      <c r="C461" s="500">
        <f t="shared" si="68"/>
        <v>7800753.5999999996</v>
      </c>
      <c r="D461" s="31" t="s">
        <v>638</v>
      </c>
      <c r="E461" s="863">
        <f t="shared" ca="1" si="106"/>
        <v>-135</v>
      </c>
      <c r="F461" s="864">
        <f t="shared" ca="1" si="107"/>
        <v>-355</v>
      </c>
      <c r="G461" s="1254">
        <v>91</v>
      </c>
      <c r="H461" s="1310">
        <f t="shared" si="108"/>
        <v>-2.4175824175824174</v>
      </c>
      <c r="I461" s="2191">
        <f t="shared" ca="1" si="109"/>
        <v>-3</v>
      </c>
      <c r="J461" s="2392"/>
      <c r="L461">
        <f t="shared" ca="1" si="73"/>
        <v>360</v>
      </c>
    </row>
    <row r="462" spans="1:12" ht="19">
      <c r="A462" s="860">
        <v>45879</v>
      </c>
      <c r="B462" s="1093">
        <v>-13</v>
      </c>
      <c r="C462" s="500">
        <f t="shared" si="68"/>
        <v>7800740.5999999996</v>
      </c>
      <c r="D462" s="31" t="s">
        <v>638</v>
      </c>
      <c r="E462" s="863">
        <f t="shared" ref="E462" ca="1" si="110">IF(F462=0,0,F462-B462)</f>
        <v>-8</v>
      </c>
      <c r="F462" s="864">
        <f t="shared" ref="F462" ca="1" si="111">IF(D462="Hami Interest",0,ROUNDUP(B462*(1+$F$1/12)^(($E$1-A462)/30),0))</f>
        <v>-21</v>
      </c>
      <c r="G462" s="1254">
        <v>91</v>
      </c>
      <c r="H462" s="1310">
        <f t="shared" ref="H462" si="112">B462/G462</f>
        <v>-0.14285714285714285</v>
      </c>
      <c r="I462" s="2191">
        <f t="shared" ref="I462" ca="1" si="113">IF(D462="Hami Interest",0,ROUNDUP(H462*(1+$I$1/12)^(($E$1-A462)/30),0))</f>
        <v>-1</v>
      </c>
      <c r="J462" s="2392"/>
      <c r="L462">
        <f t="shared" ca="1" si="73"/>
        <v>360</v>
      </c>
    </row>
    <row r="463" spans="1:12" ht="19">
      <c r="A463" s="860">
        <v>45881</v>
      </c>
      <c r="B463" s="1093">
        <v>-90000</v>
      </c>
      <c r="C463" s="500">
        <f t="shared" si="68"/>
        <v>7710740.5999999996</v>
      </c>
      <c r="D463" s="31" t="s">
        <v>638</v>
      </c>
      <c r="E463" s="863">
        <f t="shared" ref="E463" ca="1" si="114">IF(F463=0,0,F463-B463)</f>
        <v>-54820</v>
      </c>
      <c r="F463" s="864">
        <f t="shared" ref="F463" ca="1" si="115">IF(D463="Hami Interest",0,ROUNDUP(B463*(1+$F$1/12)^(($E$1-A463)/30),0))</f>
        <v>-144820</v>
      </c>
      <c r="G463" s="1254">
        <v>92</v>
      </c>
      <c r="H463" s="1310">
        <f t="shared" ref="H463" si="116">B463/G463</f>
        <v>-978.26086956521738</v>
      </c>
      <c r="I463" s="2191">
        <f t="shared" ref="I463" ca="1" si="117">IF(D463="Hami Interest",0,ROUNDUP(H463*(1+$I$1/12)^(($E$1-A463)/30),0))</f>
        <v>-1080</v>
      </c>
      <c r="J463" s="2392"/>
      <c r="L463">
        <f t="shared" ca="1" si="73"/>
        <v>358</v>
      </c>
    </row>
    <row r="464" spans="1:12" ht="19">
      <c r="A464" s="860">
        <v>45881</v>
      </c>
      <c r="B464" s="1093">
        <v>-23750</v>
      </c>
      <c r="C464" s="500">
        <f t="shared" si="68"/>
        <v>7686990.5999999996</v>
      </c>
      <c r="D464" s="31" t="s">
        <v>638</v>
      </c>
      <c r="E464" s="863">
        <f t="shared" ref="E464" ca="1" si="118">IF(F464=0,0,F464-B464)</f>
        <v>-14467</v>
      </c>
      <c r="F464" s="864">
        <f t="shared" ref="F464" ca="1" si="119">IF(D464="Hami Interest",0,ROUNDUP(B464*(1+$F$1/12)^(($E$1-A464)/30),0))</f>
        <v>-38217</v>
      </c>
      <c r="G464" s="1254">
        <v>92</v>
      </c>
      <c r="H464" s="1310">
        <f t="shared" ref="H464" si="120">B464/G464</f>
        <v>-258.1521739130435</v>
      </c>
      <c r="I464" s="2191">
        <f t="shared" ref="I464" ca="1" si="121">IF(D464="Hami Interest",0,ROUNDUP(H464*(1+$I$1/12)^(($E$1-A464)/30),0))</f>
        <v>-285</v>
      </c>
      <c r="J464" s="2392"/>
      <c r="L464">
        <f t="shared" ca="1" si="73"/>
        <v>358</v>
      </c>
    </row>
    <row r="465" spans="1:12" ht="19">
      <c r="A465" s="860">
        <v>45882</v>
      </c>
      <c r="B465" s="1093">
        <v>-300000</v>
      </c>
      <c r="C465" s="500">
        <f t="shared" si="68"/>
        <v>7386990.5999999996</v>
      </c>
      <c r="D465" s="31" t="s">
        <v>750</v>
      </c>
      <c r="E465" s="863">
        <f t="shared" ref="E465:E466" ca="1" si="122">IF(F465=0,0,F465-B465)</f>
        <v>-182092</v>
      </c>
      <c r="F465" s="864">
        <f t="shared" ref="F465:F466" ca="1" si="123">IF(D465="Hami Interest",0,ROUNDUP(B465*(1+$F$1/12)^(($E$1-A465)/30),0))</f>
        <v>-482092</v>
      </c>
      <c r="G465" s="1254">
        <v>93</v>
      </c>
      <c r="H465" s="1310">
        <f t="shared" ref="H465" si="124">B465/G465</f>
        <v>-3225.8064516129034</v>
      </c>
      <c r="I465" s="2191">
        <f t="shared" ref="I465" ca="1" si="125">IF(D465="Hami Interest",0,ROUNDUP(H465*(1+$I$1/12)^(($E$1-A465)/30),0))</f>
        <v>-3558</v>
      </c>
      <c r="J465" s="2392"/>
      <c r="L465">
        <f t="shared" ca="1" si="73"/>
        <v>357</v>
      </c>
    </row>
    <row r="466" spans="1:12" ht="19">
      <c r="A466" s="860">
        <v>45886</v>
      </c>
      <c r="B466" s="1093">
        <v>-278250</v>
      </c>
      <c r="C466" s="500">
        <f t="shared" si="68"/>
        <v>7108740.5999999996</v>
      </c>
      <c r="D466" s="31" t="s">
        <v>638</v>
      </c>
      <c r="E466" s="863">
        <f t="shared" ca="1" si="122"/>
        <v>-166521</v>
      </c>
      <c r="F466" s="864">
        <f t="shared" ca="1" si="123"/>
        <v>-444771</v>
      </c>
      <c r="G466" s="1254">
        <v>92.5</v>
      </c>
      <c r="H466" s="1310">
        <f t="shared" ref="H466" si="126">B466/G466</f>
        <v>-3008.1081081081079</v>
      </c>
      <c r="I466" s="2191">
        <f t="shared" ref="I466" ca="1" si="127">IF(D466="Hami Interest",0,ROUNDUP(H466*(1+$I$1/12)^(($E$1-A466)/30),0))</f>
        <v>-3314</v>
      </c>
      <c r="J466" s="2392"/>
      <c r="L466">
        <f t="shared" ca="1" si="73"/>
        <v>353</v>
      </c>
    </row>
    <row r="467" spans="1:12" ht="19">
      <c r="A467" s="860">
        <v>45886</v>
      </c>
      <c r="B467" s="1093">
        <v>-54000</v>
      </c>
      <c r="C467" s="500">
        <f t="shared" si="68"/>
        <v>7054740.5999999996</v>
      </c>
      <c r="D467" s="31" t="s">
        <v>638</v>
      </c>
      <c r="E467" s="863">
        <f t="shared" ref="E467:E468" ca="1" si="128">IF(F467=0,0,F467-B467)</f>
        <v>-32317</v>
      </c>
      <c r="F467" s="864">
        <f t="shared" ref="F467:F468" ca="1" si="129">IF(D467="Hami Interest",0,ROUNDUP(B467*(1+$F$1/12)^(($E$1-A467)/30),0))</f>
        <v>-86317</v>
      </c>
      <c r="G467" s="1254">
        <v>92.5</v>
      </c>
      <c r="H467" s="1310">
        <f t="shared" ref="H467:H468" si="130">B467/G467</f>
        <v>-583.78378378378375</v>
      </c>
      <c r="I467" s="2191">
        <f t="shared" ref="I467:I468" ca="1" si="131">IF(D467="Hami Interest",0,ROUNDUP(H467*(1+$I$1/12)^(($E$1-A467)/30),0))</f>
        <v>-644</v>
      </c>
      <c r="J467" s="2392"/>
      <c r="L467">
        <f t="shared" ca="1" si="73"/>
        <v>353</v>
      </c>
    </row>
    <row r="468" spans="1:12" ht="19">
      <c r="A468" s="860">
        <v>45886</v>
      </c>
      <c r="B468" s="1093">
        <v>400000</v>
      </c>
      <c r="C468" s="500">
        <f t="shared" si="68"/>
        <v>7454740.5999999996</v>
      </c>
      <c r="D468" s="31" t="s">
        <v>747</v>
      </c>
      <c r="E468" s="863">
        <f t="shared" ca="1" si="128"/>
        <v>239382</v>
      </c>
      <c r="F468" s="864">
        <f t="shared" ca="1" si="129"/>
        <v>639382</v>
      </c>
      <c r="G468" s="1254">
        <v>92.5</v>
      </c>
      <c r="H468" s="1310">
        <f t="shared" si="130"/>
        <v>4324.3243243243242</v>
      </c>
      <c r="I468" s="2191">
        <f t="shared" ca="1" si="131"/>
        <v>4764</v>
      </c>
      <c r="J468" s="2392"/>
      <c r="L468">
        <f t="shared" ca="1" si="73"/>
        <v>353</v>
      </c>
    </row>
    <row r="469" spans="1:12" ht="19">
      <c r="A469" s="860">
        <v>45888</v>
      </c>
      <c r="B469" s="1093">
        <v>-150480</v>
      </c>
      <c r="C469" s="500">
        <f t="shared" si="68"/>
        <v>7304260.5999999996</v>
      </c>
      <c r="D469" s="31" t="s">
        <v>638</v>
      </c>
      <c r="E469" s="863">
        <f t="shared" ref="E469" ca="1" si="132">IF(F469=0,0,F469-B469)</f>
        <v>-89418</v>
      </c>
      <c r="F469" s="864">
        <f t="shared" ref="F469" ca="1" si="133">IF(D469="Hami Interest",0,ROUNDUP(B469*(1+$F$1/12)^(($E$1-A469)/30),0))</f>
        <v>-239898</v>
      </c>
      <c r="G469" s="1254">
        <v>93</v>
      </c>
      <c r="H469" s="1310">
        <f t="shared" ref="H469" si="134">B469/G469</f>
        <v>-1618.0645161290322</v>
      </c>
      <c r="I469" s="2191">
        <f t="shared" ref="I469" ca="1" si="135">IF(D469="Hami Interest",0,ROUNDUP(H469*(1+$I$1/12)^(($E$1-A469)/30),0))</f>
        <v>-1782</v>
      </c>
      <c r="J469" s="2392"/>
      <c r="L469">
        <f t="shared" ca="1" si="73"/>
        <v>351</v>
      </c>
    </row>
    <row r="470" spans="1:12" ht="19">
      <c r="A470" s="860">
        <v>45888</v>
      </c>
      <c r="B470" s="1093">
        <v>-4200</v>
      </c>
      <c r="C470" s="500">
        <f t="shared" si="68"/>
        <v>7300060.5999999996</v>
      </c>
      <c r="D470" s="31" t="s">
        <v>638</v>
      </c>
      <c r="E470" s="863">
        <f t="shared" ref="E470" ca="1" si="136">IF(F470=0,0,F470-B470)</f>
        <v>-2496</v>
      </c>
      <c r="F470" s="864">
        <f t="shared" ref="F470" ca="1" si="137">IF(D470="Hami Interest",0,ROUNDUP(B470*(1+$F$1/12)^(($E$1-A470)/30),0))</f>
        <v>-6696</v>
      </c>
      <c r="G470" s="1254">
        <v>93</v>
      </c>
      <c r="H470" s="1310">
        <f t="shared" ref="H470" si="138">B470/G470</f>
        <v>-45.161290322580648</v>
      </c>
      <c r="I470" s="2191">
        <f t="shared" ref="I470" ca="1" si="139">IF(D470="Hami Interest",0,ROUNDUP(H470*(1+$I$1/12)^(($E$1-A470)/30),0))</f>
        <v>-50</v>
      </c>
      <c r="J470" s="2392"/>
      <c r="L470">
        <f t="shared" ca="1" si="73"/>
        <v>351</v>
      </c>
    </row>
    <row r="471" spans="1:12" ht="19">
      <c r="A471" s="860">
        <v>45889</v>
      </c>
      <c r="B471" s="1093">
        <v>160320</v>
      </c>
      <c r="C471" s="500">
        <f t="shared" si="68"/>
        <v>7460380.5999999996</v>
      </c>
      <c r="D471" s="31" t="s">
        <v>747</v>
      </c>
      <c r="E471" s="863">
        <f t="shared" ref="E471" ca="1" si="140">IF(F471=0,0,F471-B471)</f>
        <v>94925</v>
      </c>
      <c r="F471" s="864">
        <f t="shared" ref="F471" ca="1" si="141">IF(D471="Hami Interest",0,ROUNDUP(B471*(1+$F$1/12)^(($E$1-A471)/30),0))</f>
        <v>255245</v>
      </c>
      <c r="G471" s="1254">
        <v>94.6</v>
      </c>
      <c r="H471" s="1310">
        <f t="shared" ref="H471" si="142">B471/G471</f>
        <v>1694.7145877378437</v>
      </c>
      <c r="I471" s="2191">
        <f t="shared" ref="I471" ca="1" si="143">IF(D471="Hami Interest",0,ROUNDUP(H471*(1+$I$1/12)^(($E$1-A471)/30),0))</f>
        <v>1866</v>
      </c>
      <c r="J471" s="2392"/>
      <c r="L471">
        <f t="shared" ca="1" si="73"/>
        <v>350</v>
      </c>
    </row>
    <row r="472" spans="1:12" ht="19">
      <c r="A472" s="860">
        <v>45891</v>
      </c>
      <c r="B472" s="1055">
        <v>97560</v>
      </c>
      <c r="C472" s="500">
        <f t="shared" si="68"/>
        <v>7557940.5999999996</v>
      </c>
      <c r="D472" s="1142" t="s">
        <v>748</v>
      </c>
      <c r="E472" s="863">
        <f t="shared" ref="E472" si="144">IF(F472=0,0,F472-B472)</f>
        <v>0</v>
      </c>
      <c r="F472" s="864">
        <f t="shared" ref="F472" si="145">IF(D472="Hami Interest",0,ROUNDUP(B472*(1+$F$1/12)^(($E$1-A472)/30),0))</f>
        <v>0</v>
      </c>
      <c r="G472" s="1254">
        <v>96.6</v>
      </c>
      <c r="H472" s="1310">
        <f t="shared" ref="H472" si="146">B472/G472</f>
        <v>1009.9378881987578</v>
      </c>
      <c r="I472" s="2191">
        <f t="shared" ref="I472" si="147">IF(D472="Hami Interest",0,ROUNDUP(H472*(1+$I$1/12)^(($E$1-A472)/30),0))</f>
        <v>0</v>
      </c>
      <c r="J472" s="2392"/>
      <c r="L472">
        <f t="shared" ca="1" si="73"/>
        <v>348</v>
      </c>
    </row>
    <row r="473" spans="1:12" ht="19">
      <c r="A473" s="860">
        <v>45894</v>
      </c>
      <c r="B473" s="1093">
        <v>-2000000</v>
      </c>
      <c r="C473" s="500">
        <f t="shared" si="68"/>
        <v>5557940.5999999996</v>
      </c>
      <c r="D473" s="31" t="s">
        <v>750</v>
      </c>
      <c r="E473" s="863">
        <f t="shared" ref="E473" ca="1" si="148">IF(F473=0,0,F473-B473)</f>
        <v>-1163108</v>
      </c>
      <c r="F473" s="864">
        <f t="shared" ref="F473" ca="1" si="149">IF(D473="Hami Interest",0,ROUNDUP(B473*(1+$F$1/12)^(($E$1-A473)/30),0))</f>
        <v>-3163108</v>
      </c>
      <c r="G473" s="1254">
        <v>95.7</v>
      </c>
      <c r="H473" s="1310">
        <f t="shared" ref="H473" si="150">B473/G473</f>
        <v>-20898.641588296759</v>
      </c>
      <c r="I473" s="2191">
        <f t="shared" ref="I473" ca="1" si="151">IF(D473="Hami Interest",0,ROUNDUP(H473*(1+$I$1/12)^(($E$1-A473)/30),0))</f>
        <v>-22970</v>
      </c>
      <c r="J473" s="2392"/>
      <c r="L473">
        <f t="shared" ca="1" si="73"/>
        <v>345</v>
      </c>
    </row>
    <row r="474" spans="1:12" ht="19">
      <c r="A474" s="860">
        <v>45894</v>
      </c>
      <c r="B474" s="1093">
        <v>-322500</v>
      </c>
      <c r="C474" s="500">
        <f t="shared" si="68"/>
        <v>5235440.5999999996</v>
      </c>
      <c r="D474" s="31" t="s">
        <v>638</v>
      </c>
      <c r="E474" s="863">
        <f t="shared" ref="E474" ca="1" si="152">IF(F474=0,0,F474-B474)</f>
        <v>-187552</v>
      </c>
      <c r="F474" s="864">
        <f t="shared" ref="F474" ca="1" si="153">IF(D474="Hami Interest",0,ROUNDUP(B474*(1+$F$1/12)^(($E$1-A474)/30),0))</f>
        <v>-510052</v>
      </c>
      <c r="G474" s="1254">
        <v>95.7</v>
      </c>
      <c r="H474" s="1310">
        <f t="shared" ref="H474" si="154">B474/G474</f>
        <v>-3369.9059561128524</v>
      </c>
      <c r="I474" s="2191">
        <f t="shared" ref="I474" ca="1" si="155">IF(D474="Hami Interest",0,ROUNDUP(H474*(1+$I$1/12)^(($E$1-A474)/30),0))</f>
        <v>-3704</v>
      </c>
      <c r="J474" s="2392"/>
      <c r="L474">
        <f t="shared" ca="1" si="73"/>
        <v>345</v>
      </c>
    </row>
    <row r="475" spans="1:12" ht="19">
      <c r="A475" s="860">
        <v>45894</v>
      </c>
      <c r="B475" s="1093">
        <v>-39100</v>
      </c>
      <c r="C475" s="500">
        <f t="shared" si="68"/>
        <v>5196340.5999999996</v>
      </c>
      <c r="D475" s="31" t="s">
        <v>638</v>
      </c>
      <c r="E475" s="863">
        <f t="shared" ref="E475" ca="1" si="156">IF(F475=0,0,F475-B475)</f>
        <v>-22739</v>
      </c>
      <c r="F475" s="864">
        <f t="shared" ref="F475" ca="1" si="157">IF(D475="Hami Interest",0,ROUNDUP(B475*(1+$F$1/12)^(($E$1-A475)/30),0))</f>
        <v>-61839</v>
      </c>
      <c r="G475" s="1254">
        <v>95.7</v>
      </c>
      <c r="H475" s="1310">
        <f t="shared" ref="H475" si="158">B475/G475</f>
        <v>-408.56844305120165</v>
      </c>
      <c r="I475" s="2191">
        <f t="shared" ref="I475" ca="1" si="159">IF(D475="Hami Interest",0,ROUNDUP(H475*(1+$I$1/12)^(($E$1-A475)/30),0))</f>
        <v>-450</v>
      </c>
      <c r="J475" s="2392"/>
      <c r="L475">
        <f t="shared" ca="1" si="73"/>
        <v>345</v>
      </c>
    </row>
    <row r="476" spans="1:12" ht="19">
      <c r="A476" s="860">
        <v>45894</v>
      </c>
      <c r="B476" s="1093">
        <v>350000</v>
      </c>
      <c r="C476" s="500">
        <f t="shared" si="68"/>
        <v>5546340.5999999996</v>
      </c>
      <c r="D476" s="31" t="s">
        <v>747</v>
      </c>
      <c r="E476" s="863">
        <f t="shared" ref="E476" ca="1" si="160">IF(F476=0,0,F476-B476)</f>
        <v>203544</v>
      </c>
      <c r="F476" s="864">
        <f t="shared" ref="F476" ca="1" si="161">IF(D476="Hami Interest",0,ROUNDUP(B476*(1+$F$1/12)^(($E$1-A476)/30),0))</f>
        <v>553544</v>
      </c>
      <c r="G476" s="1254">
        <v>95.7</v>
      </c>
      <c r="H476" s="1310">
        <f t="shared" ref="H476" si="162">B476/G476</f>
        <v>3657.2622779519329</v>
      </c>
      <c r="I476" s="2191">
        <f t="shared" ref="I476" ca="1" si="163">IF(D476="Hami Interest",0,ROUNDUP(H476*(1+$I$1/12)^(($E$1-A476)/30),0))</f>
        <v>4020</v>
      </c>
      <c r="J476" s="2392"/>
      <c r="L476">
        <f t="shared" ca="1" si="73"/>
        <v>345</v>
      </c>
    </row>
    <row r="477" spans="1:12" ht="19">
      <c r="A477" s="860">
        <v>45908</v>
      </c>
      <c r="B477" s="1093">
        <v>-1194</v>
      </c>
      <c r="C477" s="500">
        <f t="shared" si="68"/>
        <v>5545146.5999999996</v>
      </c>
      <c r="D477" s="31" t="s">
        <v>638</v>
      </c>
      <c r="E477" s="863">
        <f t="shared" ref="E477:E481" ca="1" si="164">IF(F477=0,0,F477-B477)</f>
        <v>-660</v>
      </c>
      <c r="F477" s="864">
        <f t="shared" ref="F477:F481" ca="1" si="165">IF(D477="Hami Interest",0,ROUNDUP(B477*(1+$F$1/12)^(($E$1-A477)/30),0))</f>
        <v>-1854</v>
      </c>
      <c r="G477" s="1254">
        <v>101.3</v>
      </c>
      <c r="H477" s="1310">
        <f t="shared" ref="H477:H480" si="166">B477/G477</f>
        <v>-11.786771964461995</v>
      </c>
      <c r="I477" s="2191">
        <f t="shared" ref="I477:I480" ca="1" si="167">IF(D477="Hami Interest",0,ROUNDUP(H477*(1+$I$1/12)^(($E$1-A477)/30),0))</f>
        <v>-13</v>
      </c>
      <c r="J477" s="2392"/>
      <c r="L477">
        <f t="shared" ca="1" si="73"/>
        <v>331</v>
      </c>
    </row>
    <row r="478" spans="1:12" ht="19">
      <c r="A478" s="860">
        <v>45909</v>
      </c>
      <c r="B478" s="1093">
        <v>-25200</v>
      </c>
      <c r="C478" s="500">
        <f t="shared" si="68"/>
        <v>5519946.5999999996</v>
      </c>
      <c r="D478" s="31" t="s">
        <v>638</v>
      </c>
      <c r="E478" s="863">
        <f t="shared" ca="1" si="164"/>
        <v>-13869</v>
      </c>
      <c r="F478" s="864">
        <f t="shared" ca="1" si="165"/>
        <v>-39069</v>
      </c>
      <c r="G478" s="1254">
        <v>99</v>
      </c>
      <c r="H478" s="1310">
        <f t="shared" si="166"/>
        <v>-254.54545454545453</v>
      </c>
      <c r="I478" s="2191">
        <f t="shared" ca="1" si="167"/>
        <v>-279</v>
      </c>
      <c r="J478" s="2392"/>
      <c r="L478">
        <f t="shared" ca="1" si="73"/>
        <v>330</v>
      </c>
    </row>
    <row r="479" spans="1:12" ht="19">
      <c r="A479" s="860">
        <v>45913</v>
      </c>
      <c r="B479" s="1093">
        <v>-4350</v>
      </c>
      <c r="C479" s="500">
        <f t="shared" si="68"/>
        <v>5515596.5999999996</v>
      </c>
      <c r="D479" s="31" t="s">
        <v>638</v>
      </c>
      <c r="E479" s="863">
        <f t="shared" ca="1" si="164"/>
        <v>-2359</v>
      </c>
      <c r="F479" s="864">
        <f t="shared" ca="1" si="165"/>
        <v>-6709</v>
      </c>
      <c r="G479" s="1254">
        <v>97.5</v>
      </c>
      <c r="H479" s="1310">
        <f t="shared" si="166"/>
        <v>-44.615384615384613</v>
      </c>
      <c r="I479" s="2191">
        <f t="shared" ca="1" si="167"/>
        <v>-49</v>
      </c>
      <c r="J479" s="2392"/>
      <c r="L479">
        <f t="shared" ca="1" si="73"/>
        <v>326</v>
      </c>
    </row>
    <row r="480" spans="1:12" ht="19">
      <c r="A480" s="860">
        <v>45914</v>
      </c>
      <c r="B480" s="1093">
        <v>-8</v>
      </c>
      <c r="C480" s="500">
        <f t="shared" si="68"/>
        <v>5515588.5999999996</v>
      </c>
      <c r="D480" s="31" t="s">
        <v>638</v>
      </c>
      <c r="E480" s="863">
        <f t="shared" ca="1" si="164"/>
        <v>-5</v>
      </c>
      <c r="F480" s="864">
        <f t="shared" ca="1" si="165"/>
        <v>-13</v>
      </c>
      <c r="G480" s="1254">
        <v>97.5</v>
      </c>
      <c r="H480" s="1310">
        <f t="shared" si="166"/>
        <v>-8.2051282051282051E-2</v>
      </c>
      <c r="I480" s="2191">
        <f t="shared" ca="1" si="167"/>
        <v>-1</v>
      </c>
      <c r="J480" s="2392"/>
      <c r="L480">
        <f t="shared" ca="1" si="73"/>
        <v>325</v>
      </c>
    </row>
    <row r="481" spans="1:12" ht="19">
      <c r="A481" s="860">
        <v>45914</v>
      </c>
      <c r="B481" s="1093">
        <v>87994</v>
      </c>
      <c r="C481" s="500">
        <f t="shared" si="68"/>
        <v>5603582.5999999996</v>
      </c>
      <c r="D481" s="31" t="s">
        <v>747</v>
      </c>
      <c r="E481" s="863">
        <f t="shared" ca="1" si="164"/>
        <v>47524</v>
      </c>
      <c r="F481" s="864">
        <f t="shared" ca="1" si="165"/>
        <v>135518</v>
      </c>
      <c r="G481" s="1254">
        <v>97.5</v>
      </c>
      <c r="H481" s="1310">
        <f t="shared" ref="H481:H487" si="168">B481/G481</f>
        <v>902.50256410256407</v>
      </c>
      <c r="I481" s="2191">
        <f t="shared" ref="I481:I487" ca="1" si="169">IF(D481="Hami Interest",0,ROUNDUP(H481*(1+$I$1/12)^(($E$1-A481)/30),0))</f>
        <v>987</v>
      </c>
      <c r="J481" s="2392"/>
      <c r="L481">
        <f t="shared" ca="1" si="73"/>
        <v>325</v>
      </c>
    </row>
    <row r="482" spans="1:12" ht="19">
      <c r="A482" s="860">
        <v>45916</v>
      </c>
      <c r="B482" s="1093">
        <v>1300000</v>
      </c>
      <c r="C482" s="500">
        <f t="shared" si="68"/>
        <v>6903582.5999999996</v>
      </c>
      <c r="D482" s="31" t="s">
        <v>747</v>
      </c>
      <c r="E482" s="863">
        <f t="shared" ref="E482" ca="1" si="170">IF(F482=0,0,F482-B482)</f>
        <v>696789</v>
      </c>
      <c r="F482" s="864">
        <f t="shared" ref="F482" ca="1" si="171">IF(D482="Hami Interest",0,ROUNDUP(B482*(1+$F$1/12)^(($E$1-A482)/30),0))</f>
        <v>1996789</v>
      </c>
      <c r="G482" s="1254">
        <v>98.8</v>
      </c>
      <c r="H482" s="1310">
        <f t="shared" si="168"/>
        <v>13157.894736842105</v>
      </c>
      <c r="I482" s="2191">
        <f t="shared" ca="1" si="169"/>
        <v>14375</v>
      </c>
      <c r="J482" s="2392"/>
      <c r="L482">
        <f t="shared" ca="1" si="73"/>
        <v>323</v>
      </c>
    </row>
    <row r="483" spans="1:12" ht="19">
      <c r="A483" s="860">
        <v>45920</v>
      </c>
      <c r="B483" s="1093">
        <v>-1000000</v>
      </c>
      <c r="C483" s="500">
        <f t="shared" si="68"/>
        <v>5903582.5999999996</v>
      </c>
      <c r="D483" s="31" t="s">
        <v>750</v>
      </c>
      <c r="E483" s="863">
        <f t="shared" ref="E483" ca="1" si="172">IF(F483=0,0,F483-B483)</f>
        <v>-527850</v>
      </c>
      <c r="F483" s="864">
        <f t="shared" ref="F483" ca="1" si="173">IF(D483="Hami Interest",0,ROUNDUP(B483*(1+$F$1/12)^(($E$1-A483)/30),0))</f>
        <v>-1527850</v>
      </c>
      <c r="G483" s="1254">
        <v>103.2</v>
      </c>
      <c r="H483" s="1310">
        <f t="shared" si="168"/>
        <v>-9689.9224806201546</v>
      </c>
      <c r="I483" s="2191">
        <f t="shared" ca="1" si="169"/>
        <v>-10575</v>
      </c>
      <c r="J483" s="2392"/>
      <c r="L483">
        <f t="shared" ca="1" si="73"/>
        <v>319</v>
      </c>
    </row>
    <row r="484" spans="1:12" ht="19">
      <c r="A484" s="860">
        <v>45920</v>
      </c>
      <c r="B484" s="1093">
        <v>-17</v>
      </c>
      <c r="C484" s="500">
        <f t="shared" si="68"/>
        <v>5903565.5999999996</v>
      </c>
      <c r="D484" s="31" t="s">
        <v>638</v>
      </c>
      <c r="E484" s="863">
        <f t="shared" ref="E484" ca="1" si="174">IF(F484=0,0,F484-B484)</f>
        <v>-9</v>
      </c>
      <c r="F484" s="864">
        <f t="shared" ref="F484" ca="1" si="175">IF(D484="Hami Interest",0,ROUNDUP(B484*(1+$F$1/12)^(($E$1-A484)/30),0))</f>
        <v>-26</v>
      </c>
      <c r="G484" s="1254">
        <v>103.2</v>
      </c>
      <c r="H484" s="1310">
        <f t="shared" si="168"/>
        <v>-0.16472868217054262</v>
      </c>
      <c r="I484" s="2191">
        <f t="shared" ca="1" si="169"/>
        <v>-1</v>
      </c>
      <c r="J484" s="2392"/>
      <c r="L484">
        <f t="shared" ca="1" si="73"/>
        <v>319</v>
      </c>
    </row>
    <row r="485" spans="1:12" ht="19">
      <c r="A485" s="860">
        <v>45921</v>
      </c>
      <c r="B485" s="1093">
        <v>-8911</v>
      </c>
      <c r="C485" s="500">
        <f t="shared" si="68"/>
        <v>5894654.5999999996</v>
      </c>
      <c r="D485" s="31" t="s">
        <v>638</v>
      </c>
      <c r="E485" s="863">
        <f t="shared" ref="E485:E486" ca="1" si="176">IF(F485=0,0,F485-B485)</f>
        <v>-4686</v>
      </c>
      <c r="F485" s="864">
        <f t="shared" ref="F485:F486" ca="1" si="177">IF(D485="Hami Interest",0,ROUNDUP(B485*(1+$F$1/12)^(($E$1-A485)/30),0))</f>
        <v>-13597</v>
      </c>
      <c r="G485" s="1254">
        <v>107</v>
      </c>
      <c r="H485" s="1310">
        <f t="shared" si="168"/>
        <v>-83.280373831775705</v>
      </c>
      <c r="I485" s="2191">
        <f t="shared" ca="1" si="169"/>
        <v>-91</v>
      </c>
      <c r="J485" s="2392"/>
      <c r="L485">
        <f t="shared" ca="1" si="73"/>
        <v>318</v>
      </c>
    </row>
    <row r="486" spans="1:12" ht="19">
      <c r="A486" s="860">
        <v>45921</v>
      </c>
      <c r="B486" s="1055">
        <v>53838</v>
      </c>
      <c r="C486" s="500">
        <f t="shared" si="68"/>
        <v>5948492.5999999996</v>
      </c>
      <c r="D486" s="1142" t="s">
        <v>748</v>
      </c>
      <c r="E486" s="863">
        <f t="shared" si="176"/>
        <v>0</v>
      </c>
      <c r="F486" s="864">
        <f t="shared" si="177"/>
        <v>0</v>
      </c>
      <c r="G486" s="1254">
        <v>107</v>
      </c>
      <c r="H486" s="1310">
        <f t="shared" si="168"/>
        <v>503.15887850467288</v>
      </c>
      <c r="I486" s="2191">
        <f t="shared" si="169"/>
        <v>0</v>
      </c>
      <c r="J486" s="2392"/>
      <c r="L486">
        <f t="shared" ca="1" si="73"/>
        <v>318</v>
      </c>
    </row>
    <row r="487" spans="1:12" ht="19">
      <c r="A487" s="860">
        <v>45923</v>
      </c>
      <c r="B487" s="1093">
        <v>-210000</v>
      </c>
      <c r="C487" s="500">
        <f t="shared" si="68"/>
        <v>5738492.5999999996</v>
      </c>
      <c r="D487" s="31" t="s">
        <v>638</v>
      </c>
      <c r="E487" s="863">
        <f t="shared" ref="E487" ca="1" si="178">IF(F487=0,0,F487-B487)</f>
        <v>-109572</v>
      </c>
      <c r="F487" s="864">
        <f t="shared" ref="F487" ca="1" si="179">IF(D487="Hami Interest",0,ROUNDUP(B487*(1+$F$1/12)^(($E$1-A487)/30),0))</f>
        <v>-319572</v>
      </c>
      <c r="G487" s="1254">
        <v>103.2</v>
      </c>
      <c r="H487" s="1310">
        <f t="shared" si="168"/>
        <v>-2034.8837209302326</v>
      </c>
      <c r="I487" s="2191">
        <f t="shared" ca="1" si="169"/>
        <v>-2219</v>
      </c>
      <c r="J487" s="2392"/>
      <c r="L487">
        <f t="shared" ca="1" si="73"/>
        <v>316</v>
      </c>
    </row>
    <row r="488" spans="1:12" ht="19">
      <c r="A488" s="860">
        <v>45923</v>
      </c>
      <c r="B488" s="1055">
        <v>-38500</v>
      </c>
      <c r="C488" s="500">
        <f t="shared" si="68"/>
        <v>5699992.5999999996</v>
      </c>
      <c r="D488" s="31" t="s">
        <v>638</v>
      </c>
      <c r="E488" s="863">
        <f t="shared" ref="E488:E489" ca="1" si="180">IF(F488=0,0,F488-B488)</f>
        <v>-20089</v>
      </c>
      <c r="F488" s="864">
        <f t="shared" ref="F488:F489" ca="1" si="181">IF(D488="Hami Interest",0,ROUNDUP(B488*(1+$F$1/12)^(($E$1-A488)/30),0))</f>
        <v>-58589</v>
      </c>
      <c r="G488" s="1254">
        <v>103.2</v>
      </c>
      <c r="H488" s="1310">
        <f t="shared" ref="H488:H490" si="182">B488/G488</f>
        <v>-373.06201550387595</v>
      </c>
      <c r="I488" s="2191">
        <f t="shared" ref="I488:I490" ca="1" si="183">IF(D488="Hami Interest",0,ROUNDUP(H488*(1+$I$1/12)^(($E$1-A488)/30),0))</f>
        <v>-407</v>
      </c>
      <c r="J488" s="2392"/>
      <c r="L488">
        <f t="shared" ca="1" si="73"/>
        <v>316</v>
      </c>
    </row>
    <row r="489" spans="1:12" ht="19">
      <c r="A489" s="860">
        <v>45923</v>
      </c>
      <c r="B489" s="1093">
        <v>263286</v>
      </c>
      <c r="C489" s="500">
        <f t="shared" si="68"/>
        <v>5963278.5999999996</v>
      </c>
      <c r="D489" s="31" t="s">
        <v>747</v>
      </c>
      <c r="E489" s="863">
        <f t="shared" ca="1" si="180"/>
        <v>137376</v>
      </c>
      <c r="F489" s="864">
        <f t="shared" ca="1" si="181"/>
        <v>400662</v>
      </c>
      <c r="G489" s="1254">
        <v>103.2</v>
      </c>
      <c r="H489" s="1310">
        <f t="shared" si="182"/>
        <v>2551.2209302325582</v>
      </c>
      <c r="I489" s="2191">
        <f t="shared" ca="1" si="183"/>
        <v>2782</v>
      </c>
      <c r="J489" s="2392"/>
      <c r="L489">
        <f t="shared" ca="1" si="73"/>
        <v>316</v>
      </c>
    </row>
    <row r="490" spans="1:12" ht="19">
      <c r="A490" s="860">
        <v>45931</v>
      </c>
      <c r="B490" s="1093">
        <v>-401500</v>
      </c>
      <c r="C490" s="500">
        <f t="shared" si="68"/>
        <v>5561778.5999999996</v>
      </c>
      <c r="D490" s="31" t="s">
        <v>750</v>
      </c>
      <c r="E490" s="863">
        <f t="shared" ref="E490" ca="1" si="184">IF(F490=0,0,F490-B490)</f>
        <v>-203031</v>
      </c>
      <c r="F490" s="864">
        <f t="shared" ref="F490" ca="1" si="185">IF(D490="Hami Interest",0,ROUNDUP(B490*(1+$F$1/12)^(($E$1-A490)/30),0))</f>
        <v>-604531</v>
      </c>
      <c r="G490" s="1254">
        <v>116.4</v>
      </c>
      <c r="H490" s="1310">
        <f t="shared" si="182"/>
        <v>-3449.3127147766322</v>
      </c>
      <c r="I490" s="2191">
        <f t="shared" ca="1" si="183"/>
        <v>-3753</v>
      </c>
      <c r="J490" s="2392"/>
      <c r="L490">
        <f t="shared" ca="1" si="73"/>
        <v>308</v>
      </c>
    </row>
    <row r="491" spans="1:12" ht="19">
      <c r="A491" s="860">
        <v>45935</v>
      </c>
      <c r="B491" s="1093">
        <v>100000</v>
      </c>
      <c r="C491" s="500">
        <f t="shared" si="68"/>
        <v>5661778.5999999996</v>
      </c>
      <c r="D491" s="31" t="s">
        <v>747</v>
      </c>
      <c r="E491" s="863">
        <f t="shared" ref="E491" ca="1" si="186">IF(F491=0,0,F491-B491)</f>
        <v>49770</v>
      </c>
      <c r="F491" s="864">
        <f t="shared" ref="F491" ca="1" si="187">IF(D491="Hami Interest",0,ROUNDUP(B491*(1+$F$1/12)^(($E$1-A491)/30),0))</f>
        <v>149770</v>
      </c>
      <c r="G491" s="1254">
        <v>114.2</v>
      </c>
      <c r="H491" s="1310">
        <f t="shared" ref="H491" si="188">B491/G491</f>
        <v>875.65674255691772</v>
      </c>
      <c r="I491" s="2191">
        <f t="shared" ref="I491" ca="1" si="189">IF(D491="Hami Interest",0,ROUNDUP(H491*(1+$I$1/12)^(($E$1-A491)/30),0))</f>
        <v>952</v>
      </c>
      <c r="J491" s="2392"/>
      <c r="L491">
        <f t="shared" ca="1" si="73"/>
        <v>304</v>
      </c>
    </row>
    <row r="492" spans="1:12" ht="19">
      <c r="A492" s="860">
        <v>45936</v>
      </c>
      <c r="B492" s="1093">
        <v>-3400</v>
      </c>
      <c r="C492" s="500">
        <f t="shared" si="68"/>
        <v>5658378.5999999996</v>
      </c>
      <c r="D492" s="31" t="s">
        <v>638</v>
      </c>
      <c r="E492" s="863">
        <f t="shared" ref="E492" ca="1" si="190">IF(F492=0,0,F492-B492)</f>
        <v>-1686</v>
      </c>
      <c r="F492" s="864">
        <f t="shared" ref="F492" ca="1" si="191">IF(D492="Hami Interest",0,ROUNDUP(B492*(1+$F$1/12)^(($E$1-A492)/30),0))</f>
        <v>-5086</v>
      </c>
      <c r="G492" s="1254">
        <v>113</v>
      </c>
      <c r="H492" s="1310">
        <f t="shared" ref="H492" si="192">B492/G492</f>
        <v>-30.088495575221238</v>
      </c>
      <c r="I492" s="2191">
        <f t="shared" ref="I492" ca="1" si="193">IF(D492="Hami Interest",0,ROUNDUP(H492*(1+$I$1/12)^(($E$1-A492)/30),0))</f>
        <v>-33</v>
      </c>
      <c r="J492" s="2392"/>
      <c r="L492">
        <f t="shared" ca="1" si="73"/>
        <v>303</v>
      </c>
    </row>
    <row r="493" spans="1:12" ht="19">
      <c r="A493" s="860">
        <v>45938</v>
      </c>
      <c r="B493" s="1093">
        <v>20340</v>
      </c>
      <c r="C493" s="500">
        <f t="shared" si="68"/>
        <v>5678718.5999999996</v>
      </c>
      <c r="D493" s="31" t="s">
        <v>747</v>
      </c>
      <c r="E493" s="863">
        <f t="shared" ref="E493:E494" ca="1" si="194">IF(F493=0,0,F493-B493)</f>
        <v>10003</v>
      </c>
      <c r="F493" s="864">
        <f t="shared" ref="F493:F494" ca="1" si="195">IF(D493="Hami Interest",0,ROUNDUP(B493*(1+$F$1/12)^(($E$1-A493)/30),0))</f>
        <v>30343</v>
      </c>
      <c r="G493" s="1254">
        <v>111.7</v>
      </c>
      <c r="H493" s="1310">
        <f t="shared" ref="H493:H494" si="196">B493/G493</f>
        <v>182.094897045658</v>
      </c>
      <c r="I493" s="2191">
        <f t="shared" ref="I493:I494" ca="1" si="197">IF(D493="Hami Interest",0,ROUNDUP(H493*(1+$I$1/12)^(($E$1-A493)/30),0))</f>
        <v>198</v>
      </c>
      <c r="J493" s="2392"/>
      <c r="L493">
        <f t="shared" ca="1" si="73"/>
        <v>301</v>
      </c>
    </row>
    <row r="494" spans="1:12" ht="19">
      <c r="A494" s="860">
        <v>45938</v>
      </c>
      <c r="B494" s="1093">
        <v>183060</v>
      </c>
      <c r="C494" s="500">
        <f t="shared" si="68"/>
        <v>5861778.5999999996</v>
      </c>
      <c r="D494" s="31" t="s">
        <v>747</v>
      </c>
      <c r="E494" s="863">
        <f t="shared" ca="1" si="194"/>
        <v>90019</v>
      </c>
      <c r="F494" s="864">
        <f t="shared" ca="1" si="195"/>
        <v>273079</v>
      </c>
      <c r="G494" s="1254">
        <v>111.7</v>
      </c>
      <c r="H494" s="1310">
        <f t="shared" si="196"/>
        <v>1638.8540734109222</v>
      </c>
      <c r="I494" s="2191">
        <f t="shared" ca="1" si="197"/>
        <v>1780</v>
      </c>
      <c r="J494" s="2392"/>
      <c r="L494">
        <f t="shared" ca="1" si="73"/>
        <v>301</v>
      </c>
    </row>
    <row r="495" spans="1:12" ht="19">
      <c r="A495" s="860">
        <v>45939</v>
      </c>
      <c r="B495" s="1055">
        <v>-19600</v>
      </c>
      <c r="C495" s="500">
        <f t="shared" si="68"/>
        <v>5842178.5999999996</v>
      </c>
      <c r="D495" s="31" t="s">
        <v>638</v>
      </c>
      <c r="E495" s="863">
        <f t="shared" ref="E495:E502" ca="1" si="198">IF(F495=0,0,F495-B495)</f>
        <v>-9600</v>
      </c>
      <c r="F495" s="864">
        <f t="shared" ref="F495:F502" ca="1" si="199">IF(D495="Hami Interest",0,ROUNDUP(B495*(1+$F$1/12)^(($E$1-A495)/30),0))</f>
        <v>-29200</v>
      </c>
      <c r="G495" s="1254">
        <v>112</v>
      </c>
      <c r="H495" s="1310">
        <f t="shared" ref="H495:H502" si="200">B495/G495</f>
        <v>-175</v>
      </c>
      <c r="I495" s="2191">
        <f t="shared" ref="I495:I502" ca="1" si="201">IF(D495="Hami Interest",0,ROUNDUP(H495*(1+$I$1/12)^(($E$1-A495)/30),0))</f>
        <v>-190</v>
      </c>
      <c r="J495" s="2392"/>
      <c r="L495">
        <f t="shared" ca="1" si="73"/>
        <v>300</v>
      </c>
    </row>
    <row r="496" spans="1:12" ht="19">
      <c r="A496" s="860">
        <v>45941</v>
      </c>
      <c r="B496" s="1093">
        <v>-15</v>
      </c>
      <c r="C496" s="500">
        <f t="shared" si="68"/>
        <v>5842163.5999999996</v>
      </c>
      <c r="D496" s="31" t="s">
        <v>638</v>
      </c>
      <c r="E496" s="863">
        <f t="shared" ca="1" si="198"/>
        <v>-8</v>
      </c>
      <c r="F496" s="864">
        <f t="shared" ca="1" si="199"/>
        <v>-23</v>
      </c>
      <c r="G496" s="1254">
        <v>112</v>
      </c>
      <c r="H496" s="1310">
        <f t="shared" si="200"/>
        <v>-0.13392857142857142</v>
      </c>
      <c r="I496" s="2191">
        <f t="shared" ca="1" si="201"/>
        <v>-1</v>
      </c>
      <c r="J496" s="2392"/>
      <c r="L496">
        <f t="shared" ca="1" si="73"/>
        <v>298</v>
      </c>
    </row>
    <row r="497" spans="1:12" ht="19">
      <c r="A497" s="860">
        <v>45943</v>
      </c>
      <c r="B497" s="1093">
        <v>-10250</v>
      </c>
      <c r="C497" s="500">
        <f t="shared" si="68"/>
        <v>5831913.5999999996</v>
      </c>
      <c r="D497" s="31" t="s">
        <v>638</v>
      </c>
      <c r="E497" s="863">
        <f t="shared" ca="1" si="198"/>
        <v>-4940</v>
      </c>
      <c r="F497" s="864">
        <f t="shared" ca="1" si="199"/>
        <v>-15190</v>
      </c>
      <c r="G497" s="1254">
        <v>111</v>
      </c>
      <c r="H497" s="1310">
        <f t="shared" si="200"/>
        <v>-92.342342342342349</v>
      </c>
      <c r="I497" s="2191">
        <f t="shared" ca="1" si="201"/>
        <v>-101</v>
      </c>
      <c r="J497" s="2392"/>
      <c r="L497">
        <f t="shared" ca="1" si="73"/>
        <v>296</v>
      </c>
    </row>
    <row r="498" spans="1:12" ht="19">
      <c r="A498" s="860">
        <v>45943</v>
      </c>
      <c r="B498" s="1093">
        <v>2129865</v>
      </c>
      <c r="C498" s="500">
        <f>C497+B498</f>
        <v>7961778.5999999996</v>
      </c>
      <c r="D498" s="31" t="s">
        <v>747</v>
      </c>
      <c r="E498" s="863">
        <f t="shared" ca="1" si="198"/>
        <v>1026305</v>
      </c>
      <c r="F498" s="864">
        <f t="shared" ca="1" si="199"/>
        <v>3156170</v>
      </c>
      <c r="G498" s="1254">
        <v>111</v>
      </c>
      <c r="H498" s="1310">
        <f t="shared" si="200"/>
        <v>19187.972972972973</v>
      </c>
      <c r="I498" s="2191">
        <f t="shared" ca="1" si="201"/>
        <v>20809</v>
      </c>
      <c r="J498" s="2392"/>
      <c r="L498">
        <f t="shared" ca="1" si="73"/>
        <v>296</v>
      </c>
    </row>
    <row r="499" spans="1:12" ht="19">
      <c r="A499" s="860">
        <v>45951</v>
      </c>
      <c r="B499" s="1093">
        <v>9700000</v>
      </c>
      <c r="C499" s="500">
        <f>C498+B499</f>
        <v>17661778.600000001</v>
      </c>
      <c r="D499" s="31" t="s">
        <v>747</v>
      </c>
      <c r="E499" s="863">
        <f t="shared" ca="1" si="198"/>
        <v>4522094</v>
      </c>
      <c r="F499" s="864">
        <f t="shared" ca="1" si="199"/>
        <v>14222094</v>
      </c>
      <c r="G499" s="1254">
        <v>108</v>
      </c>
      <c r="H499" s="1310">
        <f t="shared" si="200"/>
        <v>89814.814814814818</v>
      </c>
      <c r="I499" s="2191">
        <f t="shared" ca="1" si="201"/>
        <v>97186</v>
      </c>
      <c r="J499" s="2392"/>
      <c r="L499">
        <f t="shared" ca="1" si="73"/>
        <v>288</v>
      </c>
    </row>
    <row r="500" spans="1:12" ht="19">
      <c r="A500" s="860">
        <v>45952</v>
      </c>
      <c r="B500" s="1555">
        <v>73747</v>
      </c>
      <c r="C500" s="500">
        <f>C499+B500</f>
        <v>17735525.600000001</v>
      </c>
      <c r="D500" s="1142" t="s">
        <v>748</v>
      </c>
      <c r="E500" s="863">
        <f t="shared" si="198"/>
        <v>0</v>
      </c>
      <c r="F500" s="864">
        <f t="shared" si="199"/>
        <v>0</v>
      </c>
      <c r="G500" s="1254">
        <v>108</v>
      </c>
      <c r="H500" s="1310">
        <f t="shared" si="200"/>
        <v>682.84259259259261</v>
      </c>
      <c r="I500" s="2191">
        <f t="shared" si="201"/>
        <v>0</v>
      </c>
      <c r="J500" s="2392"/>
      <c r="L500">
        <f t="shared" ca="1" si="73"/>
        <v>287</v>
      </c>
    </row>
    <row r="501" spans="1:12" ht="19">
      <c r="A501" s="860">
        <v>45962</v>
      </c>
      <c r="B501" s="1093">
        <v>-22800</v>
      </c>
      <c r="C501" s="500">
        <f>C500+B501</f>
        <v>17712725.600000001</v>
      </c>
      <c r="D501" s="31" t="s">
        <v>638</v>
      </c>
      <c r="E501" s="863">
        <f t="shared" ca="1" si="198"/>
        <v>-10145</v>
      </c>
      <c r="F501" s="864">
        <f t="shared" ca="1" si="199"/>
        <v>-32945</v>
      </c>
      <c r="G501" s="1254">
        <v>108</v>
      </c>
      <c r="H501" s="1310">
        <f t="shared" si="200"/>
        <v>-211.11111111111111</v>
      </c>
      <c r="I501" s="2191">
        <f t="shared" ca="1" si="201"/>
        <v>-228</v>
      </c>
      <c r="J501" s="2392"/>
      <c r="L501">
        <f t="shared" ca="1" si="73"/>
        <v>277</v>
      </c>
    </row>
    <row r="502" spans="1:12" ht="19">
      <c r="A502" s="860">
        <v>45962</v>
      </c>
      <c r="B502" s="1093">
        <v>-14000</v>
      </c>
      <c r="C502" s="500">
        <f t="shared" ref="C502:C513" si="202">C501+B502</f>
        <v>17698725.600000001</v>
      </c>
      <c r="D502" s="31" t="s">
        <v>638</v>
      </c>
      <c r="E502" s="863">
        <f t="shared" ca="1" si="198"/>
        <v>-6229</v>
      </c>
      <c r="F502" s="864">
        <f t="shared" ca="1" si="199"/>
        <v>-20229</v>
      </c>
      <c r="G502" s="1254">
        <v>108</v>
      </c>
      <c r="H502" s="1310">
        <f t="shared" si="200"/>
        <v>-129.62962962962962</v>
      </c>
      <c r="I502" s="2191">
        <f t="shared" ca="1" si="201"/>
        <v>-140</v>
      </c>
      <c r="J502" s="2392"/>
      <c r="L502">
        <f t="shared" ca="1" si="73"/>
        <v>277</v>
      </c>
    </row>
    <row r="503" spans="1:12" ht="19">
      <c r="A503" s="860">
        <v>45962</v>
      </c>
      <c r="B503" s="1093">
        <v>-5513200</v>
      </c>
      <c r="C503" s="500">
        <f t="shared" si="202"/>
        <v>12185525.600000001</v>
      </c>
      <c r="D503" s="31" t="s">
        <v>750</v>
      </c>
      <c r="E503" s="863">
        <f t="shared" ref="E503:E505" ca="1" si="203">IF(F503=0,0,F503-B503)</f>
        <v>-2452940</v>
      </c>
      <c r="F503" s="864">
        <f t="shared" ref="F503:F505" ca="1" si="204">IF(D503="Hami Interest",0,ROUNDUP(B503*(1+$F$1/12)^(($E$1-A503)/30),0))</f>
        <v>-7966140</v>
      </c>
      <c r="G503" s="1254">
        <v>108</v>
      </c>
      <c r="H503" s="1310">
        <f t="shared" ref="H503:H505" si="205">B503/G503</f>
        <v>-51048.148148148146</v>
      </c>
      <c r="I503" s="2191">
        <f t="shared" ref="I503:I505" ca="1" si="206">IF(D503="Hami Interest",0,ROUNDUP(H503*(1+$I$1/12)^(($E$1-A503)/30),0))</f>
        <v>-55072</v>
      </c>
      <c r="J503" s="2392"/>
      <c r="L503">
        <f t="shared" ca="1" si="73"/>
        <v>277</v>
      </c>
    </row>
    <row r="504" spans="1:12" ht="19">
      <c r="A504" s="860">
        <v>45962</v>
      </c>
      <c r="B504" s="1555">
        <v>31730</v>
      </c>
      <c r="C504" s="500">
        <f t="shared" si="202"/>
        <v>12217255.600000001</v>
      </c>
      <c r="D504" s="1556" t="s">
        <v>748</v>
      </c>
      <c r="E504" s="863">
        <f>IF(F504=0,0,F504-B504)</f>
        <v>0</v>
      </c>
      <c r="F504" s="864">
        <f>IF(D504="Hami Interest",0,ROUNDUP(B504*(1+$F$1/12)^(($E$1-A504)/30),0))</f>
        <v>0</v>
      </c>
      <c r="G504" s="1254">
        <v>108</v>
      </c>
      <c r="H504" s="1310">
        <f>B504/G504</f>
        <v>293.7962962962963</v>
      </c>
      <c r="I504" s="2191">
        <f>IF(D504="Hami Interest",0,ROUNDUP(H504*(1+$I$1/12)^(($E$1-A504)/30),0))</f>
        <v>0</v>
      </c>
      <c r="J504" s="2392"/>
      <c r="L504">
        <f t="shared" ca="1" si="73"/>
        <v>277</v>
      </c>
    </row>
    <row r="505" spans="1:12" ht="19">
      <c r="A505" s="860">
        <v>45965</v>
      </c>
      <c r="B505" s="1093">
        <v>-2400</v>
      </c>
      <c r="C505" s="500">
        <f t="shared" si="202"/>
        <v>12214855.600000001</v>
      </c>
      <c r="D505" s="31" t="s">
        <v>638</v>
      </c>
      <c r="E505" s="863">
        <f t="shared" ca="1" si="203"/>
        <v>-1055</v>
      </c>
      <c r="F505" s="864">
        <f t="shared" ca="1" si="204"/>
        <v>-3455</v>
      </c>
      <c r="G505" s="1254">
        <v>108</v>
      </c>
      <c r="H505" s="1310">
        <f t="shared" si="205"/>
        <v>-22.222222222222221</v>
      </c>
      <c r="I505" s="2191">
        <f t="shared" ca="1" si="206"/>
        <v>-24</v>
      </c>
      <c r="J505" s="2392"/>
      <c r="L505">
        <f t="shared" ca="1" si="73"/>
        <v>274</v>
      </c>
    </row>
    <row r="506" spans="1:12" ht="19">
      <c r="A506" s="860">
        <v>45966</v>
      </c>
      <c r="B506" s="1093">
        <v>-4984</v>
      </c>
      <c r="C506" s="500">
        <f t="shared" si="202"/>
        <v>12209871.600000001</v>
      </c>
      <c r="D506" s="31" t="s">
        <v>638</v>
      </c>
      <c r="E506" s="863">
        <f t="shared" ref="E506" ca="1" si="207">IF(F506=0,0,F506-B506)</f>
        <v>-2180</v>
      </c>
      <c r="F506" s="864">
        <f t="shared" ref="F506" ca="1" si="208">IF(D506="Hami Interest",0,ROUNDUP(B506*(1+$F$1/12)^(($E$1-A506)/30),0))</f>
        <v>-7164</v>
      </c>
      <c r="G506" s="1254">
        <v>108</v>
      </c>
      <c r="H506" s="1310">
        <f t="shared" ref="H506" si="209">B506/G506</f>
        <v>-46.148148148148145</v>
      </c>
      <c r="I506" s="2191">
        <f t="shared" ref="I506" ca="1" si="210">IF(D506="Hami Interest",0,ROUNDUP(H506*(1+$I$1/12)^(($E$1-A506)/30),0))</f>
        <v>-50</v>
      </c>
      <c r="J506" s="2392"/>
      <c r="L506">
        <f t="shared" ca="1" si="73"/>
        <v>273</v>
      </c>
    </row>
    <row r="507" spans="1:12" ht="19">
      <c r="A507" s="860">
        <v>45971</v>
      </c>
      <c r="B507" s="1093">
        <v>-21000</v>
      </c>
      <c r="C507" s="500">
        <f t="shared" si="202"/>
        <v>12188871.600000001</v>
      </c>
      <c r="D507" s="31" t="s">
        <v>638</v>
      </c>
      <c r="E507" s="863">
        <f t="shared" ref="E507" ca="1" si="211">IF(F507=0,0,F507-B507)</f>
        <v>-8983</v>
      </c>
      <c r="F507" s="864">
        <f t="shared" ref="F507" ca="1" si="212">IF(D507="Hami Interest",0,ROUNDUP(B507*(1+$F$1/12)^(($E$1-A507)/30),0))</f>
        <v>-29983</v>
      </c>
      <c r="G507" s="1254">
        <v>108</v>
      </c>
      <c r="H507" s="1310">
        <f t="shared" ref="H507" si="213">B507/G507</f>
        <v>-194.44444444444446</v>
      </c>
      <c r="I507" s="2191">
        <f t="shared" ref="I507" ca="1" si="214">IF(D507="Hami Interest",0,ROUNDUP(H507*(1+$I$1/12)^(($E$1-A507)/30),0))</f>
        <v>-210</v>
      </c>
      <c r="J507" s="2392"/>
      <c r="L507">
        <f t="shared" ca="1" si="73"/>
        <v>268</v>
      </c>
    </row>
    <row r="508" spans="1:12" ht="19">
      <c r="A508" s="860">
        <v>45971</v>
      </c>
      <c r="B508" s="1093">
        <v>-3500</v>
      </c>
      <c r="C508" s="500">
        <f t="shared" si="202"/>
        <v>12185371.600000001</v>
      </c>
      <c r="D508" s="31" t="s">
        <v>638</v>
      </c>
      <c r="E508" s="863">
        <f t="shared" ref="E508:E509" ca="1" si="215">IF(F508=0,0,F508-B508)</f>
        <v>-1498</v>
      </c>
      <c r="F508" s="864">
        <f t="shared" ref="F508:F509" ca="1" si="216">IF(D508="Hami Interest",0,ROUNDUP(B508*(1+$F$1/12)^(($E$1-A508)/30),0))</f>
        <v>-4998</v>
      </c>
      <c r="G508" s="1254">
        <v>108</v>
      </c>
      <c r="H508" s="1310">
        <f t="shared" ref="H508:H509" si="217">B508/G508</f>
        <v>-32.407407407407405</v>
      </c>
      <c r="I508" s="2191">
        <f t="shared" ref="I508:I509" ca="1" si="218">IF(D508="Hami Interest",0,ROUNDUP(H508*(1+$I$1/12)^(($E$1-A508)/30),0))</f>
        <v>-35</v>
      </c>
      <c r="J508" s="2392"/>
      <c r="L508">
        <f t="shared" ca="1" si="73"/>
        <v>268</v>
      </c>
    </row>
    <row r="509" spans="1:12" ht="19">
      <c r="A509" s="860">
        <v>45973</v>
      </c>
      <c r="B509" s="1093">
        <v>-350</v>
      </c>
      <c r="C509" s="500">
        <f t="shared" si="202"/>
        <v>12185021.600000001</v>
      </c>
      <c r="D509" s="31" t="s">
        <v>638</v>
      </c>
      <c r="E509" s="863">
        <f t="shared" ca="1" si="215"/>
        <v>-149</v>
      </c>
      <c r="F509" s="864">
        <f t="shared" ca="1" si="216"/>
        <v>-499</v>
      </c>
      <c r="G509" s="1254">
        <v>113</v>
      </c>
      <c r="H509" s="1310">
        <f t="shared" si="217"/>
        <v>-3.0973451327433628</v>
      </c>
      <c r="I509" s="2191">
        <f t="shared" ca="1" si="218"/>
        <v>-4</v>
      </c>
      <c r="J509" s="2392"/>
      <c r="L509">
        <f t="shared" ca="1" si="73"/>
        <v>266</v>
      </c>
    </row>
    <row r="510" spans="1:12" ht="19">
      <c r="A510" s="860">
        <v>45976</v>
      </c>
      <c r="B510" s="1093">
        <v>-85000</v>
      </c>
      <c r="C510" s="500">
        <f t="shared" si="202"/>
        <v>12100021.600000001</v>
      </c>
      <c r="D510" s="31" t="s">
        <v>638</v>
      </c>
      <c r="E510" s="863">
        <f t="shared" ref="E510:E512" ca="1" si="219">IF(F510=0,0,F510-B510)</f>
        <v>-35555</v>
      </c>
      <c r="F510" s="864">
        <f t="shared" ref="F510:F512" ca="1" si="220">IF(D510="Hami Interest",0,ROUNDUP(B510*(1+$F$1/12)^(($E$1-A510)/30),0))</f>
        <v>-120555</v>
      </c>
      <c r="G510" s="1254">
        <v>113</v>
      </c>
      <c r="H510" s="1310">
        <f t="shared" ref="H510:H512" si="221">B510/G510</f>
        <v>-752.21238938053102</v>
      </c>
      <c r="I510" s="2191">
        <f t="shared" ref="I510:I512" ca="1" si="222">IF(D510="Hami Interest",0,ROUNDUP(H510*(1+$I$1/12)^(($E$1-A510)/30),0))</f>
        <v>-809</v>
      </c>
      <c r="J510" s="2392"/>
      <c r="L510">
        <f t="shared" ca="1" si="73"/>
        <v>263</v>
      </c>
    </row>
    <row r="511" spans="1:12" ht="19">
      <c r="A511" s="860">
        <v>45978</v>
      </c>
      <c r="B511" s="1093">
        <v>-16848</v>
      </c>
      <c r="C511" s="500">
        <f t="shared" si="202"/>
        <v>12083173.600000001</v>
      </c>
      <c r="D511" s="31" t="s">
        <v>638</v>
      </c>
      <c r="E511" s="863">
        <f t="shared" ca="1" si="219"/>
        <v>-6984</v>
      </c>
      <c r="F511" s="864">
        <f t="shared" ca="1" si="220"/>
        <v>-23832</v>
      </c>
      <c r="G511" s="1254">
        <v>113</v>
      </c>
      <c r="H511" s="1310">
        <f t="shared" si="221"/>
        <v>-149.09734513274336</v>
      </c>
      <c r="I511" s="2191">
        <f t="shared" ca="1" si="222"/>
        <v>-161</v>
      </c>
      <c r="J511" s="2392"/>
      <c r="L511">
        <f t="shared" ca="1" si="73"/>
        <v>261</v>
      </c>
    </row>
    <row r="512" spans="1:12" ht="19">
      <c r="A512" s="860">
        <v>45980</v>
      </c>
      <c r="B512" s="1093">
        <v>184082</v>
      </c>
      <c r="C512" s="500">
        <f t="shared" si="202"/>
        <v>12267255.600000001</v>
      </c>
      <c r="D512" s="31" t="s">
        <v>747</v>
      </c>
      <c r="E512" s="863">
        <f t="shared" ca="1" si="219"/>
        <v>75616</v>
      </c>
      <c r="F512" s="864">
        <f t="shared" ca="1" si="220"/>
        <v>259698</v>
      </c>
      <c r="G512" s="1254">
        <v>113</v>
      </c>
      <c r="H512" s="1310">
        <f t="shared" si="221"/>
        <v>1629.0442477876106</v>
      </c>
      <c r="I512" s="2191">
        <f t="shared" ca="1" si="222"/>
        <v>1749</v>
      </c>
      <c r="J512" s="2392"/>
      <c r="L512">
        <f t="shared" ca="1" si="73"/>
        <v>259</v>
      </c>
    </row>
    <row r="513" spans="1:12" ht="19">
      <c r="A513" s="860">
        <v>45983</v>
      </c>
      <c r="B513" s="1555">
        <v>241770</v>
      </c>
      <c r="C513" s="500">
        <f t="shared" si="202"/>
        <v>12509025.600000001</v>
      </c>
      <c r="D513" s="1556" t="s">
        <v>748</v>
      </c>
      <c r="E513" s="863">
        <f t="shared" ref="E513:E520" si="223">IF(F513=0,0,F513-B513)</f>
        <v>0</v>
      </c>
      <c r="F513" s="864">
        <f t="shared" ref="F513:F520" si="224">IF(D513="Hami Interest",0,ROUNDUP(B513*(1+$F$1/12)^(($E$1-A513)/30),0))</f>
        <v>0</v>
      </c>
      <c r="G513" s="1254">
        <v>114</v>
      </c>
      <c r="H513" s="1310">
        <f t="shared" ref="H513:H520" si="225">B513/G513</f>
        <v>2120.7894736842104</v>
      </c>
      <c r="I513" s="2191">
        <f t="shared" ref="I513:I520" si="226">IF(D513="Hami Interest",0,ROUNDUP(H513*(1+$I$1/12)^(($E$1-A513)/30),0))</f>
        <v>0</v>
      </c>
      <c r="J513" s="2392"/>
      <c r="L513">
        <f t="shared" ca="1" si="73"/>
        <v>256</v>
      </c>
    </row>
    <row r="514" spans="1:12" ht="19">
      <c r="A514" s="860">
        <v>45994</v>
      </c>
      <c r="B514" s="1555">
        <v>-34200</v>
      </c>
      <c r="C514" s="500">
        <f t="shared" ref="C514:C524" si="227">C513+B514</f>
        <v>12474825.600000001</v>
      </c>
      <c r="D514" s="31" t="s">
        <v>638</v>
      </c>
      <c r="E514" s="863">
        <f t="shared" ca="1" si="223"/>
        <v>-13160</v>
      </c>
      <c r="F514" s="864">
        <f t="shared" ca="1" si="224"/>
        <v>-47360</v>
      </c>
      <c r="G514" s="1254">
        <v>115</v>
      </c>
      <c r="H514" s="1310">
        <f t="shared" si="225"/>
        <v>-297.39130434782606</v>
      </c>
      <c r="I514" s="2191">
        <f t="shared" ca="1" si="226"/>
        <v>-319</v>
      </c>
      <c r="J514" s="2392"/>
      <c r="L514">
        <f t="shared" ca="1" si="73"/>
        <v>245</v>
      </c>
    </row>
    <row r="515" spans="1:12" ht="19">
      <c r="A515" s="860">
        <v>46000</v>
      </c>
      <c r="B515" s="1093">
        <v>745000</v>
      </c>
      <c r="C515" s="500">
        <f t="shared" si="227"/>
        <v>13219825.600000001</v>
      </c>
      <c r="D515" s="31" t="s">
        <v>747</v>
      </c>
      <c r="E515" s="863">
        <f t="shared" ca="1" si="223"/>
        <v>278464</v>
      </c>
      <c r="F515" s="864">
        <f t="shared" ca="1" si="224"/>
        <v>1023464</v>
      </c>
      <c r="G515" s="1254">
        <v>125</v>
      </c>
      <c r="H515" s="1310">
        <f t="shared" si="225"/>
        <v>5960</v>
      </c>
      <c r="I515" s="2191">
        <f t="shared" ca="1" si="226"/>
        <v>6364</v>
      </c>
      <c r="J515" s="2392"/>
      <c r="L515">
        <f t="shared" ref="L515:L557" ca="1" si="228">$E$1-A515</f>
        <v>239</v>
      </c>
    </row>
    <row r="516" spans="1:12" ht="19">
      <c r="A516" s="860">
        <v>46000</v>
      </c>
      <c r="B516" s="1093">
        <v>10800</v>
      </c>
      <c r="C516" s="500">
        <f t="shared" si="227"/>
        <v>13230625.600000001</v>
      </c>
      <c r="D516" s="31" t="s">
        <v>747</v>
      </c>
      <c r="E516" s="863">
        <f t="shared" ca="1" si="223"/>
        <v>4037</v>
      </c>
      <c r="F516" s="864">
        <f t="shared" ca="1" si="224"/>
        <v>14837</v>
      </c>
      <c r="G516" s="1254">
        <v>125</v>
      </c>
      <c r="H516" s="1310">
        <f t="shared" si="225"/>
        <v>86.4</v>
      </c>
      <c r="I516" s="2191">
        <f t="shared" ca="1" si="226"/>
        <v>93</v>
      </c>
      <c r="J516" s="2392"/>
      <c r="L516">
        <f t="shared" ca="1" si="228"/>
        <v>239</v>
      </c>
    </row>
    <row r="517" spans="1:12" ht="19">
      <c r="A517" s="860">
        <v>46006</v>
      </c>
      <c r="B517" s="1093">
        <v>678400</v>
      </c>
      <c r="C517" s="500">
        <f t="shared" si="227"/>
        <v>13909025.600000001</v>
      </c>
      <c r="D517" s="31" t="s">
        <v>747</v>
      </c>
      <c r="E517" s="863">
        <f t="shared" ca="1" si="223"/>
        <v>246170</v>
      </c>
      <c r="F517" s="864">
        <f t="shared" ca="1" si="224"/>
        <v>924570</v>
      </c>
      <c r="G517" s="1254">
        <v>131</v>
      </c>
      <c r="H517" s="1310">
        <f t="shared" si="225"/>
        <v>5178.6259541984737</v>
      </c>
      <c r="I517" s="2191">
        <f t="shared" ca="1" si="226"/>
        <v>5520</v>
      </c>
      <c r="J517" s="2392"/>
      <c r="L517">
        <f t="shared" ca="1" si="228"/>
        <v>233</v>
      </c>
    </row>
    <row r="518" spans="1:12" ht="19">
      <c r="A518" s="860">
        <v>46014</v>
      </c>
      <c r="B518" s="1555">
        <v>207299</v>
      </c>
      <c r="C518" s="500">
        <f t="shared" si="227"/>
        <v>14116324.600000001</v>
      </c>
      <c r="D518" s="1556" t="s">
        <v>748</v>
      </c>
      <c r="E518" s="863">
        <f t="shared" si="223"/>
        <v>0</v>
      </c>
      <c r="F518" s="864">
        <f t="shared" si="224"/>
        <v>0</v>
      </c>
      <c r="G518" s="1254">
        <v>132</v>
      </c>
      <c r="H518" s="1310">
        <f t="shared" si="225"/>
        <v>1570.4469696969697</v>
      </c>
      <c r="I518" s="2191">
        <f t="shared" si="226"/>
        <v>0</v>
      </c>
      <c r="J518" s="2392"/>
      <c r="L518">
        <f t="shared" ca="1" si="228"/>
        <v>225</v>
      </c>
    </row>
    <row r="519" spans="1:12" ht="19">
      <c r="A519" s="860">
        <v>46026</v>
      </c>
      <c r="B519" s="1555">
        <v>-1000000</v>
      </c>
      <c r="C519" s="500">
        <f>C518+B519</f>
        <v>13116324.600000001</v>
      </c>
      <c r="D519" s="31" t="s">
        <v>750</v>
      </c>
      <c r="E519" s="863">
        <f t="shared" ca="1" si="223"/>
        <v>-327128</v>
      </c>
      <c r="F519" s="864">
        <f t="shared" ca="1" si="224"/>
        <v>-1327128</v>
      </c>
      <c r="G519" s="1254">
        <v>140</v>
      </c>
      <c r="H519" s="1310">
        <f t="shared" si="225"/>
        <v>-7142.8571428571431</v>
      </c>
      <c r="I519" s="2191">
        <f t="shared" ca="1" si="226"/>
        <v>-7572</v>
      </c>
      <c r="J519" s="2392"/>
      <c r="L519">
        <f t="shared" ca="1" si="228"/>
        <v>213</v>
      </c>
    </row>
    <row r="520" spans="1:12" ht="19">
      <c r="A520" s="860">
        <v>46029</v>
      </c>
      <c r="B520" s="1093">
        <v>600000</v>
      </c>
      <c r="C520" s="500">
        <f t="shared" si="227"/>
        <v>13716324.600000001</v>
      </c>
      <c r="D520" s="31" t="s">
        <v>747</v>
      </c>
      <c r="E520" s="863">
        <f t="shared" ca="1" si="223"/>
        <v>193109</v>
      </c>
      <c r="F520" s="864">
        <f t="shared" ca="1" si="224"/>
        <v>793109</v>
      </c>
      <c r="G520" s="1254">
        <v>148</v>
      </c>
      <c r="H520" s="1310">
        <f t="shared" si="225"/>
        <v>4054.0540540540542</v>
      </c>
      <c r="I520" s="2191">
        <f t="shared" ca="1" si="226"/>
        <v>4295</v>
      </c>
      <c r="J520" s="2392"/>
      <c r="L520">
        <f t="shared" ca="1" si="228"/>
        <v>210</v>
      </c>
    </row>
    <row r="521" spans="1:12" ht="19">
      <c r="A521" s="860">
        <v>46029</v>
      </c>
      <c r="B521" s="1093">
        <v>200000</v>
      </c>
      <c r="C521" s="500">
        <f t="shared" si="227"/>
        <v>13916324.600000001</v>
      </c>
      <c r="D521" s="31" t="s">
        <v>747</v>
      </c>
      <c r="E521" s="863">
        <f t="shared" ref="E521" ca="1" si="229">IF(F521=0,0,F521-B521)</f>
        <v>64370</v>
      </c>
      <c r="F521" s="864">
        <f t="shared" ref="F521" ca="1" si="230">IF(D521="Hami Interest",0,ROUNDUP(B521*(1+$F$1/12)^(($E$1-A521)/30),0))</f>
        <v>264370</v>
      </c>
      <c r="G521" s="1254">
        <v>149</v>
      </c>
      <c r="H521" s="1310">
        <f t="shared" ref="H521" si="231">B521/G521</f>
        <v>1342.2818791946308</v>
      </c>
      <c r="I521" s="2191">
        <f t="shared" ref="I521" ca="1" si="232">IF(D521="Hami Interest",0,ROUNDUP(H521*(1+$I$1/12)^(($E$1-A521)/30),0))</f>
        <v>1422</v>
      </c>
      <c r="J521" s="2392"/>
      <c r="L521">
        <f t="shared" ca="1" si="228"/>
        <v>210</v>
      </c>
    </row>
    <row r="522" spans="1:12" ht="19">
      <c r="A522" s="860">
        <v>46044</v>
      </c>
      <c r="B522" s="1555">
        <v>159962</v>
      </c>
      <c r="C522" s="500">
        <f t="shared" si="227"/>
        <v>14076286.600000001</v>
      </c>
      <c r="D522" s="1556" t="s">
        <v>748</v>
      </c>
      <c r="E522" s="863">
        <f t="shared" ref="E522:E523" si="233">IF(F522=0,0,F522-B522)</f>
        <v>0</v>
      </c>
      <c r="F522" s="864">
        <f t="shared" ref="F522:F523" si="234">IF(D522="Hami Interest",0,ROUNDUP(B522*(1+$F$1/12)^(($E$1-A522)/30),0))</f>
        <v>0</v>
      </c>
      <c r="G522" s="1254">
        <v>142</v>
      </c>
      <c r="H522" s="1310">
        <f t="shared" ref="H522:H523" si="235">B522/G522</f>
        <v>1126.4929577464789</v>
      </c>
      <c r="I522" s="2191">
        <f t="shared" ref="I522:I523" si="236">IF(D522="Hami Interest",0,ROUNDUP(H522*(1+$I$1/12)^(($E$1-A522)/30),0))</f>
        <v>0</v>
      </c>
      <c r="J522" s="2392"/>
      <c r="L522">
        <f t="shared" ca="1" si="228"/>
        <v>195</v>
      </c>
    </row>
    <row r="523" spans="1:12" ht="19">
      <c r="A523" s="860">
        <v>46049</v>
      </c>
      <c r="B523" s="1093">
        <v>1180000</v>
      </c>
      <c r="C523" s="500">
        <f t="shared" si="227"/>
        <v>15256286.600000001</v>
      </c>
      <c r="D523" s="31" t="s">
        <v>747</v>
      </c>
      <c r="E523" s="863">
        <f t="shared" ca="1" si="233"/>
        <v>338877</v>
      </c>
      <c r="F523" s="864">
        <f t="shared" ca="1" si="234"/>
        <v>1518877</v>
      </c>
      <c r="G523" s="1254">
        <v>148</v>
      </c>
      <c r="H523" s="1310">
        <f t="shared" si="235"/>
        <v>7972.9729729729734</v>
      </c>
      <c r="I523" s="2191">
        <f t="shared" ca="1" si="236"/>
        <v>8399</v>
      </c>
      <c r="J523" s="2392"/>
      <c r="L523">
        <f t="shared" ca="1" si="228"/>
        <v>190</v>
      </c>
    </row>
    <row r="524" spans="1:12" ht="19">
      <c r="A524" s="860">
        <v>46061</v>
      </c>
      <c r="B524" s="1093">
        <v>-6600</v>
      </c>
      <c r="C524" s="500">
        <f t="shared" si="227"/>
        <v>15249686.600000001</v>
      </c>
      <c r="D524" s="31" t="s">
        <v>638</v>
      </c>
      <c r="E524" s="863">
        <f t="shared" ref="E524" ca="1" si="237">IF(F524=0,0,F524-B524)</f>
        <v>-1762</v>
      </c>
      <c r="F524" s="864">
        <f t="shared" ref="F524" ca="1" si="238">IF(D524="Hami Interest",0,ROUNDUP(B524*(1+$F$1/12)^(($E$1-A524)/30),0))</f>
        <v>-8362</v>
      </c>
      <c r="G524" s="1254">
        <v>158</v>
      </c>
      <c r="H524" s="1310">
        <f t="shared" ref="H524" si="239">B524/G524</f>
        <v>-41.77215189873418</v>
      </c>
      <c r="I524" s="2191">
        <f t="shared" ref="I524" ca="1" si="240">IF(D524="Hami Interest",0,ROUNDUP(H524*(1+$I$1/12)^(($E$1-A524)/30),0))</f>
        <v>-44</v>
      </c>
      <c r="J524" s="2392"/>
      <c r="L524">
        <f t="shared" ca="1" si="228"/>
        <v>178</v>
      </c>
    </row>
    <row r="525" spans="1:12" ht="19">
      <c r="A525" s="860">
        <v>46067</v>
      </c>
      <c r="B525" s="1093">
        <v>-14250</v>
      </c>
      <c r="C525" s="500">
        <f t="shared" ref="C525" si="241">C524+B525</f>
        <v>15235436.600000001</v>
      </c>
      <c r="D525" s="31" t="s">
        <v>638</v>
      </c>
      <c r="E525" s="863">
        <f t="shared" ref="E525" ca="1" si="242">IF(F525=0,0,F525-B525)</f>
        <v>-3659</v>
      </c>
      <c r="F525" s="864">
        <f t="shared" ref="F525" ca="1" si="243">IF(D525="Hami Interest",0,ROUNDUP(B525*(1+$F$1/12)^(($E$1-A525)/30),0))</f>
        <v>-17909</v>
      </c>
      <c r="G525" s="1254">
        <v>159</v>
      </c>
      <c r="H525" s="1310">
        <f t="shared" ref="H525" si="244">B525/G525</f>
        <v>-89.622641509433961</v>
      </c>
      <c r="I525" s="2191">
        <f t="shared" ref="I525" ca="1" si="245">IF(D525="Hami Interest",0,ROUNDUP(H525*(1+$I$1/12)^(($E$1-A525)/30),0))</f>
        <v>-94</v>
      </c>
      <c r="J525" s="2392"/>
      <c r="L525">
        <f t="shared" ca="1" si="228"/>
        <v>172</v>
      </c>
    </row>
    <row r="526" spans="1:12" ht="19">
      <c r="A526" s="860">
        <v>46073</v>
      </c>
      <c r="B526" s="1555">
        <v>123867</v>
      </c>
      <c r="C526" s="500">
        <f>C525+B526</f>
        <v>15359303.600000001</v>
      </c>
      <c r="D526" s="1556" t="s">
        <v>748</v>
      </c>
      <c r="E526" s="863">
        <f t="shared" ref="E526:E532" si="246">IF(F526=0,0,F526-B526)</f>
        <v>0</v>
      </c>
      <c r="F526" s="864">
        <f t="shared" ref="F526:F532" si="247">IF(D526="Hami Interest",0,ROUNDUP(B526*(1+$F$1/12)^(($E$1-A526)/30),0))</f>
        <v>0</v>
      </c>
      <c r="G526" s="1254">
        <v>163</v>
      </c>
      <c r="H526" s="1310">
        <f t="shared" ref="H526:H532" si="248">B526/G526</f>
        <v>759.92024539877298</v>
      </c>
      <c r="I526" s="2191">
        <f t="shared" ref="I526:I532" si="249">IF(D526="Hami Interest",0,ROUNDUP(H526*(1+$I$1/12)^(($E$1-A526)/30),0))</f>
        <v>0</v>
      </c>
      <c r="J526" s="2392"/>
      <c r="L526">
        <f t="shared" ca="1" si="228"/>
        <v>166</v>
      </c>
    </row>
    <row r="527" spans="1:12" ht="19">
      <c r="A527" s="860">
        <v>46075</v>
      </c>
      <c r="B527" s="1093">
        <v>-330600</v>
      </c>
      <c r="C527" s="500">
        <f>C526+B527</f>
        <v>15028703.600000001</v>
      </c>
      <c r="D527" s="31" t="s">
        <v>638</v>
      </c>
      <c r="E527" s="863">
        <f t="shared" ca="1" si="246"/>
        <v>-80493</v>
      </c>
      <c r="F527" s="864">
        <f t="shared" ca="1" si="247"/>
        <v>-411093</v>
      </c>
      <c r="G527" s="1254">
        <v>164</v>
      </c>
      <c r="H527" s="1310">
        <f t="shared" si="248"/>
        <v>-2015.8536585365853</v>
      </c>
      <c r="I527" s="2191">
        <f t="shared" ca="1" si="249"/>
        <v>-2109</v>
      </c>
      <c r="J527" s="2392"/>
      <c r="L527">
        <f t="shared" ca="1" si="228"/>
        <v>164</v>
      </c>
    </row>
    <row r="528" spans="1:12" ht="19">
      <c r="A528" s="860">
        <v>46075</v>
      </c>
      <c r="B528" s="1093">
        <v>571450</v>
      </c>
      <c r="C528" s="500">
        <f>C527+B528</f>
        <v>15600153.600000001</v>
      </c>
      <c r="D528" s="1859" t="s">
        <v>747</v>
      </c>
      <c r="E528" s="863">
        <f t="shared" ca="1" si="246"/>
        <v>139134</v>
      </c>
      <c r="F528" s="864">
        <f t="shared" ca="1" si="247"/>
        <v>710584</v>
      </c>
      <c r="G528" s="1254">
        <v>164</v>
      </c>
      <c r="H528" s="1310">
        <f t="shared" si="248"/>
        <v>3484.4512195121952</v>
      </c>
      <c r="I528" s="2191">
        <f t="shared" ca="1" si="249"/>
        <v>3645</v>
      </c>
      <c r="J528" s="2392"/>
      <c r="L528">
        <f t="shared" ca="1" si="228"/>
        <v>164</v>
      </c>
    </row>
    <row r="529" spans="1:12" ht="19">
      <c r="A529" s="860">
        <v>46076</v>
      </c>
      <c r="B529" s="1093">
        <v>130000</v>
      </c>
      <c r="C529" s="500">
        <f t="shared" ref="C529:C544" si="250">C528+B529</f>
        <v>15730153.600000001</v>
      </c>
      <c r="D529" s="1859" t="s">
        <v>757</v>
      </c>
      <c r="E529" s="863">
        <f t="shared" ca="1" si="246"/>
        <v>31438</v>
      </c>
      <c r="F529" s="864">
        <f t="shared" ca="1" si="247"/>
        <v>161438</v>
      </c>
      <c r="G529" s="1254">
        <v>164</v>
      </c>
      <c r="H529" s="1310">
        <f t="shared" si="248"/>
        <v>792.68292682926824</v>
      </c>
      <c r="I529" s="2191">
        <f t="shared" ca="1" si="249"/>
        <v>829</v>
      </c>
      <c r="J529" s="2392"/>
      <c r="L529">
        <f t="shared" ca="1" si="228"/>
        <v>163</v>
      </c>
    </row>
    <row r="530" spans="1:12" ht="19">
      <c r="A530" s="860">
        <v>46077</v>
      </c>
      <c r="B530" s="1093">
        <v>-70800</v>
      </c>
      <c r="C530" s="500">
        <f t="shared" si="250"/>
        <v>15659353.600000001</v>
      </c>
      <c r="D530" s="1859" t="s">
        <v>638</v>
      </c>
      <c r="E530" s="863">
        <f t="shared" ca="1" si="246"/>
        <v>-17005</v>
      </c>
      <c r="F530" s="864">
        <f t="shared" ca="1" si="247"/>
        <v>-87805</v>
      </c>
      <c r="G530" s="1254">
        <v>164</v>
      </c>
      <c r="H530" s="1310">
        <f t="shared" si="248"/>
        <v>-431.70731707317071</v>
      </c>
      <c r="I530" s="2191">
        <f t="shared" ca="1" si="249"/>
        <v>-452</v>
      </c>
      <c r="J530" s="2392"/>
      <c r="L530">
        <f t="shared" ca="1" si="228"/>
        <v>162</v>
      </c>
    </row>
    <row r="531" spans="1:12" ht="19">
      <c r="A531" s="860">
        <v>46078</v>
      </c>
      <c r="B531" s="1093">
        <v>200000</v>
      </c>
      <c r="C531" s="500">
        <f t="shared" si="250"/>
        <v>15859353.600000001</v>
      </c>
      <c r="D531" s="1859" t="s">
        <v>747</v>
      </c>
      <c r="E531" s="863">
        <f t="shared" ca="1" si="246"/>
        <v>47706</v>
      </c>
      <c r="F531" s="864">
        <f t="shared" ca="1" si="247"/>
        <v>247706</v>
      </c>
      <c r="G531" s="1254">
        <v>165</v>
      </c>
      <c r="H531" s="1310">
        <f t="shared" si="248"/>
        <v>1212.121212121212</v>
      </c>
      <c r="I531" s="2191">
        <f t="shared" ca="1" si="249"/>
        <v>1267</v>
      </c>
      <c r="J531" s="2392"/>
      <c r="L531">
        <f t="shared" ca="1" si="228"/>
        <v>161</v>
      </c>
    </row>
    <row r="532" spans="1:12" ht="19">
      <c r="A532" s="860">
        <v>46078</v>
      </c>
      <c r="B532" s="1093">
        <v>1100000</v>
      </c>
      <c r="C532" s="500">
        <f t="shared" si="250"/>
        <v>16959353.600000001</v>
      </c>
      <c r="D532" s="1859" t="s">
        <v>747</v>
      </c>
      <c r="E532" s="863">
        <f t="shared" ca="1" si="246"/>
        <v>262381</v>
      </c>
      <c r="F532" s="864">
        <f t="shared" ca="1" si="247"/>
        <v>1362381</v>
      </c>
      <c r="G532" s="1254">
        <v>165</v>
      </c>
      <c r="H532" s="1310">
        <f t="shared" si="248"/>
        <v>6666.666666666667</v>
      </c>
      <c r="I532" s="2191">
        <f t="shared" ca="1" si="249"/>
        <v>6968</v>
      </c>
      <c r="J532" s="2392"/>
      <c r="L532">
        <f t="shared" ca="1" si="228"/>
        <v>161</v>
      </c>
    </row>
    <row r="533" spans="1:12" ht="19">
      <c r="A533" s="860">
        <v>46098</v>
      </c>
      <c r="B533" s="1093">
        <v>-4000000</v>
      </c>
      <c r="C533" s="500">
        <f t="shared" si="250"/>
        <v>12959353.600000001</v>
      </c>
      <c r="D533" s="31" t="s">
        <v>750</v>
      </c>
      <c r="E533" s="863">
        <f t="shared" ref="E533" ca="1" si="251">IF(F533=0,0,F533-B533)</f>
        <v>-824194</v>
      </c>
      <c r="F533" s="864">
        <f t="shared" ref="F533" ca="1" si="252">IF(D533="Hami Interest",0,ROUNDUP(B533*(1+$F$1/12)^(($E$1-A533)/30),0))</f>
        <v>-4824194</v>
      </c>
      <c r="G533" s="1254">
        <v>145</v>
      </c>
      <c r="H533" s="1310">
        <f t="shared" ref="H533" si="253">B533/G533</f>
        <v>-27586.206896551725</v>
      </c>
      <c r="I533" s="2191">
        <f t="shared" ref="I533" ca="1" si="254">IF(D533="Hami Interest",0,ROUNDUP(H533*(1+$I$1/12)^(($E$1-A533)/30),0))</f>
        <v>-28673</v>
      </c>
      <c r="J533" s="2392"/>
      <c r="L533">
        <f t="shared" ca="1" si="228"/>
        <v>141</v>
      </c>
    </row>
    <row r="534" spans="1:12" ht="19">
      <c r="A534" s="860">
        <v>46099</v>
      </c>
      <c r="B534" s="1093">
        <v>-800000</v>
      </c>
      <c r="C534" s="500">
        <f t="shared" si="250"/>
        <v>12159353.600000001</v>
      </c>
      <c r="D534" s="31" t="s">
        <v>750</v>
      </c>
      <c r="E534" s="863">
        <f t="shared" ref="E534" ca="1" si="255">IF(F534=0,0,F534-B534)</f>
        <v>-163558</v>
      </c>
      <c r="F534" s="864">
        <f t="shared" ref="F534" ca="1" si="256">IF(D534="Hami Interest",0,ROUNDUP(B534*(1+$F$1/12)^(($E$1-A534)/30),0))</f>
        <v>-963558</v>
      </c>
      <c r="G534" s="1254">
        <v>145</v>
      </c>
      <c r="H534" s="1310">
        <f t="shared" ref="H534" si="257">B534/G534</f>
        <v>-5517.2413793103451</v>
      </c>
      <c r="I534" s="2191">
        <f t="shared" ref="I534" ca="1" si="258">IF(D534="Hami Interest",0,ROUNDUP(H534*(1+$I$1/12)^(($E$1-A534)/30),0))</f>
        <v>-5733</v>
      </c>
      <c r="J534" s="2392"/>
      <c r="L534">
        <f t="shared" ca="1" si="228"/>
        <v>140</v>
      </c>
    </row>
    <row r="535" spans="1:12" ht="19">
      <c r="A535" s="860">
        <v>46099</v>
      </c>
      <c r="B535" s="1093">
        <v>-27718</v>
      </c>
      <c r="C535" s="500">
        <f t="shared" si="250"/>
        <v>12131635.600000001</v>
      </c>
      <c r="D535" s="1859" t="s">
        <v>638</v>
      </c>
      <c r="E535" s="863">
        <f t="shared" ref="E535:E544" ca="1" si="259">IF(F535=0,0,F535-B535)</f>
        <v>-5667</v>
      </c>
      <c r="F535" s="864">
        <f t="shared" ref="F535" ca="1" si="260">IF(D535="Hami Interest",0,ROUNDUP(B535*(1+$F$1/12)^(($E$1-A535)/30),0))</f>
        <v>-33385</v>
      </c>
      <c r="G535" s="1254">
        <v>146</v>
      </c>
      <c r="H535" s="1310">
        <f t="shared" ref="H535" si="261">B535/G535</f>
        <v>-189.84931506849315</v>
      </c>
      <c r="I535" s="2191">
        <f t="shared" ref="I535" ca="1" si="262">IF(D535="Hami Interest",0,ROUNDUP(H535*(1+$I$1/12)^(($E$1-A535)/30),0))</f>
        <v>-198</v>
      </c>
      <c r="J535" s="2392"/>
      <c r="L535">
        <f t="shared" ca="1" si="228"/>
        <v>140</v>
      </c>
    </row>
    <row r="536" spans="1:12" ht="19">
      <c r="A536" s="860">
        <v>46101</v>
      </c>
      <c r="B536" s="1555">
        <v>90804.95</v>
      </c>
      <c r="C536" s="500">
        <f t="shared" si="250"/>
        <v>12222440.550000001</v>
      </c>
      <c r="D536" s="1556" t="s">
        <v>748</v>
      </c>
      <c r="E536" s="863">
        <f t="shared" si="259"/>
        <v>0</v>
      </c>
      <c r="F536" s="864">
        <f t="shared" ref="F536" si="263">IF(D536="Hami Interest",0,ROUNDUP(B536*(1+$F$1/12)^(($E$1-A536)/30),0))</f>
        <v>0</v>
      </c>
      <c r="G536" s="1254">
        <v>146</v>
      </c>
      <c r="H536" s="1310">
        <f t="shared" ref="H536" si="264">B536/G536</f>
        <v>621.95171232876714</v>
      </c>
      <c r="I536" s="2191">
        <f t="shared" ref="I536" si="265">IF(D536="Hami Interest",0,ROUNDUP(H536*(1+$I$1/12)^(($E$1-A536)/30),0))</f>
        <v>0</v>
      </c>
      <c r="J536" s="2392"/>
      <c r="L536">
        <f t="shared" ca="1" si="228"/>
        <v>138</v>
      </c>
    </row>
    <row r="537" spans="1:12" ht="19">
      <c r="A537" s="860">
        <v>46125</v>
      </c>
      <c r="B537" s="1093">
        <v>300000</v>
      </c>
      <c r="C537" s="500">
        <f t="shared" si="250"/>
        <v>12522440.550000001</v>
      </c>
      <c r="D537" s="1859" t="s">
        <v>747</v>
      </c>
      <c r="E537" s="863">
        <f t="shared" ca="1" si="259"/>
        <v>49065</v>
      </c>
      <c r="F537" s="864">
        <f t="shared" ref="F537" ca="1" si="266">IF(D537="Hami Interest",0,ROUNDUP(B537*(1+$F$1/12)^(($E$1-A537)/30),0))</f>
        <v>349065</v>
      </c>
      <c r="G537" s="1254">
        <v>154</v>
      </c>
      <c r="H537" s="1310">
        <f t="shared" ref="H537" si="267">B537/G537</f>
        <v>1948.0519480519481</v>
      </c>
      <c r="I537" s="2191">
        <f t="shared" ref="I537" ca="1" si="268">IF(D537="Hami Interest",0,ROUNDUP(H537*(1+$I$1/12)^(($E$1-A537)/30),0))</f>
        <v>2010</v>
      </c>
      <c r="J537" s="2392"/>
      <c r="L537">
        <f t="shared" ca="1" si="228"/>
        <v>114</v>
      </c>
    </row>
    <row r="538" spans="1:12" ht="19">
      <c r="A538" s="860">
        <v>46125</v>
      </c>
      <c r="B538" s="1093">
        <v>200000</v>
      </c>
      <c r="C538" s="500">
        <f t="shared" si="250"/>
        <v>12722440.550000001</v>
      </c>
      <c r="D538" s="1859" t="s">
        <v>747</v>
      </c>
      <c r="E538" s="863">
        <f t="shared" ca="1" si="259"/>
        <v>32710</v>
      </c>
      <c r="F538" s="864">
        <f t="shared" ref="F538:F539" ca="1" si="269">IF(D538="Hami Interest",0,ROUNDUP(B538*(1+$F$1/12)^(($E$1-A538)/30),0))</f>
        <v>232710</v>
      </c>
      <c r="G538" s="1254">
        <v>154</v>
      </c>
      <c r="H538" s="1310">
        <f t="shared" ref="H538:H539" si="270">B538/G538</f>
        <v>1298.7012987012988</v>
      </c>
      <c r="I538" s="2191">
        <f t="shared" ref="I538:I539" ca="1" si="271">IF(D538="Hami Interest",0,ROUNDUP(H538*(1+$I$1/12)^(($E$1-A538)/30),0))</f>
        <v>1340</v>
      </c>
      <c r="J538" s="2392"/>
      <c r="L538">
        <f t="shared" ca="1" si="228"/>
        <v>114</v>
      </c>
    </row>
    <row r="539" spans="1:12" ht="19">
      <c r="A539" s="860">
        <v>46132</v>
      </c>
      <c r="B539" s="1555">
        <v>5875</v>
      </c>
      <c r="C539" s="500">
        <f t="shared" si="250"/>
        <v>12728315.550000001</v>
      </c>
      <c r="D539" s="1556" t="s">
        <v>748</v>
      </c>
      <c r="E539" s="863">
        <f t="shared" si="259"/>
        <v>0</v>
      </c>
      <c r="F539" s="864">
        <f t="shared" si="269"/>
        <v>0</v>
      </c>
      <c r="G539" s="1254">
        <v>155</v>
      </c>
      <c r="H539" s="1310">
        <f t="shared" si="270"/>
        <v>37.903225806451616</v>
      </c>
      <c r="I539" s="2191">
        <f t="shared" si="271"/>
        <v>0</v>
      </c>
      <c r="J539" s="2392"/>
      <c r="L539">
        <f t="shared" ca="1" si="228"/>
        <v>107</v>
      </c>
    </row>
    <row r="540" spans="1:12" ht="19">
      <c r="A540" s="860">
        <v>46147</v>
      </c>
      <c r="B540" s="1093">
        <v>300000</v>
      </c>
      <c r="C540" s="500">
        <f t="shared" si="250"/>
        <v>13028315.550000001</v>
      </c>
      <c r="D540" s="1859" t="s">
        <v>747</v>
      </c>
      <c r="E540" s="863">
        <f t="shared" ca="1" si="259"/>
        <v>39009</v>
      </c>
      <c r="F540" s="864">
        <f t="shared" ref="F540:F544" ca="1" si="272">IF(D540="Hami Interest",0,ROUNDUP(B540*(1+$F$1/12)^(($E$1-A540)/30),0))</f>
        <v>339009</v>
      </c>
      <c r="G540" s="1254">
        <v>175</v>
      </c>
      <c r="H540" s="1310">
        <f t="shared" ref="H540:H544" si="273">B540/G540</f>
        <v>1714.2857142857142</v>
      </c>
      <c r="I540" s="2191">
        <f t="shared" ref="I540:I544" ca="1" si="274">IF(D540="Hami Interest",0,ROUNDUP(H540*(1+$I$1/12)^(($E$1-A540)/30),0))</f>
        <v>1759</v>
      </c>
      <c r="J540" s="2392"/>
      <c r="L540">
        <f t="shared" ca="1" si="228"/>
        <v>92</v>
      </c>
    </row>
    <row r="541" spans="1:12" ht="19">
      <c r="A541" s="860">
        <v>46147</v>
      </c>
      <c r="B541" s="1093">
        <v>-282200</v>
      </c>
      <c r="C541" s="500">
        <f t="shared" si="250"/>
        <v>12746115.550000001</v>
      </c>
      <c r="D541" s="1859" t="s">
        <v>638</v>
      </c>
      <c r="E541" s="863">
        <f t="shared" ca="1" si="259"/>
        <v>-36694</v>
      </c>
      <c r="F541" s="864">
        <f t="shared" ca="1" si="272"/>
        <v>-318894</v>
      </c>
      <c r="G541" s="1254">
        <v>175</v>
      </c>
      <c r="H541" s="1310">
        <f t="shared" si="273"/>
        <v>-1612.5714285714287</v>
      </c>
      <c r="I541" s="2191">
        <f t="shared" ca="1" si="274"/>
        <v>-1654</v>
      </c>
      <c r="J541" s="2392"/>
      <c r="L541">
        <f t="shared" ca="1" si="228"/>
        <v>92</v>
      </c>
    </row>
    <row r="542" spans="1:12" ht="19">
      <c r="A542" s="860">
        <v>46151</v>
      </c>
      <c r="B542" s="1093">
        <v>300718</v>
      </c>
      <c r="C542" s="500">
        <f t="shared" si="250"/>
        <v>13046833.550000001</v>
      </c>
      <c r="D542" s="1859" t="s">
        <v>758</v>
      </c>
      <c r="E542" s="863">
        <f t="shared" ca="1" si="259"/>
        <v>37301</v>
      </c>
      <c r="F542" s="864">
        <f t="shared" ca="1" si="272"/>
        <v>338019</v>
      </c>
      <c r="G542" s="1254">
        <v>175</v>
      </c>
      <c r="H542" s="1310">
        <f t="shared" si="273"/>
        <v>1718.3885714285714</v>
      </c>
      <c r="I542" s="2191">
        <f t="shared" ca="1" si="274"/>
        <v>1761</v>
      </c>
      <c r="J542" s="2392"/>
      <c r="L542">
        <f t="shared" ca="1" si="228"/>
        <v>88</v>
      </c>
    </row>
    <row r="543" spans="1:12" ht="19">
      <c r="A543" s="860">
        <v>46154</v>
      </c>
      <c r="B543" s="1093">
        <v>-555000</v>
      </c>
      <c r="C543" s="500">
        <f t="shared" si="250"/>
        <v>12491833.550000001</v>
      </c>
      <c r="D543" s="1859" t="s">
        <v>638</v>
      </c>
      <c r="E543" s="863">
        <f t="shared" ca="1" si="259"/>
        <v>-66360</v>
      </c>
      <c r="F543" s="864">
        <f t="shared" ca="1" si="272"/>
        <v>-621360</v>
      </c>
      <c r="G543" s="1254">
        <v>183</v>
      </c>
      <c r="H543" s="1310">
        <f t="shared" si="273"/>
        <v>-3032.7868852459014</v>
      </c>
      <c r="I543" s="2191">
        <f t="shared" ca="1" si="274"/>
        <v>-3105</v>
      </c>
      <c r="J543" s="2392"/>
      <c r="L543">
        <f t="shared" ca="1" si="228"/>
        <v>85</v>
      </c>
    </row>
    <row r="544" spans="1:12" ht="19">
      <c r="A544" s="860">
        <v>46154</v>
      </c>
      <c r="B544" s="1093">
        <v>600000</v>
      </c>
      <c r="C544" s="500">
        <f t="shared" si="250"/>
        <v>13091833.550000001</v>
      </c>
      <c r="D544" s="1859" t="s">
        <v>747</v>
      </c>
      <c r="E544" s="863">
        <f t="shared" ca="1" si="259"/>
        <v>71740</v>
      </c>
      <c r="F544" s="864">
        <f t="shared" ca="1" si="272"/>
        <v>671740</v>
      </c>
      <c r="G544" s="1254">
        <v>183</v>
      </c>
      <c r="H544" s="1310">
        <f t="shared" si="273"/>
        <v>3278.688524590164</v>
      </c>
      <c r="I544" s="2191">
        <f t="shared" ca="1" si="274"/>
        <v>3356</v>
      </c>
      <c r="J544" s="2392"/>
      <c r="L544">
        <f t="shared" ca="1" si="228"/>
        <v>85</v>
      </c>
    </row>
    <row r="545" spans="1:12" ht="19">
      <c r="A545" s="860">
        <v>46163</v>
      </c>
      <c r="B545" s="1555">
        <v>19101</v>
      </c>
      <c r="C545" s="500">
        <f t="shared" ref="C545:C550" si="275">C544+B545</f>
        <v>13110934.550000001</v>
      </c>
      <c r="D545" s="1556" t="s">
        <v>748</v>
      </c>
      <c r="E545" s="863">
        <f t="shared" ref="E545:E551" si="276">IF(F545=0,0,F545-B545)</f>
        <v>0</v>
      </c>
      <c r="F545" s="864">
        <f t="shared" ref="F545:F551" si="277">IF(D545="Hami Interest",0,ROUNDUP(B545*(1+$F$1/12)^(($E$1-A545)/30),0))</f>
        <v>0</v>
      </c>
      <c r="G545" s="1254">
        <v>178</v>
      </c>
      <c r="H545" s="1310">
        <f t="shared" ref="H545:H551" si="278">B545/G545</f>
        <v>107.30898876404494</v>
      </c>
      <c r="I545" s="2191">
        <f t="shared" ref="I545:I551" si="279">IF(D545="Hami Interest",0,ROUNDUP(H545*(1+$I$1/12)^(($E$1-A545)/30),0))</f>
        <v>0</v>
      </c>
      <c r="J545" s="2392"/>
      <c r="L545">
        <f t="shared" ca="1" si="228"/>
        <v>76</v>
      </c>
    </row>
    <row r="546" spans="1:12" ht="19">
      <c r="A546" s="860">
        <v>46165</v>
      </c>
      <c r="B546" s="1093">
        <v>-6500000</v>
      </c>
      <c r="C546" s="500">
        <f t="shared" si="275"/>
        <v>6610934.5500000007</v>
      </c>
      <c r="D546" s="1859" t="s">
        <v>750</v>
      </c>
      <c r="E546" s="863">
        <f t="shared" ca="1" si="276"/>
        <v>-671590</v>
      </c>
      <c r="F546" s="864">
        <f t="shared" ca="1" si="277"/>
        <v>-7171590</v>
      </c>
      <c r="G546" s="1254">
        <v>174</v>
      </c>
      <c r="H546" s="1310">
        <f t="shared" si="278"/>
        <v>-37356.321839080461</v>
      </c>
      <c r="I546" s="2191">
        <f t="shared" ca="1" si="279"/>
        <v>-38122</v>
      </c>
      <c r="J546" s="2392"/>
      <c r="L546">
        <f t="shared" ca="1" si="228"/>
        <v>74</v>
      </c>
    </row>
    <row r="547" spans="1:12" ht="19">
      <c r="A547" s="860">
        <v>46166</v>
      </c>
      <c r="B547" s="1093">
        <v>7000</v>
      </c>
      <c r="C547" s="500">
        <f t="shared" si="275"/>
        <v>6617934.5500000007</v>
      </c>
      <c r="D547" s="1859" t="s">
        <v>747</v>
      </c>
      <c r="E547" s="863">
        <f t="shared" ca="1" si="276"/>
        <v>713</v>
      </c>
      <c r="F547" s="864">
        <f t="shared" ca="1" si="277"/>
        <v>7713</v>
      </c>
      <c r="G547" s="1254">
        <v>170</v>
      </c>
      <c r="H547" s="1310">
        <f t="shared" si="278"/>
        <v>41.176470588235297</v>
      </c>
      <c r="I547" s="2191">
        <f t="shared" ca="1" si="279"/>
        <v>43</v>
      </c>
      <c r="J547" s="2392"/>
      <c r="K547" t="s">
        <v>759</v>
      </c>
      <c r="L547">
        <f t="shared" ca="1" si="228"/>
        <v>73</v>
      </c>
    </row>
    <row r="548" spans="1:12" ht="19">
      <c r="A548" s="860">
        <v>46174</v>
      </c>
      <c r="B548" s="1093">
        <v>-4745</v>
      </c>
      <c r="C548" s="500">
        <f t="shared" si="275"/>
        <v>6613189.5500000007</v>
      </c>
      <c r="D548" s="1859" t="s">
        <v>638</v>
      </c>
      <c r="E548" s="863">
        <f t="shared" ca="1" si="276"/>
        <v>-429</v>
      </c>
      <c r="F548" s="864">
        <f t="shared" ca="1" si="277"/>
        <v>-5174</v>
      </c>
      <c r="G548" s="1254">
        <v>173</v>
      </c>
      <c r="H548" s="1310">
        <f t="shared" si="278"/>
        <v>-27.427745664739884</v>
      </c>
      <c r="I548" s="2191">
        <f t="shared" ca="1" si="279"/>
        <v>-28</v>
      </c>
      <c r="J548" s="2392"/>
      <c r="L548">
        <f t="shared" ca="1" si="228"/>
        <v>65</v>
      </c>
    </row>
    <row r="549" spans="1:12" ht="19">
      <c r="A549" s="860">
        <v>46179</v>
      </c>
      <c r="B549" s="1093">
        <v>-4745504</v>
      </c>
      <c r="C549" s="500">
        <f t="shared" si="275"/>
        <v>1867685.5500000007</v>
      </c>
      <c r="D549" s="1859" t="s">
        <v>750</v>
      </c>
      <c r="E549" s="863">
        <f t="shared" ca="1" si="276"/>
        <v>-393816</v>
      </c>
      <c r="F549" s="864">
        <f t="shared" ca="1" si="277"/>
        <v>-5139320</v>
      </c>
      <c r="G549" s="1254">
        <v>173</v>
      </c>
      <c r="H549" s="1310">
        <f t="shared" si="278"/>
        <v>-27430.658959537574</v>
      </c>
      <c r="I549" s="2191">
        <f t="shared" ca="1" si="279"/>
        <v>-27886</v>
      </c>
      <c r="J549" s="2392"/>
      <c r="L549">
        <f t="shared" ca="1" si="228"/>
        <v>60</v>
      </c>
    </row>
    <row r="550" spans="1:12" ht="19">
      <c r="A550" s="860">
        <v>46186</v>
      </c>
      <c r="B550" s="1093">
        <v>-30600</v>
      </c>
      <c r="C550" s="500">
        <f t="shared" si="275"/>
        <v>1837085.5500000007</v>
      </c>
      <c r="D550" s="1859" t="s">
        <v>638</v>
      </c>
      <c r="E550" s="863">
        <f t="shared" ca="1" si="276"/>
        <v>-2233</v>
      </c>
      <c r="F550" s="864">
        <f t="shared" ca="1" si="277"/>
        <v>-32833</v>
      </c>
      <c r="G550" s="1254">
        <v>165</v>
      </c>
      <c r="H550" s="1310">
        <f t="shared" si="278"/>
        <v>-185.45454545454547</v>
      </c>
      <c r="I550" s="2191">
        <f t="shared" ca="1" si="279"/>
        <v>-189</v>
      </c>
      <c r="J550" s="2392"/>
      <c r="L550">
        <f t="shared" ca="1" si="228"/>
        <v>53</v>
      </c>
    </row>
    <row r="551" spans="1:12" ht="19">
      <c r="A551" s="860">
        <v>46193</v>
      </c>
      <c r="B551" s="1093">
        <v>-148700</v>
      </c>
      <c r="C551" s="500">
        <f t="shared" ref="C551:C568" si="280">C550+B551</f>
        <v>1688385.5500000007</v>
      </c>
      <c r="D551" s="1859" t="s">
        <v>638</v>
      </c>
      <c r="E551" s="863">
        <f t="shared" ca="1" si="276"/>
        <v>-9373</v>
      </c>
      <c r="F551" s="864">
        <f t="shared" ca="1" si="277"/>
        <v>-158073</v>
      </c>
      <c r="G551" s="1254">
        <v>160</v>
      </c>
      <c r="H551" s="1310">
        <f t="shared" si="278"/>
        <v>-929.375</v>
      </c>
      <c r="I551" s="2191">
        <f t="shared" ca="1" si="279"/>
        <v>-942</v>
      </c>
      <c r="J551" s="2392"/>
      <c r="L551">
        <f t="shared" ca="1" si="228"/>
        <v>46</v>
      </c>
    </row>
    <row r="552" spans="1:12" ht="19">
      <c r="A552" s="860">
        <v>46194</v>
      </c>
      <c r="B552" s="1093">
        <v>-198075</v>
      </c>
      <c r="C552" s="500">
        <f t="shared" si="280"/>
        <v>1490310.5500000007</v>
      </c>
      <c r="D552" s="1859" t="s">
        <v>638</v>
      </c>
      <c r="E552" s="863">
        <f t="shared" ref="E552" ca="1" si="281">IF(F552=0,0,F552-B552)</f>
        <v>-12205</v>
      </c>
      <c r="F552" s="864">
        <f t="shared" ref="F552" ca="1" si="282">IF(D552="Hami Interest",0,ROUNDUP(B552*(1+$F$1/12)^(($E$1-A552)/30),0))</f>
        <v>-210280</v>
      </c>
      <c r="G552" s="1254">
        <v>160</v>
      </c>
      <c r="H552" s="1310">
        <f t="shared" ref="H552" si="283">B552/G552</f>
        <v>-1237.96875</v>
      </c>
      <c r="I552" s="2191">
        <f t="shared" ref="I552" ca="1" si="284">IF(D552="Hami Interest",0,ROUNDUP(H552*(1+$I$1/12)^(($E$1-A552)/30),0))</f>
        <v>-1254</v>
      </c>
      <c r="J552" s="2392"/>
      <c r="L552">
        <f t="shared" ca="1" si="228"/>
        <v>45</v>
      </c>
    </row>
    <row r="553" spans="1:12" ht="19">
      <c r="A553" s="860">
        <v>46195</v>
      </c>
      <c r="B553" s="1055">
        <v>37738</v>
      </c>
      <c r="C553" s="500">
        <f t="shared" si="280"/>
        <v>1528048.5500000007</v>
      </c>
      <c r="D553" s="1556" t="s">
        <v>748</v>
      </c>
      <c r="E553" s="863">
        <f t="shared" ref="E553:E559" si="285">IF(F553=0,0,F553-B553)</f>
        <v>0</v>
      </c>
      <c r="F553" s="864">
        <f t="shared" ref="F553:F559" si="286">IF(D553="Hami Interest",0,ROUNDUP(B553*(1+$F$1/12)^(($E$1-A553)/30),0))</f>
        <v>0</v>
      </c>
      <c r="G553" s="1254">
        <v>160</v>
      </c>
      <c r="H553" s="1310">
        <f t="shared" ref="H553:H559" si="287">B553/G553</f>
        <v>235.86250000000001</v>
      </c>
      <c r="I553" s="2191">
        <f t="shared" ref="I553:I559" si="288">IF(D553="Hami Interest",0,ROUNDUP(H553*(1+$I$1/12)^(($E$1-A553)/30),0))</f>
        <v>0</v>
      </c>
      <c r="J553" s="2392"/>
      <c r="L553">
        <f t="shared" ca="1" si="228"/>
        <v>44</v>
      </c>
    </row>
    <row r="554" spans="1:12" ht="19">
      <c r="A554" s="860">
        <v>46196</v>
      </c>
      <c r="B554" s="1093">
        <v>-259200</v>
      </c>
      <c r="C554" s="500">
        <f t="shared" si="280"/>
        <v>1268848.5500000007</v>
      </c>
      <c r="D554" s="1859" t="s">
        <v>638</v>
      </c>
      <c r="E554" s="863">
        <f t="shared" ca="1" si="285"/>
        <v>-15241</v>
      </c>
      <c r="F554" s="864">
        <f t="shared" ca="1" si="286"/>
        <v>-274441</v>
      </c>
      <c r="G554" s="1254">
        <v>160</v>
      </c>
      <c r="H554" s="1310">
        <f t="shared" si="287"/>
        <v>-1620</v>
      </c>
      <c r="I554" s="2191">
        <f t="shared" ca="1" si="288"/>
        <v>-1640</v>
      </c>
      <c r="J554" s="2392"/>
      <c r="L554">
        <f t="shared" ca="1" si="228"/>
        <v>43</v>
      </c>
    </row>
    <row r="555" spans="1:12" ht="19">
      <c r="A555" s="860">
        <v>46203</v>
      </c>
      <c r="B555" s="1093">
        <v>584824</v>
      </c>
      <c r="C555" s="500">
        <f t="shared" si="280"/>
        <v>1853672.5500000007</v>
      </c>
      <c r="D555" s="1859" t="s">
        <v>747</v>
      </c>
      <c r="E555" s="863">
        <f t="shared" ca="1" si="285"/>
        <v>28655</v>
      </c>
      <c r="F555" s="864">
        <f t="shared" ca="1" si="286"/>
        <v>613479</v>
      </c>
      <c r="G555" s="1254">
        <v>172</v>
      </c>
      <c r="H555" s="1310">
        <f t="shared" si="287"/>
        <v>3400.1395348837209</v>
      </c>
      <c r="I555" s="2191">
        <f t="shared" ca="1" si="288"/>
        <v>3434</v>
      </c>
      <c r="J555" s="2392"/>
      <c r="L555">
        <f t="shared" ca="1" si="228"/>
        <v>36</v>
      </c>
    </row>
    <row r="556" spans="1:12" ht="19">
      <c r="A556" s="860">
        <v>46204</v>
      </c>
      <c r="B556" s="1093">
        <v>-10005</v>
      </c>
      <c r="C556" s="500">
        <f t="shared" si="280"/>
        <v>1843667.5500000007</v>
      </c>
      <c r="D556" s="1859" t="s">
        <v>638</v>
      </c>
      <c r="E556" s="863">
        <f t="shared" ca="1" si="285"/>
        <v>-477</v>
      </c>
      <c r="F556" s="864">
        <f t="shared" ca="1" si="286"/>
        <v>-10482</v>
      </c>
      <c r="G556" s="1254">
        <v>172</v>
      </c>
      <c r="H556" s="1310">
        <f t="shared" si="287"/>
        <v>-58.168604651162788</v>
      </c>
      <c r="I556" s="2191">
        <f t="shared" ca="1" si="288"/>
        <v>-59</v>
      </c>
      <c r="J556" s="2392"/>
      <c r="L556">
        <f t="shared" ca="1" si="228"/>
        <v>35</v>
      </c>
    </row>
    <row r="557" spans="1:12" ht="19">
      <c r="A557" s="860">
        <v>46204</v>
      </c>
      <c r="B557" s="1093">
        <v>-13650</v>
      </c>
      <c r="C557" s="500">
        <f t="shared" si="280"/>
        <v>1830017.5500000007</v>
      </c>
      <c r="D557" s="1859" t="s">
        <v>638</v>
      </c>
      <c r="E557" s="863">
        <f t="shared" ca="1" si="285"/>
        <v>-650</v>
      </c>
      <c r="F557" s="864">
        <f t="shared" ca="1" si="286"/>
        <v>-14300</v>
      </c>
      <c r="G557" s="1254">
        <v>172</v>
      </c>
      <c r="H557" s="1310">
        <f t="shared" si="287"/>
        <v>-79.360465116279073</v>
      </c>
      <c r="I557" s="2191">
        <f t="shared" ca="1" si="288"/>
        <v>-81</v>
      </c>
      <c r="J557" s="2392"/>
      <c r="L557">
        <f t="shared" ca="1" si="228"/>
        <v>35</v>
      </c>
    </row>
    <row r="558" spans="1:12" ht="19">
      <c r="A558" s="860">
        <v>46211</v>
      </c>
      <c r="B558" s="1093">
        <v>-83200</v>
      </c>
      <c r="C558" s="500">
        <f t="shared" si="280"/>
        <v>1746817.5500000007</v>
      </c>
      <c r="D558" s="1859" t="s">
        <v>638</v>
      </c>
      <c r="E558" s="863">
        <f t="shared" ca="1" si="285"/>
        <v>-3154</v>
      </c>
      <c r="F558" s="864">
        <f t="shared" ca="1" si="286"/>
        <v>-86354</v>
      </c>
      <c r="G558" s="1254">
        <v>178</v>
      </c>
      <c r="H558" s="1310">
        <f t="shared" si="287"/>
        <v>-467.41573033707863</v>
      </c>
      <c r="I558" s="2191">
        <f t="shared" ca="1" si="288"/>
        <v>-472</v>
      </c>
      <c r="J558" s="2392"/>
      <c r="L558">
        <f t="shared" ref="L558:L563" ca="1" si="289">$E$1-A558</f>
        <v>28</v>
      </c>
    </row>
    <row r="559" spans="1:12" ht="19">
      <c r="A559" s="860">
        <v>46211</v>
      </c>
      <c r="B559" s="1093">
        <v>-80</v>
      </c>
      <c r="C559" s="500">
        <f t="shared" si="280"/>
        <v>1746737.5500000007</v>
      </c>
      <c r="D559" s="1859" t="s">
        <v>638</v>
      </c>
      <c r="E559" s="863">
        <f t="shared" ca="1" si="285"/>
        <v>-4</v>
      </c>
      <c r="F559" s="864">
        <f t="shared" ca="1" si="286"/>
        <v>-84</v>
      </c>
      <c r="G559" s="1254">
        <v>178</v>
      </c>
      <c r="H559" s="1310">
        <f t="shared" si="287"/>
        <v>-0.449438202247191</v>
      </c>
      <c r="I559" s="2191">
        <f t="shared" ca="1" si="288"/>
        <v>-1</v>
      </c>
      <c r="J559" s="2392"/>
      <c r="L559">
        <f t="shared" ca="1" si="289"/>
        <v>28</v>
      </c>
    </row>
    <row r="560" spans="1:12" ht="19">
      <c r="A560" s="860">
        <v>46215</v>
      </c>
      <c r="B560" s="1093">
        <v>360000</v>
      </c>
      <c r="C560" s="500">
        <f t="shared" si="280"/>
        <v>2106737.5500000007</v>
      </c>
      <c r="D560" s="1859" t="s">
        <v>747</v>
      </c>
      <c r="E560" s="863">
        <f t="shared" ref="E560:E566" ca="1" si="290">IF(F560=0,0,F560-B560)</f>
        <v>11666</v>
      </c>
      <c r="F560" s="864">
        <f t="shared" ref="F560:F566" ca="1" si="291">IF(D560="Hami Interest",0,ROUNDUP(B560*(1+$F$1/12)^(($E$1-A560)/30),0))</f>
        <v>371666</v>
      </c>
      <c r="G560" s="1254">
        <v>180</v>
      </c>
      <c r="H560" s="1310">
        <f t="shared" ref="H560:H564" si="292">B560/G560</f>
        <v>2000</v>
      </c>
      <c r="I560" s="2191">
        <f t="shared" ref="I560:I564" ca="1" si="293">IF(D560="Hami Interest",0,ROUNDUP(H560*(1+$I$1/12)^(($E$1-A560)/30),0))</f>
        <v>2014</v>
      </c>
      <c r="J560" s="2392"/>
      <c r="L560">
        <f t="shared" ca="1" si="289"/>
        <v>24</v>
      </c>
    </row>
    <row r="561" spans="1:12" ht="19">
      <c r="A561" s="860">
        <v>46216</v>
      </c>
      <c r="B561" s="1093">
        <v>-115496</v>
      </c>
      <c r="C561" s="500">
        <f t="shared" si="280"/>
        <v>1991241.5500000007</v>
      </c>
      <c r="D561" s="1859" t="s">
        <v>638</v>
      </c>
      <c r="E561" s="863">
        <f t="shared" ca="1" si="290"/>
        <v>-3585</v>
      </c>
      <c r="F561" s="864">
        <f t="shared" ca="1" si="291"/>
        <v>-119081</v>
      </c>
      <c r="G561" s="1254">
        <v>183</v>
      </c>
      <c r="H561" s="1310">
        <f t="shared" si="292"/>
        <v>-631.12568306010928</v>
      </c>
      <c r="I561" s="2191">
        <f t="shared" ca="1" si="293"/>
        <v>-636</v>
      </c>
      <c r="J561" s="2392"/>
      <c r="L561">
        <f t="shared" ca="1" si="289"/>
        <v>23</v>
      </c>
    </row>
    <row r="562" spans="1:12" ht="19">
      <c r="A562" s="860">
        <v>46217</v>
      </c>
      <c r="B562" s="1093">
        <v>-1106</v>
      </c>
      <c r="C562" s="500">
        <f t="shared" si="280"/>
        <v>1990135.5500000007</v>
      </c>
      <c r="D562" s="1859" t="s">
        <v>638</v>
      </c>
      <c r="E562" s="863">
        <f t="shared" ca="1" si="290"/>
        <v>-33</v>
      </c>
      <c r="F562" s="864">
        <f t="shared" ca="1" si="291"/>
        <v>-1139</v>
      </c>
      <c r="G562" s="1254">
        <v>184</v>
      </c>
      <c r="H562" s="1310">
        <f t="shared" si="292"/>
        <v>-6.0108695652173916</v>
      </c>
      <c r="I562" s="2191">
        <f t="shared" ca="1" si="293"/>
        <v>-7</v>
      </c>
      <c r="J562" s="2392"/>
      <c r="L562">
        <f t="shared" ca="1" si="289"/>
        <v>22</v>
      </c>
    </row>
    <row r="563" spans="1:12" ht="19">
      <c r="A563" s="860">
        <v>46217</v>
      </c>
      <c r="B563" s="1093">
        <v>-12050</v>
      </c>
      <c r="C563" s="500">
        <f t="shared" si="280"/>
        <v>1978085.5500000007</v>
      </c>
      <c r="D563" s="1859" t="s">
        <v>638</v>
      </c>
      <c r="E563" s="863">
        <f t="shared" ca="1" si="290"/>
        <v>-358</v>
      </c>
      <c r="F563" s="864">
        <f t="shared" ca="1" si="291"/>
        <v>-12408</v>
      </c>
      <c r="G563" s="1254">
        <v>184</v>
      </c>
      <c r="H563" s="1310">
        <f t="shared" si="292"/>
        <v>-65.489130434782609</v>
      </c>
      <c r="I563" s="2191">
        <f t="shared" ca="1" si="293"/>
        <v>-66</v>
      </c>
      <c r="J563" s="2392"/>
      <c r="L563">
        <f t="shared" ca="1" si="289"/>
        <v>22</v>
      </c>
    </row>
    <row r="564" spans="1:12" ht="19">
      <c r="A564" s="860">
        <v>46217</v>
      </c>
      <c r="B564" s="1093">
        <v>500000</v>
      </c>
      <c r="C564" s="500">
        <f t="shared" si="280"/>
        <v>2478085.5500000007</v>
      </c>
      <c r="D564" s="1859" t="s">
        <v>747</v>
      </c>
      <c r="E564" s="863">
        <f t="shared" ca="1" si="290"/>
        <v>14832</v>
      </c>
      <c r="F564" s="864">
        <f t="shared" ca="1" si="291"/>
        <v>514832</v>
      </c>
      <c r="G564" s="1254">
        <v>184</v>
      </c>
      <c r="H564" s="1310">
        <f t="shared" si="292"/>
        <v>2717.391304347826</v>
      </c>
      <c r="I564" s="2191">
        <f t="shared" ca="1" si="293"/>
        <v>2734</v>
      </c>
      <c r="J564" s="2392"/>
      <c r="L564">
        <f t="shared" ref="L564:L569" ca="1" si="294">$E$1-A564</f>
        <v>22</v>
      </c>
    </row>
    <row r="565" spans="1:12" ht="19">
      <c r="A565" s="860">
        <v>46221</v>
      </c>
      <c r="B565" s="1093">
        <v>30000</v>
      </c>
      <c r="C565" s="500">
        <f t="shared" si="280"/>
        <v>2508085.5500000007</v>
      </c>
      <c r="D565" s="1859" t="s">
        <v>747</v>
      </c>
      <c r="E565" s="863">
        <f t="shared" ca="1" si="290"/>
        <v>727</v>
      </c>
      <c r="F565" s="864">
        <f t="shared" ca="1" si="291"/>
        <v>30727</v>
      </c>
      <c r="G565" s="1254">
        <v>193</v>
      </c>
      <c r="H565" s="1310">
        <f>B565/G565</f>
        <v>155.44041450777203</v>
      </c>
      <c r="I565" s="2191">
        <f ca="1">IF(D565="Hami Interest",0,ROUNDUP(H565*(1+$I$1/12)^(($E$1-A565)/30),0))</f>
        <v>157</v>
      </c>
      <c r="J565" s="2392"/>
      <c r="K565" t="s">
        <v>760</v>
      </c>
      <c r="L565">
        <f t="shared" ca="1" si="294"/>
        <v>18</v>
      </c>
    </row>
    <row r="566" spans="1:12" ht="19">
      <c r="A566" s="860">
        <v>46223</v>
      </c>
      <c r="B566" s="1093">
        <v>-115200</v>
      </c>
      <c r="C566" s="500">
        <f t="shared" si="280"/>
        <v>2392885.5500000007</v>
      </c>
      <c r="D566" s="1859" t="s">
        <v>638</v>
      </c>
      <c r="E566" s="863">
        <f t="shared" ca="1" si="290"/>
        <v>-2476</v>
      </c>
      <c r="F566" s="864">
        <f t="shared" ca="1" si="291"/>
        <v>-117676</v>
      </c>
      <c r="G566" s="1254">
        <v>192</v>
      </c>
      <c r="H566" s="1310">
        <f>B566/G566</f>
        <v>-600</v>
      </c>
      <c r="I566" s="2191">
        <f ca="1">IF(D566="Hami Interest",0,ROUNDUP(H566*(1+$I$1/12)^(($E$1-A566)/30),0))</f>
        <v>-603</v>
      </c>
      <c r="J566" s="2392"/>
      <c r="L566">
        <f t="shared" ca="1" si="294"/>
        <v>16</v>
      </c>
    </row>
    <row r="567" spans="1:12" ht="19">
      <c r="A567" s="860">
        <v>46225</v>
      </c>
      <c r="B567" s="1055">
        <v>34380</v>
      </c>
      <c r="C567" s="500">
        <f t="shared" si="280"/>
        <v>2427265.5500000007</v>
      </c>
      <c r="D567" s="1556" t="s">
        <v>748</v>
      </c>
      <c r="E567" s="863">
        <f t="shared" ref="E567:E568" si="295">IF(F567=0,0,F567-B567)</f>
        <v>0</v>
      </c>
      <c r="F567" s="864">
        <f t="shared" ref="F567:F568" si="296">IF(D567="Hami Interest",0,ROUNDUP(B567*(1+$F$1/12)^(($E$1-A567)/30),0))</f>
        <v>0</v>
      </c>
      <c r="G567" s="1254">
        <v>193</v>
      </c>
      <c r="H567" s="1310">
        <f t="shared" ref="H567:H568" si="297">B567/G567</f>
        <v>178.13471502590673</v>
      </c>
      <c r="I567" s="2191">
        <f t="shared" ref="I567:I568" si="298">IF(D567="Hami Interest",0,ROUNDUP(H567*(1+$I$1/12)^(($E$1-A567)/30),0))</f>
        <v>0</v>
      </c>
      <c r="J567" s="2392"/>
      <c r="L567">
        <f t="shared" ca="1" si="294"/>
        <v>14</v>
      </c>
    </row>
    <row r="568" spans="1:12" ht="19">
      <c r="A568" s="860">
        <v>46229</v>
      </c>
      <c r="B568" s="1055">
        <v>-774</v>
      </c>
      <c r="C568" s="500">
        <f t="shared" si="280"/>
        <v>2426491.5500000007</v>
      </c>
      <c r="D568" s="1859" t="s">
        <v>638</v>
      </c>
      <c r="E568" s="863">
        <f t="shared" ca="1" si="295"/>
        <v>-11</v>
      </c>
      <c r="F568" s="864">
        <f t="shared" ca="1" si="296"/>
        <v>-785</v>
      </c>
      <c r="G568" s="1254">
        <v>190</v>
      </c>
      <c r="H568" s="1310">
        <f t="shared" si="297"/>
        <v>-4.0736842105263156</v>
      </c>
      <c r="I568" s="2191">
        <f t="shared" ca="1" si="298"/>
        <v>-5</v>
      </c>
      <c r="J568" s="2392"/>
      <c r="L568">
        <f t="shared" ca="1" si="294"/>
        <v>10</v>
      </c>
    </row>
    <row r="569" spans="1:12" ht="19">
      <c r="A569" s="860">
        <v>46235</v>
      </c>
      <c r="B569" s="1055">
        <v>-9200</v>
      </c>
      <c r="C569" s="500">
        <f>C568+B569</f>
        <v>2417291.5500000007</v>
      </c>
      <c r="D569" s="1859" t="s">
        <v>638</v>
      </c>
      <c r="E569" s="863">
        <f ca="1">IF(F569=0,0,F569-B569)</f>
        <v>-50</v>
      </c>
      <c r="F569" s="864">
        <f ca="1">IF(D569="Hami Interest",0,ROUNDUP(B569*(1+$F$1/12)^(($E$1-A569)/30),0))</f>
        <v>-9250</v>
      </c>
      <c r="G569" s="1254">
        <v>191</v>
      </c>
      <c r="H569" s="1310">
        <f>B569/G569</f>
        <v>-48.167539267015705</v>
      </c>
      <c r="I569" s="2191">
        <f ca="1">IF(D569="Hami Interest",0,ROUNDUP(H569*(1+$I$1/12)^(($E$1-A569)/30),0))</f>
        <v>-49</v>
      </c>
      <c r="J569" s="2392"/>
      <c r="L569">
        <f t="shared" ca="1" si="294"/>
        <v>4</v>
      </c>
    </row>
    <row r="570" spans="1:12" ht="19">
      <c r="A570" s="860"/>
      <c r="B570" s="1555"/>
      <c r="C570" s="500"/>
      <c r="D570" s="1556"/>
      <c r="E570" s="863"/>
      <c r="F570" s="864"/>
      <c r="G570" s="1254"/>
      <c r="H570" s="1310"/>
      <c r="I570" s="864"/>
      <c r="J570" s="864"/>
    </row>
    <row r="571" spans="1:12" ht="12" customHeight="1" thickBot="1">
      <c r="B571" s="875"/>
      <c r="C571" s="500"/>
      <c r="E571" s="863"/>
      <c r="F571" s="864"/>
    </row>
    <row r="572" spans="1:12" ht="33" customHeight="1" thickBot="1">
      <c r="A572" s="865"/>
      <c r="B572" s="878">
        <f>C572-C581</f>
        <v>-1199701.3999999994</v>
      </c>
      <c r="C572" s="866">
        <f>SUM(B3:B571)</f>
        <v>2417291.5500000007</v>
      </c>
      <c r="D572" s="879"/>
      <c r="E572" s="867">
        <f ca="1">F572-B572</f>
        <v>47051890.399999999</v>
      </c>
      <c r="F572" s="868">
        <f ca="1">SUM(F3:F571)</f>
        <v>45852189</v>
      </c>
      <c r="G572" s="868"/>
      <c r="H572" s="1312">
        <f>SUM(H3:H571)</f>
        <v>184675.27585970657</v>
      </c>
      <c r="I572" s="1312">
        <f ca="1">SUM(I3:I571)</f>
        <v>241529</v>
      </c>
      <c r="J572" t="s">
        <v>258</v>
      </c>
      <c r="K572" s="1254">
        <v>190</v>
      </c>
      <c r="L572" s="1498" t="s">
        <v>761</v>
      </c>
    </row>
    <row r="573" spans="1:12" ht="22" thickBot="1">
      <c r="A573" s="873" t="s">
        <v>745</v>
      </c>
      <c r="C573" s="875">
        <f>SUMIF($D$3:$D$571,A573,$B$3:$B$571)</f>
        <v>3339186</v>
      </c>
      <c r="I573" s="868">
        <f ca="1">I572*K572</f>
        <v>45890510</v>
      </c>
      <c r="J573" t="s">
        <v>8</v>
      </c>
    </row>
    <row r="574" spans="1:12" ht="19">
      <c r="A574" s="873" t="s">
        <v>746</v>
      </c>
      <c r="C574" s="875">
        <f>SUMIF($D$3:$D$571,A574,$B$3:$B$571)</f>
        <v>-1506203</v>
      </c>
    </row>
    <row r="575" spans="1:12" ht="19">
      <c r="A575" s="873" t="s">
        <v>762</v>
      </c>
      <c r="C575" s="875">
        <v>-983023</v>
      </c>
    </row>
    <row r="576" spans="1:12" ht="19">
      <c r="A576" s="873" t="s">
        <v>638</v>
      </c>
      <c r="C576" s="875">
        <f>SUMIF($D$3:$D$571,A576,$B$3:$B$571)-C575</f>
        <v>-6596962.4000000004</v>
      </c>
    </row>
    <row r="577" spans="1:10" ht="19">
      <c r="A577" s="873" t="s">
        <v>747</v>
      </c>
      <c r="C577" s="875">
        <f>SUMIF($D$3:$D$571,A577,$B$3:$B$571)</f>
        <v>98887709</v>
      </c>
    </row>
    <row r="578" spans="1:10" ht="20" thickBot="1">
      <c r="A578" s="873" t="s">
        <v>750</v>
      </c>
      <c r="C578" s="875">
        <f>SUMIF($D$3:$D$571,A578,$B$3:$B$571)</f>
        <v>-94411468</v>
      </c>
    </row>
    <row r="579" spans="1:10" ht="30.75" customHeight="1" thickBot="1">
      <c r="A579" s="1496" t="s">
        <v>763</v>
      </c>
      <c r="C579" s="1497">
        <f>SUM(C573:C578)</f>
        <v>-1270761.400000006</v>
      </c>
    </row>
    <row r="580" spans="1:10" ht="20.25" customHeight="1">
      <c r="A580" s="1557" t="s">
        <v>764</v>
      </c>
      <c r="C580" s="1055">
        <f>SUMIF($D$3:$D$571,A580,$B$3:$B$571)</f>
        <v>71060</v>
      </c>
    </row>
    <row r="581" spans="1:10" ht="19">
      <c r="A581" s="1557" t="s">
        <v>748</v>
      </c>
      <c r="C581" s="1055">
        <f>SUMIF($D$3:$D$571,A581,$B$3:$B$571)</f>
        <v>3616992.95</v>
      </c>
    </row>
    <row r="582" spans="1:10" ht="19">
      <c r="A582" s="1557" t="s">
        <v>765</v>
      </c>
      <c r="C582" s="1055">
        <f>C580+C581</f>
        <v>3688052.95</v>
      </c>
    </row>
    <row r="583" spans="1:10" ht="19">
      <c r="A583" s="873" t="s">
        <v>766</v>
      </c>
      <c r="C583" s="880">
        <f>'Cement Portfolio'!AQ39</f>
        <v>45807244.646388963</v>
      </c>
    </row>
    <row r="584" spans="1:10" ht="19">
      <c r="A584" s="873" t="s">
        <v>767</v>
      </c>
      <c r="C584" s="880">
        <f>'Cement Portfolio'!AQ48</f>
        <v>361976</v>
      </c>
    </row>
    <row r="585" spans="1:10" ht="21">
      <c r="A585" s="874" t="s">
        <v>768</v>
      </c>
      <c r="B585" s="1032">
        <f>(C585-B572)/B572</f>
        <v>-39.483926622398691</v>
      </c>
      <c r="C585" s="1499">
        <f>C583+C584</f>
        <v>46169220.646388963</v>
      </c>
      <c r="E585" s="881"/>
      <c r="F585" s="594">
        <f ca="1">C585-F572</f>
        <v>317031.64638896286</v>
      </c>
      <c r="G585" s="862" t="s">
        <v>8</v>
      </c>
      <c r="H585" s="862"/>
      <c r="I585" s="1500">
        <f ca="1">C585-I573</f>
        <v>278710.64638896286</v>
      </c>
      <c r="J585" t="s">
        <v>8</v>
      </c>
    </row>
  </sheetData>
  <autoFilter ref="A2:L549" xr:uid="{643210FB-67DC-E646-B87B-F6FC2614A47E}"/>
  <phoneticPr fontId="39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63C5-8CC9-FD4D-9213-115F1E088EBD}">
  <sheetPr codeName="Sheet2">
    <tabColor theme="9" tint="-0.499984740745262"/>
    <pageSetUpPr fitToPage="1"/>
  </sheetPr>
  <dimension ref="A1:HZ84"/>
  <sheetViews>
    <sheetView zoomScale="70" zoomScaleNormal="70" workbookViewId="0">
      <pane xSplit="13" ySplit="4" topLeftCell="CP45" activePane="bottomRight" state="frozen"/>
      <selection pane="topRight" activeCell="N1" sqref="N1"/>
      <selection pane="bottomLeft" activeCell="A5" sqref="A5"/>
      <selection pane="bottomRight" activeCell="BH2" sqref="Z1:BH1048576"/>
    </sheetView>
  </sheetViews>
  <sheetFormatPr baseColWidth="10" defaultColWidth="10.6640625" defaultRowHeight="16"/>
  <cols>
    <col min="1" max="1" width="8.1640625" customWidth="1"/>
    <col min="2" max="2" width="8.5" customWidth="1"/>
    <col min="3" max="3" width="8.83203125" customWidth="1"/>
    <col min="4" max="4" width="9.5" customWidth="1"/>
    <col min="5" max="6" width="11" customWidth="1"/>
    <col min="7" max="7" width="8.83203125" customWidth="1"/>
    <col min="8" max="9" width="11" customWidth="1"/>
    <col min="10" max="10" width="23.1640625" customWidth="1"/>
    <col min="11" max="11" width="9.5" customWidth="1"/>
    <col min="12" max="12" width="8.5" customWidth="1"/>
    <col min="13" max="13" width="9.5" customWidth="1"/>
    <col min="14" max="14" width="11.33203125" customWidth="1"/>
    <col min="15" max="15" width="12.5" customWidth="1"/>
    <col min="16" max="16" width="11.33203125" hidden="1" customWidth="1"/>
    <col min="17" max="17" width="9.1640625" hidden="1" customWidth="1"/>
    <col min="18" max="18" width="10.1640625" hidden="1" customWidth="1"/>
    <col min="19" max="19" width="10" hidden="1" customWidth="1"/>
    <col min="20" max="20" width="10.5" customWidth="1"/>
    <col min="21" max="21" width="9.83203125" customWidth="1"/>
    <col min="22" max="22" width="10.1640625" hidden="1" customWidth="1"/>
    <col min="23" max="23" width="11.1640625" hidden="1" customWidth="1"/>
    <col min="24" max="24" width="13.33203125" customWidth="1"/>
    <col min="25" max="25" width="2.83203125" customWidth="1"/>
    <col min="26" max="26" width="13.5" hidden="1" customWidth="1"/>
    <col min="27" max="27" width="14.33203125" hidden="1" customWidth="1"/>
    <col min="28" max="30" width="13.1640625" hidden="1" customWidth="1"/>
    <col min="31" max="31" width="2.5" hidden="1" customWidth="1"/>
    <col min="32" max="32" width="13.5" hidden="1" customWidth="1"/>
    <col min="33" max="33" width="14.33203125" hidden="1" customWidth="1"/>
    <col min="34" max="36" width="13.1640625" hidden="1" customWidth="1"/>
    <col min="37" max="37" width="3.1640625" hidden="1" customWidth="1"/>
    <col min="38" max="38" width="13.5" hidden="1" customWidth="1"/>
    <col min="39" max="39" width="14.33203125" hidden="1" customWidth="1"/>
    <col min="40" max="42" width="13.1640625" hidden="1" customWidth="1"/>
    <col min="43" max="43" width="3.1640625" hidden="1" customWidth="1"/>
    <col min="44" max="44" width="13.5" hidden="1" customWidth="1"/>
    <col min="45" max="45" width="14.33203125" hidden="1" customWidth="1"/>
    <col min="46" max="48" width="13.1640625" hidden="1" customWidth="1"/>
    <col min="49" max="49" width="3.1640625" hidden="1" customWidth="1"/>
    <col min="50" max="50" width="13.5" hidden="1" customWidth="1"/>
    <col min="51" max="51" width="11.83203125" hidden="1" customWidth="1"/>
    <col min="52" max="54" width="13.1640625" hidden="1" customWidth="1"/>
    <col min="55" max="55" width="3.83203125" hidden="1" customWidth="1"/>
    <col min="56" max="56" width="13.5" hidden="1" customWidth="1"/>
    <col min="57" max="57" width="11.83203125" hidden="1" customWidth="1"/>
    <col min="58" max="60" width="13.1640625" hidden="1" customWidth="1"/>
    <col min="61" max="61" width="3" customWidth="1"/>
    <col min="62" max="64" width="14.33203125" customWidth="1"/>
    <col min="65" max="65" width="3" customWidth="1"/>
    <col min="66" max="66" width="13.5" hidden="1" customWidth="1"/>
    <col min="67" max="67" width="11.83203125" hidden="1" customWidth="1"/>
    <col min="68" max="70" width="13.1640625" hidden="1" customWidth="1"/>
    <col min="71" max="71" width="3.1640625" hidden="1" customWidth="1"/>
    <col min="72" max="72" width="13.5" hidden="1" customWidth="1"/>
    <col min="73" max="73" width="11.83203125" hidden="1" customWidth="1"/>
    <col min="74" max="76" width="13.1640625" hidden="1" customWidth="1"/>
    <col min="77" max="77" width="3.33203125" customWidth="1"/>
    <col min="78" max="78" width="10.1640625" hidden="1" customWidth="1"/>
    <col min="79" max="79" width="11.5" hidden="1" customWidth="1"/>
    <col min="80" max="80" width="11.1640625" hidden="1" customWidth="1"/>
    <col min="81" max="81" width="11" hidden="1" customWidth="1"/>
    <col min="82" max="82" width="10.6640625" hidden="1" customWidth="1"/>
    <col min="83" max="83" width="11.5" hidden="1" customWidth="1"/>
    <col min="84" max="84" width="12" hidden="1" customWidth="1"/>
    <col min="85" max="85" width="10.5" hidden="1" customWidth="1"/>
    <col min="86" max="86" width="3" customWidth="1"/>
    <col min="87" max="87" width="11.33203125" customWidth="1"/>
    <col min="88" max="88" width="12.1640625" customWidth="1"/>
    <col min="89" max="89" width="9.33203125" customWidth="1"/>
    <col min="90" max="90" width="3.1640625" customWidth="1"/>
    <col min="91" max="91" width="10.1640625" customWidth="1"/>
    <col min="92" max="92" width="11.5" customWidth="1"/>
    <col min="93" max="93" width="11.1640625" customWidth="1"/>
    <col min="94" max="94" width="11" customWidth="1"/>
    <col min="95" max="95" width="10.6640625" customWidth="1"/>
    <col min="96" max="96" width="11.5" customWidth="1"/>
    <col min="97" max="97" width="12" customWidth="1"/>
    <col min="98" max="98" width="10.5" customWidth="1"/>
    <col min="99" max="99" width="3.83203125" customWidth="1"/>
    <col min="100" max="100" width="10.1640625" customWidth="1"/>
    <col min="101" max="101" width="11.5" customWidth="1"/>
    <col min="102" max="102" width="11.1640625" customWidth="1"/>
    <col min="103" max="103" width="11" customWidth="1"/>
    <col min="104" max="104" width="10.6640625" customWidth="1"/>
    <col min="105" max="105" width="11.5" customWidth="1"/>
    <col min="106" max="106" width="12" customWidth="1"/>
    <col min="107" max="107" width="10.5" customWidth="1"/>
    <col min="108" max="108" width="4" customWidth="1"/>
    <col min="109" max="109" width="13.5" customWidth="1"/>
    <col min="110" max="110" width="11.83203125" customWidth="1"/>
    <col min="111" max="111" width="13.1640625" customWidth="1"/>
    <col min="112" max="112" width="11.6640625" customWidth="1"/>
    <col min="113" max="113" width="13" customWidth="1"/>
    <col min="114" max="114" width="2.33203125" customWidth="1"/>
    <col min="115" max="115" width="3.1640625" style="102" customWidth="1"/>
    <col min="116" max="116" width="11.5" bestFit="1" customWidth="1"/>
    <col min="117" max="117" width="10.5" bestFit="1" customWidth="1"/>
    <col min="118" max="122" width="10.5" customWidth="1"/>
    <col min="123" max="123" width="12.1640625" customWidth="1"/>
    <col min="124" max="124" width="10" customWidth="1"/>
    <col min="125" max="130" width="12.1640625" customWidth="1"/>
    <col min="131" max="131" width="2.5" customWidth="1"/>
    <col min="132" max="132" width="12.6640625" bestFit="1" customWidth="1"/>
    <col min="133" max="133" width="15.5" customWidth="1"/>
    <col min="134" max="134" width="11.1640625" customWidth="1"/>
    <col min="135" max="135" width="13.33203125" customWidth="1"/>
    <col min="136" max="136" width="16.83203125" customWidth="1"/>
    <col min="137" max="137" width="13.83203125" customWidth="1"/>
    <col min="138" max="138" width="4.5" customWidth="1"/>
    <col min="139" max="139" width="13.33203125" customWidth="1"/>
    <col min="140" max="140" width="20.33203125" bestFit="1" customWidth="1"/>
    <col min="141" max="141" width="20.33203125" customWidth="1"/>
    <col min="142" max="143" width="16" customWidth="1"/>
    <col min="144" max="144" width="6.1640625" style="102" customWidth="1"/>
    <col min="145" max="145" width="13.33203125" customWidth="1"/>
    <col min="146" max="146" width="16.33203125" customWidth="1"/>
    <col min="147" max="147" width="16" customWidth="1"/>
    <col min="148" max="148" width="6.1640625" style="102" customWidth="1"/>
    <col min="149" max="149" width="10.83203125" hidden="1" customWidth="1"/>
    <col min="150" max="150" width="11.5" hidden="1" customWidth="1"/>
    <col min="151" max="152" width="10.83203125" hidden="1" customWidth="1"/>
    <col min="153" max="153" width="11.5" hidden="1" customWidth="1"/>
    <col min="154" max="155" width="10.83203125" hidden="1" customWidth="1"/>
    <col min="156" max="156" width="11.5" hidden="1" customWidth="1"/>
    <col min="157" max="157" width="10.83203125" hidden="1" customWidth="1"/>
    <col min="158" max="158" width="12.6640625" hidden="1" customWidth="1"/>
    <col min="159" max="159" width="11.5" hidden="1" customWidth="1"/>
    <col min="160" max="160" width="10.83203125" hidden="1" customWidth="1"/>
    <col min="161" max="161" width="12.6640625" hidden="1" customWidth="1"/>
    <col min="162" max="162" width="11.5" hidden="1" customWidth="1"/>
    <col min="163" max="163" width="10.83203125" hidden="1" customWidth="1"/>
  </cols>
  <sheetData>
    <row r="1" spans="1:233" s="426" customFormat="1" ht="20" thickBot="1">
      <c r="A1" s="432" t="e" cm="1">
        <f t="array" ref="A1">+A1:BQ4A1:HA4A1:#REF!</f>
        <v>#NAME?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2466">
        <v>7</v>
      </c>
      <c r="AA1" s="2467"/>
      <c r="AB1" s="2467"/>
      <c r="AC1" s="2467"/>
      <c r="AD1" s="2468"/>
      <c r="AE1" s="1906"/>
      <c r="AF1" s="2463">
        <v>8</v>
      </c>
      <c r="AG1" s="2464"/>
      <c r="AH1" s="2464"/>
      <c r="AI1" s="2464"/>
      <c r="AJ1" s="2465"/>
      <c r="AK1" s="1906"/>
      <c r="AL1" s="2463">
        <v>9</v>
      </c>
      <c r="AM1" s="2464"/>
      <c r="AN1" s="2464"/>
      <c r="AO1" s="2464"/>
      <c r="AP1" s="2465"/>
      <c r="AQ1" s="1906"/>
      <c r="AR1" s="2469">
        <v>10</v>
      </c>
      <c r="AS1" s="2470"/>
      <c r="AT1" s="2470"/>
      <c r="AU1" s="2470"/>
      <c r="AV1" s="2471"/>
      <c r="AW1" s="1909"/>
      <c r="AX1" s="2475">
        <v>11</v>
      </c>
      <c r="AY1" s="2476"/>
      <c r="AZ1" s="2476"/>
      <c r="BA1" s="2476"/>
      <c r="BB1" s="2477"/>
      <c r="BC1" s="1908"/>
      <c r="BD1" s="2472">
        <v>12</v>
      </c>
      <c r="BE1" s="2473"/>
      <c r="BF1" s="2473"/>
      <c r="BG1" s="2473"/>
      <c r="BH1" s="2474"/>
      <c r="BI1" s="1915"/>
      <c r="BJ1" s="2096"/>
      <c r="BK1" s="2096"/>
      <c r="BL1" s="2096"/>
      <c r="BM1" s="2093"/>
      <c r="BN1" s="2463">
        <v>1</v>
      </c>
      <c r="BO1" s="2464"/>
      <c r="BP1" s="2464"/>
      <c r="BQ1" s="2464"/>
      <c r="BR1" s="2465"/>
      <c r="BS1" s="1907"/>
      <c r="BT1" s="2463">
        <v>2</v>
      </c>
      <c r="BU1" s="2464"/>
      <c r="BV1" s="2464"/>
      <c r="BW1" s="2464"/>
      <c r="BX1" s="2464"/>
      <c r="BY1" s="2220"/>
      <c r="BZ1" s="2220"/>
      <c r="CA1" s="2478">
        <v>3</v>
      </c>
      <c r="CB1" s="2479"/>
      <c r="CC1" s="2479"/>
      <c r="CD1" s="2479"/>
      <c r="CE1" s="2479"/>
      <c r="CF1" s="2479"/>
      <c r="CG1" s="2480"/>
      <c r="CH1" s="1916"/>
      <c r="CI1" s="2096"/>
      <c r="CJ1" s="2096"/>
      <c r="CK1" s="2096"/>
      <c r="CL1" s="2093"/>
      <c r="CM1" s="2463">
        <v>4</v>
      </c>
      <c r="CN1" s="2464"/>
      <c r="CO1" s="2464"/>
      <c r="CP1" s="2464"/>
      <c r="CQ1" s="2464"/>
      <c r="CR1" s="2464"/>
      <c r="CS1" s="2464"/>
      <c r="CT1" s="2465"/>
      <c r="CU1" s="1916"/>
      <c r="CV1" s="2463">
        <v>5</v>
      </c>
      <c r="CW1" s="2464"/>
      <c r="CX1" s="2464"/>
      <c r="CY1" s="2464"/>
      <c r="CZ1" s="2464"/>
      <c r="DA1" s="2464"/>
      <c r="DB1" s="2464"/>
      <c r="DC1" s="2465"/>
      <c r="DD1" s="1916"/>
      <c r="DE1" s="2472">
        <v>6</v>
      </c>
      <c r="DF1" s="2473"/>
      <c r="DG1" s="2473"/>
      <c r="DH1" s="2473"/>
      <c r="DI1" s="2474"/>
      <c r="DJ1" s="1919"/>
      <c r="DK1" s="1198"/>
      <c r="DL1" s="2493" t="s">
        <v>769</v>
      </c>
      <c r="DM1" s="2493"/>
      <c r="DN1" s="2493"/>
      <c r="DO1" s="2494"/>
      <c r="DP1" s="2495" t="s">
        <v>770</v>
      </c>
      <c r="DQ1" s="2496"/>
      <c r="DR1" s="2496"/>
      <c r="DS1" s="2497"/>
      <c r="DT1" s="2219"/>
      <c r="DU1" s="958" t="s">
        <v>771</v>
      </c>
      <c r="DV1" s="2490" t="s">
        <v>772</v>
      </c>
      <c r="DW1" s="2491"/>
      <c r="DX1" s="2491"/>
      <c r="DY1" s="2491"/>
      <c r="DZ1" s="2492"/>
      <c r="EA1" s="894"/>
      <c r="EB1" s="2486" t="s">
        <v>773</v>
      </c>
      <c r="EC1" s="2486"/>
      <c r="ED1" s="2487"/>
      <c r="EE1" s="2501" t="s">
        <v>774</v>
      </c>
      <c r="EF1" s="2486"/>
      <c r="EG1" s="2487"/>
      <c r="EH1" s="1506"/>
      <c r="EI1" s="2488" t="s">
        <v>775</v>
      </c>
      <c r="EJ1" s="2489"/>
      <c r="EK1" s="2489"/>
      <c r="EL1" s="2489"/>
      <c r="EM1" s="2489"/>
      <c r="EN1" s="1506"/>
      <c r="EO1" s="2498" t="s">
        <v>776</v>
      </c>
      <c r="EP1" s="2499"/>
      <c r="EQ1" s="2500"/>
      <c r="ER1" s="1506"/>
      <c r="ES1" s="1564"/>
      <c r="ET1" s="1564" t="s">
        <v>777</v>
      </c>
      <c r="EU1" s="1565"/>
      <c r="EV1" s="2484" t="s">
        <v>778</v>
      </c>
      <c r="EW1" s="2484"/>
      <c r="EX1" s="2485"/>
      <c r="EY1" s="2484" t="s">
        <v>779</v>
      </c>
      <c r="EZ1" s="2484"/>
      <c r="FA1" s="2485"/>
      <c r="FB1" s="2482" t="s">
        <v>780</v>
      </c>
      <c r="FC1" s="2482"/>
      <c r="FD1" s="2483"/>
      <c r="FE1" s="2481" t="s">
        <v>781</v>
      </c>
      <c r="FF1" s="2482"/>
      <c r="FG1" s="2483"/>
    </row>
    <row r="2" spans="1:233" ht="123" customHeight="1" thickBot="1">
      <c r="A2" s="268" t="s">
        <v>782</v>
      </c>
      <c r="B2" s="931" t="s">
        <v>783</v>
      </c>
      <c r="C2" s="969" t="s">
        <v>784</v>
      </c>
      <c r="D2" s="985" t="s">
        <v>785</v>
      </c>
      <c r="E2" s="968" t="s">
        <v>786</v>
      </c>
      <c r="F2" s="1090" t="s">
        <v>787</v>
      </c>
      <c r="G2" s="788" t="s">
        <v>788</v>
      </c>
      <c r="H2" s="909" t="s">
        <v>267</v>
      </c>
      <c r="I2" s="910" t="s">
        <v>266</v>
      </c>
      <c r="J2" s="228" t="s">
        <v>279</v>
      </c>
      <c r="K2" s="228" t="s">
        <v>11</v>
      </c>
      <c r="L2" s="229" t="s">
        <v>789</v>
      </c>
      <c r="M2" s="927" t="s">
        <v>790</v>
      </c>
      <c r="N2" s="268" t="s">
        <v>791</v>
      </c>
      <c r="O2" s="931" t="s">
        <v>792</v>
      </c>
      <c r="P2" s="969" t="s">
        <v>793</v>
      </c>
      <c r="Q2" s="969" t="s">
        <v>794</v>
      </c>
      <c r="R2" s="788" t="s">
        <v>795</v>
      </c>
      <c r="S2" s="788" t="s">
        <v>796</v>
      </c>
      <c r="T2" s="1485" t="s">
        <v>797</v>
      </c>
      <c r="U2" s="1485" t="s">
        <v>798</v>
      </c>
      <c r="V2" s="1488" t="s">
        <v>799</v>
      </c>
      <c r="W2" s="1488" t="s">
        <v>800</v>
      </c>
      <c r="X2" s="230" t="s">
        <v>801</v>
      </c>
      <c r="Y2" s="230"/>
      <c r="Z2" s="1917" t="s">
        <v>802</v>
      </c>
      <c r="AA2" s="961" t="s">
        <v>803</v>
      </c>
      <c r="AB2" s="1918" t="s">
        <v>804</v>
      </c>
      <c r="AC2" s="1918" t="s">
        <v>805</v>
      </c>
      <c r="AD2" s="1918" t="s">
        <v>806</v>
      </c>
      <c r="AE2" s="781"/>
      <c r="AF2" s="1917" t="s">
        <v>807</v>
      </c>
      <c r="AG2" s="961" t="s">
        <v>808</v>
      </c>
      <c r="AH2" s="1918" t="s">
        <v>809</v>
      </c>
      <c r="AI2" s="1918" t="s">
        <v>810</v>
      </c>
      <c r="AJ2" s="1918" t="s">
        <v>811</v>
      </c>
      <c r="AK2" s="781"/>
      <c r="AL2" s="1917" t="s">
        <v>812</v>
      </c>
      <c r="AM2" s="961" t="s">
        <v>813</v>
      </c>
      <c r="AN2" s="1918" t="s">
        <v>814</v>
      </c>
      <c r="AO2" s="1918" t="s">
        <v>815</v>
      </c>
      <c r="AP2" s="1918" t="s">
        <v>816</v>
      </c>
      <c r="AQ2" s="781"/>
      <c r="AR2" s="1917" t="s">
        <v>817</v>
      </c>
      <c r="AS2" s="961" t="s">
        <v>818</v>
      </c>
      <c r="AT2" s="1918" t="s">
        <v>819</v>
      </c>
      <c r="AU2" s="1918" t="s">
        <v>820</v>
      </c>
      <c r="AV2" s="1918" t="s">
        <v>821</v>
      </c>
      <c r="AW2" s="781"/>
      <c r="AX2" s="1917" t="s">
        <v>822</v>
      </c>
      <c r="AY2" s="961" t="s">
        <v>823</v>
      </c>
      <c r="AZ2" s="1918" t="s">
        <v>824</v>
      </c>
      <c r="BA2" s="1918" t="s">
        <v>825</v>
      </c>
      <c r="BB2" s="1918" t="s">
        <v>826</v>
      </c>
      <c r="BC2" s="781"/>
      <c r="BD2" s="1917" t="s">
        <v>827</v>
      </c>
      <c r="BE2" s="961" t="s">
        <v>828</v>
      </c>
      <c r="BF2" s="1918" t="s">
        <v>829</v>
      </c>
      <c r="BG2" s="1918" t="s">
        <v>830</v>
      </c>
      <c r="BH2" s="1918" t="s">
        <v>831</v>
      </c>
      <c r="BI2" s="781"/>
      <c r="BJ2" s="2097" t="s">
        <v>832</v>
      </c>
      <c r="BK2" s="2097" t="s">
        <v>833</v>
      </c>
      <c r="BL2" s="2097" t="s">
        <v>834</v>
      </c>
      <c r="BM2" s="1918"/>
      <c r="BN2" s="1917" t="s">
        <v>835</v>
      </c>
      <c r="BO2" s="961" t="s">
        <v>836</v>
      </c>
      <c r="BP2" s="1918" t="s">
        <v>837</v>
      </c>
      <c r="BQ2" s="1918" t="s">
        <v>838</v>
      </c>
      <c r="BR2" s="1918" t="s">
        <v>839</v>
      </c>
      <c r="BS2" s="781"/>
      <c r="BT2" s="1917" t="s">
        <v>840</v>
      </c>
      <c r="BU2" s="961" t="s">
        <v>841</v>
      </c>
      <c r="BV2" s="1918" t="s">
        <v>842</v>
      </c>
      <c r="BW2" s="1918" t="s">
        <v>843</v>
      </c>
      <c r="BX2" s="1918" t="s">
        <v>844</v>
      </c>
      <c r="BY2" s="1918"/>
      <c r="BZ2" s="1979" t="s">
        <v>845</v>
      </c>
      <c r="CA2" s="1978" t="s">
        <v>846</v>
      </c>
      <c r="CB2" s="1977" t="s">
        <v>847</v>
      </c>
      <c r="CC2" s="1918" t="s">
        <v>848</v>
      </c>
      <c r="CD2" s="961" t="s">
        <v>849</v>
      </c>
      <c r="CE2" s="1918" t="s">
        <v>850</v>
      </c>
      <c r="CF2" s="1917" t="s">
        <v>851</v>
      </c>
      <c r="CG2" s="1918" t="s">
        <v>852</v>
      </c>
      <c r="CH2" s="2094"/>
      <c r="CI2" s="2097" t="s">
        <v>853</v>
      </c>
      <c r="CJ2" s="2097" t="s">
        <v>833</v>
      </c>
      <c r="CK2" s="2097" t="s">
        <v>834</v>
      </c>
      <c r="CL2" s="2095"/>
      <c r="CM2" s="1979" t="s">
        <v>845</v>
      </c>
      <c r="CN2" s="1978" t="s">
        <v>846</v>
      </c>
      <c r="CO2" s="1977" t="s">
        <v>854</v>
      </c>
      <c r="CP2" s="1918" t="s">
        <v>855</v>
      </c>
      <c r="CQ2" s="961" t="s">
        <v>856</v>
      </c>
      <c r="CR2" s="1918" t="s">
        <v>857</v>
      </c>
      <c r="CS2" s="1917" t="s">
        <v>8516</v>
      </c>
      <c r="CT2" s="1918" t="s">
        <v>858</v>
      </c>
      <c r="CU2" s="781"/>
      <c r="CV2" s="1979" t="s">
        <v>845</v>
      </c>
      <c r="CW2" s="1978" t="s">
        <v>846</v>
      </c>
      <c r="CX2" s="1977" t="s">
        <v>8282</v>
      </c>
      <c r="CY2" s="1918" t="s">
        <v>859</v>
      </c>
      <c r="CZ2" s="961" t="s">
        <v>8283</v>
      </c>
      <c r="DA2" s="1918" t="s">
        <v>8285</v>
      </c>
      <c r="DB2" s="1917" t="s">
        <v>8284</v>
      </c>
      <c r="DC2" s="1918" t="s">
        <v>8284</v>
      </c>
      <c r="DD2" s="781"/>
      <c r="DE2" s="1917" t="s">
        <v>860</v>
      </c>
      <c r="DF2" s="961" t="s">
        <v>861</v>
      </c>
      <c r="DG2" s="1920" t="s">
        <v>862</v>
      </c>
      <c r="DH2" s="1918" t="s">
        <v>863</v>
      </c>
      <c r="DI2" s="1918" t="s">
        <v>864</v>
      </c>
      <c r="DJ2" s="367"/>
      <c r="DK2" s="1199"/>
      <c r="DL2" s="1197" t="s">
        <v>865</v>
      </c>
      <c r="DM2" s="956" t="s">
        <v>866</v>
      </c>
      <c r="DN2" s="956" t="s">
        <v>867</v>
      </c>
      <c r="DO2" s="956" t="s">
        <v>868</v>
      </c>
      <c r="DP2" s="955" t="s">
        <v>869</v>
      </c>
      <c r="DQ2" s="955" t="s">
        <v>870</v>
      </c>
      <c r="DR2" s="955" t="s">
        <v>871</v>
      </c>
      <c r="DS2" s="955" t="s">
        <v>872</v>
      </c>
      <c r="DT2" s="1011" t="s">
        <v>873</v>
      </c>
      <c r="DU2" s="957" t="s">
        <v>874</v>
      </c>
      <c r="DV2" s="960" t="s">
        <v>875</v>
      </c>
      <c r="DW2" s="960" t="s">
        <v>876</v>
      </c>
      <c r="DX2" s="960" t="s">
        <v>877</v>
      </c>
      <c r="DY2" s="961" t="s">
        <v>785</v>
      </c>
      <c r="DZ2" s="961" t="s">
        <v>878</v>
      </c>
      <c r="EA2" s="367"/>
      <c r="EB2" s="896" t="s">
        <v>879</v>
      </c>
      <c r="EC2" s="397" t="s">
        <v>880</v>
      </c>
      <c r="ED2" s="398" t="s">
        <v>881</v>
      </c>
      <c r="EE2" s="396" t="s">
        <v>879</v>
      </c>
      <c r="EF2" s="397" t="s">
        <v>880</v>
      </c>
      <c r="EG2" s="398" t="s">
        <v>881</v>
      </c>
      <c r="EH2" s="1507"/>
      <c r="EI2" s="1840" t="s">
        <v>879</v>
      </c>
      <c r="EJ2" s="1841" t="s">
        <v>882</v>
      </c>
      <c r="EK2" s="1841" t="s">
        <v>883</v>
      </c>
      <c r="EL2" s="1841" t="s">
        <v>884</v>
      </c>
      <c r="EM2" s="1842" t="s">
        <v>885</v>
      </c>
      <c r="EN2" s="1507"/>
      <c r="EO2" s="1627" t="s">
        <v>879</v>
      </c>
      <c r="EP2" s="1628" t="s">
        <v>886</v>
      </c>
      <c r="EQ2" s="1629" t="s">
        <v>881</v>
      </c>
      <c r="ER2" s="1507"/>
      <c r="ES2" s="1503" t="s">
        <v>887</v>
      </c>
      <c r="ET2" s="1504" t="s">
        <v>888</v>
      </c>
      <c r="EU2" s="1505" t="s">
        <v>889</v>
      </c>
      <c r="EV2" s="1503" t="s">
        <v>887</v>
      </c>
      <c r="EW2" s="1504" t="s">
        <v>888</v>
      </c>
      <c r="EX2" s="1505" t="s">
        <v>889</v>
      </c>
      <c r="EY2" s="1503" t="s">
        <v>887</v>
      </c>
      <c r="EZ2" s="1504" t="s">
        <v>888</v>
      </c>
      <c r="FA2" s="1505" t="s">
        <v>889</v>
      </c>
      <c r="FB2" s="1503" t="s">
        <v>887</v>
      </c>
      <c r="FC2" s="1504" t="s">
        <v>888</v>
      </c>
      <c r="FD2" s="1505" t="s">
        <v>889</v>
      </c>
      <c r="FE2" s="1503" t="s">
        <v>887</v>
      </c>
      <c r="FF2" s="1504" t="s">
        <v>888</v>
      </c>
      <c r="FG2" s="1505" t="s">
        <v>889</v>
      </c>
    </row>
    <row r="3" spans="1:233" s="102" customFormat="1" ht="18">
      <c r="A3" s="231"/>
      <c r="B3" s="231"/>
      <c r="C3" s="231"/>
      <c r="D3" s="231" t="s">
        <v>233</v>
      </c>
      <c r="E3" s="231" t="s">
        <v>233</v>
      </c>
      <c r="F3" s="231" t="s">
        <v>233</v>
      </c>
      <c r="G3" s="231" t="s">
        <v>234</v>
      </c>
      <c r="H3" s="231"/>
      <c r="I3" s="231"/>
      <c r="J3" s="231"/>
      <c r="K3" s="231"/>
      <c r="L3" s="231"/>
      <c r="M3" s="231"/>
      <c r="N3" s="231"/>
      <c r="O3" s="231" t="s">
        <v>890</v>
      </c>
      <c r="P3" s="231" t="s">
        <v>891</v>
      </c>
      <c r="Q3" s="231"/>
      <c r="R3" s="231" t="s">
        <v>891</v>
      </c>
      <c r="S3" s="231"/>
      <c r="T3" s="231" t="s">
        <v>891</v>
      </c>
      <c r="U3" s="231"/>
      <c r="V3" s="231" t="s">
        <v>891</v>
      </c>
      <c r="W3" s="231"/>
      <c r="X3" s="231"/>
      <c r="Y3" s="1910"/>
      <c r="Z3" s="892" t="s">
        <v>892</v>
      </c>
      <c r="AA3" s="892" t="s">
        <v>893</v>
      </c>
      <c r="AB3" s="892" t="s">
        <v>892</v>
      </c>
      <c r="AC3" s="892" t="s">
        <v>892</v>
      </c>
      <c r="AD3" s="892" t="s">
        <v>892</v>
      </c>
      <c r="AE3" s="892"/>
      <c r="AF3" s="892" t="s">
        <v>892</v>
      </c>
      <c r="AG3" s="892" t="s">
        <v>893</v>
      </c>
      <c r="AH3" s="892" t="s">
        <v>892</v>
      </c>
      <c r="AI3" s="892" t="s">
        <v>892</v>
      </c>
      <c r="AJ3" s="892" t="s">
        <v>892</v>
      </c>
      <c r="AK3" s="892"/>
      <c r="AL3" s="892" t="s">
        <v>892</v>
      </c>
      <c r="AM3" s="892" t="s">
        <v>893</v>
      </c>
      <c r="AN3" s="892" t="s">
        <v>892</v>
      </c>
      <c r="AO3" s="892" t="s">
        <v>892</v>
      </c>
      <c r="AP3" s="892" t="s">
        <v>892</v>
      </c>
      <c r="AQ3" s="892"/>
      <c r="AR3" s="892" t="s">
        <v>892</v>
      </c>
      <c r="AS3" s="892" t="s">
        <v>893</v>
      </c>
      <c r="AT3" s="892" t="s">
        <v>892</v>
      </c>
      <c r="AU3" s="892" t="s">
        <v>892</v>
      </c>
      <c r="AV3" s="892" t="s">
        <v>892</v>
      </c>
      <c r="AW3" s="892"/>
      <c r="AX3" s="892"/>
      <c r="AY3" s="892"/>
      <c r="AZ3" s="892" t="s">
        <v>892</v>
      </c>
      <c r="BA3" s="892" t="s">
        <v>892</v>
      </c>
      <c r="BB3" s="892" t="s">
        <v>892</v>
      </c>
      <c r="BC3" s="892"/>
      <c r="BD3" s="892"/>
      <c r="BE3" s="892"/>
      <c r="BF3" s="892" t="s">
        <v>892</v>
      </c>
      <c r="BG3" s="892" t="s">
        <v>892</v>
      </c>
      <c r="BH3" s="892" t="s">
        <v>892</v>
      </c>
      <c r="BI3" s="892"/>
      <c r="BJ3" s="1559"/>
      <c r="BK3" s="1559"/>
      <c r="BL3" s="1559"/>
      <c r="BM3" s="892"/>
      <c r="BN3" s="892"/>
      <c r="BO3" s="892"/>
      <c r="BP3" s="892" t="s">
        <v>892</v>
      </c>
      <c r="BQ3" s="892" t="s">
        <v>892</v>
      </c>
      <c r="BR3" s="892" t="s">
        <v>892</v>
      </c>
      <c r="BS3" s="892"/>
      <c r="BT3" s="892"/>
      <c r="BU3" s="892"/>
      <c r="BV3" s="892" t="s">
        <v>892</v>
      </c>
      <c r="BW3" s="892" t="s">
        <v>892</v>
      </c>
      <c r="BX3" s="892" t="s">
        <v>892</v>
      </c>
      <c r="BY3" s="892"/>
      <c r="BZ3" s="892"/>
      <c r="CA3" s="892" t="s">
        <v>234</v>
      </c>
      <c r="CB3" s="892" t="s">
        <v>892</v>
      </c>
      <c r="CC3" s="892" t="s">
        <v>892</v>
      </c>
      <c r="CD3" s="892" t="s">
        <v>892</v>
      </c>
      <c r="CE3" s="892" t="s">
        <v>892</v>
      </c>
      <c r="CF3" s="892" t="s">
        <v>892</v>
      </c>
      <c r="CG3" s="892" t="s">
        <v>892</v>
      </c>
      <c r="CH3" s="892"/>
      <c r="CI3" s="1559"/>
      <c r="CJ3" s="1559"/>
      <c r="CK3" s="1559"/>
      <c r="CL3" s="892"/>
      <c r="CM3" s="892"/>
      <c r="CN3" s="892" t="s">
        <v>234</v>
      </c>
      <c r="CO3" s="892" t="s">
        <v>892</v>
      </c>
      <c r="CP3" s="892" t="s">
        <v>892</v>
      </c>
      <c r="CQ3" s="892" t="s">
        <v>892</v>
      </c>
      <c r="CR3" s="892" t="s">
        <v>892</v>
      </c>
      <c r="CS3" s="892">
        <v>149.5755705</v>
      </c>
      <c r="CT3" s="892" t="s">
        <v>892</v>
      </c>
      <c r="CU3" s="892"/>
      <c r="CV3" s="892"/>
      <c r="CW3" s="892" t="s">
        <v>234</v>
      </c>
      <c r="CX3" s="892" t="s">
        <v>892</v>
      </c>
      <c r="CY3" s="892"/>
      <c r="CZ3" s="892"/>
      <c r="DA3" s="892" t="s">
        <v>892</v>
      </c>
      <c r="DB3" s="892" t="s">
        <v>892</v>
      </c>
      <c r="DC3" s="892" t="s">
        <v>892</v>
      </c>
      <c r="DD3" s="892"/>
      <c r="DE3" s="892"/>
      <c r="DF3" s="892"/>
      <c r="DG3" s="892" t="s">
        <v>892</v>
      </c>
      <c r="DH3" s="892" t="s">
        <v>892</v>
      </c>
      <c r="DI3" s="892" t="s">
        <v>892</v>
      </c>
      <c r="DJ3" s="895"/>
      <c r="DK3" s="1199"/>
      <c r="DL3" s="1194" t="s">
        <v>892</v>
      </c>
      <c r="DM3" s="1194" t="s">
        <v>892</v>
      </c>
      <c r="DN3" s="893" t="s">
        <v>234</v>
      </c>
      <c r="DO3" s="893" t="s">
        <v>892</v>
      </c>
      <c r="DP3" s="911" t="s">
        <v>892</v>
      </c>
      <c r="DQ3" s="911" t="s">
        <v>892</v>
      </c>
      <c r="DR3" s="911" t="s">
        <v>233</v>
      </c>
      <c r="DS3" s="911" t="s">
        <v>892</v>
      </c>
      <c r="DT3" s="911"/>
      <c r="DU3" s="950" t="s">
        <v>892</v>
      </c>
      <c r="DV3" s="893" t="s">
        <v>892</v>
      </c>
      <c r="DW3" s="893" t="s">
        <v>892</v>
      </c>
      <c r="DX3" s="893" t="s">
        <v>892</v>
      </c>
      <c r="DY3" s="962" t="s">
        <v>233</v>
      </c>
      <c r="DZ3" s="962"/>
      <c r="EA3" s="898"/>
      <c r="EB3" s="897"/>
      <c r="EC3" s="395"/>
      <c r="ED3" s="395"/>
      <c r="EE3" s="395"/>
      <c r="EF3" s="395"/>
      <c r="EG3" s="395"/>
      <c r="EH3" s="1508"/>
      <c r="EI3" s="1838"/>
      <c r="EJ3" s="1426"/>
      <c r="EK3" s="1831">
        <v>140</v>
      </c>
      <c r="EL3" s="1839"/>
      <c r="EM3" s="1426"/>
      <c r="EN3" s="1559"/>
      <c r="EO3" s="1630"/>
      <c r="EP3" s="1631"/>
      <c r="EQ3" s="1632"/>
      <c r="ER3" s="1559"/>
      <c r="ES3" s="232"/>
      <c r="ET3" s="232"/>
      <c r="EU3" s="232"/>
      <c r="EV3" s="232"/>
      <c r="EW3" s="232"/>
      <c r="EX3" s="232"/>
      <c r="EY3" s="232"/>
      <c r="EZ3" s="232"/>
      <c r="FA3" s="232"/>
      <c r="FB3" s="232"/>
      <c r="FC3" s="232"/>
      <c r="FD3" s="232"/>
      <c r="FE3" s="232"/>
      <c r="FF3" s="232"/>
      <c r="FG3" s="232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</row>
    <row r="4" spans="1:233" s="233" customFormat="1" ht="18" thickBot="1">
      <c r="A4" s="231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1425"/>
      <c r="Z4" s="1566"/>
      <c r="AA4" s="1547"/>
      <c r="AB4" s="891"/>
      <c r="AC4" s="882"/>
      <c r="AD4" s="882"/>
      <c r="AE4" s="891"/>
      <c r="AF4" s="1566"/>
      <c r="AG4" s="1547"/>
      <c r="AH4" s="882"/>
      <c r="AI4" s="882"/>
      <c r="AJ4" s="882"/>
      <c r="AK4" s="882"/>
      <c r="AL4" s="1566"/>
      <c r="AM4" s="1547"/>
      <c r="AN4" s="882"/>
      <c r="AO4" s="882"/>
      <c r="AP4" s="882"/>
      <c r="AQ4" s="882"/>
      <c r="AR4" s="1566"/>
      <c r="AS4" s="1547"/>
      <c r="AT4" s="882"/>
      <c r="AU4" s="882"/>
      <c r="AV4" s="882"/>
      <c r="AW4" s="882"/>
      <c r="AX4" s="1566"/>
      <c r="AY4" s="1547"/>
      <c r="AZ4" s="882"/>
      <c r="BA4" s="882"/>
      <c r="BB4" s="882"/>
      <c r="BC4" s="882"/>
      <c r="BD4" s="1566"/>
      <c r="BE4" s="1547"/>
      <c r="BF4" s="882"/>
      <c r="BG4" s="882"/>
      <c r="BH4" s="882"/>
      <c r="BI4" s="882"/>
      <c r="BJ4" s="2098"/>
      <c r="BK4" s="2098"/>
      <c r="BL4" s="2098"/>
      <c r="BM4" s="882"/>
      <c r="BN4" s="1566"/>
      <c r="BO4" s="1547"/>
      <c r="BP4" s="882"/>
      <c r="BQ4" s="882"/>
      <c r="BR4" s="882"/>
      <c r="BS4" s="882"/>
      <c r="BT4" s="1566"/>
      <c r="BU4" s="1547"/>
      <c r="BV4" s="882"/>
      <c r="BW4" s="882"/>
      <c r="BX4" s="882"/>
      <c r="BY4" s="882"/>
      <c r="BZ4" s="882"/>
      <c r="CA4" s="882"/>
      <c r="CB4" s="882"/>
      <c r="CC4" s="882"/>
      <c r="CD4" s="1547"/>
      <c r="CE4" s="882"/>
      <c r="CF4" s="1566"/>
      <c r="CG4" s="882"/>
      <c r="CH4" s="882"/>
      <c r="CI4" s="2098"/>
      <c r="CJ4" s="2098"/>
      <c r="CK4" s="2098"/>
      <c r="CL4" s="882"/>
      <c r="CM4" s="882"/>
      <c r="CN4" s="882"/>
      <c r="CO4" s="882"/>
      <c r="CP4" s="882"/>
      <c r="CQ4" s="1547"/>
      <c r="CR4" s="882"/>
      <c r="CS4" s="1566">
        <v>127.692255</v>
      </c>
      <c r="CT4" s="882"/>
      <c r="CU4" s="882"/>
      <c r="CV4" s="882"/>
      <c r="CW4" s="882"/>
      <c r="CX4" s="882"/>
      <c r="CY4" s="882"/>
      <c r="CZ4" s="1547"/>
      <c r="DA4" s="882"/>
      <c r="DB4" s="1566"/>
      <c r="DC4" s="882"/>
      <c r="DD4" s="882"/>
      <c r="DE4" s="1566"/>
      <c r="DF4" s="1547"/>
      <c r="DG4" s="891"/>
      <c r="DH4" s="882"/>
      <c r="DI4" s="882"/>
      <c r="DJ4" s="895"/>
      <c r="DK4" s="1200"/>
      <c r="DL4" s="901"/>
      <c r="DM4" s="901"/>
      <c r="DN4" s="901"/>
      <c r="DO4" s="901"/>
      <c r="DP4" s="912"/>
      <c r="DQ4" s="912"/>
      <c r="DR4" s="912"/>
      <c r="DS4" s="912"/>
      <c r="DT4" s="1012"/>
      <c r="DU4" s="951"/>
      <c r="DV4" s="903"/>
      <c r="DW4" s="902"/>
      <c r="DX4" s="902"/>
      <c r="DY4" s="963"/>
      <c r="DZ4" s="963"/>
      <c r="EA4" s="899"/>
      <c r="EB4" s="762"/>
      <c r="EC4" s="231"/>
      <c r="ED4" s="231"/>
      <c r="EE4" s="231"/>
      <c r="EF4" s="231"/>
      <c r="EG4" s="231"/>
      <c r="EH4" s="1509"/>
      <c r="EI4" s="1638" t="s">
        <v>894</v>
      </c>
      <c r="EJ4" s="1833" t="s">
        <v>893</v>
      </c>
      <c r="EK4" s="1832" t="s">
        <v>895</v>
      </c>
      <c r="EL4" s="1639" t="str">
        <f>IFERROR(EJ4/EI4,"")</f>
        <v/>
      </c>
      <c r="EM4" s="1834"/>
      <c r="EN4" s="1560"/>
      <c r="EO4" s="1633" t="s">
        <v>894</v>
      </c>
      <c r="EP4" s="1626"/>
      <c r="EQ4" s="1634" t="str">
        <f>IFERROR(EP4/EO4,"")</f>
        <v/>
      </c>
      <c r="ER4" s="1560"/>
      <c r="ES4" s="231"/>
      <c r="ET4" s="231"/>
      <c r="EU4" s="231"/>
      <c r="EV4" s="231"/>
      <c r="EW4" s="231"/>
      <c r="EX4" s="231"/>
      <c r="EY4" s="231"/>
      <c r="EZ4" s="231"/>
      <c r="FA4" s="231"/>
      <c r="FB4" s="231"/>
      <c r="FC4" s="231"/>
      <c r="FD4" s="231"/>
      <c r="FE4" s="231"/>
      <c r="FF4" s="231"/>
      <c r="FG4" s="2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</row>
    <row r="5" spans="1:233" ht="30" customHeight="1">
      <c r="A5" s="975">
        <f t="shared" ref="A5:A33" si="0">RANK(N5,$N$5:$N$35,0)</f>
        <v>1</v>
      </c>
      <c r="B5" s="975">
        <f t="shared" ref="B5:B33" si="1">RANK(O5,$O$5:$O$35,0)</f>
        <v>1</v>
      </c>
      <c r="C5" s="975">
        <f t="shared" ref="C5:C33" si="2">RANK(DY5,$DY$5:$DY$35,0)</f>
        <v>3</v>
      </c>
      <c r="D5" s="1015">
        <f t="shared" ref="D5:D33" si="3">((DX5-DS5)/DS5)</f>
        <v>0.7626480779917495</v>
      </c>
      <c r="E5" s="1217">
        <f>_xlfn.XLOOKUP(K5,Cement!$Q$7:$Q$35,Cement!$Z$7:$Z$35,"")</f>
        <v>0.19194894452626413</v>
      </c>
      <c r="F5" s="1091">
        <f t="shared" ref="F5:F33" si="4">(D5-E5)*100</f>
        <v>57.069913346548539</v>
      </c>
      <c r="G5" s="991">
        <f t="shared" ref="G5:G33" si="5">DN5-DR5</f>
        <v>0.12424309059562555</v>
      </c>
      <c r="H5" s="173">
        <f>_xlfn.XLOOKUP($K5,Cement!$Q$7:$Q$35,Cement!$B$7:$B$35,"")</f>
        <v>40.755421271413276</v>
      </c>
      <c r="I5" s="173">
        <f>_xlfn.XLOOKUP(K5,Cement!$Q$7:$Q$35,Cement!$A$7:$A$35,"")</f>
        <v>44.669651090194165</v>
      </c>
      <c r="J5" s="995" t="s">
        <v>896</v>
      </c>
      <c r="K5" s="1624" t="s">
        <v>47</v>
      </c>
      <c r="L5" s="937">
        <f>_xlfn.XLOOKUP(K5,Cement!$Q$7:$Q$35,Cement!$R$7:$R$35,"")</f>
        <v>12</v>
      </c>
      <c r="M5" s="2013">
        <f>_xlfn.XLOOKUP(K5,'Sales Rec'!$E$4:$E$32,'Sales Rec'!$L$4:$L$32,"")</f>
        <v>4</v>
      </c>
      <c r="N5" s="930">
        <f t="shared" ref="N5:N33" si="6">(DW5*1000000)/X5*(12/M5)</f>
        <v>4827</v>
      </c>
      <c r="O5" s="208">
        <f t="shared" ref="O5:O33" si="7">(DU5*1000000)/X5</f>
        <v>3456</v>
      </c>
      <c r="P5" s="1465">
        <f t="shared" ref="P5:P33" si="8">BP5+BV5+CC5</f>
        <v>1220</v>
      </c>
      <c r="Q5" s="1466">
        <f>IFERROR(((P5-V5)/V5)*100,"")</f>
        <v>65.087956698240873</v>
      </c>
      <c r="R5" s="1472">
        <f t="shared" ref="R5:R33" si="9">CP5+DA5+DG5</f>
        <v>650</v>
      </c>
      <c r="S5" s="1473">
        <f t="shared" ref="S5:S33" si="10">IFERROR(((R5-P5)/P5)*100,"")</f>
        <v>-46.721311475409841</v>
      </c>
      <c r="T5" s="1479">
        <f t="shared" ref="T5:T33" si="11">AB5+AH5+AN5</f>
        <v>847</v>
      </c>
      <c r="U5" s="1092">
        <f t="shared" ref="U5:U33" si="12">IFERROR(((T5-R5)/R5)*100,"")</f>
        <v>30.307692307692307</v>
      </c>
      <c r="V5" s="1486">
        <f t="shared" ref="V5:V33" si="13">AT5+AZ5+BF5</f>
        <v>739</v>
      </c>
      <c r="W5" s="1487">
        <f t="shared" ref="W5:W33" si="14">IFERROR(((V5-T5)/T5)*100,"")</f>
        <v>-12.750885478158205</v>
      </c>
      <c r="X5" s="934">
        <f>_xlfn.XLOOKUP(K5,Cement!$Q$7:$Q$35,Cement!$AK$7:$AK$35,"")</f>
        <v>1000000</v>
      </c>
      <c r="Y5" s="1911"/>
      <c r="Z5" s="1567"/>
      <c r="AA5" s="1548"/>
      <c r="AB5" s="996">
        <v>272</v>
      </c>
      <c r="AC5" s="997">
        <v>206</v>
      </c>
      <c r="AD5" s="884">
        <f t="shared" ref="AD5:AD33" si="15">AB5-AC5</f>
        <v>66</v>
      </c>
      <c r="AE5" s="1365"/>
      <c r="AF5" s="1567">
        <v>74.816180000000003</v>
      </c>
      <c r="AG5" s="1548">
        <v>2928000</v>
      </c>
      <c r="AH5" s="996">
        <v>336</v>
      </c>
      <c r="AI5" s="997">
        <v>283</v>
      </c>
      <c r="AJ5" s="884">
        <f t="shared" ref="AJ5:AJ33" si="16">AH5-AI5</f>
        <v>53</v>
      </c>
      <c r="AK5" s="1365"/>
      <c r="AL5" s="1567">
        <v>93.929317499999996</v>
      </c>
      <c r="AM5" s="1548">
        <v>6040000</v>
      </c>
      <c r="AN5" s="996">
        <v>239</v>
      </c>
      <c r="AO5" s="997">
        <v>185</v>
      </c>
      <c r="AP5" s="884">
        <f t="shared" ref="AP5:AP33" si="17">AN5-AO5</f>
        <v>54</v>
      </c>
      <c r="AQ5" s="1365"/>
      <c r="AR5" s="1567">
        <v>77.057015000000007</v>
      </c>
      <c r="AS5" s="1548">
        <v>210050.00087109499</v>
      </c>
      <c r="AT5" s="996">
        <v>238</v>
      </c>
      <c r="AU5" s="997">
        <v>171</v>
      </c>
      <c r="AV5" s="884">
        <f t="shared" ref="AV5:AV33" si="18">AT5-AU5</f>
        <v>67</v>
      </c>
      <c r="AW5" s="884"/>
      <c r="AX5" s="1567">
        <v>88.338970000000003</v>
      </c>
      <c r="AY5" s="1548">
        <v>299.52000000000004</v>
      </c>
      <c r="AZ5" s="996">
        <v>204</v>
      </c>
      <c r="BA5" s="997">
        <v>140</v>
      </c>
      <c r="BB5" s="884">
        <f t="shared" ref="BB5:BB33" si="19">AZ5-BA5</f>
        <v>64</v>
      </c>
      <c r="BC5" s="884"/>
      <c r="BD5" s="1567"/>
      <c r="BE5" s="1548"/>
      <c r="BF5" s="996">
        <v>297</v>
      </c>
      <c r="BG5" s="997">
        <v>75</v>
      </c>
      <c r="BH5" s="884">
        <f t="shared" ref="BH5:BH33" si="20">BF5-BG5</f>
        <v>222</v>
      </c>
      <c r="BI5" s="884"/>
      <c r="BJ5" s="2099">
        <f t="shared" ref="BJ5:BJ33" si="21">BF5+AZ5+AT5</f>
        <v>739</v>
      </c>
      <c r="BK5" s="2102"/>
      <c r="BL5" s="2102"/>
      <c r="BM5" s="884"/>
      <c r="BN5" s="1567"/>
      <c r="BO5" s="1548"/>
      <c r="BP5" s="996">
        <v>426</v>
      </c>
      <c r="BQ5" s="997">
        <v>378</v>
      </c>
      <c r="BR5" s="884">
        <f t="shared" ref="BR5:BR33" si="22">BP5-BQ5</f>
        <v>48</v>
      </c>
      <c r="BS5" s="1365"/>
      <c r="BT5" s="1567"/>
      <c r="BU5" s="1548"/>
      <c r="BV5" s="996">
        <v>453</v>
      </c>
      <c r="BW5" s="997">
        <v>379</v>
      </c>
      <c r="BX5" s="884">
        <f t="shared" ref="BX5:BX33" si="23">BV5-BW5</f>
        <v>74</v>
      </c>
      <c r="BY5" s="1365"/>
      <c r="BZ5" s="1980">
        <f t="shared" ref="BZ5:BZ33" si="24">RANK(CA5,CA$5:CA$33)</f>
        <v>3</v>
      </c>
      <c r="CA5" s="1999">
        <f t="shared" ref="CA5:CA33" si="25">((CB5-BV5)/BV5)*100</f>
        <v>38.774165011037539</v>
      </c>
      <c r="CB5" s="1992">
        <f t="shared" ref="CB5:CB33" si="26">CD5+CF5</f>
        <v>628.64696750000007</v>
      </c>
      <c r="CC5" s="996">
        <v>341</v>
      </c>
      <c r="CD5" s="1996">
        <v>470.40000000000003</v>
      </c>
      <c r="CE5" s="997">
        <v>292</v>
      </c>
      <c r="CF5" s="1981">
        <v>158.24696750000001</v>
      </c>
      <c r="CG5" s="884">
        <f t="shared" ref="CG5:CG33" si="27">CC5-CE5</f>
        <v>49</v>
      </c>
      <c r="CH5" s="1365"/>
      <c r="CI5" s="2106">
        <f t="shared" ref="CI5:CI33" si="28">CC5+BV5+BP5</f>
        <v>1220</v>
      </c>
      <c r="CJ5" s="2105">
        <f t="shared" ref="CJ5:CJ33" si="29">(CI5-BJ5)/BJ5</f>
        <v>0.65087956698240867</v>
      </c>
      <c r="CK5" s="2108">
        <f t="shared" ref="CK5:CK33" si="30">RANK(CJ5,$CJ$5:$CJ$33,0)</f>
        <v>6</v>
      </c>
      <c r="CL5" s="1365"/>
      <c r="CM5" s="1980">
        <f t="shared" ref="CM5:CM33" si="31">RANK(CN5,CN$5:CN$33)</f>
        <v>15</v>
      </c>
      <c r="CN5" s="1999">
        <f t="shared" ref="CN5:CN33" si="32">((CO5-CC5)/CC5)*100</f>
        <v>-31.425785923753669</v>
      </c>
      <c r="CO5" s="1992">
        <f t="shared" ref="CO5:CO33" si="33">CQ5+CS5</f>
        <v>233.83806999999999</v>
      </c>
      <c r="CP5" s="996">
        <v>388</v>
      </c>
      <c r="CQ5" s="1996">
        <v>0</v>
      </c>
      <c r="CR5" s="2232">
        <v>321</v>
      </c>
      <c r="CS5" s="1981">
        <v>233.83806999999999</v>
      </c>
      <c r="CT5" s="884">
        <f t="shared" ref="CT5:CT33" si="34">CP5-CR5</f>
        <v>67</v>
      </c>
      <c r="CU5" s="1365"/>
      <c r="CV5" s="1980">
        <f t="shared" ref="CV5:CV33" si="35">RANK(CW5,CW$5:CW$33)</f>
        <v>1</v>
      </c>
      <c r="CW5" s="1999">
        <f t="shared" ref="CW5:CW33" si="36">((CX5-CP5)/CP5)*100</f>
        <v>-25.264691365979374</v>
      </c>
      <c r="CX5" s="1992">
        <f t="shared" ref="CX5:CX33" si="37">CZ5+DB5</f>
        <v>289.97299750000002</v>
      </c>
      <c r="CY5" s="996"/>
      <c r="CZ5" s="1996">
        <f t="shared" ref="CZ5:CZ33" si="38">EM5</f>
        <v>235.20000000000002</v>
      </c>
      <c r="DA5" s="2232"/>
      <c r="DB5" s="1981">
        <f t="shared" ref="DB5:DB33" si="39">EP5</f>
        <v>54.772997500000002</v>
      </c>
      <c r="DC5" s="884">
        <f t="shared" ref="DC5:DC33" si="40">$EP5</f>
        <v>54.772997500000002</v>
      </c>
      <c r="DD5" s="1365"/>
      <c r="DE5" s="1567"/>
      <c r="DF5" s="1548"/>
      <c r="DG5" s="1926">
        <v>262</v>
      </c>
      <c r="DH5" s="997">
        <v>193</v>
      </c>
      <c r="DI5" s="884">
        <f t="shared" ref="DI5:DI33" si="41">DG5-DH5</f>
        <v>69</v>
      </c>
      <c r="DJ5" s="367"/>
      <c r="DK5" s="1201"/>
      <c r="DL5" s="945">
        <f>_xlfn.XLOOKUP($K5,'Sales Rec'!$E$4:$E$32,'Sales Rec'!P$4:P$32,"")</f>
        <v>237</v>
      </c>
      <c r="DM5" s="943">
        <f>_xlfn.XLOOKUP($K5,'Sales Rec'!$E$4:$E$32,'Sales Rec'!O$4:O$32,"")</f>
        <v>1372</v>
      </c>
      <c r="DN5" s="948">
        <f t="shared" ref="DN5:DN33" si="42">IFERROR(DM5/DO5,0)</f>
        <v>0.85270354257302672</v>
      </c>
      <c r="DO5" s="943">
        <f t="shared" ref="DO5:DO33" si="43">DL5+DM5</f>
        <v>1609</v>
      </c>
      <c r="DP5" s="913">
        <f>_xlfn.XLOOKUP($K5,'Sales Rec'!$E$4:$E$32,'Sales Rec'!I$4:I$32,"")</f>
        <v>769</v>
      </c>
      <c r="DQ5" s="914">
        <f>_xlfn.XLOOKUP($K5,'Sales Rec'!$E$4:$E$32,'Sales Rec'!H$4:H$32,"")</f>
        <v>2063</v>
      </c>
      <c r="DR5" s="946">
        <f t="shared" ref="DR5:DR33" si="44">IFERROR(DQ5/DS5,0)</f>
        <v>0.72846045197740117</v>
      </c>
      <c r="DS5" s="942">
        <f>_xlfn.XLOOKUP(K5,Cement!$Q$3:$Q$35,Cement!$AP$3:$AP$35,"")</f>
        <v>2832</v>
      </c>
      <c r="DT5" s="1013" t="str">
        <f t="shared" ref="DT5:DT33" si="45">IF(DP5+DQ5=DS5,"OK","CHECK")</f>
        <v>OK</v>
      </c>
      <c r="DU5" s="952">
        <f t="shared" ref="DU5:DU33" si="46">(AB5+AH5+AN5+AT5+AZ5+BF5+BP5+BV5+CC5+CP5+DA5+DG5)</f>
        <v>3456</v>
      </c>
      <c r="DV5" s="925">
        <f>_xlfn.XLOOKUP($K5,'Sales Rec'!$E$4:$E$32,'Sales Rec'!$M$4:$M$32,"")</f>
        <v>793</v>
      </c>
      <c r="DW5" s="904">
        <f>_xlfn.XLOOKUP($K5,'Sales Rec'!$E$4:$E$32,'Sales Rec'!$N$4:$N$32,"")</f>
        <v>1609</v>
      </c>
      <c r="DX5" s="1195">
        <f>_xlfn.XLOOKUP(K5,Cement!$Q$7:$Q$35,Cement!$AR$7:$AR$35,"")</f>
        <v>4991.8193568726347</v>
      </c>
      <c r="DY5" s="964">
        <f t="shared" ref="DY5:DY33" si="47">((DX5-DS5)/DS5)*100</f>
        <v>76.264807799174946</v>
      </c>
      <c r="DZ5" s="1490">
        <f t="shared" ref="DZ5:DZ33" si="48">RANK(DY5,$DY$5:$DY$33)</f>
        <v>3</v>
      </c>
      <c r="EA5" s="367"/>
      <c r="EB5" s="176" t="e">
        <f>SUMIF('[1]9-1404.12.03'!$B$2:$B$2000,$J5,'[1]9-1404.12.03'!$L$2:$L$2000)</f>
        <v>#VALUE!</v>
      </c>
      <c r="EC5" s="176" t="e">
        <f>SUMIF('[1]9-1404.12.03'!$B$2:$B$2000,$J5,'[1]9-1404.12.03'!$E$2:$E$2000)/10</f>
        <v>#VALUE!</v>
      </c>
      <c r="ED5" s="177" t="str">
        <f t="shared" ref="ED5:ED32" si="49">IFERROR(EC5/EB5,"")</f>
        <v/>
      </c>
      <c r="EE5" s="176" t="e">
        <f>SUMIF('[1]8B-1404.12.02'!$D$2:$D$3000,$J5,'[1]8B-1404.12.02'!$M$2:$M$3000)</f>
        <v>#VALUE!</v>
      </c>
      <c r="EF5" s="176" t="e">
        <f>SUMIF('[1]8B-1404.12.02'!$D$2:$D$3000,$J5,'[1]8B-1404.12.02'!$G$2:$G$3000)/10</f>
        <v>#VALUE!</v>
      </c>
      <c r="EG5" s="177" t="str">
        <f t="shared" ref="EG5:EG33" si="50">IFERROR(EF5/EE5,"")</f>
        <v/>
      </c>
      <c r="EH5" s="1502"/>
      <c r="EI5" s="1534">
        <f>SUMIF(Cem_Export!$C$2:$C$3000,$J5,Cem_Export!$I$2:$I$3000)</f>
        <v>40000</v>
      </c>
      <c r="EJ5" s="1534">
        <f>SUMIFS(Cem_Export!$J$2:$J$3000,Cem_Export!$C$2:$C$3000,$J5,Cem_Export!$L$2:$L$3000, $EJ$4)</f>
        <v>1680000</v>
      </c>
      <c r="EK5" s="1534">
        <f>SUMIFS(Cem_Export!$J$2:$J$3000,Cem_Export!$C$2:$C$3000,$J5,Cem_Export!$L$2:$L$3000, $EK$4)</f>
        <v>0</v>
      </c>
      <c r="EL5" s="1682">
        <f t="shared" ref="EL5:EL33" si="51">IFERROR(((EJ5*$EK$3)+(EK5*10^-4))/($EI5*$EK$3),"")</f>
        <v>42</v>
      </c>
      <c r="EM5" s="1836">
        <f t="shared" ref="EM5:EM33" si="52">IFERROR((EJ5*$EK$3*10^4+EK5)*10^-10,0)</f>
        <v>235.20000000000002</v>
      </c>
      <c r="EN5" s="1561"/>
      <c r="EO5" s="1625">
        <f>SUMIF('Cem-Domestic'!$D$2:$D$4000,$J5,'Cem-Domestic'!$M$2:$M$4000)</f>
        <v>16200</v>
      </c>
      <c r="EP5" s="1625">
        <f>SUMIF('Cem-Domestic'!$D$2:$D$4000,$J5,'Cem-Domestic'!$G$2:$G$4000)/10^7</f>
        <v>54.772997500000002</v>
      </c>
      <c r="EQ5" s="1681">
        <f t="shared" ref="EQ5:EQ33" si="53">IFERROR((EP5/EO5)*10^6,"")</f>
        <v>3381.0492283950616</v>
      </c>
      <c r="ER5" s="1561"/>
      <c r="ES5" s="1533">
        <v>63000</v>
      </c>
      <c r="ET5" s="1534">
        <v>2640000</v>
      </c>
      <c r="EU5" s="1535">
        <v>41.904761904761905</v>
      </c>
      <c r="EV5" s="1533">
        <v>1000</v>
      </c>
      <c r="EW5" s="1534">
        <v>40000</v>
      </c>
      <c r="EX5" s="1535">
        <v>40</v>
      </c>
      <c r="EY5" s="1533">
        <v>60000</v>
      </c>
      <c r="EZ5" s="1534">
        <v>2520000</v>
      </c>
      <c r="FA5" s="1535">
        <v>42</v>
      </c>
      <c r="FB5" s="1540">
        <v>9000</v>
      </c>
      <c r="FC5" s="1541">
        <v>368000</v>
      </c>
      <c r="FD5" s="1542">
        <v>40.888888888888886</v>
      </c>
      <c r="FE5" s="1540">
        <v>0</v>
      </c>
      <c r="FF5" s="1541">
        <v>0</v>
      </c>
      <c r="FG5" s="1542" t="s">
        <v>192</v>
      </c>
    </row>
    <row r="6" spans="1:233" ht="30" customHeight="1">
      <c r="A6" s="975">
        <f t="shared" si="0"/>
        <v>2</v>
      </c>
      <c r="B6" s="975">
        <f t="shared" si="1"/>
        <v>4</v>
      </c>
      <c r="C6" s="975">
        <f t="shared" si="2"/>
        <v>1</v>
      </c>
      <c r="D6" s="1015">
        <f t="shared" si="3"/>
        <v>0.82754528865464416</v>
      </c>
      <c r="E6" s="1217">
        <f>_xlfn.XLOOKUP(K6,Cement!$Q$7:$Q$35,Cement!$Z$7:$Z$35,"")</f>
        <v>0.18489393198992443</v>
      </c>
      <c r="F6" s="1091">
        <f t="shared" si="4"/>
        <v>64.265135666471977</v>
      </c>
      <c r="G6" s="991">
        <f t="shared" si="5"/>
        <v>0.13737644624932954</v>
      </c>
      <c r="H6" s="173">
        <f>_xlfn.XLOOKUP($K6,Cement!$Q$7:$Q$35,Cement!$B$7:$B$35,"")</f>
        <v>14.733792852712241</v>
      </c>
      <c r="I6" s="173">
        <f>_xlfn.XLOOKUP(K6,Cement!$Q$7:$Q$35,Cement!$A$7:$A$35,"")</f>
        <v>25.396087084183005</v>
      </c>
      <c r="J6" s="202" t="s">
        <v>897</v>
      </c>
      <c r="K6" s="554" t="s">
        <v>39</v>
      </c>
      <c r="L6" s="937">
        <f>_xlfn.XLOOKUP(K6,Cement!$Q$7:$Q$35,Cement!$R$7:$R$35,"")</f>
        <v>12</v>
      </c>
      <c r="M6" s="2013">
        <f>_xlfn.XLOOKUP(K6,'Sales Rec'!$E$4:$E$32,'Sales Rec'!$L$4:$L$32,"")</f>
        <v>4</v>
      </c>
      <c r="N6" s="930">
        <f t="shared" si="6"/>
        <v>4650</v>
      </c>
      <c r="O6" s="208">
        <f t="shared" si="7"/>
        <v>2940.5555555555557</v>
      </c>
      <c r="P6" s="1465">
        <f t="shared" si="8"/>
        <v>2130</v>
      </c>
      <c r="Q6" s="1466">
        <f>IFERROR(((P6-V6)/V6)*100,"")</f>
        <v>105.5984555984556</v>
      </c>
      <c r="R6" s="1472">
        <f t="shared" si="9"/>
        <v>1056</v>
      </c>
      <c r="S6" s="1473">
        <f t="shared" si="10"/>
        <v>-50.422535211267608</v>
      </c>
      <c r="T6" s="1479">
        <f t="shared" si="11"/>
        <v>1071</v>
      </c>
      <c r="U6" s="1092">
        <f t="shared" si="12"/>
        <v>1.4204545454545454</v>
      </c>
      <c r="V6" s="1486">
        <f t="shared" si="13"/>
        <v>1036</v>
      </c>
      <c r="W6" s="1487">
        <f t="shared" si="14"/>
        <v>-3.2679738562091507</v>
      </c>
      <c r="X6" s="934">
        <f>_xlfn.XLOOKUP(K6,Cement!$Q$7:$Q$35,Cement!$AK$7:$AK$35,"")</f>
        <v>1800000</v>
      </c>
      <c r="Y6" s="1911"/>
      <c r="Z6" s="1567"/>
      <c r="AA6" s="1548"/>
      <c r="AB6" s="996">
        <v>323</v>
      </c>
      <c r="AC6" s="997">
        <v>142</v>
      </c>
      <c r="AD6" s="884">
        <f t="shared" si="15"/>
        <v>181</v>
      </c>
      <c r="AE6" s="1365"/>
      <c r="AF6" s="1567">
        <v>157.16307900000001</v>
      </c>
      <c r="AG6" s="1548">
        <v>3462853.0052048839</v>
      </c>
      <c r="AH6" s="996">
        <v>340</v>
      </c>
      <c r="AI6" s="997">
        <v>172</v>
      </c>
      <c r="AJ6" s="884">
        <f t="shared" si="16"/>
        <v>168</v>
      </c>
      <c r="AK6" s="1365"/>
      <c r="AL6" s="1567">
        <v>203.95947749999999</v>
      </c>
      <c r="AM6" s="1548">
        <v>2372994</v>
      </c>
      <c r="AN6" s="996">
        <v>408</v>
      </c>
      <c r="AO6" s="997">
        <v>230</v>
      </c>
      <c r="AP6" s="884">
        <f t="shared" si="17"/>
        <v>178</v>
      </c>
      <c r="AQ6" s="1365"/>
      <c r="AR6" s="1567">
        <v>165.88723250000001</v>
      </c>
      <c r="AS6" s="1548">
        <v>1479672</v>
      </c>
      <c r="AT6" s="996">
        <v>309</v>
      </c>
      <c r="AU6" s="997">
        <v>142</v>
      </c>
      <c r="AV6" s="884">
        <f t="shared" si="18"/>
        <v>167</v>
      </c>
      <c r="AW6" s="884"/>
      <c r="AX6" s="1567">
        <v>162.456557</v>
      </c>
      <c r="AY6" s="1548">
        <v>131.18279975734657</v>
      </c>
      <c r="AZ6" s="996">
        <v>325</v>
      </c>
      <c r="BA6" s="997">
        <v>164</v>
      </c>
      <c r="BB6" s="884">
        <f t="shared" si="19"/>
        <v>161</v>
      </c>
      <c r="BC6" s="884"/>
      <c r="BD6" s="1567"/>
      <c r="BE6" s="1548"/>
      <c r="BF6" s="996">
        <v>402</v>
      </c>
      <c r="BG6" s="997">
        <v>213</v>
      </c>
      <c r="BH6" s="884">
        <f t="shared" si="20"/>
        <v>189</v>
      </c>
      <c r="BI6" s="884"/>
      <c r="BJ6" s="2100">
        <f t="shared" si="21"/>
        <v>1036</v>
      </c>
      <c r="BK6" s="2102"/>
      <c r="BL6" s="2102"/>
      <c r="BM6" s="884"/>
      <c r="BN6" s="1567"/>
      <c r="BO6" s="1548"/>
      <c r="BP6" s="996">
        <v>583</v>
      </c>
      <c r="BQ6" s="997">
        <v>419</v>
      </c>
      <c r="BR6" s="884">
        <f t="shared" si="22"/>
        <v>164</v>
      </c>
      <c r="BS6" s="1365"/>
      <c r="BT6" s="1567"/>
      <c r="BU6" s="1548"/>
      <c r="BV6" s="996">
        <v>893</v>
      </c>
      <c r="BW6" s="997">
        <v>606</v>
      </c>
      <c r="BX6" s="884">
        <f t="shared" si="23"/>
        <v>287</v>
      </c>
      <c r="BY6" s="1365"/>
      <c r="BZ6" s="1980">
        <f t="shared" si="24"/>
        <v>16</v>
      </c>
      <c r="CA6" s="1999">
        <f t="shared" si="25"/>
        <v>0.21534606833115674</v>
      </c>
      <c r="CB6" s="1992">
        <f t="shared" si="26"/>
        <v>894.92304039019723</v>
      </c>
      <c r="CC6" s="996">
        <v>654</v>
      </c>
      <c r="CD6" s="1996">
        <v>607.94054989019719</v>
      </c>
      <c r="CE6" s="997">
        <v>423</v>
      </c>
      <c r="CF6" s="1981">
        <v>286.98249049999998</v>
      </c>
      <c r="CG6" s="884">
        <f t="shared" si="27"/>
        <v>231</v>
      </c>
      <c r="CH6" s="1365"/>
      <c r="CI6" s="2102">
        <f t="shared" si="28"/>
        <v>2130</v>
      </c>
      <c r="CJ6" s="2105">
        <f t="shared" si="29"/>
        <v>1.055984555984556</v>
      </c>
      <c r="CK6" s="2108">
        <f t="shared" si="30"/>
        <v>4</v>
      </c>
      <c r="CL6" s="1365"/>
      <c r="CM6" s="1980">
        <f t="shared" si="31"/>
        <v>5</v>
      </c>
      <c r="CN6" s="1999">
        <f t="shared" si="32"/>
        <v>33.176050382708496</v>
      </c>
      <c r="CO6" s="1992">
        <f t="shared" si="33"/>
        <v>870.9713695029136</v>
      </c>
      <c r="CP6" s="996">
        <v>661</v>
      </c>
      <c r="CQ6" s="1996">
        <v>546.03850000291368</v>
      </c>
      <c r="CR6" s="2232">
        <v>432</v>
      </c>
      <c r="CS6" s="1981">
        <v>324.93286949999998</v>
      </c>
      <c r="CT6" s="884">
        <f t="shared" si="34"/>
        <v>229</v>
      </c>
      <c r="CU6" s="1365"/>
      <c r="CV6" s="1980">
        <f t="shared" si="35"/>
        <v>19</v>
      </c>
      <c r="CW6" s="1999">
        <f t="shared" si="36"/>
        <v>-62.081755900151293</v>
      </c>
      <c r="CX6" s="1992">
        <f t="shared" si="37"/>
        <v>250.63959349999999</v>
      </c>
      <c r="CY6" s="996"/>
      <c r="CZ6" s="1996">
        <f t="shared" si="38"/>
        <v>138.04</v>
      </c>
      <c r="DA6" s="2232"/>
      <c r="DB6" s="1981">
        <f t="shared" si="39"/>
        <v>112.5995935</v>
      </c>
      <c r="DC6" s="884">
        <f t="shared" si="40"/>
        <v>112.5995935</v>
      </c>
      <c r="DD6" s="1365"/>
      <c r="DE6" s="1567"/>
      <c r="DF6" s="1548"/>
      <c r="DG6" s="1926">
        <v>395</v>
      </c>
      <c r="DH6" s="997">
        <v>224</v>
      </c>
      <c r="DI6" s="884">
        <f t="shared" si="41"/>
        <v>171</v>
      </c>
      <c r="DJ6" s="367"/>
      <c r="DK6" s="1201"/>
      <c r="DL6" s="945">
        <f>_xlfn.XLOOKUP($K6,'Sales Rec'!$E$4:$E$32,'Sales Rec'!P$4:P$32,"")</f>
        <v>909</v>
      </c>
      <c r="DM6" s="943">
        <f>_xlfn.XLOOKUP($K6,'Sales Rec'!$E$4:$E$32,'Sales Rec'!O$4:O$32,"")</f>
        <v>1881</v>
      </c>
      <c r="DN6" s="948">
        <f t="shared" si="42"/>
        <v>0.67419354838709677</v>
      </c>
      <c r="DO6" s="943">
        <f t="shared" si="43"/>
        <v>2790</v>
      </c>
      <c r="DP6" s="913">
        <f>_xlfn.XLOOKUP($K6,'Sales Rec'!$E$4:$E$32,'Sales Rec'!I$4:I$32,"")</f>
        <v>1950</v>
      </c>
      <c r="DQ6" s="914">
        <f>_xlfn.XLOOKUP($K6,'Sales Rec'!$E$4:$E$32,'Sales Rec'!H$4:H$32,"")</f>
        <v>2260</v>
      </c>
      <c r="DR6" s="946">
        <f t="shared" si="44"/>
        <v>0.53681710213776723</v>
      </c>
      <c r="DS6" s="942">
        <f>_xlfn.XLOOKUP(K6,Cement!$Q$3:$Q$35,Cement!$AP$3:$AP$35,"")</f>
        <v>4210</v>
      </c>
      <c r="DT6" s="1013" t="str">
        <f t="shared" si="45"/>
        <v>OK</v>
      </c>
      <c r="DU6" s="952">
        <f t="shared" si="46"/>
        <v>5293</v>
      </c>
      <c r="DV6" s="925">
        <f>_xlfn.XLOOKUP($K6,'Sales Rec'!$E$4:$E$32,'Sales Rec'!$M$4:$M$32,"")</f>
        <v>1398</v>
      </c>
      <c r="DW6" s="904">
        <f>_xlfn.XLOOKUP($K6,'Sales Rec'!$E$4:$E$32,'Sales Rec'!$N$4:$N$32,"")</f>
        <v>2790</v>
      </c>
      <c r="DX6" s="1195">
        <f>_xlfn.XLOOKUP(K6,Cement!$Q$7:$Q$35,Cement!$AR$7:$AR$35,"")</f>
        <v>7693.9656652360518</v>
      </c>
      <c r="DY6" s="964">
        <f t="shared" si="47"/>
        <v>82.754528865464422</v>
      </c>
      <c r="DZ6" s="1490">
        <f t="shared" si="48"/>
        <v>1</v>
      </c>
      <c r="EA6" s="367"/>
      <c r="EB6" s="176" t="e">
        <f>SUMIF('[1]9-1404.12.03'!$B$2:$B$2000,$J6,'[1]9-1404.12.03'!$L$2:$L$2000)</f>
        <v>#VALUE!</v>
      </c>
      <c r="EC6" s="176" t="e">
        <f>SUMIF('[1]9-1404.12.03'!$B$2:$B$2000,$J6,'[1]9-1404.12.03'!$E$2:$E$2000)/10</f>
        <v>#VALUE!</v>
      </c>
      <c r="ED6" s="177" t="str">
        <f t="shared" si="49"/>
        <v/>
      </c>
      <c r="EE6" s="176" t="e">
        <f>SUMIF('[1]8B-1404.12.02'!$D$2:$D$3000,$J6,'[1]8B-1404.12.02'!$M$2:$M$3000)</f>
        <v>#VALUE!</v>
      </c>
      <c r="EF6" s="176" t="e">
        <f>SUMIF('[1]8B-1404.12.02'!$D$2:$D$3000,$J6,'[1]8B-1404.12.02'!$G$2:$G$3000)/10</f>
        <v>#VALUE!</v>
      </c>
      <c r="EG6" s="177" t="str">
        <f t="shared" si="50"/>
        <v/>
      </c>
      <c r="EH6" s="1502"/>
      <c r="EI6" s="1534">
        <f>SUMIF(Cem_Export!$C$2:$C$3000,$J6,Cem_Export!$I$2:$I$3000)</f>
        <v>19000</v>
      </c>
      <c r="EJ6" s="1534">
        <f>SUMIFS(Cem_Export!$J$2:$J$3000,Cem_Export!$C$2:$C$3000,$J6,Cem_Export!$L$2:$L$3000, $EJ$4)</f>
        <v>986000</v>
      </c>
      <c r="EK6" s="1534">
        <f>SUMIFS(Cem_Export!$J$2:$J$3000,Cem_Export!$C$2:$C$3000,$J6,Cem_Export!$L$2:$L$3000, $EK$4)</f>
        <v>0</v>
      </c>
      <c r="EL6" s="1682">
        <f t="shared" si="51"/>
        <v>51.89473684210526</v>
      </c>
      <c r="EM6" s="1836">
        <f t="shared" si="52"/>
        <v>138.04</v>
      </c>
      <c r="EN6" s="1562"/>
      <c r="EO6" s="1625">
        <f>SUMIF('Cem-Domestic'!$D$2:$D$4000,$J6,'Cem-Domestic'!$M$2:$M$4000)</f>
        <v>31500</v>
      </c>
      <c r="EP6" s="1625">
        <f>SUMIF('Cem-Domestic'!$D$2:$D$4000,$J6,'Cem-Domestic'!$G$2:$G$4000)/10^7</f>
        <v>112.5995935</v>
      </c>
      <c r="EQ6" s="1681">
        <f t="shared" si="53"/>
        <v>3574.5902698412697</v>
      </c>
      <c r="ER6" s="1562"/>
      <c r="ES6" s="1533">
        <v>10600</v>
      </c>
      <c r="ET6" s="1534">
        <v>502400</v>
      </c>
      <c r="EU6" s="1535">
        <v>47.39622641509434</v>
      </c>
      <c r="EV6" s="1533">
        <v>10169</v>
      </c>
      <c r="EW6" s="1534">
        <v>468153</v>
      </c>
      <c r="EX6" s="1535">
        <v>46.03727013472318</v>
      </c>
      <c r="EY6" s="1533">
        <v>17600</v>
      </c>
      <c r="EZ6" s="1534">
        <v>797850.00163773098</v>
      </c>
      <c r="FA6" s="1535">
        <v>45.332386456689257</v>
      </c>
      <c r="FB6" s="1533">
        <v>33300</v>
      </c>
      <c r="FC6" s="1534">
        <v>1540850.0035671531</v>
      </c>
      <c r="FD6" s="1535">
        <v>46.271771878893489</v>
      </c>
      <c r="FE6" s="1533">
        <v>19000</v>
      </c>
      <c r="FF6" s="1534">
        <v>824000</v>
      </c>
      <c r="FG6" s="1535">
        <v>43.368421052631582</v>
      </c>
    </row>
    <row r="7" spans="1:233" ht="30" customHeight="1">
      <c r="A7" s="975">
        <f t="shared" si="0"/>
        <v>3</v>
      </c>
      <c r="B7" s="975">
        <f t="shared" si="1"/>
        <v>5</v>
      </c>
      <c r="C7" s="975">
        <f t="shared" si="2"/>
        <v>9</v>
      </c>
      <c r="D7" s="1015">
        <f t="shared" si="3"/>
        <v>0.65691487034481377</v>
      </c>
      <c r="E7" s="1217">
        <f>_xlfn.XLOOKUP(K7,Cement!$Q$7:$Q$35,Cement!$Z$7:$Z$35,"")</f>
        <v>6.475363413252784E-2</v>
      </c>
      <c r="F7" s="1091">
        <f t="shared" si="4"/>
        <v>59.21612362122859</v>
      </c>
      <c r="G7" s="991">
        <f t="shared" si="5"/>
        <v>0.14928154710458083</v>
      </c>
      <c r="H7" s="173">
        <f>_xlfn.XLOOKUP($K7,Cement!$Q$7:$Q$35,Cement!$B$7:$B$35,"")</f>
        <v>4.871586775502931</v>
      </c>
      <c r="I7" s="173">
        <f>_xlfn.XLOOKUP(K7,Cement!$Q$7:$Q$35,Cement!$A$7:$A$35,"")</f>
        <v>14.841666562736975</v>
      </c>
      <c r="J7" s="202" t="s">
        <v>899</v>
      </c>
      <c r="K7" s="926" t="s">
        <v>55</v>
      </c>
      <c r="L7" s="937">
        <f>_xlfn.XLOOKUP(K7,Cement!$Q$7:$Q$35,Cement!$R$7:$R$35,"")</f>
        <v>12</v>
      </c>
      <c r="M7" s="2013">
        <f>_xlfn.XLOOKUP(K7,'Sales Rec'!$E$4:$E$32,'Sales Rec'!$L$4:$L$32,"")</f>
        <v>4</v>
      </c>
      <c r="N7" s="930">
        <f t="shared" si="6"/>
        <v>3738</v>
      </c>
      <c r="O7" s="208">
        <f t="shared" si="7"/>
        <v>2893</v>
      </c>
      <c r="P7" s="1465">
        <f t="shared" si="8"/>
        <v>859</v>
      </c>
      <c r="Q7" s="1466">
        <f>IFERROR(((P7-V7)/V7)*100,"")</f>
        <v>1.8979833926453145</v>
      </c>
      <c r="R7" s="1472">
        <f t="shared" si="9"/>
        <v>578</v>
      </c>
      <c r="S7" s="1473">
        <f t="shared" si="10"/>
        <v>-32.712456344586727</v>
      </c>
      <c r="T7" s="1479">
        <f t="shared" si="11"/>
        <v>613</v>
      </c>
      <c r="U7" s="1092">
        <f t="shared" si="12"/>
        <v>6.0553633217993079</v>
      </c>
      <c r="V7" s="1486">
        <f t="shared" si="13"/>
        <v>843</v>
      </c>
      <c r="W7" s="1487">
        <f t="shared" si="14"/>
        <v>37.520391517128878</v>
      </c>
      <c r="X7" s="934">
        <f>_xlfn.XLOOKUP(K7,Cement!$Q$7:$Q$35,Cement!$AK$7:$AK$35,"")</f>
        <v>1000000</v>
      </c>
      <c r="Y7" s="1911"/>
      <c r="Z7" s="1567"/>
      <c r="AA7" s="1548"/>
      <c r="AB7" s="996">
        <v>186</v>
      </c>
      <c r="AC7" s="999">
        <v>6</v>
      </c>
      <c r="AD7" s="884">
        <f t="shared" si="15"/>
        <v>180</v>
      </c>
      <c r="AE7" s="1365"/>
      <c r="AF7" s="1567">
        <v>160.45470499999999</v>
      </c>
      <c r="AG7" s="1548">
        <v>624000</v>
      </c>
      <c r="AH7" s="996">
        <v>218</v>
      </c>
      <c r="AI7" s="999">
        <v>26</v>
      </c>
      <c r="AJ7" s="884">
        <f t="shared" si="16"/>
        <v>192</v>
      </c>
      <c r="AK7" s="1365"/>
      <c r="AL7" s="1567">
        <v>234.18531999999999</v>
      </c>
      <c r="AM7" s="1548">
        <v>542035</v>
      </c>
      <c r="AN7" s="996">
        <v>209</v>
      </c>
      <c r="AO7" s="999">
        <v>18</v>
      </c>
      <c r="AP7" s="884">
        <f t="shared" si="17"/>
        <v>191</v>
      </c>
      <c r="AQ7" s="1365"/>
      <c r="AR7" s="1567">
        <v>194.43356499999999</v>
      </c>
      <c r="AS7" s="1548">
        <v>260000</v>
      </c>
      <c r="AT7" s="996">
        <v>240</v>
      </c>
      <c r="AU7" s="999">
        <v>47</v>
      </c>
      <c r="AV7" s="884">
        <f t="shared" si="18"/>
        <v>193</v>
      </c>
      <c r="AW7" s="884"/>
      <c r="AX7" s="1567">
        <v>234.23412250000001</v>
      </c>
      <c r="AY7" s="1548">
        <v>62.400000000000006</v>
      </c>
      <c r="AZ7" s="996">
        <v>291</v>
      </c>
      <c r="BA7" s="999">
        <v>44</v>
      </c>
      <c r="BB7" s="884">
        <f t="shared" si="19"/>
        <v>247</v>
      </c>
      <c r="BC7" s="884"/>
      <c r="BD7" s="1567"/>
      <c r="BE7" s="1548"/>
      <c r="BF7" s="996">
        <v>312</v>
      </c>
      <c r="BG7" s="999">
        <v>37</v>
      </c>
      <c r="BH7" s="884">
        <f t="shared" si="20"/>
        <v>275</v>
      </c>
      <c r="BI7" s="932"/>
      <c r="BJ7" s="2100">
        <f t="shared" si="21"/>
        <v>843</v>
      </c>
      <c r="BK7" s="2102"/>
      <c r="BL7" s="2102"/>
      <c r="BM7" s="932"/>
      <c r="BN7" s="1567"/>
      <c r="BO7" s="1548"/>
      <c r="BP7" s="996">
        <v>225</v>
      </c>
      <c r="BQ7" s="999">
        <v>32</v>
      </c>
      <c r="BR7" s="884">
        <f t="shared" si="22"/>
        <v>193</v>
      </c>
      <c r="BS7" s="1365"/>
      <c r="BT7" s="1567"/>
      <c r="BU7" s="1548"/>
      <c r="BV7" s="996">
        <v>295</v>
      </c>
      <c r="BW7" s="999">
        <v>37</v>
      </c>
      <c r="BX7" s="884">
        <f t="shared" si="23"/>
        <v>258</v>
      </c>
      <c r="BY7" s="1365"/>
      <c r="BZ7" s="1980">
        <f t="shared" si="24"/>
        <v>12</v>
      </c>
      <c r="CA7" s="1999">
        <f t="shared" si="25"/>
        <v>4.9925999999999924</v>
      </c>
      <c r="CB7" s="1992">
        <f t="shared" si="26"/>
        <v>309.72816999999998</v>
      </c>
      <c r="CC7" s="996">
        <v>339</v>
      </c>
      <c r="CD7" s="1996">
        <v>0</v>
      </c>
      <c r="CE7" s="997">
        <v>36</v>
      </c>
      <c r="CF7" s="1981">
        <v>309.72816999999998</v>
      </c>
      <c r="CG7" s="884">
        <f t="shared" si="27"/>
        <v>303</v>
      </c>
      <c r="CH7" s="1365"/>
      <c r="CI7" s="2102">
        <f t="shared" si="28"/>
        <v>859</v>
      </c>
      <c r="CJ7" s="2105">
        <f t="shared" si="29"/>
        <v>1.8979833926453145E-2</v>
      </c>
      <c r="CK7" s="2108">
        <f t="shared" si="30"/>
        <v>26</v>
      </c>
      <c r="CL7" s="1365"/>
      <c r="CM7" s="1980">
        <f t="shared" si="31"/>
        <v>8</v>
      </c>
      <c r="CN7" s="1999">
        <f t="shared" si="32"/>
        <v>2.3817109144540296E-2</v>
      </c>
      <c r="CO7" s="1992">
        <f t="shared" si="33"/>
        <v>339.08073999999999</v>
      </c>
      <c r="CP7" s="996">
        <v>380</v>
      </c>
      <c r="CQ7" s="1996">
        <v>57.68</v>
      </c>
      <c r="CR7" s="2232">
        <v>84</v>
      </c>
      <c r="CS7" s="1981">
        <v>281.40073999999998</v>
      </c>
      <c r="CT7" s="884">
        <f t="shared" si="34"/>
        <v>296</v>
      </c>
      <c r="CU7" s="1365"/>
      <c r="CV7" s="1980">
        <f t="shared" si="35"/>
        <v>20</v>
      </c>
      <c r="CW7" s="1999">
        <f t="shared" si="36"/>
        <v>-64.212191447368411</v>
      </c>
      <c r="CX7" s="1992">
        <f t="shared" si="37"/>
        <v>135.9936725</v>
      </c>
      <c r="CY7" s="996"/>
      <c r="CZ7" s="1996">
        <f t="shared" si="38"/>
        <v>0</v>
      </c>
      <c r="DA7" s="2232"/>
      <c r="DB7" s="1981">
        <f t="shared" si="39"/>
        <v>135.9936725</v>
      </c>
      <c r="DC7" s="884">
        <f t="shared" si="40"/>
        <v>135.9936725</v>
      </c>
      <c r="DD7" s="1365"/>
      <c r="DE7" s="1567"/>
      <c r="DF7" s="1548"/>
      <c r="DG7" s="1926">
        <v>198</v>
      </c>
      <c r="DH7" s="999">
        <v>14</v>
      </c>
      <c r="DI7" s="884">
        <f t="shared" si="41"/>
        <v>184</v>
      </c>
      <c r="DJ7" s="367"/>
      <c r="DK7" s="1201"/>
      <c r="DL7" s="945">
        <f>_xlfn.XLOOKUP($K7,'Sales Rec'!$E$4:$E$32,'Sales Rec'!P$4:P$32,"")</f>
        <v>1057</v>
      </c>
      <c r="DM7" s="943">
        <f>_xlfn.XLOOKUP($K7,'Sales Rec'!$E$4:$E$32,'Sales Rec'!O$4:O$32,"")</f>
        <v>189</v>
      </c>
      <c r="DN7" s="948">
        <f t="shared" si="42"/>
        <v>0.15168539325842698</v>
      </c>
      <c r="DO7" s="943">
        <f t="shared" si="43"/>
        <v>1246</v>
      </c>
      <c r="DP7" s="913">
        <f>_xlfn.XLOOKUP($K7,'Sales Rec'!$E$4:$E$32,'Sales Rec'!I$4:I$32,"")</f>
        <v>2490</v>
      </c>
      <c r="DQ7" s="914">
        <f>_xlfn.XLOOKUP($K7,'Sales Rec'!$E$4:$E$32,'Sales Rec'!H$4:H$32,"")</f>
        <v>6</v>
      </c>
      <c r="DR7" s="946">
        <f t="shared" si="44"/>
        <v>2.403846153846154E-3</v>
      </c>
      <c r="DS7" s="942">
        <f>_xlfn.XLOOKUP(K7,Cement!$Q$3:$Q$35,Cement!$AP$3:$AP$35,"")</f>
        <v>2496</v>
      </c>
      <c r="DT7" s="1013" t="str">
        <f t="shared" si="45"/>
        <v>OK</v>
      </c>
      <c r="DU7" s="952">
        <f t="shared" si="46"/>
        <v>2893</v>
      </c>
      <c r="DV7" s="925">
        <f>_xlfn.XLOOKUP($K7,'Sales Rec'!$E$4:$E$32,'Sales Rec'!$M$4:$M$32,"")</f>
        <v>641</v>
      </c>
      <c r="DW7" s="904">
        <f>_xlfn.XLOOKUP($K7,'Sales Rec'!$E$4:$E$32,'Sales Rec'!$N$4:$N$32,"")</f>
        <v>1246</v>
      </c>
      <c r="DX7" s="1195">
        <f>_xlfn.XLOOKUP(K7,Cement!$Q$7:$Q$35,Cement!$AR$7:$AR$35,"")</f>
        <v>4135.6595163806551</v>
      </c>
      <c r="DY7" s="964">
        <f t="shared" si="47"/>
        <v>65.691487034481383</v>
      </c>
      <c r="DZ7" s="1490">
        <f t="shared" si="48"/>
        <v>9</v>
      </c>
      <c r="EA7" s="367"/>
      <c r="EB7" s="176" t="e">
        <f>SUMIF('[1]9-1404.12.03'!$B$2:$B$2000,$J7,'[1]9-1404.12.03'!$L$2:$L$2000)</f>
        <v>#VALUE!</v>
      </c>
      <c r="EC7" s="176" t="e">
        <f>SUMIF('[1]9-1404.12.03'!$B$2:$B$2000,$J7,'[1]9-1404.12.03'!$E$2:$E$2000)/10</f>
        <v>#VALUE!</v>
      </c>
      <c r="ED7" s="177" t="str">
        <f t="shared" si="49"/>
        <v/>
      </c>
      <c r="EE7" s="176" t="e">
        <f>SUMIF('[1]8B-1404.12.02'!$D$2:$D$3000,$J7,'[1]8B-1404.12.02'!$M$2:$M$3000)</f>
        <v>#VALUE!</v>
      </c>
      <c r="EF7" s="176" t="e">
        <f>SUMIF('[1]8B-1404.12.02'!$D$2:$D$3000,$J7,'[1]8B-1404.12.02'!$G$2:$G$3000)/10</f>
        <v>#VALUE!</v>
      </c>
      <c r="EG7" s="177" t="str">
        <f t="shared" si="50"/>
        <v/>
      </c>
      <c r="EH7" s="1502"/>
      <c r="EI7" s="1534">
        <f>SUMIF(Cem_Export!$C$2:$C$3000,$J7,Cem_Export!$I$2:$I$3000)</f>
        <v>0</v>
      </c>
      <c r="EJ7" s="1534">
        <f>SUMIFS(Cem_Export!$J$2:$J$3000,Cem_Export!$C$2:$C$3000,$J7,Cem_Export!$L$2:$L$3000, $EJ$4)</f>
        <v>0</v>
      </c>
      <c r="EK7" s="1534">
        <f>SUMIFS(Cem_Export!$J$2:$J$3000,Cem_Export!$C$2:$C$3000,$J7,Cem_Export!$L$2:$L$3000, $EK$4)</f>
        <v>0</v>
      </c>
      <c r="EL7" s="1682" t="str">
        <f t="shared" si="51"/>
        <v/>
      </c>
      <c r="EM7" s="1836">
        <f t="shared" si="52"/>
        <v>0</v>
      </c>
      <c r="EN7" s="1562"/>
      <c r="EO7" s="1625">
        <f>SUMIF('Cem-Domestic'!$D$2:$D$4000,$J7,'Cem-Domestic'!$M$2:$M$4000)</f>
        <v>40025</v>
      </c>
      <c r="EP7" s="1625">
        <f>SUMIF('Cem-Domestic'!$D$2:$D$4000,$J7,'Cem-Domestic'!$G$2:$G$4000)/10^7</f>
        <v>135.9936725</v>
      </c>
      <c r="EQ7" s="1681">
        <f t="shared" si="53"/>
        <v>3397.7182386008744</v>
      </c>
      <c r="ER7" s="1562"/>
      <c r="ES7" s="1533">
        <v>2000</v>
      </c>
      <c r="ET7" s="1534">
        <v>104000</v>
      </c>
      <c r="EU7" s="1535">
        <v>52</v>
      </c>
      <c r="EV7" s="1533">
        <v>0</v>
      </c>
      <c r="EW7" s="1534">
        <v>0</v>
      </c>
      <c r="EX7" s="1535" t="s">
        <v>192</v>
      </c>
      <c r="EY7" s="1533">
        <v>5000</v>
      </c>
      <c r="EZ7" s="1534">
        <v>260000</v>
      </c>
      <c r="FA7" s="1535">
        <v>52</v>
      </c>
      <c r="FB7" s="1533">
        <v>0</v>
      </c>
      <c r="FC7" s="1534">
        <v>0</v>
      </c>
      <c r="FD7" s="1535" t="s">
        <v>192</v>
      </c>
      <c r="FE7" s="1533">
        <v>7000</v>
      </c>
      <c r="FF7" s="1534">
        <v>364000</v>
      </c>
      <c r="FG7" s="1535">
        <v>52</v>
      </c>
    </row>
    <row r="8" spans="1:233" ht="30" customHeight="1">
      <c r="A8" s="975">
        <f t="shared" si="0"/>
        <v>4</v>
      </c>
      <c r="B8" s="975">
        <f t="shared" si="1"/>
        <v>13</v>
      </c>
      <c r="C8" s="975">
        <f t="shared" si="2"/>
        <v>11</v>
      </c>
      <c r="D8" s="1015">
        <f t="shared" si="3"/>
        <v>0.58637643973067921</v>
      </c>
      <c r="E8" s="1217">
        <f>_xlfn.XLOOKUP(K8,Cement!$Q$7:$Q$35,Cement!$Z$7:$Z$35,"")</f>
        <v>0.36976247664798506</v>
      </c>
      <c r="F8" s="1091">
        <f t="shared" si="4"/>
        <v>21.661396308269413</v>
      </c>
      <c r="G8" s="991">
        <f t="shared" si="5"/>
        <v>6.9361063464837086E-2</v>
      </c>
      <c r="H8" s="173">
        <f>_xlfn.XLOOKUP($K8,Cement!$Q$7:$Q$35,Cement!$B$7:$B$35,"")</f>
        <v>15.86258882337177</v>
      </c>
      <c r="I8" s="173">
        <f>_xlfn.XLOOKUP(K8,Cement!$Q$7:$Q$35,Cement!$A$7:$A$35,"")</f>
        <v>21.208110025072855</v>
      </c>
      <c r="J8" s="202" t="s">
        <v>900</v>
      </c>
      <c r="K8" s="926" t="s">
        <v>43</v>
      </c>
      <c r="L8" s="937">
        <f>_xlfn.XLOOKUP(K8,Cement!$Q$7:$Q$35,Cement!$R$7:$R$35,"")</f>
        <v>12</v>
      </c>
      <c r="M8" s="2013">
        <f>_xlfn.XLOOKUP(K8,'Sales Rec'!$E$4:$E$32,'Sales Rec'!$L$4:$L$32,"")</f>
        <v>4</v>
      </c>
      <c r="N8" s="930">
        <f t="shared" si="6"/>
        <v>3567.8048780487807</v>
      </c>
      <c r="O8" s="208">
        <f t="shared" si="7"/>
        <v>2254.6341463414633</v>
      </c>
      <c r="P8" s="1465">
        <f t="shared" si="8"/>
        <v>1740</v>
      </c>
      <c r="Q8" s="1466">
        <f>((P8-V8)/V8)*100</f>
        <v>140.66390041493776</v>
      </c>
      <c r="R8" s="1472">
        <f t="shared" si="9"/>
        <v>1113</v>
      </c>
      <c r="S8" s="1473">
        <f t="shared" si="10"/>
        <v>-36.03448275862069</v>
      </c>
      <c r="T8" s="1479">
        <f t="shared" si="11"/>
        <v>1046</v>
      </c>
      <c r="U8" s="1092">
        <f t="shared" si="12"/>
        <v>-6.0197663971248883</v>
      </c>
      <c r="V8" s="1486">
        <f t="shared" si="13"/>
        <v>723</v>
      </c>
      <c r="W8" s="1487">
        <f t="shared" si="14"/>
        <v>-30.879541108986615</v>
      </c>
      <c r="X8" s="934">
        <f>_xlfn.XLOOKUP(K8,Cement!$Q$7:$Q$35,Cement!$AK$7:$AK$35,"")</f>
        <v>2050000</v>
      </c>
      <c r="Y8" s="1911"/>
      <c r="Z8" s="1567"/>
      <c r="AA8" s="1548"/>
      <c r="AB8" s="996">
        <v>393</v>
      </c>
      <c r="AC8" s="997">
        <v>72</v>
      </c>
      <c r="AD8" s="884">
        <f t="shared" si="15"/>
        <v>321</v>
      </c>
      <c r="AE8" s="1365"/>
      <c r="AF8" s="1567">
        <v>273.5992215</v>
      </c>
      <c r="AG8" s="1548">
        <v>0</v>
      </c>
      <c r="AH8" s="996">
        <v>367</v>
      </c>
      <c r="AI8" s="997">
        <v>69</v>
      </c>
      <c r="AJ8" s="884">
        <f t="shared" si="16"/>
        <v>298</v>
      </c>
      <c r="AK8" s="1365"/>
      <c r="AL8" s="1567">
        <v>298.91754550000002</v>
      </c>
      <c r="AM8" s="1548">
        <v>9600</v>
      </c>
      <c r="AN8" s="996">
        <v>286</v>
      </c>
      <c r="AO8" s="997">
        <v>56</v>
      </c>
      <c r="AP8" s="884">
        <f t="shared" si="17"/>
        <v>230</v>
      </c>
      <c r="AQ8" s="1365"/>
      <c r="AR8" s="1567">
        <v>237.884964</v>
      </c>
      <c r="AS8" s="1548">
        <v>6400</v>
      </c>
      <c r="AT8" s="996">
        <v>169</v>
      </c>
      <c r="AU8" s="997">
        <v>46</v>
      </c>
      <c r="AV8" s="884">
        <f t="shared" si="18"/>
        <v>123</v>
      </c>
      <c r="AW8" s="884"/>
      <c r="AX8" s="1567">
        <v>260.6507125</v>
      </c>
      <c r="AY8" s="1548">
        <v>74.400000000000006</v>
      </c>
      <c r="AZ8" s="996">
        <v>230</v>
      </c>
      <c r="BA8" s="997">
        <v>47</v>
      </c>
      <c r="BB8" s="884">
        <f t="shared" si="19"/>
        <v>183</v>
      </c>
      <c r="BC8" s="884"/>
      <c r="BD8" s="1567"/>
      <c r="BE8" s="1548"/>
      <c r="BF8" s="996">
        <v>324</v>
      </c>
      <c r="BG8" s="997">
        <v>74</v>
      </c>
      <c r="BH8" s="884">
        <f t="shared" si="20"/>
        <v>250</v>
      </c>
      <c r="BI8" s="884"/>
      <c r="BJ8" s="2100">
        <f t="shared" si="21"/>
        <v>723</v>
      </c>
      <c r="BK8" s="2102"/>
      <c r="BL8" s="2102"/>
      <c r="BM8" s="884"/>
      <c r="BN8" s="1567"/>
      <c r="BO8" s="1548"/>
      <c r="BP8" s="996">
        <v>462</v>
      </c>
      <c r="BQ8" s="997">
        <v>155</v>
      </c>
      <c r="BR8" s="884">
        <f t="shared" si="22"/>
        <v>307</v>
      </c>
      <c r="BS8" s="1365"/>
      <c r="BT8" s="1567"/>
      <c r="BU8" s="1548"/>
      <c r="BV8" s="996">
        <v>579</v>
      </c>
      <c r="BW8" s="997">
        <v>76</v>
      </c>
      <c r="BX8" s="884">
        <f t="shared" si="23"/>
        <v>503</v>
      </c>
      <c r="BY8" s="1365"/>
      <c r="BZ8" s="1980">
        <f t="shared" si="24"/>
        <v>14</v>
      </c>
      <c r="CA8" s="1999">
        <f t="shared" si="25"/>
        <v>3.09793471502591</v>
      </c>
      <c r="CB8" s="1992">
        <f t="shared" si="26"/>
        <v>596.93704200000002</v>
      </c>
      <c r="CC8" s="996">
        <v>699</v>
      </c>
      <c r="CD8" s="1996">
        <v>17.885000000000002</v>
      </c>
      <c r="CE8" s="997">
        <v>183</v>
      </c>
      <c r="CF8" s="1981">
        <v>579.05204200000003</v>
      </c>
      <c r="CG8" s="884">
        <f t="shared" si="27"/>
        <v>516</v>
      </c>
      <c r="CH8" s="1365"/>
      <c r="CI8" s="2102">
        <f t="shared" si="28"/>
        <v>1740</v>
      </c>
      <c r="CJ8" s="2105">
        <f t="shared" si="29"/>
        <v>1.4066390041493777</v>
      </c>
      <c r="CK8" s="2108">
        <f t="shared" si="30"/>
        <v>1</v>
      </c>
      <c r="CL8" s="1365"/>
      <c r="CM8" s="1980">
        <f t="shared" si="31"/>
        <v>13</v>
      </c>
      <c r="CN8" s="1999">
        <f t="shared" si="32"/>
        <v>-14.953268616174361</v>
      </c>
      <c r="CO8" s="1992">
        <f t="shared" si="33"/>
        <v>594.4766523729412</v>
      </c>
      <c r="CP8" s="996">
        <v>698</v>
      </c>
      <c r="CQ8" s="1996">
        <v>274.50220237294121</v>
      </c>
      <c r="CR8" s="2232">
        <v>206</v>
      </c>
      <c r="CS8" s="1981">
        <v>319.97444999999999</v>
      </c>
      <c r="CT8" s="884">
        <f t="shared" si="34"/>
        <v>492</v>
      </c>
      <c r="CU8" s="1365"/>
      <c r="CV8" s="1980">
        <f t="shared" si="35"/>
        <v>26</v>
      </c>
      <c r="CW8" s="1999">
        <f t="shared" si="36"/>
        <v>-75.250964828080228</v>
      </c>
      <c r="CX8" s="1992">
        <f t="shared" si="37"/>
        <v>172.7482655</v>
      </c>
      <c r="CY8" s="996"/>
      <c r="CZ8" s="1996">
        <f t="shared" si="38"/>
        <v>0</v>
      </c>
      <c r="DA8" s="2232"/>
      <c r="DB8" s="1981">
        <f t="shared" si="39"/>
        <v>172.7482655</v>
      </c>
      <c r="DC8" s="884">
        <f t="shared" si="40"/>
        <v>172.7482655</v>
      </c>
      <c r="DD8" s="1365"/>
      <c r="DE8" s="1567"/>
      <c r="DF8" s="1548"/>
      <c r="DG8" s="1926">
        <v>415</v>
      </c>
      <c r="DH8" s="997">
        <v>79</v>
      </c>
      <c r="DI8" s="884">
        <f t="shared" si="41"/>
        <v>336</v>
      </c>
      <c r="DJ8" s="367"/>
      <c r="DK8" s="1201"/>
      <c r="DL8" s="945">
        <f>_xlfn.XLOOKUP($K8,'Sales Rec'!$E$4:$E$32,'Sales Rec'!P$4:P$32,"")</f>
        <v>1819</v>
      </c>
      <c r="DM8" s="943">
        <f>_xlfn.XLOOKUP($K8,'Sales Rec'!$E$4:$E$32,'Sales Rec'!O$4:O$32,"")</f>
        <v>619</v>
      </c>
      <c r="DN8" s="948">
        <f t="shared" si="42"/>
        <v>0.25389663658736672</v>
      </c>
      <c r="DO8" s="943">
        <f t="shared" si="43"/>
        <v>2438</v>
      </c>
      <c r="DP8" s="913">
        <f>_xlfn.XLOOKUP($K8,'Sales Rec'!$E$4:$E$32,'Sales Rec'!I$4:I$32,"")</f>
        <v>3301</v>
      </c>
      <c r="DQ8" s="914">
        <f>_xlfn.XLOOKUP($K8,'Sales Rec'!$E$4:$E$32,'Sales Rec'!H$4:H$32,"")</f>
        <v>747</v>
      </c>
      <c r="DR8" s="946">
        <f t="shared" si="44"/>
        <v>0.18453557312252963</v>
      </c>
      <c r="DS8" s="942">
        <f>_xlfn.XLOOKUP(K8,Cement!$Q$3:$Q$35,Cement!$AP$3:$AP$35,"")</f>
        <v>4048</v>
      </c>
      <c r="DT8" s="1013" t="str">
        <f t="shared" si="45"/>
        <v>OK</v>
      </c>
      <c r="DU8" s="952">
        <f t="shared" si="46"/>
        <v>4622</v>
      </c>
      <c r="DV8" s="925">
        <f>_xlfn.XLOOKUP($K8,'Sales Rec'!$E$4:$E$32,'Sales Rec'!$M$4:$M$32,"")</f>
        <v>1477</v>
      </c>
      <c r="DW8" s="904">
        <f>_xlfn.XLOOKUP($K8,'Sales Rec'!$E$4:$E$32,'Sales Rec'!$N$4:$N$32,"")</f>
        <v>2438</v>
      </c>
      <c r="DX8" s="1195">
        <f>_xlfn.XLOOKUP(K8,Cement!$Q$7:$Q$35,Cement!$AR$7:$AR$35,"")</f>
        <v>6421.6518280297896</v>
      </c>
      <c r="DY8" s="964">
        <f t="shared" si="47"/>
        <v>58.637643973067924</v>
      </c>
      <c r="DZ8" s="1490">
        <f t="shared" si="48"/>
        <v>11</v>
      </c>
      <c r="EA8" s="367"/>
      <c r="EB8" s="176" t="e">
        <f>SUMIF('[1]9-1404.12.03'!$B$2:$B$2000,$J8,'[1]9-1404.12.03'!$L$2:$L$2000)</f>
        <v>#VALUE!</v>
      </c>
      <c r="EC8" s="176" t="e">
        <f>SUMIF('[1]9-1404.12.03'!$B$2:$B$2000,$J8,'[1]9-1404.12.03'!$E$2:$E$2000)/10</f>
        <v>#VALUE!</v>
      </c>
      <c r="ED8" s="177" t="str">
        <f t="shared" si="49"/>
        <v/>
      </c>
      <c r="EE8" s="176" t="e">
        <f>SUMIF('[1]8B-1404.12.02'!$D$2:$D$3000,$J8,'[1]8B-1404.12.02'!$M$2:$M$3000)</f>
        <v>#VALUE!</v>
      </c>
      <c r="EF8" s="176" t="e">
        <f>SUMIF('[1]8B-1404.12.02'!$D$2:$D$3000,$J8,'[1]8B-1404.12.02'!$G$2:$G$3000)/10</f>
        <v>#VALUE!</v>
      </c>
      <c r="EG8" s="177" t="str">
        <f t="shared" si="50"/>
        <v/>
      </c>
      <c r="EH8" s="1502"/>
      <c r="EI8" s="1534">
        <f>SUMIF(Cem_Export!$C$2:$C$3000,$J8,Cem_Export!$I$2:$I$3000)</f>
        <v>0</v>
      </c>
      <c r="EJ8" s="1534">
        <f>SUMIFS(Cem_Export!$J$2:$J$3000,Cem_Export!$C$2:$C$3000,$J8,Cem_Export!$L$2:$L$3000, $EJ$4)</f>
        <v>0</v>
      </c>
      <c r="EK8" s="1534">
        <f>SUMIFS(Cem_Export!$J$2:$J$3000,Cem_Export!$C$2:$C$3000,$J8,Cem_Export!$L$2:$L$3000, $EK$4)</f>
        <v>0</v>
      </c>
      <c r="EL8" s="1682" t="str">
        <f t="shared" si="51"/>
        <v/>
      </c>
      <c r="EM8" s="1836">
        <f t="shared" si="52"/>
        <v>0</v>
      </c>
      <c r="EN8" s="1562"/>
      <c r="EO8" s="1625">
        <f>SUMIF('Cem-Domestic'!$D$2:$D$4000,$J8,'Cem-Domestic'!$M$2:$M$4000)</f>
        <v>44500</v>
      </c>
      <c r="EP8" s="1625">
        <f>SUMIF('Cem-Domestic'!$D$2:$D$4000,$J8,'Cem-Domestic'!$G$2:$G$4000)/10^7</f>
        <v>172.7482655</v>
      </c>
      <c r="EQ8" s="1681">
        <f t="shared" si="53"/>
        <v>3881.9834943820224</v>
      </c>
      <c r="ER8" s="1562"/>
      <c r="ES8" s="1533">
        <v>0</v>
      </c>
      <c r="ET8" s="1534">
        <v>0</v>
      </c>
      <c r="EU8" s="1535" t="s">
        <v>192</v>
      </c>
      <c r="EV8" s="1533">
        <v>0</v>
      </c>
      <c r="EW8" s="1534">
        <v>0</v>
      </c>
      <c r="EX8" s="1535" t="s">
        <v>192</v>
      </c>
      <c r="EY8" s="1533">
        <v>0</v>
      </c>
      <c r="EZ8" s="1534">
        <v>0</v>
      </c>
      <c r="FA8" s="1535" t="s">
        <v>192</v>
      </c>
      <c r="FB8" s="1533">
        <v>0</v>
      </c>
      <c r="FC8" s="1534">
        <v>0</v>
      </c>
      <c r="FD8" s="1535" t="s">
        <v>192</v>
      </c>
      <c r="FE8" s="1533">
        <v>0</v>
      </c>
      <c r="FF8" s="1534">
        <v>0</v>
      </c>
      <c r="FG8" s="1535" t="s">
        <v>192</v>
      </c>
    </row>
    <row r="9" spans="1:233" ht="30" customHeight="1">
      <c r="A9" s="975">
        <f t="shared" si="0"/>
        <v>5</v>
      </c>
      <c r="B9" s="975">
        <f t="shared" si="1"/>
        <v>3</v>
      </c>
      <c r="C9" s="975">
        <f t="shared" si="2"/>
        <v>5</v>
      </c>
      <c r="D9" s="1015">
        <f t="shared" si="3"/>
        <v>0.68750093053565631</v>
      </c>
      <c r="E9" s="1217">
        <f>_xlfn.XLOOKUP(K9,Cement!$Q$7:$Q$35,Cement!$Z$7:$Z$35,"")</f>
        <v>0.59427530575071563</v>
      </c>
      <c r="F9" s="1091">
        <f t="shared" si="4"/>
        <v>9.3225624784940671</v>
      </c>
      <c r="G9" s="991">
        <f t="shared" si="5"/>
        <v>0.19137126894182513</v>
      </c>
      <c r="H9" s="173">
        <f>_xlfn.XLOOKUP($K9,Cement!$Q$7:$Q$35,Cement!$B$7:$B$35,"")</f>
        <v>6.3047862625936189</v>
      </c>
      <c r="I9" s="173">
        <f>_xlfn.XLOOKUP(K9,Cement!$Q$7:$Q$35,Cement!$A$7:$A$35,"")</f>
        <v>23.654691596536299</v>
      </c>
      <c r="J9" s="202" t="s">
        <v>898</v>
      </c>
      <c r="K9" s="554" t="s">
        <v>33</v>
      </c>
      <c r="L9" s="937">
        <f>_xlfn.XLOOKUP(K9,Cement!$Q$7:$Q$35,Cement!$R$7:$R$35,"")</f>
        <v>12</v>
      </c>
      <c r="M9" s="2013">
        <f>_xlfn.XLOOKUP(K9,'Sales Rec'!$E$4:$E$32,'Sales Rec'!$L$4:$L$32,"")</f>
        <v>4</v>
      </c>
      <c r="N9" s="930">
        <f t="shared" si="6"/>
        <v>3511.5384615384619</v>
      </c>
      <c r="O9" s="208">
        <f t="shared" si="7"/>
        <v>2953.8461538461538</v>
      </c>
      <c r="P9" s="1465">
        <f t="shared" si="8"/>
        <v>748</v>
      </c>
      <c r="Q9" s="1466">
        <f>IFERROR(((P9-V9)/V9)*100,"")</f>
        <v>10.32448377581121</v>
      </c>
      <c r="R9" s="1472">
        <f t="shared" si="9"/>
        <v>307</v>
      </c>
      <c r="S9" s="1473">
        <f t="shared" si="10"/>
        <v>-58.957219251336902</v>
      </c>
      <c r="T9" s="1479">
        <f t="shared" si="11"/>
        <v>571</v>
      </c>
      <c r="U9" s="1092">
        <f t="shared" si="12"/>
        <v>85.993485342019554</v>
      </c>
      <c r="V9" s="1486">
        <f t="shared" si="13"/>
        <v>678</v>
      </c>
      <c r="W9" s="1487">
        <f t="shared" si="14"/>
        <v>18.739054290718038</v>
      </c>
      <c r="X9" s="934">
        <f>_xlfn.XLOOKUP(K9,Cement!$Q$7:$Q$35,Cement!$AK$7:$AK$35,"")</f>
        <v>780000</v>
      </c>
      <c r="Y9" s="1911"/>
      <c r="Z9" s="1567"/>
      <c r="AA9" s="1548"/>
      <c r="AB9" s="996">
        <v>178</v>
      </c>
      <c r="AC9" s="997">
        <v>0</v>
      </c>
      <c r="AD9" s="884">
        <f t="shared" si="15"/>
        <v>178</v>
      </c>
      <c r="AE9" s="1365"/>
      <c r="AF9" s="1567">
        <v>183.37882250000001</v>
      </c>
      <c r="AG9" s="1548">
        <v>235000</v>
      </c>
      <c r="AH9" s="996">
        <v>185</v>
      </c>
      <c r="AI9" s="997">
        <v>2</v>
      </c>
      <c r="AJ9" s="884">
        <f t="shared" si="16"/>
        <v>183</v>
      </c>
      <c r="AK9" s="1365"/>
      <c r="AL9" s="1567">
        <v>210.4966325</v>
      </c>
      <c r="AM9" s="1548">
        <v>169167.4719909612</v>
      </c>
      <c r="AN9" s="996">
        <v>208</v>
      </c>
      <c r="AO9" s="997">
        <v>12</v>
      </c>
      <c r="AP9" s="884">
        <f t="shared" si="17"/>
        <v>196</v>
      </c>
      <c r="AQ9" s="1365"/>
      <c r="AR9" s="1567">
        <v>213.3240275</v>
      </c>
      <c r="AS9" s="1548">
        <v>104542.2625354576</v>
      </c>
      <c r="AT9" s="996">
        <v>239</v>
      </c>
      <c r="AU9" s="997">
        <v>36</v>
      </c>
      <c r="AV9" s="884">
        <f t="shared" si="18"/>
        <v>203</v>
      </c>
      <c r="AW9" s="884"/>
      <c r="AX9" s="1567">
        <v>243.0988275</v>
      </c>
      <c r="AY9" s="1548">
        <v>43.783100790455023</v>
      </c>
      <c r="AZ9" s="996">
        <v>266</v>
      </c>
      <c r="BA9" s="997">
        <v>15</v>
      </c>
      <c r="BB9" s="884">
        <f t="shared" si="19"/>
        <v>251</v>
      </c>
      <c r="BC9" s="884"/>
      <c r="BD9" s="1567"/>
      <c r="BE9" s="1548"/>
      <c r="BF9" s="996">
        <v>173</v>
      </c>
      <c r="BG9" s="997">
        <v>22</v>
      </c>
      <c r="BH9" s="884">
        <f t="shared" si="20"/>
        <v>151</v>
      </c>
      <c r="BI9" s="884"/>
      <c r="BJ9" s="2100">
        <f t="shared" si="21"/>
        <v>678</v>
      </c>
      <c r="BK9" s="2102"/>
      <c r="BL9" s="2102"/>
      <c r="BM9" s="884"/>
      <c r="BN9" s="1567"/>
      <c r="BO9" s="1548"/>
      <c r="BP9" s="996">
        <v>193</v>
      </c>
      <c r="BQ9" s="997">
        <v>45</v>
      </c>
      <c r="BR9" s="884">
        <f t="shared" si="22"/>
        <v>148</v>
      </c>
      <c r="BS9" s="1365"/>
      <c r="BT9" s="1567"/>
      <c r="BU9" s="1548"/>
      <c r="BV9" s="996">
        <v>318</v>
      </c>
      <c r="BW9" s="997">
        <v>84</v>
      </c>
      <c r="BX9" s="884">
        <f t="shared" si="23"/>
        <v>234</v>
      </c>
      <c r="BY9" s="1365"/>
      <c r="BZ9" s="1980">
        <f t="shared" si="24"/>
        <v>25</v>
      </c>
      <c r="CA9" s="1999">
        <f t="shared" si="25"/>
        <v>-21.634327830188681</v>
      </c>
      <c r="CB9" s="1992">
        <f t="shared" si="26"/>
        <v>249.20283749999999</v>
      </c>
      <c r="CC9" s="996">
        <v>237</v>
      </c>
      <c r="CD9" s="1996">
        <v>46.2</v>
      </c>
      <c r="CE9" s="997">
        <v>47</v>
      </c>
      <c r="CF9" s="1981">
        <v>203.0028375</v>
      </c>
      <c r="CG9" s="884">
        <f t="shared" si="27"/>
        <v>190</v>
      </c>
      <c r="CH9" s="1365"/>
      <c r="CI9" s="2102">
        <f t="shared" si="28"/>
        <v>748</v>
      </c>
      <c r="CJ9" s="2105">
        <f t="shared" si="29"/>
        <v>0.10324483775811209</v>
      </c>
      <c r="CK9" s="2108">
        <f t="shared" si="30"/>
        <v>25</v>
      </c>
      <c r="CL9" s="1365"/>
      <c r="CM9" s="1980">
        <f t="shared" si="31"/>
        <v>3</v>
      </c>
      <c r="CN9" s="1999">
        <f t="shared" si="32"/>
        <v>99.685712869198312</v>
      </c>
      <c r="CO9" s="1992">
        <f t="shared" si="33"/>
        <v>473.25513949999998</v>
      </c>
      <c r="CP9" s="996">
        <v>166</v>
      </c>
      <c r="CQ9" s="1996">
        <v>76.3</v>
      </c>
      <c r="CR9" s="2232">
        <v>32</v>
      </c>
      <c r="CS9" s="1981">
        <v>396.95513949999997</v>
      </c>
      <c r="CT9" s="884">
        <f t="shared" si="34"/>
        <v>134</v>
      </c>
      <c r="CU9" s="1365"/>
      <c r="CV9" s="1980">
        <f t="shared" si="35"/>
        <v>16</v>
      </c>
      <c r="CW9" s="1999">
        <f t="shared" si="36"/>
        <v>-59.055585843373493</v>
      </c>
      <c r="CX9" s="1992">
        <f t="shared" si="37"/>
        <v>67.967727499999995</v>
      </c>
      <c r="CY9" s="996"/>
      <c r="CZ9" s="1996">
        <f t="shared" si="38"/>
        <v>23.52</v>
      </c>
      <c r="DA9" s="2232"/>
      <c r="DB9" s="1981">
        <f t="shared" si="39"/>
        <v>44.447727499999999</v>
      </c>
      <c r="DC9" s="884">
        <f t="shared" si="40"/>
        <v>44.447727499999999</v>
      </c>
      <c r="DD9" s="1365"/>
      <c r="DE9" s="1567"/>
      <c r="DF9" s="1548"/>
      <c r="DG9" s="1926">
        <v>141</v>
      </c>
      <c r="DH9" s="997">
        <v>0</v>
      </c>
      <c r="DI9" s="884">
        <f t="shared" si="41"/>
        <v>141</v>
      </c>
      <c r="DJ9" s="367"/>
      <c r="DK9" s="1201"/>
      <c r="DL9" s="945">
        <f>_xlfn.XLOOKUP($K9,'Sales Rec'!$E$4:$E$32,'Sales Rec'!P$4:P$32,"")</f>
        <v>704</v>
      </c>
      <c r="DM9" s="943">
        <f>_xlfn.XLOOKUP($K9,'Sales Rec'!$E$4:$E$32,'Sales Rec'!O$4:O$32,"")</f>
        <v>209</v>
      </c>
      <c r="DN9" s="948">
        <f t="shared" si="42"/>
        <v>0.2289156626506024</v>
      </c>
      <c r="DO9" s="943">
        <f t="shared" si="43"/>
        <v>913</v>
      </c>
      <c r="DP9" s="913">
        <f>_xlfn.XLOOKUP($K9,'Sales Rec'!$E$4:$E$32,'Sales Rec'!I$4:I$32,"")</f>
        <v>1897</v>
      </c>
      <c r="DQ9" s="914">
        <f>_xlfn.XLOOKUP($K9,'Sales Rec'!$E$4:$E$32,'Sales Rec'!H$4:H$32,"")</f>
        <v>74</v>
      </c>
      <c r="DR9" s="946">
        <f t="shared" si="44"/>
        <v>3.7544393708777268E-2</v>
      </c>
      <c r="DS9" s="942">
        <f>_xlfn.XLOOKUP(K9,Cement!$Q$3:$Q$35,Cement!$AP$3:$AP$35,"")</f>
        <v>1971</v>
      </c>
      <c r="DT9" s="1013" t="str">
        <f t="shared" si="45"/>
        <v>OK</v>
      </c>
      <c r="DU9" s="952">
        <f t="shared" si="46"/>
        <v>2304</v>
      </c>
      <c r="DV9" s="925">
        <f>_xlfn.XLOOKUP($K9,'Sales Rec'!$E$4:$E$32,'Sales Rec'!$M$4:$M$32,"")</f>
        <v>443</v>
      </c>
      <c r="DW9" s="904">
        <f>_xlfn.XLOOKUP($K9,'Sales Rec'!$E$4:$E$32,'Sales Rec'!$N$4:$N$32,"")</f>
        <v>913</v>
      </c>
      <c r="DX9" s="1195">
        <f>_xlfn.XLOOKUP(K9,Cement!$Q$7:$Q$35,Cement!$AR$7:$AR$35,"")</f>
        <v>3326.0643340857787</v>
      </c>
      <c r="DY9" s="964">
        <f t="shared" si="47"/>
        <v>68.750093053565635</v>
      </c>
      <c r="DZ9" s="1490">
        <f t="shared" si="48"/>
        <v>5</v>
      </c>
      <c r="EA9" s="367"/>
      <c r="EB9" s="176" t="e">
        <f>SUMIF('[1]9-1404.12.03'!$B$2:$B$2000,$J9,'[1]9-1404.12.03'!$L$2:$L$2000)</f>
        <v>#VALUE!</v>
      </c>
      <c r="EC9" s="176" t="e">
        <f>SUMIF('[1]9-1404.12.03'!$B$2:$B$2000,$J9,'[1]9-1404.12.03'!$E$2:$E$2000)/10</f>
        <v>#VALUE!</v>
      </c>
      <c r="ED9" s="177" t="str">
        <f t="shared" si="49"/>
        <v/>
      </c>
      <c r="EE9" s="176" t="e">
        <f>SUMIF('[1]8B-1404.12.02'!$D$2:$D$3000,$J9,'[1]8B-1404.12.02'!$M$2:$M$3000)</f>
        <v>#VALUE!</v>
      </c>
      <c r="EF9" s="176" t="e">
        <f>SUMIF('[1]8B-1404.12.02'!$D$2:$D$3000,$J9,'[1]8B-1404.12.02'!$G$2:$G$3000)/10</f>
        <v>#VALUE!</v>
      </c>
      <c r="EG9" s="177" t="str">
        <f t="shared" si="50"/>
        <v/>
      </c>
      <c r="EH9" s="1502"/>
      <c r="EI9" s="1534">
        <f>SUMIF(Cem_Export!$C$2:$C$3000,$J9,Cem_Export!$I$2:$I$3000)</f>
        <v>4000</v>
      </c>
      <c r="EJ9" s="1534">
        <f>SUMIFS(Cem_Export!$J$2:$J$3000,Cem_Export!$C$2:$C$3000,$J9,Cem_Export!$L$2:$L$3000, $EJ$4)</f>
        <v>168000</v>
      </c>
      <c r="EK9" s="1534">
        <f>SUMIFS(Cem_Export!$J$2:$J$3000,Cem_Export!$C$2:$C$3000,$J9,Cem_Export!$L$2:$L$3000, $EK$4)</f>
        <v>0</v>
      </c>
      <c r="EL9" s="1682">
        <f t="shared" si="51"/>
        <v>42</v>
      </c>
      <c r="EM9" s="1836">
        <f t="shared" si="52"/>
        <v>23.52</v>
      </c>
      <c r="EN9" s="1562"/>
      <c r="EO9" s="1625">
        <f>SUMIF('Cem-Domestic'!$D$2:$D$4000,$J9,'Cem-Domestic'!$M$2:$M$4000)</f>
        <v>11525</v>
      </c>
      <c r="EP9" s="1625">
        <f>SUMIF('Cem-Domestic'!$D$2:$D$4000,$J9,'Cem-Domestic'!$G$2:$G$4000)/10^7</f>
        <v>44.447727499999999</v>
      </c>
      <c r="EQ9" s="1681">
        <f t="shared" si="53"/>
        <v>3856.6357917570499</v>
      </c>
      <c r="ER9" s="1562"/>
      <c r="ES9" s="1533">
        <v>500</v>
      </c>
      <c r="ET9" s="1534">
        <v>25000</v>
      </c>
      <c r="EU9" s="1535">
        <v>50</v>
      </c>
      <c r="EV9" s="1533">
        <v>1000</v>
      </c>
      <c r="EW9" s="1534">
        <v>46000</v>
      </c>
      <c r="EX9" s="1535">
        <v>46</v>
      </c>
      <c r="EY9" s="1533">
        <v>0</v>
      </c>
      <c r="EZ9" s="1534">
        <v>0</v>
      </c>
      <c r="FA9" s="1535" t="s">
        <v>192</v>
      </c>
      <c r="FB9" s="1533">
        <v>0</v>
      </c>
      <c r="FC9" s="1534">
        <v>0</v>
      </c>
      <c r="FD9" s="1535" t="s">
        <v>192</v>
      </c>
      <c r="FE9" s="1533">
        <v>4500</v>
      </c>
      <c r="FF9" s="1534">
        <v>189000</v>
      </c>
      <c r="FG9" s="1535">
        <v>42</v>
      </c>
    </row>
    <row r="10" spans="1:233" ht="30" customHeight="1">
      <c r="A10" s="975">
        <f t="shared" si="0"/>
        <v>6</v>
      </c>
      <c r="B10" s="975">
        <f t="shared" si="1"/>
        <v>2</v>
      </c>
      <c r="C10" s="975">
        <f t="shared" si="2"/>
        <v>14</v>
      </c>
      <c r="D10" s="1015">
        <f t="shared" si="3"/>
        <v>0.5077426887259614</v>
      </c>
      <c r="E10" s="1217">
        <f>_xlfn.XLOOKUP(K10,Cement!$Q$7:$Q$35,Cement!$Z$7:$Z$35,"")</f>
        <v>0.30973143416331417</v>
      </c>
      <c r="F10" s="1091">
        <f t="shared" si="4"/>
        <v>19.801125456264725</v>
      </c>
      <c r="G10" s="991">
        <f t="shared" si="5"/>
        <v>0.23143399739315096</v>
      </c>
      <c r="H10" s="173">
        <f>_xlfn.XLOOKUP($K10,Cement!$Q$7:$Q$35,Cement!$B$7:$B$35,"")</f>
        <v>-19.686703879628794</v>
      </c>
      <c r="I10" s="173">
        <f>_xlfn.XLOOKUP(K10,Cement!$Q$7:$Q$35,Cement!$A$7:$A$35,"")</f>
        <v>-12.195856599294064</v>
      </c>
      <c r="J10" s="202" t="s">
        <v>903</v>
      </c>
      <c r="K10" s="554" t="s">
        <v>85</v>
      </c>
      <c r="L10" s="937">
        <f>_xlfn.XLOOKUP(K10,Cement!$Q$7:$Q$35,Cement!$R$7:$R$35,"")</f>
        <v>9</v>
      </c>
      <c r="M10" s="2015">
        <f>_xlfn.XLOOKUP(K10,'Sales Rec'!$E$4:$E$32,'Sales Rec'!$L$4:$L$32,"")</f>
        <v>7</v>
      </c>
      <c r="N10" s="930">
        <f t="shared" si="6"/>
        <v>3475.9183673469388</v>
      </c>
      <c r="O10" s="208">
        <f t="shared" si="7"/>
        <v>3131.4285714285716</v>
      </c>
      <c r="P10" s="1465">
        <f t="shared" si="8"/>
        <v>1201</v>
      </c>
      <c r="Q10" s="1466">
        <f>((P10-V10)/V10)*100</f>
        <v>131.85328185328186</v>
      </c>
      <c r="R10" s="1472">
        <f t="shared" si="9"/>
        <v>727</v>
      </c>
      <c r="S10" s="1473">
        <f t="shared" si="10"/>
        <v>-39.467110741049126</v>
      </c>
      <c r="T10" s="1479">
        <f t="shared" si="11"/>
        <v>842</v>
      </c>
      <c r="U10" s="1092">
        <f t="shared" si="12"/>
        <v>15.818431911966988</v>
      </c>
      <c r="V10" s="1486">
        <f t="shared" si="13"/>
        <v>518</v>
      </c>
      <c r="W10" s="1487">
        <f t="shared" si="14"/>
        <v>-38.479809976247033</v>
      </c>
      <c r="X10" s="934">
        <f>_xlfn.XLOOKUP(K10,Cement!$Q$7:$Q$35,Cement!$AK$7:$AK$35,"")</f>
        <v>1050000</v>
      </c>
      <c r="Y10" s="1911"/>
      <c r="Z10" s="1567"/>
      <c r="AA10" s="1548"/>
      <c r="AB10" s="996">
        <v>297</v>
      </c>
      <c r="AC10" s="997">
        <v>64</v>
      </c>
      <c r="AD10" s="884">
        <f t="shared" si="15"/>
        <v>233</v>
      </c>
      <c r="AE10" s="1365"/>
      <c r="AF10" s="1567">
        <v>213.22498999999999</v>
      </c>
      <c r="AG10" s="1548">
        <v>1032077.5041955509</v>
      </c>
      <c r="AH10" s="996">
        <v>308</v>
      </c>
      <c r="AI10" s="997">
        <v>75</v>
      </c>
      <c r="AJ10" s="884">
        <f t="shared" si="16"/>
        <v>233</v>
      </c>
      <c r="AK10" s="1365"/>
      <c r="AL10" s="1567">
        <v>195.32336749999999</v>
      </c>
      <c r="AM10" s="1548">
        <v>622199.994910985</v>
      </c>
      <c r="AN10" s="996">
        <v>237</v>
      </c>
      <c r="AO10" s="997">
        <v>47</v>
      </c>
      <c r="AP10" s="884">
        <f t="shared" si="17"/>
        <v>190</v>
      </c>
      <c r="AQ10" s="1365"/>
      <c r="AR10" s="1567">
        <v>151.7697125</v>
      </c>
      <c r="AS10" s="1548">
        <v>113499.9996063014</v>
      </c>
      <c r="AT10" s="996">
        <v>122</v>
      </c>
      <c r="AU10" s="997">
        <v>4</v>
      </c>
      <c r="AV10" s="884">
        <f t="shared" si="18"/>
        <v>118</v>
      </c>
      <c r="AW10" s="884"/>
      <c r="AX10" s="1567">
        <v>175.48049750000001</v>
      </c>
      <c r="AY10" s="1548">
        <v>23.009999867508004</v>
      </c>
      <c r="AZ10" s="996">
        <v>157</v>
      </c>
      <c r="BA10" s="997">
        <v>7</v>
      </c>
      <c r="BB10" s="884">
        <f t="shared" si="19"/>
        <v>150</v>
      </c>
      <c r="BC10" s="884"/>
      <c r="BD10" s="1567"/>
      <c r="BE10" s="1548"/>
      <c r="BF10" s="996">
        <v>239</v>
      </c>
      <c r="BG10" s="997">
        <v>69</v>
      </c>
      <c r="BH10" s="884">
        <f t="shared" si="20"/>
        <v>170</v>
      </c>
      <c r="BI10" s="884"/>
      <c r="BJ10" s="2100">
        <f t="shared" si="21"/>
        <v>518</v>
      </c>
      <c r="BK10" s="2102"/>
      <c r="BL10" s="2102"/>
      <c r="BM10" s="884"/>
      <c r="BN10" s="1567"/>
      <c r="BO10" s="1548"/>
      <c r="BP10" s="996">
        <v>277</v>
      </c>
      <c r="BQ10" s="997">
        <v>71</v>
      </c>
      <c r="BR10" s="884">
        <f t="shared" si="22"/>
        <v>206</v>
      </c>
      <c r="BS10" s="1365"/>
      <c r="BT10" s="1567"/>
      <c r="BU10" s="1548"/>
      <c r="BV10" s="996">
        <v>504</v>
      </c>
      <c r="BW10" s="997">
        <v>178</v>
      </c>
      <c r="BX10" s="884">
        <f t="shared" si="23"/>
        <v>326</v>
      </c>
      <c r="BY10" s="1365"/>
      <c r="BZ10" s="1980">
        <f t="shared" si="24"/>
        <v>22</v>
      </c>
      <c r="CA10" s="1999">
        <f t="shared" si="25"/>
        <v>-8.8014469198670646</v>
      </c>
      <c r="CB10" s="1992">
        <f t="shared" si="26"/>
        <v>459.64070752386999</v>
      </c>
      <c r="CC10" s="996">
        <v>420</v>
      </c>
      <c r="CD10" s="1996">
        <v>116.93500002386997</v>
      </c>
      <c r="CE10" s="997">
        <v>93</v>
      </c>
      <c r="CF10" s="1981">
        <v>342.70570750000002</v>
      </c>
      <c r="CG10" s="884">
        <f t="shared" si="27"/>
        <v>327</v>
      </c>
      <c r="CH10" s="1365"/>
      <c r="CI10" s="2102">
        <f t="shared" si="28"/>
        <v>1201</v>
      </c>
      <c r="CJ10" s="2105">
        <f t="shared" si="29"/>
        <v>1.3185328185328185</v>
      </c>
      <c r="CK10" s="2108">
        <f t="shared" si="30"/>
        <v>2</v>
      </c>
      <c r="CL10" s="1365"/>
      <c r="CM10" s="1980">
        <f t="shared" si="31"/>
        <v>10</v>
      </c>
      <c r="CN10" s="1999">
        <f t="shared" si="32"/>
        <v>-5.7960758163264767</v>
      </c>
      <c r="CO10" s="1992">
        <f t="shared" si="33"/>
        <v>395.6564815714288</v>
      </c>
      <c r="CP10" s="996">
        <v>409</v>
      </c>
      <c r="CQ10" s="1996">
        <v>64.879500071428808</v>
      </c>
      <c r="CR10" s="2232">
        <v>89</v>
      </c>
      <c r="CS10" s="1981">
        <v>330.77698149999998</v>
      </c>
      <c r="CT10" s="884">
        <f t="shared" si="34"/>
        <v>320</v>
      </c>
      <c r="CU10" s="1365"/>
      <c r="CV10" s="1980">
        <f t="shared" si="35"/>
        <v>23</v>
      </c>
      <c r="CW10" s="1999">
        <f t="shared" si="36"/>
        <v>-70.84178973105135</v>
      </c>
      <c r="CX10" s="1992">
        <f t="shared" si="37"/>
        <v>119.25708</v>
      </c>
      <c r="CY10" s="996"/>
      <c r="CZ10" s="1996">
        <f t="shared" si="38"/>
        <v>18.2315</v>
      </c>
      <c r="DA10" s="2232"/>
      <c r="DB10" s="1981">
        <f t="shared" si="39"/>
        <v>101.02558000000001</v>
      </c>
      <c r="DC10" s="884">
        <f t="shared" si="40"/>
        <v>101.02558000000001</v>
      </c>
      <c r="DD10" s="1365"/>
      <c r="DE10" s="1567"/>
      <c r="DF10" s="1548"/>
      <c r="DG10" s="1926">
        <v>318</v>
      </c>
      <c r="DH10" s="997">
        <v>81</v>
      </c>
      <c r="DI10" s="884">
        <f t="shared" si="41"/>
        <v>237</v>
      </c>
      <c r="DJ10" s="367"/>
      <c r="DK10" s="1201"/>
      <c r="DL10" s="945">
        <f>_xlfn.XLOOKUP($K10,'Sales Rec'!$E$4:$E$32,'Sales Rec'!P$4:P$32,"")</f>
        <v>1619</v>
      </c>
      <c r="DM10" s="943">
        <f>_xlfn.XLOOKUP($K10,'Sales Rec'!$E$4:$E$32,'Sales Rec'!O$4:O$32,"")</f>
        <v>510</v>
      </c>
      <c r="DN10" s="948">
        <f t="shared" si="42"/>
        <v>0.23954908407703146</v>
      </c>
      <c r="DO10" s="943">
        <f t="shared" si="43"/>
        <v>2129</v>
      </c>
      <c r="DP10" s="913">
        <f>_xlfn.XLOOKUP($K10,'Sales Rec'!$E$4:$E$32,'Sales Rec'!I$4:I$32,"")</f>
        <v>2689</v>
      </c>
      <c r="DQ10" s="914">
        <f>_xlfn.XLOOKUP($K10,'Sales Rec'!$E$4:$E$32,'Sales Rec'!H$4:H$32,"")</f>
        <v>22</v>
      </c>
      <c r="DR10" s="946">
        <f t="shared" si="44"/>
        <v>8.1150866838804875E-3</v>
      </c>
      <c r="DS10" s="942">
        <f>_xlfn.XLOOKUP(K10,Cement!$Q$3:$Q$35,Cement!$AP$3:$AP$35,"")</f>
        <v>2711</v>
      </c>
      <c r="DT10" s="1013" t="str">
        <f t="shared" si="45"/>
        <v>OK</v>
      </c>
      <c r="DU10" s="952">
        <f t="shared" si="46"/>
        <v>3288</v>
      </c>
      <c r="DV10" s="925">
        <f>_xlfn.XLOOKUP($K10,'Sales Rec'!$E$4:$E$32,'Sales Rec'!$M$4:$M$32,"")</f>
        <v>1265</v>
      </c>
      <c r="DW10" s="904">
        <f>_xlfn.XLOOKUP($K10,'Sales Rec'!$E$4:$E$32,'Sales Rec'!$N$4:$N$32,"")</f>
        <v>2129</v>
      </c>
      <c r="DX10" s="1195">
        <f>_xlfn.XLOOKUP(K10,Cement!$Q$7:$Q$35,Cement!$AR$7:$AR$35,"")</f>
        <v>4087.4904291360813</v>
      </c>
      <c r="DY10" s="964">
        <f t="shared" si="47"/>
        <v>50.774268872596139</v>
      </c>
      <c r="DZ10" s="1490">
        <f t="shared" si="48"/>
        <v>14</v>
      </c>
      <c r="EA10" s="367"/>
      <c r="EB10" s="176" t="e">
        <f>SUMIF('[1]9-1404.12.03'!$B$2:$B$2000,$J10,'[1]9-1404.12.03'!$L$2:$L$2000)</f>
        <v>#VALUE!</v>
      </c>
      <c r="EC10" s="176" t="e">
        <f>SUMIF('[1]9-1404.12.03'!$B$2:$B$2000,$J10,'[1]9-1404.12.03'!$E$2:$E$2000)/10</f>
        <v>#VALUE!</v>
      </c>
      <c r="ED10" s="177" t="str">
        <f t="shared" si="49"/>
        <v/>
      </c>
      <c r="EE10" s="176" t="e">
        <f>SUMIF('[1]8B-1404.12.02'!$D$2:$D$3000,$J10,'[1]8B-1404.12.02'!$M$2:$M$3000)</f>
        <v>#VALUE!</v>
      </c>
      <c r="EF10" s="176" t="e">
        <f>SUMIF('[1]8B-1404.12.02'!$D$2:$D$3000,$J10,'[1]8B-1404.12.02'!$G$2:$G$3000)/10</f>
        <v>#VALUE!</v>
      </c>
      <c r="EG10" s="177" t="str">
        <f t="shared" si="50"/>
        <v/>
      </c>
      <c r="EH10" s="1502"/>
      <c r="EI10" s="1534">
        <f>SUMIF(Cem_Export!$C$2:$C$3000,$J10,Cem_Export!$I$2:$I$3000)</f>
        <v>2950</v>
      </c>
      <c r="EJ10" s="1534">
        <f>SUMIFS(Cem_Export!$J$2:$J$3000,Cem_Export!$C$2:$C$3000,$J10,Cem_Export!$L$2:$L$3000, $EJ$4)</f>
        <v>130225</v>
      </c>
      <c r="EK10" s="1534">
        <f>SUMIFS(Cem_Export!$J$2:$J$3000,Cem_Export!$C$2:$C$3000,$J10,Cem_Export!$L$2:$L$3000, $EK$4)</f>
        <v>0</v>
      </c>
      <c r="EL10" s="1682">
        <f t="shared" si="51"/>
        <v>44.144067796610166</v>
      </c>
      <c r="EM10" s="1836">
        <f t="shared" si="52"/>
        <v>18.2315</v>
      </c>
      <c r="EN10" s="1562"/>
      <c r="EO10" s="1625">
        <f>SUMIF('Cem-Domestic'!$D$2:$D$4000,$J10,'Cem-Domestic'!$M$2:$M$4000)</f>
        <v>26850</v>
      </c>
      <c r="EP10" s="1625">
        <f>SUMIF('Cem-Domestic'!$D$2:$D$4000,$J10,'Cem-Domestic'!$G$2:$G$4000)/10^7</f>
        <v>101.02558000000001</v>
      </c>
      <c r="EQ10" s="1681">
        <f t="shared" si="53"/>
        <v>3762.5914338919929</v>
      </c>
      <c r="ER10" s="1562"/>
      <c r="ES10" s="1533">
        <v>2900</v>
      </c>
      <c r="ET10" s="1534">
        <v>137750</v>
      </c>
      <c r="EU10" s="1535">
        <v>47.5</v>
      </c>
      <c r="EV10" s="1533">
        <v>12360</v>
      </c>
      <c r="EW10" s="1534">
        <v>578350</v>
      </c>
      <c r="EX10" s="1535">
        <v>46.792071197411005</v>
      </c>
      <c r="EY10" s="1533">
        <v>2889</v>
      </c>
      <c r="EZ10" s="1534">
        <v>137227.50205525901</v>
      </c>
      <c r="FA10" s="1535">
        <v>47.500000711408454</v>
      </c>
      <c r="FB10" s="1533">
        <v>4000</v>
      </c>
      <c r="FC10" s="1534">
        <v>174000.002140292</v>
      </c>
      <c r="FD10" s="1535">
        <v>43.500000535072999</v>
      </c>
      <c r="FE10" s="1533">
        <v>3000</v>
      </c>
      <c r="FF10" s="1534">
        <v>142500</v>
      </c>
      <c r="FG10" s="1535">
        <v>47.5</v>
      </c>
    </row>
    <row r="11" spans="1:233" ht="30" customHeight="1">
      <c r="A11" s="975">
        <f t="shared" si="0"/>
        <v>7</v>
      </c>
      <c r="B11" s="975">
        <f t="shared" si="1"/>
        <v>9</v>
      </c>
      <c r="C11" s="975">
        <f t="shared" si="2"/>
        <v>8</v>
      </c>
      <c r="D11" s="1015">
        <f t="shared" si="3"/>
        <v>0.66927496693121702</v>
      </c>
      <c r="E11" s="1217">
        <f>_xlfn.XLOOKUP(K11,Cement!$Q$7:$Q$35,Cement!$Z$7:$Z$35,"")</f>
        <v>0.43039248574303923</v>
      </c>
      <c r="F11" s="1091">
        <f t="shared" si="4"/>
        <v>23.888248118817778</v>
      </c>
      <c r="G11" s="991">
        <f t="shared" si="5"/>
        <v>-0.11860670194003527</v>
      </c>
      <c r="H11" s="173">
        <f>_xlfn.XLOOKUP($K11,Cement!$Q$7:$Q$35,Cement!$B$7:$B$35,"")</f>
        <v>21.524546638177593</v>
      </c>
      <c r="I11" s="173">
        <f>_xlfn.XLOOKUP(K11,Cement!$Q$7:$Q$35,Cement!$A$7:$A$35,"")</f>
        <v>36.791772247933693</v>
      </c>
      <c r="J11" s="202" t="s">
        <v>902</v>
      </c>
      <c r="K11" s="554" t="s">
        <v>63</v>
      </c>
      <c r="L11" s="937">
        <f>_xlfn.XLOOKUP(K11,Cement!$Q$7:$Q$35,Cement!$R$7:$R$35,"")</f>
        <v>12</v>
      </c>
      <c r="M11" s="2013">
        <f>_xlfn.XLOOKUP(K11,'Sales Rec'!$E$4:$E$32,'Sales Rec'!$L$4:$L$32,"")</f>
        <v>4</v>
      </c>
      <c r="N11" s="930">
        <f t="shared" si="6"/>
        <v>3386.1111111111113</v>
      </c>
      <c r="O11" s="208">
        <f t="shared" si="7"/>
        <v>2502.7777777777778</v>
      </c>
      <c r="P11" s="1465">
        <f t="shared" si="8"/>
        <v>892</v>
      </c>
      <c r="Q11" s="1466">
        <f>((P11-V11)/V11)*100</f>
        <v>18.933333333333334</v>
      </c>
      <c r="R11" s="1472">
        <f t="shared" si="9"/>
        <v>506</v>
      </c>
      <c r="S11" s="1473">
        <f t="shared" si="10"/>
        <v>-43.27354260089686</v>
      </c>
      <c r="T11" s="1479">
        <f t="shared" si="11"/>
        <v>555</v>
      </c>
      <c r="U11" s="1092">
        <f t="shared" si="12"/>
        <v>9.6837944664031621</v>
      </c>
      <c r="V11" s="1486">
        <f t="shared" si="13"/>
        <v>750</v>
      </c>
      <c r="W11" s="1487">
        <f t="shared" si="14"/>
        <v>35.135135135135137</v>
      </c>
      <c r="X11" s="934">
        <f>_xlfn.XLOOKUP(K11,Cement!$Q$7:$Q$35,Cement!$AK$7:$AK$35,"")</f>
        <v>1080000</v>
      </c>
      <c r="Y11" s="1911"/>
      <c r="Z11" s="1567"/>
      <c r="AA11" s="1548"/>
      <c r="AB11" s="996">
        <v>200</v>
      </c>
      <c r="AC11" s="997">
        <v>25</v>
      </c>
      <c r="AD11" s="884">
        <f t="shared" si="15"/>
        <v>175</v>
      </c>
      <c r="AE11" s="1365"/>
      <c r="AF11" s="1567">
        <v>138.36868749999999</v>
      </c>
      <c r="AG11" s="1548">
        <v>0</v>
      </c>
      <c r="AH11" s="996">
        <v>211</v>
      </c>
      <c r="AI11" s="997">
        <v>45</v>
      </c>
      <c r="AJ11" s="884">
        <f t="shared" si="16"/>
        <v>166</v>
      </c>
      <c r="AK11" s="1365"/>
      <c r="AL11" s="1567">
        <v>226.82913500000001</v>
      </c>
      <c r="AM11" s="1548">
        <v>0</v>
      </c>
      <c r="AN11" s="996">
        <v>144</v>
      </c>
      <c r="AO11" s="997">
        <v>0</v>
      </c>
      <c r="AP11" s="884">
        <f t="shared" si="17"/>
        <v>144</v>
      </c>
      <c r="AQ11" s="1365"/>
      <c r="AR11" s="1567">
        <v>159.0933575</v>
      </c>
      <c r="AS11" s="1548">
        <v>527000</v>
      </c>
      <c r="AT11" s="996">
        <v>221</v>
      </c>
      <c r="AU11" s="997">
        <v>46</v>
      </c>
      <c r="AV11" s="884">
        <f t="shared" si="18"/>
        <v>175</v>
      </c>
      <c r="AW11" s="884"/>
      <c r="AX11" s="1567">
        <v>176.61155500000001</v>
      </c>
      <c r="AY11" s="1548">
        <v>7.44</v>
      </c>
      <c r="AZ11" s="996">
        <v>340</v>
      </c>
      <c r="BA11" s="997">
        <v>151</v>
      </c>
      <c r="BB11" s="884">
        <f t="shared" si="19"/>
        <v>189</v>
      </c>
      <c r="BC11" s="884"/>
      <c r="BD11" s="1567"/>
      <c r="BE11" s="1548"/>
      <c r="BF11" s="996">
        <v>189</v>
      </c>
      <c r="BG11" s="997">
        <v>0</v>
      </c>
      <c r="BH11" s="884">
        <f t="shared" si="20"/>
        <v>189</v>
      </c>
      <c r="BI11" s="884"/>
      <c r="BJ11" s="2100">
        <f t="shared" si="21"/>
        <v>750</v>
      </c>
      <c r="BK11" s="2102"/>
      <c r="BL11" s="2102"/>
      <c r="BM11" s="884"/>
      <c r="BN11" s="1567"/>
      <c r="BO11" s="1548"/>
      <c r="BP11" s="996">
        <v>171</v>
      </c>
      <c r="BQ11" s="997">
        <v>0</v>
      </c>
      <c r="BR11" s="884">
        <f t="shared" si="22"/>
        <v>171</v>
      </c>
      <c r="BS11" s="1365"/>
      <c r="BT11" s="1567"/>
      <c r="BU11" s="1548"/>
      <c r="BV11" s="996">
        <v>353</v>
      </c>
      <c r="BW11" s="997">
        <v>0</v>
      </c>
      <c r="BX11" s="884">
        <f t="shared" si="23"/>
        <v>353</v>
      </c>
      <c r="BY11" s="1365"/>
      <c r="BZ11" s="1980">
        <f t="shared" si="24"/>
        <v>4</v>
      </c>
      <c r="CA11" s="1999">
        <f t="shared" si="25"/>
        <v>38.080504249291778</v>
      </c>
      <c r="CB11" s="1992">
        <f t="shared" si="26"/>
        <v>487.42417999999998</v>
      </c>
      <c r="CC11" s="996">
        <v>368</v>
      </c>
      <c r="CD11" s="1996">
        <v>0</v>
      </c>
      <c r="CE11" s="997">
        <v>0</v>
      </c>
      <c r="CF11" s="1981">
        <v>487.42417999999998</v>
      </c>
      <c r="CG11" s="884">
        <f t="shared" si="27"/>
        <v>368</v>
      </c>
      <c r="CH11" s="1365"/>
      <c r="CI11" s="2102">
        <f t="shared" si="28"/>
        <v>892</v>
      </c>
      <c r="CJ11" s="2105">
        <f t="shared" si="29"/>
        <v>0.18933333333333333</v>
      </c>
      <c r="CK11" s="2108">
        <f t="shared" si="30"/>
        <v>24</v>
      </c>
      <c r="CL11" s="1365"/>
      <c r="CM11" s="1980">
        <f t="shared" si="31"/>
        <v>25</v>
      </c>
      <c r="CN11" s="1999">
        <f t="shared" si="32"/>
        <v>-69.501905706521754</v>
      </c>
      <c r="CO11" s="1992">
        <f t="shared" si="33"/>
        <v>112.23298699999999</v>
      </c>
      <c r="CP11" s="996">
        <v>327</v>
      </c>
      <c r="CQ11" s="1996">
        <v>0</v>
      </c>
      <c r="CR11" s="2232">
        <v>0</v>
      </c>
      <c r="CS11" s="1981">
        <v>112.23298699999999</v>
      </c>
      <c r="CT11" s="884">
        <f t="shared" si="34"/>
        <v>327</v>
      </c>
      <c r="CU11" s="1365"/>
      <c r="CV11" s="1980">
        <f t="shared" si="35"/>
        <v>12</v>
      </c>
      <c r="CW11" s="1999">
        <f t="shared" si="36"/>
        <v>-55.236771406727833</v>
      </c>
      <c r="CX11" s="1992">
        <f t="shared" si="37"/>
        <v>146.37575749999999</v>
      </c>
      <c r="CY11" s="996"/>
      <c r="CZ11" s="1996">
        <f t="shared" si="38"/>
        <v>0</v>
      </c>
      <c r="DA11" s="2232"/>
      <c r="DB11" s="1981">
        <f t="shared" si="39"/>
        <v>146.37575749999999</v>
      </c>
      <c r="DC11" s="884">
        <f t="shared" si="40"/>
        <v>146.37575749999999</v>
      </c>
      <c r="DD11" s="1365"/>
      <c r="DE11" s="1567"/>
      <c r="DF11" s="1548"/>
      <c r="DG11" s="1926">
        <v>179</v>
      </c>
      <c r="DH11" s="997">
        <v>0</v>
      </c>
      <c r="DI11" s="884">
        <f t="shared" si="41"/>
        <v>179</v>
      </c>
      <c r="DJ11" s="367"/>
      <c r="DK11" s="1201"/>
      <c r="DL11" s="945">
        <f>_xlfn.XLOOKUP($K11,'Sales Rec'!$E$4:$E$32,'Sales Rec'!P$4:P$32,"")</f>
        <v>1219</v>
      </c>
      <c r="DM11" s="943">
        <f>_xlfn.XLOOKUP($K11,'Sales Rec'!$E$4:$E$32,'Sales Rec'!O$4:O$32,"")</f>
        <v>0</v>
      </c>
      <c r="DN11" s="948">
        <f t="shared" si="42"/>
        <v>0</v>
      </c>
      <c r="DO11" s="943">
        <f t="shared" si="43"/>
        <v>1219</v>
      </c>
      <c r="DP11" s="913">
        <f>_xlfn.XLOOKUP($K11,'Sales Rec'!$E$4:$E$32,'Sales Rec'!I$4:I$32,"")</f>
        <v>1999</v>
      </c>
      <c r="DQ11" s="914">
        <f>_xlfn.XLOOKUP($K11,'Sales Rec'!$E$4:$E$32,'Sales Rec'!H$4:H$32,"")</f>
        <v>269</v>
      </c>
      <c r="DR11" s="946">
        <f t="shared" si="44"/>
        <v>0.11860670194003527</v>
      </c>
      <c r="DS11" s="942">
        <f>_xlfn.XLOOKUP(K11,Cement!$Q$3:$Q$35,Cement!$AP$3:$AP$35,"")</f>
        <v>2268</v>
      </c>
      <c r="DT11" s="1013" t="str">
        <f t="shared" si="45"/>
        <v>OK</v>
      </c>
      <c r="DU11" s="952">
        <f t="shared" si="46"/>
        <v>2703</v>
      </c>
      <c r="DV11" s="925">
        <f>_xlfn.XLOOKUP($K11,'Sales Rec'!$E$4:$E$32,'Sales Rec'!$M$4:$M$32,"")</f>
        <v>640</v>
      </c>
      <c r="DW11" s="904">
        <f>_xlfn.XLOOKUP($K11,'Sales Rec'!$E$4:$E$32,'Sales Rec'!$N$4:$N$32,"")</f>
        <v>1219</v>
      </c>
      <c r="DX11" s="1195">
        <f>_xlfn.XLOOKUP(K11,Cement!$Q$7:$Q$35,Cement!$AR$7:$AR$35,"")</f>
        <v>3785.9156250000001</v>
      </c>
      <c r="DY11" s="964">
        <f t="shared" si="47"/>
        <v>66.927496693121697</v>
      </c>
      <c r="DZ11" s="1490">
        <f t="shared" si="48"/>
        <v>8</v>
      </c>
      <c r="EA11" s="367"/>
      <c r="EB11" s="176" t="e">
        <f>SUMIF('[1]9-1404.12.03'!$B$2:$B$2000,$J11,'[1]9-1404.12.03'!$L$2:$L$2000)</f>
        <v>#VALUE!</v>
      </c>
      <c r="EC11" s="176" t="e">
        <f>SUMIF('[1]9-1404.12.03'!$B$2:$B$2000,$J11,'[1]9-1404.12.03'!$E$2:$E$2000)/10</f>
        <v>#VALUE!</v>
      </c>
      <c r="ED11" s="177" t="str">
        <f t="shared" si="49"/>
        <v/>
      </c>
      <c r="EE11" s="176" t="e">
        <f>SUMIF('[1]8B-1404.12.02'!$D$2:$D$3000,$J11,'[1]8B-1404.12.02'!$M$2:$M$3000)</f>
        <v>#VALUE!</v>
      </c>
      <c r="EF11" s="176" t="e">
        <f>SUMIF('[1]8B-1404.12.02'!$D$2:$D$3000,$J11,'[1]8B-1404.12.02'!$G$2:$G$3000)/10</f>
        <v>#VALUE!</v>
      </c>
      <c r="EG11" s="177" t="str">
        <f t="shared" si="50"/>
        <v/>
      </c>
      <c r="EH11" s="1502"/>
      <c r="EI11" s="1534">
        <f>SUMIF(Cem_Export!$C$2:$C$3000,$J11,Cem_Export!$I$2:$I$3000)</f>
        <v>0</v>
      </c>
      <c r="EJ11" s="1534">
        <f>SUMIFS(Cem_Export!$J$2:$J$3000,Cem_Export!$C$2:$C$3000,$J11,Cem_Export!$L$2:$L$3000, $EJ$4)</f>
        <v>0</v>
      </c>
      <c r="EK11" s="1534">
        <f>SUMIFS(Cem_Export!$J$2:$J$3000,Cem_Export!$C$2:$C$3000,$J11,Cem_Export!$L$2:$L$3000, $EK$4)</f>
        <v>0</v>
      </c>
      <c r="EL11" s="1682" t="str">
        <f t="shared" si="51"/>
        <v/>
      </c>
      <c r="EM11" s="1836">
        <f t="shared" si="52"/>
        <v>0</v>
      </c>
      <c r="EN11" s="1562"/>
      <c r="EO11" s="1625">
        <f>SUMIF('Cem-Domestic'!$D$2:$D$4000,$J11,'Cem-Domestic'!$M$2:$M$4000)</f>
        <v>40000</v>
      </c>
      <c r="EP11" s="1625">
        <f>SUMIF('Cem-Domestic'!$D$2:$D$4000,$J11,'Cem-Domestic'!$G$2:$G$4000)/10^7</f>
        <v>146.37575749999999</v>
      </c>
      <c r="EQ11" s="1681">
        <f t="shared" si="53"/>
        <v>3659.3939375</v>
      </c>
      <c r="ER11" s="1562"/>
      <c r="ES11" s="1533">
        <v>14500</v>
      </c>
      <c r="ET11" s="1534">
        <v>464000</v>
      </c>
      <c r="EU11" s="1535">
        <v>32</v>
      </c>
      <c r="EV11" s="1533">
        <v>0</v>
      </c>
      <c r="EW11" s="1534">
        <v>0</v>
      </c>
      <c r="EX11" s="1535" t="s">
        <v>192</v>
      </c>
      <c r="EY11" s="1533">
        <v>0</v>
      </c>
      <c r="EZ11" s="1534">
        <v>0</v>
      </c>
      <c r="FA11" s="1535" t="s">
        <v>192</v>
      </c>
      <c r="FB11" s="1533">
        <v>0</v>
      </c>
      <c r="FC11" s="1534">
        <v>0</v>
      </c>
      <c r="FD11" s="1535" t="s">
        <v>192</v>
      </c>
      <c r="FE11" s="1533">
        <v>0</v>
      </c>
      <c r="FF11" s="1534">
        <v>0</v>
      </c>
      <c r="FG11" s="1535" t="s">
        <v>192</v>
      </c>
    </row>
    <row r="12" spans="1:233" ht="30" customHeight="1">
      <c r="A12" s="975">
        <f t="shared" si="0"/>
        <v>8</v>
      </c>
      <c r="B12" s="975">
        <f t="shared" si="1"/>
        <v>10</v>
      </c>
      <c r="C12" s="975">
        <f t="shared" si="2"/>
        <v>23</v>
      </c>
      <c r="D12" s="1015">
        <f t="shared" si="3"/>
        <v>0.28739678434383309</v>
      </c>
      <c r="E12" s="1217">
        <f>_xlfn.XLOOKUP(K12,Cement!$Q$7:$Q$35,Cement!$Z$7:$Z$35,"")</f>
        <v>5.9287399988487886E-2</v>
      </c>
      <c r="F12" s="1091">
        <f t="shared" si="4"/>
        <v>22.810938435534521</v>
      </c>
      <c r="G12" s="991">
        <f t="shared" si="5"/>
        <v>-2.8751469008428329E-2</v>
      </c>
      <c r="H12" s="173">
        <f>_xlfn.XLOOKUP($K12,Cement!$Q$7:$Q$35,Cement!$B$7:$B$35,"")</f>
        <v>6.7690925595276914</v>
      </c>
      <c r="I12" s="173">
        <f>_xlfn.XLOOKUP(K12,Cement!$Q$7:$Q$35,Cement!$A$7:$A$35,"")</f>
        <v>15.202117459117378</v>
      </c>
      <c r="J12" s="202" t="s">
        <v>901</v>
      </c>
      <c r="K12" s="926" t="s">
        <v>57</v>
      </c>
      <c r="L12" s="937">
        <f>_xlfn.XLOOKUP(K12,Cement!$Q$7:$Q$35,Cement!$R$7:$R$35,"")</f>
        <v>12</v>
      </c>
      <c r="M12" s="2013">
        <f>_xlfn.XLOOKUP(K12,'Sales Rec'!$E$4:$E$32,'Sales Rec'!$L$4:$L$32,"")</f>
        <v>4</v>
      </c>
      <c r="N12" s="930">
        <f t="shared" si="6"/>
        <v>3335.7142857142858</v>
      </c>
      <c r="O12" s="208">
        <f t="shared" si="7"/>
        <v>2460.9523809523807</v>
      </c>
      <c r="P12" s="1465">
        <f t="shared" si="8"/>
        <v>1775</v>
      </c>
      <c r="Q12" s="1466">
        <f>IFERROR(((P12-V12)/V12)*100,"")</f>
        <v>78.751258811681765</v>
      </c>
      <c r="R12" s="1472">
        <f t="shared" si="9"/>
        <v>1060</v>
      </c>
      <c r="S12" s="1473">
        <f t="shared" si="10"/>
        <v>-40.281690140845072</v>
      </c>
      <c r="T12" s="1479">
        <f t="shared" si="11"/>
        <v>1340</v>
      </c>
      <c r="U12" s="1092">
        <f t="shared" si="12"/>
        <v>26.415094339622641</v>
      </c>
      <c r="V12" s="1486">
        <f t="shared" si="13"/>
        <v>993</v>
      </c>
      <c r="W12" s="1487">
        <f t="shared" si="14"/>
        <v>-25.8955223880597</v>
      </c>
      <c r="X12" s="934">
        <f>_xlfn.XLOOKUP(K12,Cement!$Q$7:$Q$35,Cement!$AK$7:$AK$35,"")</f>
        <v>2100000</v>
      </c>
      <c r="Y12" s="1911"/>
      <c r="Z12" s="1567"/>
      <c r="AA12" s="1548"/>
      <c r="AB12" s="996">
        <v>490</v>
      </c>
      <c r="AC12" s="997">
        <v>35</v>
      </c>
      <c r="AD12" s="884">
        <f t="shared" si="15"/>
        <v>455</v>
      </c>
      <c r="AE12" s="1365"/>
      <c r="AF12" s="1567">
        <v>387.54825699999998</v>
      </c>
      <c r="AG12" s="1548">
        <v>0</v>
      </c>
      <c r="AH12" s="996">
        <v>481</v>
      </c>
      <c r="AI12" s="997">
        <v>50</v>
      </c>
      <c r="AJ12" s="884">
        <f t="shared" si="16"/>
        <v>431</v>
      </c>
      <c r="AK12" s="1365"/>
      <c r="AL12" s="1567">
        <v>331.5553625</v>
      </c>
      <c r="AM12" s="1548">
        <v>0</v>
      </c>
      <c r="AN12" s="996">
        <v>369</v>
      </c>
      <c r="AO12" s="997">
        <v>54</v>
      </c>
      <c r="AP12" s="884">
        <f t="shared" si="17"/>
        <v>315</v>
      </c>
      <c r="AQ12" s="1365"/>
      <c r="AR12" s="1567">
        <v>387.58032150000003</v>
      </c>
      <c r="AS12" s="1548">
        <v>0</v>
      </c>
      <c r="AT12" s="996">
        <v>254</v>
      </c>
      <c r="AU12" s="997">
        <v>40</v>
      </c>
      <c r="AV12" s="884">
        <f t="shared" si="18"/>
        <v>214</v>
      </c>
      <c r="AW12" s="884"/>
      <c r="AX12" s="1567">
        <v>430.3054075</v>
      </c>
      <c r="AY12" s="1548">
        <v>0</v>
      </c>
      <c r="AZ12" s="996">
        <v>333</v>
      </c>
      <c r="BA12" s="997">
        <v>29</v>
      </c>
      <c r="BB12" s="884">
        <f t="shared" si="19"/>
        <v>304</v>
      </c>
      <c r="BC12" s="884"/>
      <c r="BD12" s="1567"/>
      <c r="BE12" s="1548"/>
      <c r="BF12" s="996">
        <v>406</v>
      </c>
      <c r="BG12" s="997">
        <v>29</v>
      </c>
      <c r="BH12" s="884">
        <f t="shared" si="20"/>
        <v>377</v>
      </c>
      <c r="BI12" s="884"/>
      <c r="BJ12" s="2100">
        <f t="shared" si="21"/>
        <v>993</v>
      </c>
      <c r="BK12" s="2102"/>
      <c r="BL12" s="2102"/>
      <c r="BM12" s="884"/>
      <c r="BN12" s="1567"/>
      <c r="BO12" s="1548"/>
      <c r="BP12" s="996">
        <v>488</v>
      </c>
      <c r="BQ12" s="997">
        <v>32</v>
      </c>
      <c r="BR12" s="884">
        <f t="shared" si="22"/>
        <v>456</v>
      </c>
      <c r="BS12" s="1365"/>
      <c r="BT12" s="1567"/>
      <c r="BU12" s="1548"/>
      <c r="BV12" s="996">
        <v>674</v>
      </c>
      <c r="BW12" s="997">
        <v>42</v>
      </c>
      <c r="BX12" s="884">
        <f t="shared" si="23"/>
        <v>632</v>
      </c>
      <c r="BY12" s="1365"/>
      <c r="BZ12" s="1980">
        <f t="shared" si="24"/>
        <v>15</v>
      </c>
      <c r="CA12" s="1999">
        <f t="shared" si="25"/>
        <v>0.84550118694361598</v>
      </c>
      <c r="CB12" s="1992">
        <f t="shared" si="26"/>
        <v>679.69867799999997</v>
      </c>
      <c r="CC12" s="996">
        <v>613</v>
      </c>
      <c r="CD12" s="1996">
        <v>17.920000000000002</v>
      </c>
      <c r="CE12" s="997">
        <v>49</v>
      </c>
      <c r="CF12" s="1981">
        <v>661.77867800000001</v>
      </c>
      <c r="CG12" s="884">
        <f t="shared" si="27"/>
        <v>564</v>
      </c>
      <c r="CH12" s="1365"/>
      <c r="CI12" s="2102">
        <f t="shared" si="28"/>
        <v>1775</v>
      </c>
      <c r="CJ12" s="2105">
        <f t="shared" si="29"/>
        <v>0.78751258811681768</v>
      </c>
      <c r="CK12" s="2108">
        <f t="shared" si="30"/>
        <v>5</v>
      </c>
      <c r="CL12" s="1365"/>
      <c r="CM12" s="1980">
        <f t="shared" si="31"/>
        <v>11</v>
      </c>
      <c r="CN12" s="1999">
        <f t="shared" si="32"/>
        <v>-11.115856851549752</v>
      </c>
      <c r="CO12" s="1992">
        <f t="shared" si="33"/>
        <v>544.85979750000001</v>
      </c>
      <c r="CP12" s="996">
        <v>560</v>
      </c>
      <c r="CQ12" s="1996">
        <v>26.040000000000003</v>
      </c>
      <c r="CR12" s="2232">
        <v>29</v>
      </c>
      <c r="CS12" s="1981">
        <v>518.81979750000005</v>
      </c>
      <c r="CT12" s="884">
        <f t="shared" si="34"/>
        <v>531</v>
      </c>
      <c r="CU12" s="1365"/>
      <c r="CV12" s="1980">
        <f t="shared" si="35"/>
        <v>10</v>
      </c>
      <c r="CW12" s="1999">
        <f t="shared" si="36"/>
        <v>-52.708536785714287</v>
      </c>
      <c r="CX12" s="1992">
        <f t="shared" si="37"/>
        <v>264.83219399999996</v>
      </c>
      <c r="CY12" s="996"/>
      <c r="CZ12" s="1996">
        <f t="shared" si="38"/>
        <v>26.25</v>
      </c>
      <c r="DA12" s="2232"/>
      <c r="DB12" s="1981">
        <f t="shared" si="39"/>
        <v>238.58219399999999</v>
      </c>
      <c r="DC12" s="884">
        <f t="shared" si="40"/>
        <v>238.58219399999999</v>
      </c>
      <c r="DD12" s="1365"/>
      <c r="DE12" s="1567"/>
      <c r="DF12" s="1548"/>
      <c r="DG12" s="1926">
        <v>500</v>
      </c>
      <c r="DH12" s="997">
        <v>33</v>
      </c>
      <c r="DI12" s="884">
        <f t="shared" si="41"/>
        <v>467</v>
      </c>
      <c r="DJ12" s="367"/>
      <c r="DK12" s="1201"/>
      <c r="DL12" s="945">
        <f>_xlfn.XLOOKUP($K12,'Sales Rec'!$E$4:$E$32,'Sales Rec'!P$4:P$32,"")</f>
        <v>2182</v>
      </c>
      <c r="DM12" s="943">
        <f>_xlfn.XLOOKUP($K12,'Sales Rec'!$E$4:$E$32,'Sales Rec'!O$4:O$32,"")</f>
        <v>153</v>
      </c>
      <c r="DN12" s="948">
        <f t="shared" si="42"/>
        <v>6.5524625267665948E-2</v>
      </c>
      <c r="DO12" s="943">
        <f t="shared" si="43"/>
        <v>2335</v>
      </c>
      <c r="DP12" s="913">
        <f>_xlfn.XLOOKUP($K12,'Sales Rec'!$E$4:$E$32,'Sales Rec'!I$4:I$32,"")</f>
        <v>4573</v>
      </c>
      <c r="DQ12" s="914">
        <f>_xlfn.XLOOKUP($K12,'Sales Rec'!$E$4:$E$32,'Sales Rec'!H$4:H$32,"")</f>
        <v>476</v>
      </c>
      <c r="DR12" s="946">
        <f t="shared" si="44"/>
        <v>9.4276094276094277E-2</v>
      </c>
      <c r="DS12" s="942">
        <f>_xlfn.XLOOKUP(K12,Cement!$Q$3:$Q$35,Cement!$AP$3:$AP$35,"")</f>
        <v>5049</v>
      </c>
      <c r="DT12" s="1013" t="str">
        <f t="shared" si="45"/>
        <v>OK</v>
      </c>
      <c r="DU12" s="952">
        <f t="shared" si="46"/>
        <v>5168</v>
      </c>
      <c r="DV12" s="925">
        <f>_xlfn.XLOOKUP($K12,'Sales Rec'!$E$4:$E$32,'Sales Rec'!$M$4:$M$32,"")</f>
        <v>1763</v>
      </c>
      <c r="DW12" s="904">
        <f>_xlfn.XLOOKUP($K12,'Sales Rec'!$E$4:$E$32,'Sales Rec'!$N$4:$N$32,"")</f>
        <v>2335</v>
      </c>
      <c r="DX12" s="1195">
        <f>_xlfn.XLOOKUP(K12,Cement!$Q$7:$Q$35,Cement!$AR$7:$AR$35,"")</f>
        <v>6500.0663641520132</v>
      </c>
      <c r="DY12" s="964">
        <f t="shared" si="47"/>
        <v>28.739678434383308</v>
      </c>
      <c r="DZ12" s="1490">
        <f t="shared" si="48"/>
        <v>23</v>
      </c>
      <c r="EA12" s="367"/>
      <c r="EB12" s="176" t="e">
        <f>SUMIF('[1]9-1404.12.03'!$B$2:$B$2000,$J12,'[1]9-1404.12.03'!$L$2:$L$2000)</f>
        <v>#VALUE!</v>
      </c>
      <c r="EC12" s="176" t="e">
        <f>SUMIF('[1]9-1404.12.03'!$B$2:$B$2000,$J12,'[1]9-1404.12.03'!$E$2:$E$2000)/10</f>
        <v>#VALUE!</v>
      </c>
      <c r="ED12" s="177" t="str">
        <f t="shared" si="49"/>
        <v/>
      </c>
      <c r="EE12" s="176" t="e">
        <f>SUMIF('[1]8B-1404.12.02'!$D$2:$D$3000,$J12,'[1]8B-1404.12.02'!$M$2:$M$3000)</f>
        <v>#VALUE!</v>
      </c>
      <c r="EF12" s="176" t="e">
        <f>SUMIF('[1]8B-1404.12.02'!$D$2:$D$3000,$J12,'[1]8B-1404.12.02'!$G$2:$G$3000)/10</f>
        <v>#VALUE!</v>
      </c>
      <c r="EG12" s="177" t="str">
        <f t="shared" si="50"/>
        <v/>
      </c>
      <c r="EH12" s="1502"/>
      <c r="EI12" s="1534">
        <f>SUMIF(Cem_Export!$C$2:$C$3000,$J12,Cem_Export!$I$2:$I$3000)</f>
        <v>5500</v>
      </c>
      <c r="EJ12" s="1534">
        <f>SUMIFS(Cem_Export!$J$2:$J$3000,Cem_Export!$C$2:$C$3000,$J12,Cem_Export!$L$2:$L$3000, $EJ$4)</f>
        <v>187500</v>
      </c>
      <c r="EK12" s="1534">
        <f>SUMIFS(Cem_Export!$J$2:$J$3000,Cem_Export!$C$2:$C$3000,$J12,Cem_Export!$L$2:$L$3000, $EK$4)</f>
        <v>0</v>
      </c>
      <c r="EL12" s="1682">
        <f t="shared" si="51"/>
        <v>34.090909090909093</v>
      </c>
      <c r="EM12" s="1836">
        <f t="shared" si="52"/>
        <v>26.25</v>
      </c>
      <c r="EN12" s="1562"/>
      <c r="EO12" s="1625">
        <f>SUMIF('Cem-Domestic'!$D$2:$D$4000,$J12,'Cem-Domestic'!$M$2:$M$4000)</f>
        <v>62200</v>
      </c>
      <c r="EP12" s="1625">
        <f>SUMIF('Cem-Domestic'!$D$2:$D$4000,$J12,'Cem-Domestic'!$G$2:$G$4000)/10^7</f>
        <v>238.58219399999999</v>
      </c>
      <c r="EQ12" s="1681">
        <f t="shared" si="53"/>
        <v>3835.726591639871</v>
      </c>
      <c r="ER12" s="1562"/>
      <c r="ES12" s="1533">
        <v>0</v>
      </c>
      <c r="ET12" s="1534">
        <v>0</v>
      </c>
      <c r="EU12" s="1535" t="s">
        <v>192</v>
      </c>
      <c r="EV12" s="1533">
        <v>0</v>
      </c>
      <c r="EW12" s="1534">
        <v>0</v>
      </c>
      <c r="EX12" s="1535" t="s">
        <v>192</v>
      </c>
      <c r="EY12" s="1533">
        <v>0</v>
      </c>
      <c r="EZ12" s="1534">
        <v>0</v>
      </c>
      <c r="FA12" s="1535" t="s">
        <v>192</v>
      </c>
      <c r="FB12" s="1533">
        <v>0</v>
      </c>
      <c r="FC12" s="1534">
        <v>0</v>
      </c>
      <c r="FD12" s="1535" t="s">
        <v>192</v>
      </c>
      <c r="FE12" s="1533">
        <v>0</v>
      </c>
      <c r="FF12" s="1534">
        <v>0</v>
      </c>
      <c r="FG12" s="1535" t="s">
        <v>192</v>
      </c>
    </row>
    <row r="13" spans="1:233" ht="30" customHeight="1">
      <c r="A13" s="975">
        <f t="shared" si="0"/>
        <v>9</v>
      </c>
      <c r="B13" s="975">
        <f t="shared" si="1"/>
        <v>6</v>
      </c>
      <c r="C13" s="975">
        <f t="shared" si="2"/>
        <v>17</v>
      </c>
      <c r="D13" s="1015">
        <f t="shared" si="3"/>
        <v>0.43324617093414536</v>
      </c>
      <c r="E13" s="1217">
        <f>_xlfn.XLOOKUP(K13,Cement!$Q$7:$Q$35,Cement!$Z$7:$Z$35,"")</f>
        <v>5.3960768136557674E-2</v>
      </c>
      <c r="F13" s="1091">
        <f t="shared" si="4"/>
        <v>37.928540279758771</v>
      </c>
      <c r="G13" s="991">
        <f t="shared" si="5"/>
        <v>-8.4787997003211296E-3</v>
      </c>
      <c r="H13" s="173">
        <f>_xlfn.XLOOKUP($K13,Cement!$Q$7:$Q$35,Cement!$B$7:$B$35,"")</f>
        <v>-5.2094126947273356</v>
      </c>
      <c r="I13" s="173">
        <f>_xlfn.XLOOKUP(K13,Cement!$Q$7:$Q$35,Cement!$A$7:$A$35,"")</f>
        <v>9.2730653097207458</v>
      </c>
      <c r="J13" s="202" t="s">
        <v>904</v>
      </c>
      <c r="K13" s="926" t="s">
        <v>53</v>
      </c>
      <c r="L13" s="937">
        <f>_xlfn.XLOOKUP(K13,Cement!$Q$7:$Q$35,Cement!$R$7:$R$35,"")</f>
        <v>12</v>
      </c>
      <c r="M13" s="2013">
        <f>_xlfn.XLOOKUP(K13,'Sales Rec'!$E$4:$E$32,'Sales Rec'!$L$4:$L$32,"")</f>
        <v>4</v>
      </c>
      <c r="N13" s="930">
        <f t="shared" si="6"/>
        <v>3208.0645161290322</v>
      </c>
      <c r="O13" s="208">
        <f t="shared" si="7"/>
        <v>2576.6129032258063</v>
      </c>
      <c r="P13" s="1465">
        <f t="shared" si="8"/>
        <v>2012</v>
      </c>
      <c r="Q13" s="1466">
        <f>((P13-V13)/V13)*100</f>
        <v>36.499321573948443</v>
      </c>
      <c r="R13" s="1472">
        <f t="shared" si="9"/>
        <v>1211</v>
      </c>
      <c r="S13" s="1473">
        <f t="shared" si="10"/>
        <v>-39.811133200795226</v>
      </c>
      <c r="T13" s="1479">
        <f t="shared" si="11"/>
        <v>1693</v>
      </c>
      <c r="U13" s="1092">
        <f t="shared" si="12"/>
        <v>39.801816680429397</v>
      </c>
      <c r="V13" s="1486">
        <f t="shared" si="13"/>
        <v>1474</v>
      </c>
      <c r="W13" s="1487">
        <f t="shared" si="14"/>
        <v>-12.935617247489665</v>
      </c>
      <c r="X13" s="934">
        <f>_xlfn.XLOOKUP(K13,Cement!$Q$7:$Q$35,Cement!$AK$7:$AK$35,"")</f>
        <v>2480000</v>
      </c>
      <c r="Y13" s="1911"/>
      <c r="Z13" s="1567"/>
      <c r="AA13" s="1548"/>
      <c r="AB13" s="996">
        <v>579</v>
      </c>
      <c r="AC13" s="997">
        <v>35</v>
      </c>
      <c r="AD13" s="884">
        <f t="shared" si="15"/>
        <v>544</v>
      </c>
      <c r="AE13" s="1365"/>
      <c r="AF13" s="1567">
        <v>523.38766799999996</v>
      </c>
      <c r="AG13" s="1548">
        <v>230422.50202936199</v>
      </c>
      <c r="AH13" s="996">
        <v>561</v>
      </c>
      <c r="AI13" s="997">
        <v>34</v>
      </c>
      <c r="AJ13" s="884">
        <f t="shared" si="16"/>
        <v>527</v>
      </c>
      <c r="AK13" s="1365"/>
      <c r="AL13" s="1567">
        <v>589.45878300000004</v>
      </c>
      <c r="AM13" s="1548">
        <v>135422.49939766119</v>
      </c>
      <c r="AN13" s="996">
        <v>553</v>
      </c>
      <c r="AO13" s="997">
        <v>26</v>
      </c>
      <c r="AP13" s="884">
        <f t="shared" si="17"/>
        <v>527</v>
      </c>
      <c r="AQ13" s="1365"/>
      <c r="AR13" s="1567">
        <v>486.03795550000001</v>
      </c>
      <c r="AS13" s="1548">
        <v>0</v>
      </c>
      <c r="AT13" s="996">
        <v>489</v>
      </c>
      <c r="AU13" s="997">
        <v>15</v>
      </c>
      <c r="AV13" s="884">
        <f t="shared" si="18"/>
        <v>474</v>
      </c>
      <c r="AW13" s="884"/>
      <c r="AX13" s="1567">
        <v>486.3968385</v>
      </c>
      <c r="AY13" s="1548">
        <v>3.096180022126152</v>
      </c>
      <c r="AZ13" s="996">
        <v>513</v>
      </c>
      <c r="BA13" s="997">
        <v>30</v>
      </c>
      <c r="BB13" s="884">
        <f t="shared" si="19"/>
        <v>483</v>
      </c>
      <c r="BC13" s="884"/>
      <c r="BD13" s="1567"/>
      <c r="BE13" s="1548"/>
      <c r="BF13" s="996">
        <v>472</v>
      </c>
      <c r="BG13" s="997">
        <v>8</v>
      </c>
      <c r="BH13" s="884">
        <f t="shared" si="20"/>
        <v>464</v>
      </c>
      <c r="BI13" s="884"/>
      <c r="BJ13" s="2100">
        <f t="shared" si="21"/>
        <v>1474</v>
      </c>
      <c r="BK13" s="2102"/>
      <c r="BL13" s="2102"/>
      <c r="BM13" s="884"/>
      <c r="BN13" s="1567"/>
      <c r="BO13" s="1548"/>
      <c r="BP13" s="996">
        <v>439</v>
      </c>
      <c r="BQ13" s="997">
        <v>55</v>
      </c>
      <c r="BR13" s="884">
        <f t="shared" si="22"/>
        <v>384</v>
      </c>
      <c r="BS13" s="1365"/>
      <c r="BT13" s="1567"/>
      <c r="BU13" s="1548"/>
      <c r="BV13" s="996">
        <v>803</v>
      </c>
      <c r="BW13" s="997">
        <v>40</v>
      </c>
      <c r="BX13" s="884">
        <f t="shared" si="23"/>
        <v>763</v>
      </c>
      <c r="BY13" s="1365"/>
      <c r="BZ13" s="1980">
        <f t="shared" si="24"/>
        <v>19</v>
      </c>
      <c r="CA13" s="1999">
        <f t="shared" si="25"/>
        <v>-2.2050492706377094</v>
      </c>
      <c r="CB13" s="1992">
        <f t="shared" si="26"/>
        <v>785.29345435677919</v>
      </c>
      <c r="CC13" s="996">
        <v>770</v>
      </c>
      <c r="CD13" s="1996">
        <v>19.949999856779161</v>
      </c>
      <c r="CE13" s="997">
        <v>31</v>
      </c>
      <c r="CF13" s="1981">
        <v>765.34345450000001</v>
      </c>
      <c r="CG13" s="884">
        <f t="shared" si="27"/>
        <v>739</v>
      </c>
      <c r="CH13" s="1365"/>
      <c r="CI13" s="2102">
        <f t="shared" si="28"/>
        <v>2012</v>
      </c>
      <c r="CJ13" s="2105">
        <f t="shared" si="29"/>
        <v>0.3649932157394844</v>
      </c>
      <c r="CK13" s="2108">
        <f t="shared" si="30"/>
        <v>19</v>
      </c>
      <c r="CL13" s="1365"/>
      <c r="CM13" s="1980">
        <f t="shared" si="31"/>
        <v>17</v>
      </c>
      <c r="CN13" s="1999">
        <f t="shared" si="32"/>
        <v>-33.802289935064934</v>
      </c>
      <c r="CO13" s="1992">
        <f t="shared" si="33"/>
        <v>509.72236750000002</v>
      </c>
      <c r="CP13" s="996">
        <v>641</v>
      </c>
      <c r="CQ13" s="1996">
        <v>0</v>
      </c>
      <c r="CR13" s="2232">
        <v>15</v>
      </c>
      <c r="CS13" s="1981">
        <v>509.72236750000002</v>
      </c>
      <c r="CT13" s="884">
        <f t="shared" si="34"/>
        <v>626</v>
      </c>
      <c r="CU13" s="1365"/>
      <c r="CV13" s="1980">
        <f t="shared" si="35"/>
        <v>15</v>
      </c>
      <c r="CW13" s="1999">
        <f t="shared" si="36"/>
        <v>-57.17835374414976</v>
      </c>
      <c r="CX13" s="1992">
        <f t="shared" si="37"/>
        <v>274.48675250000002</v>
      </c>
      <c r="CY13" s="996"/>
      <c r="CZ13" s="1996">
        <f t="shared" si="38"/>
        <v>0</v>
      </c>
      <c r="DA13" s="2232"/>
      <c r="DB13" s="1981">
        <f t="shared" si="39"/>
        <v>274.48675250000002</v>
      </c>
      <c r="DC13" s="884">
        <f t="shared" si="40"/>
        <v>274.48675250000002</v>
      </c>
      <c r="DD13" s="1365"/>
      <c r="DE13" s="1567"/>
      <c r="DF13" s="1548"/>
      <c r="DG13" s="1926">
        <v>570</v>
      </c>
      <c r="DH13" s="997">
        <v>35</v>
      </c>
      <c r="DI13" s="884">
        <f t="shared" si="41"/>
        <v>535</v>
      </c>
      <c r="DJ13" s="367"/>
      <c r="DK13" s="1201"/>
      <c r="DL13" s="945">
        <f>_xlfn.XLOOKUP($K13,'Sales Rec'!$E$4:$E$32,'Sales Rec'!P$4:P$32,"")</f>
        <v>2512</v>
      </c>
      <c r="DM13" s="943">
        <f>_xlfn.XLOOKUP($K13,'Sales Rec'!$E$4:$E$32,'Sales Rec'!O$4:O$32,"")</f>
        <v>140</v>
      </c>
      <c r="DN13" s="948">
        <f t="shared" si="42"/>
        <v>5.2790346907993967E-2</v>
      </c>
      <c r="DO13" s="943">
        <f t="shared" si="43"/>
        <v>2652</v>
      </c>
      <c r="DP13" s="913">
        <f>_xlfn.XLOOKUP($K13,'Sales Rec'!$E$4:$E$32,'Sales Rec'!I$4:I$32,"")</f>
        <v>5577</v>
      </c>
      <c r="DQ13" s="914">
        <f>_xlfn.XLOOKUP($K13,'Sales Rec'!$E$4:$E$32,'Sales Rec'!H$4:H$32,"")</f>
        <v>364</v>
      </c>
      <c r="DR13" s="946">
        <f t="shared" si="44"/>
        <v>6.1269146608315096E-2</v>
      </c>
      <c r="DS13" s="942">
        <f>_xlfn.XLOOKUP(K13,Cement!$Q$3:$Q$35,Cement!$AP$3:$AP$35,"")</f>
        <v>5941</v>
      </c>
      <c r="DT13" s="1013" t="str">
        <f t="shared" si="45"/>
        <v>OK</v>
      </c>
      <c r="DU13" s="952">
        <f t="shared" si="46"/>
        <v>6390</v>
      </c>
      <c r="DV13" s="925">
        <f>_xlfn.XLOOKUP($K13,'Sales Rec'!$E$4:$E$32,'Sales Rec'!$M$4:$M$32,"")</f>
        <v>1645</v>
      </c>
      <c r="DW13" s="904">
        <f>_xlfn.XLOOKUP($K13,'Sales Rec'!$E$4:$E$32,'Sales Rec'!$N$4:$N$32,"")</f>
        <v>2652</v>
      </c>
      <c r="DX13" s="1195">
        <f>_xlfn.XLOOKUP(K13,Cement!$Q$7:$Q$35,Cement!$AR$7:$AR$35,"")</f>
        <v>8514.9155015197575</v>
      </c>
      <c r="DY13" s="964">
        <f t="shared" si="47"/>
        <v>43.324617093414538</v>
      </c>
      <c r="DZ13" s="1490">
        <f t="shared" si="48"/>
        <v>17</v>
      </c>
      <c r="EA13" s="367"/>
      <c r="EB13" s="176" t="e">
        <f>SUMIF('[1]9-1404.12.03'!$B$2:$B$2000,$J13,'[1]9-1404.12.03'!$L$2:$L$2000)</f>
        <v>#VALUE!</v>
      </c>
      <c r="EC13" s="176" t="e">
        <f>SUMIF('[1]9-1404.12.03'!$B$2:$B$2000,$J13,'[1]9-1404.12.03'!$E$2:$E$2000)/10</f>
        <v>#VALUE!</v>
      </c>
      <c r="ED13" s="177" t="str">
        <f t="shared" si="49"/>
        <v/>
      </c>
      <c r="EE13" s="176" t="e">
        <f>SUMIF('[1]8B-1404.12.02'!$D$2:$D$3000,$J13,'[1]8B-1404.12.02'!$M$2:$M$3000)</f>
        <v>#VALUE!</v>
      </c>
      <c r="EF13" s="176" t="e">
        <f>SUMIF('[1]8B-1404.12.02'!$D$2:$D$3000,$J13,'[1]8B-1404.12.02'!$G$2:$G$3000)/10</f>
        <v>#VALUE!</v>
      </c>
      <c r="EG13" s="177" t="str">
        <f t="shared" si="50"/>
        <v/>
      </c>
      <c r="EH13" s="1502"/>
      <c r="EI13" s="1534">
        <f>SUMIF(Cem_Export!$C$2:$C$3000,$J13,Cem_Export!$I$2:$I$3000)</f>
        <v>0</v>
      </c>
      <c r="EJ13" s="1534">
        <f>SUMIFS(Cem_Export!$J$2:$J$3000,Cem_Export!$C$2:$C$3000,$J13,Cem_Export!$L$2:$L$3000, $EJ$4)</f>
        <v>0</v>
      </c>
      <c r="EK13" s="1534">
        <f>SUMIFS(Cem_Export!$J$2:$J$3000,Cem_Export!$C$2:$C$3000,$J13,Cem_Export!$L$2:$L$3000, $EK$4)</f>
        <v>0</v>
      </c>
      <c r="EL13" s="1682" t="str">
        <f t="shared" si="51"/>
        <v/>
      </c>
      <c r="EM13" s="1836">
        <f t="shared" si="52"/>
        <v>0</v>
      </c>
      <c r="EN13" s="1562"/>
      <c r="EO13" s="1625">
        <f>SUMIF('Cem-Domestic'!$D$2:$D$4000,$J13,'Cem-Domestic'!$M$2:$M$4000)</f>
        <v>77000</v>
      </c>
      <c r="EP13" s="1625">
        <f>SUMIF('Cem-Domestic'!$D$2:$D$4000,$J13,'Cem-Domestic'!$G$2:$G$4000)/10^7</f>
        <v>274.48675250000002</v>
      </c>
      <c r="EQ13" s="1681">
        <f t="shared" si="53"/>
        <v>3564.7630194805201</v>
      </c>
      <c r="ER13" s="1562"/>
      <c r="ES13" s="1533">
        <v>0</v>
      </c>
      <c r="ET13" s="1534">
        <v>0</v>
      </c>
      <c r="EU13" s="1535" t="s">
        <v>192</v>
      </c>
      <c r="EV13" s="1533">
        <v>0</v>
      </c>
      <c r="EW13" s="1534">
        <v>0</v>
      </c>
      <c r="EX13" s="1535" t="s">
        <v>192</v>
      </c>
      <c r="EY13" s="1533">
        <v>2850</v>
      </c>
      <c r="EZ13" s="1534">
        <v>135375.00202936199</v>
      </c>
      <c r="FA13" s="1535">
        <v>47.500000712056838</v>
      </c>
      <c r="FB13" s="1533">
        <v>0</v>
      </c>
      <c r="FC13" s="1534">
        <v>0</v>
      </c>
      <c r="FD13" s="1535" t="s">
        <v>192</v>
      </c>
      <c r="FE13" s="1533">
        <v>2001</v>
      </c>
      <c r="FF13" s="1534">
        <v>95047.5</v>
      </c>
      <c r="FG13" s="1535">
        <v>47.5</v>
      </c>
    </row>
    <row r="14" spans="1:233" ht="30" customHeight="1">
      <c r="A14" s="975">
        <f t="shared" si="0"/>
        <v>10</v>
      </c>
      <c r="B14" s="975">
        <f t="shared" si="1"/>
        <v>8</v>
      </c>
      <c r="C14" s="975">
        <f t="shared" si="2"/>
        <v>6</v>
      </c>
      <c r="D14" s="1015">
        <f t="shared" si="3"/>
        <v>0.6785692214645912</v>
      </c>
      <c r="E14" s="1217">
        <f>_xlfn.XLOOKUP(K14,Cement!$Q$7:$Q$35,Cement!$Z$7:$Z$35,"")</f>
        <v>0.97829745222929954</v>
      </c>
      <c r="F14" s="1091">
        <f t="shared" si="4"/>
        <v>-29.972823076470835</v>
      </c>
      <c r="G14" s="991">
        <f t="shared" si="5"/>
        <v>1.5385008418698651E-2</v>
      </c>
      <c r="H14" s="173">
        <f>_xlfn.XLOOKUP($K14,Cement!$Q$7:$Q$35,Cement!$B$7:$B$35,"")</f>
        <v>0.59572866302527594</v>
      </c>
      <c r="I14" s="173">
        <f>_xlfn.XLOOKUP(K14,Cement!$Q$7:$Q$35,Cement!$A$7:$A$35,"")</f>
        <v>8.9839762773261249</v>
      </c>
      <c r="J14" s="202" t="s">
        <v>907</v>
      </c>
      <c r="K14" s="926" t="s">
        <v>65</v>
      </c>
      <c r="L14" s="937">
        <f>_xlfn.XLOOKUP(K14,Cement!$Q$7:$Q$35,Cement!$R$7:$R$35,"")</f>
        <v>9</v>
      </c>
      <c r="M14" s="2015">
        <f>_xlfn.XLOOKUP(K14,'Sales Rec'!$E$4:$E$32,'Sales Rec'!$L$4:$L$32,"")</f>
        <v>7</v>
      </c>
      <c r="N14" s="930">
        <f t="shared" si="6"/>
        <v>3115.3246753246749</v>
      </c>
      <c r="O14" s="208">
        <f t="shared" si="7"/>
        <v>2569.090909090909</v>
      </c>
      <c r="P14" s="1465">
        <f t="shared" si="8"/>
        <v>1985</v>
      </c>
      <c r="Q14" s="1466">
        <f>IFERROR(((P14-V14)/V14)*100,"")</f>
        <v>54.715510522213563</v>
      </c>
      <c r="R14" s="1472">
        <f t="shared" si="9"/>
        <v>1143</v>
      </c>
      <c r="S14" s="1473">
        <f t="shared" si="10"/>
        <v>-42.418136020151131</v>
      </c>
      <c r="T14" s="1479">
        <f t="shared" si="11"/>
        <v>1241</v>
      </c>
      <c r="U14" s="1092">
        <f t="shared" si="12"/>
        <v>8.57392825896763</v>
      </c>
      <c r="V14" s="1486">
        <f t="shared" si="13"/>
        <v>1283</v>
      </c>
      <c r="W14" s="1487">
        <f t="shared" si="14"/>
        <v>3.3843674456083805</v>
      </c>
      <c r="X14" s="934">
        <f>_xlfn.XLOOKUP(K14,Cement!$Q$7:$Q$35,Cement!$AK$7:$AK$35,"")</f>
        <v>2200000</v>
      </c>
      <c r="Y14" s="1911"/>
      <c r="Z14" s="1567"/>
      <c r="AA14" s="1548"/>
      <c r="AB14" s="996">
        <v>396</v>
      </c>
      <c r="AC14" s="997">
        <v>18</v>
      </c>
      <c r="AD14" s="884">
        <f t="shared" si="15"/>
        <v>378</v>
      </c>
      <c r="AE14" s="1365"/>
      <c r="AF14" s="1567">
        <v>400.86043749999999</v>
      </c>
      <c r="AG14" s="1548">
        <v>756294</v>
      </c>
      <c r="AH14" s="996">
        <v>430</v>
      </c>
      <c r="AI14" s="997">
        <v>40</v>
      </c>
      <c r="AJ14" s="884">
        <f t="shared" si="16"/>
        <v>390</v>
      </c>
      <c r="AK14" s="1365"/>
      <c r="AL14" s="1567">
        <v>437.08147750000001</v>
      </c>
      <c r="AM14" s="1548">
        <v>1024500</v>
      </c>
      <c r="AN14" s="996">
        <v>415</v>
      </c>
      <c r="AO14" s="997">
        <v>47</v>
      </c>
      <c r="AP14" s="884">
        <f t="shared" si="17"/>
        <v>368</v>
      </c>
      <c r="AQ14" s="1365"/>
      <c r="AR14" s="1567">
        <v>366.83946500000002</v>
      </c>
      <c r="AS14" s="1548">
        <v>264000</v>
      </c>
      <c r="AT14" s="996">
        <v>449</v>
      </c>
      <c r="AU14" s="997">
        <v>41</v>
      </c>
      <c r="AV14" s="884">
        <f t="shared" si="18"/>
        <v>408</v>
      </c>
      <c r="AW14" s="884"/>
      <c r="AX14" s="1567">
        <v>439.00703499999997</v>
      </c>
      <c r="AY14" s="1548">
        <v>0</v>
      </c>
      <c r="AZ14" s="996">
        <v>398</v>
      </c>
      <c r="BA14" s="997">
        <v>0</v>
      </c>
      <c r="BB14" s="884">
        <f t="shared" si="19"/>
        <v>398</v>
      </c>
      <c r="BC14" s="884"/>
      <c r="BD14" s="1567"/>
      <c r="BE14" s="1548"/>
      <c r="BF14" s="996">
        <v>436</v>
      </c>
      <c r="BG14" s="997">
        <v>39</v>
      </c>
      <c r="BH14" s="884">
        <f t="shared" si="20"/>
        <v>397</v>
      </c>
      <c r="BI14" s="884"/>
      <c r="BJ14" s="2100">
        <f t="shared" si="21"/>
        <v>1283</v>
      </c>
      <c r="BK14" s="2102"/>
      <c r="BL14" s="2102"/>
      <c r="BM14" s="884"/>
      <c r="BN14" s="1567"/>
      <c r="BO14" s="1548"/>
      <c r="BP14" s="996">
        <v>493</v>
      </c>
      <c r="BQ14" s="997">
        <v>122</v>
      </c>
      <c r="BR14" s="884">
        <f t="shared" si="22"/>
        <v>371</v>
      </c>
      <c r="BS14" s="1365"/>
      <c r="BT14" s="1567"/>
      <c r="BU14" s="1548"/>
      <c r="BV14" s="996">
        <v>785</v>
      </c>
      <c r="BW14" s="997">
        <v>79</v>
      </c>
      <c r="BX14" s="884">
        <f t="shared" si="23"/>
        <v>706</v>
      </c>
      <c r="BY14" s="1365"/>
      <c r="BZ14" s="1980">
        <f t="shared" si="24"/>
        <v>1</v>
      </c>
      <c r="CA14" s="1999">
        <f t="shared" si="25"/>
        <v>43.551505095541387</v>
      </c>
      <c r="CB14" s="1992">
        <f t="shared" si="26"/>
        <v>1126.8793149999999</v>
      </c>
      <c r="CC14" s="2066">
        <v>707</v>
      </c>
      <c r="CD14" s="1996">
        <v>457.45</v>
      </c>
      <c r="CE14" s="997">
        <v>99</v>
      </c>
      <c r="CF14" s="1981">
        <v>669.42931499999997</v>
      </c>
      <c r="CG14" s="884">
        <f t="shared" si="27"/>
        <v>608</v>
      </c>
      <c r="CH14" s="1365"/>
      <c r="CI14" s="2102">
        <f t="shared" si="28"/>
        <v>1985</v>
      </c>
      <c r="CJ14" s="2105">
        <f t="shared" si="29"/>
        <v>0.54715510522213562</v>
      </c>
      <c r="CK14" s="2108">
        <f t="shared" si="30"/>
        <v>9</v>
      </c>
      <c r="CL14" s="1365"/>
      <c r="CM14" s="1980">
        <f t="shared" si="31"/>
        <v>23</v>
      </c>
      <c r="CN14" s="1999">
        <f t="shared" si="32"/>
        <v>-64.978514568599721</v>
      </c>
      <c r="CO14" s="1992">
        <f t="shared" si="33"/>
        <v>247.601902</v>
      </c>
      <c r="CP14" s="2066">
        <v>729</v>
      </c>
      <c r="CQ14" s="1996">
        <v>20.558260000000001</v>
      </c>
      <c r="CR14" s="2232">
        <v>107</v>
      </c>
      <c r="CS14" s="1981">
        <v>227.04364200000001</v>
      </c>
      <c r="CT14" s="884">
        <f t="shared" si="34"/>
        <v>622</v>
      </c>
      <c r="CU14" s="1365"/>
      <c r="CV14" s="1980">
        <f t="shared" si="35"/>
        <v>21</v>
      </c>
      <c r="CW14" s="1999">
        <f t="shared" si="36"/>
        <v>-64.738304526748976</v>
      </c>
      <c r="CX14" s="1992">
        <f t="shared" si="37"/>
        <v>257.05775999999997</v>
      </c>
      <c r="CY14" s="2066"/>
      <c r="CZ14" s="1996">
        <f t="shared" si="38"/>
        <v>0</v>
      </c>
      <c r="DA14" s="2232"/>
      <c r="DB14" s="1981">
        <f t="shared" si="39"/>
        <v>257.05775999999997</v>
      </c>
      <c r="DC14" s="884">
        <f t="shared" si="40"/>
        <v>257.05775999999997</v>
      </c>
      <c r="DD14" s="1365"/>
      <c r="DE14" s="1567"/>
      <c r="DF14" s="1548"/>
      <c r="DG14" s="1926">
        <v>414</v>
      </c>
      <c r="DH14" s="997">
        <v>73</v>
      </c>
      <c r="DI14" s="884">
        <f t="shared" si="41"/>
        <v>341</v>
      </c>
      <c r="DJ14" s="367"/>
      <c r="DK14" s="1201"/>
      <c r="DL14" s="945">
        <f>_xlfn.XLOOKUP($K14,'Sales Rec'!$E$4:$E$32,'Sales Rec'!P$4:P$32,"")</f>
        <v>3512</v>
      </c>
      <c r="DM14" s="943">
        <f>_xlfn.XLOOKUP($K14,'Sales Rec'!$E$4:$E$32,'Sales Rec'!O$4:O$32,"")</f>
        <v>486</v>
      </c>
      <c r="DN14" s="948">
        <f t="shared" si="42"/>
        <v>0.12156078039019509</v>
      </c>
      <c r="DO14" s="943">
        <f t="shared" si="43"/>
        <v>3998</v>
      </c>
      <c r="DP14" s="913">
        <f>_xlfn.XLOOKUP($K14,'Sales Rec'!$E$4:$E$32,'Sales Rec'!I$4:I$32,"")</f>
        <v>3763</v>
      </c>
      <c r="DQ14" s="914">
        <f>_xlfn.XLOOKUP($K14,'Sales Rec'!$E$4:$E$32,'Sales Rec'!H$4:H$32,"")</f>
        <v>447</v>
      </c>
      <c r="DR14" s="946">
        <f t="shared" si="44"/>
        <v>0.10617577197149644</v>
      </c>
      <c r="DS14" s="942">
        <f>_xlfn.XLOOKUP(K14,Cement!$Q$3:$Q$35,Cement!$AP$3:$AP$35,"")</f>
        <v>4210</v>
      </c>
      <c r="DT14" s="1013" t="str">
        <f t="shared" si="45"/>
        <v>OK</v>
      </c>
      <c r="DU14" s="952">
        <f t="shared" si="46"/>
        <v>5652</v>
      </c>
      <c r="DV14" s="925">
        <f>_xlfn.XLOOKUP($K14,'Sales Rec'!$E$4:$E$32,'Sales Rec'!$M$4:$M$32,"")</f>
        <v>2187</v>
      </c>
      <c r="DW14" s="904">
        <f>_xlfn.XLOOKUP($K14,'Sales Rec'!$E$4:$E$32,'Sales Rec'!$N$4:$N$32,"")</f>
        <v>3998</v>
      </c>
      <c r="DX14" s="1195">
        <f>_xlfn.XLOOKUP(K14,Cement!$Q$7:$Q$35,Cement!$AR$7:$AR$35,"")</f>
        <v>7066.7764223659287</v>
      </c>
      <c r="DY14" s="964">
        <f t="shared" si="47"/>
        <v>67.856922146459127</v>
      </c>
      <c r="DZ14" s="1490">
        <f t="shared" si="48"/>
        <v>6</v>
      </c>
      <c r="EA14" s="367"/>
      <c r="EB14" s="176" t="e">
        <f>SUMIF('[1]9-1404.12.03'!$B$2:$B$2000,$J14,'[1]9-1404.12.03'!$L$2:$L$2000)</f>
        <v>#VALUE!</v>
      </c>
      <c r="EC14" s="176" t="e">
        <f>SUMIF('[1]9-1404.12.03'!$B$2:$B$2000,$J14,'[1]9-1404.12.03'!$E$2:$E$2000)/10</f>
        <v>#VALUE!</v>
      </c>
      <c r="ED14" s="177" t="str">
        <f t="shared" si="49"/>
        <v/>
      </c>
      <c r="EE14" s="176" t="e">
        <f>SUMIF('[1]8B-1404.12.02'!$D$2:$D$3000,$J14,'[1]8B-1404.12.02'!$M$2:$M$3000)</f>
        <v>#VALUE!</v>
      </c>
      <c r="EF14" s="176" t="e">
        <f>SUMIF('[1]8B-1404.12.02'!$D$2:$D$3000,$J14,'[1]8B-1404.12.02'!$G$2:$G$3000)/10</f>
        <v>#VALUE!</v>
      </c>
      <c r="EG14" s="177" t="str">
        <f t="shared" si="50"/>
        <v/>
      </c>
      <c r="EH14" s="1502"/>
      <c r="EI14" s="1534">
        <f>SUMIF(Cem_Export!$C$2:$C$3000,$J14,Cem_Export!$I$2:$I$3000)</f>
        <v>0</v>
      </c>
      <c r="EJ14" s="1534">
        <f>SUMIFS(Cem_Export!$J$2:$J$3000,Cem_Export!$C$2:$C$3000,$J14,Cem_Export!$L$2:$L$3000, $EJ$4)</f>
        <v>0</v>
      </c>
      <c r="EK14" s="1534">
        <f>SUMIFS(Cem_Export!$J$2:$J$3000,Cem_Export!$C$2:$C$3000,$J14,Cem_Export!$L$2:$L$3000, $EK$4)</f>
        <v>0</v>
      </c>
      <c r="EL14" s="1682" t="str">
        <f t="shared" si="51"/>
        <v/>
      </c>
      <c r="EM14" s="1836">
        <f t="shared" si="52"/>
        <v>0</v>
      </c>
      <c r="EN14" s="1562"/>
      <c r="EO14" s="1625">
        <f>SUMIF('Cem-Domestic'!$D$2:$D$4000,$J14,'Cem-Domestic'!$M$2:$M$4000)</f>
        <v>68800</v>
      </c>
      <c r="EP14" s="1625">
        <f>SUMIF('Cem-Domestic'!$D$2:$D$4000,$J14,'Cem-Domestic'!$G$2:$G$4000)/10^7</f>
        <v>257.05775999999997</v>
      </c>
      <c r="EQ14" s="1681">
        <f t="shared" si="53"/>
        <v>3736.3046511627899</v>
      </c>
      <c r="ER14" s="1562"/>
      <c r="ES14" s="1533">
        <v>0</v>
      </c>
      <c r="ET14" s="1534">
        <v>0</v>
      </c>
      <c r="EU14" s="1535" t="s">
        <v>192</v>
      </c>
      <c r="EV14" s="1533">
        <v>6006</v>
      </c>
      <c r="EW14" s="1534">
        <v>294294</v>
      </c>
      <c r="EX14" s="1535">
        <v>49</v>
      </c>
      <c r="EY14" s="1533">
        <v>6000</v>
      </c>
      <c r="EZ14" s="1534">
        <v>294000</v>
      </c>
      <c r="FA14" s="1535">
        <v>49</v>
      </c>
      <c r="FB14" s="1533">
        <v>0</v>
      </c>
      <c r="FC14" s="1534">
        <v>0</v>
      </c>
      <c r="FD14" s="1535" t="s">
        <v>192</v>
      </c>
      <c r="FE14" s="1533">
        <v>3500</v>
      </c>
      <c r="FF14" s="1534">
        <v>168000</v>
      </c>
      <c r="FG14" s="1535">
        <v>48</v>
      </c>
    </row>
    <row r="15" spans="1:233" ht="30" customHeight="1">
      <c r="A15" s="975">
        <f t="shared" si="0"/>
        <v>11</v>
      </c>
      <c r="B15" s="975">
        <f t="shared" si="1"/>
        <v>12</v>
      </c>
      <c r="C15" s="975">
        <f t="shared" si="2"/>
        <v>2</v>
      </c>
      <c r="D15" s="1015">
        <f t="shared" si="3"/>
        <v>0.79331240689508398</v>
      </c>
      <c r="E15" s="1217">
        <f>_xlfn.XLOOKUP(K15,Cement!$Q$7:$Q$35,Cement!$Z$7:$Z$35,"")</f>
        <v>0.48592411260709917</v>
      </c>
      <c r="F15" s="1091">
        <f t="shared" si="4"/>
        <v>30.738829428798482</v>
      </c>
      <c r="G15" s="991">
        <f t="shared" si="5"/>
        <v>5.3085549850699187E-2</v>
      </c>
      <c r="H15" s="173">
        <f>_xlfn.XLOOKUP($K15,Cement!$Q$7:$Q$35,Cement!$B$7:$B$35,"")</f>
        <v>19.423634427290274</v>
      </c>
      <c r="I15" s="173">
        <f>_xlfn.XLOOKUP(K15,Cement!$Q$7:$Q$35,Cement!$A$7:$A$35,"")</f>
        <v>26.677279402578577</v>
      </c>
      <c r="J15" s="202" t="s">
        <v>908</v>
      </c>
      <c r="K15" s="554" t="s">
        <v>77</v>
      </c>
      <c r="L15" s="937">
        <f>_xlfn.XLOOKUP(K15,Cement!$Q$7:$Q$35,Cement!$R$7:$R$35,"")</f>
        <v>12</v>
      </c>
      <c r="M15" s="2013">
        <f>_xlfn.XLOOKUP(K15,'Sales Rec'!$E$4:$E$32,'Sales Rec'!$L$4:$L$32,"")</f>
        <v>4</v>
      </c>
      <c r="N15" s="930">
        <f t="shared" si="6"/>
        <v>3073.0769230769229</v>
      </c>
      <c r="O15" s="208">
        <f t="shared" si="7"/>
        <v>2330.7692307692309</v>
      </c>
      <c r="P15" s="1465">
        <f t="shared" si="8"/>
        <v>565</v>
      </c>
      <c r="Q15" s="1466">
        <f>IFERROR(((P15-V15)/V15)*100,"")</f>
        <v>41.25</v>
      </c>
      <c r="R15" s="1472">
        <f t="shared" si="9"/>
        <v>379</v>
      </c>
      <c r="S15" s="1473">
        <f t="shared" si="10"/>
        <v>-32.920353982300888</v>
      </c>
      <c r="T15" s="1479">
        <f t="shared" si="11"/>
        <v>474</v>
      </c>
      <c r="U15" s="1092">
        <f t="shared" si="12"/>
        <v>25.065963060686013</v>
      </c>
      <c r="V15" s="1486">
        <f t="shared" si="13"/>
        <v>400</v>
      </c>
      <c r="W15" s="1487">
        <f t="shared" si="14"/>
        <v>-15.611814345991561</v>
      </c>
      <c r="X15" s="934">
        <f>_xlfn.XLOOKUP(K15,Cement!$Q$7:$Q$35,Cement!$AK$7:$AK$35,"")</f>
        <v>780000</v>
      </c>
      <c r="Y15" s="1911"/>
      <c r="Z15" s="1567"/>
      <c r="AA15" s="1548"/>
      <c r="AB15" s="996">
        <v>153</v>
      </c>
      <c r="AC15" s="997">
        <v>26</v>
      </c>
      <c r="AD15" s="884">
        <f t="shared" si="15"/>
        <v>127</v>
      </c>
      <c r="AE15" s="1365"/>
      <c r="AF15" s="1567">
        <v>87.091502500000004</v>
      </c>
      <c r="AG15" s="1548">
        <v>3964000</v>
      </c>
      <c r="AH15" s="996">
        <v>183</v>
      </c>
      <c r="AI15" s="997">
        <v>83</v>
      </c>
      <c r="AJ15" s="884">
        <f t="shared" si="16"/>
        <v>100</v>
      </c>
      <c r="AK15" s="1365"/>
      <c r="AL15" s="1567">
        <v>112.06280049999999</v>
      </c>
      <c r="AM15" s="1548">
        <v>0</v>
      </c>
      <c r="AN15" s="996">
        <v>138</v>
      </c>
      <c r="AO15" s="997">
        <v>42</v>
      </c>
      <c r="AP15" s="884">
        <f t="shared" si="17"/>
        <v>96</v>
      </c>
      <c r="AQ15" s="1365"/>
      <c r="AR15" s="1567">
        <v>83.424380499999998</v>
      </c>
      <c r="AS15" s="1548">
        <v>0</v>
      </c>
      <c r="AT15" s="996">
        <v>127</v>
      </c>
      <c r="AU15" s="997">
        <v>36</v>
      </c>
      <c r="AV15" s="884">
        <f t="shared" si="18"/>
        <v>91</v>
      </c>
      <c r="AW15" s="884"/>
      <c r="AX15" s="1567">
        <v>99.851278500000006</v>
      </c>
      <c r="AY15" s="1548">
        <v>0</v>
      </c>
      <c r="AZ15" s="996">
        <v>140</v>
      </c>
      <c r="BA15" s="997">
        <v>38</v>
      </c>
      <c r="BB15" s="884">
        <f t="shared" si="19"/>
        <v>102</v>
      </c>
      <c r="BC15" s="884"/>
      <c r="BD15" s="1567"/>
      <c r="BE15" s="1548"/>
      <c r="BF15" s="996">
        <v>133</v>
      </c>
      <c r="BG15" s="997">
        <v>30</v>
      </c>
      <c r="BH15" s="884">
        <f t="shared" si="20"/>
        <v>103</v>
      </c>
      <c r="BI15" s="884"/>
      <c r="BJ15" s="2100">
        <f t="shared" si="21"/>
        <v>400</v>
      </c>
      <c r="BK15" s="2102"/>
      <c r="BL15" s="2102"/>
      <c r="BM15" s="884"/>
      <c r="BN15" s="1567"/>
      <c r="BO15" s="1548"/>
      <c r="BP15" s="996">
        <v>134</v>
      </c>
      <c r="BQ15" s="997">
        <v>35</v>
      </c>
      <c r="BR15" s="884">
        <f t="shared" si="22"/>
        <v>99</v>
      </c>
      <c r="BS15" s="1365"/>
      <c r="BT15" s="1567"/>
      <c r="BU15" s="1548"/>
      <c r="BV15" s="996">
        <v>206</v>
      </c>
      <c r="BW15" s="997">
        <v>34</v>
      </c>
      <c r="BX15" s="884">
        <f t="shared" si="23"/>
        <v>172</v>
      </c>
      <c r="BY15" s="1365"/>
      <c r="BZ15" s="1980">
        <f t="shared" si="24"/>
        <v>2</v>
      </c>
      <c r="CA15" s="1999">
        <f t="shared" si="25"/>
        <v>40.086332766990274</v>
      </c>
      <c r="CB15" s="1992">
        <f t="shared" si="26"/>
        <v>288.57784549999997</v>
      </c>
      <c r="CC15" s="996">
        <v>225</v>
      </c>
      <c r="CD15" s="1996">
        <v>102.9</v>
      </c>
      <c r="CE15" s="997">
        <v>57</v>
      </c>
      <c r="CF15" s="1981">
        <v>185.67784549999999</v>
      </c>
      <c r="CG15" s="884">
        <f t="shared" si="27"/>
        <v>168</v>
      </c>
      <c r="CH15" s="1365"/>
      <c r="CI15" s="2102">
        <f t="shared" si="28"/>
        <v>565</v>
      </c>
      <c r="CJ15" s="2105">
        <f t="shared" si="29"/>
        <v>0.41249999999999998</v>
      </c>
      <c r="CK15" s="2108">
        <f t="shared" si="30"/>
        <v>14</v>
      </c>
      <c r="CL15" s="1365"/>
      <c r="CM15" s="1980">
        <f t="shared" si="31"/>
        <v>9</v>
      </c>
      <c r="CN15" s="1999">
        <f t="shared" si="32"/>
        <v>-0.9600677777777693</v>
      </c>
      <c r="CO15" s="1992">
        <f t="shared" si="33"/>
        <v>222.83984750000002</v>
      </c>
      <c r="CP15" s="996">
        <v>234</v>
      </c>
      <c r="CQ15" s="1996">
        <v>56.42</v>
      </c>
      <c r="CR15" s="2232">
        <v>90</v>
      </c>
      <c r="CS15" s="1981">
        <v>166.4198475</v>
      </c>
      <c r="CT15" s="884">
        <f t="shared" si="34"/>
        <v>144</v>
      </c>
      <c r="CU15" s="1365"/>
      <c r="CV15" s="1980">
        <f t="shared" si="35"/>
        <v>7</v>
      </c>
      <c r="CW15" s="1999">
        <f t="shared" si="36"/>
        <v>-50.871170092467629</v>
      </c>
      <c r="CX15" s="1992">
        <f t="shared" si="37"/>
        <v>114.96146198362574</v>
      </c>
      <c r="CY15" s="996"/>
      <c r="CZ15" s="1996">
        <f t="shared" si="38"/>
        <v>51.422431483625736</v>
      </c>
      <c r="DA15" s="2232"/>
      <c r="DB15" s="1981">
        <f t="shared" si="39"/>
        <v>63.539030500000003</v>
      </c>
      <c r="DC15" s="884">
        <f t="shared" si="40"/>
        <v>63.539030500000003</v>
      </c>
      <c r="DD15" s="1365"/>
      <c r="DE15" s="1567"/>
      <c r="DF15" s="1548"/>
      <c r="DG15" s="1926">
        <v>145</v>
      </c>
      <c r="DH15" s="997">
        <v>20</v>
      </c>
      <c r="DI15" s="884">
        <f t="shared" si="41"/>
        <v>125</v>
      </c>
      <c r="DJ15" s="367"/>
      <c r="DK15" s="1201"/>
      <c r="DL15" s="945">
        <f>_xlfn.XLOOKUP($K15,'Sales Rec'!$E$4:$E$32,'Sales Rec'!P$4:P$32,"")</f>
        <v>582</v>
      </c>
      <c r="DM15" s="943">
        <f>_xlfn.XLOOKUP($K15,'Sales Rec'!$E$4:$E$32,'Sales Rec'!O$4:O$32,"")</f>
        <v>217</v>
      </c>
      <c r="DN15" s="948">
        <f t="shared" si="42"/>
        <v>0.2715894868585732</v>
      </c>
      <c r="DO15" s="943">
        <f t="shared" si="43"/>
        <v>799</v>
      </c>
      <c r="DP15" s="913">
        <f>_xlfn.XLOOKUP($K15,'Sales Rec'!$E$4:$E$32,'Sales Rec'!I$4:I$32,"")</f>
        <v>1191</v>
      </c>
      <c r="DQ15" s="914">
        <f>_xlfn.XLOOKUP($K15,'Sales Rec'!$E$4:$E$32,'Sales Rec'!H$4:H$32,"")</f>
        <v>333</v>
      </c>
      <c r="DR15" s="946">
        <f t="shared" si="44"/>
        <v>0.21850393700787402</v>
      </c>
      <c r="DS15" s="942">
        <f>_xlfn.XLOOKUP(K15,Cement!$Q$3:$Q$35,Cement!$AP$3:$AP$35,"")</f>
        <v>1524</v>
      </c>
      <c r="DT15" s="1013" t="str">
        <f t="shared" si="45"/>
        <v>OK</v>
      </c>
      <c r="DU15" s="952">
        <f t="shared" si="46"/>
        <v>1818</v>
      </c>
      <c r="DV15" s="925">
        <f>_xlfn.XLOOKUP($K15,'Sales Rec'!$E$4:$E$32,'Sales Rec'!$M$4:$M$32,"")</f>
        <v>370</v>
      </c>
      <c r="DW15" s="904">
        <f>_xlfn.XLOOKUP($K15,'Sales Rec'!$E$4:$E$32,'Sales Rec'!$N$4:$N$32,"")</f>
        <v>799</v>
      </c>
      <c r="DX15" s="1195">
        <f>_xlfn.XLOOKUP(K15,Cement!$Q$7:$Q$35,Cement!$AR$7:$AR$35,"")</f>
        <v>2733.008108108108</v>
      </c>
      <c r="DY15" s="964">
        <f t="shared" si="47"/>
        <v>79.331240689508391</v>
      </c>
      <c r="DZ15" s="1490">
        <f t="shared" si="48"/>
        <v>2</v>
      </c>
      <c r="EA15" s="367"/>
      <c r="EB15" s="176" t="e">
        <f>SUMIF('[1]9-1404.12.03'!$B$2:$B$2000,$J15,'[1]9-1404.12.03'!$L$2:$L$2000)</f>
        <v>#VALUE!</v>
      </c>
      <c r="EC15" s="176" t="e">
        <f>SUMIF('[1]9-1404.12.03'!$B$2:$B$2000,$J15,'[1]9-1404.12.03'!$E$2:$E$2000)/10</f>
        <v>#VALUE!</v>
      </c>
      <c r="ED15" s="177" t="str">
        <f t="shared" si="49"/>
        <v/>
      </c>
      <c r="EE15" s="176" t="e">
        <f>SUMIF('[1]8B-1404.12.02'!$D$2:$D$3000,$J15,'[1]8B-1404.12.02'!$M$2:$M$3000)</f>
        <v>#VALUE!</v>
      </c>
      <c r="EF15" s="176" t="e">
        <f>SUMIF('[1]8B-1404.12.02'!$D$2:$D$3000,$J15,'[1]8B-1404.12.02'!$G$2:$G$3000)/10</f>
        <v>#VALUE!</v>
      </c>
      <c r="EG15" s="177" t="str">
        <f t="shared" si="50"/>
        <v/>
      </c>
      <c r="EH15" s="1502"/>
      <c r="EI15" s="1534">
        <f>SUMIF(Cem_Export!$C$2:$C$3000,$J15,Cem_Export!$I$2:$I$3000)</f>
        <v>8000</v>
      </c>
      <c r="EJ15" s="1534">
        <f>SUMIFS(Cem_Export!$J$2:$J$3000,Cem_Export!$C$2:$C$3000,$J15,Cem_Export!$L$2:$L$3000, $EJ$4)</f>
        <v>367303.0820258981</v>
      </c>
      <c r="EK15" s="1534">
        <f>SUMIFS(Cem_Export!$J$2:$J$3000,Cem_Export!$C$2:$C$3000,$J15,Cem_Export!$L$2:$L$3000, $EK$4)</f>
        <v>0</v>
      </c>
      <c r="EL15" s="1682">
        <f t="shared" si="51"/>
        <v>45.912885253237263</v>
      </c>
      <c r="EM15" s="1836">
        <f t="shared" si="52"/>
        <v>51.422431483625736</v>
      </c>
      <c r="EN15" s="1562"/>
      <c r="EO15" s="1625">
        <f>SUMIF('Cem-Domestic'!$D$2:$D$4000,$J15,'Cem-Domestic'!$M$2:$M$4000)</f>
        <v>20000</v>
      </c>
      <c r="EP15" s="1625">
        <f>SUMIF('Cem-Domestic'!$D$2:$D$4000,$J15,'Cem-Domestic'!$G$2:$G$4000)/10^7</f>
        <v>63.539030500000003</v>
      </c>
      <c r="EQ15" s="1681">
        <f t="shared" si="53"/>
        <v>3176.9515249999999</v>
      </c>
      <c r="ER15" s="1562"/>
      <c r="ES15" s="1533">
        <v>10000</v>
      </c>
      <c r="ET15" s="1534">
        <v>400000</v>
      </c>
      <c r="EU15" s="1535">
        <v>40</v>
      </c>
      <c r="EV15" s="1533">
        <v>20000</v>
      </c>
      <c r="EW15" s="1534">
        <v>840000</v>
      </c>
      <c r="EX15" s="1535">
        <v>42</v>
      </c>
      <c r="EY15" s="1533">
        <v>0</v>
      </c>
      <c r="EZ15" s="1534">
        <v>0</v>
      </c>
      <c r="FA15" s="1535" t="s">
        <v>192</v>
      </c>
      <c r="FB15" s="1533">
        <v>72000</v>
      </c>
      <c r="FC15" s="1534">
        <v>3124000</v>
      </c>
      <c r="FD15" s="1535">
        <v>43.388888888888886</v>
      </c>
      <c r="FE15" s="1533">
        <v>0</v>
      </c>
      <c r="FF15" s="1534">
        <v>0</v>
      </c>
      <c r="FG15" s="1535" t="s">
        <v>192</v>
      </c>
    </row>
    <row r="16" spans="1:233" ht="30" customHeight="1">
      <c r="A16" s="975">
        <f t="shared" si="0"/>
        <v>12</v>
      </c>
      <c r="B16" s="975">
        <f t="shared" si="1"/>
        <v>7</v>
      </c>
      <c r="C16" s="975">
        <f t="shared" si="2"/>
        <v>24</v>
      </c>
      <c r="D16" s="1015">
        <f t="shared" si="3"/>
        <v>0.26629048051916138</v>
      </c>
      <c r="E16" s="1217">
        <f>_xlfn.XLOOKUP(K16,Cement!$Q$7:$Q$35,Cement!$Z$7:$Z$35,"")</f>
        <v>0.14302241503976867</v>
      </c>
      <c r="F16" s="1091">
        <f t="shared" si="4"/>
        <v>12.32680654793927</v>
      </c>
      <c r="G16" s="991">
        <f t="shared" si="5"/>
        <v>5.1816777470159392E-2</v>
      </c>
      <c r="H16" s="173">
        <f>_xlfn.XLOOKUP($K16,Cement!$Q$7:$Q$35,Cement!$B$7:$B$35,"")</f>
        <v>-10.842248271211252</v>
      </c>
      <c r="I16" s="173">
        <f>_xlfn.XLOOKUP(K16,Cement!$Q$7:$Q$35,Cement!$A$7:$A$35,"")</f>
        <v>-2.4994308049222735</v>
      </c>
      <c r="J16" s="202" t="s">
        <v>906</v>
      </c>
      <c r="K16" s="554" t="s">
        <v>59</v>
      </c>
      <c r="L16" s="937">
        <f>_xlfn.XLOOKUP(K16,Cement!$Q$7:$Q$35,Cement!$R$7:$R$35,"")</f>
        <v>9</v>
      </c>
      <c r="M16" s="2014">
        <f>_xlfn.XLOOKUP(K16,'Sales Rec'!$E$4:$E$32,'Sales Rec'!$L$4:$L$32,"")</f>
        <v>7</v>
      </c>
      <c r="N16" s="930">
        <f t="shared" si="6"/>
        <v>2939.0476190476188</v>
      </c>
      <c r="O16" s="208">
        <f t="shared" si="7"/>
        <v>2574.4444444444443</v>
      </c>
      <c r="P16" s="1465">
        <f t="shared" si="8"/>
        <v>1128</v>
      </c>
      <c r="Q16" s="1466">
        <f>((P16-V16)/V16)*100</f>
        <v>-28.471781864299299</v>
      </c>
      <c r="R16" s="1472">
        <f t="shared" si="9"/>
        <v>720</v>
      </c>
      <c r="S16" s="1473">
        <f t="shared" si="10"/>
        <v>-36.170212765957451</v>
      </c>
      <c r="T16" s="1479">
        <f t="shared" si="11"/>
        <v>1209</v>
      </c>
      <c r="U16" s="1092">
        <f t="shared" si="12"/>
        <v>67.916666666666671</v>
      </c>
      <c r="V16" s="1486">
        <f t="shared" si="13"/>
        <v>1577</v>
      </c>
      <c r="W16" s="1487">
        <f t="shared" si="14"/>
        <v>30.438378825475599</v>
      </c>
      <c r="X16" s="934">
        <f>_xlfn.XLOOKUP(K16,Cement!$Q$7:$Q$35,Cement!$AK$7:$AK$35,"")</f>
        <v>1800000</v>
      </c>
      <c r="Y16" s="1911"/>
      <c r="Z16" s="1567"/>
      <c r="AA16" s="1548"/>
      <c r="AB16" s="996">
        <v>352</v>
      </c>
      <c r="AC16" s="997">
        <v>45</v>
      </c>
      <c r="AD16" s="884">
        <f t="shared" si="15"/>
        <v>307</v>
      </c>
      <c r="AE16" s="1365"/>
      <c r="AF16" s="1567">
        <v>313.97983049999999</v>
      </c>
      <c r="AG16" s="1548">
        <v>735000</v>
      </c>
      <c r="AH16" s="996">
        <v>484</v>
      </c>
      <c r="AI16" s="997">
        <v>150</v>
      </c>
      <c r="AJ16" s="884">
        <f t="shared" si="16"/>
        <v>334</v>
      </c>
      <c r="AK16" s="1365"/>
      <c r="AL16" s="1567">
        <v>446.45774249999999</v>
      </c>
      <c r="AM16" s="1548">
        <v>1750000</v>
      </c>
      <c r="AN16" s="996">
        <v>373</v>
      </c>
      <c r="AO16" s="997">
        <v>45</v>
      </c>
      <c r="AP16" s="884">
        <f t="shared" si="17"/>
        <v>328</v>
      </c>
      <c r="AQ16" s="1365"/>
      <c r="AR16" s="1567">
        <v>316.8931485</v>
      </c>
      <c r="AS16" s="1548">
        <v>0</v>
      </c>
      <c r="AT16" s="996">
        <v>617</v>
      </c>
      <c r="AU16" s="997">
        <v>250</v>
      </c>
      <c r="AV16" s="884">
        <f t="shared" si="18"/>
        <v>367</v>
      </c>
      <c r="AW16" s="884"/>
      <c r="AX16" s="1567">
        <v>456.35141499999997</v>
      </c>
      <c r="AY16" s="1548">
        <v>0</v>
      </c>
      <c r="AZ16" s="996">
        <v>694</v>
      </c>
      <c r="BA16" s="997">
        <v>217</v>
      </c>
      <c r="BB16" s="884">
        <f t="shared" si="19"/>
        <v>477</v>
      </c>
      <c r="BC16" s="884"/>
      <c r="BD16" s="1567"/>
      <c r="BE16" s="1548"/>
      <c r="BF16" s="996">
        <v>266</v>
      </c>
      <c r="BG16" s="997">
        <v>0</v>
      </c>
      <c r="BH16" s="884">
        <f t="shared" si="20"/>
        <v>266</v>
      </c>
      <c r="BI16" s="884"/>
      <c r="BJ16" s="2100">
        <f t="shared" si="21"/>
        <v>1577</v>
      </c>
      <c r="BK16" s="2102"/>
      <c r="BL16" s="2102"/>
      <c r="BM16" s="884"/>
      <c r="BN16" s="1567"/>
      <c r="BO16" s="1548"/>
      <c r="BP16" s="996">
        <v>316</v>
      </c>
      <c r="BQ16" s="997">
        <v>96</v>
      </c>
      <c r="BR16" s="884">
        <f t="shared" si="22"/>
        <v>220</v>
      </c>
      <c r="BS16" s="1365"/>
      <c r="BT16" s="1567"/>
      <c r="BU16" s="1548"/>
      <c r="BV16" s="996">
        <v>418</v>
      </c>
      <c r="BW16" s="997">
        <v>0</v>
      </c>
      <c r="BX16" s="884">
        <f t="shared" si="23"/>
        <v>418</v>
      </c>
      <c r="BY16" s="1365"/>
      <c r="BZ16" s="1980">
        <f t="shared" si="24"/>
        <v>9</v>
      </c>
      <c r="CA16" s="1999">
        <f t="shared" si="25"/>
        <v>20.763784688995216</v>
      </c>
      <c r="CB16" s="1992">
        <f t="shared" si="26"/>
        <v>504.79262</v>
      </c>
      <c r="CC16" s="996">
        <v>394</v>
      </c>
      <c r="CD16" s="1996">
        <v>0</v>
      </c>
      <c r="CE16" s="997">
        <v>0</v>
      </c>
      <c r="CF16" s="1981">
        <v>504.79262</v>
      </c>
      <c r="CG16" s="884">
        <f t="shared" si="27"/>
        <v>394</v>
      </c>
      <c r="CH16" s="1365"/>
      <c r="CI16" s="2102">
        <f t="shared" si="28"/>
        <v>1128</v>
      </c>
      <c r="CJ16" s="2105">
        <f t="shared" si="29"/>
        <v>-0.284717818642993</v>
      </c>
      <c r="CK16" s="2108">
        <f t="shared" si="30"/>
        <v>28</v>
      </c>
      <c r="CL16" s="1365"/>
      <c r="CM16" s="1980">
        <f t="shared" si="31"/>
        <v>16</v>
      </c>
      <c r="CN16" s="1999">
        <f t="shared" si="32"/>
        <v>-33.207167258883239</v>
      </c>
      <c r="CO16" s="1992">
        <f t="shared" si="33"/>
        <v>263.16376100000002</v>
      </c>
      <c r="CP16" s="996">
        <v>403</v>
      </c>
      <c r="CQ16" s="1996">
        <v>0</v>
      </c>
      <c r="CR16" s="2232">
        <v>32</v>
      </c>
      <c r="CS16" s="1981">
        <v>263.16376100000002</v>
      </c>
      <c r="CT16" s="884">
        <f t="shared" si="34"/>
        <v>371</v>
      </c>
      <c r="CU16" s="1365"/>
      <c r="CV16" s="1980">
        <f t="shared" si="35"/>
        <v>13</v>
      </c>
      <c r="CW16" s="1999">
        <f t="shared" si="36"/>
        <v>-55.733966377171221</v>
      </c>
      <c r="CX16" s="1992">
        <f t="shared" si="37"/>
        <v>178.39211549999999</v>
      </c>
      <c r="CY16" s="996"/>
      <c r="CZ16" s="1996">
        <f t="shared" si="38"/>
        <v>0</v>
      </c>
      <c r="DA16" s="2232"/>
      <c r="DB16" s="1981">
        <f t="shared" si="39"/>
        <v>178.39211549999999</v>
      </c>
      <c r="DC16" s="884">
        <f t="shared" si="40"/>
        <v>178.39211549999999</v>
      </c>
      <c r="DD16" s="1365"/>
      <c r="DE16" s="1567"/>
      <c r="DF16" s="1548"/>
      <c r="DG16" s="1926">
        <v>317</v>
      </c>
      <c r="DH16" s="997">
        <v>63</v>
      </c>
      <c r="DI16" s="884">
        <f t="shared" si="41"/>
        <v>254</v>
      </c>
      <c r="DJ16" s="367"/>
      <c r="DK16" s="1201"/>
      <c r="DL16" s="945">
        <f>_xlfn.XLOOKUP($K16,'Sales Rec'!$E$4:$E$32,'Sales Rec'!P$4:P$32,"")</f>
        <v>2514</v>
      </c>
      <c r="DM16" s="943">
        <f>_xlfn.XLOOKUP($K16,'Sales Rec'!$E$4:$E$32,'Sales Rec'!O$4:O$32,"")</f>
        <v>572</v>
      </c>
      <c r="DN16" s="948">
        <f t="shared" si="42"/>
        <v>0.18535320803629293</v>
      </c>
      <c r="DO16" s="943">
        <f t="shared" si="43"/>
        <v>3086</v>
      </c>
      <c r="DP16" s="913">
        <f>_xlfn.XLOOKUP($K16,'Sales Rec'!$E$4:$E$32,'Sales Rec'!I$4:I$32,"")</f>
        <v>3413</v>
      </c>
      <c r="DQ16" s="914">
        <f>_xlfn.XLOOKUP($K16,'Sales Rec'!$E$4:$E$32,'Sales Rec'!H$4:H$32,"")</f>
        <v>526</v>
      </c>
      <c r="DR16" s="946">
        <f t="shared" si="44"/>
        <v>0.13353643056613354</v>
      </c>
      <c r="DS16" s="942">
        <f>_xlfn.XLOOKUP(K16,Cement!$Q$3:$Q$35,Cement!$AP$3:$AP$35,"")</f>
        <v>3939</v>
      </c>
      <c r="DT16" s="1013" t="str">
        <f t="shared" si="45"/>
        <v>OK</v>
      </c>
      <c r="DU16" s="952">
        <f t="shared" si="46"/>
        <v>4634</v>
      </c>
      <c r="DV16" s="925">
        <f>_xlfn.XLOOKUP($K16,'Sales Rec'!$E$4:$E$32,'Sales Rec'!$M$4:$M$32,"")</f>
        <v>2418</v>
      </c>
      <c r="DW16" s="904">
        <f>_xlfn.XLOOKUP($K16,'Sales Rec'!$E$4:$E$32,'Sales Rec'!$N$4:$N$32,"")</f>
        <v>3086</v>
      </c>
      <c r="DX16" s="1195">
        <f>_xlfn.XLOOKUP(K16,Cement!$Q$7:$Q$35,Cement!$AR$7:$AR$35,"")</f>
        <v>4987.9182027649767</v>
      </c>
      <c r="DY16" s="964">
        <f t="shared" si="47"/>
        <v>26.629048051916136</v>
      </c>
      <c r="DZ16" s="1490">
        <f t="shared" si="48"/>
        <v>24</v>
      </c>
      <c r="EA16" s="367"/>
      <c r="EB16" s="176" t="e">
        <f>SUMIF('[1]9-1404.12.03'!$B$2:$B$2000,$J16,'[1]9-1404.12.03'!$L$2:$L$2000)</f>
        <v>#VALUE!</v>
      </c>
      <c r="EC16" s="176" t="e">
        <f>SUMIF('[1]9-1404.12.03'!$B$2:$B$2000,$J16,'[1]9-1404.12.03'!$E$2:$E$2000)/10</f>
        <v>#VALUE!</v>
      </c>
      <c r="ED16" s="177" t="str">
        <f t="shared" si="49"/>
        <v/>
      </c>
      <c r="EE16" s="176" t="e">
        <f>SUMIF('[1]8B-1404.12.02'!$D$2:$D$3000,$J16,'[1]8B-1404.12.02'!$M$2:$M$3000)</f>
        <v>#VALUE!</v>
      </c>
      <c r="EF16" s="176" t="e">
        <f>SUMIF('[1]8B-1404.12.02'!$D$2:$D$3000,$J16,'[1]8B-1404.12.02'!$G$2:$G$3000)/10</f>
        <v>#VALUE!</v>
      </c>
      <c r="EG16" s="177" t="str">
        <f t="shared" si="50"/>
        <v/>
      </c>
      <c r="EH16" s="1502"/>
      <c r="EI16" s="1534">
        <f>SUMIF(Cem_Export!$C$2:$C$3000,$J16,Cem_Export!$I$2:$I$3000)</f>
        <v>0</v>
      </c>
      <c r="EJ16" s="1534">
        <f>SUMIFS(Cem_Export!$J$2:$J$3000,Cem_Export!$C$2:$C$3000,$J16,Cem_Export!$L$2:$L$3000, $EJ$4)</f>
        <v>0</v>
      </c>
      <c r="EK16" s="1534">
        <f>SUMIFS(Cem_Export!$J$2:$J$3000,Cem_Export!$C$2:$C$3000,$J16,Cem_Export!$L$2:$L$3000, $EK$4)</f>
        <v>0</v>
      </c>
      <c r="EL16" s="1682" t="str">
        <f t="shared" si="51"/>
        <v/>
      </c>
      <c r="EM16" s="1836">
        <f t="shared" si="52"/>
        <v>0</v>
      </c>
      <c r="EN16" s="1562"/>
      <c r="EO16" s="1625">
        <f>SUMIF('Cem-Domestic'!$D$2:$D$4000,$J16,'Cem-Domestic'!$M$2:$M$4000)</f>
        <v>52665</v>
      </c>
      <c r="EP16" s="1625">
        <f>SUMIF('Cem-Domestic'!$D$2:$D$4000,$J16,'Cem-Domestic'!$G$2:$G$4000)/10^7</f>
        <v>178.39211549999999</v>
      </c>
      <c r="EQ16" s="1681">
        <f t="shared" si="53"/>
        <v>3387.2992594702364</v>
      </c>
      <c r="ER16" s="1562"/>
      <c r="ES16" s="1533">
        <v>0</v>
      </c>
      <c r="ET16" s="1534">
        <v>0</v>
      </c>
      <c r="EU16" s="1535" t="s">
        <v>192</v>
      </c>
      <c r="EV16" s="1533">
        <v>21000</v>
      </c>
      <c r="EW16" s="1534">
        <v>735000</v>
      </c>
      <c r="EX16" s="1535">
        <v>35</v>
      </c>
      <c r="EY16" s="1533">
        <v>0</v>
      </c>
      <c r="EZ16" s="1534">
        <v>0</v>
      </c>
      <c r="FA16" s="1535" t="s">
        <v>192</v>
      </c>
      <c r="FB16" s="1533">
        <v>0</v>
      </c>
      <c r="FC16" s="1534">
        <v>0</v>
      </c>
      <c r="FD16" s="1535" t="s">
        <v>192</v>
      </c>
      <c r="FE16" s="1533">
        <v>0</v>
      </c>
      <c r="FF16" s="1534">
        <v>0</v>
      </c>
      <c r="FG16" s="1535" t="s">
        <v>192</v>
      </c>
    </row>
    <row r="17" spans="1:234" s="102" customFormat="1" ht="30" customHeight="1">
      <c r="A17" s="975">
        <f t="shared" si="0"/>
        <v>13</v>
      </c>
      <c r="B17" s="975">
        <f t="shared" si="1"/>
        <v>15</v>
      </c>
      <c r="C17" s="975">
        <f t="shared" si="2"/>
        <v>18</v>
      </c>
      <c r="D17" s="1015">
        <f t="shared" si="3"/>
        <v>0.4271714836310771</v>
      </c>
      <c r="E17" s="1217">
        <f>_xlfn.XLOOKUP(K17,Cement!$Q$7:$Q$35,Cement!$Z$7:$Z$35,"")</f>
        <v>0.63422306959008568</v>
      </c>
      <c r="F17" s="1091">
        <f t="shared" si="4"/>
        <v>-20.705158595900858</v>
      </c>
      <c r="G17" s="991">
        <f t="shared" si="5"/>
        <v>-3.469210754553339E-3</v>
      </c>
      <c r="H17" s="173">
        <f>_xlfn.XLOOKUP($K17,Cement!$Q$7:$Q$35,Cement!$B$7:$B$35,"")</f>
        <v>-12.499714244642416</v>
      </c>
      <c r="I17" s="173">
        <f>_xlfn.XLOOKUP(K17,Cement!$Q$7:$Q$35,Cement!$A$7:$A$35,"")</f>
        <v>0.28480263281042628</v>
      </c>
      <c r="J17" s="202" t="s">
        <v>909</v>
      </c>
      <c r="K17" s="554" t="s">
        <v>45</v>
      </c>
      <c r="L17" s="937">
        <f>_xlfn.XLOOKUP(K17,Cement!$Q$7:$Q$35,Cement!$R$7:$R$35,"")</f>
        <v>12</v>
      </c>
      <c r="M17" s="2013">
        <f>_xlfn.XLOOKUP(K17,'Sales Rec'!$E$4:$E$32,'Sales Rec'!$L$4:$L$32,"")</f>
        <v>4</v>
      </c>
      <c r="N17" s="930">
        <f t="shared" si="6"/>
        <v>2900</v>
      </c>
      <c r="O17" s="208">
        <f t="shared" si="7"/>
        <v>2085</v>
      </c>
      <c r="P17" s="1465">
        <f t="shared" si="8"/>
        <v>830</v>
      </c>
      <c r="Q17" s="1466">
        <f t="shared" ref="Q17:Q33" si="54">IFERROR(((P17-V17)/V17)*100,"")</f>
        <v>51.183970856102</v>
      </c>
      <c r="R17" s="1472">
        <f t="shared" si="9"/>
        <v>507</v>
      </c>
      <c r="S17" s="1473">
        <f t="shared" si="10"/>
        <v>-38.915662650602414</v>
      </c>
      <c r="T17" s="1479">
        <f t="shared" si="11"/>
        <v>616</v>
      </c>
      <c r="U17" s="1092">
        <f t="shared" si="12"/>
        <v>21.499013806706113</v>
      </c>
      <c r="V17" s="1486">
        <f t="shared" si="13"/>
        <v>549</v>
      </c>
      <c r="W17" s="1487">
        <f t="shared" si="14"/>
        <v>-10.876623376623376</v>
      </c>
      <c r="X17" s="934">
        <f>_xlfn.XLOOKUP(K17,Cement!$Q$7:$Q$35,Cement!$AK$7:$AK$35,"")</f>
        <v>1200000</v>
      </c>
      <c r="Y17" s="1911"/>
      <c r="Z17" s="1567"/>
      <c r="AA17" s="1548"/>
      <c r="AB17" s="996">
        <v>200</v>
      </c>
      <c r="AC17" s="997">
        <v>0</v>
      </c>
      <c r="AD17" s="884">
        <f t="shared" si="15"/>
        <v>200</v>
      </c>
      <c r="AE17" s="1365"/>
      <c r="AF17" s="1567">
        <v>217.57675900000001</v>
      </c>
      <c r="AG17" s="1548">
        <v>0</v>
      </c>
      <c r="AH17" s="996">
        <v>219</v>
      </c>
      <c r="AI17" s="997">
        <v>0</v>
      </c>
      <c r="AJ17" s="884">
        <f t="shared" si="16"/>
        <v>219</v>
      </c>
      <c r="AK17" s="1365"/>
      <c r="AL17" s="1567">
        <v>238.49785499999999</v>
      </c>
      <c r="AM17" s="1548">
        <v>0</v>
      </c>
      <c r="AN17" s="996">
        <v>197</v>
      </c>
      <c r="AO17" s="997">
        <v>0</v>
      </c>
      <c r="AP17" s="884">
        <f t="shared" si="17"/>
        <v>197</v>
      </c>
      <c r="AQ17" s="1365"/>
      <c r="AR17" s="1567">
        <v>202.42763299999999</v>
      </c>
      <c r="AS17" s="1548">
        <v>0</v>
      </c>
      <c r="AT17" s="996">
        <v>203</v>
      </c>
      <c r="AU17" s="997">
        <v>0</v>
      </c>
      <c r="AV17" s="884">
        <f t="shared" si="18"/>
        <v>203</v>
      </c>
      <c r="AW17" s="884"/>
      <c r="AX17" s="1567">
        <v>195.747636</v>
      </c>
      <c r="AY17" s="1548">
        <v>0</v>
      </c>
      <c r="AZ17" s="996">
        <v>172</v>
      </c>
      <c r="BA17" s="997">
        <v>0</v>
      </c>
      <c r="BB17" s="884">
        <f t="shared" si="19"/>
        <v>172</v>
      </c>
      <c r="BC17" s="884"/>
      <c r="BD17" s="1567"/>
      <c r="BE17" s="1548"/>
      <c r="BF17" s="996">
        <v>174</v>
      </c>
      <c r="BG17" s="997">
        <v>0</v>
      </c>
      <c r="BH17" s="884">
        <f t="shared" si="20"/>
        <v>174</v>
      </c>
      <c r="BI17" s="884"/>
      <c r="BJ17" s="2100">
        <f t="shared" si="21"/>
        <v>549</v>
      </c>
      <c r="BK17" s="2102"/>
      <c r="BL17" s="2102"/>
      <c r="BM17" s="884"/>
      <c r="BN17" s="1567"/>
      <c r="BO17" s="1548"/>
      <c r="BP17" s="996">
        <v>191</v>
      </c>
      <c r="BQ17" s="997">
        <v>0</v>
      </c>
      <c r="BR17" s="884">
        <f t="shared" si="22"/>
        <v>191</v>
      </c>
      <c r="BS17" s="1365"/>
      <c r="BT17" s="1567"/>
      <c r="BU17" s="1548"/>
      <c r="BV17" s="996">
        <v>315</v>
      </c>
      <c r="BW17" s="997">
        <v>0</v>
      </c>
      <c r="BX17" s="884">
        <f t="shared" si="23"/>
        <v>315</v>
      </c>
      <c r="BY17" s="1365"/>
      <c r="BZ17" s="1980">
        <f t="shared" si="24"/>
        <v>8</v>
      </c>
      <c r="CA17" s="1999">
        <f t="shared" si="25"/>
        <v>22.09582</v>
      </c>
      <c r="CB17" s="1992">
        <f t="shared" si="26"/>
        <v>384.601833</v>
      </c>
      <c r="CC17" s="996">
        <v>324</v>
      </c>
      <c r="CD17" s="1996">
        <v>0</v>
      </c>
      <c r="CE17" s="997">
        <v>0</v>
      </c>
      <c r="CF17" s="1981">
        <v>384.601833</v>
      </c>
      <c r="CG17" s="884">
        <f t="shared" si="27"/>
        <v>324</v>
      </c>
      <c r="CH17" s="1365"/>
      <c r="CI17" s="2102">
        <f t="shared" si="28"/>
        <v>830</v>
      </c>
      <c r="CJ17" s="2105">
        <f t="shared" si="29"/>
        <v>0.51183970856102001</v>
      </c>
      <c r="CK17" s="2108">
        <f t="shared" si="30"/>
        <v>11</v>
      </c>
      <c r="CL17" s="1365"/>
      <c r="CM17" s="1980">
        <f t="shared" si="31"/>
        <v>19</v>
      </c>
      <c r="CN17" s="1999">
        <f t="shared" si="32"/>
        <v>-36.533207561728396</v>
      </c>
      <c r="CO17" s="1992">
        <f t="shared" si="33"/>
        <v>205.6324075</v>
      </c>
      <c r="CP17" s="996">
        <v>330</v>
      </c>
      <c r="CQ17" s="1996">
        <v>0</v>
      </c>
      <c r="CR17" s="2232">
        <v>0</v>
      </c>
      <c r="CS17" s="1981">
        <v>205.6324075</v>
      </c>
      <c r="CT17" s="884">
        <f t="shared" si="34"/>
        <v>330</v>
      </c>
      <c r="CU17" s="1365"/>
      <c r="CV17" s="1980">
        <f t="shared" si="35"/>
        <v>4</v>
      </c>
      <c r="CW17" s="1999">
        <f t="shared" si="36"/>
        <v>-45.755615757575754</v>
      </c>
      <c r="CX17" s="1992">
        <f t="shared" si="37"/>
        <v>179.00646800000001</v>
      </c>
      <c r="CY17" s="996"/>
      <c r="CZ17" s="1996">
        <f t="shared" si="38"/>
        <v>0</v>
      </c>
      <c r="DA17" s="2232"/>
      <c r="DB17" s="1981">
        <f t="shared" si="39"/>
        <v>179.00646800000001</v>
      </c>
      <c r="DC17" s="884">
        <f t="shared" si="40"/>
        <v>179.00646800000001</v>
      </c>
      <c r="DD17" s="1365"/>
      <c r="DE17" s="1567"/>
      <c r="DF17" s="1548"/>
      <c r="DG17" s="1926">
        <v>177</v>
      </c>
      <c r="DH17" s="997">
        <v>0</v>
      </c>
      <c r="DI17" s="884">
        <f t="shared" si="41"/>
        <v>177</v>
      </c>
      <c r="DJ17" s="367"/>
      <c r="DK17" s="1201"/>
      <c r="DL17" s="945">
        <f>_xlfn.XLOOKUP($K17,'Sales Rec'!$E$4:$E$32,'Sales Rec'!P$4:P$32,"")</f>
        <v>1160</v>
      </c>
      <c r="DM17" s="943">
        <f>_xlfn.XLOOKUP($K17,'Sales Rec'!$E$4:$E$32,'Sales Rec'!O$4:O$32,"")</f>
        <v>0</v>
      </c>
      <c r="DN17" s="948">
        <f t="shared" si="42"/>
        <v>0</v>
      </c>
      <c r="DO17" s="943">
        <f t="shared" si="43"/>
        <v>1160</v>
      </c>
      <c r="DP17" s="913">
        <f>_xlfn.XLOOKUP($K17,'Sales Rec'!$E$4:$E$32,'Sales Rec'!I$4:I$32,"")</f>
        <v>2298</v>
      </c>
      <c r="DQ17" s="914">
        <f>_xlfn.XLOOKUP($K17,'Sales Rec'!$E$4:$E$32,'Sales Rec'!H$4:H$32,"")</f>
        <v>8</v>
      </c>
      <c r="DR17" s="946">
        <f t="shared" si="44"/>
        <v>3.469210754553339E-3</v>
      </c>
      <c r="DS17" s="942">
        <f>_xlfn.XLOOKUP(K17,Cement!$Q$3:$Q$35,Cement!$AP$3:$AP$35,"")</f>
        <v>2306</v>
      </c>
      <c r="DT17" s="1013" t="str">
        <f t="shared" si="45"/>
        <v>OK</v>
      </c>
      <c r="DU17" s="952">
        <f t="shared" si="46"/>
        <v>2502</v>
      </c>
      <c r="DV17" s="925">
        <f>_xlfn.XLOOKUP($K17,'Sales Rec'!$E$4:$E$32,'Sales Rec'!$M$4:$M$32,"")</f>
        <v>766</v>
      </c>
      <c r="DW17" s="904">
        <f>_xlfn.XLOOKUP($K17,'Sales Rec'!$E$4:$E$32,'Sales Rec'!$N$4:$N$32,"")</f>
        <v>1160</v>
      </c>
      <c r="DX17" s="1195">
        <f>_xlfn.XLOOKUP(K17,Cement!$Q$7:$Q$35,Cement!$AR$7:$AR$35,"")</f>
        <v>3291.0574412532637</v>
      </c>
      <c r="DY17" s="964">
        <f t="shared" si="47"/>
        <v>42.717148363107711</v>
      </c>
      <c r="DZ17" s="1490">
        <f t="shared" si="48"/>
        <v>18</v>
      </c>
      <c r="EA17" s="367"/>
      <c r="EB17" s="176" t="e">
        <f>SUMIF('[1]9-1404.12.03'!$B$2:$B$2000,$J17,'[1]9-1404.12.03'!$L$2:$L$2000)</f>
        <v>#VALUE!</v>
      </c>
      <c r="EC17" s="176" t="e">
        <f>SUMIF('[1]9-1404.12.03'!$B$2:$B$2000,$J17,'[1]9-1404.12.03'!$E$2:$E$2000)/10</f>
        <v>#VALUE!</v>
      </c>
      <c r="ED17" s="177" t="str">
        <f t="shared" si="49"/>
        <v/>
      </c>
      <c r="EE17" s="176" t="e">
        <f>SUMIF('[1]8B-1404.12.02'!$D$2:$D$3000,$J17,'[1]8B-1404.12.02'!$M$2:$M$3000)</f>
        <v>#VALUE!</v>
      </c>
      <c r="EF17" s="176" t="e">
        <f>SUMIF('[1]8B-1404.12.02'!$D$2:$D$3000,$J17,'[1]8B-1404.12.02'!$G$2:$G$3000)/10</f>
        <v>#VALUE!</v>
      </c>
      <c r="EG17" s="177" t="str">
        <f t="shared" si="50"/>
        <v/>
      </c>
      <c r="EH17" s="1502"/>
      <c r="EI17" s="1534">
        <f>SUMIF(Cem_Export!$C$2:$C$3000,$J17,Cem_Export!$I$2:$I$3000)</f>
        <v>0</v>
      </c>
      <c r="EJ17" s="1534">
        <f>SUMIFS(Cem_Export!$J$2:$J$3000,Cem_Export!$C$2:$C$3000,$J17,Cem_Export!$L$2:$L$3000, $EJ$4)</f>
        <v>0</v>
      </c>
      <c r="EK17" s="1534">
        <f>SUMIFS(Cem_Export!$J$2:$J$3000,Cem_Export!$C$2:$C$3000,$J17,Cem_Export!$L$2:$L$3000, $EK$4)</f>
        <v>0</v>
      </c>
      <c r="EL17" s="1682" t="str">
        <f t="shared" si="51"/>
        <v/>
      </c>
      <c r="EM17" s="1836">
        <f t="shared" si="52"/>
        <v>0</v>
      </c>
      <c r="EN17" s="1562"/>
      <c r="EO17" s="1625">
        <f>SUMIF('Cem-Domestic'!$D$2:$D$4000,$J17,'Cem-Domestic'!$M$2:$M$4000)</f>
        <v>46500</v>
      </c>
      <c r="EP17" s="1625">
        <f>SUMIF('Cem-Domestic'!$D$2:$D$4000,$J17,'Cem-Domestic'!$G$2:$G$4000)/10^7</f>
        <v>179.00646800000001</v>
      </c>
      <c r="EQ17" s="1681">
        <f t="shared" si="53"/>
        <v>3849.6014623655919</v>
      </c>
      <c r="ER17" s="1562"/>
      <c r="ES17" s="1533">
        <v>0</v>
      </c>
      <c r="ET17" s="1534">
        <v>0</v>
      </c>
      <c r="EU17" s="1535" t="s">
        <v>192</v>
      </c>
      <c r="EV17" s="1533">
        <v>0</v>
      </c>
      <c r="EW17" s="1534">
        <v>0</v>
      </c>
      <c r="EX17" s="1535" t="s">
        <v>192</v>
      </c>
      <c r="EY17" s="1533">
        <v>0</v>
      </c>
      <c r="EZ17" s="1534">
        <v>0</v>
      </c>
      <c r="FA17" s="1535" t="s">
        <v>192</v>
      </c>
      <c r="FB17" s="1533">
        <v>0</v>
      </c>
      <c r="FC17" s="1534">
        <v>0</v>
      </c>
      <c r="FD17" s="1535" t="s">
        <v>192</v>
      </c>
      <c r="FE17" s="1533">
        <v>0</v>
      </c>
      <c r="FF17" s="1534">
        <v>0</v>
      </c>
      <c r="FG17" s="1535" t="s">
        <v>192</v>
      </c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</row>
    <row r="18" spans="1:234" ht="30" customHeight="1">
      <c r="A18" s="975">
        <f t="shared" si="0"/>
        <v>14</v>
      </c>
      <c r="B18" s="975">
        <f t="shared" si="1"/>
        <v>11</v>
      </c>
      <c r="C18" s="975">
        <f t="shared" si="2"/>
        <v>20</v>
      </c>
      <c r="D18" s="1015">
        <f t="shared" si="3"/>
        <v>0.38744939271255036</v>
      </c>
      <c r="E18" s="1217">
        <f>_xlfn.XLOOKUP(K18,Cement!$Q$7:$Q$35,Cement!$Z$7:$Z$35,"")</f>
        <v>0.13271656854499583</v>
      </c>
      <c r="F18" s="1091">
        <f t="shared" si="4"/>
        <v>25.473282416755449</v>
      </c>
      <c r="G18" s="991">
        <f t="shared" si="5"/>
        <v>3.3567491030064733E-2</v>
      </c>
      <c r="H18" s="173">
        <f>_xlfn.XLOOKUP($K18,Cement!$Q$7:$Q$35,Cement!$B$7:$B$35,"")</f>
        <v>19.422334801178096</v>
      </c>
      <c r="I18" s="173">
        <f>_xlfn.XLOOKUP(K18,Cement!$Q$7:$Q$35,Cement!$A$7:$A$35,"")</f>
        <v>35.869705787560406</v>
      </c>
      <c r="J18" s="202" t="s">
        <v>905</v>
      </c>
      <c r="K18" s="554" t="s">
        <v>35</v>
      </c>
      <c r="L18" s="937">
        <f>_xlfn.XLOOKUP(K18,Cement!$Q$7:$Q$35,Cement!$R$7:$R$35,"")</f>
        <v>12</v>
      </c>
      <c r="M18" s="2013">
        <f>_xlfn.XLOOKUP(K18,'Sales Rec'!$E$4:$E$32,'Sales Rec'!$L$4:$L$32,"")</f>
        <v>4</v>
      </c>
      <c r="N18" s="930">
        <f t="shared" si="6"/>
        <v>2829.090909090909</v>
      </c>
      <c r="O18" s="208">
        <f t="shared" si="7"/>
        <v>2438.787878787879</v>
      </c>
      <c r="P18" s="1465">
        <f t="shared" si="8"/>
        <v>657</v>
      </c>
      <c r="Q18" s="1466">
        <f t="shared" si="54"/>
        <v>28.3203125</v>
      </c>
      <c r="R18" s="1472">
        <f t="shared" si="9"/>
        <v>333</v>
      </c>
      <c r="S18" s="1473">
        <f t="shared" si="10"/>
        <v>-49.315068493150683</v>
      </c>
      <c r="T18" s="1479">
        <f t="shared" si="11"/>
        <v>510</v>
      </c>
      <c r="U18" s="1092">
        <f t="shared" si="12"/>
        <v>53.153153153153156</v>
      </c>
      <c r="V18" s="1486">
        <f t="shared" si="13"/>
        <v>512</v>
      </c>
      <c r="W18" s="1487">
        <f t="shared" si="14"/>
        <v>0.39215686274509803</v>
      </c>
      <c r="X18" s="934">
        <f>_xlfn.XLOOKUP(K18,Cement!$Q$7:$Q$35,Cement!$AK$7:$AK$35,"")</f>
        <v>825000</v>
      </c>
      <c r="Y18" s="1911"/>
      <c r="Z18" s="1567"/>
      <c r="AA18" s="1548"/>
      <c r="AB18" s="996">
        <v>151</v>
      </c>
      <c r="AC18" s="997">
        <v>39</v>
      </c>
      <c r="AD18" s="884">
        <f t="shared" si="15"/>
        <v>112</v>
      </c>
      <c r="AE18" s="1365"/>
      <c r="AF18" s="1567">
        <v>105.96675500000001</v>
      </c>
      <c r="AG18" s="1548">
        <v>0</v>
      </c>
      <c r="AH18" s="996">
        <v>170</v>
      </c>
      <c r="AI18" s="997">
        <v>59</v>
      </c>
      <c r="AJ18" s="884">
        <f t="shared" si="16"/>
        <v>111</v>
      </c>
      <c r="AK18" s="1365"/>
      <c r="AL18" s="1567">
        <v>99.141091000000003</v>
      </c>
      <c r="AM18" s="1548">
        <v>0</v>
      </c>
      <c r="AN18" s="996">
        <v>189</v>
      </c>
      <c r="AO18" s="997">
        <v>95</v>
      </c>
      <c r="AP18" s="884">
        <f t="shared" si="17"/>
        <v>94</v>
      </c>
      <c r="AQ18" s="1365"/>
      <c r="AR18" s="1567">
        <v>86.178764999999999</v>
      </c>
      <c r="AS18" s="1548">
        <v>0</v>
      </c>
      <c r="AT18" s="996">
        <v>150</v>
      </c>
      <c r="AU18" s="997">
        <v>64</v>
      </c>
      <c r="AV18" s="884">
        <f t="shared" si="18"/>
        <v>86</v>
      </c>
      <c r="AW18" s="884"/>
      <c r="AX18" s="1567">
        <v>84.325424999999996</v>
      </c>
      <c r="AY18" s="1548">
        <v>0</v>
      </c>
      <c r="AZ18" s="996">
        <v>189</v>
      </c>
      <c r="BA18" s="997">
        <v>98</v>
      </c>
      <c r="BB18" s="884">
        <f t="shared" si="19"/>
        <v>91</v>
      </c>
      <c r="BC18" s="884"/>
      <c r="BD18" s="1567"/>
      <c r="BE18" s="1548"/>
      <c r="BF18" s="996">
        <v>173</v>
      </c>
      <c r="BG18" s="997">
        <v>59</v>
      </c>
      <c r="BH18" s="884">
        <f t="shared" si="20"/>
        <v>114</v>
      </c>
      <c r="BI18" s="884"/>
      <c r="BJ18" s="2100">
        <f t="shared" si="21"/>
        <v>512</v>
      </c>
      <c r="BK18" s="2102"/>
      <c r="BL18" s="2102"/>
      <c r="BM18" s="884"/>
      <c r="BN18" s="1567"/>
      <c r="BO18" s="1548"/>
      <c r="BP18" s="996">
        <v>143</v>
      </c>
      <c r="BQ18" s="997">
        <v>74</v>
      </c>
      <c r="BR18" s="884">
        <f t="shared" si="22"/>
        <v>69</v>
      </c>
      <c r="BS18" s="1365"/>
      <c r="BT18" s="1567"/>
      <c r="BU18" s="1548"/>
      <c r="BV18" s="996">
        <v>254</v>
      </c>
      <c r="BW18" s="997">
        <v>114</v>
      </c>
      <c r="BX18" s="884">
        <f t="shared" si="23"/>
        <v>140</v>
      </c>
      <c r="BY18" s="1365"/>
      <c r="BZ18" s="1980">
        <f t="shared" si="24"/>
        <v>27</v>
      </c>
      <c r="CA18" s="1999">
        <f t="shared" si="25"/>
        <v>-43.285714960629925</v>
      </c>
      <c r="CB18" s="1992">
        <f t="shared" si="26"/>
        <v>144.054284</v>
      </c>
      <c r="CC18" s="996">
        <v>260</v>
      </c>
      <c r="CD18" s="1996">
        <v>0</v>
      </c>
      <c r="CE18" s="997">
        <v>129</v>
      </c>
      <c r="CF18" s="1981">
        <v>144.054284</v>
      </c>
      <c r="CG18" s="884">
        <f t="shared" si="27"/>
        <v>131</v>
      </c>
      <c r="CH18" s="1365"/>
      <c r="CI18" s="2102">
        <f t="shared" si="28"/>
        <v>657</v>
      </c>
      <c r="CJ18" s="2105">
        <f t="shared" si="29"/>
        <v>0.283203125</v>
      </c>
      <c r="CK18" s="2108">
        <f t="shared" si="30"/>
        <v>22</v>
      </c>
      <c r="CL18" s="1365"/>
      <c r="CM18" s="1980">
        <f t="shared" si="31"/>
        <v>22</v>
      </c>
      <c r="CN18" s="1999">
        <f t="shared" si="32"/>
        <v>-60.235776346153848</v>
      </c>
      <c r="CO18" s="1992">
        <f t="shared" si="33"/>
        <v>103.3869815</v>
      </c>
      <c r="CP18" s="996">
        <v>122</v>
      </c>
      <c r="CQ18" s="1996">
        <v>0</v>
      </c>
      <c r="CR18" s="2232">
        <v>8</v>
      </c>
      <c r="CS18" s="1981">
        <v>103.3869815</v>
      </c>
      <c r="CT18" s="884">
        <f t="shared" si="34"/>
        <v>114</v>
      </c>
      <c r="CU18" s="1365"/>
      <c r="CV18" s="1980">
        <f t="shared" si="35"/>
        <v>28</v>
      </c>
      <c r="CW18" s="1999">
        <f t="shared" si="36"/>
        <v>-76.852696721311474</v>
      </c>
      <c r="CX18" s="1992">
        <f t="shared" si="37"/>
        <v>28.239709999999999</v>
      </c>
      <c r="CY18" s="996"/>
      <c r="CZ18" s="1996">
        <f t="shared" si="38"/>
        <v>0</v>
      </c>
      <c r="DA18" s="2232"/>
      <c r="DB18" s="1981">
        <f t="shared" si="39"/>
        <v>28.239709999999999</v>
      </c>
      <c r="DC18" s="884">
        <f t="shared" si="40"/>
        <v>28.239709999999999</v>
      </c>
      <c r="DD18" s="1365"/>
      <c r="DE18" s="1567"/>
      <c r="DF18" s="1548"/>
      <c r="DG18" s="1926">
        <v>211</v>
      </c>
      <c r="DH18" s="997">
        <v>123</v>
      </c>
      <c r="DI18" s="884">
        <f t="shared" si="41"/>
        <v>88</v>
      </c>
      <c r="DJ18" s="367"/>
      <c r="DK18" s="1201"/>
      <c r="DL18" s="945">
        <f>_xlfn.XLOOKUP($K18,'Sales Rec'!$E$4:$E$32,'Sales Rec'!P$4:P$32,"")</f>
        <v>397</v>
      </c>
      <c r="DM18" s="943">
        <f>_xlfn.XLOOKUP($K18,'Sales Rec'!$E$4:$E$32,'Sales Rec'!O$4:O$32,"")</f>
        <v>381</v>
      </c>
      <c r="DN18" s="948">
        <f t="shared" si="42"/>
        <v>0.48971722365038561</v>
      </c>
      <c r="DO18" s="943">
        <f t="shared" si="43"/>
        <v>778</v>
      </c>
      <c r="DP18" s="913">
        <f>_xlfn.XLOOKUP($K18,'Sales Rec'!$E$4:$E$32,'Sales Rec'!I$4:I$32,"")</f>
        <v>1017</v>
      </c>
      <c r="DQ18" s="914">
        <f>_xlfn.XLOOKUP($K18,'Sales Rec'!$E$4:$E$32,'Sales Rec'!H$4:H$32,"")</f>
        <v>853</v>
      </c>
      <c r="DR18" s="946">
        <f t="shared" si="44"/>
        <v>0.45614973262032088</v>
      </c>
      <c r="DS18" s="942">
        <f>_xlfn.XLOOKUP(K18,Cement!$Q$3:$Q$35,Cement!$AP$3:$AP$35,"")</f>
        <v>1870</v>
      </c>
      <c r="DT18" s="1013" t="str">
        <f t="shared" si="45"/>
        <v>OK</v>
      </c>
      <c r="DU18" s="952">
        <f t="shared" si="46"/>
        <v>2012</v>
      </c>
      <c r="DV18" s="925">
        <f>_xlfn.XLOOKUP($K18,'Sales Rec'!$E$4:$E$32,'Sales Rec'!$M$4:$M$32,"")</f>
        <v>494</v>
      </c>
      <c r="DW18" s="904">
        <f>_xlfn.XLOOKUP($K18,'Sales Rec'!$E$4:$E$32,'Sales Rec'!$N$4:$N$32,"")</f>
        <v>778</v>
      </c>
      <c r="DX18" s="1195">
        <f>_xlfn.XLOOKUP(K18,Cement!$Q$7:$Q$35,Cement!$AR$7:$AR$35,"")</f>
        <v>2594.5303643724692</v>
      </c>
      <c r="DY18" s="964">
        <f t="shared" si="47"/>
        <v>38.744939271255035</v>
      </c>
      <c r="DZ18" s="1490">
        <f t="shared" si="48"/>
        <v>20</v>
      </c>
      <c r="EA18" s="367"/>
      <c r="EB18" s="176" t="e">
        <f>SUMIF('[1]9-1404.12.03'!$B$2:$B$2000,$J18,'[1]9-1404.12.03'!$L$2:$L$2000)</f>
        <v>#VALUE!</v>
      </c>
      <c r="EC18" s="176" t="e">
        <f>SUMIF('[1]9-1404.12.03'!$B$2:$B$2000,$J18,'[1]9-1404.12.03'!$E$2:$E$2000)/10</f>
        <v>#VALUE!</v>
      </c>
      <c r="ED18" s="177" t="str">
        <f t="shared" si="49"/>
        <v/>
      </c>
      <c r="EE18" s="176" t="e">
        <f>SUMIF('[1]8B-1404.12.02'!$D$2:$D$3000,$J18,'[1]8B-1404.12.02'!$M$2:$M$3000)</f>
        <v>#VALUE!</v>
      </c>
      <c r="EF18" s="176" t="e">
        <f>SUMIF('[1]8B-1404.12.02'!$D$2:$D$3000,$J18,'[1]8B-1404.12.02'!$G$2:$G$3000)/10</f>
        <v>#VALUE!</v>
      </c>
      <c r="EG18" s="177" t="str">
        <f t="shared" si="50"/>
        <v/>
      </c>
      <c r="EH18" s="1502"/>
      <c r="EI18" s="1534">
        <f>SUMIF(Cem_Export!$C$2:$C$3000,$J18,Cem_Export!$I$2:$I$3000)</f>
        <v>0</v>
      </c>
      <c r="EJ18" s="1534">
        <f>SUMIFS(Cem_Export!$J$2:$J$3000,Cem_Export!$C$2:$C$3000,$J18,Cem_Export!$L$2:$L$3000, $EJ$4)</f>
        <v>0</v>
      </c>
      <c r="EK18" s="1534">
        <f>SUMIFS(Cem_Export!$J$2:$J$3000,Cem_Export!$C$2:$C$3000,$J18,Cem_Export!$L$2:$L$3000, $EK$4)</f>
        <v>0</v>
      </c>
      <c r="EL18" s="1682" t="str">
        <f t="shared" si="51"/>
        <v/>
      </c>
      <c r="EM18" s="1836">
        <f t="shared" si="52"/>
        <v>0</v>
      </c>
      <c r="EN18" s="1562"/>
      <c r="EO18" s="1625">
        <f>SUMIF('Cem-Domestic'!$D$2:$D$4000,$J18,'Cem-Domestic'!$M$2:$M$4000)</f>
        <v>7700</v>
      </c>
      <c r="EP18" s="1625">
        <f>SUMIF('Cem-Domestic'!$D$2:$D$4000,$J18,'Cem-Domestic'!$G$2:$G$4000)/10^7</f>
        <v>28.239709999999999</v>
      </c>
      <c r="EQ18" s="1681">
        <f t="shared" si="53"/>
        <v>3667.4948051948054</v>
      </c>
      <c r="ER18" s="1562"/>
      <c r="ES18" s="1533">
        <v>0</v>
      </c>
      <c r="ET18" s="1534">
        <v>0</v>
      </c>
      <c r="EU18" s="1535" t="s">
        <v>192</v>
      </c>
      <c r="EV18" s="1533">
        <v>0</v>
      </c>
      <c r="EW18" s="1534">
        <v>0</v>
      </c>
      <c r="EX18" s="1535" t="s">
        <v>192</v>
      </c>
      <c r="EY18" s="1533">
        <v>0</v>
      </c>
      <c r="EZ18" s="1534">
        <v>0</v>
      </c>
      <c r="FA18" s="1535" t="s">
        <v>192</v>
      </c>
      <c r="FB18" s="1533">
        <v>0</v>
      </c>
      <c r="FC18" s="1534">
        <v>0</v>
      </c>
      <c r="FD18" s="1535" t="s">
        <v>192</v>
      </c>
      <c r="FE18" s="1533">
        <v>0</v>
      </c>
      <c r="FF18" s="1534">
        <v>0</v>
      </c>
      <c r="FG18" s="1535" t="s">
        <v>192</v>
      </c>
    </row>
    <row r="19" spans="1:234" ht="30" customHeight="1">
      <c r="A19" s="975">
        <f t="shared" si="0"/>
        <v>15</v>
      </c>
      <c r="B19" s="975">
        <f t="shared" si="1"/>
        <v>14</v>
      </c>
      <c r="C19" s="975">
        <f t="shared" si="2"/>
        <v>10</v>
      </c>
      <c r="D19" s="1015">
        <f t="shared" si="3"/>
        <v>0.58735800378289604</v>
      </c>
      <c r="E19" s="1217">
        <f>_xlfn.XLOOKUP(K19,Cement!$Q$7:$Q$35,Cement!$Z$7:$Z$35,"")</f>
        <v>0.34813393329804126</v>
      </c>
      <c r="F19" s="1091">
        <f t="shared" si="4"/>
        <v>23.922407048485478</v>
      </c>
      <c r="G19" s="991">
        <f t="shared" si="5"/>
        <v>2.8719126938541069E-3</v>
      </c>
      <c r="H19" s="173">
        <f>_xlfn.XLOOKUP($K19,Cement!$Q$7:$Q$35,Cement!$B$7:$B$35,"")</f>
        <v>11.940187906386852</v>
      </c>
      <c r="I19" s="173">
        <f>_xlfn.XLOOKUP(K19,Cement!$Q$7:$Q$35,Cement!$A$7:$A$35,"")</f>
        <v>14.380222800984832</v>
      </c>
      <c r="J19" s="202" t="s">
        <v>910</v>
      </c>
      <c r="K19" s="926" t="s">
        <v>67</v>
      </c>
      <c r="L19" s="937">
        <f>_xlfn.XLOOKUP(K19,Cement!$Q$7:$Q$35,Cement!$R$7:$R$35,"")</f>
        <v>9</v>
      </c>
      <c r="M19" s="2015">
        <f>_xlfn.XLOOKUP(K19,'Sales Rec'!$E$4:$E$32,'Sales Rec'!$L$4:$L$32,"")</f>
        <v>7</v>
      </c>
      <c r="N19" s="930">
        <f t="shared" si="6"/>
        <v>2713.2467532467531</v>
      </c>
      <c r="O19" s="208">
        <f t="shared" si="7"/>
        <v>2190.909090909091</v>
      </c>
      <c r="P19" s="1465">
        <f t="shared" si="8"/>
        <v>849</v>
      </c>
      <c r="Q19" s="1466">
        <f t="shared" si="54"/>
        <v>37.601296596434359</v>
      </c>
      <c r="R19" s="1472">
        <f t="shared" si="9"/>
        <v>431</v>
      </c>
      <c r="S19" s="1473">
        <f t="shared" si="10"/>
        <v>-49.234393404004713</v>
      </c>
      <c r="T19" s="1479">
        <f t="shared" si="11"/>
        <v>513</v>
      </c>
      <c r="U19" s="1092">
        <f t="shared" si="12"/>
        <v>19.025522041763342</v>
      </c>
      <c r="V19" s="1486">
        <f t="shared" si="13"/>
        <v>617</v>
      </c>
      <c r="W19" s="1487">
        <f t="shared" si="14"/>
        <v>20.2729044834308</v>
      </c>
      <c r="X19" s="934">
        <f>_xlfn.XLOOKUP(K19,Cement!$Q$7:$Q$35,Cement!$AK$7:$AK$35,"")</f>
        <v>1100000</v>
      </c>
      <c r="Y19" s="1911"/>
      <c r="Z19" s="1567"/>
      <c r="AA19" s="1548"/>
      <c r="AB19" s="996">
        <v>175</v>
      </c>
      <c r="AC19" s="997">
        <v>0</v>
      </c>
      <c r="AD19" s="884">
        <f t="shared" si="15"/>
        <v>175</v>
      </c>
      <c r="AE19" s="1365"/>
      <c r="AF19" s="1567">
        <v>166.562409</v>
      </c>
      <c r="AG19" s="1548">
        <v>0</v>
      </c>
      <c r="AH19" s="996">
        <v>175</v>
      </c>
      <c r="AI19" s="997">
        <v>0</v>
      </c>
      <c r="AJ19" s="884">
        <f t="shared" si="16"/>
        <v>175</v>
      </c>
      <c r="AK19" s="1365"/>
      <c r="AL19" s="1567">
        <v>225.88418849999999</v>
      </c>
      <c r="AM19" s="1548">
        <v>61240</v>
      </c>
      <c r="AN19" s="996">
        <v>163</v>
      </c>
      <c r="AO19" s="997">
        <v>2</v>
      </c>
      <c r="AP19" s="884">
        <f t="shared" si="17"/>
        <v>161</v>
      </c>
      <c r="AQ19" s="1365"/>
      <c r="AR19" s="1567">
        <v>178.5534045</v>
      </c>
      <c r="AS19" s="1548">
        <v>0</v>
      </c>
      <c r="AT19" s="996">
        <v>220</v>
      </c>
      <c r="AU19" s="997">
        <v>0</v>
      </c>
      <c r="AV19" s="884">
        <f t="shared" si="18"/>
        <v>220</v>
      </c>
      <c r="AW19" s="884"/>
      <c r="AX19" s="1567">
        <v>180.5959225</v>
      </c>
      <c r="AY19" s="1548">
        <v>0</v>
      </c>
      <c r="AZ19" s="996">
        <v>183</v>
      </c>
      <c r="BA19" s="997">
        <v>1</v>
      </c>
      <c r="BB19" s="884">
        <f t="shared" si="19"/>
        <v>182</v>
      </c>
      <c r="BC19" s="884"/>
      <c r="BD19" s="1567"/>
      <c r="BE19" s="1548"/>
      <c r="BF19" s="996">
        <v>214</v>
      </c>
      <c r="BG19" s="997">
        <v>1</v>
      </c>
      <c r="BH19" s="884">
        <f t="shared" si="20"/>
        <v>213</v>
      </c>
      <c r="BI19" s="884"/>
      <c r="BJ19" s="2100">
        <f t="shared" si="21"/>
        <v>617</v>
      </c>
      <c r="BK19" s="2102"/>
      <c r="BL19" s="2102"/>
      <c r="BM19" s="884"/>
      <c r="BN19" s="1567"/>
      <c r="BO19" s="1548"/>
      <c r="BP19" s="996">
        <v>207</v>
      </c>
      <c r="BQ19" s="997">
        <v>1</v>
      </c>
      <c r="BR19" s="884">
        <f t="shared" si="22"/>
        <v>206</v>
      </c>
      <c r="BS19" s="1365"/>
      <c r="BT19" s="1567"/>
      <c r="BU19" s="1548"/>
      <c r="BV19" s="996">
        <v>317</v>
      </c>
      <c r="BW19" s="997">
        <v>1</v>
      </c>
      <c r="BX19" s="884">
        <f t="shared" si="23"/>
        <v>316</v>
      </c>
      <c r="BY19" s="1365"/>
      <c r="BZ19" s="1980">
        <f t="shared" si="24"/>
        <v>11</v>
      </c>
      <c r="CA19" s="1999">
        <f t="shared" si="25"/>
        <v>11.205202208201891</v>
      </c>
      <c r="CB19" s="1992">
        <f t="shared" si="26"/>
        <v>352.52049099999999</v>
      </c>
      <c r="CC19" s="996">
        <v>325</v>
      </c>
      <c r="CD19" s="1996">
        <v>0</v>
      </c>
      <c r="CE19" s="997">
        <v>1</v>
      </c>
      <c r="CF19" s="1981">
        <v>352.52049099999999</v>
      </c>
      <c r="CG19" s="884">
        <f t="shared" si="27"/>
        <v>324</v>
      </c>
      <c r="CH19" s="1365"/>
      <c r="CI19" s="2102">
        <f t="shared" si="28"/>
        <v>849</v>
      </c>
      <c r="CJ19" s="2105">
        <f t="shared" si="29"/>
        <v>0.37601296596434358</v>
      </c>
      <c r="CK19" s="2108">
        <f t="shared" si="30"/>
        <v>17</v>
      </c>
      <c r="CL19" s="1365"/>
      <c r="CM19" s="1980">
        <f t="shared" si="31"/>
        <v>20</v>
      </c>
      <c r="CN19" s="1999">
        <f t="shared" si="32"/>
        <v>-53.551150769230773</v>
      </c>
      <c r="CO19" s="1992">
        <f t="shared" si="33"/>
        <v>150.95876000000001</v>
      </c>
      <c r="CP19" s="996">
        <v>274</v>
      </c>
      <c r="CQ19" s="1996">
        <v>0</v>
      </c>
      <c r="CR19" s="2232">
        <v>0</v>
      </c>
      <c r="CS19" s="1981">
        <v>150.95876000000001</v>
      </c>
      <c r="CT19" s="884">
        <f t="shared" si="34"/>
        <v>274</v>
      </c>
      <c r="CU19" s="1365"/>
      <c r="CV19" s="1980">
        <f t="shared" si="35"/>
        <v>9</v>
      </c>
      <c r="CW19" s="1999">
        <f t="shared" si="36"/>
        <v>-52.29265328467153</v>
      </c>
      <c r="CX19" s="1992">
        <f t="shared" si="37"/>
        <v>130.71813</v>
      </c>
      <c r="CY19" s="996"/>
      <c r="CZ19" s="1996">
        <f t="shared" si="38"/>
        <v>0</v>
      </c>
      <c r="DA19" s="2232"/>
      <c r="DB19" s="1981">
        <f t="shared" si="39"/>
        <v>130.71813</v>
      </c>
      <c r="DC19" s="884">
        <f t="shared" si="40"/>
        <v>130.71813</v>
      </c>
      <c r="DD19" s="1365"/>
      <c r="DE19" s="1567"/>
      <c r="DF19" s="1548"/>
      <c r="DG19" s="1926">
        <v>157</v>
      </c>
      <c r="DH19" s="997">
        <v>0</v>
      </c>
      <c r="DI19" s="884">
        <f t="shared" si="41"/>
        <v>157</v>
      </c>
      <c r="DJ19" s="367"/>
      <c r="DK19" s="1201"/>
      <c r="DL19" s="945">
        <f>_xlfn.XLOOKUP($K19,'Sales Rec'!$E$4:$E$32,'Sales Rec'!P$4:P$32,"")</f>
        <v>1736</v>
      </c>
      <c r="DM19" s="943">
        <f>_xlfn.XLOOKUP($K19,'Sales Rec'!$E$4:$E$32,'Sales Rec'!O$4:O$32,"")</f>
        <v>5</v>
      </c>
      <c r="DN19" s="948">
        <f t="shared" si="42"/>
        <v>2.8719126938541069E-3</v>
      </c>
      <c r="DO19" s="943">
        <f t="shared" si="43"/>
        <v>1741</v>
      </c>
      <c r="DP19" s="913">
        <f>_xlfn.XLOOKUP($K19,'Sales Rec'!$E$4:$E$32,'Sales Rec'!I$4:I$32,"")</f>
        <v>1852</v>
      </c>
      <c r="DQ19" s="914">
        <f>_xlfn.XLOOKUP($K19,'Sales Rec'!$E$4:$E$32,'Sales Rec'!H$4:H$32,"")</f>
        <v>0</v>
      </c>
      <c r="DR19" s="946">
        <f t="shared" si="44"/>
        <v>0</v>
      </c>
      <c r="DS19" s="942">
        <f>_xlfn.XLOOKUP(K19,Cement!$Q$3:$Q$35,Cement!$AP$3:$AP$35,"")</f>
        <v>1852</v>
      </c>
      <c r="DT19" s="1013" t="str">
        <f t="shared" si="45"/>
        <v>OK</v>
      </c>
      <c r="DU19" s="952">
        <f t="shared" si="46"/>
        <v>2410</v>
      </c>
      <c r="DV19" s="925">
        <f>_xlfn.XLOOKUP($K19,'Sales Rec'!$E$4:$E$32,'Sales Rec'!$M$4:$M$32,"")</f>
        <v>1037</v>
      </c>
      <c r="DW19" s="904">
        <f>_xlfn.XLOOKUP($K19,'Sales Rec'!$E$4:$E$32,'Sales Rec'!$N$4:$N$32,"")</f>
        <v>1741</v>
      </c>
      <c r="DX19" s="1195">
        <f>_xlfn.XLOOKUP(K19,Cement!$Q$7:$Q$35,Cement!$AR$7:$AR$35,"")</f>
        <v>2939.7870230059234</v>
      </c>
      <c r="DY19" s="964">
        <f t="shared" si="47"/>
        <v>58.735800378289603</v>
      </c>
      <c r="DZ19" s="1490">
        <f t="shared" si="48"/>
        <v>10</v>
      </c>
      <c r="EA19" s="367"/>
      <c r="EB19" s="176" t="e">
        <f>SUMIF('[1]9-1404.12.03'!$B$2:$B$2000,$J19,'[1]9-1404.12.03'!$L$2:$L$2000)</f>
        <v>#VALUE!</v>
      </c>
      <c r="EC19" s="176" t="e">
        <f>SUMIF('[1]9-1404.12.03'!$B$2:$B$2000,$J19,'[1]9-1404.12.03'!$E$2:$E$2000)/10</f>
        <v>#VALUE!</v>
      </c>
      <c r="ED19" s="177" t="str">
        <f t="shared" si="49"/>
        <v/>
      </c>
      <c r="EE19" s="176" t="e">
        <f>SUMIF('[1]8B-1404.12.02'!$D$2:$D$3000,$J19,'[1]8B-1404.12.02'!$M$2:$M$3000)</f>
        <v>#VALUE!</v>
      </c>
      <c r="EF19" s="176" t="e">
        <f>SUMIF('[1]8B-1404.12.02'!$D$2:$D$3000,$J19,'[1]8B-1404.12.02'!$G$2:$G$3000)/10</f>
        <v>#VALUE!</v>
      </c>
      <c r="EG19" s="177" t="str">
        <f t="shared" si="50"/>
        <v/>
      </c>
      <c r="EH19" s="1502"/>
      <c r="EI19" s="1534">
        <f>SUMIF(Cem_Export!$C$2:$C$3000,$J19,Cem_Export!$I$2:$I$3000)</f>
        <v>0</v>
      </c>
      <c r="EJ19" s="1534">
        <f>SUMIFS(Cem_Export!$J$2:$J$3000,Cem_Export!$C$2:$C$3000,$J19,Cem_Export!$L$2:$L$3000, $EJ$4)</f>
        <v>0</v>
      </c>
      <c r="EK19" s="1534">
        <f>SUMIFS(Cem_Export!$J$2:$J$3000,Cem_Export!$C$2:$C$3000,$J19,Cem_Export!$L$2:$L$3000, $EK$4)</f>
        <v>0</v>
      </c>
      <c r="EL19" s="1682" t="str">
        <f t="shared" si="51"/>
        <v/>
      </c>
      <c r="EM19" s="1836">
        <f t="shared" si="52"/>
        <v>0</v>
      </c>
      <c r="EN19" s="1562"/>
      <c r="EO19" s="1625">
        <f>SUMIF('Cem-Domestic'!$D$2:$D$4000,$J19,'Cem-Domestic'!$M$2:$M$4000)</f>
        <v>39225</v>
      </c>
      <c r="EP19" s="1625">
        <f>SUMIF('Cem-Domestic'!$D$2:$D$4000,$J19,'Cem-Domestic'!$G$2:$G$4000)/10^7</f>
        <v>130.71813</v>
      </c>
      <c r="EQ19" s="1681">
        <f t="shared" si="53"/>
        <v>3332.520841300191</v>
      </c>
      <c r="ER19" s="1562"/>
      <c r="ES19" s="1533">
        <v>0</v>
      </c>
      <c r="ET19" s="1534">
        <v>0</v>
      </c>
      <c r="EU19" s="1535" t="s">
        <v>192</v>
      </c>
      <c r="EV19" s="1533">
        <v>0</v>
      </c>
      <c r="EW19" s="1534">
        <v>0</v>
      </c>
      <c r="EX19" s="1535" t="s">
        <v>192</v>
      </c>
      <c r="EY19" s="1533">
        <v>0</v>
      </c>
      <c r="EZ19" s="1534">
        <v>0</v>
      </c>
      <c r="FA19" s="1535" t="s">
        <v>192</v>
      </c>
      <c r="FB19" s="1533">
        <v>0</v>
      </c>
      <c r="FC19" s="1534">
        <v>0</v>
      </c>
      <c r="FD19" s="1535" t="s">
        <v>192</v>
      </c>
      <c r="FE19" s="1533">
        <v>0</v>
      </c>
      <c r="FF19" s="1534">
        <v>0</v>
      </c>
      <c r="FG19" s="1535" t="s">
        <v>192</v>
      </c>
      <c r="FH19" s="102"/>
      <c r="FI19" s="102"/>
      <c r="FJ19" s="102"/>
      <c r="FK19" s="102"/>
      <c r="FL19" s="102"/>
      <c r="FM19" s="102"/>
      <c r="FN19" s="102"/>
      <c r="FO19" s="102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102"/>
      <c r="GG19" s="102"/>
      <c r="GH19" s="102"/>
      <c r="GI19" s="102"/>
      <c r="GJ19" s="102"/>
      <c r="GK19" s="102"/>
      <c r="GL19" s="102"/>
      <c r="GM19" s="102"/>
      <c r="GN19" s="102"/>
      <c r="GO19" s="102"/>
      <c r="GP19" s="102"/>
      <c r="GQ19" s="102"/>
      <c r="GR19" s="102"/>
      <c r="GS19" s="102"/>
      <c r="GT19" s="102"/>
      <c r="GU19" s="102"/>
      <c r="GV19" s="102"/>
      <c r="GW19" s="102"/>
      <c r="GX19" s="102"/>
      <c r="GY19" s="102"/>
      <c r="GZ19" s="102"/>
      <c r="HA19" s="102"/>
      <c r="HB19" s="102"/>
      <c r="HC19" s="102"/>
      <c r="HD19" s="102"/>
      <c r="HE19" s="102"/>
      <c r="HF19" s="102"/>
      <c r="HG19" s="102"/>
      <c r="HH19" s="102"/>
      <c r="HI19" s="102"/>
      <c r="HJ19" s="102"/>
      <c r="HK19" s="102"/>
      <c r="HL19" s="102"/>
      <c r="HM19" s="102"/>
      <c r="HN19" s="102"/>
      <c r="HO19" s="102"/>
      <c r="HP19" s="102"/>
      <c r="HQ19" s="102"/>
      <c r="HR19" s="102"/>
      <c r="HS19" s="102"/>
      <c r="HT19" s="102"/>
      <c r="HU19" s="102"/>
      <c r="HV19" s="102"/>
      <c r="HW19" s="102"/>
      <c r="HX19" s="102"/>
      <c r="HY19" s="102"/>
    </row>
    <row r="20" spans="1:234" ht="30" customHeight="1">
      <c r="A20" s="975">
        <f t="shared" si="0"/>
        <v>16</v>
      </c>
      <c r="B20" s="975">
        <f t="shared" si="1"/>
        <v>17</v>
      </c>
      <c r="C20" s="975">
        <f t="shared" si="2"/>
        <v>12</v>
      </c>
      <c r="D20" s="1015">
        <f t="shared" si="3"/>
        <v>0.57837460226809179</v>
      </c>
      <c r="E20" s="1217">
        <f>_xlfn.XLOOKUP(K20,Cement!$Q$7:$Q$35,Cement!$Z$7:$Z$35,"")</f>
        <v>1.2980269989615784E-4</v>
      </c>
      <c r="F20" s="1091">
        <f t="shared" si="4"/>
        <v>57.824479956819566</v>
      </c>
      <c r="G20" s="991">
        <f t="shared" si="5"/>
        <v>2.2528261248992262E-2</v>
      </c>
      <c r="H20" s="173">
        <f>_xlfn.XLOOKUP($K20,Cement!$Q$7:$Q$35,Cement!$B$7:$B$35,"")</f>
        <v>27.713399507308058</v>
      </c>
      <c r="I20" s="173">
        <f>_xlfn.XLOOKUP(K20,Cement!$Q$7:$Q$35,Cement!$A$7:$A$35,"")</f>
        <v>36.336966923937055</v>
      </c>
      <c r="J20" s="202" t="s">
        <v>911</v>
      </c>
      <c r="K20" s="554" t="s">
        <v>61</v>
      </c>
      <c r="L20" s="937">
        <f>_xlfn.XLOOKUP(K20,Cement!$Q$7:$Q$35,Cement!$R$7:$R$35,"")</f>
        <v>12</v>
      </c>
      <c r="M20" s="2013">
        <f>_xlfn.XLOOKUP(K20,'Sales Rec'!$E$4:$E$32,'Sales Rec'!$L$4:$L$32,"")</f>
        <v>4</v>
      </c>
      <c r="N20" s="930">
        <f t="shared" si="6"/>
        <v>2672.2222222222222</v>
      </c>
      <c r="O20" s="208">
        <f t="shared" si="7"/>
        <v>1887.962962962963</v>
      </c>
      <c r="P20" s="1465">
        <f t="shared" si="8"/>
        <v>715</v>
      </c>
      <c r="Q20" s="1466">
        <f t="shared" si="54"/>
        <v>24.347826086956523</v>
      </c>
      <c r="R20" s="1472">
        <f t="shared" si="9"/>
        <v>369</v>
      </c>
      <c r="S20" s="1473">
        <f t="shared" si="10"/>
        <v>-48.391608391608393</v>
      </c>
      <c r="T20" s="1479">
        <f t="shared" si="11"/>
        <v>380</v>
      </c>
      <c r="U20" s="1092">
        <f t="shared" si="12"/>
        <v>2.9810298102981028</v>
      </c>
      <c r="V20" s="1486">
        <f t="shared" si="13"/>
        <v>575</v>
      </c>
      <c r="W20" s="1487">
        <f t="shared" si="14"/>
        <v>51.315789473684212</v>
      </c>
      <c r="X20" s="934">
        <f>_xlfn.XLOOKUP(K20,Cement!$Q$7:$Q$35,Cement!$AK$7:$AK$35,"")</f>
        <v>1080000</v>
      </c>
      <c r="Y20" s="1911"/>
      <c r="Z20" s="1567"/>
      <c r="AA20" s="1548"/>
      <c r="AB20" s="996">
        <v>129</v>
      </c>
      <c r="AC20" s="997">
        <v>0</v>
      </c>
      <c r="AD20" s="884">
        <f t="shared" si="15"/>
        <v>129</v>
      </c>
      <c r="AE20" s="1365"/>
      <c r="AF20" s="1567">
        <v>113.33613250000001</v>
      </c>
      <c r="AG20" s="1548">
        <v>0</v>
      </c>
      <c r="AH20" s="996">
        <v>122</v>
      </c>
      <c r="AI20" s="997">
        <v>0</v>
      </c>
      <c r="AJ20" s="884">
        <f t="shared" si="16"/>
        <v>122</v>
      </c>
      <c r="AK20" s="1365"/>
      <c r="AL20" s="1567">
        <v>200.02535499999999</v>
      </c>
      <c r="AM20" s="1548">
        <v>0</v>
      </c>
      <c r="AN20" s="996">
        <v>129</v>
      </c>
      <c r="AO20" s="997">
        <v>0</v>
      </c>
      <c r="AP20" s="884">
        <f t="shared" si="17"/>
        <v>129</v>
      </c>
      <c r="AQ20" s="1365"/>
      <c r="AR20" s="1567">
        <v>162.78804</v>
      </c>
      <c r="AS20" s="1548">
        <v>0</v>
      </c>
      <c r="AT20" s="996">
        <v>184</v>
      </c>
      <c r="AU20" s="997">
        <v>0</v>
      </c>
      <c r="AV20" s="884">
        <f t="shared" si="18"/>
        <v>184</v>
      </c>
      <c r="AW20" s="884"/>
      <c r="AX20" s="1567">
        <v>236.04769999999999</v>
      </c>
      <c r="AY20" s="1548">
        <v>0</v>
      </c>
      <c r="AZ20" s="996">
        <v>233</v>
      </c>
      <c r="BA20" s="997">
        <v>0</v>
      </c>
      <c r="BB20" s="884">
        <f t="shared" si="19"/>
        <v>233</v>
      </c>
      <c r="BC20" s="884"/>
      <c r="BD20" s="1567"/>
      <c r="BE20" s="1548"/>
      <c r="BF20" s="996">
        <v>158</v>
      </c>
      <c r="BG20" s="997">
        <v>0</v>
      </c>
      <c r="BH20" s="884">
        <f t="shared" si="20"/>
        <v>158</v>
      </c>
      <c r="BI20" s="884"/>
      <c r="BJ20" s="2100">
        <f t="shared" si="21"/>
        <v>575</v>
      </c>
      <c r="BK20" s="2102"/>
      <c r="BL20" s="2102"/>
      <c r="BM20" s="884"/>
      <c r="BN20" s="1567"/>
      <c r="BO20" s="1548"/>
      <c r="BP20" s="996">
        <v>138</v>
      </c>
      <c r="BQ20" s="997">
        <v>0</v>
      </c>
      <c r="BR20" s="884">
        <f t="shared" si="22"/>
        <v>138</v>
      </c>
      <c r="BS20" s="1365"/>
      <c r="BT20" s="1567"/>
      <c r="BU20" s="1548"/>
      <c r="BV20" s="996">
        <v>254</v>
      </c>
      <c r="BW20" s="997">
        <v>0</v>
      </c>
      <c r="BX20" s="884">
        <f t="shared" si="23"/>
        <v>254</v>
      </c>
      <c r="BY20" s="1365"/>
      <c r="BZ20" s="1980">
        <f t="shared" si="24"/>
        <v>5</v>
      </c>
      <c r="CA20" s="1999">
        <f t="shared" si="25"/>
        <v>32.203179133858256</v>
      </c>
      <c r="CB20" s="1992">
        <f t="shared" si="26"/>
        <v>335.79607499999997</v>
      </c>
      <c r="CC20" s="996">
        <v>323</v>
      </c>
      <c r="CD20" s="1996">
        <v>5.88</v>
      </c>
      <c r="CE20" s="997">
        <v>42</v>
      </c>
      <c r="CF20" s="1981">
        <v>329.91607499999998</v>
      </c>
      <c r="CG20" s="884">
        <f t="shared" si="27"/>
        <v>281</v>
      </c>
      <c r="CH20" s="1365"/>
      <c r="CI20" s="2102">
        <f t="shared" si="28"/>
        <v>715</v>
      </c>
      <c r="CJ20" s="2105">
        <f t="shared" si="29"/>
        <v>0.24347826086956523</v>
      </c>
      <c r="CK20" s="2108">
        <f t="shared" si="30"/>
        <v>23</v>
      </c>
      <c r="CL20" s="1365"/>
      <c r="CM20" s="1980">
        <f t="shared" si="31"/>
        <v>2</v>
      </c>
      <c r="CN20" s="1999">
        <f t="shared" si="32"/>
        <v>126.86861300309597</v>
      </c>
      <c r="CO20" s="1992">
        <f t="shared" si="33"/>
        <v>732.78561999999999</v>
      </c>
      <c r="CP20" s="996">
        <v>246</v>
      </c>
      <c r="CQ20" s="1996">
        <v>0</v>
      </c>
      <c r="CR20" s="2232">
        <v>0</v>
      </c>
      <c r="CS20" s="1981">
        <v>732.78561999999999</v>
      </c>
      <c r="CT20" s="884">
        <f t="shared" si="34"/>
        <v>246</v>
      </c>
      <c r="CU20" s="1365"/>
      <c r="CV20" s="1980">
        <f t="shared" si="35"/>
        <v>11</v>
      </c>
      <c r="CW20" s="1999">
        <f t="shared" si="36"/>
        <v>-55.041321138211373</v>
      </c>
      <c r="CX20" s="1992">
        <f t="shared" si="37"/>
        <v>110.59835000000001</v>
      </c>
      <c r="CY20" s="996"/>
      <c r="CZ20" s="1996">
        <f t="shared" si="38"/>
        <v>8.82</v>
      </c>
      <c r="DA20" s="2232"/>
      <c r="DB20" s="1981">
        <f t="shared" si="39"/>
        <v>101.77835</v>
      </c>
      <c r="DC20" s="884">
        <f t="shared" si="40"/>
        <v>101.77835</v>
      </c>
      <c r="DD20" s="1365"/>
      <c r="DE20" s="1567"/>
      <c r="DF20" s="1548"/>
      <c r="DG20" s="1926">
        <v>123</v>
      </c>
      <c r="DH20" s="997">
        <v>0</v>
      </c>
      <c r="DI20" s="884">
        <f t="shared" si="41"/>
        <v>123</v>
      </c>
      <c r="DJ20" s="367"/>
      <c r="DK20" s="1201"/>
      <c r="DL20" s="945">
        <f>_xlfn.XLOOKUP($K20,'Sales Rec'!$E$4:$E$32,'Sales Rec'!P$4:P$32,"")</f>
        <v>920</v>
      </c>
      <c r="DM20" s="943">
        <f>_xlfn.XLOOKUP($K20,'Sales Rec'!$E$4:$E$32,'Sales Rec'!O$4:O$32,"")</f>
        <v>42</v>
      </c>
      <c r="DN20" s="948">
        <f t="shared" si="42"/>
        <v>4.3659043659043661E-2</v>
      </c>
      <c r="DO20" s="943">
        <f t="shared" si="43"/>
        <v>962</v>
      </c>
      <c r="DP20" s="913">
        <f>_xlfn.XLOOKUP($K20,'Sales Rec'!$E$4:$E$32,'Sales Rec'!I$4:I$32,"")</f>
        <v>1714</v>
      </c>
      <c r="DQ20" s="914">
        <f>_xlfn.XLOOKUP($K20,'Sales Rec'!$E$4:$E$32,'Sales Rec'!H$4:H$32,"")</f>
        <v>37</v>
      </c>
      <c r="DR20" s="946">
        <f t="shared" si="44"/>
        <v>2.11307824100514E-2</v>
      </c>
      <c r="DS20" s="942">
        <f>_xlfn.XLOOKUP(K20,Cement!$Q$3:$Q$35,Cement!$AP$3:$AP$35,"")</f>
        <v>1751</v>
      </c>
      <c r="DT20" s="1013" t="str">
        <f t="shared" si="45"/>
        <v>OK</v>
      </c>
      <c r="DU20" s="952">
        <f t="shared" si="46"/>
        <v>2039</v>
      </c>
      <c r="DV20" s="925">
        <f>_xlfn.XLOOKUP($K20,'Sales Rec'!$E$4:$E$32,'Sales Rec'!$M$4:$M$32,"")</f>
        <v>560</v>
      </c>
      <c r="DW20" s="904">
        <f>_xlfn.XLOOKUP($K20,'Sales Rec'!$E$4:$E$32,'Sales Rec'!$N$4:$N$32,"")</f>
        <v>962</v>
      </c>
      <c r="DX20" s="1195">
        <f>_xlfn.XLOOKUP(K20,Cement!$Q$7:$Q$35,Cement!$AR$7:$AR$35,"")</f>
        <v>2763.7339285714288</v>
      </c>
      <c r="DY20" s="964">
        <f t="shared" si="47"/>
        <v>57.837460226809178</v>
      </c>
      <c r="DZ20" s="1490">
        <f t="shared" si="48"/>
        <v>12</v>
      </c>
      <c r="EA20" s="367"/>
      <c r="EB20" s="176" t="e">
        <f>SUMIF('[1]9-1404.12.03'!$B$2:$B$2000,$J20,'[1]9-1404.12.03'!$L$2:$L$2000)</f>
        <v>#VALUE!</v>
      </c>
      <c r="EC20" s="176" t="e">
        <f>SUMIF('[1]9-1404.12.03'!$B$2:$B$2000,$J20,'[1]9-1404.12.03'!$E$2:$E$2000)/10</f>
        <v>#VALUE!</v>
      </c>
      <c r="ED20" s="177" t="str">
        <f t="shared" si="49"/>
        <v/>
      </c>
      <c r="EE20" s="176" t="e">
        <f>SUMIF('[1]8B-1404.12.02'!$D$2:$D$3000,$J20,'[1]8B-1404.12.02'!$M$2:$M$3000)</f>
        <v>#VALUE!</v>
      </c>
      <c r="EF20" s="176" t="e">
        <f>SUMIF('[1]8B-1404.12.02'!$D$2:$D$3000,$J20,'[1]8B-1404.12.02'!$G$2:$G$3000)/10</f>
        <v>#VALUE!</v>
      </c>
      <c r="EG20" s="177" t="str">
        <f t="shared" si="50"/>
        <v/>
      </c>
      <c r="EH20" s="1502"/>
      <c r="EI20" s="1534">
        <f>SUMIF(Cem_Export!$C$2:$C$3000,$J20,Cem_Export!$I$2:$I$3000)</f>
        <v>1500</v>
      </c>
      <c r="EJ20" s="1534">
        <f>SUMIFS(Cem_Export!$J$2:$J$3000,Cem_Export!$C$2:$C$3000,$J20,Cem_Export!$L$2:$L$3000, $EJ$4)</f>
        <v>63000</v>
      </c>
      <c r="EK20" s="1534">
        <f>SUMIFS(Cem_Export!$J$2:$J$3000,Cem_Export!$C$2:$C$3000,$J20,Cem_Export!$L$2:$L$3000, $EK$4)</f>
        <v>0</v>
      </c>
      <c r="EL20" s="1682">
        <f t="shared" si="51"/>
        <v>42</v>
      </c>
      <c r="EM20" s="1836">
        <f t="shared" si="52"/>
        <v>8.82</v>
      </c>
      <c r="EN20" s="1562"/>
      <c r="EO20" s="1625">
        <f>SUMIF('Cem-Domestic'!$D$2:$D$4000,$J20,'Cem-Domestic'!$M$2:$M$4000)</f>
        <v>30750</v>
      </c>
      <c r="EP20" s="1625">
        <f>SUMIF('Cem-Domestic'!$D$2:$D$4000,$J20,'Cem-Domestic'!$G$2:$G$4000)/10^7</f>
        <v>101.77835</v>
      </c>
      <c r="EQ20" s="1681">
        <f t="shared" si="53"/>
        <v>3309.8650406504066</v>
      </c>
      <c r="ER20" s="1562"/>
      <c r="ES20" s="1533">
        <v>0</v>
      </c>
      <c r="ET20" s="1534">
        <v>0</v>
      </c>
      <c r="EU20" s="1535" t="s">
        <v>192</v>
      </c>
      <c r="EV20" s="1533">
        <v>0</v>
      </c>
      <c r="EW20" s="1534">
        <v>0</v>
      </c>
      <c r="EX20" s="1535" t="s">
        <v>192</v>
      </c>
      <c r="EY20" s="1533">
        <v>0</v>
      </c>
      <c r="EZ20" s="1534">
        <v>0</v>
      </c>
      <c r="FA20" s="1535" t="s">
        <v>192</v>
      </c>
      <c r="FB20" s="1533">
        <v>0</v>
      </c>
      <c r="FC20" s="1534">
        <v>0</v>
      </c>
      <c r="FD20" s="1535" t="s">
        <v>192</v>
      </c>
      <c r="FE20" s="1533">
        <v>0</v>
      </c>
      <c r="FF20" s="1534">
        <v>0</v>
      </c>
      <c r="FG20" s="1535" t="s">
        <v>192</v>
      </c>
    </row>
    <row r="21" spans="1:234" ht="30" customHeight="1">
      <c r="A21" s="975">
        <f t="shared" si="0"/>
        <v>17</v>
      </c>
      <c r="B21" s="975">
        <f t="shared" si="1"/>
        <v>18</v>
      </c>
      <c r="C21" s="975">
        <f t="shared" si="2"/>
        <v>21</v>
      </c>
      <c r="D21" s="1015">
        <f t="shared" si="3"/>
        <v>0.36405868878010583</v>
      </c>
      <c r="E21" s="1217">
        <f>_xlfn.XLOOKUP(K21,Cement!$Q$7:$Q$35,Cement!$Z$7:$Z$35,"")</f>
        <v>7.2045657214196548E-2</v>
      </c>
      <c r="F21" s="1091">
        <f t="shared" si="4"/>
        <v>29.201303156590932</v>
      </c>
      <c r="G21" s="991">
        <f t="shared" si="5"/>
        <v>4.9889135254988913E-2</v>
      </c>
      <c r="H21" s="173">
        <f>_xlfn.XLOOKUP($K21,Cement!$Q$7:$Q$35,Cement!$B$7:$B$35,"")</f>
        <v>-4.4516515234771852</v>
      </c>
      <c r="I21" s="173">
        <f>_xlfn.XLOOKUP(K21,Cement!$Q$7:$Q$35,Cement!$A$7:$A$35,"")</f>
        <v>4.272015472959688</v>
      </c>
      <c r="J21" s="202" t="s">
        <v>48</v>
      </c>
      <c r="K21" s="554" t="s">
        <v>49</v>
      </c>
      <c r="L21" s="937">
        <f>_xlfn.XLOOKUP(K21,Cement!$Q$7:$Q$35,Cement!$R$7:$R$35,"")</f>
        <v>12</v>
      </c>
      <c r="M21" s="2013">
        <f>_xlfn.XLOOKUP(K21,'Sales Rec'!$E$4:$E$32,'Sales Rec'!$L$4:$L$32,"")</f>
        <v>4</v>
      </c>
      <c r="N21" s="930">
        <f t="shared" si="6"/>
        <v>2505.5555555555557</v>
      </c>
      <c r="O21" s="208">
        <f t="shared" si="7"/>
        <v>1879.6296296296296</v>
      </c>
      <c r="P21" s="1465">
        <f t="shared" si="8"/>
        <v>643</v>
      </c>
      <c r="Q21" s="1466">
        <f t="shared" si="54"/>
        <v>31.762295081967213</v>
      </c>
      <c r="R21" s="1472">
        <f t="shared" si="9"/>
        <v>397</v>
      </c>
      <c r="S21" s="1473">
        <f t="shared" si="10"/>
        <v>-38.258164852255057</v>
      </c>
      <c r="T21" s="1479">
        <f t="shared" si="11"/>
        <v>502</v>
      </c>
      <c r="U21" s="1092">
        <f t="shared" si="12"/>
        <v>26.448362720403022</v>
      </c>
      <c r="V21" s="1486">
        <f t="shared" si="13"/>
        <v>488</v>
      </c>
      <c r="W21" s="1487">
        <f t="shared" si="14"/>
        <v>-2.788844621513944</v>
      </c>
      <c r="X21" s="934">
        <f>_xlfn.XLOOKUP(K21,Cement!$Q$7:$Q$35,Cement!$AK$7:$AK$35,"")</f>
        <v>1080000</v>
      </c>
      <c r="Y21" s="1911"/>
      <c r="Z21" s="1567"/>
      <c r="AA21" s="1548"/>
      <c r="AB21" s="996">
        <v>176</v>
      </c>
      <c r="AC21" s="997">
        <v>0</v>
      </c>
      <c r="AD21" s="884">
        <f t="shared" si="15"/>
        <v>176</v>
      </c>
      <c r="AE21" s="1365"/>
      <c r="AF21" s="1567">
        <v>152.84608249999999</v>
      </c>
      <c r="AG21" s="1548">
        <v>0</v>
      </c>
      <c r="AH21" s="996">
        <v>166</v>
      </c>
      <c r="AI21" s="997">
        <v>0</v>
      </c>
      <c r="AJ21" s="884">
        <f t="shared" si="16"/>
        <v>166</v>
      </c>
      <c r="AK21" s="1365"/>
      <c r="AL21" s="1567">
        <v>164.12244749999999</v>
      </c>
      <c r="AM21" s="1548">
        <v>0</v>
      </c>
      <c r="AN21" s="996">
        <v>160</v>
      </c>
      <c r="AO21" s="997">
        <v>0</v>
      </c>
      <c r="AP21" s="884">
        <f t="shared" si="17"/>
        <v>160</v>
      </c>
      <c r="AQ21" s="1365"/>
      <c r="AR21" s="1567">
        <v>113.45916750000001</v>
      </c>
      <c r="AS21" s="1548">
        <v>0</v>
      </c>
      <c r="AT21" s="996">
        <v>161</v>
      </c>
      <c r="AU21" s="997">
        <v>0</v>
      </c>
      <c r="AV21" s="884">
        <f t="shared" si="18"/>
        <v>161</v>
      </c>
      <c r="AW21" s="884"/>
      <c r="AX21" s="1567">
        <v>195.7184225</v>
      </c>
      <c r="AY21" s="1548">
        <v>0</v>
      </c>
      <c r="AZ21" s="996">
        <v>164</v>
      </c>
      <c r="BA21" s="997">
        <v>0</v>
      </c>
      <c r="BB21" s="884">
        <f t="shared" si="19"/>
        <v>164</v>
      </c>
      <c r="BC21" s="884"/>
      <c r="BD21" s="1567"/>
      <c r="BE21" s="1548"/>
      <c r="BF21" s="996">
        <v>163</v>
      </c>
      <c r="BG21" s="997">
        <v>0</v>
      </c>
      <c r="BH21" s="884">
        <f t="shared" si="20"/>
        <v>163</v>
      </c>
      <c r="BI21" s="884"/>
      <c r="BJ21" s="2100">
        <f t="shared" si="21"/>
        <v>488</v>
      </c>
      <c r="BK21" s="2102"/>
      <c r="BL21" s="2102"/>
      <c r="BM21" s="884"/>
      <c r="BN21" s="1567"/>
      <c r="BO21" s="1548"/>
      <c r="BP21" s="996">
        <v>128</v>
      </c>
      <c r="BQ21" s="997">
        <v>0</v>
      </c>
      <c r="BR21" s="884">
        <f t="shared" si="22"/>
        <v>128</v>
      </c>
      <c r="BS21" s="1365"/>
      <c r="BT21" s="1567"/>
      <c r="BU21" s="1548"/>
      <c r="BV21" s="996">
        <v>244</v>
      </c>
      <c r="BW21" s="997">
        <v>6</v>
      </c>
      <c r="BX21" s="884">
        <f t="shared" si="23"/>
        <v>238</v>
      </c>
      <c r="BY21" s="1365"/>
      <c r="BZ21" s="1980">
        <f t="shared" si="24"/>
        <v>6</v>
      </c>
      <c r="CA21" s="1999">
        <f t="shared" si="25"/>
        <v>29.829900614754084</v>
      </c>
      <c r="CB21" s="1992">
        <f t="shared" si="26"/>
        <v>316.78495749999996</v>
      </c>
      <c r="CC21" s="996">
        <v>271</v>
      </c>
      <c r="CD21" s="1996">
        <v>29.96</v>
      </c>
      <c r="CE21" s="997">
        <v>17</v>
      </c>
      <c r="CF21" s="1981">
        <v>286.82495749999998</v>
      </c>
      <c r="CG21" s="884">
        <f t="shared" si="27"/>
        <v>254</v>
      </c>
      <c r="CH21" s="1365"/>
      <c r="CI21" s="2102">
        <f t="shared" si="28"/>
        <v>643</v>
      </c>
      <c r="CJ21" s="2105">
        <f t="shared" si="29"/>
        <v>0.31762295081967212</v>
      </c>
      <c r="CK21" s="2108">
        <f t="shared" si="30"/>
        <v>21</v>
      </c>
      <c r="CL21" s="1365"/>
      <c r="CM21" s="1980">
        <f t="shared" si="31"/>
        <v>4</v>
      </c>
      <c r="CN21" s="1999">
        <f t="shared" si="32"/>
        <v>33.607366974169736</v>
      </c>
      <c r="CO21" s="1992">
        <f t="shared" si="33"/>
        <v>362.0759645</v>
      </c>
      <c r="CP21" s="996">
        <v>258</v>
      </c>
      <c r="CQ21" s="1996">
        <v>29.12</v>
      </c>
      <c r="CR21" s="2232">
        <v>22</v>
      </c>
      <c r="CS21" s="1981">
        <v>332.95596449999999</v>
      </c>
      <c r="CT21" s="884">
        <f t="shared" si="34"/>
        <v>236</v>
      </c>
      <c r="CU21" s="1365"/>
      <c r="CV21" s="1980">
        <f t="shared" si="35"/>
        <v>18</v>
      </c>
      <c r="CW21" s="1999">
        <f t="shared" si="36"/>
        <v>-60.833702519379841</v>
      </c>
      <c r="CX21" s="1992">
        <f t="shared" si="37"/>
        <v>101.0490475</v>
      </c>
      <c r="CY21" s="996"/>
      <c r="CZ21" s="1996">
        <f t="shared" si="38"/>
        <v>7.28</v>
      </c>
      <c r="DA21" s="2232"/>
      <c r="DB21" s="1981">
        <f t="shared" si="39"/>
        <v>93.769047499999999</v>
      </c>
      <c r="DC21" s="884">
        <f t="shared" si="40"/>
        <v>93.769047499999999</v>
      </c>
      <c r="DD21" s="1365"/>
      <c r="DE21" s="1567"/>
      <c r="DF21" s="1548"/>
      <c r="DG21" s="1926">
        <v>139</v>
      </c>
      <c r="DH21" s="997">
        <v>0</v>
      </c>
      <c r="DI21" s="884">
        <f t="shared" si="41"/>
        <v>139</v>
      </c>
      <c r="DJ21" s="367"/>
      <c r="DK21" s="1201"/>
      <c r="DL21" s="945">
        <f>_xlfn.XLOOKUP($K21,'Sales Rec'!$E$4:$E$32,'Sales Rec'!P$4:P$32,"")</f>
        <v>857</v>
      </c>
      <c r="DM21" s="943">
        <f>_xlfn.XLOOKUP($K21,'Sales Rec'!$E$4:$E$32,'Sales Rec'!O$4:O$32,"")</f>
        <v>45</v>
      </c>
      <c r="DN21" s="948">
        <f t="shared" si="42"/>
        <v>4.9889135254988913E-2</v>
      </c>
      <c r="DO21" s="943">
        <f t="shared" si="43"/>
        <v>902</v>
      </c>
      <c r="DP21" s="913">
        <f>_xlfn.XLOOKUP($K21,'Sales Rec'!$E$4:$E$32,'Sales Rec'!I$4:I$32,"")</f>
        <v>1894</v>
      </c>
      <c r="DQ21" s="914">
        <f>_xlfn.XLOOKUP($K21,'Sales Rec'!$E$4:$E$32,'Sales Rec'!H$4:H$32,"")</f>
        <v>0</v>
      </c>
      <c r="DR21" s="946">
        <f t="shared" si="44"/>
        <v>0</v>
      </c>
      <c r="DS21" s="942">
        <f>_xlfn.XLOOKUP(K21,Cement!$Q$3:$Q$35,Cement!$AP$3:$AP$35,"")</f>
        <v>1894</v>
      </c>
      <c r="DT21" s="1013" t="str">
        <f t="shared" si="45"/>
        <v>OK</v>
      </c>
      <c r="DU21" s="952">
        <f t="shared" si="46"/>
        <v>2030</v>
      </c>
      <c r="DV21" s="925">
        <f>_xlfn.XLOOKUP($K21,'Sales Rec'!$E$4:$E$32,'Sales Rec'!$M$4:$M$32,"")</f>
        <v>626</v>
      </c>
      <c r="DW21" s="904">
        <f>_xlfn.XLOOKUP($K21,'Sales Rec'!$E$4:$E$32,'Sales Rec'!$N$4:$N$32,"")</f>
        <v>902</v>
      </c>
      <c r="DX21" s="1195">
        <f>_xlfn.XLOOKUP(K21,Cement!$Q$7:$Q$35,Cement!$AR$7:$AR$35,"")</f>
        <v>2583.5271565495204</v>
      </c>
      <c r="DY21" s="964">
        <f t="shared" si="47"/>
        <v>36.40586887801058</v>
      </c>
      <c r="DZ21" s="1490">
        <f t="shared" si="48"/>
        <v>21</v>
      </c>
      <c r="EA21" s="367"/>
      <c r="EB21" s="176" t="e">
        <f>SUMIF('[1]9-1404.12.03'!$B$2:$B$2000,$J21,'[1]9-1404.12.03'!$L$2:$L$2000)</f>
        <v>#VALUE!</v>
      </c>
      <c r="EC21" s="176" t="e">
        <f>SUMIF('[1]9-1404.12.03'!$B$2:$B$2000,$J21,'[1]9-1404.12.03'!$E$2:$E$2000)/10</f>
        <v>#VALUE!</v>
      </c>
      <c r="ED21" s="177" t="str">
        <f t="shared" si="49"/>
        <v/>
      </c>
      <c r="EE21" s="176" t="e">
        <f>SUMIF('[1]8B-1404.12.02'!$D$2:$D$3000,$J21,'[1]8B-1404.12.02'!$M$2:$M$3000)</f>
        <v>#VALUE!</v>
      </c>
      <c r="EF21" s="176" t="e">
        <f>SUMIF('[1]8B-1404.12.02'!$D$2:$D$3000,$J21,'[1]8B-1404.12.02'!$G$2:$G$3000)/10</f>
        <v>#VALUE!</v>
      </c>
      <c r="EG21" s="177" t="str">
        <f t="shared" si="50"/>
        <v/>
      </c>
      <c r="EH21" s="1502"/>
      <c r="EI21" s="1534">
        <f>SUMIF(Cem_Export!$C$2:$C$3000,$J21,Cem_Export!$I$2:$I$3000)</f>
        <v>1000</v>
      </c>
      <c r="EJ21" s="1534">
        <f>SUMIFS(Cem_Export!$J$2:$J$3000,Cem_Export!$C$2:$C$3000,$J21,Cem_Export!$L$2:$L$3000, $EJ$4)</f>
        <v>52000</v>
      </c>
      <c r="EK21" s="1534">
        <f>SUMIFS(Cem_Export!$J$2:$J$3000,Cem_Export!$C$2:$C$3000,$J21,Cem_Export!$L$2:$L$3000, $EK$4)</f>
        <v>0</v>
      </c>
      <c r="EL21" s="1682">
        <f t="shared" si="51"/>
        <v>52</v>
      </c>
      <c r="EM21" s="1836">
        <f t="shared" si="52"/>
        <v>7.28</v>
      </c>
      <c r="EN21" s="1562"/>
      <c r="EO21" s="1625">
        <f>SUMIF('Cem-Domestic'!$D$2:$D$4000,$J21,'Cem-Domestic'!$M$2:$M$4000)</f>
        <v>29000</v>
      </c>
      <c r="EP21" s="1625">
        <f>SUMIF('Cem-Domestic'!$D$2:$D$4000,$J21,'Cem-Domestic'!$G$2:$G$4000)/10^7</f>
        <v>93.769047499999999</v>
      </c>
      <c r="EQ21" s="1681">
        <f t="shared" si="53"/>
        <v>3233.4154310344829</v>
      </c>
      <c r="ER21" s="1562"/>
      <c r="ES21" s="1533">
        <v>0</v>
      </c>
      <c r="ET21" s="1534">
        <v>0</v>
      </c>
      <c r="EU21" s="1535" t="s">
        <v>192</v>
      </c>
      <c r="EV21" s="1533">
        <v>0</v>
      </c>
      <c r="EW21" s="1534">
        <v>0</v>
      </c>
      <c r="EX21" s="1535" t="s">
        <v>192</v>
      </c>
      <c r="EY21" s="1533">
        <v>0</v>
      </c>
      <c r="EZ21" s="1534">
        <v>0</v>
      </c>
      <c r="FA21" s="1535" t="s">
        <v>192</v>
      </c>
      <c r="FB21" s="1533">
        <v>0</v>
      </c>
      <c r="FC21" s="1534">
        <v>0</v>
      </c>
      <c r="FD21" s="1535" t="s">
        <v>192</v>
      </c>
      <c r="FE21" s="1533">
        <v>0</v>
      </c>
      <c r="FF21" s="1534">
        <v>0</v>
      </c>
      <c r="FG21" s="1535" t="s">
        <v>192</v>
      </c>
    </row>
    <row r="22" spans="1:234" ht="30" customHeight="1">
      <c r="A22" s="975">
        <f t="shared" si="0"/>
        <v>18</v>
      </c>
      <c r="B22" s="975">
        <f t="shared" si="1"/>
        <v>16</v>
      </c>
      <c r="C22" s="975">
        <f t="shared" si="2"/>
        <v>25</v>
      </c>
      <c r="D22" s="1015">
        <f t="shared" si="3"/>
        <v>0.26121881502481298</v>
      </c>
      <c r="E22" s="1217">
        <f>_xlfn.XLOOKUP(K22,Cement!$Q$7:$Q$35,Cement!$Z$7:$Z$35,"")</f>
        <v>0.31594435527019799</v>
      </c>
      <c r="F22" s="1091">
        <f t="shared" si="4"/>
        <v>-5.4725540245385007</v>
      </c>
      <c r="G22" s="991">
        <f t="shared" si="5"/>
        <v>2.8211717600260311E-2</v>
      </c>
      <c r="H22" s="173">
        <f>_xlfn.XLOOKUP($K22,Cement!$Q$7:$Q$35,Cement!$B$7:$B$35,"")</f>
        <v>14.707068609003354</v>
      </c>
      <c r="I22" s="173">
        <f>_xlfn.XLOOKUP(K22,Cement!$Q$7:$Q$35,Cement!$A$7:$A$35,"")</f>
        <v>24.771966889234456</v>
      </c>
      <c r="J22" s="202" t="s">
        <v>912</v>
      </c>
      <c r="K22" s="926" t="s">
        <v>81</v>
      </c>
      <c r="L22" s="937">
        <f>_xlfn.XLOOKUP(K22,Cement!$Q$7:$Q$35,Cement!$R$7:$R$35,"")</f>
        <v>12</v>
      </c>
      <c r="M22" s="2013">
        <f>_xlfn.XLOOKUP(K22,'Sales Rec'!$E$4:$E$32,'Sales Rec'!$L$4:$L$32,"")</f>
        <v>4</v>
      </c>
      <c r="N22" s="930">
        <f t="shared" si="6"/>
        <v>2488.125</v>
      </c>
      <c r="O22" s="208">
        <f t="shared" si="7"/>
        <v>1975.625</v>
      </c>
      <c r="P22" s="1465">
        <f t="shared" si="8"/>
        <v>997</v>
      </c>
      <c r="Q22" s="1466">
        <f t="shared" si="54"/>
        <v>39.635854341736696</v>
      </c>
      <c r="R22" s="1472">
        <f t="shared" si="9"/>
        <v>667</v>
      </c>
      <c r="S22" s="1473">
        <f t="shared" si="10"/>
        <v>-33.099297893681047</v>
      </c>
      <c r="T22" s="1479">
        <f t="shared" si="11"/>
        <v>783</v>
      </c>
      <c r="U22" s="1092">
        <f t="shared" si="12"/>
        <v>17.391304347826086</v>
      </c>
      <c r="V22" s="1486">
        <f t="shared" si="13"/>
        <v>714</v>
      </c>
      <c r="W22" s="1487">
        <f t="shared" si="14"/>
        <v>-8.8122605363984672</v>
      </c>
      <c r="X22" s="934">
        <f>_xlfn.XLOOKUP(K22,Cement!$Q$7:$Q$35,Cement!$AK$7:$AK$35,"")</f>
        <v>1600000</v>
      </c>
      <c r="Y22" s="1911"/>
      <c r="Z22" s="1567"/>
      <c r="AA22" s="1548"/>
      <c r="AB22" s="996">
        <v>290</v>
      </c>
      <c r="AC22" s="997">
        <v>57</v>
      </c>
      <c r="AD22" s="884">
        <f t="shared" si="15"/>
        <v>233</v>
      </c>
      <c r="AE22" s="1365"/>
      <c r="AF22" s="1567">
        <v>194.38900000000001</v>
      </c>
      <c r="AG22" s="1548">
        <v>3288000</v>
      </c>
      <c r="AH22" s="996">
        <v>260</v>
      </c>
      <c r="AI22" s="997">
        <v>53</v>
      </c>
      <c r="AJ22" s="884">
        <f t="shared" si="16"/>
        <v>207</v>
      </c>
      <c r="AK22" s="1365"/>
      <c r="AL22" s="1567">
        <v>215.0809525</v>
      </c>
      <c r="AM22" s="1548">
        <v>440000</v>
      </c>
      <c r="AN22" s="996">
        <v>233</v>
      </c>
      <c r="AO22" s="997">
        <v>55</v>
      </c>
      <c r="AP22" s="884">
        <f t="shared" si="17"/>
        <v>178</v>
      </c>
      <c r="AQ22" s="1365"/>
      <c r="AR22" s="1567">
        <v>148.1894375</v>
      </c>
      <c r="AS22" s="1548">
        <v>127500.001808883</v>
      </c>
      <c r="AT22" s="996">
        <v>215</v>
      </c>
      <c r="AU22" s="997">
        <v>69</v>
      </c>
      <c r="AV22" s="884">
        <f t="shared" si="18"/>
        <v>146</v>
      </c>
      <c r="AW22" s="884"/>
      <c r="AX22" s="1567">
        <v>174.9877075</v>
      </c>
      <c r="AY22" s="1548">
        <v>0</v>
      </c>
      <c r="AZ22" s="996">
        <v>227</v>
      </c>
      <c r="BA22" s="997">
        <v>58</v>
      </c>
      <c r="BB22" s="884">
        <f t="shared" si="19"/>
        <v>169</v>
      </c>
      <c r="BC22" s="884"/>
      <c r="BD22" s="1567"/>
      <c r="BE22" s="1548"/>
      <c r="BF22" s="996">
        <v>272</v>
      </c>
      <c r="BG22" s="997">
        <v>35</v>
      </c>
      <c r="BH22" s="884">
        <f t="shared" si="20"/>
        <v>237</v>
      </c>
      <c r="BI22" s="884"/>
      <c r="BJ22" s="2100">
        <f t="shared" si="21"/>
        <v>714</v>
      </c>
      <c r="BK22" s="2102"/>
      <c r="BL22" s="2102"/>
      <c r="BM22" s="884"/>
      <c r="BN22" s="1567"/>
      <c r="BO22" s="1548"/>
      <c r="BP22" s="996">
        <v>238</v>
      </c>
      <c r="BQ22" s="997">
        <v>5</v>
      </c>
      <c r="BR22" s="884">
        <f t="shared" si="22"/>
        <v>233</v>
      </c>
      <c r="BS22" s="1365"/>
      <c r="BT22" s="1567"/>
      <c r="BU22" s="1548"/>
      <c r="BV22" s="996">
        <v>395</v>
      </c>
      <c r="BW22" s="997">
        <v>39</v>
      </c>
      <c r="BX22" s="884">
        <f t="shared" si="23"/>
        <v>356</v>
      </c>
      <c r="BY22" s="1365"/>
      <c r="BZ22" s="1980">
        <f t="shared" si="24"/>
        <v>26</v>
      </c>
      <c r="CA22" s="1999">
        <f t="shared" si="25"/>
        <v>-23.302087341772154</v>
      </c>
      <c r="CB22" s="1992">
        <f t="shared" si="26"/>
        <v>302.95675499999999</v>
      </c>
      <c r="CC22" s="996">
        <v>364</v>
      </c>
      <c r="CD22" s="1996">
        <v>0</v>
      </c>
      <c r="CE22" s="997">
        <v>62</v>
      </c>
      <c r="CF22" s="1981">
        <v>302.95675499999999</v>
      </c>
      <c r="CG22" s="884">
        <f t="shared" si="27"/>
        <v>302</v>
      </c>
      <c r="CH22" s="1365"/>
      <c r="CI22" s="2102">
        <f t="shared" si="28"/>
        <v>997</v>
      </c>
      <c r="CJ22" s="2105">
        <f t="shared" si="29"/>
        <v>0.39635854341736693</v>
      </c>
      <c r="CK22" s="2108">
        <f t="shared" si="30"/>
        <v>16</v>
      </c>
      <c r="CL22" s="1365"/>
      <c r="CM22" s="1980">
        <f t="shared" si="31"/>
        <v>14</v>
      </c>
      <c r="CN22" s="1999">
        <f t="shared" si="32"/>
        <v>-24.197291208791199</v>
      </c>
      <c r="CO22" s="1992">
        <f t="shared" si="33"/>
        <v>275.92186000000004</v>
      </c>
      <c r="CP22" s="996">
        <v>328</v>
      </c>
      <c r="CQ22" s="1996">
        <v>99.12</v>
      </c>
      <c r="CR22" s="2232">
        <v>48</v>
      </c>
      <c r="CS22" s="1981">
        <v>176.80186</v>
      </c>
      <c r="CT22" s="884">
        <f t="shared" si="34"/>
        <v>280</v>
      </c>
      <c r="CU22" s="1365"/>
      <c r="CV22" s="1980">
        <f t="shared" si="35"/>
        <v>2</v>
      </c>
      <c r="CW22" s="1999">
        <f t="shared" si="36"/>
        <v>-30.984492378048778</v>
      </c>
      <c r="CX22" s="1992">
        <f t="shared" si="37"/>
        <v>226.37086500000001</v>
      </c>
      <c r="CY22" s="996"/>
      <c r="CZ22" s="1996">
        <f t="shared" si="38"/>
        <v>58.800000000000004</v>
      </c>
      <c r="DA22" s="2232"/>
      <c r="DB22" s="1981">
        <f t="shared" si="39"/>
        <v>167.570865</v>
      </c>
      <c r="DC22" s="884">
        <f t="shared" si="40"/>
        <v>167.570865</v>
      </c>
      <c r="DD22" s="1365"/>
      <c r="DE22" s="1567"/>
      <c r="DF22" s="1548"/>
      <c r="DG22" s="1926">
        <v>339</v>
      </c>
      <c r="DH22" s="997">
        <v>115</v>
      </c>
      <c r="DI22" s="884">
        <f t="shared" si="41"/>
        <v>224</v>
      </c>
      <c r="DJ22" s="367"/>
      <c r="DK22" s="1201"/>
      <c r="DL22" s="945">
        <f>_xlfn.XLOOKUP($K22,'Sales Rec'!$E$4:$E$32,'Sales Rec'!P$4:P$32,"")</f>
        <v>1169</v>
      </c>
      <c r="DM22" s="943">
        <f>_xlfn.XLOOKUP($K22,'Sales Rec'!$E$4:$E$32,'Sales Rec'!O$4:O$32,"")</f>
        <v>158</v>
      </c>
      <c r="DN22" s="948">
        <f t="shared" si="42"/>
        <v>0.11906556141672947</v>
      </c>
      <c r="DO22" s="943">
        <f t="shared" si="43"/>
        <v>1327</v>
      </c>
      <c r="DP22" s="913">
        <f>_xlfn.XLOOKUP($K22,'Sales Rec'!$E$4:$E$32,'Sales Rec'!I$4:I$32,"")</f>
        <v>2992</v>
      </c>
      <c r="DQ22" s="914">
        <f>_xlfn.XLOOKUP($K22,'Sales Rec'!$E$4:$E$32,'Sales Rec'!H$4:H$32,"")</f>
        <v>299</v>
      </c>
      <c r="DR22" s="946">
        <f t="shared" si="44"/>
        <v>9.085384381646916E-2</v>
      </c>
      <c r="DS22" s="942">
        <f>_xlfn.XLOOKUP(K22,Cement!$Q$3:$Q$35,Cement!$AP$3:$AP$35,"")</f>
        <v>3291</v>
      </c>
      <c r="DT22" s="1013" t="str">
        <f t="shared" si="45"/>
        <v>OK</v>
      </c>
      <c r="DU22" s="952">
        <f t="shared" si="46"/>
        <v>3161</v>
      </c>
      <c r="DV22" s="925">
        <f>_xlfn.XLOOKUP($K22,'Sales Rec'!$E$4:$E$32,'Sales Rec'!$M$4:$M$32,"")</f>
        <v>973</v>
      </c>
      <c r="DW22" s="904">
        <f>_xlfn.XLOOKUP($K22,'Sales Rec'!$E$4:$E$32,'Sales Rec'!$N$4:$N$32,"")</f>
        <v>1327</v>
      </c>
      <c r="DX22" s="1195">
        <f>_xlfn.XLOOKUP(K22,Cement!$Q$7:$Q$35,Cement!$AR$7:$AR$35,"")</f>
        <v>4150.6711202466595</v>
      </c>
      <c r="DY22" s="964">
        <f t="shared" si="47"/>
        <v>26.121881502481298</v>
      </c>
      <c r="DZ22" s="1490">
        <f t="shared" si="48"/>
        <v>25</v>
      </c>
      <c r="EA22" s="367"/>
      <c r="EB22" s="176" t="e">
        <f>SUMIF('[1]9-1404.12.03'!$B$2:$B$2000,$J22,'[1]9-1404.12.03'!$L$2:$L$2000)</f>
        <v>#VALUE!</v>
      </c>
      <c r="EC22" s="176" t="e">
        <f>SUMIF('[1]9-1404.12.03'!$B$2:$B$2000,$J22,'[1]9-1404.12.03'!$E$2:$E$2000)/10</f>
        <v>#VALUE!</v>
      </c>
      <c r="ED22" s="177" t="str">
        <f t="shared" si="49"/>
        <v/>
      </c>
      <c r="EE22" s="176" t="e">
        <f>SUMIF('[1]8B-1404.12.02'!$D$2:$D$3000,$J22,'[1]8B-1404.12.02'!$M$2:$M$3000)</f>
        <v>#VALUE!</v>
      </c>
      <c r="EF22" s="176" t="e">
        <f>SUMIF('[1]8B-1404.12.02'!$D$2:$D$3000,$J22,'[1]8B-1404.12.02'!$G$2:$G$3000)/10</f>
        <v>#VALUE!</v>
      </c>
      <c r="EG22" s="177" t="str">
        <f t="shared" si="50"/>
        <v/>
      </c>
      <c r="EH22" s="1502"/>
      <c r="EI22" s="1534">
        <f>SUMIF(Cem_Export!$C$2:$C$3000,$J22,Cem_Export!$I$2:$I$3000)</f>
        <v>10000</v>
      </c>
      <c r="EJ22" s="1534">
        <f>SUMIFS(Cem_Export!$J$2:$J$3000,Cem_Export!$C$2:$C$3000,$J22,Cem_Export!$L$2:$L$3000, $EJ$4)</f>
        <v>420000</v>
      </c>
      <c r="EK22" s="1534">
        <f>SUMIFS(Cem_Export!$J$2:$J$3000,Cem_Export!$C$2:$C$3000,$J22,Cem_Export!$L$2:$L$3000, $EK$4)</f>
        <v>0</v>
      </c>
      <c r="EL22" s="1682">
        <f t="shared" si="51"/>
        <v>42</v>
      </c>
      <c r="EM22" s="1836">
        <f t="shared" si="52"/>
        <v>58.800000000000004</v>
      </c>
      <c r="EN22" s="1562"/>
      <c r="EO22" s="1625">
        <f>SUMIF('Cem-Domestic'!$D$2:$D$4000,$J22,'Cem-Domestic'!$M$2:$M$4000)</f>
        <v>44600</v>
      </c>
      <c r="EP22" s="1625">
        <f>SUMIF('Cem-Domestic'!$D$2:$D$4000,$J22,'Cem-Domestic'!$G$2:$G$4000)/10^7</f>
        <v>167.570865</v>
      </c>
      <c r="EQ22" s="1681">
        <f t="shared" si="53"/>
        <v>3757.194282511211</v>
      </c>
      <c r="ER22" s="1562"/>
      <c r="ES22" s="1533">
        <v>0</v>
      </c>
      <c r="ET22" s="1534">
        <v>0</v>
      </c>
      <c r="EU22" s="1535" t="s">
        <v>192</v>
      </c>
      <c r="EV22" s="1533">
        <v>10000</v>
      </c>
      <c r="EW22" s="1534">
        <v>420000</v>
      </c>
      <c r="EX22" s="1535">
        <v>42</v>
      </c>
      <c r="EY22" s="1533">
        <v>10000</v>
      </c>
      <c r="EZ22" s="1534">
        <v>420000</v>
      </c>
      <c r="FA22" s="1535">
        <v>42</v>
      </c>
      <c r="FB22" s="1533">
        <v>7000</v>
      </c>
      <c r="FC22" s="1534">
        <v>308000</v>
      </c>
      <c r="FD22" s="1535">
        <v>44</v>
      </c>
      <c r="FE22" s="1533">
        <v>50000</v>
      </c>
      <c r="FF22" s="1534">
        <v>2140000</v>
      </c>
      <c r="FG22" s="1535">
        <v>42.8</v>
      </c>
    </row>
    <row r="23" spans="1:234" ht="30" customHeight="1">
      <c r="A23" s="975">
        <f t="shared" si="0"/>
        <v>19</v>
      </c>
      <c r="B23" s="975">
        <f t="shared" si="1"/>
        <v>19</v>
      </c>
      <c r="C23" s="975">
        <f t="shared" si="2"/>
        <v>16</v>
      </c>
      <c r="D23" s="1015">
        <f t="shared" si="3"/>
        <v>0.45084341572219572</v>
      </c>
      <c r="E23" s="1217">
        <f>_xlfn.XLOOKUP(K23,Cement!$Q$7:$Q$35,Cement!$Z$7:$Z$35,"")</f>
        <v>0</v>
      </c>
      <c r="F23" s="1091">
        <f t="shared" si="4"/>
        <v>45.084341572219572</v>
      </c>
      <c r="G23" s="991">
        <f t="shared" si="5"/>
        <v>-3.3365109628217351E-3</v>
      </c>
      <c r="H23" s="173">
        <f>_xlfn.XLOOKUP($K23,Cement!$Q$7:$Q$35,Cement!$B$7:$B$35,"")</f>
        <v>-30.430961966552335</v>
      </c>
      <c r="I23" s="173">
        <f>_xlfn.XLOOKUP(K23,Cement!$Q$7:$Q$35,Cement!$A$7:$A$35,"")</f>
        <v>-24.973469046703357</v>
      </c>
      <c r="J23" s="202" t="s">
        <v>913</v>
      </c>
      <c r="K23" s="554" t="s">
        <v>75</v>
      </c>
      <c r="L23" s="937">
        <f>_xlfn.XLOOKUP(K23,Cement!$Q$7:$Q$35,Cement!$R$7:$R$35,"")</f>
        <v>12</v>
      </c>
      <c r="M23" s="2013">
        <f>_xlfn.XLOOKUP(K23,'Sales Rec'!$E$4:$E$32,'Sales Rec'!$L$4:$L$32,"")</f>
        <v>4</v>
      </c>
      <c r="N23" s="930">
        <f t="shared" si="6"/>
        <v>2397.75</v>
      </c>
      <c r="O23" s="208">
        <f t="shared" si="7"/>
        <v>1753</v>
      </c>
      <c r="P23" s="1465">
        <f t="shared" si="8"/>
        <v>2331</v>
      </c>
      <c r="Q23" s="1466">
        <f t="shared" si="54"/>
        <v>40.84592145015106</v>
      </c>
      <c r="R23" s="1472">
        <f t="shared" si="9"/>
        <v>1336</v>
      </c>
      <c r="S23" s="1473">
        <f t="shared" si="10"/>
        <v>-42.685542685542686</v>
      </c>
      <c r="T23" s="1479">
        <f t="shared" si="11"/>
        <v>1690</v>
      </c>
      <c r="U23" s="1092">
        <f t="shared" si="12"/>
        <v>26.497005988023954</v>
      </c>
      <c r="V23" s="1486">
        <f t="shared" si="13"/>
        <v>1655</v>
      </c>
      <c r="W23" s="1487">
        <f t="shared" si="14"/>
        <v>-2.0710059171597637</v>
      </c>
      <c r="X23" s="934">
        <f>_xlfn.XLOOKUP(K23,Cement!$Q$7:$Q$35,Cement!$AK$7:$AK$35,"")</f>
        <v>4000000</v>
      </c>
      <c r="Y23" s="1911"/>
      <c r="Z23" s="1567"/>
      <c r="AA23" s="1548"/>
      <c r="AB23" s="996">
        <v>547</v>
      </c>
      <c r="AC23" s="997">
        <v>0</v>
      </c>
      <c r="AD23" s="884">
        <f t="shared" si="15"/>
        <v>547</v>
      </c>
      <c r="AE23" s="1365"/>
      <c r="AF23" s="1567">
        <v>530.17726249999998</v>
      </c>
      <c r="AG23" s="1548">
        <v>0</v>
      </c>
      <c r="AH23" s="996">
        <v>573</v>
      </c>
      <c r="AI23" s="997">
        <v>0</v>
      </c>
      <c r="AJ23" s="884">
        <f t="shared" si="16"/>
        <v>573</v>
      </c>
      <c r="AK23" s="1365"/>
      <c r="AL23" s="1567">
        <v>619.57175500000005</v>
      </c>
      <c r="AM23" s="1548">
        <v>0</v>
      </c>
      <c r="AN23" s="996">
        <v>570</v>
      </c>
      <c r="AO23" s="997">
        <v>0</v>
      </c>
      <c r="AP23" s="884">
        <f t="shared" si="17"/>
        <v>570</v>
      </c>
      <c r="AQ23" s="1365"/>
      <c r="AR23" s="1567">
        <v>523.26644199999998</v>
      </c>
      <c r="AS23" s="1548">
        <v>0</v>
      </c>
      <c r="AT23" s="996">
        <v>552</v>
      </c>
      <c r="AU23" s="997">
        <v>0</v>
      </c>
      <c r="AV23" s="884">
        <f t="shared" si="18"/>
        <v>552</v>
      </c>
      <c r="AW23" s="884"/>
      <c r="AX23" s="1567">
        <v>545.42332550000003</v>
      </c>
      <c r="AY23" s="1548">
        <v>0</v>
      </c>
      <c r="AZ23" s="996">
        <v>591</v>
      </c>
      <c r="BA23" s="997">
        <v>0</v>
      </c>
      <c r="BB23" s="884">
        <f t="shared" si="19"/>
        <v>591</v>
      </c>
      <c r="BC23" s="884"/>
      <c r="BD23" s="1567"/>
      <c r="BE23" s="1548"/>
      <c r="BF23" s="996">
        <v>512</v>
      </c>
      <c r="BG23" s="997">
        <v>21</v>
      </c>
      <c r="BH23" s="884">
        <f t="shared" si="20"/>
        <v>491</v>
      </c>
      <c r="BI23" s="884"/>
      <c r="BJ23" s="2100">
        <f t="shared" si="21"/>
        <v>1655</v>
      </c>
      <c r="BK23" s="2102"/>
      <c r="BL23" s="2102"/>
      <c r="BM23" s="884"/>
      <c r="BN23" s="1567"/>
      <c r="BO23" s="1548"/>
      <c r="BP23" s="996">
        <v>404</v>
      </c>
      <c r="BQ23" s="997">
        <v>0</v>
      </c>
      <c r="BR23" s="884">
        <f t="shared" si="22"/>
        <v>404</v>
      </c>
      <c r="BS23" s="1365"/>
      <c r="BT23" s="1567"/>
      <c r="BU23" s="1548"/>
      <c r="BV23" s="996">
        <v>938</v>
      </c>
      <c r="BW23" s="997">
        <v>0</v>
      </c>
      <c r="BX23" s="884">
        <f t="shared" si="23"/>
        <v>938</v>
      </c>
      <c r="BY23" s="1365"/>
      <c r="BZ23" s="1980">
        <f t="shared" si="24"/>
        <v>17</v>
      </c>
      <c r="CA23" s="1999">
        <f t="shared" si="25"/>
        <v>-0.55917425373134722</v>
      </c>
      <c r="CB23" s="1992">
        <f t="shared" si="26"/>
        <v>932.75494549999996</v>
      </c>
      <c r="CC23" s="996">
        <v>989</v>
      </c>
      <c r="CD23" s="1996">
        <v>0</v>
      </c>
      <c r="CE23" s="997">
        <v>0</v>
      </c>
      <c r="CF23" s="1981">
        <v>932.75494549999996</v>
      </c>
      <c r="CG23" s="884">
        <f t="shared" si="27"/>
        <v>989</v>
      </c>
      <c r="CH23" s="1365"/>
      <c r="CI23" s="2102">
        <f t="shared" si="28"/>
        <v>2331</v>
      </c>
      <c r="CJ23" s="2105">
        <f t="shared" si="29"/>
        <v>0.40845921450151057</v>
      </c>
      <c r="CK23" s="2108">
        <f t="shared" si="30"/>
        <v>15</v>
      </c>
      <c r="CL23" s="1365"/>
      <c r="CM23" s="1980">
        <f t="shared" si="31"/>
        <v>18</v>
      </c>
      <c r="CN23" s="1999">
        <f t="shared" si="32"/>
        <v>-35.094102002022247</v>
      </c>
      <c r="CO23" s="1992">
        <f t="shared" si="33"/>
        <v>641.91933119999999</v>
      </c>
      <c r="CP23" s="996">
        <v>867</v>
      </c>
      <c r="CQ23" s="1996">
        <v>0</v>
      </c>
      <c r="CR23" s="2232">
        <v>0</v>
      </c>
      <c r="CS23" s="1981">
        <v>641.91933119999999</v>
      </c>
      <c r="CT23" s="884">
        <f t="shared" si="34"/>
        <v>867</v>
      </c>
      <c r="CU23" s="1365"/>
      <c r="CV23" s="1980">
        <f t="shared" si="35"/>
        <v>14</v>
      </c>
      <c r="CW23" s="1999">
        <f t="shared" si="36"/>
        <v>-56.712975144175317</v>
      </c>
      <c r="CX23" s="1992">
        <f t="shared" si="37"/>
        <v>375.29850549999998</v>
      </c>
      <c r="CY23" s="996"/>
      <c r="CZ23" s="1996">
        <f t="shared" si="38"/>
        <v>0</v>
      </c>
      <c r="DA23" s="2232"/>
      <c r="DB23" s="1981">
        <f t="shared" si="39"/>
        <v>375.29850549999998</v>
      </c>
      <c r="DC23" s="884">
        <f t="shared" si="40"/>
        <v>375.29850549999998</v>
      </c>
      <c r="DD23" s="1365"/>
      <c r="DE23" s="1567"/>
      <c r="DF23" s="1548"/>
      <c r="DG23" s="1926">
        <v>469</v>
      </c>
      <c r="DH23" s="997">
        <v>0</v>
      </c>
      <c r="DI23" s="884">
        <f t="shared" si="41"/>
        <v>469</v>
      </c>
      <c r="DJ23" s="367"/>
      <c r="DK23" s="1201"/>
      <c r="DL23" s="945">
        <f>_xlfn.XLOOKUP($K23,'Sales Rec'!$E$4:$E$32,'Sales Rec'!P$4:P$32,"")</f>
        <v>3197</v>
      </c>
      <c r="DM23" s="943">
        <f>_xlfn.XLOOKUP($K23,'Sales Rec'!$E$4:$E$32,'Sales Rec'!O$4:O$32,"")</f>
        <v>0</v>
      </c>
      <c r="DN23" s="948">
        <f t="shared" si="42"/>
        <v>0</v>
      </c>
      <c r="DO23" s="943">
        <f t="shared" si="43"/>
        <v>3197</v>
      </c>
      <c r="DP23" s="913">
        <f>_xlfn.XLOOKUP($K23,'Sales Rec'!$E$4:$E$32,'Sales Rec'!I$4:I$32,"")</f>
        <v>6273</v>
      </c>
      <c r="DQ23" s="914">
        <f>_xlfn.XLOOKUP($K23,'Sales Rec'!$E$4:$E$32,'Sales Rec'!H$4:H$32,"")</f>
        <v>21</v>
      </c>
      <c r="DR23" s="946">
        <f t="shared" si="44"/>
        <v>3.3365109628217351E-3</v>
      </c>
      <c r="DS23" s="942">
        <f>_xlfn.XLOOKUP(K23,Cement!$Q$3:$Q$35,Cement!$AP$3:$AP$35,"")</f>
        <v>6294</v>
      </c>
      <c r="DT23" s="1013" t="str">
        <f t="shared" si="45"/>
        <v>OK</v>
      </c>
      <c r="DU23" s="952">
        <f t="shared" si="46"/>
        <v>7012</v>
      </c>
      <c r="DV23" s="925">
        <f>_xlfn.XLOOKUP($K23,'Sales Rec'!$E$4:$E$32,'Sales Rec'!$M$4:$M$32,"")</f>
        <v>2063</v>
      </c>
      <c r="DW23" s="904">
        <f>_xlfn.XLOOKUP($K23,'Sales Rec'!$E$4:$E$32,'Sales Rec'!$N$4:$N$32,"")</f>
        <v>3197</v>
      </c>
      <c r="DX23" s="1195">
        <f>_xlfn.XLOOKUP(K23,Cement!$Q$7:$Q$35,Cement!$AR$7:$AR$35,"")</f>
        <v>9131.6084585555</v>
      </c>
      <c r="DY23" s="964">
        <f t="shared" si="47"/>
        <v>45.084341572219572</v>
      </c>
      <c r="DZ23" s="1490">
        <f t="shared" si="48"/>
        <v>16</v>
      </c>
      <c r="EA23" s="367"/>
      <c r="EB23" s="176" t="e">
        <f>SUMIF('[1]9-1404.12.03'!$B$2:$B$2000,$J23,'[1]9-1404.12.03'!$L$2:$L$2000)</f>
        <v>#VALUE!</v>
      </c>
      <c r="EC23" s="176" t="e">
        <f>SUMIF('[1]9-1404.12.03'!$B$2:$B$2000,$J23,'[1]9-1404.12.03'!$E$2:$E$2000)/10</f>
        <v>#VALUE!</v>
      </c>
      <c r="ED23" s="177" t="str">
        <f t="shared" si="49"/>
        <v/>
      </c>
      <c r="EE23" s="176" t="e">
        <f>SUMIF('[1]8B-1404.12.02'!$D$2:$D$3000,$J23,'[1]8B-1404.12.02'!$M$2:$M$3000)</f>
        <v>#VALUE!</v>
      </c>
      <c r="EF23" s="176" t="e">
        <f>SUMIF('[1]8B-1404.12.02'!$D$2:$D$3000,$J23,'[1]8B-1404.12.02'!$G$2:$G$3000)/10</f>
        <v>#VALUE!</v>
      </c>
      <c r="EG23" s="177" t="str">
        <f t="shared" si="50"/>
        <v/>
      </c>
      <c r="EH23" s="1502"/>
      <c r="EI23" s="1534">
        <f>SUMIF(Cem_Export!$C$2:$C$3000,$J23,Cem_Export!$I$2:$I$3000)</f>
        <v>0</v>
      </c>
      <c r="EJ23" s="1534">
        <f>SUMIFS(Cem_Export!$J$2:$J$3000,Cem_Export!$C$2:$C$3000,$J23,Cem_Export!$L$2:$L$3000, $EJ$4)</f>
        <v>0</v>
      </c>
      <c r="EK23" s="1534">
        <f>SUMIFS(Cem_Export!$J$2:$J$3000,Cem_Export!$C$2:$C$3000,$J23,Cem_Export!$L$2:$L$3000, $EK$4)</f>
        <v>0</v>
      </c>
      <c r="EL23" s="1682" t="str">
        <f t="shared" si="51"/>
        <v/>
      </c>
      <c r="EM23" s="1836">
        <f t="shared" si="52"/>
        <v>0</v>
      </c>
      <c r="EN23" s="1562"/>
      <c r="EO23" s="1625">
        <f>SUMIF('Cem-Domestic'!$D$2:$D$4000,$J23,'Cem-Domestic'!$M$2:$M$4000)</f>
        <v>95000</v>
      </c>
      <c r="EP23" s="1625">
        <f>SUMIF('Cem-Domestic'!$D$2:$D$4000,$J23,'Cem-Domestic'!$G$2:$G$4000)/10^7</f>
        <v>375.29850549999998</v>
      </c>
      <c r="EQ23" s="1681">
        <f t="shared" si="53"/>
        <v>3950.5105842105263</v>
      </c>
      <c r="ER23" s="1562"/>
      <c r="ES23" s="1533">
        <v>0</v>
      </c>
      <c r="ET23" s="1534">
        <v>0</v>
      </c>
      <c r="EU23" s="1535" t="s">
        <v>192</v>
      </c>
      <c r="EV23" s="1533">
        <v>0</v>
      </c>
      <c r="EW23" s="1534">
        <v>0</v>
      </c>
      <c r="EX23" s="1535" t="s">
        <v>192</v>
      </c>
      <c r="EY23" s="1533">
        <v>0</v>
      </c>
      <c r="EZ23" s="1534">
        <v>0</v>
      </c>
      <c r="FA23" s="1535" t="s">
        <v>192</v>
      </c>
      <c r="FB23" s="1533">
        <v>0</v>
      </c>
      <c r="FC23" s="1534">
        <v>0</v>
      </c>
      <c r="FD23" s="1535" t="s">
        <v>192</v>
      </c>
      <c r="FE23" s="1533">
        <v>0</v>
      </c>
      <c r="FF23" s="1534">
        <v>0</v>
      </c>
      <c r="FG23" s="1535" t="s">
        <v>192</v>
      </c>
    </row>
    <row r="24" spans="1:234" ht="30" customHeight="1">
      <c r="A24" s="975">
        <f t="shared" si="0"/>
        <v>20</v>
      </c>
      <c r="B24" s="975">
        <f t="shared" si="1"/>
        <v>21</v>
      </c>
      <c r="C24" s="975">
        <f t="shared" si="2"/>
        <v>7</v>
      </c>
      <c r="D24" s="1015">
        <f t="shared" si="3"/>
        <v>0.6708728341939415</v>
      </c>
      <c r="E24" s="1217">
        <f>_xlfn.XLOOKUP(K24,Cement!$Q$7:$Q$35,Cement!$Z$7:$Z$35,"")</f>
        <v>0.69329679595278249</v>
      </c>
      <c r="F24" s="1091">
        <f t="shared" si="4"/>
        <v>-2.2423961758840982</v>
      </c>
      <c r="G24" s="991">
        <f t="shared" si="5"/>
        <v>-5.8476542379722808E-2</v>
      </c>
      <c r="H24" s="173">
        <f>_xlfn.XLOOKUP($K24,Cement!$Q$7:$Q$35,Cement!$B$7:$B$35,"")</f>
        <v>-9.7738461601467677</v>
      </c>
      <c r="I24" s="173">
        <f>_xlfn.XLOOKUP(K24,Cement!$Q$7:$Q$35,Cement!$A$7:$A$35,"")</f>
        <v>-6.5171615294243201</v>
      </c>
      <c r="J24" s="202" t="s">
        <v>921</v>
      </c>
      <c r="K24" s="926" t="s">
        <v>83</v>
      </c>
      <c r="L24" s="983">
        <v>6</v>
      </c>
      <c r="M24" s="2016">
        <f>_xlfn.XLOOKUP(K24,'Sales Rec'!$E$4:$E$32,'Sales Rec'!$L$4:$L$32,"")</f>
        <v>10</v>
      </c>
      <c r="N24" s="930">
        <f t="shared" si="6"/>
        <v>2089.1999999999998</v>
      </c>
      <c r="O24" s="208">
        <f t="shared" si="7"/>
        <v>1689</v>
      </c>
      <c r="P24" s="1465">
        <f t="shared" si="8"/>
        <v>620</v>
      </c>
      <c r="Q24" s="1466">
        <f t="shared" si="54"/>
        <v>111.60409556313992</v>
      </c>
      <c r="R24" s="1472">
        <f t="shared" si="9"/>
        <v>375</v>
      </c>
      <c r="S24" s="1473">
        <f t="shared" si="10"/>
        <v>-39.516129032258064</v>
      </c>
      <c r="T24" s="1479">
        <f t="shared" si="11"/>
        <v>401</v>
      </c>
      <c r="U24" s="1092">
        <f t="shared" si="12"/>
        <v>6.9333333333333327</v>
      </c>
      <c r="V24" s="1486">
        <f t="shared" si="13"/>
        <v>293</v>
      </c>
      <c r="W24" s="1487">
        <f t="shared" si="14"/>
        <v>-26.932668329177055</v>
      </c>
      <c r="X24" s="934">
        <f>_xlfn.XLOOKUP(K24,Cement!$Q$7:$Q$35,Cement!$AK$7:$AK$35,"")</f>
        <v>1000000</v>
      </c>
      <c r="Y24" s="1911"/>
      <c r="Z24" s="1567"/>
      <c r="AA24" s="1548"/>
      <c r="AB24" s="996">
        <v>157</v>
      </c>
      <c r="AC24" s="997">
        <v>8</v>
      </c>
      <c r="AD24" s="884">
        <f t="shared" si="15"/>
        <v>149</v>
      </c>
      <c r="AE24" s="1365"/>
      <c r="AF24" s="1567"/>
      <c r="AG24" s="1548"/>
      <c r="AH24" s="996">
        <v>138</v>
      </c>
      <c r="AI24" s="997">
        <v>3</v>
      </c>
      <c r="AJ24" s="884">
        <f t="shared" si="16"/>
        <v>135</v>
      </c>
      <c r="AK24" s="1365"/>
      <c r="AL24" s="1567"/>
      <c r="AM24" s="1548"/>
      <c r="AN24" s="996">
        <v>106</v>
      </c>
      <c r="AO24" s="997">
        <v>7</v>
      </c>
      <c r="AP24" s="884">
        <f t="shared" si="17"/>
        <v>99</v>
      </c>
      <c r="AQ24" s="1365"/>
      <c r="AR24" s="1567"/>
      <c r="AS24" s="1548"/>
      <c r="AT24" s="996">
        <v>50</v>
      </c>
      <c r="AU24" s="997">
        <v>2</v>
      </c>
      <c r="AV24" s="884">
        <f t="shared" si="18"/>
        <v>48</v>
      </c>
      <c r="AW24" s="884"/>
      <c r="AX24" s="1567"/>
      <c r="AY24" s="1548"/>
      <c r="AZ24" s="996">
        <v>94</v>
      </c>
      <c r="BA24" s="997">
        <v>0</v>
      </c>
      <c r="BB24" s="884">
        <f t="shared" si="19"/>
        <v>94</v>
      </c>
      <c r="BC24" s="884"/>
      <c r="BD24" s="1567"/>
      <c r="BE24" s="1548"/>
      <c r="BF24" s="996">
        <v>149</v>
      </c>
      <c r="BG24" s="997">
        <v>0</v>
      </c>
      <c r="BH24" s="884">
        <f t="shared" si="20"/>
        <v>149</v>
      </c>
      <c r="BI24" s="884"/>
      <c r="BJ24" s="2100">
        <f t="shared" si="21"/>
        <v>293</v>
      </c>
      <c r="BK24" s="2102"/>
      <c r="BL24" s="2102"/>
      <c r="BM24" s="884"/>
      <c r="BN24" s="1567"/>
      <c r="BO24" s="1548"/>
      <c r="BP24" s="996">
        <v>166</v>
      </c>
      <c r="BQ24" s="997">
        <v>0</v>
      </c>
      <c r="BR24" s="884">
        <f t="shared" si="22"/>
        <v>166</v>
      </c>
      <c r="BS24" s="1365"/>
      <c r="BT24" s="1567"/>
      <c r="BU24" s="1548"/>
      <c r="BV24" s="996">
        <v>262</v>
      </c>
      <c r="BW24" s="997">
        <v>0</v>
      </c>
      <c r="BX24" s="884">
        <f t="shared" si="23"/>
        <v>262</v>
      </c>
      <c r="BY24" s="1365"/>
      <c r="BZ24" s="1980">
        <f t="shared" si="24"/>
        <v>29</v>
      </c>
      <c r="CA24" s="1999">
        <f t="shared" si="25"/>
        <v>-100</v>
      </c>
      <c r="CB24" s="1992">
        <f t="shared" si="26"/>
        <v>0</v>
      </c>
      <c r="CC24" s="996">
        <v>192</v>
      </c>
      <c r="CD24" s="1996">
        <v>0</v>
      </c>
      <c r="CE24" s="997">
        <v>4</v>
      </c>
      <c r="CF24" s="1981">
        <v>0</v>
      </c>
      <c r="CG24" s="884">
        <f t="shared" si="27"/>
        <v>188</v>
      </c>
      <c r="CH24" s="1365"/>
      <c r="CI24" s="2102">
        <f t="shared" si="28"/>
        <v>620</v>
      </c>
      <c r="CJ24" s="2105">
        <f t="shared" si="29"/>
        <v>1.1160409556313993</v>
      </c>
      <c r="CK24" s="2108">
        <f t="shared" si="30"/>
        <v>3</v>
      </c>
      <c r="CL24" s="1365"/>
      <c r="CM24" s="1980">
        <f t="shared" si="31"/>
        <v>21</v>
      </c>
      <c r="CN24" s="1999">
        <f t="shared" si="32"/>
        <v>-58.649018229166671</v>
      </c>
      <c r="CO24" s="1992">
        <f t="shared" si="33"/>
        <v>79.393884999999997</v>
      </c>
      <c r="CP24" s="996">
        <v>224</v>
      </c>
      <c r="CQ24" s="1996">
        <v>0</v>
      </c>
      <c r="CR24" s="2232">
        <v>38</v>
      </c>
      <c r="CS24" s="1981">
        <v>79.393884999999997</v>
      </c>
      <c r="CT24" s="884">
        <f t="shared" si="34"/>
        <v>186</v>
      </c>
      <c r="CU24" s="1365"/>
      <c r="CV24" s="1980">
        <f t="shared" si="35"/>
        <v>25</v>
      </c>
      <c r="CW24" s="1999">
        <f t="shared" si="36"/>
        <v>-71.94956919642857</v>
      </c>
      <c r="CX24" s="1992">
        <f t="shared" si="37"/>
        <v>62.832965000000002</v>
      </c>
      <c r="CY24" s="996"/>
      <c r="CZ24" s="1996">
        <f t="shared" si="38"/>
        <v>0</v>
      </c>
      <c r="DA24" s="2232"/>
      <c r="DB24" s="1981">
        <f t="shared" si="39"/>
        <v>62.832965000000002</v>
      </c>
      <c r="DC24" s="884">
        <f t="shared" si="40"/>
        <v>62.832965000000002</v>
      </c>
      <c r="DD24" s="1365"/>
      <c r="DE24" s="1567"/>
      <c r="DF24" s="1548"/>
      <c r="DG24" s="1926">
        <v>151</v>
      </c>
      <c r="DH24" s="997">
        <v>0</v>
      </c>
      <c r="DI24" s="884">
        <f t="shared" si="41"/>
        <v>151</v>
      </c>
      <c r="DJ24" s="367"/>
      <c r="DK24" s="1201"/>
      <c r="DL24" s="945">
        <f>_xlfn.XLOOKUP($K24,'Sales Rec'!$E$4:$E$32,'Sales Rec'!P$4:P$32,"")</f>
        <v>1679</v>
      </c>
      <c r="DM24" s="943">
        <f>_xlfn.XLOOKUP($K24,'Sales Rec'!$E$4:$E$32,'Sales Rec'!O$4:O$32,"")</f>
        <v>62</v>
      </c>
      <c r="DN24" s="948">
        <f t="shared" si="42"/>
        <v>3.5611717403790925E-2</v>
      </c>
      <c r="DO24" s="943">
        <f t="shared" si="43"/>
        <v>1741</v>
      </c>
      <c r="DP24" s="913">
        <f>_xlfn.XLOOKUP($K24,'Sales Rec'!$E$4:$E$32,'Sales Rec'!I$4:I$32,"")</f>
        <v>1088</v>
      </c>
      <c r="DQ24" s="914">
        <f>_xlfn.XLOOKUP($K24,'Sales Rec'!$E$4:$E$32,'Sales Rec'!H$4:H$32,"")</f>
        <v>113</v>
      </c>
      <c r="DR24" s="946">
        <f t="shared" si="44"/>
        <v>9.4088259783513734E-2</v>
      </c>
      <c r="DS24" s="942">
        <f>_xlfn.XLOOKUP(K24,Cement!$Q$3:$Q$35,Cement!$AP$3:$AP$35,"")</f>
        <v>1201</v>
      </c>
      <c r="DT24" s="1013" t="str">
        <f t="shared" si="45"/>
        <v>OK</v>
      </c>
      <c r="DU24" s="952">
        <f t="shared" si="46"/>
        <v>1689</v>
      </c>
      <c r="DV24" s="925">
        <f>_xlfn.XLOOKUP($K24,'Sales Rec'!$E$4:$E$32,'Sales Rec'!$M$4:$M$32,"")</f>
        <v>1037</v>
      </c>
      <c r="DW24" s="904">
        <f>_xlfn.XLOOKUP($K24,'Sales Rec'!$E$4:$E$32,'Sales Rec'!$N$4:$N$32,"")</f>
        <v>1741</v>
      </c>
      <c r="DX24" s="1195">
        <f>_xlfn.XLOOKUP(K24,Cement!$Q$7:$Q$35,Cement!$AR$7:$AR$35,"")</f>
        <v>2006.7182738669237</v>
      </c>
      <c r="DY24" s="964">
        <f t="shared" si="47"/>
        <v>67.087283419394154</v>
      </c>
      <c r="DZ24" s="1490">
        <f t="shared" si="48"/>
        <v>7</v>
      </c>
      <c r="EA24" s="367"/>
      <c r="EB24" s="176" t="e">
        <f>SUMIF('[1]9-1404.12.03'!$B$2:$B$2000,$J24,'[1]9-1404.12.03'!$L$2:$L$2000)</f>
        <v>#VALUE!</v>
      </c>
      <c r="EC24" s="176" t="e">
        <f>SUMIF('[1]9-1404.12.03'!$B$2:$B$2000,$J24,'[1]9-1404.12.03'!$E$2:$E$2000)/10</f>
        <v>#VALUE!</v>
      </c>
      <c r="ED24" s="177" t="str">
        <f t="shared" si="49"/>
        <v/>
      </c>
      <c r="EE24" s="176" t="e">
        <f>SUMIF('[1]8B-1404.12.02'!$D$2:$D$3000,$J24,'[1]8B-1404.12.02'!$M$2:$M$3000)</f>
        <v>#VALUE!</v>
      </c>
      <c r="EF24" s="176" t="e">
        <f>SUMIF('[1]8B-1404.12.02'!$D$2:$D$3000,$J24,'[1]8B-1404.12.02'!$G$2:$G$3000)/10</f>
        <v>#VALUE!</v>
      </c>
      <c r="EG24" s="177" t="str">
        <f t="shared" si="50"/>
        <v/>
      </c>
      <c r="EH24" s="1502"/>
      <c r="EI24" s="1534">
        <f>SUMIF(Cem_Export!$C$2:$C$3000,$J24,Cem_Export!$I$2:$I$3000)</f>
        <v>0</v>
      </c>
      <c r="EJ24" s="1534">
        <f>SUMIFS(Cem_Export!$J$2:$J$3000,Cem_Export!$C$2:$C$3000,$J24,Cem_Export!$L$2:$L$3000, $EJ$4)</f>
        <v>0</v>
      </c>
      <c r="EK24" s="1534">
        <f>SUMIFS(Cem_Export!$J$2:$J$3000,Cem_Export!$C$2:$C$3000,$J24,Cem_Export!$L$2:$L$3000, $EK$4)</f>
        <v>0</v>
      </c>
      <c r="EL24" s="1682" t="str">
        <f t="shared" si="51"/>
        <v/>
      </c>
      <c r="EM24" s="1836">
        <f t="shared" si="52"/>
        <v>0</v>
      </c>
      <c r="EN24" s="1562"/>
      <c r="EO24" s="1625">
        <f>SUMIF('Cem-Domestic'!$D$2:$D$4000,$J24,'Cem-Domestic'!$M$2:$M$4000)</f>
        <v>19850</v>
      </c>
      <c r="EP24" s="1625">
        <f>SUMIF('Cem-Domestic'!$D$2:$D$4000,$J24,'Cem-Domestic'!$G$2:$G$4000)/10^7</f>
        <v>62.832965000000002</v>
      </c>
      <c r="EQ24" s="1681">
        <f t="shared" si="53"/>
        <v>3165.3886649874057</v>
      </c>
      <c r="ER24" s="1562"/>
      <c r="ES24" s="1533"/>
      <c r="ET24" s="1534"/>
      <c r="EU24" s="1535"/>
      <c r="EV24" s="1533"/>
      <c r="EW24" s="1534"/>
      <c r="EX24" s="1535"/>
      <c r="EY24" s="1533"/>
      <c r="EZ24" s="1534"/>
      <c r="FA24" s="1535"/>
      <c r="FB24" s="1533"/>
      <c r="FC24" s="1534"/>
      <c r="FD24" s="1535"/>
      <c r="FE24" s="1533"/>
      <c r="FF24" s="1534"/>
      <c r="FG24" s="1535"/>
    </row>
    <row r="25" spans="1:234" ht="30" customHeight="1">
      <c r="A25" s="975">
        <f t="shared" si="0"/>
        <v>21</v>
      </c>
      <c r="B25" s="975">
        <f t="shared" si="1"/>
        <v>20</v>
      </c>
      <c r="C25" s="975">
        <f t="shared" si="2"/>
        <v>27</v>
      </c>
      <c r="D25" s="1015">
        <f t="shared" si="3"/>
        <v>0.18654441789318585</v>
      </c>
      <c r="E25" s="1217">
        <f>_xlfn.XLOOKUP(K25,Cement!$Q$7:$Q$35,Cement!$Z$7:$Z$35,"")</f>
        <v>-0.18145450008276767</v>
      </c>
      <c r="F25" s="1091">
        <f t="shared" si="4"/>
        <v>36.79989179759535</v>
      </c>
      <c r="G25" s="991">
        <f t="shared" si="5"/>
        <v>-2.7059173357121619E-2</v>
      </c>
      <c r="H25" s="173">
        <f>_xlfn.XLOOKUP($K25,Cement!$Q$7:$Q$35,Cement!$B$7:$B$35,"")</f>
        <v>10.354331926451188</v>
      </c>
      <c r="I25" s="173">
        <f>_xlfn.XLOOKUP(K25,Cement!$Q$7:$Q$35,Cement!$A$7:$A$35,"")</f>
        <v>16.477230296443544</v>
      </c>
      <c r="J25" s="202" t="s">
        <v>70</v>
      </c>
      <c r="K25" s="926" t="s">
        <v>71</v>
      </c>
      <c r="L25" s="937">
        <f>_xlfn.XLOOKUP(K25,Cement!$Q$7:$Q$35,Cement!$R$7:$R$35,"")</f>
        <v>10</v>
      </c>
      <c r="M25" s="938">
        <f>_xlfn.XLOOKUP(K25,'Sales Rec'!$E$4:$E$32,'Sales Rec'!$L$4:$L$32,"")</f>
        <v>6</v>
      </c>
      <c r="N25" s="930">
        <f t="shared" si="6"/>
        <v>2086</v>
      </c>
      <c r="O25" s="208">
        <f t="shared" si="7"/>
        <v>1739.5</v>
      </c>
      <c r="P25" s="1465">
        <f t="shared" si="8"/>
        <v>1162</v>
      </c>
      <c r="Q25" s="1466">
        <f t="shared" si="54"/>
        <v>57.452574525745263</v>
      </c>
      <c r="R25" s="1472">
        <f t="shared" si="9"/>
        <v>714</v>
      </c>
      <c r="S25" s="1473">
        <f t="shared" si="10"/>
        <v>-38.554216867469883</v>
      </c>
      <c r="T25" s="1479">
        <f t="shared" si="11"/>
        <v>865</v>
      </c>
      <c r="U25" s="1092">
        <f t="shared" si="12"/>
        <v>21.148459383753501</v>
      </c>
      <c r="V25" s="1486">
        <f t="shared" si="13"/>
        <v>738</v>
      </c>
      <c r="W25" s="1487">
        <f t="shared" si="14"/>
        <v>-14.682080924855493</v>
      </c>
      <c r="X25" s="934">
        <f>_xlfn.XLOOKUP(K25,Cement!$Q$7:$Q$35,Cement!$AK$7:$AK$35,"")</f>
        <v>2000000</v>
      </c>
      <c r="Y25" s="1911"/>
      <c r="Z25" s="1567"/>
      <c r="AA25" s="1548"/>
      <c r="AB25" s="996">
        <v>310</v>
      </c>
      <c r="AC25" s="997">
        <v>0</v>
      </c>
      <c r="AD25" s="884">
        <f t="shared" si="15"/>
        <v>310</v>
      </c>
      <c r="AE25" s="1365"/>
      <c r="AF25" s="1567">
        <v>270.20719800000001</v>
      </c>
      <c r="AG25" s="1548">
        <v>0</v>
      </c>
      <c r="AH25" s="996">
        <v>293</v>
      </c>
      <c r="AI25" s="997">
        <v>0</v>
      </c>
      <c r="AJ25" s="884">
        <f t="shared" si="16"/>
        <v>293</v>
      </c>
      <c r="AK25" s="1365"/>
      <c r="AL25" s="1567">
        <v>341.37521429999998</v>
      </c>
      <c r="AM25" s="1548">
        <v>0</v>
      </c>
      <c r="AN25" s="996">
        <v>262</v>
      </c>
      <c r="AO25" s="997">
        <v>0</v>
      </c>
      <c r="AP25" s="884">
        <f t="shared" si="17"/>
        <v>262</v>
      </c>
      <c r="AQ25" s="1365"/>
      <c r="AR25" s="1567">
        <v>259.11829590000002</v>
      </c>
      <c r="AS25" s="1548">
        <v>0</v>
      </c>
      <c r="AT25" s="996">
        <v>221</v>
      </c>
      <c r="AU25" s="997">
        <v>0</v>
      </c>
      <c r="AV25" s="884">
        <f t="shared" si="18"/>
        <v>221</v>
      </c>
      <c r="AW25" s="884"/>
      <c r="AX25" s="1567">
        <v>281.46683150000001</v>
      </c>
      <c r="AY25" s="1548">
        <v>0</v>
      </c>
      <c r="AZ25" s="996">
        <v>240</v>
      </c>
      <c r="BA25" s="997">
        <v>0</v>
      </c>
      <c r="BB25" s="884">
        <f t="shared" si="19"/>
        <v>240</v>
      </c>
      <c r="BC25" s="884"/>
      <c r="BD25" s="1567"/>
      <c r="BE25" s="1548"/>
      <c r="BF25" s="996">
        <v>277</v>
      </c>
      <c r="BG25" s="997">
        <v>0</v>
      </c>
      <c r="BH25" s="884">
        <f t="shared" si="20"/>
        <v>277</v>
      </c>
      <c r="BI25" s="884"/>
      <c r="BJ25" s="2100">
        <f t="shared" si="21"/>
        <v>738</v>
      </c>
      <c r="BK25" s="2102"/>
      <c r="BL25" s="2102"/>
      <c r="BM25" s="884"/>
      <c r="BN25" s="1567"/>
      <c r="BO25" s="1548"/>
      <c r="BP25" s="996">
        <v>237</v>
      </c>
      <c r="BQ25" s="997">
        <v>0</v>
      </c>
      <c r="BR25" s="884">
        <f t="shared" si="22"/>
        <v>237</v>
      </c>
      <c r="BS25" s="1365"/>
      <c r="BT25" s="1567"/>
      <c r="BU25" s="1548"/>
      <c r="BV25" s="996">
        <v>470</v>
      </c>
      <c r="BW25" s="997">
        <v>0</v>
      </c>
      <c r="BX25" s="884">
        <f t="shared" si="23"/>
        <v>470</v>
      </c>
      <c r="BY25" s="1365"/>
      <c r="BZ25" s="1980">
        <f t="shared" si="24"/>
        <v>7</v>
      </c>
      <c r="CA25" s="1999">
        <f t="shared" si="25"/>
        <v>26.804188531914892</v>
      </c>
      <c r="CB25" s="1992">
        <f t="shared" si="26"/>
        <v>595.97968609999998</v>
      </c>
      <c r="CC25" s="996">
        <v>455</v>
      </c>
      <c r="CD25" s="1996">
        <v>0</v>
      </c>
      <c r="CE25" s="997">
        <v>0</v>
      </c>
      <c r="CF25" s="1981">
        <v>595.97968609999998</v>
      </c>
      <c r="CG25" s="884">
        <f t="shared" si="27"/>
        <v>455</v>
      </c>
      <c r="CH25" s="1365"/>
      <c r="CI25" s="2102">
        <f t="shared" si="28"/>
        <v>1162</v>
      </c>
      <c r="CJ25" s="2105">
        <f t="shared" si="29"/>
        <v>0.57452574525745259</v>
      </c>
      <c r="CK25" s="2108">
        <f t="shared" si="30"/>
        <v>7</v>
      </c>
      <c r="CL25" s="1365"/>
      <c r="CM25" s="1980">
        <f t="shared" si="31"/>
        <v>28</v>
      </c>
      <c r="CN25" s="1999">
        <f t="shared" si="32"/>
        <v>-75.392117032967036</v>
      </c>
      <c r="CO25" s="1992">
        <f t="shared" si="33"/>
        <v>111.9658675</v>
      </c>
      <c r="CP25" s="996">
        <v>407</v>
      </c>
      <c r="CQ25" s="1996">
        <v>0</v>
      </c>
      <c r="CR25" s="2232">
        <v>0</v>
      </c>
      <c r="CS25" s="1981">
        <v>111.9658675</v>
      </c>
      <c r="CT25" s="884">
        <f t="shared" si="34"/>
        <v>407</v>
      </c>
      <c r="CU25" s="1365"/>
      <c r="CV25" s="1980">
        <f t="shared" si="35"/>
        <v>17</v>
      </c>
      <c r="CW25" s="1999">
        <f t="shared" si="36"/>
        <v>-60.313661498771495</v>
      </c>
      <c r="CX25" s="1992">
        <f t="shared" si="37"/>
        <v>161.5233977</v>
      </c>
      <c r="CY25" s="996"/>
      <c r="CZ25" s="1996">
        <f t="shared" si="38"/>
        <v>0</v>
      </c>
      <c r="DA25" s="2232"/>
      <c r="DB25" s="1981">
        <f t="shared" si="39"/>
        <v>161.5233977</v>
      </c>
      <c r="DC25" s="884">
        <f t="shared" si="40"/>
        <v>161.5233977</v>
      </c>
      <c r="DD25" s="1365"/>
      <c r="DE25" s="1567"/>
      <c r="DF25" s="1548"/>
      <c r="DG25" s="1926">
        <v>307</v>
      </c>
      <c r="DH25" s="997">
        <v>6</v>
      </c>
      <c r="DI25" s="884">
        <f t="shared" si="41"/>
        <v>301</v>
      </c>
      <c r="DJ25" s="367"/>
      <c r="DK25" s="1201"/>
      <c r="DL25" s="945">
        <f>_xlfn.XLOOKUP($K25,'Sales Rec'!$E$4:$E$32,'Sales Rec'!P$4:P$32,"")</f>
        <v>2086</v>
      </c>
      <c r="DM25" s="943">
        <f>_xlfn.XLOOKUP($K25,'Sales Rec'!$E$4:$E$32,'Sales Rec'!O$4:O$32,"")</f>
        <v>0</v>
      </c>
      <c r="DN25" s="948">
        <f t="shared" si="42"/>
        <v>0</v>
      </c>
      <c r="DO25" s="943">
        <f t="shared" si="43"/>
        <v>2086</v>
      </c>
      <c r="DP25" s="913">
        <f>_xlfn.XLOOKUP($K25,'Sales Rec'!$E$4:$E$32,'Sales Rec'!I$4:I$32,"")</f>
        <v>3272</v>
      </c>
      <c r="DQ25" s="914">
        <f>_xlfn.XLOOKUP($K25,'Sales Rec'!$E$4:$E$32,'Sales Rec'!H$4:H$32,"")</f>
        <v>91</v>
      </c>
      <c r="DR25" s="946">
        <f t="shared" si="44"/>
        <v>2.7059173357121619E-2</v>
      </c>
      <c r="DS25" s="942">
        <f>_xlfn.XLOOKUP(K25,Cement!$Q$3:$Q$35,Cement!$AP$3:$AP$35,"")</f>
        <v>3363</v>
      </c>
      <c r="DT25" s="1013" t="str">
        <f t="shared" si="45"/>
        <v>OK</v>
      </c>
      <c r="DU25" s="952">
        <f t="shared" si="46"/>
        <v>3479</v>
      </c>
      <c r="DV25" s="925">
        <f>_xlfn.XLOOKUP($K25,'Sales Rec'!$E$4:$E$32,'Sales Rec'!$M$4:$M$32,"")</f>
        <v>1737</v>
      </c>
      <c r="DW25" s="904">
        <f>_xlfn.XLOOKUP($K25,'Sales Rec'!$E$4:$E$32,'Sales Rec'!$N$4:$N$32,"")</f>
        <v>2086</v>
      </c>
      <c r="DX25" s="1195">
        <f>_xlfn.XLOOKUP(K25,Cement!$Q$7:$Q$35,Cement!$AR$7:$AR$35,"")</f>
        <v>3990.348877374784</v>
      </c>
      <c r="DY25" s="964">
        <f t="shared" si="47"/>
        <v>18.654441789318586</v>
      </c>
      <c r="DZ25" s="1490">
        <f t="shared" si="48"/>
        <v>27</v>
      </c>
      <c r="EA25" s="367"/>
      <c r="EB25" s="176" t="e">
        <f>SUMIF('[1]9-1404.12.03'!$B$2:$B$2000,$J25,'[1]9-1404.12.03'!$L$2:$L$2000)</f>
        <v>#VALUE!</v>
      </c>
      <c r="EC25" s="176" t="e">
        <f>SUMIF('[1]9-1404.12.03'!$B$2:$B$2000,$J25,'[1]9-1404.12.03'!$E$2:$E$2000)/10</f>
        <v>#VALUE!</v>
      </c>
      <c r="ED25" s="177" t="str">
        <f t="shared" si="49"/>
        <v/>
      </c>
      <c r="EE25" s="176" t="e">
        <f>SUMIF('[1]8B-1404.12.02'!$D$2:$D$3000,$J25,'[1]8B-1404.12.02'!$M$2:$M$3000)</f>
        <v>#VALUE!</v>
      </c>
      <c r="EF25" s="176" t="e">
        <f>SUMIF('[1]8B-1404.12.02'!$D$2:$D$3000,$J25,'[1]8B-1404.12.02'!$G$2:$G$3000)/10</f>
        <v>#VALUE!</v>
      </c>
      <c r="EG25" s="177" t="str">
        <f t="shared" si="50"/>
        <v/>
      </c>
      <c r="EH25" s="1502"/>
      <c r="EI25" s="1534">
        <f>SUMIF(Cem_Export!$C$2:$C$3000,$J25,Cem_Export!$I$2:$I$3000)</f>
        <v>0</v>
      </c>
      <c r="EJ25" s="1534">
        <f>SUMIFS(Cem_Export!$J$2:$J$3000,Cem_Export!$C$2:$C$3000,$J25,Cem_Export!$L$2:$L$3000, $EJ$4)</f>
        <v>0</v>
      </c>
      <c r="EK25" s="1534">
        <f>SUMIFS(Cem_Export!$J$2:$J$3000,Cem_Export!$C$2:$C$3000,$J25,Cem_Export!$L$2:$L$3000, $EK$4)</f>
        <v>0</v>
      </c>
      <c r="EL25" s="1682" t="str">
        <f t="shared" si="51"/>
        <v/>
      </c>
      <c r="EM25" s="1836">
        <f t="shared" si="52"/>
        <v>0</v>
      </c>
      <c r="EN25" s="1562"/>
      <c r="EO25" s="1625">
        <f>SUMIF('Cem-Domestic'!$D$2:$D$4000,$J25,'Cem-Domestic'!$M$2:$M$4000)</f>
        <v>49225</v>
      </c>
      <c r="EP25" s="1625">
        <f>SUMIF('Cem-Domestic'!$D$2:$D$4000,$J25,'Cem-Domestic'!$G$2:$G$4000)/10^7</f>
        <v>161.5233977</v>
      </c>
      <c r="EQ25" s="1681">
        <f t="shared" si="53"/>
        <v>3281.3285464702894</v>
      </c>
      <c r="ER25" s="1562"/>
      <c r="ES25" s="1533">
        <v>0</v>
      </c>
      <c r="ET25" s="1534">
        <v>0</v>
      </c>
      <c r="EU25" s="1535" t="s">
        <v>192</v>
      </c>
      <c r="EV25" s="1533">
        <v>0</v>
      </c>
      <c r="EW25" s="1534">
        <v>0</v>
      </c>
      <c r="EX25" s="1535" t="s">
        <v>192</v>
      </c>
      <c r="EY25" s="1533">
        <v>0</v>
      </c>
      <c r="EZ25" s="1534">
        <v>0</v>
      </c>
      <c r="FA25" s="1535" t="s">
        <v>192</v>
      </c>
      <c r="FB25" s="1533">
        <v>0</v>
      </c>
      <c r="FC25" s="1534">
        <v>0</v>
      </c>
      <c r="FD25" s="1535" t="s">
        <v>192</v>
      </c>
      <c r="FE25" s="1533">
        <v>0</v>
      </c>
      <c r="FF25" s="1534">
        <v>0</v>
      </c>
      <c r="FG25" s="1535" t="s">
        <v>192</v>
      </c>
    </row>
    <row r="26" spans="1:234" ht="30" customHeight="1">
      <c r="A26" s="975">
        <f t="shared" si="0"/>
        <v>22</v>
      </c>
      <c r="B26" s="975">
        <f t="shared" si="1"/>
        <v>23</v>
      </c>
      <c r="C26" s="975">
        <f t="shared" si="2"/>
        <v>26</v>
      </c>
      <c r="D26" s="1015">
        <f t="shared" si="3"/>
        <v>0.19392038149663832</v>
      </c>
      <c r="E26" s="1217">
        <f>_xlfn.XLOOKUP(K26,Cement!$Q$7:$Q$35,Cement!$Z$7:$Z$35,"")</f>
        <v>0.25910633484162893</v>
      </c>
      <c r="F26" s="1091">
        <f t="shared" si="4"/>
        <v>-6.5185953344990608</v>
      </c>
      <c r="G26" s="991">
        <f t="shared" si="5"/>
        <v>-3.6280020439448134E-2</v>
      </c>
      <c r="H26" s="173">
        <f>_xlfn.XLOOKUP($K26,Cement!$Q$7:$Q$35,Cement!$B$7:$B$35,"")</f>
        <v>-3.3019070188340858</v>
      </c>
      <c r="I26" s="173">
        <f>_xlfn.XLOOKUP(K26,Cement!$Q$7:$Q$35,Cement!$A$7:$A$35,"")</f>
        <v>-0.73633515948652661</v>
      </c>
      <c r="J26" s="202" t="s">
        <v>914</v>
      </c>
      <c r="K26" s="554" t="s">
        <v>73</v>
      </c>
      <c r="L26" s="983">
        <f>_xlfn.XLOOKUP(K26,Cement!$Q$7:$Q$35,Cement!$R$7:$R$35,"")</f>
        <v>12</v>
      </c>
      <c r="M26" s="2013">
        <f>_xlfn.XLOOKUP(K26,'Sales Rec'!$E$4:$E$32,'Sales Rec'!$L$4:$L$32,"")</f>
        <v>4</v>
      </c>
      <c r="N26" s="930">
        <f t="shared" si="6"/>
        <v>2080</v>
      </c>
      <c r="O26" s="208">
        <f t="shared" si="7"/>
        <v>1635</v>
      </c>
      <c r="P26" s="1465">
        <f t="shared" si="8"/>
        <v>608</v>
      </c>
      <c r="Q26" s="1466">
        <f t="shared" si="54"/>
        <v>36.936936936936938</v>
      </c>
      <c r="R26" s="1472">
        <f t="shared" si="9"/>
        <v>396</v>
      </c>
      <c r="S26" s="1473">
        <f t="shared" si="10"/>
        <v>-34.868421052631575</v>
      </c>
      <c r="T26" s="1479">
        <f t="shared" si="11"/>
        <v>514</v>
      </c>
      <c r="U26" s="1092">
        <f t="shared" si="12"/>
        <v>29.797979797979796</v>
      </c>
      <c r="V26" s="1486">
        <f t="shared" si="13"/>
        <v>444</v>
      </c>
      <c r="W26" s="1487">
        <f t="shared" si="14"/>
        <v>-13.618677042801556</v>
      </c>
      <c r="X26" s="934">
        <f>_xlfn.XLOOKUP(K26,Cement!$Q$7:$Q$35,Cement!$AK$7:$AK$35,"")</f>
        <v>1200000</v>
      </c>
      <c r="Y26" s="1911"/>
      <c r="Z26" s="1567"/>
      <c r="AA26" s="1548"/>
      <c r="AB26" s="996">
        <v>182</v>
      </c>
      <c r="AC26" s="997">
        <v>2</v>
      </c>
      <c r="AD26" s="884">
        <f t="shared" si="15"/>
        <v>180</v>
      </c>
      <c r="AE26" s="1365"/>
      <c r="AF26" s="1567">
        <v>164.92111750000001</v>
      </c>
      <c r="AG26" s="1548">
        <v>0</v>
      </c>
      <c r="AH26" s="996">
        <v>178</v>
      </c>
      <c r="AI26" s="997">
        <v>0</v>
      </c>
      <c r="AJ26" s="884">
        <f t="shared" si="16"/>
        <v>178</v>
      </c>
      <c r="AK26" s="1365"/>
      <c r="AL26" s="1567">
        <v>173.922875</v>
      </c>
      <c r="AM26" s="1548">
        <v>0</v>
      </c>
      <c r="AN26" s="996">
        <v>154</v>
      </c>
      <c r="AO26" s="997">
        <v>0</v>
      </c>
      <c r="AP26" s="884">
        <f t="shared" si="17"/>
        <v>154</v>
      </c>
      <c r="AQ26" s="1365"/>
      <c r="AR26" s="1567">
        <v>152.84321750000001</v>
      </c>
      <c r="AS26" s="1548">
        <v>0</v>
      </c>
      <c r="AT26" s="996">
        <v>131</v>
      </c>
      <c r="AU26" s="997">
        <v>2</v>
      </c>
      <c r="AV26" s="884">
        <f t="shared" si="18"/>
        <v>129</v>
      </c>
      <c r="AW26" s="884"/>
      <c r="AX26" s="1567">
        <v>172.36413250000001</v>
      </c>
      <c r="AY26" s="1548">
        <v>0</v>
      </c>
      <c r="AZ26" s="996">
        <v>150</v>
      </c>
      <c r="BA26" s="997">
        <v>0</v>
      </c>
      <c r="BB26" s="884">
        <f t="shared" si="19"/>
        <v>150</v>
      </c>
      <c r="BC26" s="884"/>
      <c r="BD26" s="1567"/>
      <c r="BE26" s="1548"/>
      <c r="BF26" s="996">
        <v>163</v>
      </c>
      <c r="BG26" s="997">
        <v>0</v>
      </c>
      <c r="BH26" s="884">
        <f t="shared" si="20"/>
        <v>163</v>
      </c>
      <c r="BI26" s="884"/>
      <c r="BJ26" s="2100">
        <f t="shared" si="21"/>
        <v>444</v>
      </c>
      <c r="BK26" s="2102"/>
      <c r="BL26" s="2102"/>
      <c r="BM26" s="884"/>
      <c r="BN26" s="1567"/>
      <c r="BO26" s="1548"/>
      <c r="BP26" s="996">
        <v>140</v>
      </c>
      <c r="BQ26" s="997">
        <v>0</v>
      </c>
      <c r="BR26" s="884">
        <f t="shared" si="22"/>
        <v>140</v>
      </c>
      <c r="BS26" s="1365"/>
      <c r="BT26" s="1567"/>
      <c r="BU26" s="1548"/>
      <c r="BV26" s="996">
        <v>238</v>
      </c>
      <c r="BW26" s="997">
        <v>0</v>
      </c>
      <c r="BX26" s="884">
        <f t="shared" si="23"/>
        <v>238</v>
      </c>
      <c r="BY26" s="1365"/>
      <c r="BZ26" s="1980">
        <f t="shared" si="24"/>
        <v>10</v>
      </c>
      <c r="CA26" s="1999">
        <f t="shared" si="25"/>
        <v>13.179193277310935</v>
      </c>
      <c r="CB26" s="1992">
        <f t="shared" si="26"/>
        <v>269.36648000000002</v>
      </c>
      <c r="CC26" s="996">
        <v>230</v>
      </c>
      <c r="CD26" s="1996">
        <v>0</v>
      </c>
      <c r="CE26" s="997">
        <v>0</v>
      </c>
      <c r="CF26" s="1981">
        <v>269.36648000000002</v>
      </c>
      <c r="CG26" s="884">
        <f t="shared" si="27"/>
        <v>230</v>
      </c>
      <c r="CH26" s="1365"/>
      <c r="CI26" s="2102">
        <f t="shared" si="28"/>
        <v>608</v>
      </c>
      <c r="CJ26" s="2105">
        <f t="shared" si="29"/>
        <v>0.36936936936936937</v>
      </c>
      <c r="CK26" s="2108">
        <f t="shared" si="30"/>
        <v>18</v>
      </c>
      <c r="CL26" s="1365"/>
      <c r="CM26" s="1980">
        <f t="shared" si="31"/>
        <v>12</v>
      </c>
      <c r="CN26" s="1999">
        <f t="shared" si="32"/>
        <v>-14.257009782608696</v>
      </c>
      <c r="CO26" s="1992">
        <f t="shared" si="33"/>
        <v>197.2088775</v>
      </c>
      <c r="CP26" s="996">
        <v>224</v>
      </c>
      <c r="CQ26" s="1996">
        <v>0</v>
      </c>
      <c r="CR26" s="2232">
        <v>0</v>
      </c>
      <c r="CS26" s="1981">
        <v>197.2088775</v>
      </c>
      <c r="CT26" s="884">
        <f t="shared" si="34"/>
        <v>224</v>
      </c>
      <c r="CU26" s="1365"/>
      <c r="CV26" s="1980">
        <f t="shared" si="35"/>
        <v>22</v>
      </c>
      <c r="CW26" s="1999">
        <f t="shared" si="36"/>
        <v>-65.312032366071421</v>
      </c>
      <c r="CX26" s="1992">
        <f t="shared" si="37"/>
        <v>77.701047500000001</v>
      </c>
      <c r="CY26" s="996"/>
      <c r="CZ26" s="1996">
        <f t="shared" si="38"/>
        <v>0</v>
      </c>
      <c r="DA26" s="2232"/>
      <c r="DB26" s="1981">
        <f t="shared" si="39"/>
        <v>77.701047500000001</v>
      </c>
      <c r="DC26" s="884">
        <f t="shared" si="40"/>
        <v>77.701047500000001</v>
      </c>
      <c r="DD26" s="1365"/>
      <c r="DE26" s="1567"/>
      <c r="DF26" s="1548"/>
      <c r="DG26" s="1926">
        <v>172</v>
      </c>
      <c r="DH26" s="997">
        <v>1</v>
      </c>
      <c r="DI26" s="884">
        <f t="shared" si="41"/>
        <v>171</v>
      </c>
      <c r="DJ26" s="367"/>
      <c r="DK26" s="1201"/>
      <c r="DL26" s="945">
        <f>_xlfn.XLOOKUP($K26,'Sales Rec'!$E$4:$E$32,'Sales Rec'!P$4:P$32,"")</f>
        <v>832</v>
      </c>
      <c r="DM26" s="943">
        <f>_xlfn.XLOOKUP($K26,'Sales Rec'!$E$4:$E$32,'Sales Rec'!O$4:O$32,"")</f>
        <v>0</v>
      </c>
      <c r="DN26" s="948">
        <f t="shared" si="42"/>
        <v>0</v>
      </c>
      <c r="DO26" s="943">
        <f t="shared" si="43"/>
        <v>832</v>
      </c>
      <c r="DP26" s="913">
        <f>_xlfn.XLOOKUP($K26,'Sales Rec'!$E$4:$E$32,'Sales Rec'!I$4:I$32,"")</f>
        <v>1886</v>
      </c>
      <c r="DQ26" s="914">
        <f>_xlfn.XLOOKUP($K26,'Sales Rec'!$E$4:$E$32,'Sales Rec'!H$4:H$32,"")</f>
        <v>71</v>
      </c>
      <c r="DR26" s="946">
        <f t="shared" si="44"/>
        <v>3.6280020439448134E-2</v>
      </c>
      <c r="DS26" s="942">
        <f>_xlfn.XLOOKUP(K26,Cement!$Q$3:$Q$35,Cement!$AP$3:$AP$35,"")</f>
        <v>1957</v>
      </c>
      <c r="DT26" s="1013" t="str">
        <f t="shared" si="45"/>
        <v>OK</v>
      </c>
      <c r="DU26" s="952">
        <f t="shared" si="46"/>
        <v>1962</v>
      </c>
      <c r="DV26" s="925">
        <f>_xlfn.XLOOKUP($K26,'Sales Rec'!$E$4:$E$32,'Sales Rec'!$M$4:$M$32,"")</f>
        <v>686</v>
      </c>
      <c r="DW26" s="904">
        <f>_xlfn.XLOOKUP($K26,'Sales Rec'!$E$4:$E$32,'Sales Rec'!$N$4:$N$32,"")</f>
        <v>832</v>
      </c>
      <c r="DX26" s="1195">
        <f>_xlfn.XLOOKUP(K26,Cement!$Q$7:$Q$35,Cement!$AR$7:$AR$35,"")</f>
        <v>2336.5021865889212</v>
      </c>
      <c r="DY26" s="964">
        <f t="shared" si="47"/>
        <v>19.392038149663833</v>
      </c>
      <c r="DZ26" s="1490">
        <f t="shared" si="48"/>
        <v>26</v>
      </c>
      <c r="EA26" s="367"/>
      <c r="EB26" s="176" t="e">
        <f>SUMIF('[1]9-1404.12.03'!$B$2:$B$2000,$J26,'[1]9-1404.12.03'!$L$2:$L$2000)</f>
        <v>#VALUE!</v>
      </c>
      <c r="EC26" s="176" t="e">
        <f>SUMIF('[1]9-1404.12.03'!$B$2:$B$2000,$J26,'[1]9-1404.12.03'!$E$2:$E$2000)/10</f>
        <v>#VALUE!</v>
      </c>
      <c r="ED26" s="177" t="str">
        <f t="shared" si="49"/>
        <v/>
      </c>
      <c r="EE26" s="176" t="e">
        <f>SUMIF('[1]8B-1404.12.02'!$D$2:$D$3000,$J26,'[1]8B-1404.12.02'!$M$2:$M$3000)</f>
        <v>#VALUE!</v>
      </c>
      <c r="EF26" s="176" t="e">
        <f>SUMIF('[1]8B-1404.12.02'!$D$2:$D$3000,$J26,'[1]8B-1404.12.02'!$G$2:$G$3000)/10</f>
        <v>#VALUE!</v>
      </c>
      <c r="EG26" s="177" t="str">
        <f t="shared" si="50"/>
        <v/>
      </c>
      <c r="EH26" s="1502"/>
      <c r="EI26" s="1534">
        <f>SUMIF(Cem_Export!$C$2:$C$3000,$J26,Cem_Export!$I$2:$I$3000)</f>
        <v>0</v>
      </c>
      <c r="EJ26" s="1534">
        <f>SUMIFS(Cem_Export!$J$2:$J$3000,Cem_Export!$C$2:$C$3000,$J26,Cem_Export!$L$2:$L$3000, $EJ$4)</f>
        <v>0</v>
      </c>
      <c r="EK26" s="1534">
        <f>SUMIFS(Cem_Export!$J$2:$J$3000,Cem_Export!$C$2:$C$3000,$J26,Cem_Export!$L$2:$L$3000, $EK$4)</f>
        <v>0</v>
      </c>
      <c r="EL26" s="1682" t="str">
        <f t="shared" si="51"/>
        <v/>
      </c>
      <c r="EM26" s="1836">
        <f t="shared" si="52"/>
        <v>0</v>
      </c>
      <c r="EN26" s="1562"/>
      <c r="EO26" s="1625">
        <f>SUMIF('Cem-Domestic'!$D$2:$D$4000,$J26,'Cem-Domestic'!$M$2:$M$4000)</f>
        <v>24900</v>
      </c>
      <c r="EP26" s="1625">
        <f>SUMIF('Cem-Domestic'!$D$2:$D$4000,$J26,'Cem-Domestic'!$G$2:$G$4000)/10^7</f>
        <v>77.701047500000001</v>
      </c>
      <c r="EQ26" s="1681">
        <f t="shared" si="53"/>
        <v>3120.5239959839359</v>
      </c>
      <c r="ER26" s="1562"/>
      <c r="ES26" s="1533">
        <v>0</v>
      </c>
      <c r="ET26" s="1534">
        <v>0</v>
      </c>
      <c r="EU26" s="1535" t="s">
        <v>192</v>
      </c>
      <c r="EV26" s="1533">
        <v>0</v>
      </c>
      <c r="EW26" s="1534">
        <v>0</v>
      </c>
      <c r="EX26" s="1535" t="s">
        <v>192</v>
      </c>
      <c r="EY26" s="1533">
        <v>0</v>
      </c>
      <c r="EZ26" s="1534">
        <v>0</v>
      </c>
      <c r="FA26" s="1535" t="s">
        <v>192</v>
      </c>
      <c r="FB26" s="1533">
        <v>0</v>
      </c>
      <c r="FC26" s="1534">
        <v>0</v>
      </c>
      <c r="FD26" s="1535" t="s">
        <v>192</v>
      </c>
      <c r="FE26" s="1533">
        <v>0</v>
      </c>
      <c r="FF26" s="1534">
        <v>0</v>
      </c>
      <c r="FG26" s="1535" t="s">
        <v>192</v>
      </c>
    </row>
    <row r="27" spans="1:234" ht="30" customHeight="1">
      <c r="A27" s="975">
        <f t="shared" si="0"/>
        <v>23</v>
      </c>
      <c r="B27" s="975">
        <f t="shared" si="1"/>
        <v>28</v>
      </c>
      <c r="C27" s="975">
        <f t="shared" si="2"/>
        <v>19</v>
      </c>
      <c r="D27" s="1015">
        <f t="shared" si="3"/>
        <v>0.39682262131387164</v>
      </c>
      <c r="E27" s="1217">
        <f>_xlfn.XLOOKUP(K27,Cement!$Q$7:$Q$35,Cement!$Z$7:$Z$35,"")</f>
        <v>0.22167607359904107</v>
      </c>
      <c r="F27" s="1091">
        <f t="shared" si="4"/>
        <v>17.514654771483055</v>
      </c>
      <c r="G27" s="991">
        <f t="shared" si="5"/>
        <v>1.6087040058377765E-2</v>
      </c>
      <c r="H27" s="173">
        <f>_xlfn.XLOOKUP($K27,Cement!$Q$7:$Q$35,Cement!$B$7:$B$35,"")</f>
        <v>-4.1661002865120871</v>
      </c>
      <c r="I27" s="173">
        <f>_xlfn.XLOOKUP(K27,Cement!$Q$7:$Q$35,Cement!$A$7:$A$35,"")</f>
        <v>-0.3801749626398081</v>
      </c>
      <c r="J27" s="202" t="s">
        <v>915</v>
      </c>
      <c r="K27" s="554" t="s">
        <v>69</v>
      </c>
      <c r="L27" s="937">
        <f>_xlfn.XLOOKUP(K27,Cement!$Q$7:$Q$35,Cement!$R$7:$R$35,"")</f>
        <v>12</v>
      </c>
      <c r="M27" s="2013">
        <f>_xlfn.XLOOKUP(K27,'Sales Rec'!$E$4:$E$32,'Sales Rec'!$L$4:$L$32,"")</f>
        <v>4</v>
      </c>
      <c r="N27" s="930">
        <f t="shared" si="6"/>
        <v>2042</v>
      </c>
      <c r="O27" s="208">
        <f t="shared" si="7"/>
        <v>1449.1111111111111</v>
      </c>
      <c r="P27" s="1465">
        <f t="shared" si="8"/>
        <v>2250</v>
      </c>
      <c r="Q27" s="1466">
        <f t="shared" si="54"/>
        <v>55.494125777470629</v>
      </c>
      <c r="R27" s="1472">
        <f t="shared" si="9"/>
        <v>1301</v>
      </c>
      <c r="S27" s="1473">
        <f t="shared" si="10"/>
        <v>-42.177777777777777</v>
      </c>
      <c r="T27" s="1479">
        <f t="shared" si="11"/>
        <v>1523</v>
      </c>
      <c r="U27" s="1092">
        <f t="shared" si="12"/>
        <v>17.06379707916987</v>
      </c>
      <c r="V27" s="1486">
        <f t="shared" si="13"/>
        <v>1447</v>
      </c>
      <c r="W27" s="1487">
        <f t="shared" si="14"/>
        <v>-4.9901510177281683</v>
      </c>
      <c r="X27" s="934">
        <f>_xlfn.XLOOKUP(K27,Cement!$Q$7:$Q$35,Cement!$AK$7:$AK$35,"")</f>
        <v>4500000</v>
      </c>
      <c r="Y27" s="1911"/>
      <c r="Z27" s="1567"/>
      <c r="AA27" s="1548"/>
      <c r="AB27" s="996">
        <v>535</v>
      </c>
      <c r="AC27" s="997">
        <v>16</v>
      </c>
      <c r="AD27" s="884">
        <f t="shared" si="15"/>
        <v>519</v>
      </c>
      <c r="AE27" s="1365"/>
      <c r="AF27" s="1567">
        <v>498.84391540000001</v>
      </c>
      <c r="AG27" s="1548">
        <v>0</v>
      </c>
      <c r="AH27" s="996">
        <v>512</v>
      </c>
      <c r="AI27" s="997">
        <v>3</v>
      </c>
      <c r="AJ27" s="884">
        <f t="shared" si="16"/>
        <v>509</v>
      </c>
      <c r="AK27" s="1365"/>
      <c r="AL27" s="1567">
        <v>522.95827959999997</v>
      </c>
      <c r="AM27" s="1548">
        <v>0</v>
      </c>
      <c r="AN27" s="996">
        <v>476</v>
      </c>
      <c r="AO27" s="997">
        <v>3</v>
      </c>
      <c r="AP27" s="884">
        <f t="shared" si="17"/>
        <v>473</v>
      </c>
      <c r="AQ27" s="1365"/>
      <c r="AR27" s="1567">
        <v>476.54718339999999</v>
      </c>
      <c r="AS27" s="1548">
        <v>0</v>
      </c>
      <c r="AT27" s="996">
        <v>457</v>
      </c>
      <c r="AU27" s="997">
        <v>4</v>
      </c>
      <c r="AV27" s="884">
        <f t="shared" si="18"/>
        <v>453</v>
      </c>
      <c r="AW27" s="884"/>
      <c r="AX27" s="1567">
        <v>495.2279254</v>
      </c>
      <c r="AY27" s="1548">
        <v>0</v>
      </c>
      <c r="AZ27" s="996">
        <v>488</v>
      </c>
      <c r="BA27" s="997">
        <v>0</v>
      </c>
      <c r="BB27" s="884">
        <f t="shared" si="19"/>
        <v>488</v>
      </c>
      <c r="BC27" s="884"/>
      <c r="BD27" s="1567"/>
      <c r="BE27" s="1548"/>
      <c r="BF27" s="996">
        <v>502</v>
      </c>
      <c r="BG27" s="997">
        <v>0</v>
      </c>
      <c r="BH27" s="884">
        <f t="shared" si="20"/>
        <v>502</v>
      </c>
      <c r="BI27" s="884"/>
      <c r="BJ27" s="2100">
        <f t="shared" si="21"/>
        <v>1447</v>
      </c>
      <c r="BK27" s="2102"/>
      <c r="BL27" s="2102"/>
      <c r="BM27" s="884"/>
      <c r="BN27" s="1567"/>
      <c r="BO27" s="1548"/>
      <c r="BP27" s="996">
        <v>402</v>
      </c>
      <c r="BQ27" s="997">
        <v>0</v>
      </c>
      <c r="BR27" s="884">
        <f t="shared" si="22"/>
        <v>402</v>
      </c>
      <c r="BS27" s="1365"/>
      <c r="BT27" s="1567"/>
      <c r="BU27" s="1548"/>
      <c r="BV27" s="996">
        <v>1007</v>
      </c>
      <c r="BW27" s="997">
        <v>38</v>
      </c>
      <c r="BX27" s="884">
        <f t="shared" si="23"/>
        <v>969</v>
      </c>
      <c r="BY27" s="1365"/>
      <c r="BZ27" s="1980">
        <f t="shared" si="24"/>
        <v>20</v>
      </c>
      <c r="CA27" s="1999">
        <f t="shared" si="25"/>
        <v>-2.6654262101634791</v>
      </c>
      <c r="CB27" s="1992">
        <f t="shared" si="26"/>
        <v>980.15915806365376</v>
      </c>
      <c r="CC27" s="996">
        <v>841</v>
      </c>
      <c r="CD27" s="1996">
        <v>37.98479986365372</v>
      </c>
      <c r="CE27" s="997">
        <v>0</v>
      </c>
      <c r="CF27" s="1981">
        <v>942.17435820000003</v>
      </c>
      <c r="CG27" s="884">
        <f t="shared" si="27"/>
        <v>841</v>
      </c>
      <c r="CH27" s="1365"/>
      <c r="CI27" s="2102">
        <f t="shared" si="28"/>
        <v>2250</v>
      </c>
      <c r="CJ27" s="2105">
        <f t="shared" si="29"/>
        <v>0.55494125777470626</v>
      </c>
      <c r="CK27" s="2108">
        <f t="shared" si="30"/>
        <v>8</v>
      </c>
      <c r="CL27" s="1365"/>
      <c r="CM27" s="1980">
        <f t="shared" si="31"/>
        <v>26</v>
      </c>
      <c r="CN27" s="1999">
        <f t="shared" si="32"/>
        <v>-69.791152794292501</v>
      </c>
      <c r="CO27" s="1992">
        <f t="shared" si="33"/>
        <v>254.05640500000001</v>
      </c>
      <c r="CP27" s="996">
        <v>812</v>
      </c>
      <c r="CQ27" s="1996">
        <v>10.0548</v>
      </c>
      <c r="CR27" s="2232">
        <v>30</v>
      </c>
      <c r="CS27" s="1981">
        <v>244.00160500000001</v>
      </c>
      <c r="CT27" s="884">
        <f t="shared" si="34"/>
        <v>782</v>
      </c>
      <c r="CU27" s="1365"/>
      <c r="CV27" s="1980">
        <f t="shared" si="35"/>
        <v>6</v>
      </c>
      <c r="CW27" s="1999">
        <f t="shared" si="36"/>
        <v>-48.627875360131796</v>
      </c>
      <c r="CX27" s="1992">
        <f t="shared" si="37"/>
        <v>417.14165207572984</v>
      </c>
      <c r="CY27" s="996"/>
      <c r="CZ27" s="1996">
        <f t="shared" si="38"/>
        <v>17.875199875729841</v>
      </c>
      <c r="DA27" s="2232"/>
      <c r="DB27" s="1981">
        <f t="shared" si="39"/>
        <v>399.2664522</v>
      </c>
      <c r="DC27" s="884">
        <f t="shared" si="40"/>
        <v>399.2664522</v>
      </c>
      <c r="DD27" s="1365"/>
      <c r="DE27" s="1567"/>
      <c r="DF27" s="1548"/>
      <c r="DG27" s="1926">
        <v>489</v>
      </c>
      <c r="DH27" s="997">
        <v>0</v>
      </c>
      <c r="DI27" s="884">
        <f t="shared" si="41"/>
        <v>489</v>
      </c>
      <c r="DJ27" s="367"/>
      <c r="DK27" s="1201"/>
      <c r="DL27" s="945">
        <f>_xlfn.XLOOKUP($K27,'Sales Rec'!$E$4:$E$32,'Sales Rec'!P$4:P$32,"")</f>
        <v>2994</v>
      </c>
      <c r="DM27" s="943">
        <f>_xlfn.XLOOKUP($K27,'Sales Rec'!$E$4:$E$32,'Sales Rec'!O$4:O$32,"")</f>
        <v>69</v>
      </c>
      <c r="DN27" s="948">
        <f t="shared" si="42"/>
        <v>2.2526934378060724E-2</v>
      </c>
      <c r="DO27" s="943">
        <f t="shared" si="43"/>
        <v>3063</v>
      </c>
      <c r="DP27" s="913">
        <f>_xlfn.XLOOKUP($K27,'Sales Rec'!$E$4:$E$32,'Sales Rec'!I$4:I$32,"")</f>
        <v>6017</v>
      </c>
      <c r="DQ27" s="914">
        <f>_xlfn.XLOOKUP($K27,'Sales Rec'!$E$4:$E$32,'Sales Rec'!H$4:H$32,"")</f>
        <v>39</v>
      </c>
      <c r="DR27" s="946">
        <f t="shared" si="44"/>
        <v>6.4398943196829588E-3</v>
      </c>
      <c r="DS27" s="942">
        <f>_xlfn.XLOOKUP(K27,Cement!$Q$3:$Q$35,Cement!$AP$3:$AP$35,"")</f>
        <v>6056</v>
      </c>
      <c r="DT27" s="1013" t="str">
        <f t="shared" si="45"/>
        <v>OK</v>
      </c>
      <c r="DU27" s="952">
        <f t="shared" si="46"/>
        <v>6521</v>
      </c>
      <c r="DV27" s="925">
        <f>_xlfn.XLOOKUP($K27,'Sales Rec'!$E$4:$E$32,'Sales Rec'!$M$4:$M$32,"")</f>
        <v>2104</v>
      </c>
      <c r="DW27" s="904">
        <f>_xlfn.XLOOKUP($K27,'Sales Rec'!$E$4:$E$32,'Sales Rec'!$N$4:$N$32,"")</f>
        <v>3063</v>
      </c>
      <c r="DX27" s="1195">
        <f>_xlfn.XLOOKUP(K27,Cement!$Q$7:$Q$35,Cement!$AR$7:$AR$35,"")</f>
        <v>8459.1577946768066</v>
      </c>
      <c r="DY27" s="964">
        <f t="shared" si="47"/>
        <v>39.682262131387162</v>
      </c>
      <c r="DZ27" s="1490">
        <f t="shared" si="48"/>
        <v>19</v>
      </c>
      <c r="EA27" s="367"/>
      <c r="EB27" s="176" t="e">
        <f>SUMIF('[1]9-1404.12.03'!$B$2:$B$2000,$J27,'[1]9-1404.12.03'!$L$2:$L$2000)</f>
        <v>#VALUE!</v>
      </c>
      <c r="EC27" s="176" t="e">
        <f>SUMIF('[1]9-1404.12.03'!$B$2:$B$2000,$J27,'[1]9-1404.12.03'!$E$2:$E$2000)/10</f>
        <v>#VALUE!</v>
      </c>
      <c r="ED27" s="177" t="str">
        <f t="shared" si="49"/>
        <v/>
      </c>
      <c r="EE27" s="176" t="e">
        <f>SUMIF('[1]8B-1404.12.02'!$D$2:$D$3000,$J27,'[1]8B-1404.12.02'!$M$2:$M$3000)</f>
        <v>#VALUE!</v>
      </c>
      <c r="EF27" s="176" t="e">
        <f>SUMIF('[1]8B-1404.12.02'!$D$2:$D$3000,$J27,'[1]8B-1404.12.02'!$G$2:$G$3000)/10</f>
        <v>#VALUE!</v>
      </c>
      <c r="EG27" s="177" t="str">
        <f t="shared" si="50"/>
        <v/>
      </c>
      <c r="EH27" s="1502"/>
      <c r="EI27" s="1534">
        <f>SUMIF(Cem_Export!$C$2:$C$3000,$J27,Cem_Export!$I$2:$I$3000)</f>
        <v>2688</v>
      </c>
      <c r="EJ27" s="1534">
        <f>SUMIFS(Cem_Export!$J$2:$J$3000,Cem_Export!$C$2:$C$3000,$J27,Cem_Export!$L$2:$L$3000, $EJ$4)</f>
        <v>127679.999112356</v>
      </c>
      <c r="EK27" s="1534">
        <f>SUMIFS(Cem_Export!$J$2:$J$3000,Cem_Export!$C$2:$C$3000,$J27,Cem_Export!$L$2:$L$3000, $EK$4)</f>
        <v>0</v>
      </c>
      <c r="EL27" s="1682">
        <f t="shared" si="51"/>
        <v>47.499999669775299</v>
      </c>
      <c r="EM27" s="1836">
        <f t="shared" si="52"/>
        <v>17.875199875729841</v>
      </c>
      <c r="EN27" s="1562"/>
      <c r="EO27" s="1625">
        <f>SUMIF('Cem-Domestic'!$D$2:$D$4000,$J27,'Cem-Domestic'!$M$2:$M$4000)</f>
        <v>108040</v>
      </c>
      <c r="EP27" s="1625">
        <f>SUMIF('Cem-Domestic'!$D$2:$D$4000,$J27,'Cem-Domestic'!$G$2:$G$4000)/10^7</f>
        <v>399.2664522</v>
      </c>
      <c r="EQ27" s="1681">
        <f t="shared" si="53"/>
        <v>3695.5428748611625</v>
      </c>
      <c r="ER27" s="1562"/>
      <c r="ES27" s="1533">
        <v>0</v>
      </c>
      <c r="ET27" s="1534">
        <v>0</v>
      </c>
      <c r="EU27" s="1535" t="s">
        <v>192</v>
      </c>
      <c r="EV27" s="1533">
        <v>0</v>
      </c>
      <c r="EW27" s="1534">
        <v>0</v>
      </c>
      <c r="EX27" s="1535" t="s">
        <v>192</v>
      </c>
      <c r="EY27" s="1533">
        <v>0</v>
      </c>
      <c r="EZ27" s="1534">
        <v>0</v>
      </c>
      <c r="FA27" s="1535" t="s">
        <v>192</v>
      </c>
      <c r="FB27" s="1533">
        <v>0</v>
      </c>
      <c r="FC27" s="1534">
        <v>0</v>
      </c>
      <c r="FD27" s="1535" t="s">
        <v>192</v>
      </c>
      <c r="FE27" s="1533">
        <v>0</v>
      </c>
      <c r="FF27" s="1534">
        <v>0</v>
      </c>
      <c r="FG27" s="1535" t="s">
        <v>192</v>
      </c>
    </row>
    <row r="28" spans="1:234" ht="30" customHeight="1">
      <c r="A28" s="975">
        <f t="shared" si="0"/>
        <v>24</v>
      </c>
      <c r="B28" s="975">
        <f t="shared" si="1"/>
        <v>24</v>
      </c>
      <c r="C28" s="975">
        <f t="shared" si="2"/>
        <v>15</v>
      </c>
      <c r="D28" s="1015">
        <f t="shared" si="3"/>
        <v>0.46501602357074784</v>
      </c>
      <c r="E28" s="1217">
        <f>_xlfn.XLOOKUP(K28,Cement!$Q$7:$Q$35,Cement!$Z$7:$Z$35,"")</f>
        <v>0.3505268996117582</v>
      </c>
      <c r="F28" s="1091">
        <f t="shared" si="4"/>
        <v>11.448912395898963</v>
      </c>
      <c r="G28" s="991">
        <f t="shared" si="5"/>
        <v>0</v>
      </c>
      <c r="H28" s="173">
        <f>_xlfn.XLOOKUP($K28,Cement!$Q$7:$Q$35,Cement!$B$7:$B$35,"")</f>
        <v>-9.5816828073800444</v>
      </c>
      <c r="I28" s="173">
        <f>_xlfn.XLOOKUP(K28,Cement!$Q$7:$Q$35,Cement!$A$7:$A$35,"")</f>
        <v>-5.1465409578434347</v>
      </c>
      <c r="J28" s="202" t="s">
        <v>916</v>
      </c>
      <c r="K28" s="926" t="s">
        <v>51</v>
      </c>
      <c r="L28" s="937">
        <f>_xlfn.XLOOKUP(K28,Cement!$Q$7:$Q$35,Cement!$R$7:$R$35,"")</f>
        <v>9</v>
      </c>
      <c r="M28" s="2015">
        <f>_xlfn.XLOOKUP(K28,'Sales Rec'!$E$4:$E$32,'Sales Rec'!$L$4:$L$32,"")</f>
        <v>7</v>
      </c>
      <c r="N28" s="930">
        <f t="shared" si="6"/>
        <v>2000</v>
      </c>
      <c r="O28" s="208">
        <f t="shared" si="7"/>
        <v>1634.1666666666667</v>
      </c>
      <c r="P28" s="1465">
        <f t="shared" si="8"/>
        <v>679</v>
      </c>
      <c r="Q28" s="1466">
        <f t="shared" si="54"/>
        <v>51.224944320712694</v>
      </c>
      <c r="R28" s="1472">
        <f t="shared" si="9"/>
        <v>346</v>
      </c>
      <c r="S28" s="1473">
        <f t="shared" si="10"/>
        <v>-49.042709867452132</v>
      </c>
      <c r="T28" s="1479">
        <f t="shared" si="11"/>
        <v>487</v>
      </c>
      <c r="U28" s="1092">
        <f t="shared" si="12"/>
        <v>40.751445086705203</v>
      </c>
      <c r="V28" s="1486">
        <f t="shared" si="13"/>
        <v>449</v>
      </c>
      <c r="W28" s="1487">
        <f t="shared" si="14"/>
        <v>-7.8028747433264893</v>
      </c>
      <c r="X28" s="934">
        <f>_xlfn.XLOOKUP(K28,Cement!$Q$7:$Q$35,Cement!$AK$7:$AK$35,"")</f>
        <v>1200000</v>
      </c>
      <c r="Y28" s="1911"/>
      <c r="Z28" s="1567"/>
      <c r="AA28" s="1548"/>
      <c r="AB28" s="996">
        <v>167</v>
      </c>
      <c r="AC28" s="997">
        <v>0</v>
      </c>
      <c r="AD28" s="884">
        <f t="shared" si="15"/>
        <v>167</v>
      </c>
      <c r="AE28" s="1365"/>
      <c r="AF28" s="1567">
        <v>188.61665049999999</v>
      </c>
      <c r="AG28" s="1548">
        <v>0</v>
      </c>
      <c r="AH28" s="996">
        <v>116</v>
      </c>
      <c r="AI28" s="997">
        <v>0</v>
      </c>
      <c r="AJ28" s="884">
        <f t="shared" si="16"/>
        <v>116</v>
      </c>
      <c r="AK28" s="1365"/>
      <c r="AL28" s="1567">
        <v>224.284761</v>
      </c>
      <c r="AM28" s="1548">
        <v>0</v>
      </c>
      <c r="AN28" s="996">
        <v>204</v>
      </c>
      <c r="AO28" s="997">
        <v>0</v>
      </c>
      <c r="AP28" s="884">
        <f t="shared" si="17"/>
        <v>204</v>
      </c>
      <c r="AQ28" s="1365"/>
      <c r="AR28" s="1567">
        <v>179.07789349999999</v>
      </c>
      <c r="AS28" s="1548">
        <v>0</v>
      </c>
      <c r="AT28" s="996">
        <v>115</v>
      </c>
      <c r="AU28" s="997">
        <v>0</v>
      </c>
      <c r="AV28" s="884">
        <f t="shared" si="18"/>
        <v>115</v>
      </c>
      <c r="AW28" s="884"/>
      <c r="AX28" s="1567">
        <v>152.79642899999999</v>
      </c>
      <c r="AY28" s="1548">
        <v>0</v>
      </c>
      <c r="AZ28" s="996">
        <v>179</v>
      </c>
      <c r="BA28" s="997">
        <v>0</v>
      </c>
      <c r="BB28" s="884">
        <f t="shared" si="19"/>
        <v>179</v>
      </c>
      <c r="BC28" s="884"/>
      <c r="BD28" s="1567"/>
      <c r="BE28" s="1548"/>
      <c r="BF28" s="996">
        <v>155</v>
      </c>
      <c r="BG28" s="997">
        <v>0</v>
      </c>
      <c r="BH28" s="884">
        <f t="shared" si="20"/>
        <v>155</v>
      </c>
      <c r="BI28" s="884"/>
      <c r="BJ28" s="2100">
        <f t="shared" si="21"/>
        <v>449</v>
      </c>
      <c r="BK28" s="2102"/>
      <c r="BL28" s="2102"/>
      <c r="BM28" s="884"/>
      <c r="BN28" s="1567"/>
      <c r="BO28" s="1548"/>
      <c r="BP28" s="996">
        <v>117</v>
      </c>
      <c r="BQ28" s="997">
        <v>0</v>
      </c>
      <c r="BR28" s="884">
        <f t="shared" si="22"/>
        <v>117</v>
      </c>
      <c r="BS28" s="1365"/>
      <c r="BT28" s="1567"/>
      <c r="BU28" s="1548"/>
      <c r="BV28" s="996">
        <v>294</v>
      </c>
      <c r="BW28" s="997">
        <v>0</v>
      </c>
      <c r="BX28" s="884">
        <f t="shared" si="23"/>
        <v>294</v>
      </c>
      <c r="BY28" s="1365"/>
      <c r="BZ28" s="1980">
        <f t="shared" si="24"/>
        <v>13</v>
      </c>
      <c r="CA28" s="1999">
        <f t="shared" si="25"/>
        <v>4.3195365646258459</v>
      </c>
      <c r="CB28" s="1992">
        <f t="shared" si="26"/>
        <v>306.69943749999999</v>
      </c>
      <c r="CC28" s="996">
        <v>268</v>
      </c>
      <c r="CD28" s="1996">
        <v>0</v>
      </c>
      <c r="CE28" s="997">
        <v>0</v>
      </c>
      <c r="CF28" s="1981">
        <v>306.69943749999999</v>
      </c>
      <c r="CG28" s="884">
        <f t="shared" si="27"/>
        <v>268</v>
      </c>
      <c r="CH28" s="1365"/>
      <c r="CI28" s="2102">
        <f t="shared" si="28"/>
        <v>679</v>
      </c>
      <c r="CJ28" s="2105">
        <f t="shared" si="29"/>
        <v>0.51224944320712695</v>
      </c>
      <c r="CK28" s="2108">
        <f t="shared" si="30"/>
        <v>10</v>
      </c>
      <c r="CL28" s="1365"/>
      <c r="CM28" s="1980">
        <f t="shared" si="31"/>
        <v>7</v>
      </c>
      <c r="CN28" s="1999">
        <f t="shared" si="32"/>
        <v>9.4505498134328345</v>
      </c>
      <c r="CO28" s="1992">
        <f t="shared" si="33"/>
        <v>293.3274735</v>
      </c>
      <c r="CP28" s="996">
        <v>218</v>
      </c>
      <c r="CQ28" s="1996">
        <v>0</v>
      </c>
      <c r="CR28" s="2232">
        <v>0</v>
      </c>
      <c r="CS28" s="1981">
        <v>293.3274735</v>
      </c>
      <c r="CT28" s="884">
        <f t="shared" si="34"/>
        <v>218</v>
      </c>
      <c r="CU28" s="1365"/>
      <c r="CV28" s="1980">
        <f t="shared" si="35"/>
        <v>3</v>
      </c>
      <c r="CW28" s="1999">
        <f t="shared" si="36"/>
        <v>-37.941774770642198</v>
      </c>
      <c r="CX28" s="1992">
        <f t="shared" si="37"/>
        <v>135.28693100000001</v>
      </c>
      <c r="CY28" s="996"/>
      <c r="CZ28" s="1996">
        <f t="shared" si="38"/>
        <v>0</v>
      </c>
      <c r="DA28" s="2232"/>
      <c r="DB28" s="1981">
        <f t="shared" si="39"/>
        <v>135.28693100000001</v>
      </c>
      <c r="DC28" s="884">
        <f t="shared" si="40"/>
        <v>135.28693100000001</v>
      </c>
      <c r="DD28" s="1365"/>
      <c r="DE28" s="1567"/>
      <c r="DF28" s="1548"/>
      <c r="DG28" s="1926">
        <v>128</v>
      </c>
      <c r="DH28" s="997">
        <v>0</v>
      </c>
      <c r="DI28" s="884">
        <f t="shared" si="41"/>
        <v>128</v>
      </c>
      <c r="DJ28" s="367"/>
      <c r="DK28" s="1201"/>
      <c r="DL28" s="945">
        <f>_xlfn.XLOOKUP($K28,'Sales Rec'!$E$4:$E$32,'Sales Rec'!P$4:P$32,"")</f>
        <v>1400</v>
      </c>
      <c r="DM28" s="943">
        <f>_xlfn.XLOOKUP($K28,'Sales Rec'!$E$4:$E$32,'Sales Rec'!O$4:O$32,"")</f>
        <v>0</v>
      </c>
      <c r="DN28" s="948">
        <f t="shared" si="42"/>
        <v>0</v>
      </c>
      <c r="DO28" s="943">
        <f t="shared" si="43"/>
        <v>1400</v>
      </c>
      <c r="DP28" s="913">
        <f>_xlfn.XLOOKUP($K28,'Sales Rec'!$E$4:$E$32,'Sales Rec'!I$4:I$32,"")</f>
        <v>1727</v>
      </c>
      <c r="DQ28" s="914">
        <f>_xlfn.XLOOKUP($K28,'Sales Rec'!$E$4:$E$32,'Sales Rec'!H$4:H$32,"")</f>
        <v>0</v>
      </c>
      <c r="DR28" s="946">
        <f t="shared" si="44"/>
        <v>0</v>
      </c>
      <c r="DS28" s="942">
        <f>_xlfn.XLOOKUP(K28,Cement!$Q$3:$Q$35,Cement!$AP$3:$AP$35,"")</f>
        <v>1727</v>
      </c>
      <c r="DT28" s="1013" t="str">
        <f t="shared" si="45"/>
        <v>OK</v>
      </c>
      <c r="DU28" s="952">
        <f t="shared" si="46"/>
        <v>1961</v>
      </c>
      <c r="DV28" s="925">
        <f>_xlfn.XLOOKUP($K28,'Sales Rec'!$E$4:$E$32,'Sales Rec'!$M$4:$M$32,"")</f>
        <v>883</v>
      </c>
      <c r="DW28" s="904">
        <f>_xlfn.XLOOKUP($K28,'Sales Rec'!$E$4:$E$32,'Sales Rec'!$N$4:$N$32,"")</f>
        <v>1400</v>
      </c>
      <c r="DX28" s="1195">
        <f>_xlfn.XLOOKUP(K28,Cement!$Q$7:$Q$35,Cement!$AR$7:$AR$35,"")</f>
        <v>2530.0826727066815</v>
      </c>
      <c r="DY28" s="964">
        <f t="shared" si="47"/>
        <v>46.501602357074781</v>
      </c>
      <c r="DZ28" s="1490">
        <f t="shared" si="48"/>
        <v>15</v>
      </c>
      <c r="EA28" s="367"/>
      <c r="EB28" s="176" t="e">
        <f>SUMIF('[1]9-1404.12.03'!$B$2:$B$2000,$J28,'[1]9-1404.12.03'!$L$2:$L$2000)</f>
        <v>#VALUE!</v>
      </c>
      <c r="EC28" s="176" t="e">
        <f>SUMIF('[1]9-1404.12.03'!$B$2:$B$2000,$J28,'[1]9-1404.12.03'!$E$2:$E$2000)/10</f>
        <v>#VALUE!</v>
      </c>
      <c r="ED28" s="177" t="str">
        <f t="shared" si="49"/>
        <v/>
      </c>
      <c r="EE28" s="176" t="e">
        <f>SUMIF('[1]8B-1404.12.02'!$D$2:$D$3000,$J28,'[1]8B-1404.12.02'!$M$2:$M$3000)</f>
        <v>#VALUE!</v>
      </c>
      <c r="EF28" s="176" t="e">
        <f>SUMIF('[1]8B-1404.12.02'!$D$2:$D$3000,$J28,'[1]8B-1404.12.02'!$G$2:$G$3000)/10</f>
        <v>#VALUE!</v>
      </c>
      <c r="EG28" s="177" t="str">
        <f t="shared" si="50"/>
        <v/>
      </c>
      <c r="EH28" s="1502"/>
      <c r="EI28" s="1534">
        <f>SUMIF(Cem_Export!$C$2:$C$3000,$J28,Cem_Export!$I$2:$I$3000)</f>
        <v>0</v>
      </c>
      <c r="EJ28" s="1534">
        <f>SUMIFS(Cem_Export!$J$2:$J$3000,Cem_Export!$C$2:$C$3000,$J28,Cem_Export!$L$2:$L$3000, $EJ$4)</f>
        <v>0</v>
      </c>
      <c r="EK28" s="1534">
        <f>SUMIFS(Cem_Export!$J$2:$J$3000,Cem_Export!$C$2:$C$3000,$J28,Cem_Export!$L$2:$L$3000, $EK$4)</f>
        <v>0</v>
      </c>
      <c r="EL28" s="1682" t="str">
        <f t="shared" si="51"/>
        <v/>
      </c>
      <c r="EM28" s="1836">
        <f t="shared" si="52"/>
        <v>0</v>
      </c>
      <c r="EN28" s="1562"/>
      <c r="EO28" s="1625">
        <f>SUMIF('Cem-Domestic'!$D$2:$D$4000,$J28,'Cem-Domestic'!$M$2:$M$4000)</f>
        <v>36000</v>
      </c>
      <c r="EP28" s="1625">
        <f>SUMIF('Cem-Domestic'!$D$2:$D$4000,$J28,'Cem-Domestic'!$G$2:$G$4000)/10^7</f>
        <v>135.28693100000001</v>
      </c>
      <c r="EQ28" s="1681">
        <f t="shared" si="53"/>
        <v>3757.970305555556</v>
      </c>
      <c r="ER28" s="1562"/>
      <c r="ES28" s="1533">
        <v>0</v>
      </c>
      <c r="ET28" s="1534">
        <v>0</v>
      </c>
      <c r="EU28" s="1535" t="s">
        <v>192</v>
      </c>
      <c r="EV28" s="1533">
        <v>0</v>
      </c>
      <c r="EW28" s="1534">
        <v>0</v>
      </c>
      <c r="EX28" s="1535" t="s">
        <v>192</v>
      </c>
      <c r="EY28" s="1533">
        <v>0</v>
      </c>
      <c r="EZ28" s="1534">
        <v>0</v>
      </c>
      <c r="FA28" s="1535" t="s">
        <v>192</v>
      </c>
      <c r="FB28" s="1533">
        <v>0</v>
      </c>
      <c r="FC28" s="1534">
        <v>0</v>
      </c>
      <c r="FD28" s="1535" t="s">
        <v>192</v>
      </c>
      <c r="FE28" s="1533">
        <v>0</v>
      </c>
      <c r="FF28" s="1534">
        <v>0</v>
      </c>
      <c r="FG28" s="1535" t="s">
        <v>192</v>
      </c>
    </row>
    <row r="29" spans="1:234" ht="30" customHeight="1">
      <c r="A29" s="975">
        <f t="shared" si="0"/>
        <v>25</v>
      </c>
      <c r="B29" s="975">
        <f t="shared" si="1"/>
        <v>26</v>
      </c>
      <c r="C29" s="975">
        <f t="shared" si="2"/>
        <v>4</v>
      </c>
      <c r="D29" s="1015">
        <f t="shared" si="3"/>
        <v>0.73624519807378963</v>
      </c>
      <c r="E29" s="1217">
        <f>_xlfn.XLOOKUP(K29,Cement!$Q$7:$Q$35,Cement!$Z$7:$Z$35,"")</f>
        <v>0.67599725839616176</v>
      </c>
      <c r="F29" s="1091">
        <f t="shared" si="4"/>
        <v>6.0247939677627871</v>
      </c>
      <c r="G29" s="991">
        <f t="shared" si="5"/>
        <v>0.100601525223278</v>
      </c>
      <c r="H29" s="173">
        <f>_xlfn.XLOOKUP($K29,Cement!$Q$7:$Q$35,Cement!$B$7:$B$35,"")</f>
        <v>-5.0680802798950131</v>
      </c>
      <c r="I29" s="173">
        <f>_xlfn.XLOOKUP(K29,Cement!$Q$7:$Q$35,Cement!$A$7:$A$35,"")</f>
        <v>-5.0680802798950131</v>
      </c>
      <c r="J29" s="202" t="s">
        <v>918</v>
      </c>
      <c r="K29" s="554" t="s">
        <v>31</v>
      </c>
      <c r="L29" s="983">
        <f>_xlfn.XLOOKUP(K29,Cement!$Q$7:$Q$35,Cement!$R$7:$R$35,"")</f>
        <v>6</v>
      </c>
      <c r="M29" s="2016">
        <f>_xlfn.XLOOKUP(K29,'Sales Rec'!$E$4:$E$32,'Sales Rec'!$L$4:$L$32,"")</f>
        <v>10</v>
      </c>
      <c r="N29" s="930">
        <f t="shared" si="6"/>
        <v>1687.4666666666665</v>
      </c>
      <c r="O29" s="208">
        <f t="shared" si="7"/>
        <v>1512</v>
      </c>
      <c r="P29" s="1465">
        <f t="shared" si="8"/>
        <v>1122</v>
      </c>
      <c r="Q29" s="1466">
        <f t="shared" si="54"/>
        <v>48.806366047745357</v>
      </c>
      <c r="R29" s="1472">
        <f t="shared" si="9"/>
        <v>631</v>
      </c>
      <c r="S29" s="1473">
        <f t="shared" si="10"/>
        <v>-43.761140819964353</v>
      </c>
      <c r="T29" s="1479">
        <f t="shared" si="11"/>
        <v>895</v>
      </c>
      <c r="U29" s="1092">
        <f t="shared" si="12"/>
        <v>41.838351822503959</v>
      </c>
      <c r="V29" s="1486">
        <f t="shared" si="13"/>
        <v>754</v>
      </c>
      <c r="W29" s="1487">
        <f t="shared" si="14"/>
        <v>-15.754189944134078</v>
      </c>
      <c r="X29" s="934">
        <f>_xlfn.XLOOKUP(K29,Cement!$Q$7:$Q$35,Cement!$AK$7:$AK$35,"")</f>
        <v>2250000</v>
      </c>
      <c r="Y29" s="1911"/>
      <c r="Z29" s="1567"/>
      <c r="AA29" s="1548"/>
      <c r="AB29" s="996">
        <v>313</v>
      </c>
      <c r="AC29" s="997">
        <v>11</v>
      </c>
      <c r="AD29" s="884">
        <f t="shared" si="15"/>
        <v>302</v>
      </c>
      <c r="AE29" s="1365"/>
      <c r="AF29" s="1567">
        <v>282.14328999999998</v>
      </c>
      <c r="AG29" s="1548">
        <v>1239259.9039356231</v>
      </c>
      <c r="AH29" s="996">
        <v>306</v>
      </c>
      <c r="AI29" s="997">
        <v>25</v>
      </c>
      <c r="AJ29" s="884">
        <f t="shared" si="16"/>
        <v>281</v>
      </c>
      <c r="AK29" s="1365"/>
      <c r="AL29" s="1567">
        <v>294.34891249999998</v>
      </c>
      <c r="AM29" s="1548">
        <v>378038.31064380711</v>
      </c>
      <c r="AN29" s="996">
        <v>276</v>
      </c>
      <c r="AO29" s="997">
        <v>27</v>
      </c>
      <c r="AP29" s="884">
        <f t="shared" si="17"/>
        <v>249</v>
      </c>
      <c r="AQ29" s="1365"/>
      <c r="AR29" s="1567">
        <v>172.79973000000001</v>
      </c>
      <c r="AS29" s="1548">
        <v>420000</v>
      </c>
      <c r="AT29" s="996">
        <v>211</v>
      </c>
      <c r="AU29" s="997">
        <v>14</v>
      </c>
      <c r="AV29" s="884">
        <f t="shared" si="18"/>
        <v>197</v>
      </c>
      <c r="AW29" s="884"/>
      <c r="AX29" s="1567">
        <v>249.08722499999999</v>
      </c>
      <c r="AY29" s="1548">
        <v>254.4</v>
      </c>
      <c r="AZ29" s="996">
        <v>252</v>
      </c>
      <c r="BA29" s="997">
        <v>29</v>
      </c>
      <c r="BB29" s="884">
        <f t="shared" si="19"/>
        <v>223</v>
      </c>
      <c r="BC29" s="884"/>
      <c r="BD29" s="1567"/>
      <c r="BE29" s="1548"/>
      <c r="BF29" s="996">
        <v>291</v>
      </c>
      <c r="BG29" s="997">
        <v>30</v>
      </c>
      <c r="BH29" s="884">
        <f t="shared" si="20"/>
        <v>261</v>
      </c>
      <c r="BI29" s="884"/>
      <c r="BJ29" s="2100">
        <f t="shared" si="21"/>
        <v>754</v>
      </c>
      <c r="BK29" s="2102"/>
      <c r="BL29" s="2102"/>
      <c r="BM29" s="884"/>
      <c r="BN29" s="1567"/>
      <c r="BO29" s="1548"/>
      <c r="BP29" s="996">
        <v>270</v>
      </c>
      <c r="BQ29" s="997">
        <v>57</v>
      </c>
      <c r="BR29" s="884">
        <f t="shared" si="22"/>
        <v>213</v>
      </c>
      <c r="BS29" s="1365"/>
      <c r="BT29" s="1567"/>
      <c r="BU29" s="1548"/>
      <c r="BV29" s="996">
        <v>434</v>
      </c>
      <c r="BW29" s="997">
        <v>72</v>
      </c>
      <c r="BX29" s="884">
        <f t="shared" si="23"/>
        <v>362</v>
      </c>
      <c r="BY29" s="1365"/>
      <c r="BZ29" s="1980">
        <f t="shared" si="24"/>
        <v>24</v>
      </c>
      <c r="CA29" s="1999">
        <f t="shared" si="25"/>
        <v>-14.062697580645162</v>
      </c>
      <c r="CB29" s="1992">
        <f t="shared" si="26"/>
        <v>372.9678925</v>
      </c>
      <c r="CC29" s="996">
        <v>418</v>
      </c>
      <c r="CD29" s="1996">
        <v>0</v>
      </c>
      <c r="CE29" s="997">
        <v>54</v>
      </c>
      <c r="CF29" s="1981">
        <v>372.9678925</v>
      </c>
      <c r="CG29" s="884">
        <f t="shared" si="27"/>
        <v>364</v>
      </c>
      <c r="CH29" s="1365"/>
      <c r="CI29" s="2102">
        <f t="shared" si="28"/>
        <v>1122</v>
      </c>
      <c r="CJ29" s="2105">
        <f t="shared" si="29"/>
        <v>0.48806366047745359</v>
      </c>
      <c r="CK29" s="2108">
        <f t="shared" si="30"/>
        <v>12</v>
      </c>
      <c r="CL29" s="1365"/>
      <c r="CM29" s="1980">
        <f t="shared" si="31"/>
        <v>27</v>
      </c>
      <c r="CN29" s="1999">
        <f t="shared" si="32"/>
        <v>-71.396632535885175</v>
      </c>
      <c r="CO29" s="1992">
        <f t="shared" si="33"/>
        <v>119.56207599999999</v>
      </c>
      <c r="CP29" s="996">
        <v>413</v>
      </c>
      <c r="CQ29" s="1996">
        <v>0.79968000000000006</v>
      </c>
      <c r="CR29" s="2232">
        <v>73</v>
      </c>
      <c r="CS29" s="1981">
        <v>118.762396</v>
      </c>
      <c r="CT29" s="884">
        <f t="shared" si="34"/>
        <v>340</v>
      </c>
      <c r="CU29" s="1365"/>
      <c r="CV29" s="1980">
        <f t="shared" si="35"/>
        <v>24</v>
      </c>
      <c r="CW29" s="1999">
        <f t="shared" si="36"/>
        <v>-71.866487893462462</v>
      </c>
      <c r="CX29" s="1992">
        <f t="shared" si="37"/>
        <v>116.191405</v>
      </c>
      <c r="CY29" s="996"/>
      <c r="CZ29" s="1996">
        <f t="shared" si="38"/>
        <v>0</v>
      </c>
      <c r="DA29" s="2232"/>
      <c r="DB29" s="1981">
        <f t="shared" si="39"/>
        <v>116.191405</v>
      </c>
      <c r="DC29" s="884">
        <f t="shared" si="40"/>
        <v>116.191405</v>
      </c>
      <c r="DD29" s="1365"/>
      <c r="DE29" s="1567"/>
      <c r="DF29" s="1548"/>
      <c r="DG29" s="1926">
        <v>218</v>
      </c>
      <c r="DH29" s="997">
        <v>4</v>
      </c>
      <c r="DI29" s="884">
        <f t="shared" si="41"/>
        <v>214</v>
      </c>
      <c r="DJ29" s="367"/>
      <c r="DK29" s="1201"/>
      <c r="DL29" s="945">
        <f>_xlfn.XLOOKUP($K29,'Sales Rec'!$E$4:$E$32,'Sales Rec'!P$4:P$32,"")</f>
        <v>2783</v>
      </c>
      <c r="DM29" s="943">
        <f>_xlfn.XLOOKUP($K29,'Sales Rec'!$E$4:$E$32,'Sales Rec'!O$4:O$32,"")</f>
        <v>381</v>
      </c>
      <c r="DN29" s="948">
        <f t="shared" si="42"/>
        <v>0.12041719342604298</v>
      </c>
      <c r="DO29" s="943">
        <f t="shared" si="43"/>
        <v>3164</v>
      </c>
      <c r="DP29" s="913">
        <f>_xlfn.XLOOKUP($K29,'Sales Rec'!$E$4:$E$32,'Sales Rec'!I$4:I$32,"")</f>
        <v>2127</v>
      </c>
      <c r="DQ29" s="914">
        <f>_xlfn.XLOOKUP($K29,'Sales Rec'!$E$4:$E$32,'Sales Rec'!H$4:H$32,"")</f>
        <v>43</v>
      </c>
      <c r="DR29" s="946">
        <f t="shared" si="44"/>
        <v>1.9815668202764977E-2</v>
      </c>
      <c r="DS29" s="942">
        <f>_xlfn.XLOOKUP(K29,Cement!$Q$3:$Q$35,Cement!$AP$3:$AP$35,"")</f>
        <v>2170</v>
      </c>
      <c r="DT29" s="1013" t="str">
        <f t="shared" si="45"/>
        <v>OK</v>
      </c>
      <c r="DU29" s="952">
        <f t="shared" si="46"/>
        <v>3402</v>
      </c>
      <c r="DV29" s="925">
        <f>_xlfn.XLOOKUP($K29,'Sales Rec'!$E$4:$E$32,'Sales Rec'!$M$4:$M$32,"")</f>
        <v>1779</v>
      </c>
      <c r="DW29" s="904">
        <f>_xlfn.XLOOKUP($K29,'Sales Rec'!$E$4:$E$32,'Sales Rec'!$N$4:$N$32,"")</f>
        <v>3164</v>
      </c>
      <c r="DX29" s="1195">
        <f>_xlfn.XLOOKUP(K29,Cement!$Q$7:$Q$35,Cement!$AR$7:$AR$35,"")</f>
        <v>3767.6520798201236</v>
      </c>
      <c r="DY29" s="964">
        <f t="shared" si="47"/>
        <v>73.62451980737896</v>
      </c>
      <c r="DZ29" s="1490">
        <f t="shared" si="48"/>
        <v>4</v>
      </c>
      <c r="EA29" s="367"/>
      <c r="EB29" s="176" t="e">
        <f>SUMIF('[1]9-1404.12.03'!$B$2:$B$2000,$J29,'[1]9-1404.12.03'!$L$2:$L$2000)</f>
        <v>#VALUE!</v>
      </c>
      <c r="EC29" s="176" t="e">
        <f>SUMIF('[1]9-1404.12.03'!$B$2:$B$2000,$J29,'[1]9-1404.12.03'!$E$2:$E$2000)/10</f>
        <v>#VALUE!</v>
      </c>
      <c r="ED29" s="177" t="str">
        <f t="shared" si="49"/>
        <v/>
      </c>
      <c r="EE29" s="176" t="e">
        <f>SUMIF('[1]8B-1404.12.02'!$D$2:$D$3000,$J29,'[1]8B-1404.12.02'!$M$2:$M$3000)</f>
        <v>#VALUE!</v>
      </c>
      <c r="EF29" s="176" t="e">
        <f>SUMIF('[1]8B-1404.12.02'!$D$2:$D$3000,$J29,'[1]8B-1404.12.02'!$G$2:$G$3000)/10</f>
        <v>#VALUE!</v>
      </c>
      <c r="EG29" s="177" t="str">
        <f t="shared" si="50"/>
        <v/>
      </c>
      <c r="EH29" s="1502"/>
      <c r="EI29" s="1534">
        <f>SUMIF(Cem_Export!$C$2:$C$3000,$J29,Cem_Export!$I$2:$I$3000)</f>
        <v>0</v>
      </c>
      <c r="EJ29" s="1534">
        <f>SUMIFS(Cem_Export!$J$2:$J$3000,Cem_Export!$C$2:$C$3000,$J29,Cem_Export!$L$2:$L$3000, $EJ$4)</f>
        <v>0</v>
      </c>
      <c r="EK29" s="1534">
        <f>SUMIFS(Cem_Export!$J$2:$J$3000,Cem_Export!$C$2:$C$3000,$J29,Cem_Export!$L$2:$L$3000, $EK$4)</f>
        <v>0</v>
      </c>
      <c r="EL29" s="1682" t="str">
        <f t="shared" si="51"/>
        <v/>
      </c>
      <c r="EM29" s="1836">
        <f t="shared" si="52"/>
        <v>0</v>
      </c>
      <c r="EN29" s="1562"/>
      <c r="EO29" s="1625">
        <f>SUMIF('Cem-Domestic'!$D$2:$D$4000,$J29,'Cem-Domestic'!$M$2:$M$4000)</f>
        <v>36900</v>
      </c>
      <c r="EP29" s="1625">
        <f>SUMIF('Cem-Domestic'!$D$2:$D$4000,$J29,'Cem-Domestic'!$G$2:$G$4000)/10^7</f>
        <v>116.191405</v>
      </c>
      <c r="EQ29" s="1681">
        <f t="shared" si="53"/>
        <v>3148.8185636856369</v>
      </c>
      <c r="ER29" s="1562"/>
      <c r="ES29" s="1533">
        <v>1000</v>
      </c>
      <c r="ET29" s="1534">
        <v>42000</v>
      </c>
      <c r="EU29" s="1535">
        <v>42</v>
      </c>
      <c r="EV29" s="1533">
        <v>0</v>
      </c>
      <c r="EW29" s="1534">
        <v>0</v>
      </c>
      <c r="EX29" s="1535" t="s">
        <v>192</v>
      </c>
      <c r="EY29" s="1533">
        <v>21500</v>
      </c>
      <c r="EZ29" s="1534">
        <v>902959.90393562312</v>
      </c>
      <c r="FA29" s="1535">
        <v>41.998135066773166</v>
      </c>
      <c r="FB29" s="1533">
        <v>0</v>
      </c>
      <c r="FC29" s="1534">
        <v>0</v>
      </c>
      <c r="FD29" s="1535" t="s">
        <v>192</v>
      </c>
      <c r="FE29" s="1533">
        <v>12000</v>
      </c>
      <c r="FF29" s="1534">
        <v>504300</v>
      </c>
      <c r="FG29" s="1535">
        <v>42.024999999999999</v>
      </c>
    </row>
    <row r="30" spans="1:234" ht="30" customHeight="1">
      <c r="A30" s="975">
        <f t="shared" si="0"/>
        <v>26</v>
      </c>
      <c r="B30" s="975">
        <f t="shared" si="1"/>
        <v>25</v>
      </c>
      <c r="C30" s="975">
        <f t="shared" si="2"/>
        <v>29</v>
      </c>
      <c r="D30" s="1015">
        <f t="shared" si="3"/>
        <v>-0.10038024458967762</v>
      </c>
      <c r="E30" s="1217">
        <f>_xlfn.XLOOKUP(K30,Cement!$Q$7:$Q$35,Cement!$Z$7:$Z$35,"")</f>
        <v>4.3073363277528247E-2</v>
      </c>
      <c r="F30" s="1091">
        <f t="shared" si="4"/>
        <v>-14.345360786720587</v>
      </c>
      <c r="G30" s="991">
        <f t="shared" si="5"/>
        <v>-0.18097302916811897</v>
      </c>
      <c r="H30" s="173">
        <f>_xlfn.XLOOKUP($K30,Cement!$Q$7:$Q$35,Cement!$B$7:$B$35,"")</f>
        <v>21.12491215339011</v>
      </c>
      <c r="I30" s="173">
        <f>_xlfn.XLOOKUP(K30,Cement!$Q$7:$Q$35,Cement!$A$7:$A$35,"")</f>
        <v>21.12491215339011</v>
      </c>
      <c r="J30" s="202" t="s">
        <v>917</v>
      </c>
      <c r="K30" s="926" t="s">
        <v>28</v>
      </c>
      <c r="L30" s="937">
        <f>_xlfn.XLOOKUP(K30,Cement!$Q$7:$Q$35,Cement!$R$7:$R$35,"")</f>
        <v>9</v>
      </c>
      <c r="M30" s="2015">
        <f>_xlfn.XLOOKUP(K30,'Sales Rec'!$E$4:$E$32,'Sales Rec'!$L$4:$L$32,"")</f>
        <v>7</v>
      </c>
      <c r="N30" s="930">
        <f t="shared" si="6"/>
        <v>1587.6190476190475</v>
      </c>
      <c r="O30" s="208">
        <f t="shared" si="7"/>
        <v>1609.4444444444443</v>
      </c>
      <c r="P30" s="1465">
        <f t="shared" si="8"/>
        <v>475</v>
      </c>
      <c r="Q30" s="1466">
        <f t="shared" si="54"/>
        <v>-55.44090056285178</v>
      </c>
      <c r="R30" s="1472">
        <f t="shared" si="9"/>
        <v>548</v>
      </c>
      <c r="S30" s="1473">
        <f t="shared" si="10"/>
        <v>15.368421052631579</v>
      </c>
      <c r="T30" s="1479">
        <f t="shared" si="11"/>
        <v>808</v>
      </c>
      <c r="U30" s="1092">
        <f t="shared" si="12"/>
        <v>47.445255474452551</v>
      </c>
      <c r="V30" s="1486">
        <f t="shared" si="13"/>
        <v>1066</v>
      </c>
      <c r="W30" s="1487">
        <f t="shared" si="14"/>
        <v>31.93069306930693</v>
      </c>
      <c r="X30" s="934">
        <f>_xlfn.XLOOKUP(K30,Cement!$Q$7:$Q$35,Cement!$AK$7:$AK$35,"")</f>
        <v>1800000</v>
      </c>
      <c r="Y30" s="1911"/>
      <c r="Z30" s="1567"/>
      <c r="AA30" s="1548"/>
      <c r="AB30" s="996">
        <v>294</v>
      </c>
      <c r="AC30" s="997">
        <v>229</v>
      </c>
      <c r="AD30" s="884">
        <f t="shared" si="15"/>
        <v>65</v>
      </c>
      <c r="AE30" s="1365"/>
      <c r="AF30" s="1567">
        <v>50.5119775</v>
      </c>
      <c r="AG30" s="1548">
        <v>0</v>
      </c>
      <c r="AH30" s="996">
        <v>284</v>
      </c>
      <c r="AI30" s="997">
        <v>222</v>
      </c>
      <c r="AJ30" s="884">
        <f t="shared" si="16"/>
        <v>62</v>
      </c>
      <c r="AK30" s="1365"/>
      <c r="AL30" s="1567">
        <v>84.521259999999998</v>
      </c>
      <c r="AM30" s="1548">
        <v>0</v>
      </c>
      <c r="AN30" s="996">
        <v>230</v>
      </c>
      <c r="AO30" s="997">
        <v>166</v>
      </c>
      <c r="AP30" s="884">
        <f t="shared" si="17"/>
        <v>64</v>
      </c>
      <c r="AQ30" s="1365"/>
      <c r="AR30" s="1567">
        <v>81.097404999999995</v>
      </c>
      <c r="AS30" s="1548">
        <v>0</v>
      </c>
      <c r="AT30" s="996">
        <v>301</v>
      </c>
      <c r="AU30" s="997">
        <v>223</v>
      </c>
      <c r="AV30" s="884">
        <f t="shared" si="18"/>
        <v>78</v>
      </c>
      <c r="AW30" s="884"/>
      <c r="AX30" s="1567">
        <v>116.6317225</v>
      </c>
      <c r="AY30" s="1548">
        <v>0</v>
      </c>
      <c r="AZ30" s="996">
        <v>692</v>
      </c>
      <c r="BA30" s="997">
        <v>578</v>
      </c>
      <c r="BB30" s="884">
        <f t="shared" si="19"/>
        <v>114</v>
      </c>
      <c r="BC30" s="884"/>
      <c r="BD30" s="1567"/>
      <c r="BE30" s="1548"/>
      <c r="BF30" s="996">
        <v>73</v>
      </c>
      <c r="BG30" s="997">
        <v>1</v>
      </c>
      <c r="BH30" s="884">
        <f t="shared" si="20"/>
        <v>72</v>
      </c>
      <c r="BI30" s="884"/>
      <c r="BJ30" s="2100">
        <f t="shared" si="21"/>
        <v>1066</v>
      </c>
      <c r="BK30" s="2102"/>
      <c r="BL30" s="2102"/>
      <c r="BM30" s="884"/>
      <c r="BN30" s="1567"/>
      <c r="BO30" s="1548"/>
      <c r="BP30" s="996">
        <v>61</v>
      </c>
      <c r="BQ30" s="997">
        <v>0</v>
      </c>
      <c r="BR30" s="884">
        <f t="shared" si="22"/>
        <v>61</v>
      </c>
      <c r="BS30" s="1365"/>
      <c r="BT30" s="1567"/>
      <c r="BU30" s="1548"/>
      <c r="BV30" s="996">
        <v>290</v>
      </c>
      <c r="BW30" s="997">
        <v>180</v>
      </c>
      <c r="BX30" s="884">
        <f t="shared" si="23"/>
        <v>110</v>
      </c>
      <c r="BY30" s="1365"/>
      <c r="BZ30" s="1980">
        <f t="shared" si="24"/>
        <v>28</v>
      </c>
      <c r="CA30" s="1999">
        <f t="shared" si="25"/>
        <v>-51.262922413793099</v>
      </c>
      <c r="CB30" s="1992">
        <f t="shared" si="26"/>
        <v>141.337525</v>
      </c>
      <c r="CC30" s="996">
        <v>124</v>
      </c>
      <c r="CD30" s="1996">
        <v>0</v>
      </c>
      <c r="CE30" s="997">
        <v>0</v>
      </c>
      <c r="CF30" s="1981">
        <v>141.337525</v>
      </c>
      <c r="CG30" s="884">
        <f t="shared" si="27"/>
        <v>124</v>
      </c>
      <c r="CH30" s="1365"/>
      <c r="CI30" s="2102">
        <f t="shared" si="28"/>
        <v>475</v>
      </c>
      <c r="CJ30" s="2105">
        <f t="shared" si="29"/>
        <v>-0.5544090056285178</v>
      </c>
      <c r="CK30" s="2108">
        <f t="shared" si="30"/>
        <v>29</v>
      </c>
      <c r="CL30" s="1365"/>
      <c r="CM30" s="1980">
        <f t="shared" si="31"/>
        <v>1</v>
      </c>
      <c r="CN30" s="1999">
        <f t="shared" si="32"/>
        <v>209.92519959677423</v>
      </c>
      <c r="CO30" s="1992">
        <f t="shared" si="33"/>
        <v>384.30724750000002</v>
      </c>
      <c r="CP30" s="1926">
        <v>295</v>
      </c>
      <c r="CQ30" s="1996">
        <v>0.54600000000000004</v>
      </c>
      <c r="CR30" s="2231">
        <v>248</v>
      </c>
      <c r="CS30" s="1981">
        <v>383.76124750000002</v>
      </c>
      <c r="CT30" s="884">
        <f t="shared" si="34"/>
        <v>47</v>
      </c>
      <c r="CU30" s="1365"/>
      <c r="CV30" s="1980">
        <f t="shared" si="35"/>
        <v>29</v>
      </c>
      <c r="CW30" s="1999">
        <f t="shared" si="36"/>
        <v>-77.807535593220337</v>
      </c>
      <c r="CX30" s="1992">
        <f t="shared" si="37"/>
        <v>65.467770000000002</v>
      </c>
      <c r="CY30" s="1926"/>
      <c r="CZ30" s="1996">
        <f t="shared" si="38"/>
        <v>0</v>
      </c>
      <c r="DA30" s="2231"/>
      <c r="DB30" s="1981">
        <f t="shared" si="39"/>
        <v>65.467770000000002</v>
      </c>
      <c r="DC30" s="884">
        <f t="shared" si="40"/>
        <v>65.467770000000002</v>
      </c>
      <c r="DD30" s="1365"/>
      <c r="DE30" s="1567"/>
      <c r="DF30" s="1548"/>
      <c r="DG30" s="1926">
        <v>253</v>
      </c>
      <c r="DH30" s="997">
        <v>198</v>
      </c>
      <c r="DI30" s="884">
        <f t="shared" si="41"/>
        <v>55</v>
      </c>
      <c r="DJ30" s="367"/>
      <c r="DK30" s="1201"/>
      <c r="DL30" s="945">
        <f>_xlfn.XLOOKUP($K30,'Sales Rec'!$E$4:$E$32,'Sales Rec'!P$4:P$32,"")</f>
        <v>685</v>
      </c>
      <c r="DM30" s="943">
        <f>_xlfn.XLOOKUP($K30,'Sales Rec'!$E$4:$E$32,'Sales Rec'!O$4:O$32,"")</f>
        <v>982</v>
      </c>
      <c r="DN30" s="948">
        <f t="shared" si="42"/>
        <v>0.58908218356328734</v>
      </c>
      <c r="DO30" s="943">
        <f t="shared" si="43"/>
        <v>1667</v>
      </c>
      <c r="DP30" s="913">
        <f>_xlfn.XLOOKUP($K30,'Sales Rec'!$E$4:$E$32,'Sales Rec'!I$4:I$32,"")</f>
        <v>708</v>
      </c>
      <c r="DQ30" s="914">
        <f>_xlfn.XLOOKUP($K30,'Sales Rec'!$E$4:$E$32,'Sales Rec'!H$4:H$32,"")</f>
        <v>2371</v>
      </c>
      <c r="DR30" s="946">
        <f t="shared" si="44"/>
        <v>0.77005521273140631</v>
      </c>
      <c r="DS30" s="942">
        <f>_xlfn.XLOOKUP(K30,Cement!$Q$3:$Q$35,Cement!$AP$3:$AP$35,"")</f>
        <v>3079</v>
      </c>
      <c r="DT30" s="1013" t="str">
        <f t="shared" si="45"/>
        <v>OK</v>
      </c>
      <c r="DU30" s="952">
        <f t="shared" si="46"/>
        <v>2897</v>
      </c>
      <c r="DV30" s="925">
        <f>_xlfn.XLOOKUP($K30,'Sales Rec'!$E$4:$E$32,'Sales Rec'!$M$4:$M$32,"")</f>
        <v>1907</v>
      </c>
      <c r="DW30" s="904">
        <f>_xlfn.XLOOKUP($K30,'Sales Rec'!$E$4:$E$32,'Sales Rec'!$N$4:$N$32,"")</f>
        <v>1667</v>
      </c>
      <c r="DX30" s="1195">
        <f>_xlfn.XLOOKUP(K30,Cement!$Q$7:$Q$35,Cement!$AR$7:$AR$35,"")</f>
        <v>2769.9292269083826</v>
      </c>
      <c r="DY30" s="964">
        <f t="shared" si="47"/>
        <v>-10.038024458967762</v>
      </c>
      <c r="DZ30" s="1490">
        <f t="shared" si="48"/>
        <v>29</v>
      </c>
      <c r="EA30" s="367"/>
      <c r="EB30" s="176" t="e">
        <f>SUMIF('[1]9-1404.12.03'!$B$2:$B$2000,$J30,'[1]9-1404.12.03'!$L$2:$L$2000)</f>
        <v>#VALUE!</v>
      </c>
      <c r="EC30" s="176" t="e">
        <f>SUMIF('[1]9-1404.12.03'!$B$2:$B$2000,$J30,'[1]9-1404.12.03'!$E$2:$E$2000)/10</f>
        <v>#VALUE!</v>
      </c>
      <c r="ED30" s="177" t="str">
        <f t="shared" si="49"/>
        <v/>
      </c>
      <c r="EE30" s="176" t="e">
        <f>SUMIF('[1]8B-1404.12.02'!$D$2:$D$3000,$J30,'[1]8B-1404.12.02'!$M$2:$M$3000)</f>
        <v>#VALUE!</v>
      </c>
      <c r="EF30" s="176" t="e">
        <f>SUMIF('[1]8B-1404.12.02'!$D$2:$D$3000,$J30,'[1]8B-1404.12.02'!$G$2:$G$3000)/10</f>
        <v>#VALUE!</v>
      </c>
      <c r="EG30" s="177" t="str">
        <f t="shared" si="50"/>
        <v/>
      </c>
      <c r="EH30" s="1502"/>
      <c r="EI30" s="1534">
        <f>SUMIF(Cem_Export!$C$2:$C$3000,$J30,Cem_Export!$I$2:$I$3000)</f>
        <v>0</v>
      </c>
      <c r="EJ30" s="1534">
        <f>SUMIFS(Cem_Export!$J$2:$J$3000,Cem_Export!$C$2:$C$3000,$J30,Cem_Export!$L$2:$L$3000, $EJ$4)</f>
        <v>0</v>
      </c>
      <c r="EK30" s="1534">
        <f>SUMIFS(Cem_Export!$J$2:$J$3000,Cem_Export!$C$2:$C$3000,$J30,Cem_Export!$L$2:$L$3000, $EK$4)</f>
        <v>0</v>
      </c>
      <c r="EL30" s="1682" t="str">
        <f t="shared" si="51"/>
        <v/>
      </c>
      <c r="EM30" s="1836">
        <f t="shared" si="52"/>
        <v>0</v>
      </c>
      <c r="EN30" s="1562"/>
      <c r="EO30" s="1625">
        <f>SUMIF('Cem-Domestic'!$D$2:$D$4000,$J30,'Cem-Domestic'!$M$2:$M$4000)</f>
        <v>21200</v>
      </c>
      <c r="EP30" s="1625">
        <f>SUMIF('Cem-Domestic'!$D$2:$D$4000,$J30,'Cem-Domestic'!$G$2:$G$4000)/10^7</f>
        <v>65.467770000000002</v>
      </c>
      <c r="EQ30" s="1681">
        <f t="shared" si="53"/>
        <v>3088.1023584905661</v>
      </c>
      <c r="ER30" s="1562"/>
      <c r="ES30" s="1533">
        <v>0</v>
      </c>
      <c r="ET30" s="1534">
        <v>0</v>
      </c>
      <c r="EU30" s="1535" t="s">
        <v>192</v>
      </c>
      <c r="EV30" s="1533">
        <v>0</v>
      </c>
      <c r="EW30" s="1534">
        <v>0</v>
      </c>
      <c r="EX30" s="1535" t="s">
        <v>192</v>
      </c>
      <c r="EY30" s="1533">
        <v>0</v>
      </c>
      <c r="EZ30" s="1534">
        <v>0</v>
      </c>
      <c r="FA30" s="1535" t="s">
        <v>192</v>
      </c>
      <c r="FB30" s="1533">
        <v>0</v>
      </c>
      <c r="FC30" s="1534">
        <v>0</v>
      </c>
      <c r="FD30" s="1535" t="s">
        <v>192</v>
      </c>
      <c r="FE30" s="1533">
        <v>0</v>
      </c>
      <c r="FF30" s="1534">
        <v>0</v>
      </c>
      <c r="FG30" s="1535" t="s">
        <v>192</v>
      </c>
      <c r="HZ30" s="102"/>
    </row>
    <row r="31" spans="1:234" ht="30" customHeight="1">
      <c r="A31" s="975">
        <f t="shared" si="0"/>
        <v>27</v>
      </c>
      <c r="B31" s="975">
        <f t="shared" si="1"/>
        <v>22</v>
      </c>
      <c r="C31" s="975">
        <f t="shared" si="2"/>
        <v>28</v>
      </c>
      <c r="D31" s="1015">
        <f t="shared" si="3"/>
        <v>-8.9898164526651683E-2</v>
      </c>
      <c r="E31" s="1217">
        <f>_xlfn.XLOOKUP(K31,Cement!$Q$7:$Q$35,Cement!$Z$7:$Z$35,"")</f>
        <v>-4.8129032258064586E-2</v>
      </c>
      <c r="F31" s="1091">
        <f t="shared" si="4"/>
        <v>-4.1769132268587095</v>
      </c>
      <c r="G31" s="991">
        <f t="shared" si="5"/>
        <v>-0.28043840464663261</v>
      </c>
      <c r="H31" s="173">
        <f>_xlfn.XLOOKUP($K31,Cement!$Q$7:$Q$35,Cement!$B$7:$B$35,"")</f>
        <v>-29.487824380399573</v>
      </c>
      <c r="I31" s="173">
        <f>_xlfn.XLOOKUP(K31,Cement!$Q$7:$Q$35,Cement!$A$7:$A$35,"")</f>
        <v>-29.487824380399573</v>
      </c>
      <c r="J31" s="202" t="s">
        <v>919</v>
      </c>
      <c r="K31" s="926" t="s">
        <v>41</v>
      </c>
      <c r="L31" s="937">
        <f>_xlfn.XLOOKUP(K31,Cement!$Q$7:$Q$35,Cement!$R$7:$R$35,"")</f>
        <v>12</v>
      </c>
      <c r="M31" s="2013">
        <f>_xlfn.XLOOKUP(K31,'Sales Rec'!$E$4:$E$32,'Sales Rec'!$L$4:$L$32,"")</f>
        <v>4</v>
      </c>
      <c r="N31" s="930">
        <f t="shared" si="6"/>
        <v>1587.5</v>
      </c>
      <c r="O31" s="208">
        <f t="shared" si="7"/>
        <v>1669.5833333333333</v>
      </c>
      <c r="P31" s="1465">
        <f t="shared" si="8"/>
        <v>925</v>
      </c>
      <c r="Q31" s="1466">
        <f t="shared" si="54"/>
        <v>-9.3137254901960791</v>
      </c>
      <c r="R31" s="1472">
        <f t="shared" si="9"/>
        <v>669</v>
      </c>
      <c r="S31" s="1473">
        <f t="shared" si="10"/>
        <v>-27.675675675675677</v>
      </c>
      <c r="T31" s="1479">
        <f t="shared" si="11"/>
        <v>1393</v>
      </c>
      <c r="U31" s="1092">
        <f t="shared" si="12"/>
        <v>108.22122571001496</v>
      </c>
      <c r="V31" s="1486">
        <f t="shared" si="13"/>
        <v>1020</v>
      </c>
      <c r="W31" s="1487">
        <f t="shared" si="14"/>
        <v>-26.776740847092604</v>
      </c>
      <c r="X31" s="934">
        <f>_xlfn.XLOOKUP(K31,Cement!$Q$7:$Q$35,Cement!$AK$7:$AK$35,"")</f>
        <v>2400000</v>
      </c>
      <c r="Y31" s="1911"/>
      <c r="Z31" s="1567"/>
      <c r="AA31" s="1548"/>
      <c r="AB31" s="996">
        <v>444</v>
      </c>
      <c r="AC31" s="997">
        <v>157</v>
      </c>
      <c r="AD31" s="884">
        <f t="shared" si="15"/>
        <v>287</v>
      </c>
      <c r="AE31" s="1365"/>
      <c r="AF31" s="1567">
        <v>267.519679</v>
      </c>
      <c r="AG31" s="1548">
        <v>0</v>
      </c>
      <c r="AH31" s="996">
        <v>485</v>
      </c>
      <c r="AI31" s="997">
        <v>231</v>
      </c>
      <c r="AJ31" s="884">
        <f t="shared" si="16"/>
        <v>254</v>
      </c>
      <c r="AK31" s="1365"/>
      <c r="AL31" s="1567">
        <v>247.47792200000001</v>
      </c>
      <c r="AM31" s="1548">
        <v>0</v>
      </c>
      <c r="AN31" s="996">
        <v>464</v>
      </c>
      <c r="AO31" s="997">
        <v>224</v>
      </c>
      <c r="AP31" s="884">
        <f t="shared" si="17"/>
        <v>240</v>
      </c>
      <c r="AQ31" s="1365"/>
      <c r="AR31" s="1567">
        <v>246.86830850000001</v>
      </c>
      <c r="AS31" s="1548">
        <v>0</v>
      </c>
      <c r="AT31" s="996">
        <v>457</v>
      </c>
      <c r="AU31" s="997">
        <v>173</v>
      </c>
      <c r="AV31" s="884">
        <f t="shared" si="18"/>
        <v>284</v>
      </c>
      <c r="AW31" s="884"/>
      <c r="AX31" s="1567">
        <v>296.91012699999999</v>
      </c>
      <c r="AY31" s="1548">
        <v>0</v>
      </c>
      <c r="AZ31" s="996">
        <v>307</v>
      </c>
      <c r="BA31" s="997">
        <v>5</v>
      </c>
      <c r="BB31" s="884">
        <f t="shared" si="19"/>
        <v>302</v>
      </c>
      <c r="BC31" s="884"/>
      <c r="BD31" s="1567"/>
      <c r="BE31" s="1548"/>
      <c r="BF31" s="996">
        <v>256</v>
      </c>
      <c r="BG31" s="997">
        <v>0</v>
      </c>
      <c r="BH31" s="884">
        <f t="shared" si="20"/>
        <v>256</v>
      </c>
      <c r="BI31" s="884"/>
      <c r="BJ31" s="2100">
        <f t="shared" si="21"/>
        <v>1020</v>
      </c>
      <c r="BK31" s="2102"/>
      <c r="BL31" s="2102"/>
      <c r="BM31" s="884"/>
      <c r="BN31" s="1567"/>
      <c r="BO31" s="1548"/>
      <c r="BP31" s="996">
        <v>165</v>
      </c>
      <c r="BQ31" s="997">
        <v>0</v>
      </c>
      <c r="BR31" s="884">
        <f t="shared" si="22"/>
        <v>165</v>
      </c>
      <c r="BS31" s="1365"/>
      <c r="BT31" s="1567"/>
      <c r="BU31" s="1548"/>
      <c r="BV31" s="996">
        <v>383</v>
      </c>
      <c r="BW31" s="997">
        <v>0</v>
      </c>
      <c r="BX31" s="884">
        <f t="shared" si="23"/>
        <v>383</v>
      </c>
      <c r="BY31" s="1365"/>
      <c r="BZ31" s="1980">
        <f t="shared" si="24"/>
        <v>18</v>
      </c>
      <c r="CA31" s="1999">
        <f t="shared" si="25"/>
        <v>-1.15066762402089</v>
      </c>
      <c r="CB31" s="1992">
        <f t="shared" si="26"/>
        <v>378.59294299999999</v>
      </c>
      <c r="CC31" s="996">
        <v>377</v>
      </c>
      <c r="CD31" s="1996">
        <v>0</v>
      </c>
      <c r="CE31" s="997">
        <v>0</v>
      </c>
      <c r="CF31" s="1981">
        <v>378.59294299999999</v>
      </c>
      <c r="CG31" s="884">
        <f t="shared" si="27"/>
        <v>377</v>
      </c>
      <c r="CH31" s="1365"/>
      <c r="CI31" s="2102">
        <f t="shared" si="28"/>
        <v>925</v>
      </c>
      <c r="CJ31" s="2105">
        <f t="shared" si="29"/>
        <v>-9.3137254901960786E-2</v>
      </c>
      <c r="CK31" s="2108">
        <f t="shared" si="30"/>
        <v>27</v>
      </c>
      <c r="CL31" s="1365"/>
      <c r="CM31" s="1980">
        <f t="shared" si="31"/>
        <v>24</v>
      </c>
      <c r="CN31" s="1999">
        <f t="shared" si="32"/>
        <v>-69.265807824933688</v>
      </c>
      <c r="CO31" s="1992">
        <f t="shared" si="33"/>
        <v>115.86790449999999</v>
      </c>
      <c r="CP31" s="996">
        <v>344</v>
      </c>
      <c r="CQ31" s="1996">
        <v>0</v>
      </c>
      <c r="CR31" s="2232">
        <v>76</v>
      </c>
      <c r="CS31" s="1981">
        <v>115.86790449999999</v>
      </c>
      <c r="CT31" s="884">
        <f t="shared" si="34"/>
        <v>268</v>
      </c>
      <c r="CU31" s="1365"/>
      <c r="CV31" s="1980">
        <f t="shared" si="35"/>
        <v>27</v>
      </c>
      <c r="CW31" s="1999">
        <f t="shared" si="36"/>
        <v>-76.277231831395341</v>
      </c>
      <c r="CX31" s="1992">
        <f t="shared" si="37"/>
        <v>81.606322500000005</v>
      </c>
      <c r="CY31" s="996"/>
      <c r="CZ31" s="1996">
        <f t="shared" si="38"/>
        <v>0</v>
      </c>
      <c r="DA31" s="2232"/>
      <c r="DB31" s="1981">
        <f t="shared" si="39"/>
        <v>81.606322500000005</v>
      </c>
      <c r="DC31" s="884">
        <f t="shared" si="40"/>
        <v>81.606322500000005</v>
      </c>
      <c r="DD31" s="1365"/>
      <c r="DE31" s="1567"/>
      <c r="DF31" s="1548"/>
      <c r="DG31" s="1926">
        <v>325</v>
      </c>
      <c r="DH31" s="997">
        <v>112</v>
      </c>
      <c r="DI31" s="884">
        <f t="shared" si="41"/>
        <v>213</v>
      </c>
      <c r="DJ31" s="367"/>
      <c r="DK31" s="1201"/>
      <c r="DL31" s="945">
        <f>_xlfn.XLOOKUP($K31,'Sales Rec'!$E$4:$E$32,'Sales Rec'!P$4:P$32,"")</f>
        <v>1194</v>
      </c>
      <c r="DM31" s="943">
        <f>_xlfn.XLOOKUP($K31,'Sales Rec'!$E$4:$E$32,'Sales Rec'!O$4:O$32,"")</f>
        <v>76</v>
      </c>
      <c r="DN31" s="948">
        <f t="shared" si="42"/>
        <v>5.9842519685039369E-2</v>
      </c>
      <c r="DO31" s="943">
        <f t="shared" si="43"/>
        <v>1270</v>
      </c>
      <c r="DP31" s="913">
        <f>_xlfn.XLOOKUP($K31,'Sales Rec'!$E$4:$E$32,'Sales Rec'!I$4:I$32,"")</f>
        <v>2912</v>
      </c>
      <c r="DQ31" s="914">
        <f>_xlfn.XLOOKUP($K31,'Sales Rec'!$E$4:$E$32,'Sales Rec'!H$4:H$32,"")</f>
        <v>1502</v>
      </c>
      <c r="DR31" s="946">
        <f t="shared" si="44"/>
        <v>0.34028092433167195</v>
      </c>
      <c r="DS31" s="942">
        <f>_xlfn.XLOOKUP(K31,Cement!$Q$3:$Q$35,Cement!$AP$3:$AP$35,"")</f>
        <v>4414</v>
      </c>
      <c r="DT31" s="1013" t="str">
        <f t="shared" si="45"/>
        <v>OK</v>
      </c>
      <c r="DU31" s="952">
        <f t="shared" si="46"/>
        <v>4007</v>
      </c>
      <c r="DV31" s="925">
        <f>_xlfn.XLOOKUP($K31,'Sales Rec'!$E$4:$E$32,'Sales Rec'!$M$4:$M$32,"")</f>
        <v>1405</v>
      </c>
      <c r="DW31" s="904">
        <f>_xlfn.XLOOKUP($K31,'Sales Rec'!$E$4:$E$32,'Sales Rec'!$N$4:$N$32,"")</f>
        <v>1270</v>
      </c>
      <c r="DX31" s="1195">
        <f>_xlfn.XLOOKUP(K31,Cement!$Q$7:$Q$35,Cement!$AR$7:$AR$35,"")</f>
        <v>4017.1895017793595</v>
      </c>
      <c r="DY31" s="964">
        <f t="shared" si="47"/>
        <v>-8.9898164526651687</v>
      </c>
      <c r="DZ31" s="1490">
        <f t="shared" si="48"/>
        <v>28</v>
      </c>
      <c r="EA31" s="367"/>
      <c r="EB31" s="176" t="e">
        <f>SUMIF('[1]9-1404.12.03'!$B$2:$B$2000,$J31,'[1]9-1404.12.03'!$L$2:$L$2000)</f>
        <v>#VALUE!</v>
      </c>
      <c r="EC31" s="176" t="e">
        <f>SUMIF('[1]9-1404.12.03'!$B$2:$B$2000,$J31,'[1]9-1404.12.03'!$E$2:$E$2000)/10</f>
        <v>#VALUE!</v>
      </c>
      <c r="ED31" s="177" t="str">
        <f t="shared" si="49"/>
        <v/>
      </c>
      <c r="EE31" s="176" t="e">
        <f>SUMIF('[1]8B-1404.12.02'!$D$2:$D$3000,$J31,'[1]8B-1404.12.02'!$M$2:$M$3000)</f>
        <v>#VALUE!</v>
      </c>
      <c r="EF31" s="176" t="e">
        <f>SUMIF('[1]8B-1404.12.02'!$D$2:$D$3000,$J31,'[1]8B-1404.12.02'!$G$2:$G$3000)/10</f>
        <v>#VALUE!</v>
      </c>
      <c r="EG31" s="177" t="str">
        <f t="shared" si="50"/>
        <v/>
      </c>
      <c r="EH31" s="1502"/>
      <c r="EI31" s="1534">
        <f>SUMIF(Cem_Export!$C$2:$C$3000,$J31,Cem_Export!$I$2:$I$3000)</f>
        <v>0</v>
      </c>
      <c r="EJ31" s="1534">
        <f>SUMIFS(Cem_Export!$J$2:$J$3000,Cem_Export!$C$2:$C$3000,$J31,Cem_Export!$L$2:$L$3000, $EJ$4)</f>
        <v>0</v>
      </c>
      <c r="EK31" s="1534">
        <f>SUMIFS(Cem_Export!$J$2:$J$3000,Cem_Export!$C$2:$C$3000,$J31,Cem_Export!$L$2:$L$3000, $EK$4)</f>
        <v>0</v>
      </c>
      <c r="EL31" s="1682" t="str">
        <f t="shared" si="51"/>
        <v/>
      </c>
      <c r="EM31" s="1836">
        <f t="shared" si="52"/>
        <v>0</v>
      </c>
      <c r="EN31" s="1562"/>
      <c r="EO31" s="1625">
        <f>SUMIF('Cem-Domestic'!$D$2:$D$4000,$J31,'Cem-Domestic'!$M$2:$M$4000)</f>
        <v>25435</v>
      </c>
      <c r="EP31" s="1625">
        <f>SUMIF('Cem-Domestic'!$D$2:$D$4000,$J31,'Cem-Domestic'!$G$2:$G$4000)/10^7</f>
        <v>81.606322500000005</v>
      </c>
      <c r="EQ31" s="1681">
        <f t="shared" si="53"/>
        <v>3208.4262826813447</v>
      </c>
      <c r="ER31" s="1562"/>
      <c r="ES31" s="2304">
        <v>0</v>
      </c>
      <c r="ET31" s="1534">
        <v>0</v>
      </c>
      <c r="EU31" s="1682" t="s">
        <v>192</v>
      </c>
      <c r="EV31" s="1534">
        <v>0</v>
      </c>
      <c r="EW31" s="2304">
        <v>0</v>
      </c>
      <c r="EX31" s="2308" t="s">
        <v>192</v>
      </c>
      <c r="EY31" s="1534">
        <v>0</v>
      </c>
      <c r="EZ31" s="1534">
        <v>0</v>
      </c>
      <c r="FA31" s="1682" t="s">
        <v>192</v>
      </c>
      <c r="FB31" s="2304">
        <v>0</v>
      </c>
      <c r="FC31" s="2304">
        <v>0</v>
      </c>
      <c r="FD31" s="1682" t="s">
        <v>192</v>
      </c>
      <c r="FE31" s="1534">
        <v>0</v>
      </c>
      <c r="FF31" s="1534">
        <v>0</v>
      </c>
      <c r="FG31" s="2308" t="s">
        <v>192</v>
      </c>
    </row>
    <row r="32" spans="1:234" ht="30" customHeight="1">
      <c r="A32" s="975">
        <f t="shared" si="0"/>
        <v>28</v>
      </c>
      <c r="B32" s="975">
        <f t="shared" si="1"/>
        <v>27</v>
      </c>
      <c r="C32" s="975">
        <f t="shared" si="2"/>
        <v>22</v>
      </c>
      <c r="D32" s="1015">
        <f t="shared" si="3"/>
        <v>0.33243901168996848</v>
      </c>
      <c r="E32" s="1217">
        <f>_xlfn.XLOOKUP(K32,Cement!$Q$7:$Q$35,Cement!$Z$7:$Z$35,"")</f>
        <v>0.79863316305398313</v>
      </c>
      <c r="F32" s="1091">
        <f t="shared" si="4"/>
        <v>-46.619415136401464</v>
      </c>
      <c r="G32" s="991">
        <f t="shared" si="5"/>
        <v>3.5944033157115557E-2</v>
      </c>
      <c r="H32" s="173">
        <f>_xlfn.XLOOKUP($K32,Cement!$Q$7:$Q$35,Cement!$B$7:$B$35,"")</f>
        <v>-18.805999036870038</v>
      </c>
      <c r="I32" s="173">
        <f>_xlfn.XLOOKUP(K32,Cement!$Q$7:$Q$35,Cement!$A$7:$A$35,"")</f>
        <v>-20.805999036870038</v>
      </c>
      <c r="J32" s="202" t="s">
        <v>920</v>
      </c>
      <c r="K32" s="926" t="s">
        <v>37</v>
      </c>
      <c r="L32" s="983">
        <f>_xlfn.XLOOKUP(K32,Cement!$Q$7:$Q$35,Cement!$R$7:$R$35,"")</f>
        <v>6</v>
      </c>
      <c r="M32" s="2016">
        <f>_xlfn.XLOOKUP(K32,'Sales Rec'!$E$4:$E$32,'Sales Rec'!$L$4:$L$32,"")</f>
        <v>10</v>
      </c>
      <c r="N32" s="930">
        <f t="shared" si="6"/>
        <v>1554.3999999999999</v>
      </c>
      <c r="O32" s="208">
        <f t="shared" si="7"/>
        <v>1453.6666666666667</v>
      </c>
      <c r="P32" s="1465">
        <f t="shared" si="8"/>
        <v>1402</v>
      </c>
      <c r="Q32" s="1466">
        <f t="shared" si="54"/>
        <v>33.017077798861486</v>
      </c>
      <c r="R32" s="1472">
        <f t="shared" si="9"/>
        <v>1026</v>
      </c>
      <c r="S32" s="1473">
        <f t="shared" si="10"/>
        <v>-26.8188302425107</v>
      </c>
      <c r="T32" s="1479">
        <f t="shared" si="11"/>
        <v>879</v>
      </c>
      <c r="U32" s="1092">
        <f t="shared" si="12"/>
        <v>-14.327485380116958</v>
      </c>
      <c r="V32" s="1486">
        <f t="shared" si="13"/>
        <v>1054</v>
      </c>
      <c r="W32" s="1487">
        <f t="shared" si="14"/>
        <v>19.908987485779296</v>
      </c>
      <c r="X32" s="934">
        <f>_xlfn.XLOOKUP(K32,Cement!$Q$7:$Q$35,Cement!$AK$7:$AK$35,"")</f>
        <v>3000000</v>
      </c>
      <c r="Y32" s="1911"/>
      <c r="Z32" s="1567"/>
      <c r="AA32" s="1548"/>
      <c r="AB32" s="996">
        <v>388</v>
      </c>
      <c r="AC32" s="997">
        <v>143</v>
      </c>
      <c r="AD32" s="884">
        <f t="shared" si="15"/>
        <v>245</v>
      </c>
      <c r="AE32" s="1365"/>
      <c r="AF32" s="1567">
        <v>281.00197250000002</v>
      </c>
      <c r="AG32" s="1548">
        <v>272992</v>
      </c>
      <c r="AH32" s="996">
        <v>275</v>
      </c>
      <c r="AI32" s="997">
        <v>45</v>
      </c>
      <c r="AJ32" s="884">
        <f t="shared" si="16"/>
        <v>230</v>
      </c>
      <c r="AK32" s="1365"/>
      <c r="AL32" s="1567">
        <v>336.21572750000001</v>
      </c>
      <c r="AM32" s="1548">
        <v>259296</v>
      </c>
      <c r="AN32" s="996">
        <v>216</v>
      </c>
      <c r="AO32" s="997">
        <v>28</v>
      </c>
      <c r="AP32" s="884">
        <f t="shared" si="17"/>
        <v>188</v>
      </c>
      <c r="AQ32" s="1365"/>
      <c r="AR32" s="1567">
        <v>220.94872000000001</v>
      </c>
      <c r="AS32" s="1548">
        <v>1433384</v>
      </c>
      <c r="AT32" s="996">
        <v>290</v>
      </c>
      <c r="AU32" s="997">
        <v>99</v>
      </c>
      <c r="AV32" s="884">
        <f t="shared" si="18"/>
        <v>191</v>
      </c>
      <c r="AW32" s="884"/>
      <c r="AX32" s="1567">
        <v>393.61454750000001</v>
      </c>
      <c r="AY32" s="1548">
        <v>124.80000000000001</v>
      </c>
      <c r="AZ32" s="996">
        <v>420</v>
      </c>
      <c r="BA32" s="997">
        <v>149</v>
      </c>
      <c r="BB32" s="884">
        <f t="shared" si="19"/>
        <v>271</v>
      </c>
      <c r="BC32" s="884"/>
      <c r="BD32" s="1567"/>
      <c r="BE32" s="1548"/>
      <c r="BF32" s="996">
        <v>344</v>
      </c>
      <c r="BG32" s="997">
        <v>43</v>
      </c>
      <c r="BH32" s="884">
        <f t="shared" si="20"/>
        <v>301</v>
      </c>
      <c r="BI32" s="884"/>
      <c r="BJ32" s="2100">
        <f t="shared" si="21"/>
        <v>1054</v>
      </c>
      <c r="BK32" s="2102"/>
      <c r="BL32" s="2102"/>
      <c r="BM32" s="884"/>
      <c r="BN32" s="1567"/>
      <c r="BO32" s="1548"/>
      <c r="BP32" s="996">
        <v>313</v>
      </c>
      <c r="BQ32" s="997">
        <v>65</v>
      </c>
      <c r="BR32" s="884">
        <f t="shared" si="22"/>
        <v>248</v>
      </c>
      <c r="BS32" s="1365"/>
      <c r="BT32" s="1567"/>
      <c r="BU32" s="1548"/>
      <c r="BV32" s="996">
        <v>566</v>
      </c>
      <c r="BW32" s="997">
        <v>134</v>
      </c>
      <c r="BX32" s="884">
        <f t="shared" si="23"/>
        <v>432</v>
      </c>
      <c r="BY32" s="1365"/>
      <c r="BZ32" s="1980">
        <f t="shared" si="24"/>
        <v>23</v>
      </c>
      <c r="CA32" s="1999">
        <f t="shared" si="25"/>
        <v>-13.539910335689049</v>
      </c>
      <c r="CB32" s="1992">
        <f t="shared" si="26"/>
        <v>489.36410749999999</v>
      </c>
      <c r="CC32" s="996">
        <v>523</v>
      </c>
      <c r="CD32" s="1996">
        <v>0</v>
      </c>
      <c r="CE32" s="997">
        <v>97</v>
      </c>
      <c r="CF32" s="1981">
        <v>489.36410749999999</v>
      </c>
      <c r="CG32" s="884">
        <f t="shared" si="27"/>
        <v>426</v>
      </c>
      <c r="CH32" s="1365"/>
      <c r="CI32" s="2102">
        <f t="shared" si="28"/>
        <v>1402</v>
      </c>
      <c r="CJ32" s="2105">
        <f t="shared" si="29"/>
        <v>0.33017077798861483</v>
      </c>
      <c r="CK32" s="2108">
        <f t="shared" si="30"/>
        <v>20</v>
      </c>
      <c r="CL32" s="1365"/>
      <c r="CM32" s="1980">
        <f t="shared" si="31"/>
        <v>29</v>
      </c>
      <c r="CN32" s="1999">
        <f t="shared" si="32"/>
        <v>-96.520076481835574</v>
      </c>
      <c r="CO32" s="1992">
        <f t="shared" si="33"/>
        <v>18.2</v>
      </c>
      <c r="CP32" s="996">
        <v>585</v>
      </c>
      <c r="CQ32" s="1996">
        <v>18.2</v>
      </c>
      <c r="CR32" s="2232">
        <v>82</v>
      </c>
      <c r="CS32" s="1981"/>
      <c r="CT32" s="884">
        <f t="shared" si="34"/>
        <v>503</v>
      </c>
      <c r="CU32" s="1365"/>
      <c r="CV32" s="1980">
        <f t="shared" si="35"/>
        <v>5</v>
      </c>
      <c r="CW32" s="1999">
        <f t="shared" si="36"/>
        <v>-47.057051709401712</v>
      </c>
      <c r="CX32" s="1992">
        <f t="shared" si="37"/>
        <v>309.71624750000001</v>
      </c>
      <c r="CY32" s="996"/>
      <c r="CZ32" s="1996">
        <f t="shared" si="38"/>
        <v>57.82</v>
      </c>
      <c r="DA32" s="2232"/>
      <c r="DB32" s="1981">
        <f t="shared" si="39"/>
        <v>251.89624749999999</v>
      </c>
      <c r="DC32" s="884">
        <f t="shared" si="40"/>
        <v>251.89624749999999</v>
      </c>
      <c r="DD32" s="1365"/>
      <c r="DE32" s="1567"/>
      <c r="DF32" s="1548"/>
      <c r="DG32" s="1926">
        <v>441</v>
      </c>
      <c r="DH32" s="997">
        <v>144</v>
      </c>
      <c r="DI32" s="884">
        <f t="shared" si="41"/>
        <v>297</v>
      </c>
      <c r="DJ32" s="367"/>
      <c r="DK32" s="1201"/>
      <c r="DL32" s="945">
        <f>_xlfn.XLOOKUP($K32,'Sales Rec'!$E$4:$E$32,'Sales Rec'!P$4:P$32,"")</f>
        <v>3025</v>
      </c>
      <c r="DM32" s="943">
        <f>_xlfn.XLOOKUP($K32,'Sales Rec'!$E$4:$E$32,'Sales Rec'!O$4:O$32,"")</f>
        <v>861</v>
      </c>
      <c r="DN32" s="948">
        <f t="shared" si="42"/>
        <v>0.22156459083890889</v>
      </c>
      <c r="DO32" s="943">
        <f t="shared" si="43"/>
        <v>3886</v>
      </c>
      <c r="DP32" s="913">
        <f>_xlfn.XLOOKUP($K32,'Sales Rec'!$E$4:$E$32,'Sales Rec'!I$4:I$32,"")</f>
        <v>2979</v>
      </c>
      <c r="DQ32" s="914">
        <f>_xlfn.XLOOKUP($K32,'Sales Rec'!$E$4:$E$32,'Sales Rec'!H$4:H$32,"")</f>
        <v>679</v>
      </c>
      <c r="DR32" s="946">
        <f t="shared" si="44"/>
        <v>0.18562055768179334</v>
      </c>
      <c r="DS32" s="942">
        <f>_xlfn.XLOOKUP(K32,Cement!$Q$3:$Q$35,Cement!$AP$3:$AP$35,"")</f>
        <v>3658</v>
      </c>
      <c r="DT32" s="1013" t="str">
        <f t="shared" si="45"/>
        <v>OK</v>
      </c>
      <c r="DU32" s="952">
        <f t="shared" si="46"/>
        <v>4361</v>
      </c>
      <c r="DV32" s="925">
        <f>_xlfn.XLOOKUP($K32,'Sales Rec'!$E$4:$E$32,'Sales Rec'!$M$4:$M$32,"")</f>
        <v>2814</v>
      </c>
      <c r="DW32" s="904">
        <f>_xlfn.XLOOKUP($K32,'Sales Rec'!$E$4:$E$32,'Sales Rec'!$N$4:$N$32,"")</f>
        <v>3886</v>
      </c>
      <c r="DX32" s="1195">
        <f>_xlfn.XLOOKUP(K32,Cement!$Q$7:$Q$35,Cement!$AR$7:$AR$35,"")</f>
        <v>4874.0619047619048</v>
      </c>
      <c r="DY32" s="964">
        <f t="shared" si="47"/>
        <v>33.24390116899685</v>
      </c>
      <c r="DZ32" s="1490">
        <f t="shared" si="48"/>
        <v>22</v>
      </c>
      <c r="EA32" s="367"/>
      <c r="EB32" s="176" t="e">
        <f>SUMIF('[1]9-1404.12.03'!$B$2:$B$2000,$J32,'[1]9-1404.12.03'!$L$2:$L$2000)</f>
        <v>#VALUE!</v>
      </c>
      <c r="EC32" s="176" t="e">
        <f>SUMIF('[1]9-1404.12.03'!$B$2:$B$2000,$J32,'[1]9-1404.12.03'!$E$2:$E$2000)/10</f>
        <v>#VALUE!</v>
      </c>
      <c r="ED32" s="177" t="str">
        <f t="shared" si="49"/>
        <v/>
      </c>
      <c r="EE32" s="176" t="e">
        <f>SUMIF('[1]8B-1404.12.02'!$D$2:$D$3000,$J32,'[1]8B-1404.12.02'!$M$2:$M$3000)</f>
        <v>#VALUE!</v>
      </c>
      <c r="EF32" s="176" t="e">
        <f>SUMIF('[1]8B-1404.12.02'!$D$2:$D$3000,$J32,'[1]8B-1404.12.02'!$G$2:$G$3000)/10</f>
        <v>#VALUE!</v>
      </c>
      <c r="EG32" s="177" t="str">
        <f t="shared" si="50"/>
        <v/>
      </c>
      <c r="EH32" s="1502"/>
      <c r="EI32" s="1534">
        <f>SUMIF(Cem_Export!$C$2:$C$3000,$J32,Cem_Export!$I$2:$I$3000)</f>
        <v>9500</v>
      </c>
      <c r="EJ32" s="1534">
        <f>SUMIFS(Cem_Export!$J$2:$J$3000,Cem_Export!$C$2:$C$3000,$J32,Cem_Export!$L$2:$L$3000, $EJ$4)</f>
        <v>413000</v>
      </c>
      <c r="EK32" s="1534">
        <f>SUMIFS(Cem_Export!$J$2:$J$3000,Cem_Export!$C$2:$C$3000,$J32,Cem_Export!$L$2:$L$3000, $EK$4)</f>
        <v>0</v>
      </c>
      <c r="EL32" s="1682">
        <f t="shared" si="51"/>
        <v>43.473684210526315</v>
      </c>
      <c r="EM32" s="1836">
        <f t="shared" si="52"/>
        <v>57.82</v>
      </c>
      <c r="EN32" s="1562"/>
      <c r="EO32" s="1625">
        <f>SUMIF('Cem-Domestic'!$D$2:$D$4000,$J32,'Cem-Domestic'!$M$2:$M$4000)</f>
        <v>86675</v>
      </c>
      <c r="EP32" s="1625">
        <f>SUMIF('Cem-Domestic'!$D$2:$D$4000,$J32,'Cem-Domestic'!$G$2:$G$4000)/10^7</f>
        <v>251.89624749999999</v>
      </c>
      <c r="EQ32" s="1681">
        <f t="shared" si="53"/>
        <v>2906.2157196423418</v>
      </c>
      <c r="ER32" s="1562"/>
      <c r="ES32" s="2303"/>
      <c r="ET32" s="1625">
        <f>SUMIF('Cem-Domestic'!$D$2:$D$4000,$J32,'Cem-Domestic'!$M$2:$M$4000)</f>
        <v>86675</v>
      </c>
      <c r="EU32" s="2305">
        <f>SUMIF('Cem-Domestic'!$D$2:$D$4000,$J32,'Cem-Domestic'!$G$2:$G$4000)/10^7</f>
        <v>251.89624749999999</v>
      </c>
      <c r="EV32" s="2306">
        <f>IFERROR((EU32/ET32)*10^6,"")</f>
        <v>2906.2157196423418</v>
      </c>
      <c r="EW32" s="920"/>
      <c r="EX32" s="2307"/>
      <c r="EY32" s="2309">
        <f>SUMIF('Cem-Domestic'!$D$2:$D$4000,$J32,'Cem-Domestic'!$M$2:$M$4000)</f>
        <v>86675</v>
      </c>
      <c r="EZ32" s="1625">
        <f>SUMIF('Cem-Domestic'!$D$2:$D$4000,$J32,'Cem-Domestic'!$G$2:$G$4000)/10^7</f>
        <v>251.89624749999999</v>
      </c>
      <c r="FA32" s="2310">
        <f>IFERROR((EZ32/EY32)*10^6,"")</f>
        <v>2906.2157196423418</v>
      </c>
      <c r="FB32" s="2303"/>
      <c r="FC32" s="920"/>
      <c r="FD32" s="2305">
        <f>SUMIF('Cem-Domestic'!$D$2:$D$4000,$J32,'Cem-Domestic'!$M$2:$M$4000)</f>
        <v>86675</v>
      </c>
      <c r="FE32" s="2309">
        <f>SUMIF('Cem-Domestic'!$D$2:$D$4000,$J32,'Cem-Domestic'!$G$2:$G$4000)/10^7</f>
        <v>251.89624749999999</v>
      </c>
      <c r="FF32" s="1681">
        <f>IFERROR((FE32/FD32)*10^6,"")</f>
        <v>2906.2157196423418</v>
      </c>
      <c r="FG32" s="2307"/>
    </row>
    <row r="33" spans="1:163" ht="30" customHeight="1" thickBot="1">
      <c r="A33" s="975">
        <f t="shared" si="0"/>
        <v>29</v>
      </c>
      <c r="B33" s="975">
        <f t="shared" si="1"/>
        <v>29</v>
      </c>
      <c r="C33" s="975">
        <f t="shared" si="2"/>
        <v>13</v>
      </c>
      <c r="D33" s="1015">
        <f t="shared" si="3"/>
        <v>0.53924911861122005</v>
      </c>
      <c r="E33" s="1217">
        <f>_xlfn.XLOOKUP(K33,Cement!$Q$7:$Q$35,Cement!$Z$7:$Z$35,"")</f>
        <v>1.2061030515257629</v>
      </c>
      <c r="F33" s="1091">
        <f t="shared" si="4"/>
        <v>-66.68539329145429</v>
      </c>
      <c r="G33" s="991">
        <f t="shared" si="5"/>
        <v>5.8375337862517307E-2</v>
      </c>
      <c r="H33" s="173">
        <f>_xlfn.XLOOKUP($K33,Cement!$Q$7:$Q$35,Cement!$B$7:$B$35,"")</f>
        <v>21.447230036077684</v>
      </c>
      <c r="I33" s="173">
        <f>_xlfn.XLOOKUP(K33,Cement!$Q$7:$Q$35,Cement!$A$7:$A$35,"")</f>
        <v>21.545827737635289</v>
      </c>
      <c r="J33" s="202" t="s">
        <v>922</v>
      </c>
      <c r="K33" s="554" t="s">
        <v>79</v>
      </c>
      <c r="L33" s="937">
        <f>_xlfn.XLOOKUP(K33,Cement!$Q$7:$Q$35,Cement!$R$7:$R$35,"")</f>
        <v>9</v>
      </c>
      <c r="M33" s="2015">
        <f>_xlfn.XLOOKUP(K33,'Sales Rec'!$E$4:$E$32,'Sales Rec'!$L$4:$L$32,"")</f>
        <v>7</v>
      </c>
      <c r="N33" s="930">
        <f t="shared" si="6"/>
        <v>1481.1428571428571</v>
      </c>
      <c r="O33" s="208">
        <f t="shared" si="7"/>
        <v>1388</v>
      </c>
      <c r="P33" s="1465">
        <f t="shared" si="8"/>
        <v>680</v>
      </c>
      <c r="Q33" s="1466">
        <f t="shared" si="54"/>
        <v>48.148148148148145</v>
      </c>
      <c r="R33" s="1472">
        <f t="shared" si="9"/>
        <v>365</v>
      </c>
      <c r="S33" s="1473">
        <f t="shared" si="10"/>
        <v>-46.32352941176471</v>
      </c>
      <c r="T33" s="1479">
        <f t="shared" si="11"/>
        <v>578</v>
      </c>
      <c r="U33" s="1092">
        <f t="shared" si="12"/>
        <v>58.356164383561648</v>
      </c>
      <c r="V33" s="1486">
        <f t="shared" si="13"/>
        <v>459</v>
      </c>
      <c r="W33" s="1487">
        <f t="shared" si="14"/>
        <v>-20.588235294117645</v>
      </c>
      <c r="X33" s="934">
        <f>_xlfn.XLOOKUP(K33,Cement!$Q$7:$Q$35,Cement!$AK$7:$AK$35,"")</f>
        <v>1500000</v>
      </c>
      <c r="Y33" s="1911"/>
      <c r="Z33" s="1567"/>
      <c r="AA33" s="1548"/>
      <c r="AB33" s="996">
        <v>207</v>
      </c>
      <c r="AC33" s="997">
        <v>86</v>
      </c>
      <c r="AD33" s="884">
        <f t="shared" si="15"/>
        <v>121</v>
      </c>
      <c r="AE33" s="1365"/>
      <c r="AF33" s="1567">
        <v>87.225131000000005</v>
      </c>
      <c r="AG33" s="1548">
        <v>2697884</v>
      </c>
      <c r="AH33" s="996">
        <v>192</v>
      </c>
      <c r="AI33" s="997">
        <v>92</v>
      </c>
      <c r="AJ33" s="884">
        <f t="shared" si="16"/>
        <v>100</v>
      </c>
      <c r="AK33" s="1365"/>
      <c r="AL33" s="1567">
        <v>118.27118299999999</v>
      </c>
      <c r="AM33" s="1548">
        <v>1980050.000560466</v>
      </c>
      <c r="AN33" s="996">
        <v>179</v>
      </c>
      <c r="AO33" s="997">
        <v>91</v>
      </c>
      <c r="AP33" s="884">
        <f t="shared" si="17"/>
        <v>88</v>
      </c>
      <c r="AQ33" s="1365"/>
      <c r="AR33" s="1567">
        <v>59.145319000000001</v>
      </c>
      <c r="AS33" s="1548">
        <v>0</v>
      </c>
      <c r="AT33" s="996">
        <v>152</v>
      </c>
      <c r="AU33" s="997">
        <v>76</v>
      </c>
      <c r="AV33" s="884">
        <f t="shared" si="18"/>
        <v>76</v>
      </c>
      <c r="AW33" s="884"/>
      <c r="AX33" s="1567">
        <v>85.248144999999994</v>
      </c>
      <c r="AY33" s="1548">
        <v>25.7835</v>
      </c>
      <c r="AZ33" s="996">
        <v>174</v>
      </c>
      <c r="BA33" s="997">
        <v>82</v>
      </c>
      <c r="BB33" s="884">
        <f t="shared" si="19"/>
        <v>92</v>
      </c>
      <c r="BC33" s="884"/>
      <c r="BD33" s="1567"/>
      <c r="BE33" s="1548"/>
      <c r="BF33" s="996">
        <v>133</v>
      </c>
      <c r="BG33" s="997">
        <v>39</v>
      </c>
      <c r="BH33" s="884">
        <f t="shared" si="20"/>
        <v>94</v>
      </c>
      <c r="BI33" s="884"/>
      <c r="BJ33" s="2101">
        <f t="shared" si="21"/>
        <v>459</v>
      </c>
      <c r="BK33" s="2102"/>
      <c r="BL33" s="2102"/>
      <c r="BM33" s="884"/>
      <c r="BN33" s="1567"/>
      <c r="BO33" s="1548"/>
      <c r="BP33" s="996">
        <v>193</v>
      </c>
      <c r="BQ33" s="997">
        <v>104</v>
      </c>
      <c r="BR33" s="884">
        <f t="shared" si="22"/>
        <v>89</v>
      </c>
      <c r="BS33" s="1365"/>
      <c r="BT33" s="1567"/>
      <c r="BU33" s="1548"/>
      <c r="BV33" s="996">
        <v>240</v>
      </c>
      <c r="BW33" s="997">
        <v>83</v>
      </c>
      <c r="BX33" s="884">
        <f t="shared" si="23"/>
        <v>157</v>
      </c>
      <c r="BY33" s="1365"/>
      <c r="BZ33" s="1980">
        <f t="shared" si="24"/>
        <v>21</v>
      </c>
      <c r="CA33" s="1999">
        <f t="shared" si="25"/>
        <v>-3.8858737500000018</v>
      </c>
      <c r="CB33" s="1992">
        <f t="shared" si="26"/>
        <v>230.673903</v>
      </c>
      <c r="CC33" s="996">
        <v>247</v>
      </c>
      <c r="CD33" s="1996">
        <v>64.680000000000007</v>
      </c>
      <c r="CE33" s="997">
        <v>99</v>
      </c>
      <c r="CF33" s="1981">
        <v>165.99390299999999</v>
      </c>
      <c r="CG33" s="884">
        <f t="shared" si="27"/>
        <v>148</v>
      </c>
      <c r="CH33" s="1365"/>
      <c r="CI33" s="2107">
        <f t="shared" si="28"/>
        <v>680</v>
      </c>
      <c r="CJ33" s="2105">
        <f t="shared" si="29"/>
        <v>0.48148148148148145</v>
      </c>
      <c r="CK33" s="2108">
        <f t="shared" si="30"/>
        <v>13</v>
      </c>
      <c r="CL33" s="1365"/>
      <c r="CM33" s="1980">
        <f t="shared" si="31"/>
        <v>6</v>
      </c>
      <c r="CN33" s="1999">
        <f t="shared" si="32"/>
        <v>12.585100090658555</v>
      </c>
      <c r="CO33" s="1992">
        <f t="shared" si="33"/>
        <v>278.08519722392663</v>
      </c>
      <c r="CP33" s="996">
        <v>156</v>
      </c>
      <c r="CQ33" s="1996">
        <v>105.88992172392663</v>
      </c>
      <c r="CR33" s="2232">
        <v>28</v>
      </c>
      <c r="CS33" s="1981">
        <v>172.19527550000001</v>
      </c>
      <c r="CT33" s="884">
        <f t="shared" si="34"/>
        <v>128</v>
      </c>
      <c r="CU33" s="1365"/>
      <c r="CV33" s="1980">
        <f t="shared" si="35"/>
        <v>8</v>
      </c>
      <c r="CW33" s="1999">
        <f t="shared" si="36"/>
        <v>-51.908634294871788</v>
      </c>
      <c r="CX33" s="1992">
        <f t="shared" si="37"/>
        <v>75.022530500000002</v>
      </c>
      <c r="CY33" s="996"/>
      <c r="CZ33" s="1996">
        <f t="shared" si="38"/>
        <v>0</v>
      </c>
      <c r="DA33" s="2232"/>
      <c r="DB33" s="1981">
        <f t="shared" si="39"/>
        <v>75.022530500000002</v>
      </c>
      <c r="DC33" s="884">
        <f t="shared" si="40"/>
        <v>75.022530500000002</v>
      </c>
      <c r="DD33" s="1365"/>
      <c r="DE33" s="1567"/>
      <c r="DF33" s="1548"/>
      <c r="DG33" s="1926">
        <v>209</v>
      </c>
      <c r="DH33" s="997">
        <v>53</v>
      </c>
      <c r="DI33" s="884">
        <f t="shared" si="41"/>
        <v>156</v>
      </c>
      <c r="DJ33" s="367"/>
      <c r="DK33" s="1201"/>
      <c r="DL33" s="945">
        <f>_xlfn.XLOOKUP($K33,'Sales Rec'!$E$4:$E$32,'Sales Rec'!P$4:P$32,"")</f>
        <v>784</v>
      </c>
      <c r="DM33" s="943">
        <f>_xlfn.XLOOKUP($K33,'Sales Rec'!$E$4:$E$32,'Sales Rec'!O$4:O$32,"")</f>
        <v>512</v>
      </c>
      <c r="DN33" s="948">
        <f t="shared" si="42"/>
        <v>0.39506172839506171</v>
      </c>
      <c r="DO33" s="943">
        <f t="shared" si="43"/>
        <v>1296</v>
      </c>
      <c r="DP33" s="913">
        <f>_xlfn.XLOOKUP($K33,'Sales Rec'!$E$4:$E$32,'Sales Rec'!I$4:I$32,"")</f>
        <v>1121</v>
      </c>
      <c r="DQ33" s="914">
        <f>_xlfn.XLOOKUP($K33,'Sales Rec'!$E$4:$E$32,'Sales Rec'!H$4:H$32,"")</f>
        <v>569</v>
      </c>
      <c r="DR33" s="946">
        <f t="shared" si="44"/>
        <v>0.3366863905325444</v>
      </c>
      <c r="DS33" s="942">
        <f>_xlfn.XLOOKUP(K33,Cement!$Q$3:$Q$35,Cement!$AP$3:$AP$35,"")</f>
        <v>1690</v>
      </c>
      <c r="DT33" s="1013" t="str">
        <f t="shared" si="45"/>
        <v>OK</v>
      </c>
      <c r="DU33" s="952">
        <f t="shared" si="46"/>
        <v>2082</v>
      </c>
      <c r="DV33" s="925">
        <f>_xlfn.XLOOKUP($K33,'Sales Rec'!$E$4:$E$32,'Sales Rec'!$M$4:$M$32,"")</f>
        <v>738</v>
      </c>
      <c r="DW33" s="904">
        <f>_xlfn.XLOOKUP($K33,'Sales Rec'!$E$4:$E$32,'Sales Rec'!$N$4:$N$32,"")</f>
        <v>1296</v>
      </c>
      <c r="DX33" s="1195">
        <f>_xlfn.XLOOKUP(K33,Cement!$Q$7:$Q$35,Cement!$AR$7:$AR$35,"")</f>
        <v>2601.3310104529619</v>
      </c>
      <c r="DY33" s="964">
        <f t="shared" si="47"/>
        <v>53.924911861122006</v>
      </c>
      <c r="DZ33" s="1490">
        <f t="shared" si="48"/>
        <v>13</v>
      </c>
      <c r="EA33" s="367"/>
      <c r="EB33" s="176" t="e">
        <f>SUMIF('[1]9-1404.12.03'!$B$2:$B$2000,$J33,'[1]9-1404.12.03'!$L$2:$L$2000)</f>
        <v>#VALUE!</v>
      </c>
      <c r="EC33" s="176" t="e">
        <f>SUMIF('[1]9-1404.12.03'!$B$2:$B$2000,$J33,'[1]9-1404.12.03'!$E$2:$E$2000)/10</f>
        <v>#VALUE!</v>
      </c>
      <c r="ED33" s="177" t="s">
        <v>192</v>
      </c>
      <c r="EE33" s="176" t="e">
        <f>SUMIF('[1]8B-1404.12.02'!$D$2:$D$3000,$J33,'[1]8B-1404.12.02'!$M$2:$M$3000)</f>
        <v>#VALUE!</v>
      </c>
      <c r="EF33" s="176" t="e">
        <f>SUMIF('[1]8B-1404.12.02'!$D$2:$D$3000,$J33,'[1]8B-1404.12.02'!$G$2:$G$3000)/10</f>
        <v>#VALUE!</v>
      </c>
      <c r="EG33" s="177" t="str">
        <f t="shared" si="50"/>
        <v/>
      </c>
      <c r="EH33" s="1502"/>
      <c r="EI33" s="1534">
        <f>SUMIF(Cem_Export!$C$2:$C$3000,$J33,Cem_Export!$I$2:$I$3000)</f>
        <v>0</v>
      </c>
      <c r="EJ33" s="1534">
        <f>SUMIFS(Cem_Export!$J$2:$J$3000,Cem_Export!$C$2:$C$3000,$J33,Cem_Export!$L$2:$L$3000, $EJ$4)</f>
        <v>0</v>
      </c>
      <c r="EK33" s="1534">
        <f>SUMIFS(Cem_Export!$J$2:$J$3000,Cem_Export!$C$2:$C$3000,$J33,Cem_Export!$L$2:$L$3000, $EK$4)</f>
        <v>0</v>
      </c>
      <c r="EL33" s="1682" t="str">
        <f t="shared" si="51"/>
        <v/>
      </c>
      <c r="EM33" s="1836">
        <f t="shared" si="52"/>
        <v>0</v>
      </c>
      <c r="EN33" s="1562"/>
      <c r="EO33" s="1625">
        <f>SUMIF('Cem-Domestic'!$D$2:$D$4000,$J33,'Cem-Domestic'!$M$2:$M$4000)</f>
        <v>24300</v>
      </c>
      <c r="EP33" s="1625">
        <f>SUMIF('Cem-Domestic'!$D$2:$D$4000,$J33,'Cem-Domestic'!$G$2:$G$4000)/10^7</f>
        <v>75.022530500000002</v>
      </c>
      <c r="EQ33" s="1681">
        <f t="shared" si="53"/>
        <v>3087.3469341563787</v>
      </c>
      <c r="ER33" s="1562"/>
      <c r="ES33" s="1533">
        <v>22572</v>
      </c>
      <c r="ET33" s="1534">
        <v>944024</v>
      </c>
      <c r="EU33" s="1535">
        <v>41.822789296473509</v>
      </c>
      <c r="EV33" s="1533">
        <v>9000</v>
      </c>
      <c r="EW33" s="1534">
        <v>370000</v>
      </c>
      <c r="EX33" s="1535">
        <v>41.111111111111114</v>
      </c>
      <c r="EY33" s="1533">
        <v>20830</v>
      </c>
      <c r="EZ33" s="1534">
        <v>866860</v>
      </c>
      <c r="FA33" s="1535">
        <v>41.615938550168025</v>
      </c>
      <c r="FB33" s="1533">
        <v>10000</v>
      </c>
      <c r="FC33" s="1534">
        <v>412000</v>
      </c>
      <c r="FD33" s="1535">
        <v>41.2</v>
      </c>
      <c r="FE33" s="1533">
        <v>31500</v>
      </c>
      <c r="FF33" s="1534">
        <v>1325050.000560466</v>
      </c>
      <c r="FG33" s="1535">
        <v>42.065079382871936</v>
      </c>
    </row>
    <row r="34" spans="1:163" ht="10" customHeight="1">
      <c r="A34" s="976"/>
      <c r="B34" s="976"/>
      <c r="C34" s="976"/>
      <c r="D34" s="900"/>
      <c r="E34" s="970"/>
      <c r="F34" s="970"/>
      <c r="G34" s="992"/>
      <c r="H34" s="917"/>
      <c r="I34" s="917"/>
      <c r="J34" s="918"/>
      <c r="K34" s="919"/>
      <c r="L34" s="939"/>
      <c r="M34" s="939"/>
      <c r="N34" s="1037"/>
      <c r="O34" s="1037"/>
      <c r="P34" s="1037"/>
      <c r="Q34" s="1037"/>
      <c r="R34" s="1037"/>
      <c r="S34" s="1037"/>
      <c r="T34" s="1037"/>
      <c r="U34" s="1037"/>
      <c r="V34" s="1037"/>
      <c r="W34" s="1037"/>
      <c r="X34" s="1037"/>
      <c r="Y34" s="1037"/>
      <c r="Z34" s="1567"/>
      <c r="AA34" s="1548"/>
      <c r="AB34" s="1037"/>
      <c r="AC34" s="1037"/>
      <c r="AD34" s="1037"/>
      <c r="AE34" s="1037"/>
      <c r="AF34" s="1567"/>
      <c r="AG34" s="1548"/>
      <c r="AH34" s="1037"/>
      <c r="AI34" s="1037"/>
      <c r="AJ34" s="1037"/>
      <c r="AK34" s="1037"/>
      <c r="AL34" s="1567"/>
      <c r="AM34" s="1548"/>
      <c r="AN34" s="1037"/>
      <c r="AO34" s="1037"/>
      <c r="AP34" s="1601"/>
      <c r="AQ34" s="1037"/>
      <c r="AR34" s="1567"/>
      <c r="AS34" s="1548"/>
      <c r="AT34" s="923"/>
      <c r="AU34" s="922"/>
      <c r="AV34" s="922"/>
      <c r="AW34" s="923"/>
      <c r="AX34" s="1567"/>
      <c r="AY34" s="1548"/>
      <c r="AZ34" s="1139"/>
      <c r="BA34" s="922"/>
      <c r="BB34" s="1809"/>
      <c r="BC34" s="923"/>
      <c r="BD34" s="1567"/>
      <c r="BE34" s="1548"/>
      <c r="BF34" s="923"/>
      <c r="BG34" s="922"/>
      <c r="BH34" s="1037"/>
      <c r="BI34" s="923"/>
      <c r="BJ34" s="1001"/>
      <c r="BK34" s="1001"/>
      <c r="BL34" s="1001"/>
      <c r="BM34" s="923"/>
      <c r="BN34" s="1567"/>
      <c r="BO34" s="1548"/>
      <c r="BP34" s="1001"/>
      <c r="BQ34" s="1000"/>
      <c r="BR34" s="1370"/>
      <c r="BS34" s="1001"/>
      <c r="BT34" s="1567"/>
      <c r="BU34" s="1548"/>
      <c r="BV34" s="1001"/>
      <c r="BW34" s="1000"/>
      <c r="BX34" s="1369"/>
      <c r="BY34" s="1001"/>
      <c r="BZ34" s="1001"/>
      <c r="CA34" s="1001"/>
      <c r="CB34" s="1993"/>
      <c r="CC34" s="1001"/>
      <c r="CD34" s="1996">
        <v>0</v>
      </c>
      <c r="CE34" s="1001"/>
      <c r="CF34" s="1981">
        <v>0</v>
      </c>
      <c r="CG34" s="1001"/>
      <c r="CH34" s="1001"/>
      <c r="CI34" s="1001"/>
      <c r="CJ34" s="1001"/>
      <c r="CK34" s="1001"/>
      <c r="CL34" s="1001"/>
      <c r="CM34" s="1001"/>
      <c r="CN34" s="1001"/>
      <c r="CO34" s="1993"/>
      <c r="CP34" s="1001"/>
      <c r="CQ34" s="1996"/>
      <c r="CR34" s="1001"/>
      <c r="CS34" s="1981">
        <v>211.16856949999999</v>
      </c>
      <c r="CT34" s="1001"/>
      <c r="CU34" s="1001"/>
      <c r="CV34" s="1001"/>
      <c r="CW34" s="1001"/>
      <c r="CX34" s="1993"/>
      <c r="CY34" s="1001"/>
      <c r="CZ34" s="1996">
        <f t="shared" ref="CZ34:CZ69" si="55">EM34</f>
        <v>0</v>
      </c>
      <c r="DA34" s="1001"/>
      <c r="DB34" s="1981">
        <f t="shared" ref="DB34:DB69" si="56">EP34</f>
        <v>0</v>
      </c>
      <c r="DC34" s="1001"/>
      <c r="DD34" s="1001"/>
      <c r="DE34" s="1001"/>
      <c r="DF34" s="1001"/>
      <c r="DG34" s="1001"/>
      <c r="DH34" s="1001"/>
      <c r="DI34" s="1001"/>
      <c r="DJ34" s="1001"/>
      <c r="DK34" s="1001"/>
      <c r="DL34" s="1001"/>
      <c r="DM34" s="1001"/>
      <c r="DN34" s="1001"/>
      <c r="DO34" s="1001"/>
      <c r="DP34" s="921"/>
      <c r="DQ34" s="922"/>
      <c r="DR34" s="946"/>
      <c r="DS34" s="941"/>
      <c r="DT34" s="941"/>
      <c r="DU34" s="953"/>
      <c r="DV34" s="924"/>
      <c r="DW34" s="916"/>
      <c r="DX34" s="1196"/>
      <c r="DY34" s="965"/>
      <c r="DZ34" s="1489"/>
      <c r="EA34" s="102"/>
      <c r="EB34" s="176" t="e">
        <f>SUMIF('[1]9-1404.12.03'!$B$2:$B$2000,$J34,'[1]9-1404.12.03'!$L$2:$L$2000)</f>
        <v>#VALUE!</v>
      </c>
      <c r="EC34" s="176" t="e">
        <f>SUMIF('[1]9-1404.12.03'!$B$2:$B$2000,$J34,'[1]9-1404.12.03'!$E$2:$E$2000)/10</f>
        <v>#VALUE!</v>
      </c>
      <c r="ED34" s="920"/>
      <c r="EE34" s="176" t="e">
        <f>SUMIF('[1]8B-1404.12.02'!$D$2:$D$3000,$J34,'[1]8B-1404.12.02'!$M$2:$M$3000)</f>
        <v>#VALUE!</v>
      </c>
      <c r="EF34" s="176" t="e">
        <f>SUMIF('[1]8B-1404.12.02'!$D$2:$D$3000,$J34,'[1]8B-1404.12.02'!$G$2:$G$3000)/10</f>
        <v>#VALUE!</v>
      </c>
      <c r="EG34" s="920"/>
      <c r="EH34" s="920"/>
      <c r="EI34" s="1534">
        <f>SUMIF(Cem_Export!$C$2:$C$3000,$J34,Cem_Export!$I$2:$I$3000)</f>
        <v>0</v>
      </c>
      <c r="EJ34" s="1534">
        <f>SUMIFS(Cem_Export!$J$2:$J$3000,Cem_Export!$C$2:$C$3000,$J34,Cem_Export!$L$2:$L$3000, $EJ$4)</f>
        <v>0</v>
      </c>
      <c r="EK34" s="1534">
        <f>SUMIFS(Cem_Export!$J$2:$J$3000,Cem_Export!$C$2:$C$3000,$J34,Cem_Export!$L$2:$L$3000, $EK$4)</f>
        <v>0</v>
      </c>
      <c r="EL34" s="1682" t="str">
        <f t="shared" ref="EL34:EL37" si="57">IFERROR(((EJ34*$EK$3)+(EK34*10^-4))/($EI34*$EK$3),"")</f>
        <v/>
      </c>
      <c r="EM34" s="1836">
        <f t="shared" ref="EM34:EM37" si="58">IFERROR((EJ34*$EK$3*10^4+EK34)*10^-10,0)</f>
        <v>0</v>
      </c>
      <c r="EN34" s="1562"/>
      <c r="EO34" s="1625">
        <f>SUMIF('Cem-Domestic'!$D$2:$D$4000,$J34,'Cem-Domestic'!$M$2:$M$4000)</f>
        <v>0</v>
      </c>
      <c r="EP34" s="1625">
        <f>SUMIF('Cem-Domestic'!$D$2:$D$4000,$J34,'Cem-Domestic'!$G$2:$G$4000)/10^7</f>
        <v>0</v>
      </c>
      <c r="EQ34" s="1681" t="str">
        <f t="shared" ref="EQ34:EQ37" si="59">IFERROR((EP34/EO34)*10^6,"")</f>
        <v/>
      </c>
      <c r="ER34" s="1562"/>
      <c r="ES34" s="1533">
        <v>0</v>
      </c>
      <c r="ET34" s="1534">
        <v>0</v>
      </c>
      <c r="EU34" s="1535" t="s">
        <v>192</v>
      </c>
      <c r="EV34" s="1533">
        <v>0</v>
      </c>
      <c r="EW34" s="1534">
        <v>0</v>
      </c>
      <c r="EX34" s="1535" t="s">
        <v>192</v>
      </c>
      <c r="EY34" s="1533">
        <v>0</v>
      </c>
      <c r="EZ34" s="1534">
        <v>0</v>
      </c>
      <c r="FA34" s="1535" t="s">
        <v>192</v>
      </c>
      <c r="FB34" s="1533">
        <v>0</v>
      </c>
      <c r="FC34" s="1534">
        <v>0</v>
      </c>
      <c r="FD34" s="1535" t="s">
        <v>192</v>
      </c>
      <c r="FE34" s="1533">
        <v>0</v>
      </c>
      <c r="FF34" s="1534">
        <v>0</v>
      </c>
      <c r="FG34" s="1535" t="s">
        <v>192</v>
      </c>
    </row>
    <row r="35" spans="1:163" ht="30" customHeight="1">
      <c r="A35" s="977"/>
      <c r="B35" s="977"/>
      <c r="C35" s="977"/>
      <c r="D35" s="971"/>
      <c r="E35" s="970"/>
      <c r="F35" s="970"/>
      <c r="G35" s="992"/>
      <c r="H35" s="194"/>
      <c r="I35" s="194"/>
      <c r="J35" s="203" t="s">
        <v>923</v>
      </c>
      <c r="K35" s="283" t="s">
        <v>924</v>
      </c>
      <c r="L35" s="940" t="str">
        <f>_xlfn.XLOOKUP(K35,Cement!$Q$7:$Q$35,Cement!$R$7:$R$35,"")</f>
        <v/>
      </c>
      <c r="M35" s="940"/>
      <c r="N35" s="933"/>
      <c r="O35" s="933"/>
      <c r="P35" s="1467"/>
      <c r="Q35" s="1467"/>
      <c r="R35" s="1474"/>
      <c r="S35" s="1474"/>
      <c r="T35" s="1480"/>
      <c r="U35" s="1480"/>
      <c r="V35" s="940"/>
      <c r="W35" s="1213"/>
      <c r="X35" s="934" t="str">
        <f>_xlfn.XLOOKUP(K35,Cement!$Q$7:$Q$35,Cement!$AK$7:$AK$35,"")</f>
        <v/>
      </c>
      <c r="Y35" s="1911"/>
      <c r="Z35" s="1567"/>
      <c r="AA35" s="1548"/>
      <c r="AB35" s="998"/>
      <c r="AC35" s="997"/>
      <c r="AD35" s="1513"/>
      <c r="AE35" s="1365"/>
      <c r="AF35" s="1567">
        <v>78.224058999999997</v>
      </c>
      <c r="AG35" s="1548">
        <v>0</v>
      </c>
      <c r="AH35" s="998"/>
      <c r="AI35" s="997"/>
      <c r="AJ35" s="996"/>
      <c r="AK35" s="1365"/>
      <c r="AL35" s="1567">
        <v>94.259619999999998</v>
      </c>
      <c r="AM35" s="1548">
        <v>0</v>
      </c>
      <c r="AN35" s="998"/>
      <c r="AO35" s="997"/>
      <c r="AP35" s="1600"/>
      <c r="AQ35" s="1365"/>
      <c r="AR35" s="1567"/>
      <c r="AS35" s="1548"/>
      <c r="AT35" s="884"/>
      <c r="AU35" s="885"/>
      <c r="AV35" s="885"/>
      <c r="AW35" s="884"/>
      <c r="AX35" s="1567">
        <v>90.244957499999998</v>
      </c>
      <c r="AY35" s="1548">
        <v>0</v>
      </c>
      <c r="AZ35" s="1138"/>
      <c r="BA35" s="885"/>
      <c r="BB35" s="1808"/>
      <c r="BC35" s="884"/>
      <c r="BD35" s="1567"/>
      <c r="BE35" s="1548"/>
      <c r="BF35" s="884"/>
      <c r="BG35" s="885"/>
      <c r="BH35" s="1036"/>
      <c r="BI35" s="884"/>
      <c r="BJ35" s="2102"/>
      <c r="BK35" s="2102"/>
      <c r="BL35" s="2102"/>
      <c r="BM35" s="884"/>
      <c r="BN35" s="1567"/>
      <c r="BO35" s="1548"/>
      <c r="BP35" s="1365"/>
      <c r="BQ35" s="997"/>
      <c r="BR35" s="1371"/>
      <c r="BS35" s="1365"/>
      <c r="BT35" s="1567"/>
      <c r="BU35" s="1548"/>
      <c r="BV35" s="1365"/>
      <c r="BW35" s="997"/>
      <c r="BX35" s="996"/>
      <c r="BY35" s="1365"/>
      <c r="BZ35" s="1365"/>
      <c r="CA35" s="1365"/>
      <c r="CB35" s="1992">
        <f t="shared" ref="CB35:CB69" si="60">CD35+CF35</f>
        <v>132.84874199999999</v>
      </c>
      <c r="CC35" s="1365"/>
      <c r="CD35" s="1996">
        <v>0</v>
      </c>
      <c r="CE35" s="997"/>
      <c r="CF35" s="1981">
        <v>132.84874199999999</v>
      </c>
      <c r="CG35" s="996"/>
      <c r="CH35" s="1365"/>
      <c r="CI35" s="2102"/>
      <c r="CJ35" s="2102"/>
      <c r="CK35" s="2102"/>
      <c r="CL35" s="1365"/>
      <c r="CM35" s="1365"/>
      <c r="CN35" s="1365"/>
      <c r="CO35" s="1992">
        <f t="shared" ref="CO35:CO79" si="61">CQ35+CS35</f>
        <v>201.622525</v>
      </c>
      <c r="CP35" s="1365"/>
      <c r="CQ35" s="1996">
        <v>0</v>
      </c>
      <c r="CR35" s="997"/>
      <c r="CS35" s="1981">
        <v>201.622525</v>
      </c>
      <c r="CT35" s="996"/>
      <c r="CU35" s="884"/>
      <c r="CV35" s="1365"/>
      <c r="CW35" s="1365"/>
      <c r="CX35" s="1992">
        <f t="shared" ref="CX35:CX79" si="62">CZ35+DB35</f>
        <v>43.926181499999998</v>
      </c>
      <c r="CY35" s="1365"/>
      <c r="CZ35" s="1996">
        <f t="shared" si="55"/>
        <v>0</v>
      </c>
      <c r="DA35" s="997"/>
      <c r="DB35" s="1981">
        <f t="shared" si="56"/>
        <v>43.926181499999998</v>
      </c>
      <c r="DC35" s="996">
        <f t="shared" ref="DC35:DC79" si="63">$EP35</f>
        <v>43.926181499999998</v>
      </c>
      <c r="DD35" s="884"/>
      <c r="DE35" s="1567"/>
      <c r="DF35" s="1548"/>
      <c r="DG35" s="884"/>
      <c r="DH35" s="885"/>
      <c r="DI35" s="883"/>
      <c r="DJ35" s="367"/>
      <c r="DK35" s="1201"/>
      <c r="DL35" s="945"/>
      <c r="DM35" s="943"/>
      <c r="DN35" s="948">
        <f>IFERROR(DM35/DO35,0)</f>
        <v>0</v>
      </c>
      <c r="DO35" s="943">
        <f>DL35+DM35</f>
        <v>0</v>
      </c>
      <c r="DP35" s="913"/>
      <c r="DQ35" s="914"/>
      <c r="DR35" s="946">
        <f>IFERROR(DQ35/DS35,0)</f>
        <v>0</v>
      </c>
      <c r="DS35" s="942" t="str">
        <f>_xlfn.XLOOKUP(K35,Cement!$Q$3:$Q$35,Cement!$AP$3:$AP$35,"")</f>
        <v/>
      </c>
      <c r="DT35" s="942"/>
      <c r="DU35" s="954">
        <f t="shared" ref="DU35:DU79" si="64">(AB35+AH35+AN35+AT35+AZ35+BF35+BP35+BV35+CC35+CP35+DA35+DG35)</f>
        <v>0</v>
      </c>
      <c r="DV35" s="905"/>
      <c r="DW35" s="904">
        <f>AT35+AZ35+BF35+BP35+BV35+CC35+CP35+DA35</f>
        <v>0</v>
      </c>
      <c r="DX35" s="1195" t="str">
        <f>_xlfn.XLOOKUP(K35,Cement!$Q$7:$Q$35,Cement!$AR$7:$AR$35,"")</f>
        <v/>
      </c>
      <c r="DY35" s="966"/>
      <c r="DZ35" s="966"/>
      <c r="EA35" s="367"/>
      <c r="EB35" s="176" t="e">
        <f>SUMIF('[1]9-1404.12.03'!$B$2:$B$2000,$J35,'[1]9-1404.12.03'!$L$2:$L$2000)</f>
        <v>#VALUE!</v>
      </c>
      <c r="EC35" s="176" t="e">
        <f>SUMIF('[1]9-1404.12.03'!$B$2:$B$2000,$J35,'[1]9-1404.12.03'!$E$2:$E$2000)/10</f>
        <v>#VALUE!</v>
      </c>
      <c r="ED35" s="177" t="str">
        <f t="shared" ref="ED35:ED79" si="65">IFERROR(EC35/EB35,"")</f>
        <v/>
      </c>
      <c r="EE35" s="176" t="e">
        <f>SUMIF('[1]8B-1404.12.02'!$D$2:$D$3000,$J35,'[1]8B-1404.12.02'!$M$2:$M$3000)</f>
        <v>#VALUE!</v>
      </c>
      <c r="EF35" s="176" t="e">
        <f>SUMIF('[1]8B-1404.12.02'!$D$2:$D$3000,$J35,'[1]8B-1404.12.02'!$G$2:$G$3000)/10</f>
        <v>#VALUE!</v>
      </c>
      <c r="EG35" s="177" t="str">
        <f t="shared" ref="EG35:EG79" si="66">IFERROR(EF35/EE35,"")</f>
        <v/>
      </c>
      <c r="EH35" s="1502"/>
      <c r="EI35" s="1534">
        <f>SUMIF(Cem_Export!$C$2:$C$3000,$J35,Cem_Export!$I$2:$I$3000)</f>
        <v>0</v>
      </c>
      <c r="EJ35" s="1534">
        <f>SUMIFS(Cem_Export!$J$2:$J$3000,Cem_Export!$C$2:$C$3000,$J35,Cem_Export!$L$2:$L$3000, $EJ$4)</f>
        <v>0</v>
      </c>
      <c r="EK35" s="1534">
        <f>SUMIFS(Cem_Export!$J$2:$J$3000,Cem_Export!$C$2:$C$3000,$J35,Cem_Export!$L$2:$L$3000, $EK$4)</f>
        <v>0</v>
      </c>
      <c r="EL35" s="1682" t="str">
        <f t="shared" si="57"/>
        <v/>
      </c>
      <c r="EM35" s="1836">
        <f t="shared" si="58"/>
        <v>0</v>
      </c>
      <c r="EN35" s="1562"/>
      <c r="EO35" s="1625">
        <f>SUMIF('Cem-Domestic'!$D$2:$D$4000,$J35,'Cem-Domestic'!$M$2:$M$4000)</f>
        <v>14000</v>
      </c>
      <c r="EP35" s="1625">
        <f>SUMIF('Cem-Domestic'!$D$2:$D$4000,$J35,'Cem-Domestic'!$G$2:$G$4000)/10^7</f>
        <v>43.926181499999998</v>
      </c>
      <c r="EQ35" s="1681">
        <f t="shared" si="59"/>
        <v>3137.5843928571426</v>
      </c>
      <c r="ER35" s="1562"/>
      <c r="ES35" s="1533">
        <v>0</v>
      </c>
      <c r="ET35" s="1534">
        <v>0</v>
      </c>
      <c r="EU35" s="1535" t="s">
        <v>192</v>
      </c>
      <c r="EV35" s="1533">
        <v>0</v>
      </c>
      <c r="EW35" s="1534">
        <v>0</v>
      </c>
      <c r="EX35" s="1535" t="s">
        <v>192</v>
      </c>
      <c r="EY35" s="1533">
        <v>0</v>
      </c>
      <c r="EZ35" s="1534">
        <v>0</v>
      </c>
      <c r="FA35" s="1535" t="s">
        <v>192</v>
      </c>
      <c r="FB35" s="1533">
        <v>0</v>
      </c>
      <c r="FC35" s="1534">
        <v>0</v>
      </c>
      <c r="FD35" s="1535" t="s">
        <v>192</v>
      </c>
      <c r="FE35" s="1533">
        <v>0</v>
      </c>
      <c r="FF35" s="1534">
        <v>0</v>
      </c>
      <c r="FG35" s="1535" t="s">
        <v>192</v>
      </c>
    </row>
    <row r="36" spans="1:163" ht="40">
      <c r="A36" s="978"/>
      <c r="B36" s="978"/>
      <c r="C36" s="978"/>
      <c r="D36" s="972"/>
      <c r="E36" s="970"/>
      <c r="F36" s="970"/>
      <c r="G36" s="992"/>
      <c r="H36" s="191"/>
      <c r="I36" s="173"/>
      <c r="J36" s="915" t="s">
        <v>925</v>
      </c>
      <c r="K36" s="143"/>
      <c r="L36" s="207"/>
      <c r="M36" s="207"/>
      <c r="N36" s="208"/>
      <c r="O36" s="208"/>
      <c r="P36" s="1468"/>
      <c r="Q36" s="1468"/>
      <c r="R36" s="1475"/>
      <c r="S36" s="1475"/>
      <c r="T36" s="1481"/>
      <c r="U36" s="1481"/>
      <c r="V36" s="207"/>
      <c r="W36" s="207"/>
      <c r="X36" s="934">
        <v>1000000</v>
      </c>
      <c r="Y36" s="1911"/>
      <c r="Z36" s="1567"/>
      <c r="AA36" s="1548"/>
      <c r="AB36" s="998"/>
      <c r="AC36" s="997"/>
      <c r="AD36" s="1513"/>
      <c r="AE36" s="1365"/>
      <c r="AF36" s="1567">
        <v>140.98974250000001</v>
      </c>
      <c r="AG36" s="1548">
        <v>0</v>
      </c>
      <c r="AH36" s="998"/>
      <c r="AI36" s="885"/>
      <c r="AJ36" s="883"/>
      <c r="AK36" s="1365"/>
      <c r="AL36" s="1567">
        <v>196.4602625</v>
      </c>
      <c r="AM36" s="1548">
        <v>0</v>
      </c>
      <c r="AN36" s="998"/>
      <c r="AO36" s="885"/>
      <c r="AP36" s="883"/>
      <c r="AQ36" s="1365"/>
      <c r="AR36" s="1567"/>
      <c r="AS36" s="1548"/>
      <c r="AT36" s="884"/>
      <c r="AU36" s="885"/>
      <c r="AV36" s="883"/>
      <c r="AW36" s="884"/>
      <c r="AX36" s="1567">
        <v>183.5184285</v>
      </c>
      <c r="AY36" s="1548">
        <v>0</v>
      </c>
      <c r="AZ36" s="1138"/>
      <c r="BA36" s="885"/>
      <c r="BB36" s="883"/>
      <c r="BC36" s="884"/>
      <c r="BD36" s="1567"/>
      <c r="BE36" s="1548"/>
      <c r="BF36" s="884"/>
      <c r="BG36" s="885"/>
      <c r="BH36" s="883"/>
      <c r="BI36" s="884"/>
      <c r="BJ36" s="2102"/>
      <c r="BK36" s="2102"/>
      <c r="BL36" s="2102"/>
      <c r="BM36" s="884"/>
      <c r="BN36" s="1567"/>
      <c r="BO36" s="1548"/>
      <c r="BP36" s="1365"/>
      <c r="BQ36" s="997"/>
      <c r="BR36" s="996"/>
      <c r="BS36" s="1365"/>
      <c r="BT36" s="1567"/>
      <c r="BU36" s="1548"/>
      <c r="BV36" s="1365"/>
      <c r="BW36" s="997"/>
      <c r="BX36" s="996"/>
      <c r="BY36" s="1365"/>
      <c r="BZ36" s="1365"/>
      <c r="CA36" s="1365"/>
      <c r="CB36" s="1992">
        <f t="shared" si="60"/>
        <v>295.78624350000001</v>
      </c>
      <c r="CC36" s="1365"/>
      <c r="CD36" s="1996">
        <v>0</v>
      </c>
      <c r="CE36" s="997"/>
      <c r="CF36" s="1981">
        <v>295.78624350000001</v>
      </c>
      <c r="CG36" s="996"/>
      <c r="CH36" s="1365"/>
      <c r="CI36" s="2102"/>
      <c r="CJ36" s="2102"/>
      <c r="CK36" s="2102"/>
      <c r="CL36" s="1365"/>
      <c r="CM36" s="1365"/>
      <c r="CN36" s="1365"/>
      <c r="CO36" s="1992">
        <f t="shared" si="61"/>
        <v>61.080285000000003</v>
      </c>
      <c r="CP36" s="1365"/>
      <c r="CQ36" s="1996">
        <v>0.62843000000000004</v>
      </c>
      <c r="CR36" s="997"/>
      <c r="CS36" s="1981">
        <v>60.451855000000002</v>
      </c>
      <c r="CT36" s="996"/>
      <c r="CU36" s="884"/>
      <c r="CV36" s="1365"/>
      <c r="CW36" s="1365"/>
      <c r="CX36" s="1992">
        <f t="shared" si="62"/>
        <v>125.997618</v>
      </c>
      <c r="CY36" s="1365"/>
      <c r="CZ36" s="1996">
        <f t="shared" si="55"/>
        <v>0</v>
      </c>
      <c r="DA36" s="997"/>
      <c r="DB36" s="1981">
        <f t="shared" si="56"/>
        <v>125.997618</v>
      </c>
      <c r="DC36" s="996">
        <f t="shared" si="63"/>
        <v>125.997618</v>
      </c>
      <c r="DD36" s="884"/>
      <c r="DE36" s="1567"/>
      <c r="DF36" s="1548"/>
      <c r="DG36" s="884"/>
      <c r="DH36" s="885"/>
      <c r="DI36" s="883"/>
      <c r="DJ36" s="367"/>
      <c r="DK36" s="1201"/>
      <c r="DL36" s="945"/>
      <c r="DM36" s="943"/>
      <c r="DN36" s="948"/>
      <c r="DO36" s="944"/>
      <c r="DP36" s="913"/>
      <c r="DQ36" s="914"/>
      <c r="DR36" s="946"/>
      <c r="DS36" s="942"/>
      <c r="DT36" s="942"/>
      <c r="DU36" s="954">
        <f t="shared" si="64"/>
        <v>0</v>
      </c>
      <c r="DV36" s="905"/>
      <c r="DW36" s="904">
        <f t="shared" ref="DW36:DW79" si="67">BP36+BV36+CC36+CP36+DA36</f>
        <v>0</v>
      </c>
      <c r="DX36" s="1195" t="str">
        <f>_xlfn.XLOOKUP(K36,Cement!$Q$7:$Q$35,Cement!$AR$7:$AR$35,"")</f>
        <v/>
      </c>
      <c r="DY36" s="966"/>
      <c r="DZ36" s="966"/>
      <c r="EA36" s="367"/>
      <c r="EB36" s="176" t="e">
        <f>SUMIF('[1]9-1404.12.03'!$B$2:$B$2000,$J36,'[1]9-1404.12.03'!$L$2:$L$2000)</f>
        <v>#VALUE!</v>
      </c>
      <c r="EC36" s="176" t="e">
        <f>SUMIF('[1]9-1404.12.03'!$B$2:$B$2000,$J36,'[1]9-1404.12.03'!$E$2:$E$2000)/10</f>
        <v>#VALUE!</v>
      </c>
      <c r="ED36" s="177" t="str">
        <f t="shared" si="65"/>
        <v/>
      </c>
      <c r="EE36" s="176" t="e">
        <f>SUMIF('[1]8B-1404.12.02'!$D$2:$D$3000,$J36,'[1]8B-1404.12.02'!$M$2:$M$3000)</f>
        <v>#VALUE!</v>
      </c>
      <c r="EF36" s="176" t="e">
        <f>SUMIF('[1]8B-1404.12.02'!$D$2:$D$3000,$J36,'[1]8B-1404.12.02'!$G$2:$G$3000)/10</f>
        <v>#VALUE!</v>
      </c>
      <c r="EG36" s="177" t="str">
        <f t="shared" si="66"/>
        <v/>
      </c>
      <c r="EH36" s="1502"/>
      <c r="EI36" s="1534">
        <f>SUMIF(Cem_Export!$C$2:$C$3000,$J36,Cem_Export!$I$2:$I$3000)</f>
        <v>0</v>
      </c>
      <c r="EJ36" s="1534">
        <f>SUMIFS(Cem_Export!$J$2:$J$3000,Cem_Export!$C$2:$C$3000,$J36,Cem_Export!$L$2:$L$3000, $EJ$4)</f>
        <v>0</v>
      </c>
      <c r="EK36" s="1534">
        <f>SUMIFS(Cem_Export!$J$2:$J$3000,Cem_Export!$C$2:$C$3000,$J36,Cem_Export!$L$2:$L$3000, $EK$4)</f>
        <v>0</v>
      </c>
      <c r="EL36" s="1682" t="str">
        <f t="shared" si="57"/>
        <v/>
      </c>
      <c r="EM36" s="1836">
        <f t="shared" si="58"/>
        <v>0</v>
      </c>
      <c r="EN36" s="1562"/>
      <c r="EO36" s="1625">
        <f>SUMIF('Cem-Domestic'!$D$2:$D$4000,$J36,'Cem-Domestic'!$M$2:$M$4000)</f>
        <v>37450</v>
      </c>
      <c r="EP36" s="1625">
        <f>SUMIF('Cem-Domestic'!$D$2:$D$4000,$J36,'Cem-Domestic'!$G$2:$G$4000)/10^7</f>
        <v>125.997618</v>
      </c>
      <c r="EQ36" s="1681">
        <f t="shared" si="59"/>
        <v>3364.4223765020029</v>
      </c>
      <c r="ER36" s="1562"/>
      <c r="ES36" s="1533">
        <v>0</v>
      </c>
      <c r="ET36" s="1534">
        <v>0</v>
      </c>
      <c r="EU36" s="1535" t="s">
        <v>192</v>
      </c>
      <c r="EV36" s="1533">
        <v>0</v>
      </c>
      <c r="EW36" s="1534">
        <v>0</v>
      </c>
      <c r="EX36" s="1535" t="s">
        <v>192</v>
      </c>
      <c r="EY36" s="1533">
        <v>0</v>
      </c>
      <c r="EZ36" s="1534">
        <v>0</v>
      </c>
      <c r="FA36" s="1535" t="s">
        <v>192</v>
      </c>
      <c r="FB36" s="1533">
        <v>0</v>
      </c>
      <c r="FC36" s="1534">
        <v>0</v>
      </c>
      <c r="FD36" s="1535" t="s">
        <v>192</v>
      </c>
      <c r="FE36" s="1533">
        <v>0</v>
      </c>
      <c r="FF36" s="1534">
        <v>0</v>
      </c>
      <c r="FG36" s="1535" t="s">
        <v>192</v>
      </c>
    </row>
    <row r="37" spans="1:163" ht="22">
      <c r="A37" s="978"/>
      <c r="B37" s="978"/>
      <c r="C37" s="978"/>
      <c r="D37" s="972"/>
      <c r="E37" s="970"/>
      <c r="F37" s="970"/>
      <c r="G37" s="992"/>
      <c r="H37" s="191"/>
      <c r="I37" s="173"/>
      <c r="J37" s="514" t="s">
        <v>926</v>
      </c>
      <c r="K37" s="190"/>
      <c r="L37" s="65"/>
      <c r="M37" s="65"/>
      <c r="N37" s="208"/>
      <c r="O37" s="208"/>
      <c r="P37" s="1468"/>
      <c r="Q37" s="1468"/>
      <c r="R37" s="1475"/>
      <c r="S37" s="1475"/>
      <c r="T37" s="1481"/>
      <c r="U37" s="1481"/>
      <c r="V37" s="207"/>
      <c r="W37" s="207"/>
      <c r="X37" s="934">
        <v>1000000</v>
      </c>
      <c r="Y37" s="1911"/>
      <c r="Z37" s="1567"/>
      <c r="AA37" s="1548"/>
      <c r="AB37" s="998"/>
      <c r="AC37" s="997"/>
      <c r="AD37" s="996"/>
      <c r="AE37" s="1365"/>
      <c r="AF37" s="1567">
        <v>184.78107</v>
      </c>
      <c r="AG37" s="1548">
        <v>198000</v>
      </c>
      <c r="AH37" s="998"/>
      <c r="AI37" s="885"/>
      <c r="AJ37" s="883"/>
      <c r="AK37" s="1365"/>
      <c r="AL37" s="1567">
        <v>217.78944799999999</v>
      </c>
      <c r="AM37" s="1548">
        <v>140000</v>
      </c>
      <c r="AN37" s="998"/>
      <c r="AO37" s="885"/>
      <c r="AP37" s="883"/>
      <c r="AQ37" s="1365"/>
      <c r="AR37" s="1567"/>
      <c r="AS37" s="1548"/>
      <c r="AT37" s="884"/>
      <c r="AU37" s="885"/>
      <c r="AV37" s="883"/>
      <c r="AW37" s="884"/>
      <c r="AX37" s="1567">
        <v>211.98768250000001</v>
      </c>
      <c r="AY37" s="1548">
        <v>59.598960000000005</v>
      </c>
      <c r="AZ37" s="1138"/>
      <c r="BA37" s="885"/>
      <c r="BB37" s="883"/>
      <c r="BC37" s="884"/>
      <c r="BD37" s="1567"/>
      <c r="BE37" s="1548"/>
      <c r="BF37" s="884"/>
      <c r="BG37" s="885"/>
      <c r="BH37" s="883"/>
      <c r="BI37" s="884"/>
      <c r="BJ37" s="2102"/>
      <c r="BK37" s="2102"/>
      <c r="BL37" s="2102"/>
      <c r="BM37" s="884"/>
      <c r="BN37" s="1567"/>
      <c r="BO37" s="1548"/>
      <c r="BP37" s="1365"/>
      <c r="BQ37" s="997"/>
      <c r="BR37" s="996"/>
      <c r="BS37" s="1365"/>
      <c r="BT37" s="1567"/>
      <c r="BU37" s="1548"/>
      <c r="BV37" s="1365"/>
      <c r="BW37" s="997"/>
      <c r="BX37" s="996"/>
      <c r="BY37" s="1365"/>
      <c r="BZ37" s="1365"/>
      <c r="CA37" s="1365"/>
      <c r="CB37" s="1992">
        <f t="shared" si="60"/>
        <v>365.77818000000002</v>
      </c>
      <c r="CC37" s="1365"/>
      <c r="CD37" s="1996">
        <v>97.77600000000001</v>
      </c>
      <c r="CE37" s="997"/>
      <c r="CF37" s="1981">
        <v>268.00218000000001</v>
      </c>
      <c r="CG37" s="996"/>
      <c r="CH37" s="1365"/>
      <c r="CI37" s="2102"/>
      <c r="CJ37" s="2102"/>
      <c r="CK37" s="2102"/>
      <c r="CL37" s="1365"/>
      <c r="CM37" s="1365"/>
      <c r="CN37" s="1365"/>
      <c r="CO37" s="1992">
        <f t="shared" si="61"/>
        <v>100.79409750000001</v>
      </c>
      <c r="CP37" s="1365"/>
      <c r="CQ37" s="1996">
        <v>0</v>
      </c>
      <c r="CR37" s="997"/>
      <c r="CS37" s="1981">
        <v>100.79409750000001</v>
      </c>
      <c r="CT37" s="996"/>
      <c r="CU37" s="884"/>
      <c r="CV37" s="1365"/>
      <c r="CW37" s="1365"/>
      <c r="CX37" s="1992">
        <f t="shared" si="62"/>
        <v>131.18324699999999</v>
      </c>
      <c r="CY37" s="1365"/>
      <c r="CZ37" s="1996">
        <f t="shared" si="55"/>
        <v>14.56</v>
      </c>
      <c r="DA37" s="997"/>
      <c r="DB37" s="1981">
        <f t="shared" si="56"/>
        <v>116.62324700000001</v>
      </c>
      <c r="DC37" s="996">
        <f t="shared" si="63"/>
        <v>116.62324700000001</v>
      </c>
      <c r="DD37" s="884"/>
      <c r="DE37" s="1567"/>
      <c r="DF37" s="1548"/>
      <c r="DG37" s="884"/>
      <c r="DH37" s="885"/>
      <c r="DI37" s="883"/>
      <c r="DJ37" s="367"/>
      <c r="DK37" s="1201"/>
      <c r="DL37" s="945"/>
      <c r="DM37" s="943"/>
      <c r="DN37" s="948"/>
      <c r="DO37" s="944"/>
      <c r="DP37" s="913"/>
      <c r="DQ37" s="914"/>
      <c r="DR37" s="946"/>
      <c r="DS37" s="942"/>
      <c r="DT37" s="942"/>
      <c r="DU37" s="954">
        <f t="shared" si="64"/>
        <v>0</v>
      </c>
      <c r="DV37" s="905"/>
      <c r="DW37" s="904">
        <f t="shared" si="67"/>
        <v>0</v>
      </c>
      <c r="DX37" s="1195" t="str">
        <f>_xlfn.XLOOKUP(K37,Cement!$Q$7:$Q$35,Cement!$AR$7:$AR$35,"")</f>
        <v/>
      </c>
      <c r="DY37" s="966"/>
      <c r="DZ37" s="966"/>
      <c r="EA37" s="367"/>
      <c r="EB37" s="176" t="e">
        <f>SUMIF('[1]9-1404.12.03'!$B$2:$B$2000,$J37,'[1]9-1404.12.03'!$L$2:$L$2000)</f>
        <v>#VALUE!</v>
      </c>
      <c r="EC37" s="176" t="e">
        <f>SUMIF('[1]9-1404.12.03'!$B$2:$B$2000,$J37,'[1]9-1404.12.03'!$E$2:$E$2000)/10</f>
        <v>#VALUE!</v>
      </c>
      <c r="ED37" s="177" t="str">
        <f t="shared" si="65"/>
        <v/>
      </c>
      <c r="EE37" s="176" t="e">
        <f>SUMIF('[1]8B-1404.12.02'!$D$2:$D$3000,$J37,'[1]8B-1404.12.02'!$M$2:$M$3000)</f>
        <v>#VALUE!</v>
      </c>
      <c r="EF37" s="176" t="e">
        <f>SUMIF('[1]8B-1404.12.02'!$D$2:$D$3000,$J37,'[1]8B-1404.12.02'!$G$2:$G$3000)/10</f>
        <v>#VALUE!</v>
      </c>
      <c r="EG37" s="177" t="str">
        <f t="shared" si="66"/>
        <v/>
      </c>
      <c r="EH37" s="1502"/>
      <c r="EI37" s="1534">
        <f>SUMIF(Cem_Export!$C$2:$C$3000,$J37,Cem_Export!$I$2:$I$3000)</f>
        <v>2000</v>
      </c>
      <c r="EJ37" s="1534">
        <f>SUMIFS(Cem_Export!$J$2:$J$3000,Cem_Export!$C$2:$C$3000,$J37,Cem_Export!$L$2:$L$3000, $EJ$4)</f>
        <v>104000</v>
      </c>
      <c r="EK37" s="1534">
        <f>SUMIFS(Cem_Export!$J$2:$J$3000,Cem_Export!$C$2:$C$3000,$J37,Cem_Export!$L$2:$L$3000, $EK$4)</f>
        <v>0</v>
      </c>
      <c r="EL37" s="1682">
        <f t="shared" si="57"/>
        <v>52</v>
      </c>
      <c r="EM37" s="1836">
        <f t="shared" si="58"/>
        <v>14.56</v>
      </c>
      <c r="EN37" s="1562"/>
      <c r="EO37" s="1625">
        <f>SUMIF('Cem-Domestic'!$D$2:$D$4000,$J37,'Cem-Domestic'!$M$2:$M$4000)</f>
        <v>35875</v>
      </c>
      <c r="EP37" s="1625">
        <f>SUMIF('Cem-Domestic'!$D$2:$D$4000,$J37,'Cem-Domestic'!$G$2:$G$4000)/10^7</f>
        <v>116.62324700000001</v>
      </c>
      <c r="EQ37" s="1681">
        <f t="shared" si="59"/>
        <v>3250.8222160278747</v>
      </c>
      <c r="ER37" s="1562"/>
      <c r="ES37" s="1533">
        <v>2200</v>
      </c>
      <c r="ET37" s="1534">
        <v>132000</v>
      </c>
      <c r="EU37" s="1535">
        <v>60</v>
      </c>
      <c r="EV37" s="1533">
        <v>0</v>
      </c>
      <c r="EW37" s="1534">
        <v>0</v>
      </c>
      <c r="EX37" s="1535" t="s">
        <v>192</v>
      </c>
      <c r="EY37" s="1533">
        <v>1000</v>
      </c>
      <c r="EZ37" s="1534">
        <v>56000</v>
      </c>
      <c r="FA37" s="1535">
        <v>56</v>
      </c>
      <c r="FB37" s="1533">
        <v>0</v>
      </c>
      <c r="FC37" s="1534">
        <v>0</v>
      </c>
      <c r="FD37" s="1535" t="s">
        <v>192</v>
      </c>
      <c r="FE37" s="1533">
        <v>3000</v>
      </c>
      <c r="FF37" s="1534">
        <v>142000</v>
      </c>
      <c r="FG37" s="1535">
        <v>47.333333333333336</v>
      </c>
    </row>
    <row r="38" spans="1:163" ht="22">
      <c r="A38" s="978"/>
      <c r="B38" s="978"/>
      <c r="C38" s="978"/>
      <c r="D38" s="972"/>
      <c r="E38" s="970"/>
      <c r="F38" s="970"/>
      <c r="G38" s="992"/>
      <c r="H38" s="191"/>
      <c r="I38" s="173"/>
      <c r="J38" s="204" t="s">
        <v>927</v>
      </c>
      <c r="K38" s="65"/>
      <c r="L38" s="65"/>
      <c r="M38" s="65"/>
      <c r="N38" s="208"/>
      <c r="O38" s="208"/>
      <c r="P38" s="1468"/>
      <c r="Q38" s="1468"/>
      <c r="R38" s="1475"/>
      <c r="S38" s="1475"/>
      <c r="T38" s="1481"/>
      <c r="U38" s="1481"/>
      <c r="V38" s="207"/>
      <c r="W38" s="207"/>
      <c r="X38" s="934">
        <v>1000000</v>
      </c>
      <c r="Y38" s="1911"/>
      <c r="Z38" s="1567"/>
      <c r="AA38" s="1548"/>
      <c r="AB38" s="998"/>
      <c r="AC38" s="997"/>
      <c r="AD38" s="996"/>
      <c r="AE38" s="1365"/>
      <c r="AF38" s="1567">
        <v>139.55305250000001</v>
      </c>
      <c r="AG38" s="1548">
        <v>712751.11067693948</v>
      </c>
      <c r="AH38" s="998"/>
      <c r="AI38" s="885"/>
      <c r="AJ38" s="883"/>
      <c r="AK38" s="1365"/>
      <c r="AL38" s="1567">
        <v>152.31769</v>
      </c>
      <c r="AM38" s="1548">
        <v>284999.999909329</v>
      </c>
      <c r="AN38" s="998"/>
      <c r="AO38" s="885"/>
      <c r="AP38" s="883"/>
      <c r="AQ38" s="1365"/>
      <c r="AR38" s="1567"/>
      <c r="AS38" s="1548"/>
      <c r="AT38" s="884"/>
      <c r="AU38" s="885"/>
      <c r="AV38" s="883"/>
      <c r="AW38" s="884"/>
      <c r="AX38" s="1567">
        <v>150.17619999999999</v>
      </c>
      <c r="AY38" s="1548">
        <v>34.199999716344244</v>
      </c>
      <c r="AZ38" s="1138"/>
      <c r="BA38" s="885"/>
      <c r="BB38" s="883"/>
      <c r="BC38" s="884"/>
      <c r="BD38" s="1567"/>
      <c r="BE38" s="1548"/>
      <c r="BF38" s="884"/>
      <c r="BG38" s="885"/>
      <c r="BH38" s="883"/>
      <c r="BI38" s="884"/>
      <c r="BJ38" s="2102"/>
      <c r="BK38" s="2102"/>
      <c r="BL38" s="2102"/>
      <c r="BM38" s="884"/>
      <c r="BN38" s="1567"/>
      <c r="BO38" s="1548"/>
      <c r="BP38" s="1365"/>
      <c r="BQ38" s="997"/>
      <c r="BR38" s="996"/>
      <c r="BS38" s="1365"/>
      <c r="BT38" s="1567"/>
      <c r="BU38" s="1548"/>
      <c r="BV38" s="1365"/>
      <c r="BW38" s="997"/>
      <c r="BX38" s="996"/>
      <c r="BY38" s="1365"/>
      <c r="BZ38" s="1365"/>
      <c r="CA38" s="1365"/>
      <c r="CB38" s="1992">
        <f t="shared" si="60"/>
        <v>363.85582999999934</v>
      </c>
      <c r="CC38" s="1365"/>
      <c r="CD38" s="1996">
        <v>120.95999999999934</v>
      </c>
      <c r="CE38" s="997"/>
      <c r="CF38" s="1981">
        <v>242.89582999999999</v>
      </c>
      <c r="CG38" s="996"/>
      <c r="CH38" s="1365"/>
      <c r="CI38" s="2102"/>
      <c r="CJ38" s="2102"/>
      <c r="CK38" s="2102"/>
      <c r="CL38" s="1365"/>
      <c r="CM38" s="1365"/>
      <c r="CN38" s="1365"/>
      <c r="CO38" s="1992">
        <f t="shared" si="61"/>
        <v>300.18967206865437</v>
      </c>
      <c r="CP38" s="1365"/>
      <c r="CQ38" s="1996">
        <v>133.00000056865437</v>
      </c>
      <c r="CR38" s="997"/>
      <c r="CS38" s="1981">
        <v>167.1896715</v>
      </c>
      <c r="CT38" s="996"/>
      <c r="CU38" s="884"/>
      <c r="CV38" s="1365"/>
      <c r="CW38" s="1365"/>
      <c r="CX38" s="1992">
        <f t="shared" si="62"/>
        <v>121.064255</v>
      </c>
      <c r="CY38" s="1365"/>
      <c r="CZ38" s="1996">
        <f t="shared" si="55"/>
        <v>36.4</v>
      </c>
      <c r="DA38" s="997"/>
      <c r="DB38" s="1981">
        <f t="shared" si="56"/>
        <v>84.664254999999997</v>
      </c>
      <c r="DC38" s="996">
        <f t="shared" si="63"/>
        <v>84.664254999999997</v>
      </c>
      <c r="DD38" s="884"/>
      <c r="DE38" s="1567"/>
      <c r="DF38" s="1548"/>
      <c r="DG38" s="884"/>
      <c r="DH38" s="885"/>
      <c r="DI38" s="883"/>
      <c r="DJ38" s="367"/>
      <c r="DK38" s="1201"/>
      <c r="DL38" s="945"/>
      <c r="DM38" s="943"/>
      <c r="DN38" s="948"/>
      <c r="DO38" s="944"/>
      <c r="DP38" s="913"/>
      <c r="DQ38" s="914"/>
      <c r="DR38" s="946"/>
      <c r="DS38" s="942"/>
      <c r="DT38" s="942"/>
      <c r="DU38" s="954">
        <f t="shared" si="64"/>
        <v>0</v>
      </c>
      <c r="DV38" s="905"/>
      <c r="DW38" s="904">
        <f t="shared" si="67"/>
        <v>0</v>
      </c>
      <c r="DX38" s="1195" t="str">
        <f>_xlfn.XLOOKUP(K38,Cement!$Q$7:$Q$35,Cement!$AR$7:$AR$35,"")</f>
        <v/>
      </c>
      <c r="DY38" s="966"/>
      <c r="DZ38" s="966"/>
      <c r="EA38" s="367"/>
      <c r="EB38" s="176" t="e">
        <f>SUMIF('[1]9-1404.12.03'!$B$2:$B$2000,$J38,'[1]9-1404.12.03'!$L$2:$L$2000)</f>
        <v>#VALUE!</v>
      </c>
      <c r="EC38" s="176" t="e">
        <f>SUMIF('[1]9-1404.12.03'!$B$2:$B$2000,$J38,'[1]9-1404.12.03'!$E$2:$E$2000)/10</f>
        <v>#VALUE!</v>
      </c>
      <c r="ED38" s="177" t="str">
        <f t="shared" si="65"/>
        <v/>
      </c>
      <c r="EE38" s="176" t="e">
        <f>SUMIF('[1]8B-1404.12.02'!$D$2:$D$3000,$J38,'[1]8B-1404.12.02'!$M$2:$M$3000)</f>
        <v>#VALUE!</v>
      </c>
      <c r="EF38" s="176" t="e">
        <f>SUMIF('[1]8B-1404.12.02'!$D$2:$D$3000,$J38,'[1]8B-1404.12.02'!$G$2:$G$3000)/10</f>
        <v>#VALUE!</v>
      </c>
      <c r="EG38" s="177" t="str">
        <f t="shared" si="66"/>
        <v/>
      </c>
      <c r="EH38" s="1502"/>
      <c r="EI38" s="1534">
        <f>SUMIF(Cem_Export!$C$2:$C$3000,$J38,Cem_Export!$I$2:$I$3000)</f>
        <v>5000</v>
      </c>
      <c r="EJ38" s="1534">
        <f>SUMIFS(Cem_Export!$J$2:$J$3000,Cem_Export!$C$2:$C$3000,$J38,Cem_Export!$L$2:$L$3000, $EJ$4)</f>
        <v>260000</v>
      </c>
      <c r="EK38" s="1534">
        <f>SUMIFS(Cem_Export!$J$2:$J$3000,Cem_Export!$C$2:$C$3000,$J38,Cem_Export!$L$2:$L$3000, $EK$4)</f>
        <v>0</v>
      </c>
      <c r="EL38" s="1682">
        <f t="shared" ref="EL38:EL68" si="68">IFERROR(((EJ38*$EK$3)+(EK38*10^-4))/($EI38*$EK$3),"")</f>
        <v>52</v>
      </c>
      <c r="EM38" s="1836">
        <f t="shared" ref="EM38:EM68" si="69">IFERROR((EJ38*$EK$3*10^4+EK38)*10^-10,0)</f>
        <v>36.4</v>
      </c>
      <c r="EN38" s="1562"/>
      <c r="EO38" s="1625">
        <f>SUMIF('Cem-Domestic'!$D$2:$D$4000,$J38,'Cem-Domestic'!$M$2:$M$4000)</f>
        <v>28125</v>
      </c>
      <c r="EP38" s="1625">
        <f>SUMIF('Cem-Domestic'!$D$2:$D$4000,$J38,'Cem-Domestic'!$G$2:$G$4000)/10^7</f>
        <v>84.664254999999997</v>
      </c>
      <c r="EQ38" s="1681">
        <f t="shared" ref="EQ38:EQ68" si="70">IFERROR((EP38/EO38)*10^6,"")</f>
        <v>3010.2846222222224</v>
      </c>
      <c r="ER38" s="1562"/>
      <c r="ES38" s="1533">
        <v>1000</v>
      </c>
      <c r="ET38" s="1534">
        <v>47500.000713988898</v>
      </c>
      <c r="EU38" s="1535">
        <v>47.500000713988896</v>
      </c>
      <c r="EV38" s="1533">
        <v>5000</v>
      </c>
      <c r="EW38" s="1534">
        <v>237500</v>
      </c>
      <c r="EX38" s="1535">
        <v>47.5</v>
      </c>
      <c r="EY38" s="1533">
        <v>0</v>
      </c>
      <c r="EZ38" s="1534">
        <v>0</v>
      </c>
      <c r="FA38" s="1535" t="s">
        <v>192</v>
      </c>
      <c r="FB38" s="1533">
        <v>5000</v>
      </c>
      <c r="FC38" s="1534">
        <v>237751.11067693948</v>
      </c>
      <c r="FD38" s="1535">
        <v>47.550222135387898</v>
      </c>
      <c r="FE38" s="1533">
        <v>5000</v>
      </c>
      <c r="FF38" s="1534">
        <v>237500</v>
      </c>
      <c r="FG38" s="1535">
        <v>47.5</v>
      </c>
    </row>
    <row r="39" spans="1:163" ht="24" customHeight="1">
      <c r="A39" s="978"/>
      <c r="B39" s="978"/>
      <c r="C39" s="978"/>
      <c r="D39" s="972"/>
      <c r="E39" s="970"/>
      <c r="F39" s="970"/>
      <c r="G39" s="992"/>
      <c r="H39" s="191"/>
      <c r="I39" s="173" t="str">
        <f>_xlfn.XLOOKUP(K39,Cement!$Q$7:$Q$35,Cement!$A$7:$A$35,"")</f>
        <v/>
      </c>
      <c r="J39" s="423" t="s">
        <v>928</v>
      </c>
      <c r="K39" s="424" t="s">
        <v>929</v>
      </c>
      <c r="L39" s="424"/>
      <c r="M39" s="424"/>
      <c r="N39" s="208"/>
      <c r="O39" s="208"/>
      <c r="P39" s="1469"/>
      <c r="Q39" s="1469"/>
      <c r="R39" s="1476"/>
      <c r="S39" s="1476"/>
      <c r="T39" s="1482"/>
      <c r="U39" s="1482"/>
      <c r="V39" s="1087"/>
      <c r="W39" s="1087"/>
      <c r="X39" s="934">
        <v>1300000</v>
      </c>
      <c r="Y39" s="1911"/>
      <c r="Z39" s="1567"/>
      <c r="AA39" s="1548"/>
      <c r="AB39" s="998"/>
      <c r="AC39" s="997"/>
      <c r="AD39" s="996"/>
      <c r="AE39" s="1365"/>
      <c r="AF39" s="1567">
        <v>32.121366999999999</v>
      </c>
      <c r="AG39" s="1548">
        <v>0</v>
      </c>
      <c r="AH39" s="998"/>
      <c r="AI39" s="885"/>
      <c r="AJ39" s="883"/>
      <c r="AK39" s="1365"/>
      <c r="AL39" s="1567">
        <v>47.331860499999998</v>
      </c>
      <c r="AM39" s="1548">
        <v>0</v>
      </c>
      <c r="AN39" s="998"/>
      <c r="AO39" s="885"/>
      <c r="AP39" s="883"/>
      <c r="AQ39" s="1365"/>
      <c r="AR39" s="1567"/>
      <c r="AS39" s="1548"/>
      <c r="AT39" s="884"/>
      <c r="AU39" s="885"/>
      <c r="AV39" s="883"/>
      <c r="AW39" s="884"/>
      <c r="AX39" s="1567">
        <v>101.56511999999999</v>
      </c>
      <c r="AY39" s="1548">
        <v>0</v>
      </c>
      <c r="AZ39" s="1138"/>
      <c r="BA39" s="885"/>
      <c r="BB39" s="883"/>
      <c r="BC39" s="884"/>
      <c r="BD39" s="1567"/>
      <c r="BE39" s="1548"/>
      <c r="BF39" s="884"/>
      <c r="BG39" s="885"/>
      <c r="BH39" s="883"/>
      <c r="BI39" s="884"/>
      <c r="BJ39" s="2102"/>
      <c r="BK39" s="2102"/>
      <c r="BL39" s="2102"/>
      <c r="BM39" s="884"/>
      <c r="BN39" s="1567"/>
      <c r="BO39" s="1548"/>
      <c r="BP39" s="1365"/>
      <c r="BQ39" s="997"/>
      <c r="BR39" s="996"/>
      <c r="BS39" s="1365"/>
      <c r="BT39" s="1567"/>
      <c r="BU39" s="1548"/>
      <c r="BV39" s="1365"/>
      <c r="BW39" s="997"/>
      <c r="BX39" s="996"/>
      <c r="BY39" s="1365"/>
      <c r="BZ39" s="1365"/>
      <c r="CA39" s="1365"/>
      <c r="CB39" s="1992">
        <f t="shared" si="60"/>
        <v>91.637429999999995</v>
      </c>
      <c r="CC39" s="1365"/>
      <c r="CD39" s="1996">
        <v>0</v>
      </c>
      <c r="CE39" s="997"/>
      <c r="CF39" s="1981">
        <v>91.637429999999995</v>
      </c>
      <c r="CG39" s="996"/>
      <c r="CH39" s="1365"/>
      <c r="CI39" s="2102"/>
      <c r="CJ39" s="2102"/>
      <c r="CK39" s="2102"/>
      <c r="CL39" s="1365"/>
      <c r="CM39" s="1365"/>
      <c r="CN39" s="1365"/>
      <c r="CO39" s="1992">
        <f t="shared" si="61"/>
        <v>66.620739999999998</v>
      </c>
      <c r="CP39" s="1365"/>
      <c r="CQ39" s="1996">
        <v>0</v>
      </c>
      <c r="CR39" s="997"/>
      <c r="CS39" s="1981">
        <v>66.620739999999998</v>
      </c>
      <c r="CT39" s="996"/>
      <c r="CU39" s="884"/>
      <c r="CV39" s="1365"/>
      <c r="CW39" s="1365"/>
      <c r="CX39" s="1992">
        <f t="shared" si="62"/>
        <v>45.349700000000006</v>
      </c>
      <c r="CY39" s="1365"/>
      <c r="CZ39" s="1996">
        <f t="shared" si="55"/>
        <v>1.456</v>
      </c>
      <c r="DA39" s="997"/>
      <c r="DB39" s="1981">
        <f t="shared" si="56"/>
        <v>43.893700000000003</v>
      </c>
      <c r="DC39" s="996">
        <f t="shared" si="63"/>
        <v>43.893700000000003</v>
      </c>
      <c r="DD39" s="884"/>
      <c r="DE39" s="1567"/>
      <c r="DF39" s="1548"/>
      <c r="DG39" s="884"/>
      <c r="DH39" s="885"/>
      <c r="DI39" s="883"/>
      <c r="DJ39" s="367"/>
      <c r="DK39" s="1201"/>
      <c r="DL39" s="945"/>
      <c r="DM39" s="943"/>
      <c r="DN39" s="948"/>
      <c r="DO39" s="944"/>
      <c r="DP39" s="913"/>
      <c r="DQ39" s="914"/>
      <c r="DR39" s="946"/>
      <c r="DS39" s="942"/>
      <c r="DT39" s="942"/>
      <c r="DU39" s="954">
        <f t="shared" si="64"/>
        <v>0</v>
      </c>
      <c r="DV39" s="905"/>
      <c r="DW39" s="904">
        <f t="shared" si="67"/>
        <v>0</v>
      </c>
      <c r="DX39" s="1195" t="str">
        <f>_xlfn.XLOOKUP(K39,Cement!$Q$7:$Q$35,Cement!$AR$7:$AR$35,"")</f>
        <v/>
      </c>
      <c r="DY39" s="966"/>
      <c r="DZ39" s="966"/>
      <c r="EA39" s="367"/>
      <c r="EB39" s="176" t="e">
        <f>SUMIF('[1]9-1404.12.03'!$B$2:$B$2000,$J39,'[1]9-1404.12.03'!$L$2:$L$2000)</f>
        <v>#VALUE!</v>
      </c>
      <c r="EC39" s="176" t="e">
        <f>SUMIF('[1]9-1404.12.03'!$B$2:$B$2000,$J39,'[1]9-1404.12.03'!$E$2:$E$2000)/10</f>
        <v>#VALUE!</v>
      </c>
      <c r="ED39" s="177" t="str">
        <f t="shared" si="65"/>
        <v/>
      </c>
      <c r="EE39" s="176" t="e">
        <f>SUMIF('[1]8B-1404.12.02'!$D$2:$D$3000,$J39,'[1]8B-1404.12.02'!$M$2:$M$3000)</f>
        <v>#VALUE!</v>
      </c>
      <c r="EF39" s="176" t="e">
        <f>SUMIF('[1]8B-1404.12.02'!$D$2:$D$3000,$J39,'[1]8B-1404.12.02'!$G$2:$G$3000)/10</f>
        <v>#VALUE!</v>
      </c>
      <c r="EG39" s="177" t="str">
        <f t="shared" si="66"/>
        <v/>
      </c>
      <c r="EH39" s="1502"/>
      <c r="EI39" s="1534">
        <f>SUMIF(Cem_Export!$C$2:$C$3000,$J39,Cem_Export!$I$2:$I$3000)</f>
        <v>200</v>
      </c>
      <c r="EJ39" s="1534">
        <f>SUMIFS(Cem_Export!$J$2:$J$3000,Cem_Export!$C$2:$C$3000,$J39,Cem_Export!$L$2:$L$3000, $EJ$4)</f>
        <v>10400</v>
      </c>
      <c r="EK39" s="1534">
        <f>SUMIFS(Cem_Export!$J$2:$J$3000,Cem_Export!$C$2:$C$3000,$J39,Cem_Export!$L$2:$L$3000, $EK$4)</f>
        <v>0</v>
      </c>
      <c r="EL39" s="1682">
        <f t="shared" si="68"/>
        <v>52</v>
      </c>
      <c r="EM39" s="1836">
        <f t="shared" si="69"/>
        <v>1.456</v>
      </c>
      <c r="EN39" s="1562"/>
      <c r="EO39" s="1625">
        <f>SUMIF('Cem-Domestic'!$D$2:$D$4000,$J39,'Cem-Domestic'!$M$2:$M$4000)</f>
        <v>13275</v>
      </c>
      <c r="EP39" s="1625">
        <f>SUMIF('Cem-Domestic'!$D$2:$D$4000,$J39,'Cem-Domestic'!$G$2:$G$4000)/10^7</f>
        <v>43.893700000000003</v>
      </c>
      <c r="EQ39" s="1681">
        <f t="shared" si="70"/>
        <v>3306.4934086629005</v>
      </c>
      <c r="ER39" s="1562"/>
      <c r="ES39" s="1533">
        <v>0</v>
      </c>
      <c r="ET39" s="1534">
        <v>0</v>
      </c>
      <c r="EU39" s="1535" t="s">
        <v>192</v>
      </c>
      <c r="EV39" s="1533">
        <v>0</v>
      </c>
      <c r="EW39" s="1534">
        <v>0</v>
      </c>
      <c r="EX39" s="1535" t="s">
        <v>192</v>
      </c>
      <c r="EY39" s="1533">
        <v>0</v>
      </c>
      <c r="EZ39" s="1534">
        <v>0</v>
      </c>
      <c r="FA39" s="1535" t="s">
        <v>192</v>
      </c>
      <c r="FB39" s="1533">
        <v>0</v>
      </c>
      <c r="FC39" s="1534">
        <v>0</v>
      </c>
      <c r="FD39" s="1535" t="s">
        <v>192</v>
      </c>
      <c r="FE39" s="1533">
        <v>0</v>
      </c>
      <c r="FF39" s="1534">
        <v>0</v>
      </c>
      <c r="FG39" s="1535" t="s">
        <v>192</v>
      </c>
    </row>
    <row r="40" spans="1:163" ht="22">
      <c r="A40" s="978"/>
      <c r="B40" s="978"/>
      <c r="C40" s="978"/>
      <c r="D40" s="972"/>
      <c r="E40" s="970"/>
      <c r="F40" s="970"/>
      <c r="G40" s="992"/>
      <c r="H40" s="191"/>
      <c r="I40" s="173"/>
      <c r="J40" s="204" t="s">
        <v>930</v>
      </c>
      <c r="K40" s="65"/>
      <c r="L40" s="65"/>
      <c r="M40" s="65"/>
      <c r="N40" s="208"/>
      <c r="O40" s="208"/>
      <c r="P40" s="1468"/>
      <c r="Q40" s="1468"/>
      <c r="R40" s="1475"/>
      <c r="S40" s="1475"/>
      <c r="T40" s="1481"/>
      <c r="U40" s="1481"/>
      <c r="V40" s="207"/>
      <c r="W40" s="207"/>
      <c r="X40" s="934">
        <v>500000</v>
      </c>
      <c r="Y40" s="1911"/>
      <c r="Z40" s="1567"/>
      <c r="AA40" s="1548"/>
      <c r="AB40" s="998"/>
      <c r="AC40" s="997"/>
      <c r="AD40" s="996"/>
      <c r="AE40" s="1365"/>
      <c r="AF40" s="1567">
        <v>96.678970000000007</v>
      </c>
      <c r="AG40" s="1548">
        <v>0</v>
      </c>
      <c r="AH40" s="998"/>
      <c r="AI40" s="885"/>
      <c r="AJ40" s="883"/>
      <c r="AK40" s="1365"/>
      <c r="AL40" s="1567">
        <v>90.617599999999996</v>
      </c>
      <c r="AM40" s="1548">
        <v>0</v>
      </c>
      <c r="AN40" s="998"/>
      <c r="AO40" s="885"/>
      <c r="AP40" s="883"/>
      <c r="AQ40" s="1365"/>
      <c r="AR40" s="1567"/>
      <c r="AS40" s="1548"/>
      <c r="AT40" s="884"/>
      <c r="AU40" s="885"/>
      <c r="AV40" s="883"/>
      <c r="AW40" s="884"/>
      <c r="AX40" s="1567">
        <v>82.470882500000002</v>
      </c>
      <c r="AY40" s="1548">
        <v>0</v>
      </c>
      <c r="AZ40" s="1138"/>
      <c r="BA40" s="885"/>
      <c r="BB40" s="883"/>
      <c r="BC40" s="884"/>
      <c r="BD40" s="1567"/>
      <c r="BE40" s="1548"/>
      <c r="BF40" s="884"/>
      <c r="BG40" s="885"/>
      <c r="BH40" s="883"/>
      <c r="BI40" s="884"/>
      <c r="BJ40" s="2102"/>
      <c r="BK40" s="2102"/>
      <c r="BL40" s="2102"/>
      <c r="BM40" s="884"/>
      <c r="BN40" s="1567"/>
      <c r="BO40" s="1548"/>
      <c r="BP40" s="1365"/>
      <c r="BQ40" s="997"/>
      <c r="BR40" s="996"/>
      <c r="BS40" s="1365"/>
      <c r="BT40" s="1567"/>
      <c r="BU40" s="1548"/>
      <c r="BV40" s="1365"/>
      <c r="BW40" s="997"/>
      <c r="BX40" s="996"/>
      <c r="BY40" s="1365"/>
      <c r="BZ40" s="1365"/>
      <c r="CA40" s="1365"/>
      <c r="CB40" s="1992">
        <f t="shared" si="60"/>
        <v>140.53523250000001</v>
      </c>
      <c r="CC40" s="1365"/>
      <c r="CD40" s="1996">
        <v>4.6550000000000002</v>
      </c>
      <c r="CE40" s="997"/>
      <c r="CF40" s="1981">
        <v>135.88023250000001</v>
      </c>
      <c r="CG40" s="996"/>
      <c r="CH40" s="1365"/>
      <c r="CI40" s="2102"/>
      <c r="CJ40" s="2102"/>
      <c r="CK40" s="2102"/>
      <c r="CL40" s="1365"/>
      <c r="CM40" s="1365"/>
      <c r="CN40" s="1365"/>
      <c r="CO40" s="1992">
        <f t="shared" si="61"/>
        <v>31.952729999999999</v>
      </c>
      <c r="CP40" s="1365"/>
      <c r="CQ40" s="1996">
        <v>0</v>
      </c>
      <c r="CR40" s="997"/>
      <c r="CS40" s="1981">
        <v>31.952729999999999</v>
      </c>
      <c r="CT40" s="996"/>
      <c r="CU40" s="884"/>
      <c r="CV40" s="1365"/>
      <c r="CW40" s="1365"/>
      <c r="CX40" s="1992">
        <f t="shared" si="62"/>
        <v>57.934829999999998</v>
      </c>
      <c r="CY40" s="1365"/>
      <c r="CZ40" s="1996">
        <f t="shared" si="55"/>
        <v>0</v>
      </c>
      <c r="DA40" s="997"/>
      <c r="DB40" s="1981">
        <f t="shared" si="56"/>
        <v>57.934829999999998</v>
      </c>
      <c r="DC40" s="996">
        <f t="shared" si="63"/>
        <v>57.934829999999998</v>
      </c>
      <c r="DD40" s="884"/>
      <c r="DE40" s="1567"/>
      <c r="DF40" s="1548"/>
      <c r="DG40" s="884"/>
      <c r="DH40" s="885"/>
      <c r="DI40" s="883"/>
      <c r="DJ40" s="367"/>
      <c r="DK40" s="1201"/>
      <c r="DL40" s="945"/>
      <c r="DM40" s="943"/>
      <c r="DN40" s="948"/>
      <c r="DO40" s="944"/>
      <c r="DP40" s="913"/>
      <c r="DQ40" s="914"/>
      <c r="DR40" s="946"/>
      <c r="DS40" s="942"/>
      <c r="DT40" s="942"/>
      <c r="DU40" s="954">
        <f t="shared" si="64"/>
        <v>0</v>
      </c>
      <c r="DV40" s="905"/>
      <c r="DW40" s="904">
        <f t="shared" si="67"/>
        <v>0</v>
      </c>
      <c r="DX40" s="1195" t="str">
        <f>_xlfn.XLOOKUP(K40,Cement!$Q$7:$Q$35,Cement!$AR$7:$AR$35,"")</f>
        <v/>
      </c>
      <c r="DY40" s="966"/>
      <c r="DZ40" s="966"/>
      <c r="EA40" s="367"/>
      <c r="EB40" s="176" t="e">
        <f>SUMIF('[1]9-1404.12.03'!$B$2:$B$2000,$J40,'[1]9-1404.12.03'!$L$2:$L$2000)</f>
        <v>#VALUE!</v>
      </c>
      <c r="EC40" s="176" t="e">
        <f>SUMIF('[1]9-1404.12.03'!$B$2:$B$2000,$J40,'[1]9-1404.12.03'!$E$2:$E$2000)/10</f>
        <v>#VALUE!</v>
      </c>
      <c r="ED40" s="177" t="str">
        <f t="shared" si="65"/>
        <v/>
      </c>
      <c r="EE40" s="176" t="e">
        <f>SUMIF('[1]8B-1404.12.02'!$D$2:$D$3000,$J40,'[1]8B-1404.12.02'!$M$2:$M$3000)</f>
        <v>#VALUE!</v>
      </c>
      <c r="EF40" s="176" t="e">
        <f>SUMIF('[1]8B-1404.12.02'!$D$2:$D$3000,$J40,'[1]8B-1404.12.02'!$G$2:$G$3000)/10</f>
        <v>#VALUE!</v>
      </c>
      <c r="EG40" s="177" t="str">
        <f t="shared" si="66"/>
        <v/>
      </c>
      <c r="EH40" s="1502"/>
      <c r="EI40" s="1534">
        <f>SUMIF(Cem_Export!$C$2:$C$3000,$J40,Cem_Export!$I$2:$I$3000)</f>
        <v>0</v>
      </c>
      <c r="EJ40" s="1534">
        <f>SUMIFS(Cem_Export!$J$2:$J$3000,Cem_Export!$C$2:$C$3000,$J40,Cem_Export!$L$2:$L$3000, $EJ$4)</f>
        <v>0</v>
      </c>
      <c r="EK40" s="1534">
        <f>SUMIFS(Cem_Export!$J$2:$J$3000,Cem_Export!$C$2:$C$3000,$J40,Cem_Export!$L$2:$L$3000, $EK$4)</f>
        <v>0</v>
      </c>
      <c r="EL40" s="1682" t="str">
        <f t="shared" si="68"/>
        <v/>
      </c>
      <c r="EM40" s="1836">
        <f t="shared" si="69"/>
        <v>0</v>
      </c>
      <c r="EN40" s="1562"/>
      <c r="EO40" s="1625">
        <f>SUMIF('Cem-Domestic'!$D$2:$D$4000,$J40,'Cem-Domestic'!$M$2:$M$4000)</f>
        <v>20200</v>
      </c>
      <c r="EP40" s="1625">
        <f>SUMIF('Cem-Domestic'!$D$2:$D$4000,$J40,'Cem-Domestic'!$G$2:$G$4000)/10^7</f>
        <v>57.934829999999998</v>
      </c>
      <c r="EQ40" s="1681">
        <f t="shared" si="70"/>
        <v>2868.0608910891087</v>
      </c>
      <c r="ER40" s="1562"/>
      <c r="ES40" s="1533">
        <v>0</v>
      </c>
      <c r="ET40" s="1534">
        <v>0</v>
      </c>
      <c r="EU40" s="1535" t="s">
        <v>192</v>
      </c>
      <c r="EV40" s="1533">
        <v>0</v>
      </c>
      <c r="EW40" s="1534">
        <v>0</v>
      </c>
      <c r="EX40" s="1535" t="s">
        <v>192</v>
      </c>
      <c r="EY40" s="1533">
        <v>0</v>
      </c>
      <c r="EZ40" s="1534">
        <v>0</v>
      </c>
      <c r="FA40" s="1535" t="s">
        <v>192</v>
      </c>
      <c r="FB40" s="1533">
        <v>0</v>
      </c>
      <c r="FC40" s="1534">
        <v>0</v>
      </c>
      <c r="FD40" s="1535" t="s">
        <v>192</v>
      </c>
      <c r="FE40" s="1533">
        <v>0</v>
      </c>
      <c r="FF40" s="1534">
        <v>0</v>
      </c>
      <c r="FG40" s="1535" t="s">
        <v>192</v>
      </c>
    </row>
    <row r="41" spans="1:163" ht="22">
      <c r="A41" s="978"/>
      <c r="B41" s="978"/>
      <c r="C41" s="978"/>
      <c r="D41" s="972"/>
      <c r="E41" s="970"/>
      <c r="F41" s="970"/>
      <c r="G41" s="992"/>
      <c r="H41" s="191"/>
      <c r="I41" s="173" t="str">
        <f>_xlfn.XLOOKUP(K41,Cement!$Q$7:$Q$35,Cement!$A$7:$A$35,"")</f>
        <v/>
      </c>
      <c r="J41" s="423" t="s">
        <v>931</v>
      </c>
      <c r="K41" s="424" t="s">
        <v>932</v>
      </c>
      <c r="L41" s="424"/>
      <c r="M41" s="424"/>
      <c r="N41" s="208"/>
      <c r="O41" s="208"/>
      <c r="P41" s="1469"/>
      <c r="Q41" s="1469"/>
      <c r="R41" s="1476"/>
      <c r="S41" s="1476"/>
      <c r="T41" s="1482"/>
      <c r="U41" s="1482"/>
      <c r="V41" s="1087"/>
      <c r="W41" s="1087"/>
      <c r="X41" s="934">
        <v>700000</v>
      </c>
      <c r="Y41" s="1911"/>
      <c r="Z41" s="1567"/>
      <c r="AA41" s="1548"/>
      <c r="AB41" s="998"/>
      <c r="AC41" s="997"/>
      <c r="AD41" s="996"/>
      <c r="AE41" s="1365"/>
      <c r="AF41" s="1567">
        <v>85.2401555</v>
      </c>
      <c r="AG41" s="1548">
        <v>0</v>
      </c>
      <c r="AH41" s="998"/>
      <c r="AI41" s="885"/>
      <c r="AJ41" s="883"/>
      <c r="AK41" s="1365"/>
      <c r="AL41" s="1567">
        <v>124.62222850000001</v>
      </c>
      <c r="AM41" s="1548">
        <v>0</v>
      </c>
      <c r="AN41" s="998"/>
      <c r="AO41" s="885"/>
      <c r="AP41" s="883"/>
      <c r="AQ41" s="1365"/>
      <c r="AR41" s="1567"/>
      <c r="AS41" s="1548"/>
      <c r="AT41" s="884"/>
      <c r="AU41" s="885"/>
      <c r="AV41" s="883"/>
      <c r="AW41" s="884"/>
      <c r="AX41" s="1567">
        <v>128.492231</v>
      </c>
      <c r="AY41" s="1548">
        <v>0</v>
      </c>
      <c r="AZ41" s="1138"/>
      <c r="BA41" s="885"/>
      <c r="BB41" s="883"/>
      <c r="BC41" s="884"/>
      <c r="BD41" s="1567"/>
      <c r="BE41" s="1548"/>
      <c r="BF41" s="884"/>
      <c r="BG41" s="885"/>
      <c r="BH41" s="883"/>
      <c r="BI41" s="884"/>
      <c r="BJ41" s="2102"/>
      <c r="BK41" s="2102"/>
      <c r="BL41" s="2102"/>
      <c r="BM41" s="884"/>
      <c r="BN41" s="1567"/>
      <c r="BO41" s="1548"/>
      <c r="BP41" s="1365"/>
      <c r="BQ41" s="997"/>
      <c r="BR41" s="996"/>
      <c r="BS41" s="1365"/>
      <c r="BT41" s="1567"/>
      <c r="BU41" s="1548"/>
      <c r="BV41" s="1365"/>
      <c r="BW41" s="997"/>
      <c r="BX41" s="996"/>
      <c r="BY41" s="1365"/>
      <c r="BZ41" s="1365"/>
      <c r="CA41" s="1365"/>
      <c r="CB41" s="1992">
        <f t="shared" si="60"/>
        <v>236.4634935</v>
      </c>
      <c r="CC41" s="1365"/>
      <c r="CD41" s="1996">
        <v>0</v>
      </c>
      <c r="CE41" s="997"/>
      <c r="CF41" s="1981">
        <v>236.4634935</v>
      </c>
      <c r="CG41" s="996"/>
      <c r="CH41" s="1365"/>
      <c r="CI41" s="2102"/>
      <c r="CJ41" s="2102"/>
      <c r="CK41" s="2102"/>
      <c r="CL41" s="1365"/>
      <c r="CM41" s="1365"/>
      <c r="CN41" s="1365"/>
      <c r="CO41" s="1992">
        <f t="shared" si="61"/>
        <v>128.79533749999999</v>
      </c>
      <c r="CP41" s="1365"/>
      <c r="CQ41" s="1996">
        <v>0</v>
      </c>
      <c r="CR41" s="997"/>
      <c r="CS41" s="1981">
        <v>128.79533749999999</v>
      </c>
      <c r="CT41" s="996"/>
      <c r="CU41" s="884"/>
      <c r="CV41" s="1365"/>
      <c r="CW41" s="1365"/>
      <c r="CX41" s="1992">
        <f t="shared" si="62"/>
        <v>78.709427000000005</v>
      </c>
      <c r="CY41" s="1365"/>
      <c r="CZ41" s="1996">
        <f t="shared" si="55"/>
        <v>0</v>
      </c>
      <c r="DA41" s="997"/>
      <c r="DB41" s="1981">
        <f t="shared" si="56"/>
        <v>78.709427000000005</v>
      </c>
      <c r="DC41" s="996">
        <f t="shared" si="63"/>
        <v>78.709427000000005</v>
      </c>
      <c r="DD41" s="884"/>
      <c r="DE41" s="1567"/>
      <c r="DF41" s="1548"/>
      <c r="DG41" s="884"/>
      <c r="DH41" s="885"/>
      <c r="DI41" s="883"/>
      <c r="DJ41" s="367"/>
      <c r="DK41" s="1201"/>
      <c r="DL41" s="945"/>
      <c r="DM41" s="943"/>
      <c r="DN41" s="948"/>
      <c r="DO41" s="944"/>
      <c r="DP41" s="913"/>
      <c r="DQ41" s="914"/>
      <c r="DR41" s="946"/>
      <c r="DS41" s="942"/>
      <c r="DT41" s="942"/>
      <c r="DU41" s="954">
        <f t="shared" si="64"/>
        <v>0</v>
      </c>
      <c r="DV41" s="905"/>
      <c r="DW41" s="904">
        <f t="shared" si="67"/>
        <v>0</v>
      </c>
      <c r="DX41" s="1195" t="str">
        <f>_xlfn.XLOOKUP(K41,Cement!$Q$7:$Q$35,Cement!$AR$7:$AR$35,"")</f>
        <v/>
      </c>
      <c r="DY41" s="966"/>
      <c r="DZ41" s="966"/>
      <c r="EA41" s="367"/>
      <c r="EB41" s="176" t="e">
        <f>SUMIF('[1]9-1404.12.03'!$B$2:$B$2000,$J41,'[1]9-1404.12.03'!$L$2:$L$2000)</f>
        <v>#VALUE!</v>
      </c>
      <c r="EC41" s="176" t="e">
        <f>SUMIF('[1]9-1404.12.03'!$B$2:$B$2000,$J41,'[1]9-1404.12.03'!$E$2:$E$2000)/10</f>
        <v>#VALUE!</v>
      </c>
      <c r="ED41" s="177" t="str">
        <f t="shared" si="65"/>
        <v/>
      </c>
      <c r="EE41" s="176" t="e">
        <f>SUMIF('[1]8B-1404.12.02'!$D$2:$D$3000,$J41,'[1]8B-1404.12.02'!$M$2:$M$3000)</f>
        <v>#VALUE!</v>
      </c>
      <c r="EF41" s="176" t="e">
        <f>SUMIF('[1]8B-1404.12.02'!$D$2:$D$3000,$J41,'[1]8B-1404.12.02'!$G$2:$G$3000)/10</f>
        <v>#VALUE!</v>
      </c>
      <c r="EG41" s="177" t="str">
        <f t="shared" si="66"/>
        <v/>
      </c>
      <c r="EH41" s="1502"/>
      <c r="EI41" s="1534">
        <f>SUMIF(Cem_Export!$C$2:$C$3000,$J41,Cem_Export!$I$2:$I$3000)</f>
        <v>0</v>
      </c>
      <c r="EJ41" s="1534">
        <f>SUMIFS(Cem_Export!$J$2:$J$3000,Cem_Export!$C$2:$C$3000,$J41,Cem_Export!$L$2:$L$3000, $EJ$4)</f>
        <v>0</v>
      </c>
      <c r="EK41" s="1534">
        <f>SUMIFS(Cem_Export!$J$2:$J$3000,Cem_Export!$C$2:$C$3000,$J41,Cem_Export!$L$2:$L$3000, $EK$4)</f>
        <v>0</v>
      </c>
      <c r="EL41" s="1682" t="str">
        <f t="shared" si="68"/>
        <v/>
      </c>
      <c r="EM41" s="1836">
        <f t="shared" si="69"/>
        <v>0</v>
      </c>
      <c r="EN41" s="1562"/>
      <c r="EO41" s="1625">
        <f>SUMIF('Cem-Domestic'!$D$2:$D$4000,$J41,'Cem-Domestic'!$M$2:$M$4000)</f>
        <v>22420</v>
      </c>
      <c r="EP41" s="1625">
        <f>SUMIF('Cem-Domestic'!$D$2:$D$4000,$J41,'Cem-Domestic'!$G$2:$G$4000)/10^7</f>
        <v>78.709427000000005</v>
      </c>
      <c r="EQ41" s="1681">
        <f t="shared" si="70"/>
        <v>3510.6791703835861</v>
      </c>
      <c r="ER41" s="1562"/>
      <c r="ES41" s="1533">
        <v>0</v>
      </c>
      <c r="ET41" s="1534">
        <v>0</v>
      </c>
      <c r="EU41" s="1535" t="s">
        <v>192</v>
      </c>
      <c r="EV41" s="1533">
        <v>0</v>
      </c>
      <c r="EW41" s="1534">
        <v>0</v>
      </c>
      <c r="EX41" s="1535" t="s">
        <v>192</v>
      </c>
      <c r="EY41" s="1533">
        <v>0</v>
      </c>
      <c r="EZ41" s="1534">
        <v>0</v>
      </c>
      <c r="FA41" s="1535" t="s">
        <v>192</v>
      </c>
      <c r="FB41" s="1533">
        <v>0</v>
      </c>
      <c r="FC41" s="1534">
        <v>0</v>
      </c>
      <c r="FD41" s="1535" t="s">
        <v>192</v>
      </c>
      <c r="FE41" s="1533">
        <v>0</v>
      </c>
      <c r="FF41" s="1534">
        <v>0</v>
      </c>
      <c r="FG41" s="1535" t="s">
        <v>192</v>
      </c>
    </row>
    <row r="42" spans="1:163" ht="22">
      <c r="A42" s="978"/>
      <c r="B42" s="978"/>
      <c r="C42" s="978"/>
      <c r="D42" s="972"/>
      <c r="E42" s="970"/>
      <c r="F42" s="970"/>
      <c r="G42" s="992"/>
      <c r="H42" s="191"/>
      <c r="I42" s="173"/>
      <c r="J42" s="204" t="s">
        <v>933</v>
      </c>
      <c r="K42" s="65"/>
      <c r="L42" s="65"/>
      <c r="M42" s="65"/>
      <c r="N42" s="208"/>
      <c r="O42" s="208"/>
      <c r="P42" s="1468"/>
      <c r="Q42" s="1468"/>
      <c r="R42" s="1475"/>
      <c r="S42" s="1475"/>
      <c r="T42" s="1481"/>
      <c r="U42" s="1481"/>
      <c r="V42" s="207"/>
      <c r="W42" s="207"/>
      <c r="X42" s="934">
        <v>660000</v>
      </c>
      <c r="Y42" s="1911"/>
      <c r="Z42" s="1567"/>
      <c r="AA42" s="1548"/>
      <c r="AB42" s="998"/>
      <c r="AC42" s="997"/>
      <c r="AD42" s="996"/>
      <c r="AE42" s="1365"/>
      <c r="AF42" s="1567">
        <v>96.525480000000002</v>
      </c>
      <c r="AG42" s="1548">
        <v>0</v>
      </c>
      <c r="AH42" s="998"/>
      <c r="AI42" s="885"/>
      <c r="AJ42" s="883"/>
      <c r="AK42" s="1365"/>
      <c r="AL42" s="1567">
        <v>73.480414999999994</v>
      </c>
      <c r="AM42" s="1548">
        <v>0</v>
      </c>
      <c r="AN42" s="998"/>
      <c r="AO42" s="885"/>
      <c r="AP42" s="883"/>
      <c r="AQ42" s="1365"/>
      <c r="AR42" s="1567"/>
      <c r="AS42" s="1548"/>
      <c r="AT42" s="884"/>
      <c r="AU42" s="885"/>
      <c r="AV42" s="883"/>
      <c r="AW42" s="884"/>
      <c r="AX42" s="1567">
        <v>84.442117499999995</v>
      </c>
      <c r="AY42" s="1548">
        <v>0</v>
      </c>
      <c r="AZ42" s="1138"/>
      <c r="BA42" s="885"/>
      <c r="BB42" s="883"/>
      <c r="BC42" s="884"/>
      <c r="BD42" s="1567"/>
      <c r="BE42" s="1548"/>
      <c r="BF42" s="884"/>
      <c r="BG42" s="885"/>
      <c r="BH42" s="883"/>
      <c r="BI42" s="884"/>
      <c r="BJ42" s="2102"/>
      <c r="BK42" s="2102"/>
      <c r="BL42" s="2102"/>
      <c r="BM42" s="884"/>
      <c r="BN42" s="1567"/>
      <c r="BO42" s="1548"/>
      <c r="BP42" s="1365"/>
      <c r="BQ42" s="997"/>
      <c r="BR42" s="996"/>
      <c r="BS42" s="1365"/>
      <c r="BT42" s="1567"/>
      <c r="BU42" s="1548"/>
      <c r="BV42" s="1365"/>
      <c r="BW42" s="997"/>
      <c r="BX42" s="996"/>
      <c r="BY42" s="1365"/>
      <c r="BZ42" s="1365"/>
      <c r="CA42" s="1365"/>
      <c r="CB42" s="1992">
        <f t="shared" si="60"/>
        <v>100.120375</v>
      </c>
      <c r="CC42" s="1365"/>
      <c r="CD42" s="1996">
        <v>0</v>
      </c>
      <c r="CE42" s="997"/>
      <c r="CF42" s="1981">
        <v>100.120375</v>
      </c>
      <c r="CG42" s="996"/>
      <c r="CH42" s="1365"/>
      <c r="CI42" s="2102"/>
      <c r="CJ42" s="2102"/>
      <c r="CK42" s="2102"/>
      <c r="CL42" s="1365"/>
      <c r="CM42" s="1365"/>
      <c r="CN42" s="1365"/>
      <c r="CO42" s="1992">
        <f t="shared" si="61"/>
        <v>125.2434725</v>
      </c>
      <c r="CP42" s="1365"/>
      <c r="CQ42" s="1996">
        <v>0</v>
      </c>
      <c r="CR42" s="997"/>
      <c r="CS42" s="1981">
        <v>125.2434725</v>
      </c>
      <c r="CT42" s="996"/>
      <c r="CU42" s="884"/>
      <c r="CV42" s="1365"/>
      <c r="CW42" s="1365"/>
      <c r="CX42" s="1992">
        <f t="shared" si="62"/>
        <v>34.957279999999997</v>
      </c>
      <c r="CY42" s="1365"/>
      <c r="CZ42" s="1996">
        <f t="shared" si="55"/>
        <v>0</v>
      </c>
      <c r="DA42" s="997"/>
      <c r="DB42" s="1981">
        <f t="shared" si="56"/>
        <v>34.957279999999997</v>
      </c>
      <c r="DC42" s="996">
        <f t="shared" si="63"/>
        <v>34.957279999999997</v>
      </c>
      <c r="DD42" s="884"/>
      <c r="DE42" s="1567"/>
      <c r="DF42" s="1548"/>
      <c r="DG42" s="884"/>
      <c r="DH42" s="885"/>
      <c r="DI42" s="883"/>
      <c r="DJ42" s="367"/>
      <c r="DK42" s="1201"/>
      <c r="DL42" s="945"/>
      <c r="DM42" s="943"/>
      <c r="DN42" s="948"/>
      <c r="DO42" s="944"/>
      <c r="DP42" s="913"/>
      <c r="DQ42" s="914"/>
      <c r="DR42" s="946"/>
      <c r="DS42" s="942"/>
      <c r="DT42" s="942"/>
      <c r="DU42" s="954">
        <f t="shared" si="64"/>
        <v>0</v>
      </c>
      <c r="DV42" s="905"/>
      <c r="DW42" s="904">
        <f t="shared" si="67"/>
        <v>0</v>
      </c>
      <c r="DX42" s="1195" t="str">
        <f>_xlfn.XLOOKUP(K42,Cement!$Q$7:$Q$35,Cement!$AR$7:$AR$35,"")</f>
        <v/>
      </c>
      <c r="DY42" s="966"/>
      <c r="DZ42" s="966"/>
      <c r="EA42" s="367"/>
      <c r="EB42" s="176" t="e">
        <f>SUMIF('[1]9-1404.12.03'!$B$2:$B$2000,$J42,'[1]9-1404.12.03'!$L$2:$L$2000)</f>
        <v>#VALUE!</v>
      </c>
      <c r="EC42" s="176" t="e">
        <f>SUMIF('[1]9-1404.12.03'!$B$2:$B$2000,$J42,'[1]9-1404.12.03'!$E$2:$E$2000)/10</f>
        <v>#VALUE!</v>
      </c>
      <c r="ED42" s="177" t="str">
        <f t="shared" si="65"/>
        <v/>
      </c>
      <c r="EE42" s="176" t="e">
        <f>SUMIF('[1]8B-1404.12.02'!$D$2:$D$3000,$J42,'[1]8B-1404.12.02'!$M$2:$M$3000)</f>
        <v>#VALUE!</v>
      </c>
      <c r="EF42" s="176" t="e">
        <f>SUMIF('[1]8B-1404.12.02'!$D$2:$D$3000,$J42,'[1]8B-1404.12.02'!$G$2:$G$3000)/10</f>
        <v>#VALUE!</v>
      </c>
      <c r="EG42" s="177" t="str">
        <f t="shared" si="66"/>
        <v/>
      </c>
      <c r="EH42" s="1502"/>
      <c r="EI42" s="1534">
        <f>SUMIF(Cem_Export!$C$2:$C$3000,$J42,Cem_Export!$I$2:$I$3000)</f>
        <v>0</v>
      </c>
      <c r="EJ42" s="1534">
        <f>SUMIFS(Cem_Export!$J$2:$J$3000,Cem_Export!$C$2:$C$3000,$J42,Cem_Export!$L$2:$L$3000, $EJ$4)</f>
        <v>0</v>
      </c>
      <c r="EK42" s="1534">
        <f>SUMIFS(Cem_Export!$J$2:$J$3000,Cem_Export!$C$2:$C$3000,$J42,Cem_Export!$L$2:$L$3000, $EK$4)</f>
        <v>0</v>
      </c>
      <c r="EL42" s="1682" t="str">
        <f t="shared" si="68"/>
        <v/>
      </c>
      <c r="EM42" s="1836">
        <f t="shared" si="69"/>
        <v>0</v>
      </c>
      <c r="EN42" s="1562"/>
      <c r="EO42" s="1625">
        <f>SUMIF('Cem-Domestic'!$D$2:$D$4000,$J42,'Cem-Domestic'!$M$2:$M$4000)</f>
        <v>10000</v>
      </c>
      <c r="EP42" s="1625">
        <f>SUMIF('Cem-Domestic'!$D$2:$D$4000,$J42,'Cem-Domestic'!$G$2:$G$4000)/10^7</f>
        <v>34.957279999999997</v>
      </c>
      <c r="EQ42" s="1681">
        <f t="shared" si="70"/>
        <v>3495.7279999999996</v>
      </c>
      <c r="ER42" s="1562"/>
      <c r="ES42" s="1533">
        <v>0</v>
      </c>
      <c r="ET42" s="1534">
        <v>0</v>
      </c>
      <c r="EU42" s="1535" t="s">
        <v>192</v>
      </c>
      <c r="EV42" s="1533">
        <v>0</v>
      </c>
      <c r="EW42" s="1534">
        <v>0</v>
      </c>
      <c r="EX42" s="1535" t="s">
        <v>192</v>
      </c>
      <c r="EY42" s="1533">
        <v>0</v>
      </c>
      <c r="EZ42" s="1534">
        <v>0</v>
      </c>
      <c r="FA42" s="1535" t="s">
        <v>192</v>
      </c>
      <c r="FB42" s="1533">
        <v>0</v>
      </c>
      <c r="FC42" s="1534">
        <v>0</v>
      </c>
      <c r="FD42" s="1535" t="s">
        <v>192</v>
      </c>
      <c r="FE42" s="1533">
        <v>0</v>
      </c>
      <c r="FF42" s="1534">
        <v>0</v>
      </c>
      <c r="FG42" s="1535" t="s">
        <v>192</v>
      </c>
    </row>
    <row r="43" spans="1:163" ht="22">
      <c r="A43" s="978"/>
      <c r="B43" s="978"/>
      <c r="C43" s="978"/>
      <c r="D43" s="972"/>
      <c r="E43" s="970"/>
      <c r="F43" s="970"/>
      <c r="G43" s="992"/>
      <c r="H43" s="191"/>
      <c r="I43" s="173"/>
      <c r="J43" s="514" t="s">
        <v>934</v>
      </c>
      <c r="K43" s="190"/>
      <c r="L43" s="65"/>
      <c r="M43" s="65"/>
      <c r="N43" s="208"/>
      <c r="O43" s="208"/>
      <c r="P43" s="1468"/>
      <c r="Q43" s="1468"/>
      <c r="R43" s="1475"/>
      <c r="S43" s="1475"/>
      <c r="T43" s="1481"/>
      <c r="U43" s="1481"/>
      <c r="V43" s="207"/>
      <c r="W43" s="207"/>
      <c r="X43" s="934">
        <v>240000</v>
      </c>
      <c r="Y43" s="1911"/>
      <c r="Z43" s="1567"/>
      <c r="AA43" s="1548"/>
      <c r="AB43" s="998"/>
      <c r="AC43" s="997"/>
      <c r="AD43" s="996"/>
      <c r="AE43" s="1365"/>
      <c r="AF43" s="1567">
        <v>26.127669999999998</v>
      </c>
      <c r="AG43" s="1548">
        <v>1005000</v>
      </c>
      <c r="AH43" s="998"/>
      <c r="AI43" s="885"/>
      <c r="AJ43" s="883"/>
      <c r="AK43" s="1365"/>
      <c r="AL43" s="1567">
        <v>33.054015</v>
      </c>
      <c r="AM43" s="1548">
        <v>447000</v>
      </c>
      <c r="AN43" s="998"/>
      <c r="AO43" s="885"/>
      <c r="AP43" s="883"/>
      <c r="AQ43" s="1365"/>
      <c r="AR43" s="1567"/>
      <c r="AS43" s="1548"/>
      <c r="AT43" s="884"/>
      <c r="AU43" s="885"/>
      <c r="AV43" s="883"/>
      <c r="AW43" s="884"/>
      <c r="AX43" s="1567">
        <v>54.128945000000002</v>
      </c>
      <c r="AY43" s="1548">
        <v>43.68</v>
      </c>
      <c r="AZ43" s="1138"/>
      <c r="BA43" s="885"/>
      <c r="BB43" s="883"/>
      <c r="BC43" s="884"/>
      <c r="BD43" s="1567"/>
      <c r="BE43" s="1548"/>
      <c r="BF43" s="884"/>
      <c r="BG43" s="885"/>
      <c r="BH43" s="883"/>
      <c r="BI43" s="884"/>
      <c r="BJ43" s="2102"/>
      <c r="BK43" s="2102"/>
      <c r="BL43" s="2102"/>
      <c r="BM43" s="884"/>
      <c r="BN43" s="1567"/>
      <c r="BO43" s="1548"/>
      <c r="BP43" s="1365"/>
      <c r="BQ43" s="997"/>
      <c r="BR43" s="996"/>
      <c r="BS43" s="1365"/>
      <c r="BT43" s="1567"/>
      <c r="BU43" s="1548"/>
      <c r="BV43" s="1365"/>
      <c r="BW43" s="997"/>
      <c r="BX43" s="996"/>
      <c r="BY43" s="1365"/>
      <c r="BZ43" s="1365"/>
      <c r="CA43" s="1365"/>
      <c r="CB43" s="1992">
        <f t="shared" si="60"/>
        <v>100.6083525</v>
      </c>
      <c r="CC43" s="1365"/>
      <c r="CD43" s="1996">
        <v>46.9</v>
      </c>
      <c r="CE43" s="997"/>
      <c r="CF43" s="1981">
        <v>53.708352499999997</v>
      </c>
      <c r="CG43" s="996"/>
      <c r="CH43" s="1365"/>
      <c r="CI43" s="2102"/>
      <c r="CJ43" s="2102"/>
      <c r="CK43" s="2102"/>
      <c r="CL43" s="1365"/>
      <c r="CM43" s="1365"/>
      <c r="CN43" s="1365"/>
      <c r="CO43" s="1992">
        <f t="shared" si="61"/>
        <v>239.83604000000003</v>
      </c>
      <c r="CP43" s="1365"/>
      <c r="CQ43" s="1996">
        <v>69.3</v>
      </c>
      <c r="CR43" s="997"/>
      <c r="CS43" s="1981">
        <v>170.53604000000001</v>
      </c>
      <c r="CT43" s="996"/>
      <c r="CU43" s="884"/>
      <c r="CV43" s="1365"/>
      <c r="CW43" s="1365"/>
      <c r="CX43" s="1992">
        <f t="shared" si="62"/>
        <v>93.358135000000004</v>
      </c>
      <c r="CY43" s="1365"/>
      <c r="CZ43" s="1996">
        <f t="shared" si="55"/>
        <v>70.56</v>
      </c>
      <c r="DA43" s="997"/>
      <c r="DB43" s="1981">
        <f t="shared" si="56"/>
        <v>22.798134999999998</v>
      </c>
      <c r="DC43" s="996">
        <f t="shared" si="63"/>
        <v>22.798134999999998</v>
      </c>
      <c r="DD43" s="884"/>
      <c r="DE43" s="1567"/>
      <c r="DF43" s="1548"/>
      <c r="DG43" s="884"/>
      <c r="DH43" s="885"/>
      <c r="DI43" s="883"/>
      <c r="DJ43" s="367"/>
      <c r="DK43" s="1201"/>
      <c r="DL43" s="945"/>
      <c r="DM43" s="943"/>
      <c r="DN43" s="948"/>
      <c r="DO43" s="944"/>
      <c r="DP43" s="913"/>
      <c r="DQ43" s="914"/>
      <c r="DR43" s="946"/>
      <c r="DS43" s="942"/>
      <c r="DT43" s="942"/>
      <c r="DU43" s="954">
        <f t="shared" si="64"/>
        <v>0</v>
      </c>
      <c r="DV43" s="905"/>
      <c r="DW43" s="904">
        <f t="shared" si="67"/>
        <v>0</v>
      </c>
      <c r="DX43" s="1195" t="str">
        <f>_xlfn.XLOOKUP(K43,Cement!$Q$7:$Q$35,Cement!$AR$7:$AR$35,"")</f>
        <v/>
      </c>
      <c r="DY43" s="966"/>
      <c r="DZ43" s="966"/>
      <c r="EA43" s="367"/>
      <c r="EB43" s="176" t="e">
        <f>SUMIF('[1]9-1404.12.03'!$B$2:$B$2000,$J43,'[1]9-1404.12.03'!$L$2:$L$2000)</f>
        <v>#VALUE!</v>
      </c>
      <c r="EC43" s="176" t="e">
        <f>SUMIF('[1]9-1404.12.03'!$B$2:$B$2000,$J43,'[1]9-1404.12.03'!$E$2:$E$2000)/10</f>
        <v>#VALUE!</v>
      </c>
      <c r="ED43" s="177" t="str">
        <f t="shared" si="65"/>
        <v/>
      </c>
      <c r="EE43" s="176" t="e">
        <f>SUMIF('[1]8B-1404.12.02'!$D$2:$D$3000,$J43,'[1]8B-1404.12.02'!$M$2:$M$3000)</f>
        <v>#VALUE!</v>
      </c>
      <c r="EF43" s="176" t="e">
        <f>SUMIF('[1]8B-1404.12.02'!$D$2:$D$3000,$J43,'[1]8B-1404.12.02'!$G$2:$G$3000)/10</f>
        <v>#VALUE!</v>
      </c>
      <c r="EG43" s="177" t="str">
        <f t="shared" si="66"/>
        <v/>
      </c>
      <c r="EH43" s="1502"/>
      <c r="EI43" s="1534">
        <f>SUMIF(Cem_Export!$C$2:$C$3000,$J43,Cem_Export!$I$2:$I$3000)</f>
        <v>11000</v>
      </c>
      <c r="EJ43" s="1534">
        <f>SUMIFS(Cem_Export!$J$2:$J$3000,Cem_Export!$C$2:$C$3000,$J43,Cem_Export!$L$2:$L$3000, $EJ$4)</f>
        <v>504000</v>
      </c>
      <c r="EK43" s="1534">
        <f>SUMIFS(Cem_Export!$J$2:$J$3000,Cem_Export!$C$2:$C$3000,$J43,Cem_Export!$L$2:$L$3000, $EK$4)</f>
        <v>0</v>
      </c>
      <c r="EL43" s="1682">
        <f t="shared" si="68"/>
        <v>45.81818181818182</v>
      </c>
      <c r="EM43" s="1836">
        <f t="shared" si="69"/>
        <v>70.56</v>
      </c>
      <c r="EN43" s="1562"/>
      <c r="EO43" s="1625">
        <f>SUMIF('Cem-Domestic'!$D$2:$D$4000,$J43,'Cem-Domestic'!$M$2:$M$4000)</f>
        <v>6800</v>
      </c>
      <c r="EP43" s="1625">
        <f>SUMIF('Cem-Domestic'!$D$2:$D$4000,$J43,'Cem-Domestic'!$G$2:$G$4000)/10^7</f>
        <v>22.798134999999998</v>
      </c>
      <c r="EQ43" s="1681">
        <f t="shared" si="70"/>
        <v>3352.6669117647057</v>
      </c>
      <c r="ER43" s="1562"/>
      <c r="ES43" s="1533">
        <v>2000</v>
      </c>
      <c r="ET43" s="1534">
        <v>100000</v>
      </c>
      <c r="EU43" s="1535">
        <v>50</v>
      </c>
      <c r="EV43" s="1533">
        <v>8250</v>
      </c>
      <c r="EW43" s="1534">
        <v>365000</v>
      </c>
      <c r="EX43" s="1535">
        <v>44.242424242424242</v>
      </c>
      <c r="EY43" s="1533">
        <v>4000</v>
      </c>
      <c r="EZ43" s="1534">
        <v>168000</v>
      </c>
      <c r="FA43" s="1535">
        <v>42</v>
      </c>
      <c r="FB43" s="1533">
        <v>6000</v>
      </c>
      <c r="FC43" s="1534">
        <v>262000</v>
      </c>
      <c r="FD43" s="1535">
        <v>43.666666666666664</v>
      </c>
      <c r="FE43" s="1533">
        <v>5000</v>
      </c>
      <c r="FF43" s="1534">
        <v>210000</v>
      </c>
      <c r="FG43" s="1535">
        <v>42</v>
      </c>
    </row>
    <row r="44" spans="1:163" ht="22">
      <c r="A44" s="978"/>
      <c r="B44" s="978"/>
      <c r="C44" s="978"/>
      <c r="D44" s="972"/>
      <c r="E44" s="970"/>
      <c r="F44" s="970"/>
      <c r="G44" s="992"/>
      <c r="H44" s="191"/>
      <c r="I44" s="173"/>
      <c r="J44" s="204" t="s">
        <v>935</v>
      </c>
      <c r="K44" s="65"/>
      <c r="L44" s="65"/>
      <c r="M44" s="65"/>
      <c r="N44" s="208"/>
      <c r="O44" s="208"/>
      <c r="P44" s="1468"/>
      <c r="Q44" s="1468"/>
      <c r="R44" s="1475"/>
      <c r="S44" s="1475"/>
      <c r="T44" s="1481"/>
      <c r="U44" s="1481"/>
      <c r="V44" s="207"/>
      <c r="W44" s="207"/>
      <c r="X44" s="934">
        <v>1000000</v>
      </c>
      <c r="Y44" s="1911"/>
      <c r="Z44" s="1567"/>
      <c r="AA44" s="1548"/>
      <c r="AB44" s="998"/>
      <c r="AC44" s="997"/>
      <c r="AD44" s="996"/>
      <c r="AE44" s="1365"/>
      <c r="AF44" s="1567">
        <v>173.84975499999999</v>
      </c>
      <c r="AG44" s="1548">
        <v>0</v>
      </c>
      <c r="AH44" s="998"/>
      <c r="AI44" s="885"/>
      <c r="AJ44" s="883"/>
      <c r="AK44" s="1365"/>
      <c r="AL44" s="1567">
        <v>228.79112000000001</v>
      </c>
      <c r="AM44" s="1548">
        <v>0</v>
      </c>
      <c r="AN44" s="998"/>
      <c r="AO44" s="885"/>
      <c r="AP44" s="883"/>
      <c r="AQ44" s="1365"/>
      <c r="AR44" s="1567"/>
      <c r="AS44" s="1548"/>
      <c r="AT44" s="884"/>
      <c r="AU44" s="885"/>
      <c r="AV44" s="883"/>
      <c r="AW44" s="884"/>
      <c r="AX44" s="1567">
        <v>138.5069</v>
      </c>
      <c r="AY44" s="1548">
        <v>0</v>
      </c>
      <c r="AZ44" s="1138"/>
      <c r="BA44" s="885"/>
      <c r="BB44" s="883"/>
      <c r="BC44" s="884"/>
      <c r="BD44" s="1567"/>
      <c r="BE44" s="1548"/>
      <c r="BF44" s="884"/>
      <c r="BG44" s="885"/>
      <c r="BH44" s="883"/>
      <c r="BI44" s="884"/>
      <c r="BJ44" s="2102"/>
      <c r="BK44" s="2102"/>
      <c r="BL44" s="2102"/>
      <c r="BM44" s="884"/>
      <c r="BN44" s="1567"/>
      <c r="BO44" s="1548"/>
      <c r="BP44" s="1365"/>
      <c r="BQ44" s="997"/>
      <c r="BR44" s="996"/>
      <c r="BS44" s="1365"/>
      <c r="BT44" s="1567"/>
      <c r="BU44" s="1548"/>
      <c r="BV44" s="1365"/>
      <c r="BW44" s="997"/>
      <c r="BX44" s="996"/>
      <c r="BY44" s="1365"/>
      <c r="BZ44" s="1365"/>
      <c r="CA44" s="1365"/>
      <c r="CB44" s="1992">
        <f t="shared" si="60"/>
        <v>214.78706</v>
      </c>
      <c r="CC44" s="1365"/>
      <c r="CD44" s="1996">
        <v>0</v>
      </c>
      <c r="CE44" s="997"/>
      <c r="CF44" s="1981">
        <v>214.78706</v>
      </c>
      <c r="CG44" s="996"/>
      <c r="CH44" s="1365"/>
      <c r="CI44" s="2102"/>
      <c r="CJ44" s="2102"/>
      <c r="CK44" s="2102"/>
      <c r="CL44" s="1365"/>
      <c r="CM44" s="1365"/>
      <c r="CN44" s="1365"/>
      <c r="CO44" s="1992">
        <f t="shared" si="61"/>
        <v>15.790305</v>
      </c>
      <c r="CP44" s="1365"/>
      <c r="CQ44" s="1996">
        <v>0</v>
      </c>
      <c r="CR44" s="997"/>
      <c r="CS44" s="1981">
        <v>15.790305</v>
      </c>
      <c r="CT44" s="996"/>
      <c r="CU44" s="884"/>
      <c r="CV44" s="1365"/>
      <c r="CW44" s="1365"/>
      <c r="CX44" s="1992">
        <f t="shared" si="62"/>
        <v>84.585909999999998</v>
      </c>
      <c r="CY44" s="1365"/>
      <c r="CZ44" s="1996">
        <f t="shared" si="55"/>
        <v>0</v>
      </c>
      <c r="DA44" s="997"/>
      <c r="DB44" s="1981">
        <f t="shared" si="56"/>
        <v>84.585909999999998</v>
      </c>
      <c r="DC44" s="996">
        <f t="shared" si="63"/>
        <v>84.585909999999998</v>
      </c>
      <c r="DD44" s="884"/>
      <c r="DE44" s="1567"/>
      <c r="DF44" s="1548"/>
      <c r="DG44" s="884"/>
      <c r="DH44" s="885"/>
      <c r="DI44" s="883"/>
      <c r="DJ44" s="367"/>
      <c r="DK44" s="1201"/>
      <c r="DL44" s="945"/>
      <c r="DM44" s="943"/>
      <c r="DN44" s="948"/>
      <c r="DO44" s="944"/>
      <c r="DP44" s="913"/>
      <c r="DQ44" s="914"/>
      <c r="DR44" s="946"/>
      <c r="DS44" s="942"/>
      <c r="DT44" s="942"/>
      <c r="DU44" s="954">
        <f t="shared" si="64"/>
        <v>0</v>
      </c>
      <c r="DV44" s="905"/>
      <c r="DW44" s="904">
        <f t="shared" si="67"/>
        <v>0</v>
      </c>
      <c r="DX44" s="1195" t="str">
        <f>_xlfn.XLOOKUP(K44,Cement!$Q$7:$Q$35,Cement!$AR$7:$AR$35,"")</f>
        <v/>
      </c>
      <c r="DY44" s="966"/>
      <c r="DZ44" s="966"/>
      <c r="EA44" s="367"/>
      <c r="EB44" s="176" t="e">
        <f>SUMIF('[1]9-1404.12.03'!$B$2:$B$2000,$J44,'[1]9-1404.12.03'!$L$2:$L$2000)</f>
        <v>#VALUE!</v>
      </c>
      <c r="EC44" s="176" t="e">
        <f>SUMIF('[1]9-1404.12.03'!$B$2:$B$2000,$J44,'[1]9-1404.12.03'!$E$2:$E$2000)/10</f>
        <v>#VALUE!</v>
      </c>
      <c r="ED44" s="177" t="str">
        <f t="shared" si="65"/>
        <v/>
      </c>
      <c r="EE44" s="176" t="e">
        <f>SUMIF('[1]8B-1404.12.02'!$D$2:$D$3000,$J44,'[1]8B-1404.12.02'!$M$2:$M$3000)</f>
        <v>#VALUE!</v>
      </c>
      <c r="EF44" s="176" t="e">
        <f>SUMIF('[1]8B-1404.12.02'!$D$2:$D$3000,$J44,'[1]8B-1404.12.02'!$G$2:$G$3000)/10</f>
        <v>#VALUE!</v>
      </c>
      <c r="EG44" s="177" t="str">
        <f t="shared" si="66"/>
        <v/>
      </c>
      <c r="EH44" s="1502"/>
      <c r="EI44" s="1534">
        <f>SUMIF(Cem_Export!$C$2:$C$3000,$J44,Cem_Export!$I$2:$I$3000)</f>
        <v>0</v>
      </c>
      <c r="EJ44" s="1534">
        <f>SUMIFS(Cem_Export!$J$2:$J$3000,Cem_Export!$C$2:$C$3000,$J44,Cem_Export!$L$2:$L$3000, $EJ$4)</f>
        <v>0</v>
      </c>
      <c r="EK44" s="1534">
        <f>SUMIFS(Cem_Export!$J$2:$J$3000,Cem_Export!$C$2:$C$3000,$J44,Cem_Export!$L$2:$L$3000, $EK$4)</f>
        <v>0</v>
      </c>
      <c r="EL44" s="1682" t="str">
        <f t="shared" si="68"/>
        <v/>
      </c>
      <c r="EM44" s="1836">
        <f t="shared" si="69"/>
        <v>0</v>
      </c>
      <c r="EN44" s="1562"/>
      <c r="EO44" s="1625">
        <f>SUMIF('Cem-Domestic'!$D$2:$D$4000,$J44,'Cem-Domestic'!$M$2:$M$4000)</f>
        <v>24325</v>
      </c>
      <c r="EP44" s="1625">
        <f>SUMIF('Cem-Domestic'!$D$2:$D$4000,$J44,'Cem-Domestic'!$G$2:$G$4000)/10^7</f>
        <v>84.585909999999998</v>
      </c>
      <c r="EQ44" s="1681">
        <f t="shared" si="70"/>
        <v>3477.3241521068862</v>
      </c>
      <c r="ER44" s="1562"/>
      <c r="ES44" s="1533">
        <v>0</v>
      </c>
      <c r="ET44" s="1534">
        <v>0</v>
      </c>
      <c r="EU44" s="1535" t="s">
        <v>192</v>
      </c>
      <c r="EV44" s="1533">
        <v>0</v>
      </c>
      <c r="EW44" s="1534">
        <v>0</v>
      </c>
      <c r="EX44" s="1535" t="s">
        <v>192</v>
      </c>
      <c r="EY44" s="1533">
        <v>0</v>
      </c>
      <c r="EZ44" s="1534">
        <v>0</v>
      </c>
      <c r="FA44" s="1535" t="s">
        <v>192</v>
      </c>
      <c r="FB44" s="1533">
        <v>0</v>
      </c>
      <c r="FC44" s="1534">
        <v>0</v>
      </c>
      <c r="FD44" s="1535" t="s">
        <v>192</v>
      </c>
      <c r="FE44" s="1533">
        <v>0</v>
      </c>
      <c r="FF44" s="1534">
        <v>0</v>
      </c>
      <c r="FG44" s="1535" t="s">
        <v>192</v>
      </c>
    </row>
    <row r="45" spans="1:163" ht="35">
      <c r="A45" s="978"/>
      <c r="B45" s="978"/>
      <c r="C45" s="978"/>
      <c r="D45" s="972"/>
      <c r="E45" s="970"/>
      <c r="F45" s="970"/>
      <c r="G45" s="992"/>
      <c r="H45" s="191"/>
      <c r="I45" s="173"/>
      <c r="J45" s="227" t="s">
        <v>936</v>
      </c>
      <c r="K45" s="65"/>
      <c r="L45" s="65"/>
      <c r="M45" s="65"/>
      <c r="N45" s="208"/>
      <c r="O45" s="208"/>
      <c r="P45" s="1468"/>
      <c r="Q45" s="1468"/>
      <c r="R45" s="1475"/>
      <c r="S45" s="1475"/>
      <c r="T45" s="1481"/>
      <c r="U45" s="1481"/>
      <c r="V45" s="207"/>
      <c r="W45" s="207"/>
      <c r="X45" s="934">
        <v>1000000</v>
      </c>
      <c r="Y45" s="1911"/>
      <c r="Z45" s="1567"/>
      <c r="AA45" s="1548"/>
      <c r="AB45" s="998"/>
      <c r="AC45" s="997"/>
      <c r="AD45" s="996"/>
      <c r="AE45" s="1365"/>
      <c r="AF45" s="1567">
        <v>93.987825000000001</v>
      </c>
      <c r="AG45" s="1548">
        <v>160000</v>
      </c>
      <c r="AH45" s="998"/>
      <c r="AI45" s="885"/>
      <c r="AJ45" s="883"/>
      <c r="AK45" s="1365"/>
      <c r="AL45" s="1567">
        <v>133.46751750000001</v>
      </c>
      <c r="AM45" s="1548">
        <v>0</v>
      </c>
      <c r="AN45" s="998"/>
      <c r="AO45" s="885"/>
      <c r="AP45" s="883"/>
      <c r="AQ45" s="1365"/>
      <c r="AR45" s="1567"/>
      <c r="AS45" s="1548"/>
      <c r="AT45" s="884"/>
      <c r="AU45" s="885"/>
      <c r="AV45" s="883"/>
      <c r="AW45" s="884"/>
      <c r="AX45" s="1567">
        <v>102.63168</v>
      </c>
      <c r="AY45" s="1548">
        <v>0</v>
      </c>
      <c r="AZ45" s="1138"/>
      <c r="BA45" s="885"/>
      <c r="BB45" s="883"/>
      <c r="BC45" s="884"/>
      <c r="BD45" s="1567"/>
      <c r="BE45" s="1548"/>
      <c r="BF45" s="884"/>
      <c r="BG45" s="885"/>
      <c r="BH45" s="883"/>
      <c r="BI45" s="884"/>
      <c r="BJ45" s="2102"/>
      <c r="BK45" s="2102"/>
      <c r="BL45" s="2102"/>
      <c r="BM45" s="884"/>
      <c r="BN45" s="1567"/>
      <c r="BO45" s="1548"/>
      <c r="BP45" s="1365"/>
      <c r="BQ45" s="997"/>
      <c r="BR45" s="996"/>
      <c r="BS45" s="1365"/>
      <c r="BT45" s="1567"/>
      <c r="BU45" s="1548"/>
      <c r="BV45" s="1365"/>
      <c r="BW45" s="997"/>
      <c r="BX45" s="996"/>
      <c r="BY45" s="1365"/>
      <c r="BZ45" s="1365"/>
      <c r="CA45" s="1365"/>
      <c r="CB45" s="1992">
        <f t="shared" si="60"/>
        <v>197.8202225</v>
      </c>
      <c r="CC45" s="1365"/>
      <c r="CD45" s="1996">
        <v>0</v>
      </c>
      <c r="CE45" s="997"/>
      <c r="CF45" s="1981">
        <v>197.8202225</v>
      </c>
      <c r="CG45" s="996"/>
      <c r="CH45" s="1365"/>
      <c r="CI45" s="2102"/>
      <c r="CJ45" s="2102"/>
      <c r="CK45" s="2102"/>
      <c r="CL45" s="1365"/>
      <c r="CM45" s="1365"/>
      <c r="CN45" s="1365"/>
      <c r="CO45" s="1992">
        <f t="shared" si="61"/>
        <v>168.124515</v>
      </c>
      <c r="CP45" s="1365"/>
      <c r="CQ45" s="1996">
        <v>0</v>
      </c>
      <c r="CR45" s="997"/>
      <c r="CS45" s="1981">
        <v>168.124515</v>
      </c>
      <c r="CT45" s="996"/>
      <c r="CU45" s="884"/>
      <c r="CV45" s="1365"/>
      <c r="CW45" s="1365"/>
      <c r="CX45" s="1992">
        <f t="shared" si="62"/>
        <v>77.761577500000001</v>
      </c>
      <c r="CY45" s="1365"/>
      <c r="CZ45" s="1996">
        <f t="shared" si="55"/>
        <v>0</v>
      </c>
      <c r="DA45" s="997"/>
      <c r="DB45" s="1981">
        <f t="shared" si="56"/>
        <v>77.761577500000001</v>
      </c>
      <c r="DC45" s="996">
        <f t="shared" si="63"/>
        <v>77.761577500000001</v>
      </c>
      <c r="DD45" s="884"/>
      <c r="DE45" s="1567"/>
      <c r="DF45" s="1548"/>
      <c r="DG45" s="884"/>
      <c r="DH45" s="885"/>
      <c r="DI45" s="883"/>
      <c r="DJ45" s="367"/>
      <c r="DK45" s="1201"/>
      <c r="DL45" s="945"/>
      <c r="DM45" s="943"/>
      <c r="DN45" s="948"/>
      <c r="DO45" s="944"/>
      <c r="DP45" s="913"/>
      <c r="DQ45" s="914"/>
      <c r="DR45" s="946"/>
      <c r="DS45" s="942"/>
      <c r="DT45" s="942"/>
      <c r="DU45" s="954">
        <f t="shared" si="64"/>
        <v>0</v>
      </c>
      <c r="DV45" s="905"/>
      <c r="DW45" s="904">
        <f t="shared" si="67"/>
        <v>0</v>
      </c>
      <c r="DX45" s="1195" t="str">
        <f>_xlfn.XLOOKUP(K45,Cement!$Q$7:$Q$35,Cement!$AR$7:$AR$35,"")</f>
        <v/>
      </c>
      <c r="DY45" s="966"/>
      <c r="DZ45" s="966"/>
      <c r="EA45" s="367"/>
      <c r="EB45" s="176" t="e">
        <f>SUMIF('[1]9-1404.12.03'!$B$2:$B$2000,$J45,'[1]9-1404.12.03'!$L$2:$L$2000)</f>
        <v>#VALUE!</v>
      </c>
      <c r="EC45" s="176" t="e">
        <f>SUMIF('[1]9-1404.12.03'!$B$2:$B$2000,$J45,'[1]9-1404.12.03'!$E$2:$E$2000)/10</f>
        <v>#VALUE!</v>
      </c>
      <c r="ED45" s="177" t="str">
        <f t="shared" si="65"/>
        <v/>
      </c>
      <c r="EE45" s="176" t="e">
        <f>SUMIF('[1]8B-1404.12.02'!$D$2:$D$3000,$J45,'[1]8B-1404.12.02'!$M$2:$M$3000)</f>
        <v>#VALUE!</v>
      </c>
      <c r="EF45" s="176" t="e">
        <f>SUMIF('[1]8B-1404.12.02'!$D$2:$D$3000,$J45,'[1]8B-1404.12.02'!$G$2:$G$3000)/10</f>
        <v>#VALUE!</v>
      </c>
      <c r="EG45" s="177" t="str">
        <f t="shared" si="66"/>
        <v/>
      </c>
      <c r="EH45" s="1502"/>
      <c r="EI45" s="1534">
        <f>SUMIF(Cem_Export!$C$2:$C$3000,$J45,Cem_Export!$I$2:$I$3000)</f>
        <v>0</v>
      </c>
      <c r="EJ45" s="1534">
        <f>SUMIFS(Cem_Export!$J$2:$J$3000,Cem_Export!$C$2:$C$3000,$J45,Cem_Export!$L$2:$L$3000, $EJ$4)</f>
        <v>0</v>
      </c>
      <c r="EK45" s="1534">
        <f>SUMIFS(Cem_Export!$J$2:$J$3000,Cem_Export!$C$2:$C$3000,$J45,Cem_Export!$L$2:$L$3000, $EK$4)</f>
        <v>0</v>
      </c>
      <c r="EL45" s="1682" t="str">
        <f t="shared" si="68"/>
        <v/>
      </c>
      <c r="EM45" s="1836">
        <f t="shared" si="69"/>
        <v>0</v>
      </c>
      <c r="EN45" s="1562"/>
      <c r="EO45" s="1625">
        <f>SUMIF('Cem-Domestic'!$D$2:$D$4000,$J45,'Cem-Domestic'!$M$2:$M$4000)</f>
        <v>23475</v>
      </c>
      <c r="EP45" s="1625">
        <f>SUMIF('Cem-Domestic'!$D$2:$D$4000,$J45,'Cem-Domestic'!$G$2:$G$4000)/10^7</f>
        <v>77.761577500000001</v>
      </c>
      <c r="EQ45" s="1681">
        <f t="shared" si="70"/>
        <v>3312.5272630457935</v>
      </c>
      <c r="ER45" s="1562"/>
      <c r="ES45" s="1533">
        <v>0</v>
      </c>
      <c r="ET45" s="1534">
        <v>0</v>
      </c>
      <c r="EU45" s="1535" t="s">
        <v>192</v>
      </c>
      <c r="EV45" s="1533">
        <v>0</v>
      </c>
      <c r="EW45" s="1534">
        <v>0</v>
      </c>
      <c r="EX45" s="1535" t="s">
        <v>192</v>
      </c>
      <c r="EY45" s="1533">
        <v>0</v>
      </c>
      <c r="EZ45" s="1534">
        <v>0</v>
      </c>
      <c r="FA45" s="1535" t="s">
        <v>192</v>
      </c>
      <c r="FB45" s="1533">
        <v>0</v>
      </c>
      <c r="FC45" s="1534">
        <v>0</v>
      </c>
      <c r="FD45" s="1535" t="s">
        <v>192</v>
      </c>
      <c r="FE45" s="1533">
        <v>5000</v>
      </c>
      <c r="FF45" s="1534">
        <v>160000</v>
      </c>
      <c r="FG45" s="1535">
        <v>32</v>
      </c>
    </row>
    <row r="46" spans="1:163" ht="22">
      <c r="A46" s="978"/>
      <c r="B46" s="978"/>
      <c r="C46" s="978"/>
      <c r="D46" s="972"/>
      <c r="E46" s="970"/>
      <c r="F46" s="970"/>
      <c r="G46" s="992"/>
      <c r="H46" s="191"/>
      <c r="I46" s="173"/>
      <c r="J46" s="204" t="s">
        <v>937</v>
      </c>
      <c r="K46" s="64"/>
      <c r="L46" s="64"/>
      <c r="M46" s="64"/>
      <c r="N46" s="208"/>
      <c r="O46" s="208"/>
      <c r="P46" s="1470"/>
      <c r="Q46" s="1470"/>
      <c r="R46" s="1477"/>
      <c r="S46" s="1477"/>
      <c r="T46" s="1483"/>
      <c r="U46" s="1483"/>
      <c r="V46" s="1088"/>
      <c r="W46" s="1088"/>
      <c r="X46" s="934">
        <v>1000000</v>
      </c>
      <c r="Y46" s="1911"/>
      <c r="Z46" s="1567"/>
      <c r="AA46" s="1548"/>
      <c r="AB46" s="998"/>
      <c r="AC46" s="997"/>
      <c r="AD46" s="996"/>
      <c r="AE46" s="1365"/>
      <c r="AF46" s="1567">
        <v>156.62594000000001</v>
      </c>
      <c r="AG46" s="1548">
        <v>538500</v>
      </c>
      <c r="AH46" s="998"/>
      <c r="AI46" s="885"/>
      <c r="AJ46" s="883"/>
      <c r="AK46" s="1365"/>
      <c r="AL46" s="1567">
        <v>177.0477625</v>
      </c>
      <c r="AM46" s="1548">
        <v>538500</v>
      </c>
      <c r="AN46" s="998"/>
      <c r="AO46" s="885"/>
      <c r="AP46" s="883"/>
      <c r="AQ46" s="1365"/>
      <c r="AR46" s="1567"/>
      <c r="AS46" s="1548"/>
      <c r="AT46" s="884"/>
      <c r="AU46" s="885"/>
      <c r="AV46" s="883"/>
      <c r="AW46" s="884"/>
      <c r="AX46" s="1567">
        <v>153.66186400000001</v>
      </c>
      <c r="AY46" s="1548">
        <v>0.93600000000000005</v>
      </c>
      <c r="AZ46" s="1138"/>
      <c r="BA46" s="885"/>
      <c r="BB46" s="883"/>
      <c r="BC46" s="884"/>
      <c r="BD46" s="1567"/>
      <c r="BE46" s="1548"/>
      <c r="BF46" s="884"/>
      <c r="BG46" s="885"/>
      <c r="BH46" s="883"/>
      <c r="BI46" s="884"/>
      <c r="BJ46" s="2102"/>
      <c r="BK46" s="2102"/>
      <c r="BL46" s="2102"/>
      <c r="BM46" s="884"/>
      <c r="BN46" s="1567"/>
      <c r="BO46" s="1548"/>
      <c r="BP46" s="1365"/>
      <c r="BQ46" s="997"/>
      <c r="BR46" s="996"/>
      <c r="BS46" s="1365"/>
      <c r="BT46" s="1567"/>
      <c r="BU46" s="1548"/>
      <c r="BV46" s="1365"/>
      <c r="BW46" s="997"/>
      <c r="BX46" s="996"/>
      <c r="BY46" s="1365"/>
      <c r="BZ46" s="1365"/>
      <c r="CA46" s="1365"/>
      <c r="CB46" s="1992">
        <f t="shared" si="60"/>
        <v>357.2937673567792</v>
      </c>
      <c r="CC46" s="1365"/>
      <c r="CD46" s="1996">
        <v>99.749999856779169</v>
      </c>
      <c r="CE46" s="997"/>
      <c r="CF46" s="1981">
        <v>257.5437675</v>
      </c>
      <c r="CG46" s="996"/>
      <c r="CH46" s="1365"/>
      <c r="CI46" s="2102"/>
      <c r="CJ46" s="2102"/>
      <c r="CK46" s="2102"/>
      <c r="CL46" s="1365"/>
      <c r="CM46" s="1365"/>
      <c r="CN46" s="1365"/>
      <c r="CO46" s="1992">
        <f t="shared" si="61"/>
        <v>303.50971764143515</v>
      </c>
      <c r="CP46" s="1365"/>
      <c r="CQ46" s="1996">
        <v>152.25000014143515</v>
      </c>
      <c r="CR46" s="997"/>
      <c r="CS46" s="1981">
        <v>151.25971749999999</v>
      </c>
      <c r="CT46" s="996"/>
      <c r="CU46" s="884"/>
      <c r="CV46" s="1365"/>
      <c r="CW46" s="1365"/>
      <c r="CX46" s="1992">
        <f t="shared" si="62"/>
        <v>126.82698499999999</v>
      </c>
      <c r="CY46" s="1365"/>
      <c r="CZ46" s="1996">
        <f t="shared" si="55"/>
        <v>0</v>
      </c>
      <c r="DA46" s="997"/>
      <c r="DB46" s="1981">
        <f t="shared" si="56"/>
        <v>126.82698499999999</v>
      </c>
      <c r="DC46" s="996">
        <f t="shared" si="63"/>
        <v>126.82698499999999</v>
      </c>
      <c r="DD46" s="884"/>
      <c r="DE46" s="1567"/>
      <c r="DF46" s="1548"/>
      <c r="DG46" s="884"/>
      <c r="DH46" s="885"/>
      <c r="DI46" s="883"/>
      <c r="DJ46" s="367"/>
      <c r="DK46" s="1201"/>
      <c r="DL46" s="945"/>
      <c r="DM46" s="943"/>
      <c r="DN46" s="948"/>
      <c r="DO46" s="944"/>
      <c r="DP46" s="913"/>
      <c r="DQ46" s="914"/>
      <c r="DR46" s="946"/>
      <c r="DS46" s="942"/>
      <c r="DT46" s="942"/>
      <c r="DU46" s="954">
        <f t="shared" si="64"/>
        <v>0</v>
      </c>
      <c r="DV46" s="905"/>
      <c r="DW46" s="904">
        <f t="shared" si="67"/>
        <v>0</v>
      </c>
      <c r="DX46" s="1195" t="str">
        <f>_xlfn.XLOOKUP(K46,Cement!$Q$7:$Q$35,Cement!$AR$7:$AR$35,"")</f>
        <v/>
      </c>
      <c r="DY46" s="966"/>
      <c r="DZ46" s="966"/>
      <c r="EA46" s="367"/>
      <c r="EB46" s="176" t="e">
        <f>SUMIF('[1]9-1404.12.03'!$B$2:$B$2000,$J46,'[1]9-1404.12.03'!$L$2:$L$2000)</f>
        <v>#VALUE!</v>
      </c>
      <c r="EC46" s="176" t="e">
        <f>SUMIF('[1]9-1404.12.03'!$B$2:$B$2000,$J46,'[1]9-1404.12.03'!$E$2:$E$2000)/10</f>
        <v>#VALUE!</v>
      </c>
      <c r="ED46" s="177" t="str">
        <f t="shared" si="65"/>
        <v/>
      </c>
      <c r="EE46" s="176" t="e">
        <f>SUMIF('[1]8B-1404.12.02'!$D$2:$D$3000,$J46,'[1]8B-1404.12.02'!$M$2:$M$3000)</f>
        <v>#VALUE!</v>
      </c>
      <c r="EF46" s="176" t="e">
        <f>SUMIF('[1]8B-1404.12.02'!$D$2:$D$3000,$J46,'[1]8B-1404.12.02'!$G$2:$G$3000)/10</f>
        <v>#VALUE!</v>
      </c>
      <c r="EG46" s="177" t="str">
        <f t="shared" si="66"/>
        <v/>
      </c>
      <c r="EH46" s="1502"/>
      <c r="EI46" s="1534">
        <f>SUMIF(Cem_Export!$C$2:$C$3000,$J46,Cem_Export!$I$2:$I$3000)</f>
        <v>0</v>
      </c>
      <c r="EJ46" s="1534">
        <f>SUMIFS(Cem_Export!$J$2:$J$3000,Cem_Export!$C$2:$C$3000,$J46,Cem_Export!$L$2:$L$3000, $EJ$4)</f>
        <v>0</v>
      </c>
      <c r="EK46" s="1534">
        <f>SUMIFS(Cem_Export!$J$2:$J$3000,Cem_Export!$C$2:$C$3000,$J46,Cem_Export!$L$2:$L$3000, $EK$4)</f>
        <v>0</v>
      </c>
      <c r="EL46" s="1682" t="str">
        <f t="shared" si="68"/>
        <v/>
      </c>
      <c r="EM46" s="1836">
        <f t="shared" si="69"/>
        <v>0</v>
      </c>
      <c r="EN46" s="1562"/>
      <c r="EO46" s="1625">
        <f>SUMIF('Cem-Domestic'!$D$2:$D$4000,$J46,'Cem-Domestic'!$M$2:$M$4000)</f>
        <v>34300</v>
      </c>
      <c r="EP46" s="1625">
        <f>SUMIF('Cem-Domestic'!$D$2:$D$4000,$J46,'Cem-Domestic'!$G$2:$G$4000)/10^7</f>
        <v>126.82698499999999</v>
      </c>
      <c r="EQ46" s="1681">
        <f t="shared" si="70"/>
        <v>3697.5797376093292</v>
      </c>
      <c r="ER46" s="1562"/>
      <c r="ES46" s="1533">
        <v>3000</v>
      </c>
      <c r="ET46" s="1534">
        <v>132000</v>
      </c>
      <c r="EU46" s="1535">
        <v>44</v>
      </c>
      <c r="EV46" s="1533">
        <v>3000</v>
      </c>
      <c r="EW46" s="1534">
        <v>132000</v>
      </c>
      <c r="EX46" s="1535">
        <v>44</v>
      </c>
      <c r="EY46" s="1533">
        <v>3000</v>
      </c>
      <c r="EZ46" s="1534">
        <v>132000</v>
      </c>
      <c r="FA46" s="1535">
        <v>44</v>
      </c>
      <c r="FB46" s="1533">
        <v>0</v>
      </c>
      <c r="FC46" s="1534">
        <v>0</v>
      </c>
      <c r="FD46" s="1535" t="s">
        <v>192</v>
      </c>
      <c r="FE46" s="1533">
        <v>6000</v>
      </c>
      <c r="FF46" s="1534">
        <v>274500</v>
      </c>
      <c r="FG46" s="1535">
        <v>45.75</v>
      </c>
    </row>
    <row r="47" spans="1:163" ht="22">
      <c r="A47" s="978"/>
      <c r="B47" s="978"/>
      <c r="C47" s="978"/>
      <c r="D47" s="972"/>
      <c r="E47" s="970"/>
      <c r="F47" s="970"/>
      <c r="G47" s="992"/>
      <c r="H47" s="191"/>
      <c r="I47" s="173"/>
      <c r="J47" s="204" t="s">
        <v>938</v>
      </c>
      <c r="K47" s="65"/>
      <c r="L47" s="65"/>
      <c r="M47" s="65"/>
      <c r="N47" s="208"/>
      <c r="O47" s="208"/>
      <c r="P47" s="1468"/>
      <c r="Q47" s="1468"/>
      <c r="R47" s="1475"/>
      <c r="S47" s="1475"/>
      <c r="T47" s="1481"/>
      <c r="U47" s="1481"/>
      <c r="V47" s="207"/>
      <c r="W47" s="207"/>
      <c r="X47" s="934">
        <v>240000</v>
      </c>
      <c r="Y47" s="1911"/>
      <c r="Z47" s="1567"/>
      <c r="AA47" s="1548"/>
      <c r="AB47" s="998"/>
      <c r="AC47" s="997"/>
      <c r="AD47" s="996"/>
      <c r="AE47" s="1365"/>
      <c r="AF47" s="1567">
        <v>26.684312500000001</v>
      </c>
      <c r="AG47" s="1548">
        <v>0</v>
      </c>
      <c r="AH47" s="998"/>
      <c r="AI47" s="885"/>
      <c r="AJ47" s="883"/>
      <c r="AK47" s="1365"/>
      <c r="AL47" s="1567">
        <v>28.901945000000001</v>
      </c>
      <c r="AM47" s="1548">
        <v>0</v>
      </c>
      <c r="AN47" s="998"/>
      <c r="AO47" s="885"/>
      <c r="AP47" s="883"/>
      <c r="AQ47" s="1365"/>
      <c r="AR47" s="1567"/>
      <c r="AS47" s="1548"/>
      <c r="AT47" s="884"/>
      <c r="AU47" s="885"/>
      <c r="AV47" s="883"/>
      <c r="AW47" s="884"/>
      <c r="AX47" s="1567">
        <v>20.81578</v>
      </c>
      <c r="AY47" s="1548">
        <v>0</v>
      </c>
      <c r="AZ47" s="1138"/>
      <c r="BA47" s="885"/>
      <c r="BB47" s="883"/>
      <c r="BC47" s="884"/>
      <c r="BD47" s="1567"/>
      <c r="BE47" s="1548"/>
      <c r="BF47" s="884"/>
      <c r="BG47" s="885"/>
      <c r="BH47" s="883"/>
      <c r="BI47" s="884"/>
      <c r="BJ47" s="2102"/>
      <c r="BK47" s="2102"/>
      <c r="BL47" s="2102"/>
      <c r="BM47" s="884"/>
      <c r="BN47" s="1567"/>
      <c r="BO47" s="1548"/>
      <c r="BP47" s="1365"/>
      <c r="BQ47" s="997"/>
      <c r="BR47" s="996"/>
      <c r="BS47" s="1365"/>
      <c r="BT47" s="1567"/>
      <c r="BU47" s="1548"/>
      <c r="BV47" s="1365"/>
      <c r="BW47" s="997"/>
      <c r="BX47" s="996"/>
      <c r="BY47" s="1365"/>
      <c r="BZ47" s="1365"/>
      <c r="CA47" s="1365"/>
      <c r="CB47" s="1992">
        <f t="shared" si="60"/>
        <v>45.930804999999999</v>
      </c>
      <c r="CC47" s="1365"/>
      <c r="CD47" s="1996">
        <v>0</v>
      </c>
      <c r="CE47" s="997"/>
      <c r="CF47" s="1981">
        <v>45.930804999999999</v>
      </c>
      <c r="CG47" s="996"/>
      <c r="CH47" s="1365"/>
      <c r="CI47" s="2102"/>
      <c r="CJ47" s="2102"/>
      <c r="CK47" s="2102"/>
      <c r="CL47" s="1365"/>
      <c r="CM47" s="1365"/>
      <c r="CN47" s="1365"/>
      <c r="CO47" s="1992">
        <f t="shared" si="61"/>
        <v>54.216297500000003</v>
      </c>
      <c r="CP47" s="1365"/>
      <c r="CQ47" s="1996">
        <v>0</v>
      </c>
      <c r="CR47" s="997"/>
      <c r="CS47" s="1981">
        <v>54.216297500000003</v>
      </c>
      <c r="CT47" s="996"/>
      <c r="CU47" s="884"/>
      <c r="CV47" s="1365"/>
      <c r="CW47" s="1365"/>
      <c r="CX47" s="1992">
        <f t="shared" si="62"/>
        <v>11.969385000000001</v>
      </c>
      <c r="CY47" s="1365"/>
      <c r="CZ47" s="1996">
        <f t="shared" si="55"/>
        <v>0</v>
      </c>
      <c r="DA47" s="997"/>
      <c r="DB47" s="1981">
        <f t="shared" si="56"/>
        <v>11.969385000000001</v>
      </c>
      <c r="DC47" s="996">
        <f t="shared" si="63"/>
        <v>11.969385000000001</v>
      </c>
      <c r="DD47" s="884"/>
      <c r="DE47" s="1567"/>
      <c r="DF47" s="1548"/>
      <c r="DG47" s="884"/>
      <c r="DH47" s="885"/>
      <c r="DI47" s="883"/>
      <c r="DJ47" s="367"/>
      <c r="DK47" s="1201"/>
      <c r="DL47" s="945"/>
      <c r="DM47" s="943"/>
      <c r="DN47" s="948"/>
      <c r="DO47" s="944"/>
      <c r="DP47" s="913"/>
      <c r="DQ47" s="914"/>
      <c r="DR47" s="946"/>
      <c r="DS47" s="942"/>
      <c r="DT47" s="942"/>
      <c r="DU47" s="954">
        <f t="shared" si="64"/>
        <v>0</v>
      </c>
      <c r="DV47" s="905"/>
      <c r="DW47" s="904">
        <f t="shared" si="67"/>
        <v>0</v>
      </c>
      <c r="DX47" s="1195" t="str">
        <f>_xlfn.XLOOKUP(K47,Cement!$Q$7:$Q$35,Cement!$AR$7:$AR$35,"")</f>
        <v/>
      </c>
      <c r="DY47" s="966"/>
      <c r="DZ47" s="966"/>
      <c r="EA47" s="367"/>
      <c r="EB47" s="176" t="e">
        <f>SUMIF('[1]9-1404.12.03'!$B$2:$B$2000,$J47,'[1]9-1404.12.03'!$L$2:$L$2000)</f>
        <v>#VALUE!</v>
      </c>
      <c r="EC47" s="176" t="e">
        <f>SUMIF('[1]9-1404.12.03'!$B$2:$B$2000,$J47,'[1]9-1404.12.03'!$E$2:$E$2000)/10</f>
        <v>#VALUE!</v>
      </c>
      <c r="ED47" s="177" t="str">
        <f t="shared" si="65"/>
        <v/>
      </c>
      <c r="EE47" s="176" t="e">
        <f>SUMIF('[1]8B-1404.12.02'!$D$2:$D$3000,$J47,'[1]8B-1404.12.02'!$M$2:$M$3000)</f>
        <v>#VALUE!</v>
      </c>
      <c r="EF47" s="176" t="e">
        <f>SUMIF('[1]8B-1404.12.02'!$D$2:$D$3000,$J47,'[1]8B-1404.12.02'!$G$2:$G$3000)/10</f>
        <v>#VALUE!</v>
      </c>
      <c r="EG47" s="177" t="str">
        <f t="shared" si="66"/>
        <v/>
      </c>
      <c r="EH47" s="1502"/>
      <c r="EI47" s="1534">
        <f>SUMIF(Cem_Export!$C$2:$C$3000,$J47,Cem_Export!$I$2:$I$3000)</f>
        <v>0</v>
      </c>
      <c r="EJ47" s="1534">
        <f>SUMIFS(Cem_Export!$J$2:$J$3000,Cem_Export!$C$2:$C$3000,$J47,Cem_Export!$L$2:$L$3000, $EJ$4)</f>
        <v>0</v>
      </c>
      <c r="EK47" s="1534">
        <f>SUMIFS(Cem_Export!$J$2:$J$3000,Cem_Export!$C$2:$C$3000,$J47,Cem_Export!$L$2:$L$3000, $EK$4)</f>
        <v>0</v>
      </c>
      <c r="EL47" s="1682" t="str">
        <f t="shared" si="68"/>
        <v/>
      </c>
      <c r="EM47" s="1836">
        <f t="shared" si="69"/>
        <v>0</v>
      </c>
      <c r="EN47" s="1562"/>
      <c r="EO47" s="1625">
        <f>SUMIF('Cem-Domestic'!$D$2:$D$4000,$J47,'Cem-Domestic'!$M$2:$M$4000)</f>
        <v>4125</v>
      </c>
      <c r="EP47" s="1625">
        <f>SUMIF('Cem-Domestic'!$D$2:$D$4000,$J47,'Cem-Domestic'!$G$2:$G$4000)/10^7</f>
        <v>11.969385000000001</v>
      </c>
      <c r="EQ47" s="1681">
        <f t="shared" si="70"/>
        <v>2901.6690909090908</v>
      </c>
      <c r="ER47" s="1562"/>
      <c r="ES47" s="1533">
        <v>0</v>
      </c>
      <c r="ET47" s="1534">
        <v>0</v>
      </c>
      <c r="EU47" s="1535" t="s">
        <v>192</v>
      </c>
      <c r="EV47" s="1533">
        <v>0</v>
      </c>
      <c r="EW47" s="1534">
        <v>0</v>
      </c>
      <c r="EX47" s="1535" t="s">
        <v>192</v>
      </c>
      <c r="EY47" s="1533">
        <v>0</v>
      </c>
      <c r="EZ47" s="1534">
        <v>0</v>
      </c>
      <c r="FA47" s="1535" t="s">
        <v>192</v>
      </c>
      <c r="FB47" s="1533">
        <v>0</v>
      </c>
      <c r="FC47" s="1534">
        <v>0</v>
      </c>
      <c r="FD47" s="1535" t="s">
        <v>192</v>
      </c>
      <c r="FE47" s="1533">
        <v>0</v>
      </c>
      <c r="FF47" s="1534">
        <v>0</v>
      </c>
      <c r="FG47" s="1535" t="s">
        <v>192</v>
      </c>
    </row>
    <row r="48" spans="1:163" ht="22">
      <c r="A48" s="978"/>
      <c r="B48" s="978"/>
      <c r="C48" s="978"/>
      <c r="D48" s="972"/>
      <c r="E48" s="970"/>
      <c r="F48" s="970"/>
      <c r="G48" s="992"/>
      <c r="H48" s="191"/>
      <c r="I48" s="173"/>
      <c r="J48" s="204" t="s">
        <v>939</v>
      </c>
      <c r="K48" s="65"/>
      <c r="L48" s="65"/>
      <c r="M48" s="65"/>
      <c r="N48" s="208"/>
      <c r="O48" s="208"/>
      <c r="P48" s="1468"/>
      <c r="Q48" s="1468"/>
      <c r="R48" s="1475"/>
      <c r="S48" s="1475"/>
      <c r="T48" s="1481"/>
      <c r="U48" s="1481"/>
      <c r="V48" s="207"/>
      <c r="W48" s="207"/>
      <c r="X48" s="934">
        <v>1000000</v>
      </c>
      <c r="Y48" s="1911"/>
      <c r="Z48" s="1567"/>
      <c r="AA48" s="1548"/>
      <c r="AB48" s="998"/>
      <c r="AC48" s="997"/>
      <c r="AD48" s="996"/>
      <c r="AE48" s="1365"/>
      <c r="AF48" s="1567">
        <v>132.17483799999999</v>
      </c>
      <c r="AG48" s="1548">
        <v>1215970</v>
      </c>
      <c r="AH48" s="998"/>
      <c r="AI48" s="885"/>
      <c r="AJ48" s="883"/>
      <c r="AK48" s="1365"/>
      <c r="AL48" s="1567">
        <v>179.8520145</v>
      </c>
      <c r="AM48" s="1548">
        <v>938430</v>
      </c>
      <c r="AN48" s="998"/>
      <c r="AO48" s="885"/>
      <c r="AP48" s="883"/>
      <c r="AQ48" s="1365"/>
      <c r="AR48" s="1567"/>
      <c r="AS48" s="1548"/>
      <c r="AT48" s="884"/>
      <c r="AU48" s="885"/>
      <c r="AV48" s="883"/>
      <c r="AW48" s="884"/>
      <c r="AX48" s="1567">
        <v>113.14465</v>
      </c>
      <c r="AY48" s="1548">
        <v>95.272800000000004</v>
      </c>
      <c r="AZ48" s="1138"/>
      <c r="BA48" s="885"/>
      <c r="BB48" s="883"/>
      <c r="BC48" s="884"/>
      <c r="BD48" s="1567"/>
      <c r="BE48" s="1548"/>
      <c r="BF48" s="884"/>
      <c r="BG48" s="885"/>
      <c r="BH48" s="883"/>
      <c r="BI48" s="884"/>
      <c r="BJ48" s="2102"/>
      <c r="BK48" s="2102"/>
      <c r="BL48" s="2102"/>
      <c r="BM48" s="884"/>
      <c r="BN48" s="1567"/>
      <c r="BO48" s="1548"/>
      <c r="BP48" s="1365"/>
      <c r="BQ48" s="997"/>
      <c r="BR48" s="996"/>
      <c r="BS48" s="1365"/>
      <c r="BT48" s="1567"/>
      <c r="BU48" s="1548"/>
      <c r="BV48" s="1365"/>
      <c r="BW48" s="997"/>
      <c r="BX48" s="996"/>
      <c r="BY48" s="1365"/>
      <c r="BZ48" s="1365"/>
      <c r="CA48" s="1365"/>
      <c r="CB48" s="1992">
        <f t="shared" si="60"/>
        <v>589.09353513901806</v>
      </c>
      <c r="CC48" s="1365"/>
      <c r="CD48" s="1996">
        <v>401.45490013901804</v>
      </c>
      <c r="CE48" s="997"/>
      <c r="CF48" s="1981">
        <v>187.63863499999999</v>
      </c>
      <c r="CG48" s="996"/>
      <c r="CH48" s="1365"/>
      <c r="CI48" s="2102"/>
      <c r="CJ48" s="2102"/>
      <c r="CK48" s="2102"/>
      <c r="CL48" s="1365"/>
      <c r="CM48" s="1365"/>
      <c r="CN48" s="1365"/>
      <c r="CO48" s="1992">
        <f t="shared" si="61"/>
        <v>401.01323535762356</v>
      </c>
      <c r="CP48" s="1365"/>
      <c r="CQ48" s="1996">
        <v>246.32579985762354</v>
      </c>
      <c r="CR48" s="997"/>
      <c r="CS48" s="1981">
        <v>154.68743549999999</v>
      </c>
      <c r="CT48" s="996"/>
      <c r="CU48" s="884"/>
      <c r="CV48" s="1365"/>
      <c r="CW48" s="1365"/>
      <c r="CX48" s="1992">
        <f t="shared" si="62"/>
        <v>150.2117025</v>
      </c>
      <c r="CY48" s="1365"/>
      <c r="CZ48" s="1996">
        <f t="shared" si="55"/>
        <v>42.616</v>
      </c>
      <c r="DA48" s="997"/>
      <c r="DB48" s="1981">
        <f t="shared" si="56"/>
        <v>107.5957025</v>
      </c>
      <c r="DC48" s="996">
        <f t="shared" si="63"/>
        <v>107.5957025</v>
      </c>
      <c r="DD48" s="884"/>
      <c r="DE48" s="1567"/>
      <c r="DF48" s="1548"/>
      <c r="DG48" s="884"/>
      <c r="DH48" s="885"/>
      <c r="DI48" s="883"/>
      <c r="DJ48" s="367"/>
      <c r="DK48" s="1201"/>
      <c r="DL48" s="945"/>
      <c r="DM48" s="943"/>
      <c r="DN48" s="948"/>
      <c r="DO48" s="944"/>
      <c r="DP48" s="913"/>
      <c r="DQ48" s="914"/>
      <c r="DR48" s="946"/>
      <c r="DS48" s="942"/>
      <c r="DT48" s="942"/>
      <c r="DU48" s="954">
        <f t="shared" si="64"/>
        <v>0</v>
      </c>
      <c r="DV48" s="905"/>
      <c r="DW48" s="904">
        <f t="shared" si="67"/>
        <v>0</v>
      </c>
      <c r="DX48" s="1195" t="str">
        <f>_xlfn.XLOOKUP(K48,Cement!$Q$7:$Q$35,Cement!$AR$7:$AR$35,"")</f>
        <v/>
      </c>
      <c r="DY48" s="966"/>
      <c r="DZ48" s="966"/>
      <c r="EA48" s="367"/>
      <c r="EB48" s="176" t="e">
        <f>SUMIF('[1]9-1404.12.03'!$B$2:$B$2000,$J48,'[1]9-1404.12.03'!$L$2:$L$2000)</f>
        <v>#VALUE!</v>
      </c>
      <c r="EC48" s="176" t="e">
        <f>SUMIF('[1]9-1404.12.03'!$B$2:$B$2000,$J48,'[1]9-1404.12.03'!$E$2:$E$2000)/10</f>
        <v>#VALUE!</v>
      </c>
      <c r="ED48" s="177" t="str">
        <f t="shared" si="65"/>
        <v/>
      </c>
      <c r="EE48" s="176" t="e">
        <f>SUMIF('[1]8B-1404.12.02'!$D$2:$D$3000,$J48,'[1]8B-1404.12.02'!$M$2:$M$3000)</f>
        <v>#VALUE!</v>
      </c>
      <c r="EF48" s="176" t="e">
        <f>SUMIF('[1]8B-1404.12.02'!$D$2:$D$3000,$J48,'[1]8B-1404.12.02'!$G$2:$G$3000)/10</f>
        <v>#VALUE!</v>
      </c>
      <c r="EG48" s="177" t="str">
        <f t="shared" si="66"/>
        <v/>
      </c>
      <c r="EH48" s="1502"/>
      <c r="EI48" s="1534">
        <f>SUMIF(Cem_Export!$C$2:$C$3000,$J48,Cem_Export!$I$2:$I$3000)</f>
        <v>6200</v>
      </c>
      <c r="EJ48" s="1534">
        <f>SUMIFS(Cem_Export!$J$2:$J$3000,Cem_Export!$C$2:$C$3000,$J48,Cem_Export!$L$2:$L$3000, $EJ$4)</f>
        <v>304400</v>
      </c>
      <c r="EK48" s="1534">
        <f>SUMIFS(Cem_Export!$J$2:$J$3000,Cem_Export!$C$2:$C$3000,$J48,Cem_Export!$L$2:$L$3000, $EK$4)</f>
        <v>0</v>
      </c>
      <c r="EL48" s="1682">
        <f t="shared" si="68"/>
        <v>49.096774193548384</v>
      </c>
      <c r="EM48" s="1836">
        <f t="shared" si="69"/>
        <v>42.616</v>
      </c>
      <c r="EN48" s="1562"/>
      <c r="EO48" s="1625">
        <f>SUMIF('Cem-Domestic'!$D$2:$D$4000,$J48,'Cem-Domestic'!$M$2:$M$4000)</f>
        <v>29900</v>
      </c>
      <c r="EP48" s="1625">
        <f>SUMIF('Cem-Domestic'!$D$2:$D$4000,$J48,'Cem-Domestic'!$G$2:$G$4000)/10^7</f>
        <v>107.5957025</v>
      </c>
      <c r="EQ48" s="1681">
        <f t="shared" si="70"/>
        <v>3598.5184782608694</v>
      </c>
      <c r="ER48" s="1562"/>
      <c r="ES48" s="1533">
        <v>2910</v>
      </c>
      <c r="ET48" s="1534">
        <v>138225</v>
      </c>
      <c r="EU48" s="1535">
        <v>47.5</v>
      </c>
      <c r="EV48" s="1533">
        <v>7830</v>
      </c>
      <c r="EW48" s="1534">
        <v>383670</v>
      </c>
      <c r="EX48" s="1535">
        <v>49</v>
      </c>
      <c r="EY48" s="1533">
        <v>3000</v>
      </c>
      <c r="EZ48" s="1534">
        <v>147000</v>
      </c>
      <c r="FA48" s="1535">
        <v>49</v>
      </c>
      <c r="FB48" s="1533">
        <v>6020</v>
      </c>
      <c r="FC48" s="1534">
        <v>285950</v>
      </c>
      <c r="FD48" s="1535">
        <v>47.5</v>
      </c>
      <c r="FE48" s="1533">
        <v>8150</v>
      </c>
      <c r="FF48" s="1534">
        <v>399350</v>
      </c>
      <c r="FG48" s="1535">
        <v>49</v>
      </c>
    </row>
    <row r="49" spans="1:163" ht="22">
      <c r="A49" s="978"/>
      <c r="B49" s="978"/>
      <c r="C49" s="978"/>
      <c r="D49" s="972"/>
      <c r="E49" s="970"/>
      <c r="F49" s="970"/>
      <c r="G49" s="992"/>
      <c r="H49" s="191"/>
      <c r="I49" s="173"/>
      <c r="J49" s="204" t="s">
        <v>940</v>
      </c>
      <c r="K49" s="65"/>
      <c r="L49" s="65"/>
      <c r="M49" s="65"/>
      <c r="N49" s="208"/>
      <c r="O49" s="208"/>
      <c r="P49" s="1468"/>
      <c r="Q49" s="1468"/>
      <c r="R49" s="1475"/>
      <c r="S49" s="1475"/>
      <c r="T49" s="1481"/>
      <c r="U49" s="1481"/>
      <c r="V49" s="207"/>
      <c r="W49" s="207"/>
      <c r="X49" s="934">
        <v>1000000</v>
      </c>
      <c r="Y49" s="1911"/>
      <c r="Z49" s="1567"/>
      <c r="AA49" s="1548"/>
      <c r="AB49" s="998"/>
      <c r="AC49" s="997"/>
      <c r="AD49" s="996"/>
      <c r="AE49" s="1365"/>
      <c r="AF49" s="1567">
        <v>139.8584975</v>
      </c>
      <c r="AG49" s="1548">
        <v>1020049</v>
      </c>
      <c r="AH49" s="998"/>
      <c r="AI49" s="885"/>
      <c r="AJ49" s="883"/>
      <c r="AK49" s="1365"/>
      <c r="AL49" s="1567">
        <v>135.79991749999999</v>
      </c>
      <c r="AM49" s="1548">
        <v>1177690</v>
      </c>
      <c r="AN49" s="998"/>
      <c r="AO49" s="885"/>
      <c r="AP49" s="883"/>
      <c r="AQ49" s="1365"/>
      <c r="AR49" s="1567"/>
      <c r="AS49" s="1548"/>
      <c r="AT49" s="884"/>
      <c r="AU49" s="885"/>
      <c r="AV49" s="883"/>
      <c r="AW49" s="884"/>
      <c r="AX49" s="1567">
        <v>120.86801</v>
      </c>
      <c r="AY49" s="1548">
        <v>89.344061867508003</v>
      </c>
      <c r="AZ49" s="1138"/>
      <c r="BA49" s="885"/>
      <c r="BB49" s="883"/>
      <c r="BC49" s="884"/>
      <c r="BD49" s="1567"/>
      <c r="BE49" s="1548"/>
      <c r="BF49" s="884"/>
      <c r="BG49" s="885"/>
      <c r="BH49" s="883"/>
      <c r="BI49" s="884"/>
      <c r="BJ49" s="2102"/>
      <c r="BK49" s="2102"/>
      <c r="BL49" s="2102"/>
      <c r="BM49" s="884"/>
      <c r="BN49" s="1567"/>
      <c r="BO49" s="1548"/>
      <c r="BP49" s="1365"/>
      <c r="BQ49" s="997"/>
      <c r="BR49" s="996"/>
      <c r="BS49" s="1365"/>
      <c r="BT49" s="1567"/>
      <c r="BU49" s="1548"/>
      <c r="BV49" s="1365"/>
      <c r="BW49" s="997"/>
      <c r="BX49" s="996"/>
      <c r="BY49" s="1365"/>
      <c r="BZ49" s="1365"/>
      <c r="CA49" s="1365"/>
      <c r="CB49" s="1992">
        <f t="shared" si="60"/>
        <v>544.96049500000004</v>
      </c>
      <c r="CC49" s="1365"/>
      <c r="CD49" s="1996">
        <v>274.53719999999998</v>
      </c>
      <c r="CE49" s="997"/>
      <c r="CF49" s="1981">
        <v>270.423295</v>
      </c>
      <c r="CG49" s="996"/>
      <c r="CH49" s="1365"/>
      <c r="CI49" s="2102"/>
      <c r="CJ49" s="2102"/>
      <c r="CK49" s="2102"/>
      <c r="CL49" s="1365"/>
      <c r="CM49" s="1365"/>
      <c r="CN49" s="1365"/>
      <c r="CO49" s="1992">
        <f t="shared" si="61"/>
        <v>128.24298007543209</v>
      </c>
      <c r="CP49" s="1365"/>
      <c r="CQ49" s="1996">
        <v>10.640000075432097</v>
      </c>
      <c r="CR49" s="997"/>
      <c r="CS49" s="1981">
        <v>117.60298</v>
      </c>
      <c r="CT49" s="996"/>
      <c r="CU49" s="884"/>
      <c r="CV49" s="1365"/>
      <c r="CW49" s="1365"/>
      <c r="CX49" s="1992">
        <f t="shared" si="62"/>
        <v>346.26012000000003</v>
      </c>
      <c r="CY49" s="1365"/>
      <c r="CZ49" s="1996">
        <f t="shared" si="55"/>
        <v>226.38</v>
      </c>
      <c r="DA49" s="997"/>
      <c r="DB49" s="1981">
        <f t="shared" si="56"/>
        <v>119.88012000000001</v>
      </c>
      <c r="DC49" s="996">
        <f t="shared" si="63"/>
        <v>119.88012000000001</v>
      </c>
      <c r="DD49" s="884"/>
      <c r="DE49" s="1567"/>
      <c r="DF49" s="1548"/>
      <c r="DG49" s="884"/>
      <c r="DH49" s="885"/>
      <c r="DI49" s="883"/>
      <c r="DJ49" s="367"/>
      <c r="DK49" s="1201"/>
      <c r="DL49" s="945"/>
      <c r="DM49" s="943"/>
      <c r="DN49" s="948"/>
      <c r="DO49" s="944"/>
      <c r="DP49" s="913"/>
      <c r="DQ49" s="914"/>
      <c r="DR49" s="946"/>
      <c r="DS49" s="942"/>
      <c r="DT49" s="942"/>
      <c r="DU49" s="954">
        <f t="shared" si="64"/>
        <v>0</v>
      </c>
      <c r="DV49" s="905"/>
      <c r="DW49" s="904">
        <f t="shared" si="67"/>
        <v>0</v>
      </c>
      <c r="DX49" s="1195" t="str">
        <f>_xlfn.XLOOKUP(K49,Cement!$Q$7:$Q$35,Cement!$AR$7:$AR$35,"")</f>
        <v/>
      </c>
      <c r="DY49" s="966"/>
      <c r="DZ49" s="966"/>
      <c r="EA49" s="367"/>
      <c r="EB49" s="176" t="e">
        <f>SUMIF('[1]9-1404.12.03'!$B$2:$B$2000,$J49,'[1]9-1404.12.03'!$L$2:$L$2000)</f>
        <v>#VALUE!</v>
      </c>
      <c r="EC49" s="176" t="e">
        <f>SUMIF('[1]9-1404.12.03'!$B$2:$B$2000,$J49,'[1]9-1404.12.03'!$E$2:$E$2000)/10</f>
        <v>#VALUE!</v>
      </c>
      <c r="ED49" s="177" t="str">
        <f t="shared" si="65"/>
        <v/>
      </c>
      <c r="EE49" s="176" t="e">
        <f>SUMIF('[1]8B-1404.12.02'!$D$2:$D$3000,$J49,'[1]8B-1404.12.02'!$M$2:$M$3000)</f>
        <v>#VALUE!</v>
      </c>
      <c r="EF49" s="176" t="e">
        <f>SUMIF('[1]8B-1404.12.02'!$D$2:$D$3000,$J49,'[1]8B-1404.12.02'!$G$2:$G$3000)/10</f>
        <v>#VALUE!</v>
      </c>
      <c r="EG49" s="177" t="str">
        <f t="shared" si="66"/>
        <v/>
      </c>
      <c r="EH49" s="1502"/>
      <c r="EI49" s="1534">
        <f>SUMIF(Cem_Export!$C$2:$C$3000,$J49,Cem_Export!$I$2:$I$3000)</f>
        <v>33000</v>
      </c>
      <c r="EJ49" s="1534">
        <f>SUMIFS(Cem_Export!$J$2:$J$3000,Cem_Export!$C$2:$C$3000,$J49,Cem_Export!$L$2:$L$3000, $EJ$4)</f>
        <v>1617000</v>
      </c>
      <c r="EK49" s="1534">
        <f>SUMIFS(Cem_Export!$J$2:$J$3000,Cem_Export!$C$2:$C$3000,$J49,Cem_Export!$L$2:$L$3000, $EK$4)</f>
        <v>0</v>
      </c>
      <c r="EL49" s="1682">
        <f t="shared" si="68"/>
        <v>49</v>
      </c>
      <c r="EM49" s="1836">
        <f t="shared" si="69"/>
        <v>226.38</v>
      </c>
      <c r="EN49" s="1562"/>
      <c r="EO49" s="1625">
        <f>SUMIF('Cem-Domestic'!$D$2:$D$4000,$J49,'Cem-Domestic'!$M$2:$M$4000)</f>
        <v>33000</v>
      </c>
      <c r="EP49" s="1625">
        <f>SUMIF('Cem-Domestic'!$D$2:$D$4000,$J49,'Cem-Domestic'!$G$2:$G$4000)/10^7</f>
        <v>119.88012000000001</v>
      </c>
      <c r="EQ49" s="1681">
        <f t="shared" si="70"/>
        <v>3632.7309090909093</v>
      </c>
      <c r="ER49" s="1562"/>
      <c r="ES49" s="1533">
        <v>5000</v>
      </c>
      <c r="ET49" s="1534">
        <v>245000</v>
      </c>
      <c r="EU49" s="1535">
        <v>49</v>
      </c>
      <c r="EV49" s="1533">
        <v>0</v>
      </c>
      <c r="EW49" s="1534">
        <v>0</v>
      </c>
      <c r="EX49" s="1535" t="s">
        <v>192</v>
      </c>
      <c r="EY49" s="1533">
        <v>11001</v>
      </c>
      <c r="EZ49" s="1534">
        <v>534549</v>
      </c>
      <c r="FA49" s="1535">
        <v>48.590946277611124</v>
      </c>
      <c r="FB49" s="1533">
        <v>8000</v>
      </c>
      <c r="FC49" s="1534">
        <v>387500</v>
      </c>
      <c r="FD49" s="1535">
        <v>48.4375</v>
      </c>
      <c r="FE49" s="1533">
        <v>8000</v>
      </c>
      <c r="FF49" s="1534">
        <v>392000</v>
      </c>
      <c r="FG49" s="1535">
        <v>49</v>
      </c>
    </row>
    <row r="50" spans="1:163" ht="22">
      <c r="A50" s="978"/>
      <c r="B50" s="978"/>
      <c r="C50" s="978"/>
      <c r="D50" s="972"/>
      <c r="E50" s="970"/>
      <c r="F50" s="970"/>
      <c r="G50" s="992"/>
      <c r="H50" s="191"/>
      <c r="I50" s="173"/>
      <c r="J50" s="204" t="s">
        <v>941</v>
      </c>
      <c r="K50" s="65"/>
      <c r="L50" s="65"/>
      <c r="M50" s="65"/>
      <c r="N50" s="208"/>
      <c r="O50" s="208"/>
      <c r="P50" s="1468"/>
      <c r="Q50" s="1468"/>
      <c r="R50" s="1475"/>
      <c r="S50" s="1475"/>
      <c r="T50" s="1481"/>
      <c r="U50" s="1481"/>
      <c r="V50" s="207"/>
      <c r="W50" s="207"/>
      <c r="X50" s="934">
        <v>1000000</v>
      </c>
      <c r="Y50" s="1911"/>
      <c r="Z50" s="1567"/>
      <c r="AA50" s="1548"/>
      <c r="AB50" s="998"/>
      <c r="AC50" s="997"/>
      <c r="AD50" s="996"/>
      <c r="AE50" s="1365"/>
      <c r="AF50" s="1567">
        <v>114.31626249999999</v>
      </c>
      <c r="AG50" s="1548">
        <v>1295000</v>
      </c>
      <c r="AH50" s="998"/>
      <c r="AI50" s="885"/>
      <c r="AJ50" s="883"/>
      <c r="AK50" s="1365"/>
      <c r="AL50" s="1567">
        <v>122.40000499999999</v>
      </c>
      <c r="AM50" s="1548">
        <v>486360</v>
      </c>
      <c r="AN50" s="998"/>
      <c r="AO50" s="885"/>
      <c r="AP50" s="883"/>
      <c r="AQ50" s="1365"/>
      <c r="AR50" s="1567"/>
      <c r="AS50" s="1548"/>
      <c r="AT50" s="884"/>
      <c r="AU50" s="885"/>
      <c r="AV50" s="883"/>
      <c r="AW50" s="884"/>
      <c r="AX50" s="1567">
        <v>90.259682499999997</v>
      </c>
      <c r="AY50" s="1548">
        <v>58.770400000000002</v>
      </c>
      <c r="AZ50" s="1138"/>
      <c r="BA50" s="885"/>
      <c r="BB50" s="883"/>
      <c r="BC50" s="884"/>
      <c r="BD50" s="1567"/>
      <c r="BE50" s="1548"/>
      <c r="BF50" s="884"/>
      <c r="BG50" s="885"/>
      <c r="BH50" s="883"/>
      <c r="BI50" s="884"/>
      <c r="BJ50" s="2102"/>
      <c r="BK50" s="2102"/>
      <c r="BL50" s="2102"/>
      <c r="BM50" s="884"/>
      <c r="BN50" s="1567"/>
      <c r="BO50" s="1548"/>
      <c r="BP50" s="1365"/>
      <c r="BQ50" s="997"/>
      <c r="BR50" s="996"/>
      <c r="BS50" s="1365"/>
      <c r="BT50" s="1567"/>
      <c r="BU50" s="1548"/>
      <c r="BV50" s="1365"/>
      <c r="BW50" s="997"/>
      <c r="BX50" s="996"/>
      <c r="BY50" s="1365"/>
      <c r="BZ50" s="1365"/>
      <c r="CA50" s="1365"/>
      <c r="CB50" s="1992">
        <f t="shared" si="60"/>
        <v>182.38961499999999</v>
      </c>
      <c r="CC50" s="1365"/>
      <c r="CD50" s="1996">
        <v>103.62698</v>
      </c>
      <c r="CE50" s="997"/>
      <c r="CF50" s="1981">
        <v>78.762635000000003</v>
      </c>
      <c r="CG50" s="996"/>
      <c r="CH50" s="1365"/>
      <c r="CI50" s="2102"/>
      <c r="CJ50" s="2102"/>
      <c r="CK50" s="2102"/>
      <c r="CL50" s="1365"/>
      <c r="CM50" s="1365"/>
      <c r="CN50" s="1365"/>
      <c r="CO50" s="1992">
        <f t="shared" si="61"/>
        <v>99.112912500000007</v>
      </c>
      <c r="CP50" s="1365"/>
      <c r="CQ50" s="1996">
        <v>82.609120000000004</v>
      </c>
      <c r="CR50" s="997"/>
      <c r="CS50" s="1981">
        <v>16.503792499999999</v>
      </c>
      <c r="CT50" s="996"/>
      <c r="CU50" s="884"/>
      <c r="CV50" s="1365"/>
      <c r="CW50" s="1365"/>
      <c r="CX50" s="1992">
        <f t="shared" si="62"/>
        <v>53.982792500000002</v>
      </c>
      <c r="CY50" s="1365"/>
      <c r="CZ50" s="1996">
        <f t="shared" si="55"/>
        <v>29.835000000000001</v>
      </c>
      <c r="DA50" s="997"/>
      <c r="DB50" s="1981">
        <f t="shared" si="56"/>
        <v>24.147792500000001</v>
      </c>
      <c r="DC50" s="996">
        <f t="shared" si="63"/>
        <v>24.147792500000001</v>
      </c>
      <c r="DD50" s="884"/>
      <c r="DE50" s="1567"/>
      <c r="DF50" s="1548"/>
      <c r="DG50" s="884"/>
      <c r="DH50" s="885"/>
      <c r="DI50" s="883"/>
      <c r="DJ50" s="367"/>
      <c r="DK50" s="1201"/>
      <c r="DL50" s="945"/>
      <c r="DM50" s="943"/>
      <c r="DN50" s="948"/>
      <c r="DO50" s="944"/>
      <c r="DP50" s="913"/>
      <c r="DQ50" s="914"/>
      <c r="DR50" s="946"/>
      <c r="DS50" s="942"/>
      <c r="DT50" s="942"/>
      <c r="DU50" s="954">
        <f t="shared" si="64"/>
        <v>0</v>
      </c>
      <c r="DV50" s="905"/>
      <c r="DW50" s="904">
        <f t="shared" si="67"/>
        <v>0</v>
      </c>
      <c r="DX50" s="1195" t="str">
        <f>_xlfn.XLOOKUP(K50,Cement!$Q$7:$Q$35,Cement!$AR$7:$AR$35,"")</f>
        <v/>
      </c>
      <c r="DY50" s="966"/>
      <c r="DZ50" s="966"/>
      <c r="EA50" s="367"/>
      <c r="EB50" s="176" t="e">
        <f>SUMIF('[1]9-1404.12.03'!$B$2:$B$2000,$J50,'[1]9-1404.12.03'!$L$2:$L$2000)</f>
        <v>#VALUE!</v>
      </c>
      <c r="EC50" s="176" t="e">
        <f>SUMIF('[1]9-1404.12.03'!$B$2:$B$2000,$J50,'[1]9-1404.12.03'!$E$2:$E$2000)/10</f>
        <v>#VALUE!</v>
      </c>
      <c r="ED50" s="177" t="str">
        <f t="shared" si="65"/>
        <v/>
      </c>
      <c r="EE50" s="176" t="e">
        <f>SUMIF('[1]8B-1404.12.02'!$D$2:$D$3000,$J50,'[1]8B-1404.12.02'!$M$2:$M$3000)</f>
        <v>#VALUE!</v>
      </c>
      <c r="EF50" s="176" t="e">
        <f>SUMIF('[1]8B-1404.12.02'!$D$2:$D$3000,$J50,'[1]8B-1404.12.02'!$G$2:$G$3000)/10</f>
        <v>#VALUE!</v>
      </c>
      <c r="EG50" s="177" t="str">
        <f t="shared" si="66"/>
        <v/>
      </c>
      <c r="EH50" s="1502"/>
      <c r="EI50" s="1534">
        <f>SUMIF(Cem_Export!$C$2:$C$3000,$J50,Cem_Export!$I$2:$I$3000)</f>
        <v>6000</v>
      </c>
      <c r="EJ50" s="1534">
        <f>SUMIFS(Cem_Export!$J$2:$J$3000,Cem_Export!$C$2:$C$3000,$J50,Cem_Export!$L$2:$L$3000, $EJ$4)</f>
        <v>0</v>
      </c>
      <c r="EK50" s="1534">
        <f>SUMIFS(Cem_Export!$J$2:$J$3000,Cem_Export!$C$2:$C$3000,$J50,Cem_Export!$L$2:$L$3000, $EK$4)</f>
        <v>298350000000</v>
      </c>
      <c r="EL50" s="1682">
        <f t="shared" si="68"/>
        <v>35.517857142857146</v>
      </c>
      <c r="EM50" s="1836">
        <f t="shared" si="69"/>
        <v>29.835000000000001</v>
      </c>
      <c r="EN50" s="1562"/>
      <c r="EO50" s="1625">
        <f>SUMIF('Cem-Domestic'!$D$2:$D$4000,$J50,'Cem-Domestic'!$M$2:$M$4000)</f>
        <v>9625</v>
      </c>
      <c r="EP50" s="1625">
        <f>SUMIF('Cem-Domestic'!$D$2:$D$4000,$J50,'Cem-Domestic'!$G$2:$G$4000)/10^7</f>
        <v>24.147792500000001</v>
      </c>
      <c r="EQ50" s="1681">
        <f t="shared" si="70"/>
        <v>2508.8615584415584</v>
      </c>
      <c r="ER50" s="1562"/>
      <c r="ES50" s="1533">
        <v>6300</v>
      </c>
      <c r="ET50" s="1534">
        <v>176400</v>
      </c>
      <c r="EU50" s="1535">
        <v>28</v>
      </c>
      <c r="EV50" s="1533">
        <v>17650</v>
      </c>
      <c r="EW50" s="1534">
        <v>494200</v>
      </c>
      <c r="EX50" s="1535">
        <v>28</v>
      </c>
      <c r="EY50" s="1533">
        <v>12650</v>
      </c>
      <c r="EZ50" s="1534">
        <v>354200</v>
      </c>
      <c r="FA50" s="1535">
        <v>28</v>
      </c>
      <c r="FB50" s="1533">
        <v>4900</v>
      </c>
      <c r="FC50" s="1534">
        <v>137200</v>
      </c>
      <c r="FD50" s="1535">
        <v>28</v>
      </c>
      <c r="FE50" s="1533">
        <v>11050</v>
      </c>
      <c r="FF50" s="1534">
        <v>309400</v>
      </c>
      <c r="FG50" s="1535">
        <v>28</v>
      </c>
    </row>
    <row r="51" spans="1:163" ht="22">
      <c r="A51" s="978"/>
      <c r="B51" s="978"/>
      <c r="C51" s="978"/>
      <c r="D51" s="972"/>
      <c r="E51" s="970"/>
      <c r="F51" s="970"/>
      <c r="G51" s="992"/>
      <c r="H51" s="191"/>
      <c r="I51" s="173"/>
      <c r="J51" s="204" t="s">
        <v>942</v>
      </c>
      <c r="K51" s="65"/>
      <c r="L51" s="65"/>
      <c r="M51" s="65"/>
      <c r="N51" s="208"/>
      <c r="O51" s="208"/>
      <c r="P51" s="1468"/>
      <c r="Q51" s="1468"/>
      <c r="R51" s="1475"/>
      <c r="S51" s="1475"/>
      <c r="T51" s="1481"/>
      <c r="U51" s="1481"/>
      <c r="V51" s="207"/>
      <c r="W51" s="207"/>
      <c r="X51" s="934">
        <v>1000000</v>
      </c>
      <c r="Y51" s="1911"/>
      <c r="Z51" s="1567"/>
      <c r="AA51" s="1548"/>
      <c r="AB51" s="998"/>
      <c r="AC51" s="997"/>
      <c r="AD51" s="996"/>
      <c r="AE51" s="1365"/>
      <c r="AF51" s="1567">
        <v>202.07261099999999</v>
      </c>
      <c r="AG51" s="1548">
        <v>279000</v>
      </c>
      <c r="AH51" s="998"/>
      <c r="AI51" s="885"/>
      <c r="AJ51" s="883"/>
      <c r="AK51" s="1365"/>
      <c r="AL51" s="1567">
        <v>212.70932350000001</v>
      </c>
      <c r="AM51" s="1548">
        <v>811000</v>
      </c>
      <c r="AN51" s="998"/>
      <c r="AO51" s="885"/>
      <c r="AP51" s="883"/>
      <c r="AQ51" s="1365"/>
      <c r="AR51" s="1567"/>
      <c r="AS51" s="1548"/>
      <c r="AT51" s="884"/>
      <c r="AU51" s="885"/>
      <c r="AV51" s="883"/>
      <c r="AW51" s="884"/>
      <c r="AX51" s="1567">
        <v>191.35015799999999</v>
      </c>
      <c r="AY51" s="1548">
        <v>0</v>
      </c>
      <c r="AZ51" s="1138"/>
      <c r="BA51" s="885"/>
      <c r="BB51" s="883"/>
      <c r="BC51" s="884"/>
      <c r="BD51" s="1567"/>
      <c r="BE51" s="1548"/>
      <c r="BF51" s="884"/>
      <c r="BG51" s="885"/>
      <c r="BH51" s="883"/>
      <c r="BI51" s="884"/>
      <c r="BJ51" s="2102"/>
      <c r="BK51" s="2102"/>
      <c r="BL51" s="2102"/>
      <c r="BM51" s="884"/>
      <c r="BN51" s="1567"/>
      <c r="BO51" s="1548"/>
      <c r="BP51" s="1365"/>
      <c r="BQ51" s="997"/>
      <c r="BR51" s="996"/>
      <c r="BS51" s="1365"/>
      <c r="BT51" s="1567"/>
      <c r="BU51" s="1548"/>
      <c r="BV51" s="1365"/>
      <c r="BW51" s="997"/>
      <c r="BX51" s="996"/>
      <c r="BY51" s="1365"/>
      <c r="BZ51" s="1365"/>
      <c r="CA51" s="1365"/>
      <c r="CB51" s="1992">
        <f t="shared" si="60"/>
        <v>330.51911638058493</v>
      </c>
      <c r="CC51" s="1365"/>
      <c r="CD51" s="1996">
        <v>48.47499988058496</v>
      </c>
      <c r="CE51" s="997"/>
      <c r="CF51" s="1981">
        <v>282.04411649999997</v>
      </c>
      <c r="CG51" s="996"/>
      <c r="CH51" s="1365"/>
      <c r="CI51" s="2102"/>
      <c r="CJ51" s="2102"/>
      <c r="CK51" s="2102"/>
      <c r="CL51" s="1365"/>
      <c r="CM51" s="1365"/>
      <c r="CN51" s="1365"/>
      <c r="CO51" s="1992">
        <f t="shared" si="61"/>
        <v>54.586410000000001</v>
      </c>
      <c r="CP51" s="1365"/>
      <c r="CQ51" s="1996">
        <v>27.720000000000002</v>
      </c>
      <c r="CR51" s="997"/>
      <c r="CS51" s="1981">
        <v>26.866409999999998</v>
      </c>
      <c r="CT51" s="996"/>
      <c r="CU51" s="884"/>
      <c r="CV51" s="1365"/>
      <c r="CW51" s="1365"/>
      <c r="CX51" s="1992">
        <f t="shared" si="62"/>
        <v>111.055786</v>
      </c>
      <c r="CY51" s="1365"/>
      <c r="CZ51" s="1996">
        <f t="shared" si="55"/>
        <v>0</v>
      </c>
      <c r="DA51" s="997"/>
      <c r="DB51" s="1981">
        <f t="shared" si="56"/>
        <v>111.055786</v>
      </c>
      <c r="DC51" s="996">
        <f t="shared" si="63"/>
        <v>111.055786</v>
      </c>
      <c r="DD51" s="884"/>
      <c r="DE51" s="1567"/>
      <c r="DF51" s="1548"/>
      <c r="DG51" s="884"/>
      <c r="DH51" s="885"/>
      <c r="DI51" s="883"/>
      <c r="DJ51" s="367"/>
      <c r="DK51" s="1201"/>
      <c r="DL51" s="945"/>
      <c r="DM51" s="943"/>
      <c r="DN51" s="948"/>
      <c r="DO51" s="944"/>
      <c r="DP51" s="913"/>
      <c r="DQ51" s="914"/>
      <c r="DR51" s="946"/>
      <c r="DS51" s="942"/>
      <c r="DT51" s="942"/>
      <c r="DU51" s="954">
        <f t="shared" si="64"/>
        <v>0</v>
      </c>
      <c r="DV51" s="905"/>
      <c r="DW51" s="904">
        <f t="shared" si="67"/>
        <v>0</v>
      </c>
      <c r="DX51" s="1195" t="str">
        <f>_xlfn.XLOOKUP(K51,Cement!$Q$7:$Q$35,Cement!$AR$7:$AR$35,"")</f>
        <v/>
      </c>
      <c r="DY51" s="966"/>
      <c r="DZ51" s="966"/>
      <c r="EA51" s="367"/>
      <c r="EB51" s="176" t="e">
        <f>SUMIF('[1]9-1404.12.03'!$B$2:$B$2000,$J51,'[1]9-1404.12.03'!$L$2:$L$2000)</f>
        <v>#VALUE!</v>
      </c>
      <c r="EC51" s="176" t="e">
        <f>SUMIF('[1]9-1404.12.03'!$B$2:$B$2000,$J51,'[1]9-1404.12.03'!$E$2:$E$2000)/10</f>
        <v>#VALUE!</v>
      </c>
      <c r="ED51" s="177" t="str">
        <f t="shared" si="65"/>
        <v/>
      </c>
      <c r="EE51" s="176" t="e">
        <f>SUMIF('[1]8B-1404.12.02'!$D$2:$D$3000,$J51,'[1]8B-1404.12.02'!$M$2:$M$3000)</f>
        <v>#VALUE!</v>
      </c>
      <c r="EF51" s="176" t="e">
        <f>SUMIF('[1]8B-1404.12.02'!$D$2:$D$3000,$J51,'[1]8B-1404.12.02'!$G$2:$G$3000)/10</f>
        <v>#VALUE!</v>
      </c>
      <c r="EG51" s="177" t="str">
        <f t="shared" si="66"/>
        <v/>
      </c>
      <c r="EH51" s="1502"/>
      <c r="EI51" s="1534">
        <f>SUMIF(Cem_Export!$C$2:$C$3000,$J51,Cem_Export!$I$2:$I$3000)</f>
        <v>0</v>
      </c>
      <c r="EJ51" s="1534">
        <f>SUMIFS(Cem_Export!$J$2:$J$3000,Cem_Export!$C$2:$C$3000,$J51,Cem_Export!$L$2:$L$3000, $EJ$4)</f>
        <v>0</v>
      </c>
      <c r="EK51" s="1534">
        <f>SUMIFS(Cem_Export!$J$2:$J$3000,Cem_Export!$C$2:$C$3000,$J51,Cem_Export!$L$2:$L$3000, $EK$4)</f>
        <v>0</v>
      </c>
      <c r="EL51" s="1682" t="str">
        <f t="shared" si="68"/>
        <v/>
      </c>
      <c r="EM51" s="1836">
        <f t="shared" si="69"/>
        <v>0</v>
      </c>
      <c r="EN51" s="1562"/>
      <c r="EO51" s="1625">
        <f>SUMIF('Cem-Domestic'!$D$2:$D$4000,$J51,'Cem-Domestic'!$M$2:$M$4000)</f>
        <v>25640</v>
      </c>
      <c r="EP51" s="1625">
        <f>SUMIF('Cem-Domestic'!$D$2:$D$4000,$J51,'Cem-Domestic'!$G$2:$G$4000)/10^7</f>
        <v>111.055786</v>
      </c>
      <c r="EQ51" s="1681">
        <f t="shared" si="70"/>
        <v>4331.3489079563178</v>
      </c>
      <c r="ER51" s="1562"/>
      <c r="ES51" s="1533">
        <v>4500</v>
      </c>
      <c r="ET51" s="1534">
        <v>141000</v>
      </c>
      <c r="EU51" s="1535">
        <v>31.333333333333332</v>
      </c>
      <c r="EV51" s="1533">
        <v>5500</v>
      </c>
      <c r="EW51" s="1534">
        <v>170000</v>
      </c>
      <c r="EX51" s="1535">
        <v>30.90909090909091</v>
      </c>
      <c r="EY51" s="1533">
        <v>0</v>
      </c>
      <c r="EZ51" s="1534">
        <v>0</v>
      </c>
      <c r="FA51" s="1535" t="s">
        <v>192</v>
      </c>
      <c r="FB51" s="1533">
        <v>0</v>
      </c>
      <c r="FC51" s="1534">
        <v>0</v>
      </c>
      <c r="FD51" s="1535" t="s">
        <v>192</v>
      </c>
      <c r="FE51" s="1533">
        <v>2000</v>
      </c>
      <c r="FF51" s="1534">
        <v>62000</v>
      </c>
      <c r="FG51" s="1535">
        <v>31</v>
      </c>
    </row>
    <row r="52" spans="1:163" ht="22">
      <c r="A52" s="978"/>
      <c r="B52" s="978"/>
      <c r="C52" s="978"/>
      <c r="D52" s="972"/>
      <c r="E52" s="970"/>
      <c r="F52" s="970"/>
      <c r="G52" s="992"/>
      <c r="H52" s="191"/>
      <c r="I52" s="173"/>
      <c r="J52" s="203" t="s">
        <v>943</v>
      </c>
      <c r="K52" s="282" t="s">
        <v>944</v>
      </c>
      <c r="L52" s="282"/>
      <c r="M52" s="282"/>
      <c r="N52" s="208"/>
      <c r="O52" s="208"/>
      <c r="P52" s="1471"/>
      <c r="Q52" s="1471"/>
      <c r="R52" s="1478"/>
      <c r="S52" s="1478"/>
      <c r="T52" s="1484"/>
      <c r="U52" s="1484"/>
      <c r="V52" s="1089"/>
      <c r="W52" s="1089"/>
      <c r="X52" s="934">
        <v>1000000</v>
      </c>
      <c r="Y52" s="1911"/>
      <c r="Z52" s="1567"/>
      <c r="AA52" s="1548"/>
      <c r="AB52" s="998"/>
      <c r="AC52" s="997"/>
      <c r="AD52" s="996"/>
      <c r="AE52" s="1365"/>
      <c r="AF52" s="1567">
        <v>79.649657500000004</v>
      </c>
      <c r="AG52" s="1548">
        <v>0</v>
      </c>
      <c r="AH52" s="998"/>
      <c r="AI52" s="885"/>
      <c r="AJ52" s="883"/>
      <c r="AK52" s="1365"/>
      <c r="AL52" s="1567">
        <v>103.1222375</v>
      </c>
      <c r="AM52" s="1548">
        <v>414800</v>
      </c>
      <c r="AN52" s="998"/>
      <c r="AO52" s="885"/>
      <c r="AP52" s="883"/>
      <c r="AQ52" s="1365"/>
      <c r="AR52" s="1567"/>
      <c r="AS52" s="1548"/>
      <c r="AT52" s="884"/>
      <c r="AU52" s="885"/>
      <c r="AV52" s="883"/>
      <c r="AW52" s="884"/>
      <c r="AX52" s="1567">
        <v>135.31955249999999</v>
      </c>
      <c r="AY52" s="1548">
        <v>0</v>
      </c>
      <c r="AZ52" s="1138"/>
      <c r="BA52" s="885"/>
      <c r="BB52" s="883"/>
      <c r="BC52" s="884"/>
      <c r="BD52" s="1567"/>
      <c r="BE52" s="1548"/>
      <c r="BF52" s="884"/>
      <c r="BG52" s="885"/>
      <c r="BH52" s="883"/>
      <c r="BI52" s="884"/>
      <c r="BJ52" s="2102"/>
      <c r="BK52" s="2102"/>
      <c r="BL52" s="2102"/>
      <c r="BM52" s="884"/>
      <c r="BN52" s="1567"/>
      <c r="BO52" s="1548"/>
      <c r="BP52" s="1365"/>
      <c r="BQ52" s="997"/>
      <c r="BR52" s="996"/>
      <c r="BS52" s="1365"/>
      <c r="BT52" s="1567"/>
      <c r="BU52" s="1548"/>
      <c r="BV52" s="1365"/>
      <c r="BW52" s="997"/>
      <c r="BX52" s="996"/>
      <c r="BY52" s="1365"/>
      <c r="BZ52" s="1365"/>
      <c r="CA52" s="1365"/>
      <c r="CB52" s="1992">
        <f t="shared" si="60"/>
        <v>198.49551500000001</v>
      </c>
      <c r="CC52" s="1365"/>
      <c r="CD52" s="1996">
        <v>1.3160000000000001</v>
      </c>
      <c r="CE52" s="997"/>
      <c r="CF52" s="1981">
        <v>197.17951500000001</v>
      </c>
      <c r="CG52" s="996"/>
      <c r="CH52" s="1365"/>
      <c r="CI52" s="2102"/>
      <c r="CJ52" s="2102"/>
      <c r="CK52" s="2102"/>
      <c r="CL52" s="1365"/>
      <c r="CM52" s="1365"/>
      <c r="CN52" s="1365"/>
      <c r="CO52" s="1992">
        <f t="shared" si="61"/>
        <v>197.27165499999998</v>
      </c>
      <c r="CP52" s="1365"/>
      <c r="CQ52" s="1996">
        <v>5.88</v>
      </c>
      <c r="CR52" s="997"/>
      <c r="CS52" s="1981">
        <v>191.39165499999999</v>
      </c>
      <c r="CT52" s="996"/>
      <c r="CU52" s="884"/>
      <c r="CV52" s="1365"/>
      <c r="CW52" s="1365"/>
      <c r="CX52" s="1992">
        <f t="shared" si="62"/>
        <v>44.754127500000003</v>
      </c>
      <c r="CY52" s="1365"/>
      <c r="CZ52" s="1996">
        <f t="shared" si="55"/>
        <v>0</v>
      </c>
      <c r="DA52" s="997"/>
      <c r="DB52" s="1981">
        <f t="shared" si="56"/>
        <v>44.754127500000003</v>
      </c>
      <c r="DC52" s="996">
        <f t="shared" si="63"/>
        <v>44.754127500000003</v>
      </c>
      <c r="DD52" s="884"/>
      <c r="DE52" s="1567"/>
      <c r="DF52" s="1548"/>
      <c r="DG52" s="884"/>
      <c r="DH52" s="885"/>
      <c r="DI52" s="883"/>
      <c r="DJ52" s="367"/>
      <c r="DK52" s="1201"/>
      <c r="DL52" s="945"/>
      <c r="DM52" s="943"/>
      <c r="DN52" s="948"/>
      <c r="DO52" s="944"/>
      <c r="DP52" s="913"/>
      <c r="DQ52" s="914"/>
      <c r="DR52" s="946"/>
      <c r="DS52" s="942"/>
      <c r="DT52" s="942"/>
      <c r="DU52" s="954">
        <f t="shared" si="64"/>
        <v>0</v>
      </c>
      <c r="DV52" s="905"/>
      <c r="DW52" s="904">
        <f t="shared" si="67"/>
        <v>0</v>
      </c>
      <c r="DX52" s="1195" t="str">
        <f>_xlfn.XLOOKUP(K52,Cement!$Q$7:$Q$35,Cement!$AR$7:$AR$35,"")</f>
        <v/>
      </c>
      <c r="DY52" s="966"/>
      <c r="DZ52" s="966"/>
      <c r="EA52" s="367"/>
      <c r="EB52" s="176" t="e">
        <f>SUMIF('[1]9-1404.12.03'!$B$2:$B$2000,$J52,'[1]9-1404.12.03'!$L$2:$L$2000)</f>
        <v>#VALUE!</v>
      </c>
      <c r="EC52" s="176" t="e">
        <f>SUMIF('[1]9-1404.12.03'!$B$2:$B$2000,$J52,'[1]9-1404.12.03'!$E$2:$E$2000)/10</f>
        <v>#VALUE!</v>
      </c>
      <c r="ED52" s="177" t="str">
        <f t="shared" si="65"/>
        <v/>
      </c>
      <c r="EE52" s="176" t="e">
        <f>SUMIF('[1]8B-1404.12.02'!$D$2:$D$3000,$J52,'[1]8B-1404.12.02'!$M$2:$M$3000)</f>
        <v>#VALUE!</v>
      </c>
      <c r="EF52" s="176" t="e">
        <f>SUMIF('[1]8B-1404.12.02'!$D$2:$D$3000,$J52,'[1]8B-1404.12.02'!$G$2:$G$3000)/10</f>
        <v>#VALUE!</v>
      </c>
      <c r="EG52" s="177" t="str">
        <f t="shared" si="66"/>
        <v/>
      </c>
      <c r="EH52" s="1502"/>
      <c r="EI52" s="1534">
        <f>SUMIF(Cem_Export!$C$2:$C$3000,$J52,Cem_Export!$I$2:$I$3000)</f>
        <v>0</v>
      </c>
      <c r="EJ52" s="1534">
        <f>SUMIFS(Cem_Export!$J$2:$J$3000,Cem_Export!$C$2:$C$3000,$J52,Cem_Export!$L$2:$L$3000, $EJ$4)</f>
        <v>0</v>
      </c>
      <c r="EK52" s="1534">
        <f>SUMIFS(Cem_Export!$J$2:$J$3000,Cem_Export!$C$2:$C$3000,$J52,Cem_Export!$L$2:$L$3000, $EK$4)</f>
        <v>0</v>
      </c>
      <c r="EL52" s="1682" t="str">
        <f t="shared" si="68"/>
        <v/>
      </c>
      <c r="EM52" s="1836">
        <f t="shared" si="69"/>
        <v>0</v>
      </c>
      <c r="EN52" s="1562"/>
      <c r="EO52" s="1625">
        <f>SUMIF('Cem-Domestic'!$D$2:$D$4000,$J52,'Cem-Domestic'!$M$2:$M$4000)</f>
        <v>15775</v>
      </c>
      <c r="EP52" s="1625">
        <f>SUMIF('Cem-Domestic'!$D$2:$D$4000,$J52,'Cem-Domestic'!$G$2:$G$4000)/10^7</f>
        <v>44.754127500000003</v>
      </c>
      <c r="EQ52" s="1681">
        <f t="shared" si="70"/>
        <v>2837.0286846275753</v>
      </c>
      <c r="ER52" s="1562"/>
      <c r="ES52" s="1533">
        <v>0</v>
      </c>
      <c r="ET52" s="1534">
        <v>0</v>
      </c>
      <c r="EU52" s="1535" t="s">
        <v>192</v>
      </c>
      <c r="EV52" s="1533">
        <v>0</v>
      </c>
      <c r="EW52" s="1534">
        <v>0</v>
      </c>
      <c r="EX52" s="1535" t="s">
        <v>192</v>
      </c>
      <c r="EY52" s="1533">
        <v>0</v>
      </c>
      <c r="EZ52" s="1534">
        <v>0</v>
      </c>
      <c r="FA52" s="1535" t="s">
        <v>192</v>
      </c>
      <c r="FB52" s="1533">
        <v>0</v>
      </c>
      <c r="FC52" s="1534">
        <v>0</v>
      </c>
      <c r="FD52" s="1535" t="s">
        <v>192</v>
      </c>
      <c r="FE52" s="1533">
        <v>0</v>
      </c>
      <c r="FF52" s="1534">
        <v>0</v>
      </c>
      <c r="FG52" s="1535" t="s">
        <v>192</v>
      </c>
    </row>
    <row r="53" spans="1:163" ht="22">
      <c r="A53" s="978"/>
      <c r="B53" s="978"/>
      <c r="C53" s="978"/>
      <c r="D53" s="972"/>
      <c r="E53" s="972"/>
      <c r="F53" s="972"/>
      <c r="G53" s="987"/>
      <c r="H53" s="191"/>
      <c r="I53" s="173"/>
      <c r="J53" s="204" t="s">
        <v>945</v>
      </c>
      <c r="K53" s="190"/>
      <c r="L53" s="65"/>
      <c r="M53" s="65"/>
      <c r="N53" s="208"/>
      <c r="O53" s="208"/>
      <c r="P53" s="1468"/>
      <c r="Q53" s="1468"/>
      <c r="R53" s="1475"/>
      <c r="S53" s="1475"/>
      <c r="T53" s="1481"/>
      <c r="U53" s="1481"/>
      <c r="V53" s="207"/>
      <c r="W53" s="207"/>
      <c r="X53" s="934">
        <v>240000</v>
      </c>
      <c r="Y53" s="1911"/>
      <c r="Z53" s="1567"/>
      <c r="AA53" s="1548"/>
      <c r="AB53" s="998"/>
      <c r="AC53" s="997"/>
      <c r="AD53" s="996"/>
      <c r="AE53" s="1365"/>
      <c r="AF53" s="1567">
        <v>14.276160000000001</v>
      </c>
      <c r="AG53" s="1548">
        <v>0</v>
      </c>
      <c r="AH53" s="998"/>
      <c r="AI53" s="885"/>
      <c r="AJ53" s="883"/>
      <c r="AK53" s="1365"/>
      <c r="AL53" s="1567">
        <v>32.286160000000002</v>
      </c>
      <c r="AM53" s="1548">
        <v>0</v>
      </c>
      <c r="AN53" s="998"/>
      <c r="AO53" s="885"/>
      <c r="AP53" s="883"/>
      <c r="AQ53" s="1365"/>
      <c r="AR53" s="1567"/>
      <c r="AS53" s="1548"/>
      <c r="AT53" s="884"/>
      <c r="AU53" s="885"/>
      <c r="AV53" s="883"/>
      <c r="AW53" s="884"/>
      <c r="AX53" s="1567">
        <v>32.923542500000003</v>
      </c>
      <c r="AY53" s="1548">
        <v>3.12</v>
      </c>
      <c r="AZ53" s="1138"/>
      <c r="BA53" s="885"/>
      <c r="BB53" s="883"/>
      <c r="BC53" s="884"/>
      <c r="BD53" s="1567"/>
      <c r="BE53" s="1548"/>
      <c r="BF53" s="884"/>
      <c r="BG53" s="885"/>
      <c r="BH53" s="883"/>
      <c r="BI53" s="884"/>
      <c r="BJ53" s="2102"/>
      <c r="BK53" s="2102"/>
      <c r="BL53" s="2102"/>
      <c r="BM53" s="884"/>
      <c r="BN53" s="1567"/>
      <c r="BO53" s="1548"/>
      <c r="BP53" s="1365"/>
      <c r="BQ53" s="997"/>
      <c r="BR53" s="996"/>
      <c r="BS53" s="1365"/>
      <c r="BT53" s="1567"/>
      <c r="BU53" s="1548"/>
      <c r="BV53" s="1365"/>
      <c r="BW53" s="997"/>
      <c r="BX53" s="996"/>
      <c r="BY53" s="1365"/>
      <c r="BZ53" s="1365"/>
      <c r="CA53" s="1365"/>
      <c r="CB53" s="1992">
        <f t="shared" si="60"/>
        <v>44.445570000000004</v>
      </c>
      <c r="CC53" s="1365"/>
      <c r="CD53" s="1996">
        <v>10.92</v>
      </c>
      <c r="CE53" s="997"/>
      <c r="CF53" s="1981">
        <v>33.525570000000002</v>
      </c>
      <c r="CG53" s="996"/>
      <c r="CH53" s="1365"/>
      <c r="CI53" s="2102"/>
      <c r="CJ53" s="2102"/>
      <c r="CK53" s="2102"/>
      <c r="CL53" s="1365"/>
      <c r="CM53" s="1365"/>
      <c r="CN53" s="1365"/>
      <c r="CO53" s="1992">
        <f t="shared" si="61"/>
        <v>182.624629</v>
      </c>
      <c r="CP53" s="1365"/>
      <c r="CQ53" s="1996">
        <v>0</v>
      </c>
      <c r="CR53" s="997"/>
      <c r="CS53" s="1981">
        <v>182.624629</v>
      </c>
      <c r="CT53" s="996"/>
      <c r="CU53" s="884"/>
      <c r="CV53" s="1365"/>
      <c r="CW53" s="1365"/>
      <c r="CX53" s="1992">
        <f t="shared" si="62"/>
        <v>21.1089105</v>
      </c>
      <c r="CY53" s="1365"/>
      <c r="CZ53" s="1996">
        <f t="shared" si="55"/>
        <v>13.16</v>
      </c>
      <c r="DA53" s="997"/>
      <c r="DB53" s="1981">
        <f t="shared" si="56"/>
        <v>7.9489105000000002</v>
      </c>
      <c r="DC53" s="996">
        <f t="shared" si="63"/>
        <v>7.9489105000000002</v>
      </c>
      <c r="DD53" s="884"/>
      <c r="DE53" s="1567"/>
      <c r="DF53" s="1548"/>
      <c r="DG53" s="884"/>
      <c r="DH53" s="885"/>
      <c r="DI53" s="883"/>
      <c r="DJ53" s="367"/>
      <c r="DK53" s="1201"/>
      <c r="DL53" s="945"/>
      <c r="DM53" s="943"/>
      <c r="DN53" s="948"/>
      <c r="DO53" s="944"/>
      <c r="DP53" s="913"/>
      <c r="DQ53" s="914"/>
      <c r="DR53" s="946"/>
      <c r="DS53" s="942"/>
      <c r="DT53" s="942"/>
      <c r="DU53" s="954">
        <f t="shared" si="64"/>
        <v>0</v>
      </c>
      <c r="DV53" s="905"/>
      <c r="DW53" s="904">
        <f t="shared" si="67"/>
        <v>0</v>
      </c>
      <c r="DX53" s="1195" t="str">
        <f>_xlfn.XLOOKUP(K53,Cement!$Q$7:$Q$35,Cement!$AR$7:$AR$35,"")</f>
        <v/>
      </c>
      <c r="DY53" s="966"/>
      <c r="DZ53" s="966"/>
      <c r="EA53" s="367"/>
      <c r="EB53" s="176" t="e">
        <f>SUMIF('[1]9-1404.12.03'!$B$2:$B$2000,$J53,'[1]9-1404.12.03'!$L$2:$L$2000)</f>
        <v>#VALUE!</v>
      </c>
      <c r="EC53" s="176" t="e">
        <f>SUMIF('[1]9-1404.12.03'!$B$2:$B$2000,$J53,'[1]9-1404.12.03'!$E$2:$E$2000)/10</f>
        <v>#VALUE!</v>
      </c>
      <c r="ED53" s="177" t="str">
        <f t="shared" si="65"/>
        <v/>
      </c>
      <c r="EE53" s="176" t="e">
        <f>SUMIF('[1]8B-1404.12.02'!$D$2:$D$3000,$J53,'[1]8B-1404.12.02'!$M$2:$M$3000)</f>
        <v>#VALUE!</v>
      </c>
      <c r="EF53" s="176" t="e">
        <f>SUMIF('[1]8B-1404.12.02'!$D$2:$D$3000,$J53,'[1]8B-1404.12.02'!$G$2:$G$3000)/10</f>
        <v>#VALUE!</v>
      </c>
      <c r="EG53" s="177" t="str">
        <f t="shared" si="66"/>
        <v/>
      </c>
      <c r="EH53" s="1502"/>
      <c r="EI53" s="1534">
        <f>SUMIF(Cem_Export!$C$2:$C$3000,$J53,Cem_Export!$I$2:$I$3000)</f>
        <v>2000</v>
      </c>
      <c r="EJ53" s="1534">
        <f>SUMIFS(Cem_Export!$J$2:$J$3000,Cem_Export!$C$2:$C$3000,$J53,Cem_Export!$L$2:$L$3000, $EJ$4)</f>
        <v>94000</v>
      </c>
      <c r="EK53" s="1534">
        <f>SUMIFS(Cem_Export!$J$2:$J$3000,Cem_Export!$C$2:$C$3000,$J53,Cem_Export!$L$2:$L$3000, $EK$4)</f>
        <v>0</v>
      </c>
      <c r="EL53" s="1682">
        <f t="shared" si="68"/>
        <v>47</v>
      </c>
      <c r="EM53" s="1836">
        <f t="shared" si="69"/>
        <v>13.16</v>
      </c>
      <c r="EN53" s="1562"/>
      <c r="EO53" s="1625">
        <f>SUMIF('Cem-Domestic'!$D$2:$D$4000,$J53,'Cem-Domestic'!$M$2:$M$4000)</f>
        <v>2720</v>
      </c>
      <c r="EP53" s="1625">
        <f>SUMIF('Cem-Domestic'!$D$2:$D$4000,$J53,'Cem-Domestic'!$G$2:$G$4000)/10^7</f>
        <v>7.9489105000000002</v>
      </c>
      <c r="EQ53" s="1681">
        <f t="shared" si="70"/>
        <v>2922.3935661764708</v>
      </c>
      <c r="ER53" s="1562"/>
      <c r="ES53" s="1533">
        <v>0</v>
      </c>
      <c r="ET53" s="1534">
        <v>0</v>
      </c>
      <c r="EU53" s="1535" t="s">
        <v>192</v>
      </c>
      <c r="EV53" s="1533">
        <v>0</v>
      </c>
      <c r="EW53" s="1534">
        <v>0</v>
      </c>
      <c r="EX53" s="1535" t="s">
        <v>192</v>
      </c>
      <c r="EY53" s="1533">
        <v>0</v>
      </c>
      <c r="EZ53" s="1534">
        <v>0</v>
      </c>
      <c r="FA53" s="1535" t="s">
        <v>192</v>
      </c>
      <c r="FB53" s="1533">
        <v>0</v>
      </c>
      <c r="FC53" s="1534">
        <v>0</v>
      </c>
      <c r="FD53" s="1535" t="s">
        <v>192</v>
      </c>
      <c r="FE53" s="1533">
        <v>0</v>
      </c>
      <c r="FF53" s="1534">
        <v>0</v>
      </c>
      <c r="FG53" s="1535" t="s">
        <v>192</v>
      </c>
    </row>
    <row r="54" spans="1:163" ht="22">
      <c r="A54" s="978"/>
      <c r="B54" s="978"/>
      <c r="C54" s="978"/>
      <c r="D54" s="972"/>
      <c r="E54" s="972"/>
      <c r="F54" s="972"/>
      <c r="G54" s="987"/>
      <c r="H54" s="191"/>
      <c r="I54" s="173"/>
      <c r="J54" s="227" t="s">
        <v>946</v>
      </c>
      <c r="K54" s="65"/>
      <c r="L54" s="65"/>
      <c r="M54" s="65"/>
      <c r="N54" s="208"/>
      <c r="O54" s="208"/>
      <c r="P54" s="1468"/>
      <c r="Q54" s="1468"/>
      <c r="R54" s="1475"/>
      <c r="S54" s="1475"/>
      <c r="T54" s="1481"/>
      <c r="U54" s="1481"/>
      <c r="V54" s="207"/>
      <c r="W54" s="207"/>
      <c r="X54" s="934">
        <v>240000</v>
      </c>
      <c r="Y54" s="1911"/>
      <c r="Z54" s="1567"/>
      <c r="AA54" s="1548"/>
      <c r="AB54" s="998"/>
      <c r="AC54" s="997"/>
      <c r="AD54" s="996"/>
      <c r="AE54" s="1365"/>
      <c r="AF54" s="1567">
        <v>20.187860000000001</v>
      </c>
      <c r="AG54" s="1548">
        <v>0</v>
      </c>
      <c r="AH54" s="998"/>
      <c r="AI54" s="885"/>
      <c r="AJ54" s="883"/>
      <c r="AK54" s="1365"/>
      <c r="AL54" s="1567">
        <v>35.167875000000002</v>
      </c>
      <c r="AM54" s="1548">
        <v>0</v>
      </c>
      <c r="AN54" s="998"/>
      <c r="AO54" s="885"/>
      <c r="AP54" s="883"/>
      <c r="AQ54" s="1365"/>
      <c r="AR54" s="1567"/>
      <c r="AS54" s="1548"/>
      <c r="AT54" s="884"/>
      <c r="AU54" s="885"/>
      <c r="AV54" s="883"/>
      <c r="AW54" s="884"/>
      <c r="AX54" s="1567">
        <v>23.157147500000001</v>
      </c>
      <c r="AY54" s="1548">
        <v>0</v>
      </c>
      <c r="AZ54" s="1138"/>
      <c r="BA54" s="885"/>
      <c r="BB54" s="883"/>
      <c r="BC54" s="884"/>
      <c r="BD54" s="1567"/>
      <c r="BE54" s="1548"/>
      <c r="BF54" s="884"/>
      <c r="BG54" s="885"/>
      <c r="BH54" s="883"/>
      <c r="BI54" s="884"/>
      <c r="BJ54" s="2102"/>
      <c r="BK54" s="2102"/>
      <c r="BL54" s="2102"/>
      <c r="BM54" s="884"/>
      <c r="BN54" s="1567"/>
      <c r="BO54" s="1548"/>
      <c r="BP54" s="1365"/>
      <c r="BQ54" s="997"/>
      <c r="BR54" s="996"/>
      <c r="BS54" s="1365"/>
      <c r="BT54" s="1567"/>
      <c r="BU54" s="1548"/>
      <c r="BV54" s="1365"/>
      <c r="BW54" s="997"/>
      <c r="BX54" s="996"/>
      <c r="BY54" s="1365"/>
      <c r="BZ54" s="1365"/>
      <c r="CA54" s="1365"/>
      <c r="CB54" s="1992">
        <f t="shared" si="60"/>
        <v>29.046595</v>
      </c>
      <c r="CC54" s="1365"/>
      <c r="CD54" s="1996">
        <v>0</v>
      </c>
      <c r="CE54" s="997"/>
      <c r="CF54" s="1981">
        <v>29.046595</v>
      </c>
      <c r="CG54" s="996"/>
      <c r="CH54" s="1365"/>
      <c r="CI54" s="2102"/>
      <c r="CJ54" s="2102"/>
      <c r="CK54" s="2102"/>
      <c r="CL54" s="1365"/>
      <c r="CM54" s="1365"/>
      <c r="CN54" s="1365"/>
      <c r="CO54" s="1992">
        <f t="shared" si="61"/>
        <v>171.51954449999999</v>
      </c>
      <c r="CP54" s="1365"/>
      <c r="CQ54" s="1996">
        <v>0</v>
      </c>
      <c r="CR54" s="997"/>
      <c r="CS54" s="1981">
        <v>171.51954449999999</v>
      </c>
      <c r="CT54" s="996"/>
      <c r="CU54" s="884"/>
      <c r="CV54" s="1365"/>
      <c r="CW54" s="1365"/>
      <c r="CX54" s="1992">
        <f t="shared" si="62"/>
        <v>19.125910000000001</v>
      </c>
      <c r="CY54" s="1365"/>
      <c r="CZ54" s="1996">
        <f t="shared" si="55"/>
        <v>0</v>
      </c>
      <c r="DA54" s="997"/>
      <c r="DB54" s="1981">
        <f t="shared" si="56"/>
        <v>19.125910000000001</v>
      </c>
      <c r="DC54" s="996">
        <f t="shared" si="63"/>
        <v>19.125910000000001</v>
      </c>
      <c r="DD54" s="884"/>
      <c r="DE54" s="1567"/>
      <c r="DF54" s="1548"/>
      <c r="DG54" s="884"/>
      <c r="DH54" s="885"/>
      <c r="DI54" s="883"/>
      <c r="DJ54" s="367"/>
      <c r="DK54" s="1201"/>
      <c r="DL54" s="945"/>
      <c r="DM54" s="943"/>
      <c r="DN54" s="948"/>
      <c r="DO54" s="944"/>
      <c r="DP54" s="913"/>
      <c r="DQ54" s="914"/>
      <c r="DR54" s="946"/>
      <c r="DS54" s="942"/>
      <c r="DT54" s="942"/>
      <c r="DU54" s="954">
        <f t="shared" si="64"/>
        <v>0</v>
      </c>
      <c r="DV54" s="905"/>
      <c r="DW54" s="904">
        <f t="shared" si="67"/>
        <v>0</v>
      </c>
      <c r="DX54" s="1195" t="str">
        <f>_xlfn.XLOOKUP(K54,Cement!$Q$7:$Q$35,Cement!$AR$7:$AR$35,"")</f>
        <v/>
      </c>
      <c r="DY54" s="966"/>
      <c r="DZ54" s="966"/>
      <c r="EA54" s="367"/>
      <c r="EB54" s="176" t="e">
        <f>SUMIF('[1]9-1404.12.03'!$B$2:$B$2000,$J54,'[1]9-1404.12.03'!$L$2:$L$2000)</f>
        <v>#VALUE!</v>
      </c>
      <c r="EC54" s="176" t="e">
        <f>SUMIF('[1]9-1404.12.03'!$B$2:$B$2000,$J54,'[1]9-1404.12.03'!$E$2:$E$2000)/10</f>
        <v>#VALUE!</v>
      </c>
      <c r="ED54" s="177" t="str">
        <f t="shared" si="65"/>
        <v/>
      </c>
      <c r="EE54" s="176" t="e">
        <f>SUMIF('[1]8B-1404.12.02'!$D$2:$D$3000,$J54,'[1]8B-1404.12.02'!$M$2:$M$3000)</f>
        <v>#VALUE!</v>
      </c>
      <c r="EF54" s="176" t="e">
        <f>SUMIF('[1]8B-1404.12.02'!$D$2:$D$3000,$J54,'[1]8B-1404.12.02'!$G$2:$G$3000)/10</f>
        <v>#VALUE!</v>
      </c>
      <c r="EG54" s="177" t="str">
        <f t="shared" si="66"/>
        <v/>
      </c>
      <c r="EH54" s="1502"/>
      <c r="EI54" s="1534">
        <f>SUMIF(Cem_Export!$C$2:$C$3000,$J54,Cem_Export!$I$2:$I$3000)</f>
        <v>0</v>
      </c>
      <c r="EJ54" s="1534">
        <f>SUMIFS(Cem_Export!$J$2:$J$3000,Cem_Export!$C$2:$C$3000,$J54,Cem_Export!$L$2:$L$3000, $EJ$4)</f>
        <v>0</v>
      </c>
      <c r="EK54" s="1534">
        <f>SUMIFS(Cem_Export!$J$2:$J$3000,Cem_Export!$C$2:$C$3000,$J54,Cem_Export!$L$2:$L$3000, $EK$4)</f>
        <v>0</v>
      </c>
      <c r="EL54" s="1682" t="str">
        <f t="shared" si="68"/>
        <v/>
      </c>
      <c r="EM54" s="1836">
        <f t="shared" si="69"/>
        <v>0</v>
      </c>
      <c r="EN54" s="1562"/>
      <c r="EO54" s="1625">
        <f>SUMIF('Cem-Domestic'!$D$2:$D$4000,$J54,'Cem-Domestic'!$M$2:$M$4000)</f>
        <v>5600</v>
      </c>
      <c r="EP54" s="1625">
        <f>SUMIF('Cem-Domestic'!$D$2:$D$4000,$J54,'Cem-Domestic'!$G$2:$G$4000)/10^7</f>
        <v>19.125910000000001</v>
      </c>
      <c r="EQ54" s="1681">
        <f t="shared" si="70"/>
        <v>3415.3410714285715</v>
      </c>
      <c r="ER54" s="1562"/>
      <c r="ES54" s="1533">
        <v>0</v>
      </c>
      <c r="ET54" s="1534">
        <v>0</v>
      </c>
      <c r="EU54" s="1535" t="s">
        <v>192</v>
      </c>
      <c r="EV54" s="1533">
        <v>0</v>
      </c>
      <c r="EW54" s="1534">
        <v>0</v>
      </c>
      <c r="EX54" s="1535" t="s">
        <v>192</v>
      </c>
      <c r="EY54" s="1533">
        <v>0</v>
      </c>
      <c r="EZ54" s="1534">
        <v>0</v>
      </c>
      <c r="FA54" s="1535" t="s">
        <v>192</v>
      </c>
      <c r="FB54" s="1533">
        <v>0</v>
      </c>
      <c r="FC54" s="1534">
        <v>0</v>
      </c>
      <c r="FD54" s="1535" t="s">
        <v>192</v>
      </c>
      <c r="FE54" s="1533">
        <v>0</v>
      </c>
      <c r="FF54" s="1534">
        <v>0</v>
      </c>
      <c r="FG54" s="1535" t="s">
        <v>192</v>
      </c>
    </row>
    <row r="55" spans="1:163" ht="40">
      <c r="A55" s="978"/>
      <c r="B55" s="978"/>
      <c r="C55" s="978"/>
      <c r="D55" s="972"/>
      <c r="E55" s="972"/>
      <c r="F55" s="972"/>
      <c r="G55" s="987"/>
      <c r="H55" s="191"/>
      <c r="I55" s="173"/>
      <c r="J55" s="204" t="s">
        <v>947</v>
      </c>
      <c r="K55" s="190"/>
      <c r="L55" s="65"/>
      <c r="M55" s="65"/>
      <c r="N55" s="208"/>
      <c r="O55" s="208"/>
      <c r="P55" s="1468"/>
      <c r="Q55" s="1468"/>
      <c r="R55" s="1475"/>
      <c r="S55" s="1475"/>
      <c r="T55" s="1481"/>
      <c r="U55" s="1481"/>
      <c r="V55" s="207"/>
      <c r="W55" s="207"/>
      <c r="X55" s="934">
        <v>1000000</v>
      </c>
      <c r="Y55" s="1911"/>
      <c r="Z55" s="1567"/>
      <c r="AA55" s="1548"/>
      <c r="AB55" s="998"/>
      <c r="AC55" s="997"/>
      <c r="AD55" s="996"/>
      <c r="AE55" s="1365"/>
      <c r="AF55" s="1567">
        <v>0</v>
      </c>
      <c r="AG55" s="1548">
        <v>0</v>
      </c>
      <c r="AH55" s="998"/>
      <c r="AI55" s="885"/>
      <c r="AJ55" s="883"/>
      <c r="AK55" s="1365"/>
      <c r="AL55" s="1567">
        <v>175.419285</v>
      </c>
      <c r="AM55" s="1548">
        <v>2050000</v>
      </c>
      <c r="AN55" s="998"/>
      <c r="AO55" s="885"/>
      <c r="AP55" s="883"/>
      <c r="AQ55" s="1365"/>
      <c r="AR55" s="1567"/>
      <c r="AS55" s="1548"/>
      <c r="AT55" s="884"/>
      <c r="AU55" s="885"/>
      <c r="AV55" s="883"/>
      <c r="AW55" s="884"/>
      <c r="AX55" s="1567">
        <v>185.49305749999999</v>
      </c>
      <c r="AY55" s="1548">
        <v>365.76</v>
      </c>
      <c r="AZ55" s="1138"/>
      <c r="BA55" s="885"/>
      <c r="BB55" s="883"/>
      <c r="BC55" s="884"/>
      <c r="BD55" s="1567"/>
      <c r="BE55" s="1548"/>
      <c r="BF55" s="884"/>
      <c r="BG55" s="885"/>
      <c r="BH55" s="883"/>
      <c r="BI55" s="884"/>
      <c r="BJ55" s="2102"/>
      <c r="BK55" s="2102"/>
      <c r="BL55" s="2102"/>
      <c r="BM55" s="884"/>
      <c r="BN55" s="1567"/>
      <c r="BO55" s="1548"/>
      <c r="BP55" s="1365"/>
      <c r="BQ55" s="997"/>
      <c r="BR55" s="996"/>
      <c r="BS55" s="1365"/>
      <c r="BT55" s="1567"/>
      <c r="BU55" s="1548"/>
      <c r="BV55" s="1365"/>
      <c r="BW55" s="997"/>
      <c r="BX55" s="996"/>
      <c r="BY55" s="1365"/>
      <c r="BZ55" s="1365"/>
      <c r="CA55" s="1365"/>
      <c r="CB55" s="1992">
        <f t="shared" si="60"/>
        <v>505.69335000000001</v>
      </c>
      <c r="CC55" s="1365"/>
      <c r="CD55" s="1996">
        <v>276.36</v>
      </c>
      <c r="CE55" s="997"/>
      <c r="CF55" s="1981">
        <v>229.33335</v>
      </c>
      <c r="CG55" s="996"/>
      <c r="CH55" s="1365"/>
      <c r="CI55" s="2102"/>
      <c r="CJ55" s="2102"/>
      <c r="CK55" s="2102"/>
      <c r="CL55" s="1365"/>
      <c r="CM55" s="1365"/>
      <c r="CN55" s="1365"/>
      <c r="CO55" s="1992">
        <f t="shared" si="61"/>
        <v>376.87361750000002</v>
      </c>
      <c r="CP55" s="1365"/>
      <c r="CQ55" s="1996">
        <v>279.72000000000003</v>
      </c>
      <c r="CR55" s="997"/>
      <c r="CS55" s="1981">
        <v>97.153617499999996</v>
      </c>
      <c r="CT55" s="996"/>
      <c r="CU55" s="884"/>
      <c r="CV55" s="1365"/>
      <c r="CW55" s="1365"/>
      <c r="CX55" s="1992">
        <f t="shared" si="62"/>
        <v>79.335269999999994</v>
      </c>
      <c r="CY55" s="1365"/>
      <c r="CZ55" s="1996">
        <f t="shared" si="55"/>
        <v>0</v>
      </c>
      <c r="DA55" s="997"/>
      <c r="DB55" s="1981">
        <f t="shared" si="56"/>
        <v>79.335269999999994</v>
      </c>
      <c r="DC55" s="996">
        <f t="shared" si="63"/>
        <v>79.335269999999994</v>
      </c>
      <c r="DD55" s="884"/>
      <c r="DE55" s="1567"/>
      <c r="DF55" s="1548"/>
      <c r="DG55" s="884"/>
      <c r="DH55" s="885"/>
      <c r="DI55" s="883"/>
      <c r="DJ55" s="367"/>
      <c r="DK55" s="1201"/>
      <c r="DL55" s="945"/>
      <c r="DM55" s="943"/>
      <c r="DN55" s="948"/>
      <c r="DO55" s="944"/>
      <c r="DP55" s="913"/>
      <c r="DQ55" s="914"/>
      <c r="DR55" s="946"/>
      <c r="DS55" s="942"/>
      <c r="DT55" s="942"/>
      <c r="DU55" s="954">
        <f t="shared" si="64"/>
        <v>0</v>
      </c>
      <c r="DV55" s="905"/>
      <c r="DW55" s="904">
        <f t="shared" si="67"/>
        <v>0</v>
      </c>
      <c r="DX55" s="1195" t="str">
        <f>_xlfn.XLOOKUP(K55,Cement!$Q$7:$Q$35,Cement!$AR$7:$AR$35,"")</f>
        <v/>
      </c>
      <c r="DY55" s="966"/>
      <c r="DZ55" s="966"/>
      <c r="EA55" s="367"/>
      <c r="EB55" s="176" t="e">
        <f>SUMIF('[1]9-1404.12.03'!$B$2:$B$2000,$J55,'[1]9-1404.12.03'!$L$2:$L$2000)</f>
        <v>#VALUE!</v>
      </c>
      <c r="EC55" s="176" t="e">
        <f>SUMIF('[1]9-1404.12.03'!$B$2:$B$2000,$J55,'[1]9-1404.12.03'!$E$2:$E$2000)/10</f>
        <v>#VALUE!</v>
      </c>
      <c r="ED55" s="177" t="str">
        <f t="shared" si="65"/>
        <v/>
      </c>
      <c r="EE55" s="176" t="e">
        <f>SUMIF('[1]8B-1404.12.02'!$D$2:$D$3000,$J55,'[1]8B-1404.12.02'!$M$2:$M$3000)</f>
        <v>#VALUE!</v>
      </c>
      <c r="EF55" s="176" t="e">
        <f>SUMIF('[1]8B-1404.12.02'!$D$2:$D$3000,$J55,'[1]8B-1404.12.02'!$G$2:$G$3000)/10</f>
        <v>#VALUE!</v>
      </c>
      <c r="EG55" s="177" t="str">
        <f t="shared" si="66"/>
        <v/>
      </c>
      <c r="EH55" s="1502"/>
      <c r="EI55" s="1534">
        <f>SUMIF(Cem_Export!$C$2:$C$3000,$J55,Cem_Export!$I$2:$I$3000)</f>
        <v>0</v>
      </c>
      <c r="EJ55" s="1534">
        <f>SUMIFS(Cem_Export!$J$2:$J$3000,Cem_Export!$C$2:$C$3000,$J55,Cem_Export!$L$2:$L$3000, $EJ$4)</f>
        <v>0</v>
      </c>
      <c r="EK55" s="1534">
        <f>SUMIFS(Cem_Export!$J$2:$J$3000,Cem_Export!$C$2:$C$3000,$J55,Cem_Export!$L$2:$L$3000, $EK$4)</f>
        <v>0</v>
      </c>
      <c r="EL55" s="1682" t="str">
        <f t="shared" si="68"/>
        <v/>
      </c>
      <c r="EM55" s="1836">
        <f t="shared" si="69"/>
        <v>0</v>
      </c>
      <c r="EN55" s="1562"/>
      <c r="EO55" s="1625">
        <f>SUMIF('Cem-Domestic'!$D$2:$D$4000,$J55,'Cem-Domestic'!$M$2:$M$4000)</f>
        <v>18850</v>
      </c>
      <c r="EP55" s="1625">
        <f>SUMIF('Cem-Domestic'!$D$2:$D$4000,$J55,'Cem-Domestic'!$G$2:$G$4000)/10^7</f>
        <v>79.335269999999994</v>
      </c>
      <c r="EQ55" s="1681">
        <f t="shared" si="70"/>
        <v>4208.7676392572939</v>
      </c>
      <c r="ER55" s="1562"/>
      <c r="ES55" s="1533">
        <v>0</v>
      </c>
      <c r="ET55" s="1534">
        <v>0</v>
      </c>
      <c r="EU55" s="1535" t="s">
        <v>192</v>
      </c>
      <c r="EV55" s="1533">
        <v>0</v>
      </c>
      <c r="EW55" s="1534">
        <v>0</v>
      </c>
      <c r="EX55" s="1535" t="s">
        <v>192</v>
      </c>
      <c r="EY55" s="1533">
        <v>0</v>
      </c>
      <c r="EZ55" s="1534">
        <v>0</v>
      </c>
      <c r="FA55" s="1535" t="s">
        <v>192</v>
      </c>
      <c r="FB55" s="1533">
        <v>0</v>
      </c>
      <c r="FC55" s="1534">
        <v>0</v>
      </c>
      <c r="FD55" s="1535" t="s">
        <v>192</v>
      </c>
      <c r="FE55" s="1533">
        <v>0</v>
      </c>
      <c r="FF55" s="1534">
        <v>0</v>
      </c>
      <c r="FG55" s="1535" t="s">
        <v>192</v>
      </c>
    </row>
    <row r="56" spans="1:163" ht="22">
      <c r="A56" s="978"/>
      <c r="B56" s="978"/>
      <c r="C56" s="978"/>
      <c r="D56" s="972"/>
      <c r="E56" s="972"/>
      <c r="F56" s="972"/>
      <c r="G56" s="987"/>
      <c r="H56" s="191"/>
      <c r="I56" s="173"/>
      <c r="J56" s="204" t="s">
        <v>948</v>
      </c>
      <c r="K56" s="65"/>
      <c r="L56" s="65"/>
      <c r="M56" s="65"/>
      <c r="N56" s="208"/>
      <c r="O56" s="208"/>
      <c r="P56" s="1468"/>
      <c r="Q56" s="1468"/>
      <c r="R56" s="1475"/>
      <c r="S56" s="1475"/>
      <c r="T56" s="1481"/>
      <c r="U56" s="1481"/>
      <c r="V56" s="207"/>
      <c r="W56" s="207"/>
      <c r="X56" s="934">
        <v>1000000</v>
      </c>
      <c r="Y56" s="1911"/>
      <c r="Z56" s="1567"/>
      <c r="AA56" s="1548"/>
      <c r="AB56" s="998"/>
      <c r="AC56" s="997"/>
      <c r="AD56" s="996"/>
      <c r="AE56" s="1365"/>
      <c r="AF56" s="1567">
        <v>157.12777299999999</v>
      </c>
      <c r="AG56" s="1548">
        <v>176000</v>
      </c>
      <c r="AH56" s="998"/>
      <c r="AI56" s="885"/>
      <c r="AJ56" s="883"/>
      <c r="AK56" s="1365"/>
      <c r="AL56" s="1567">
        <v>168.623369</v>
      </c>
      <c r="AM56" s="1548">
        <v>96000</v>
      </c>
      <c r="AN56" s="998"/>
      <c r="AO56" s="885"/>
      <c r="AP56" s="883"/>
      <c r="AQ56" s="1365"/>
      <c r="AR56" s="1567"/>
      <c r="AS56" s="1548"/>
      <c r="AT56" s="884"/>
      <c r="AU56" s="885"/>
      <c r="AV56" s="883"/>
      <c r="AW56" s="884"/>
      <c r="AX56" s="1567">
        <v>136.50354100000001</v>
      </c>
      <c r="AY56" s="1548">
        <v>9.6</v>
      </c>
      <c r="AZ56" s="1138"/>
      <c r="BA56" s="885"/>
      <c r="BB56" s="883"/>
      <c r="BC56" s="884"/>
      <c r="BD56" s="1567"/>
      <c r="BE56" s="1548"/>
      <c r="BF56" s="884"/>
      <c r="BG56" s="885"/>
      <c r="BH56" s="883"/>
      <c r="BI56" s="884"/>
      <c r="BJ56" s="2102"/>
      <c r="BK56" s="2102"/>
      <c r="BL56" s="2102"/>
      <c r="BM56" s="884"/>
      <c r="BN56" s="1567"/>
      <c r="BO56" s="1548"/>
      <c r="BP56" s="1365"/>
      <c r="BQ56" s="997"/>
      <c r="BR56" s="996"/>
      <c r="BS56" s="1365"/>
      <c r="BT56" s="1567"/>
      <c r="BU56" s="1548"/>
      <c r="BV56" s="1365"/>
      <c r="BW56" s="997"/>
      <c r="BX56" s="996"/>
      <c r="BY56" s="1365"/>
      <c r="BZ56" s="1365"/>
      <c r="CA56" s="1365"/>
      <c r="CB56" s="1992">
        <f t="shared" si="60"/>
        <v>302.58127299999995</v>
      </c>
      <c r="CC56" s="1365"/>
      <c r="CD56" s="1996">
        <v>22.400000000000002</v>
      </c>
      <c r="CE56" s="997"/>
      <c r="CF56" s="1981">
        <v>280.18127299999998</v>
      </c>
      <c r="CG56" s="996"/>
      <c r="CH56" s="1365"/>
      <c r="CI56" s="2102"/>
      <c r="CJ56" s="2102"/>
      <c r="CK56" s="2102"/>
      <c r="CL56" s="1365"/>
      <c r="CM56" s="1365"/>
      <c r="CN56" s="1365"/>
      <c r="CO56" s="1992">
        <f t="shared" si="61"/>
        <v>396.07898750000004</v>
      </c>
      <c r="CP56" s="1365"/>
      <c r="CQ56" s="1996">
        <v>4.4800000000000004</v>
      </c>
      <c r="CR56" s="997"/>
      <c r="CS56" s="1981">
        <v>391.59898750000002</v>
      </c>
      <c r="CT56" s="996"/>
      <c r="CU56" s="884"/>
      <c r="CV56" s="1365"/>
      <c r="CW56" s="1365"/>
      <c r="CX56" s="1992">
        <f t="shared" si="62"/>
        <v>120.35087200000001</v>
      </c>
      <c r="CY56" s="1365"/>
      <c r="CZ56" s="1996">
        <f t="shared" si="55"/>
        <v>22.400000000000002</v>
      </c>
      <c r="DA56" s="997"/>
      <c r="DB56" s="1981">
        <f t="shared" si="56"/>
        <v>97.950872000000004</v>
      </c>
      <c r="DC56" s="996">
        <f t="shared" si="63"/>
        <v>97.950872000000004</v>
      </c>
      <c r="DD56" s="884"/>
      <c r="DE56" s="1567"/>
      <c r="DF56" s="1548"/>
      <c r="DG56" s="884"/>
      <c r="DH56" s="885"/>
      <c r="DI56" s="883"/>
      <c r="DJ56" s="367"/>
      <c r="DK56" s="1201"/>
      <c r="DL56" s="945"/>
      <c r="DM56" s="943"/>
      <c r="DN56" s="948"/>
      <c r="DO56" s="944"/>
      <c r="DP56" s="913"/>
      <c r="DQ56" s="914"/>
      <c r="DR56" s="946"/>
      <c r="DS56" s="942"/>
      <c r="DT56" s="942"/>
      <c r="DU56" s="954">
        <f t="shared" si="64"/>
        <v>0</v>
      </c>
      <c r="DV56" s="905"/>
      <c r="DW56" s="904">
        <f t="shared" si="67"/>
        <v>0</v>
      </c>
      <c r="DX56" s="1195" t="str">
        <f>_xlfn.XLOOKUP(K56,Cement!$Q$7:$Q$35,Cement!$AR$7:$AR$35,"")</f>
        <v/>
      </c>
      <c r="DY56" s="966"/>
      <c r="DZ56" s="966"/>
      <c r="EA56" s="367"/>
      <c r="EB56" s="176" t="e">
        <f>SUMIF('[1]9-1404.12.03'!$B$2:$B$2000,$J56,'[1]9-1404.12.03'!$L$2:$L$2000)</f>
        <v>#VALUE!</v>
      </c>
      <c r="EC56" s="176" t="e">
        <f>SUMIF('[1]9-1404.12.03'!$B$2:$B$2000,$J56,'[1]9-1404.12.03'!$E$2:$E$2000)/10</f>
        <v>#VALUE!</v>
      </c>
      <c r="ED56" s="177" t="str">
        <f t="shared" si="65"/>
        <v/>
      </c>
      <c r="EE56" s="176" t="e">
        <f>SUMIF('[1]8B-1404.12.02'!$D$2:$D$3000,$J56,'[1]8B-1404.12.02'!$M$2:$M$3000)</f>
        <v>#VALUE!</v>
      </c>
      <c r="EF56" s="176" t="e">
        <f>SUMIF('[1]8B-1404.12.02'!$D$2:$D$3000,$J56,'[1]8B-1404.12.02'!$G$2:$G$3000)/10</f>
        <v>#VALUE!</v>
      </c>
      <c r="EG56" s="177" t="str">
        <f t="shared" si="66"/>
        <v/>
      </c>
      <c r="EH56" s="1502"/>
      <c r="EI56" s="1534">
        <f>SUMIF(Cem_Export!$C$2:$C$3000,$J56,Cem_Export!$I$2:$I$3000)</f>
        <v>5000</v>
      </c>
      <c r="EJ56" s="1534">
        <f>SUMIFS(Cem_Export!$J$2:$J$3000,Cem_Export!$C$2:$C$3000,$J56,Cem_Export!$L$2:$L$3000, $EJ$4)</f>
        <v>160000</v>
      </c>
      <c r="EK56" s="1534">
        <f>SUMIFS(Cem_Export!$J$2:$J$3000,Cem_Export!$C$2:$C$3000,$J56,Cem_Export!$L$2:$L$3000, $EK$4)</f>
        <v>0</v>
      </c>
      <c r="EL56" s="1682">
        <f t="shared" si="68"/>
        <v>32</v>
      </c>
      <c r="EM56" s="1836">
        <f t="shared" si="69"/>
        <v>22.400000000000002</v>
      </c>
      <c r="EN56" s="1562"/>
      <c r="EO56" s="1625">
        <f>SUMIF('Cem-Domestic'!$D$2:$D$4000,$J56,'Cem-Domestic'!$M$2:$M$4000)</f>
        <v>25940</v>
      </c>
      <c r="EP56" s="1625">
        <f>SUMIF('Cem-Domestic'!$D$2:$D$4000,$J56,'Cem-Domestic'!$G$2:$G$4000)/10^7</f>
        <v>97.950872000000004</v>
      </c>
      <c r="EQ56" s="1681">
        <f t="shared" si="70"/>
        <v>3776.0552043176567</v>
      </c>
      <c r="ER56" s="1562"/>
      <c r="ES56" s="1533">
        <v>0</v>
      </c>
      <c r="ET56" s="1534">
        <v>0</v>
      </c>
      <c r="EU56" s="1535" t="s">
        <v>192</v>
      </c>
      <c r="EV56" s="1533">
        <v>1700</v>
      </c>
      <c r="EW56" s="1534">
        <v>54400</v>
      </c>
      <c r="EX56" s="1535">
        <v>32</v>
      </c>
      <c r="EY56" s="1533">
        <v>1800</v>
      </c>
      <c r="EZ56" s="1534">
        <v>57600</v>
      </c>
      <c r="FA56" s="1535">
        <v>32</v>
      </c>
      <c r="FB56" s="1533">
        <v>0</v>
      </c>
      <c r="FC56" s="1534">
        <v>0</v>
      </c>
      <c r="FD56" s="1535" t="s">
        <v>192</v>
      </c>
      <c r="FE56" s="1533">
        <v>2000</v>
      </c>
      <c r="FF56" s="1534">
        <v>64000</v>
      </c>
      <c r="FG56" s="1535">
        <v>32</v>
      </c>
    </row>
    <row r="57" spans="1:163" ht="22">
      <c r="A57" s="978"/>
      <c r="B57" s="978"/>
      <c r="C57" s="978"/>
      <c r="D57" s="972"/>
      <c r="E57" s="972"/>
      <c r="F57" s="972"/>
      <c r="G57" s="987"/>
      <c r="H57" s="191"/>
      <c r="I57" s="173"/>
      <c r="J57" s="204" t="s">
        <v>949</v>
      </c>
      <c r="K57" s="190"/>
      <c r="L57" s="65"/>
      <c r="M57" s="65"/>
      <c r="N57" s="208"/>
      <c r="O57" s="208"/>
      <c r="P57" s="1468"/>
      <c r="Q57" s="1468"/>
      <c r="R57" s="1475"/>
      <c r="S57" s="1475"/>
      <c r="T57" s="1481"/>
      <c r="U57" s="1481"/>
      <c r="V57" s="207"/>
      <c r="W57" s="207"/>
      <c r="X57" s="934">
        <v>1000000</v>
      </c>
      <c r="Y57" s="1911"/>
      <c r="Z57" s="1567"/>
      <c r="AA57" s="1548"/>
      <c r="AB57" s="998"/>
      <c r="AC57" s="997"/>
      <c r="AD57" s="996"/>
      <c r="AE57" s="1365"/>
      <c r="AF57" s="1567">
        <v>122.81537950000001</v>
      </c>
      <c r="AG57" s="1548">
        <v>0</v>
      </c>
      <c r="AH57" s="998"/>
      <c r="AI57" s="885"/>
      <c r="AJ57" s="883"/>
      <c r="AK57" s="1365"/>
      <c r="AL57" s="1567">
        <v>94.830092500000006</v>
      </c>
      <c r="AM57" s="1548">
        <v>0</v>
      </c>
      <c r="AN57" s="998"/>
      <c r="AO57" s="885"/>
      <c r="AP57" s="883"/>
      <c r="AQ57" s="1365"/>
      <c r="AR57" s="1567"/>
      <c r="AS57" s="1548"/>
      <c r="AT57" s="884"/>
      <c r="AU57" s="885"/>
      <c r="AV57" s="883"/>
      <c r="AW57" s="884"/>
      <c r="AX57" s="1567">
        <v>119.241575</v>
      </c>
      <c r="AY57" s="1548">
        <v>0</v>
      </c>
      <c r="AZ57" s="1138"/>
      <c r="BA57" s="885"/>
      <c r="BB57" s="883"/>
      <c r="BC57" s="884"/>
      <c r="BD57" s="1567"/>
      <c r="BE57" s="1548"/>
      <c r="BF57" s="884"/>
      <c r="BG57" s="885"/>
      <c r="BH57" s="883"/>
      <c r="BI57" s="884"/>
      <c r="BJ57" s="2102"/>
      <c r="BK57" s="2102"/>
      <c r="BL57" s="2102"/>
      <c r="BM57" s="884"/>
      <c r="BN57" s="1567"/>
      <c r="BO57" s="1548"/>
      <c r="BP57" s="1365"/>
      <c r="BQ57" s="997"/>
      <c r="BR57" s="996"/>
      <c r="BS57" s="1365"/>
      <c r="BT57" s="1567"/>
      <c r="BU57" s="1548"/>
      <c r="BV57" s="1365"/>
      <c r="BW57" s="997"/>
      <c r="BX57" s="996"/>
      <c r="BY57" s="1365"/>
      <c r="BZ57" s="1365"/>
      <c r="CA57" s="1365"/>
      <c r="CB57" s="1992">
        <f t="shared" si="60"/>
        <v>330.8208305</v>
      </c>
      <c r="CC57" s="1365"/>
      <c r="CD57" s="1996">
        <v>0</v>
      </c>
      <c r="CE57" s="997"/>
      <c r="CF57" s="1981">
        <v>330.8208305</v>
      </c>
      <c r="CG57" s="996"/>
      <c r="CH57" s="1365"/>
      <c r="CI57" s="2102"/>
      <c r="CJ57" s="2102"/>
      <c r="CK57" s="2102"/>
      <c r="CL57" s="1365"/>
      <c r="CM57" s="1365"/>
      <c r="CN57" s="1365"/>
      <c r="CO57" s="1992">
        <f t="shared" si="61"/>
        <v>89.813892499999994</v>
      </c>
      <c r="CP57" s="1365"/>
      <c r="CQ57" s="1996">
        <v>0</v>
      </c>
      <c r="CR57" s="997"/>
      <c r="CS57" s="1981">
        <v>89.813892499999994</v>
      </c>
      <c r="CT57" s="996"/>
      <c r="CU57" s="884"/>
      <c r="CV57" s="1365"/>
      <c r="CW57" s="1365"/>
      <c r="CX57" s="1992">
        <f t="shared" si="62"/>
        <v>145.86677750000001</v>
      </c>
      <c r="CY57" s="1365"/>
      <c r="CZ57" s="1996">
        <f t="shared" si="55"/>
        <v>0</v>
      </c>
      <c r="DA57" s="997"/>
      <c r="DB57" s="1981">
        <f t="shared" si="56"/>
        <v>145.86677750000001</v>
      </c>
      <c r="DC57" s="996">
        <f t="shared" si="63"/>
        <v>145.86677750000001</v>
      </c>
      <c r="DD57" s="884"/>
      <c r="DE57" s="1567"/>
      <c r="DF57" s="1548"/>
      <c r="DG57" s="884"/>
      <c r="DH57" s="885"/>
      <c r="DI57" s="883"/>
      <c r="DJ57" s="367"/>
      <c r="DK57" s="1201"/>
      <c r="DL57" s="945"/>
      <c r="DM57" s="943"/>
      <c r="DN57" s="948"/>
      <c r="DO57" s="944"/>
      <c r="DP57" s="913"/>
      <c r="DQ57" s="914"/>
      <c r="DR57" s="946"/>
      <c r="DS57" s="942"/>
      <c r="DT57" s="942"/>
      <c r="DU57" s="954">
        <f t="shared" si="64"/>
        <v>0</v>
      </c>
      <c r="DV57" s="905"/>
      <c r="DW57" s="904">
        <f t="shared" si="67"/>
        <v>0</v>
      </c>
      <c r="DX57" s="1195" t="str">
        <f>_xlfn.XLOOKUP(K57,Cement!$Q$7:$Q$35,Cement!$AR$7:$AR$35,"")</f>
        <v/>
      </c>
      <c r="DY57" s="966"/>
      <c r="DZ57" s="966"/>
      <c r="EA57" s="367"/>
      <c r="EB57" s="176" t="e">
        <f>SUMIF('[1]9-1404.12.03'!$B$2:$B$2000,$J57,'[1]9-1404.12.03'!$L$2:$L$2000)</f>
        <v>#VALUE!</v>
      </c>
      <c r="EC57" s="176" t="e">
        <f>SUMIF('[1]9-1404.12.03'!$B$2:$B$2000,$J57,'[1]9-1404.12.03'!$E$2:$E$2000)/10</f>
        <v>#VALUE!</v>
      </c>
      <c r="ED57" s="177" t="str">
        <f t="shared" si="65"/>
        <v/>
      </c>
      <c r="EE57" s="176" t="e">
        <f>SUMIF('[1]8B-1404.12.02'!$D$2:$D$3000,$J57,'[1]8B-1404.12.02'!$M$2:$M$3000)</f>
        <v>#VALUE!</v>
      </c>
      <c r="EF57" s="176" t="e">
        <f>SUMIF('[1]8B-1404.12.02'!$D$2:$D$3000,$J57,'[1]8B-1404.12.02'!$G$2:$G$3000)/10</f>
        <v>#VALUE!</v>
      </c>
      <c r="EG57" s="177" t="str">
        <f t="shared" si="66"/>
        <v/>
      </c>
      <c r="EH57" s="1502"/>
      <c r="EI57" s="1534">
        <f>SUMIF(Cem_Export!$C$2:$C$3000,$J57,Cem_Export!$I$2:$I$3000)</f>
        <v>0</v>
      </c>
      <c r="EJ57" s="1534">
        <f>SUMIFS(Cem_Export!$J$2:$J$3000,Cem_Export!$C$2:$C$3000,$J57,Cem_Export!$L$2:$L$3000, $EJ$4)</f>
        <v>0</v>
      </c>
      <c r="EK57" s="1534">
        <f>SUMIFS(Cem_Export!$J$2:$J$3000,Cem_Export!$C$2:$C$3000,$J57,Cem_Export!$L$2:$L$3000, $EK$4)</f>
        <v>0</v>
      </c>
      <c r="EL57" s="1682" t="str">
        <f t="shared" si="68"/>
        <v/>
      </c>
      <c r="EM57" s="1836">
        <f t="shared" si="69"/>
        <v>0</v>
      </c>
      <c r="EN57" s="1562"/>
      <c r="EO57" s="1625">
        <f>SUMIF('Cem-Domestic'!$D$2:$D$4000,$J57,'Cem-Domestic'!$M$2:$M$4000)</f>
        <v>41800</v>
      </c>
      <c r="EP57" s="1625">
        <f>SUMIF('Cem-Domestic'!$D$2:$D$4000,$J57,'Cem-Domestic'!$G$2:$G$4000)/10^7</f>
        <v>145.86677750000001</v>
      </c>
      <c r="EQ57" s="1681">
        <f t="shared" si="70"/>
        <v>3489.6358253588519</v>
      </c>
      <c r="ER57" s="1562"/>
      <c r="ES57" s="1533">
        <v>0</v>
      </c>
      <c r="ET57" s="1534">
        <v>0</v>
      </c>
      <c r="EU57" s="1535" t="s">
        <v>192</v>
      </c>
      <c r="EV57" s="1533">
        <v>0</v>
      </c>
      <c r="EW57" s="1534">
        <v>0</v>
      </c>
      <c r="EX57" s="1535" t="s">
        <v>192</v>
      </c>
      <c r="EY57" s="1533">
        <v>0</v>
      </c>
      <c r="EZ57" s="1534">
        <v>0</v>
      </c>
      <c r="FA57" s="1535" t="s">
        <v>192</v>
      </c>
      <c r="FB57" s="1533">
        <v>0</v>
      </c>
      <c r="FC57" s="1534">
        <v>0</v>
      </c>
      <c r="FD57" s="1535" t="s">
        <v>192</v>
      </c>
      <c r="FE57" s="1533">
        <v>0</v>
      </c>
      <c r="FF57" s="1534">
        <v>0</v>
      </c>
      <c r="FG57" s="1535" t="s">
        <v>192</v>
      </c>
    </row>
    <row r="58" spans="1:163" ht="22">
      <c r="A58" s="978"/>
      <c r="B58" s="978"/>
      <c r="C58" s="978"/>
      <c r="D58" s="972"/>
      <c r="E58" s="972"/>
      <c r="F58" s="972"/>
      <c r="G58" s="987"/>
      <c r="H58" s="191"/>
      <c r="I58" s="173"/>
      <c r="J58" s="423" t="s">
        <v>950</v>
      </c>
      <c r="K58" s="424" t="s">
        <v>951</v>
      </c>
      <c r="L58" s="424"/>
      <c r="M58" s="424"/>
      <c r="N58" s="208"/>
      <c r="O58" s="208"/>
      <c r="P58" s="1469"/>
      <c r="Q58" s="1469"/>
      <c r="R58" s="1476"/>
      <c r="S58" s="1476"/>
      <c r="T58" s="1482"/>
      <c r="U58" s="1482"/>
      <c r="V58" s="1087"/>
      <c r="W58" s="1087"/>
      <c r="X58" s="934">
        <v>1000000</v>
      </c>
      <c r="Y58" s="1911"/>
      <c r="Z58" s="1567"/>
      <c r="AA58" s="1548"/>
      <c r="AB58" s="998"/>
      <c r="AC58" s="997"/>
      <c r="AD58" s="996"/>
      <c r="AE58" s="1365"/>
      <c r="AF58" s="1567">
        <v>146.93536750000001</v>
      </c>
      <c r="AG58" s="1548">
        <v>400200</v>
      </c>
      <c r="AH58" s="998"/>
      <c r="AI58" s="885"/>
      <c r="AJ58" s="883"/>
      <c r="AK58" s="1365"/>
      <c r="AL58" s="1567">
        <v>154.52914749999999</v>
      </c>
      <c r="AM58" s="1548">
        <v>429404.52074050123</v>
      </c>
      <c r="AN58" s="998"/>
      <c r="AO58" s="885"/>
      <c r="AP58" s="883"/>
      <c r="AQ58" s="1365"/>
      <c r="AR58" s="1567"/>
      <c r="AS58" s="1548"/>
      <c r="AT58" s="884"/>
      <c r="AU58" s="885"/>
      <c r="AV58" s="883"/>
      <c r="AW58" s="884"/>
      <c r="AX58" s="1567">
        <v>147.85448500000001</v>
      </c>
      <c r="AY58" s="1548">
        <v>0</v>
      </c>
      <c r="AZ58" s="1138"/>
      <c r="BA58" s="885"/>
      <c r="BB58" s="883"/>
      <c r="BC58" s="884"/>
      <c r="BD58" s="1567"/>
      <c r="BE58" s="1548"/>
      <c r="BF58" s="884"/>
      <c r="BG58" s="885"/>
      <c r="BH58" s="883"/>
      <c r="BI58" s="884"/>
      <c r="BJ58" s="2102"/>
      <c r="BK58" s="2102"/>
      <c r="BL58" s="2102"/>
      <c r="BM58" s="884"/>
      <c r="BN58" s="1567"/>
      <c r="BO58" s="1548"/>
      <c r="BP58" s="1365"/>
      <c r="BQ58" s="997"/>
      <c r="BR58" s="996"/>
      <c r="BS58" s="1365"/>
      <c r="BT58" s="1567"/>
      <c r="BU58" s="1548"/>
      <c r="BV58" s="1365"/>
      <c r="BW58" s="997"/>
      <c r="BX58" s="996"/>
      <c r="BY58" s="1365"/>
      <c r="BZ58" s="1365"/>
      <c r="CA58" s="1365"/>
      <c r="CB58" s="1992">
        <f t="shared" si="60"/>
        <v>209.37510750000001</v>
      </c>
      <c r="CC58" s="1365"/>
      <c r="CD58" s="1996">
        <v>0</v>
      </c>
      <c r="CE58" s="997"/>
      <c r="CF58" s="1981">
        <v>209.37510750000001</v>
      </c>
      <c r="CG58" s="996"/>
      <c r="CH58" s="1365"/>
      <c r="CI58" s="2102"/>
      <c r="CJ58" s="2102"/>
      <c r="CK58" s="2102"/>
      <c r="CL58" s="1365"/>
      <c r="CM58" s="1365"/>
      <c r="CN58" s="1365"/>
      <c r="CO58" s="1992">
        <f t="shared" si="61"/>
        <v>196.88968249999999</v>
      </c>
      <c r="CP58" s="1365"/>
      <c r="CQ58" s="1996">
        <v>0</v>
      </c>
      <c r="CR58" s="997"/>
      <c r="CS58" s="1981">
        <v>196.88968249999999</v>
      </c>
      <c r="CT58" s="996"/>
      <c r="CU58" s="884"/>
      <c r="CV58" s="1365"/>
      <c r="CW58" s="1365"/>
      <c r="CX58" s="1992">
        <f t="shared" si="62"/>
        <v>53.966535</v>
      </c>
      <c r="CY58" s="1365"/>
      <c r="CZ58" s="1996">
        <f t="shared" si="55"/>
        <v>0</v>
      </c>
      <c r="DA58" s="997"/>
      <c r="DB58" s="1981">
        <f t="shared" si="56"/>
        <v>53.966535</v>
      </c>
      <c r="DC58" s="996">
        <f t="shared" si="63"/>
        <v>53.966535</v>
      </c>
      <c r="DD58" s="884"/>
      <c r="DE58" s="1567"/>
      <c r="DF58" s="1548"/>
      <c r="DG58" s="884"/>
      <c r="DH58" s="885"/>
      <c r="DI58" s="883"/>
      <c r="DJ58" s="367"/>
      <c r="DK58" s="1201"/>
      <c r="DL58" s="945"/>
      <c r="DM58" s="943"/>
      <c r="DN58" s="948"/>
      <c r="DO58" s="944"/>
      <c r="DP58" s="913"/>
      <c r="DQ58" s="914"/>
      <c r="DR58" s="946"/>
      <c r="DS58" s="942"/>
      <c r="DT58" s="942"/>
      <c r="DU58" s="954">
        <f t="shared" si="64"/>
        <v>0</v>
      </c>
      <c r="DV58" s="905"/>
      <c r="DW58" s="904">
        <f t="shared" si="67"/>
        <v>0</v>
      </c>
      <c r="DX58" s="1195" t="str">
        <f>_xlfn.XLOOKUP(K58,Cement!$Q$7:$Q$35,Cement!$AR$7:$AR$35,"")</f>
        <v/>
      </c>
      <c r="DY58" s="966"/>
      <c r="DZ58" s="966"/>
      <c r="EA58" s="367"/>
      <c r="EB58" s="176" t="e">
        <f>SUMIF('[1]9-1404.12.03'!$B$2:$B$2000,$J58,'[1]9-1404.12.03'!$L$2:$L$2000)</f>
        <v>#VALUE!</v>
      </c>
      <c r="EC58" s="176" t="e">
        <f>SUMIF('[1]9-1404.12.03'!$B$2:$B$2000,$J58,'[1]9-1404.12.03'!$E$2:$E$2000)/10</f>
        <v>#VALUE!</v>
      </c>
      <c r="ED58" s="177" t="str">
        <f t="shared" si="65"/>
        <v/>
      </c>
      <c r="EE58" s="176" t="e">
        <f>SUMIF('[1]8B-1404.12.02'!$D$2:$D$3000,$J58,'[1]8B-1404.12.02'!$M$2:$M$3000)</f>
        <v>#VALUE!</v>
      </c>
      <c r="EF58" s="176" t="e">
        <f>SUMIF('[1]8B-1404.12.02'!$D$2:$D$3000,$J58,'[1]8B-1404.12.02'!$G$2:$G$3000)/10</f>
        <v>#VALUE!</v>
      </c>
      <c r="EG58" s="177" t="str">
        <f t="shared" si="66"/>
        <v/>
      </c>
      <c r="EH58" s="1502"/>
      <c r="EI58" s="1534">
        <f>SUMIF(Cem_Export!$C$2:$C$3000,$J58,Cem_Export!$I$2:$I$3000)</f>
        <v>0</v>
      </c>
      <c r="EJ58" s="1534">
        <f>SUMIFS(Cem_Export!$J$2:$J$3000,Cem_Export!$C$2:$C$3000,$J58,Cem_Export!$L$2:$L$3000, $EJ$4)</f>
        <v>0</v>
      </c>
      <c r="EK58" s="1534">
        <f>SUMIFS(Cem_Export!$J$2:$J$3000,Cem_Export!$C$2:$C$3000,$J58,Cem_Export!$L$2:$L$3000, $EK$4)</f>
        <v>0</v>
      </c>
      <c r="EL58" s="1682" t="str">
        <f t="shared" si="68"/>
        <v/>
      </c>
      <c r="EM58" s="1836">
        <f t="shared" si="69"/>
        <v>0</v>
      </c>
      <c r="EN58" s="1562"/>
      <c r="EO58" s="1625">
        <f>SUMIF('Cem-Domestic'!$D$2:$D$4000,$J58,'Cem-Domestic'!$M$2:$M$4000)</f>
        <v>19175</v>
      </c>
      <c r="EP58" s="1625">
        <f>SUMIF('Cem-Domestic'!$D$2:$D$4000,$J58,'Cem-Domestic'!$G$2:$G$4000)/10^7</f>
        <v>53.966535</v>
      </c>
      <c r="EQ58" s="1681">
        <f t="shared" si="70"/>
        <v>2814.4216427640158</v>
      </c>
      <c r="ER58" s="1562"/>
      <c r="ES58" s="1533">
        <v>0</v>
      </c>
      <c r="ET58" s="1534">
        <v>0</v>
      </c>
      <c r="EU58" s="1535" t="s">
        <v>192</v>
      </c>
      <c r="EV58" s="1533">
        <v>0</v>
      </c>
      <c r="EW58" s="1534">
        <v>0</v>
      </c>
      <c r="EX58" s="1535" t="s">
        <v>192</v>
      </c>
      <c r="EY58" s="1533">
        <v>0</v>
      </c>
      <c r="EZ58" s="1534">
        <v>0</v>
      </c>
      <c r="FA58" s="1535" t="s">
        <v>192</v>
      </c>
      <c r="FB58" s="1533">
        <v>0</v>
      </c>
      <c r="FC58" s="1534">
        <v>0</v>
      </c>
      <c r="FD58" s="1535" t="s">
        <v>192</v>
      </c>
      <c r="FE58" s="1533">
        <v>13800</v>
      </c>
      <c r="FF58" s="1534">
        <v>400200</v>
      </c>
      <c r="FG58" s="1535">
        <v>29</v>
      </c>
    </row>
    <row r="59" spans="1:163" ht="40">
      <c r="A59" s="978"/>
      <c r="B59" s="978"/>
      <c r="C59" s="978"/>
      <c r="D59" s="972"/>
      <c r="E59" s="972"/>
      <c r="F59" s="972"/>
      <c r="G59" s="987"/>
      <c r="H59" s="191"/>
      <c r="I59" s="173"/>
      <c r="J59" s="204" t="s">
        <v>952</v>
      </c>
      <c r="K59" s="190"/>
      <c r="L59" s="65"/>
      <c r="M59" s="65"/>
      <c r="N59" s="208"/>
      <c r="O59" s="208"/>
      <c r="P59" s="1468"/>
      <c r="Q59" s="1468"/>
      <c r="R59" s="1475"/>
      <c r="S59" s="1475"/>
      <c r="T59" s="1481"/>
      <c r="U59" s="1481"/>
      <c r="V59" s="207"/>
      <c r="W59" s="207"/>
      <c r="X59" s="934">
        <v>2000000</v>
      </c>
      <c r="Y59" s="1911"/>
      <c r="Z59" s="1567"/>
      <c r="AA59" s="1548"/>
      <c r="AB59" s="998"/>
      <c r="AC59" s="997"/>
      <c r="AD59" s="996"/>
      <c r="AE59" s="1365"/>
      <c r="AF59" s="1567">
        <v>348.2334075</v>
      </c>
      <c r="AG59" s="1548">
        <v>0</v>
      </c>
      <c r="AH59" s="998"/>
      <c r="AI59" s="885"/>
      <c r="AJ59" s="883"/>
      <c r="AK59" s="1365"/>
      <c r="AL59" s="1567">
        <v>345.85012999999998</v>
      </c>
      <c r="AM59" s="1548">
        <v>159000</v>
      </c>
      <c r="AN59" s="998"/>
      <c r="AO59" s="885"/>
      <c r="AP59" s="883"/>
      <c r="AQ59" s="1365"/>
      <c r="AR59" s="1567"/>
      <c r="AS59" s="1548"/>
      <c r="AT59" s="884"/>
      <c r="AU59" s="885"/>
      <c r="AV59" s="883"/>
      <c r="AW59" s="884"/>
      <c r="AX59" s="1567">
        <v>370.48378500000001</v>
      </c>
      <c r="AY59" s="1548">
        <v>2.9460000000000002</v>
      </c>
      <c r="AZ59" s="1138"/>
      <c r="BA59" s="885"/>
      <c r="BB59" s="883"/>
      <c r="BC59" s="884"/>
      <c r="BD59" s="1567"/>
      <c r="BE59" s="1548"/>
      <c r="BF59" s="884"/>
      <c r="BG59" s="885"/>
      <c r="BH59" s="883"/>
      <c r="BI59" s="884"/>
      <c r="BJ59" s="2102"/>
      <c r="BK59" s="2102"/>
      <c r="BL59" s="2102"/>
      <c r="BM59" s="884"/>
      <c r="BN59" s="1567"/>
      <c r="BO59" s="1548"/>
      <c r="BP59" s="1365"/>
      <c r="BQ59" s="997"/>
      <c r="BR59" s="996"/>
      <c r="BS59" s="1365"/>
      <c r="BT59" s="1567"/>
      <c r="BU59" s="1548"/>
      <c r="BV59" s="1365"/>
      <c r="BW59" s="997"/>
      <c r="BX59" s="996"/>
      <c r="BY59" s="1365"/>
      <c r="BZ59" s="1365"/>
      <c r="CA59" s="1365"/>
      <c r="CB59" s="1992">
        <f t="shared" si="60"/>
        <v>554.0448725</v>
      </c>
      <c r="CC59" s="1365"/>
      <c r="CD59" s="1996">
        <v>2.597</v>
      </c>
      <c r="CE59" s="997"/>
      <c r="CF59" s="1981">
        <v>551.44787250000002</v>
      </c>
      <c r="CG59" s="996"/>
      <c r="CH59" s="1365"/>
      <c r="CI59" s="2102"/>
      <c r="CJ59" s="2102"/>
      <c r="CK59" s="2102"/>
      <c r="CL59" s="1365"/>
      <c r="CM59" s="1365"/>
      <c r="CN59" s="1365"/>
      <c r="CO59" s="1992">
        <f t="shared" si="61"/>
        <v>127.416085</v>
      </c>
      <c r="CP59" s="1365"/>
      <c r="CQ59" s="1996">
        <v>0.51800000000000002</v>
      </c>
      <c r="CR59" s="997"/>
      <c r="CS59" s="1981">
        <v>126.89808499999999</v>
      </c>
      <c r="CT59" s="996"/>
      <c r="CU59" s="884"/>
      <c r="CV59" s="1365"/>
      <c r="CW59" s="1365"/>
      <c r="CX59" s="1992">
        <f t="shared" si="62"/>
        <v>208.88297499999999</v>
      </c>
      <c r="CY59" s="1365"/>
      <c r="CZ59" s="1996">
        <f t="shared" si="55"/>
        <v>0</v>
      </c>
      <c r="DA59" s="997"/>
      <c r="DB59" s="1981">
        <f t="shared" si="56"/>
        <v>208.88297499999999</v>
      </c>
      <c r="DC59" s="996">
        <f t="shared" si="63"/>
        <v>208.88297499999999</v>
      </c>
      <c r="DD59" s="884"/>
      <c r="DE59" s="1567"/>
      <c r="DF59" s="1548"/>
      <c r="DG59" s="884"/>
      <c r="DH59" s="885"/>
      <c r="DI59" s="883"/>
      <c r="DJ59" s="367"/>
      <c r="DK59" s="1201"/>
      <c r="DL59" s="945"/>
      <c r="DM59" s="943"/>
      <c r="DN59" s="948"/>
      <c r="DO59" s="944"/>
      <c r="DP59" s="913"/>
      <c r="DQ59" s="914"/>
      <c r="DR59" s="946"/>
      <c r="DS59" s="942"/>
      <c r="DT59" s="942"/>
      <c r="DU59" s="954">
        <f t="shared" si="64"/>
        <v>0</v>
      </c>
      <c r="DV59" s="905"/>
      <c r="DW59" s="904">
        <f t="shared" si="67"/>
        <v>0</v>
      </c>
      <c r="DX59" s="1195" t="str">
        <f>_xlfn.XLOOKUP(K59,Cement!$Q$7:$Q$35,Cement!$AR$7:$AR$35,"")</f>
        <v/>
      </c>
      <c r="DY59" s="966"/>
      <c r="DZ59" s="966"/>
      <c r="EA59" s="367"/>
      <c r="EB59" s="176" t="e">
        <f>SUMIF('[1]9-1404.12.03'!$B$2:$B$2000,$J59,'[1]9-1404.12.03'!$L$2:$L$2000)</f>
        <v>#VALUE!</v>
      </c>
      <c r="EC59" s="176" t="e">
        <f>SUMIF('[1]9-1404.12.03'!$B$2:$B$2000,$J59,'[1]9-1404.12.03'!$E$2:$E$2000)/10</f>
        <v>#VALUE!</v>
      </c>
      <c r="ED59" s="177" t="str">
        <f t="shared" si="65"/>
        <v/>
      </c>
      <c r="EE59" s="176" t="e">
        <f>SUMIF('[1]8B-1404.12.02'!$D$2:$D$3000,$J59,'[1]8B-1404.12.02'!$M$2:$M$3000)</f>
        <v>#VALUE!</v>
      </c>
      <c r="EF59" s="176" t="e">
        <f>SUMIF('[1]8B-1404.12.02'!$D$2:$D$3000,$J59,'[1]8B-1404.12.02'!$G$2:$G$3000)/10</f>
        <v>#VALUE!</v>
      </c>
      <c r="EG59" s="177" t="str">
        <f t="shared" si="66"/>
        <v/>
      </c>
      <c r="EH59" s="1502"/>
      <c r="EI59" s="1534">
        <f>SUMIF(Cem_Export!$C$2:$C$3000,$J59,Cem_Export!$I$2:$I$3000)</f>
        <v>0</v>
      </c>
      <c r="EJ59" s="1534">
        <f>SUMIFS(Cem_Export!$J$2:$J$3000,Cem_Export!$C$2:$C$3000,$J59,Cem_Export!$L$2:$L$3000, $EJ$4)</f>
        <v>0</v>
      </c>
      <c r="EK59" s="1534">
        <f>SUMIFS(Cem_Export!$J$2:$J$3000,Cem_Export!$C$2:$C$3000,$J59,Cem_Export!$L$2:$L$3000, $EK$4)</f>
        <v>0</v>
      </c>
      <c r="EL59" s="1682" t="str">
        <f t="shared" si="68"/>
        <v/>
      </c>
      <c r="EM59" s="1836">
        <f t="shared" si="69"/>
        <v>0</v>
      </c>
      <c r="EN59" s="1562"/>
      <c r="EO59" s="1625">
        <f>SUMIF('Cem-Domestic'!$D$2:$D$4000,$J59,'Cem-Domestic'!$M$2:$M$4000)</f>
        <v>66950</v>
      </c>
      <c r="EP59" s="1625">
        <f>SUMIF('Cem-Domestic'!$D$2:$D$4000,$J59,'Cem-Domestic'!$G$2:$G$4000)/10^7</f>
        <v>208.88297499999999</v>
      </c>
      <c r="EQ59" s="1681">
        <f t="shared" si="70"/>
        <v>3119.9846900672142</v>
      </c>
      <c r="ER59" s="1562"/>
      <c r="ES59" s="1533">
        <v>600</v>
      </c>
      <c r="ET59" s="1534">
        <v>19800</v>
      </c>
      <c r="EU59" s="1535">
        <v>33</v>
      </c>
      <c r="EV59" s="1533">
        <v>0</v>
      </c>
      <c r="EW59" s="1534">
        <v>0</v>
      </c>
      <c r="EX59" s="1535" t="s">
        <v>192</v>
      </c>
      <c r="EY59" s="1533">
        <v>0</v>
      </c>
      <c r="EZ59" s="1534">
        <v>0</v>
      </c>
      <c r="FA59" s="1535" t="s">
        <v>192</v>
      </c>
      <c r="FB59" s="1533">
        <v>0</v>
      </c>
      <c r="FC59" s="1534">
        <v>0</v>
      </c>
      <c r="FD59" s="1535" t="s">
        <v>192</v>
      </c>
      <c r="FE59" s="1533">
        <v>0</v>
      </c>
      <c r="FF59" s="1534">
        <v>0</v>
      </c>
      <c r="FG59" s="1535" t="s">
        <v>192</v>
      </c>
    </row>
    <row r="60" spans="1:163" ht="22">
      <c r="A60" s="978"/>
      <c r="B60" s="978"/>
      <c r="C60" s="978"/>
      <c r="D60" s="972"/>
      <c r="E60" s="972"/>
      <c r="F60" s="972"/>
      <c r="G60" s="987"/>
      <c r="H60" s="191"/>
      <c r="I60" s="173"/>
      <c r="J60" s="204" t="s">
        <v>953</v>
      </c>
      <c r="K60" s="282"/>
      <c r="L60" s="282"/>
      <c r="M60" s="282"/>
      <c r="N60" s="208"/>
      <c r="O60" s="208"/>
      <c r="P60" s="1471"/>
      <c r="Q60" s="1471"/>
      <c r="R60" s="1478"/>
      <c r="S60" s="1478"/>
      <c r="T60" s="1484"/>
      <c r="U60" s="1484"/>
      <c r="V60" s="1089"/>
      <c r="W60" s="1089"/>
      <c r="X60" s="934">
        <v>600000</v>
      </c>
      <c r="Y60" s="1911"/>
      <c r="Z60" s="1567"/>
      <c r="AA60" s="1548"/>
      <c r="AB60" s="998"/>
      <c r="AC60" s="997"/>
      <c r="AD60" s="996"/>
      <c r="AE60" s="1365"/>
      <c r="AF60" s="1567">
        <v>61.622899500000003</v>
      </c>
      <c r="AG60" s="1548">
        <v>0</v>
      </c>
      <c r="AH60" s="998"/>
      <c r="AI60" s="885"/>
      <c r="AJ60" s="883"/>
      <c r="AK60" s="1365"/>
      <c r="AL60" s="1567">
        <v>83.621408000000002</v>
      </c>
      <c r="AM60" s="1548">
        <v>0</v>
      </c>
      <c r="AN60" s="998"/>
      <c r="AO60" s="885"/>
      <c r="AP60" s="883"/>
      <c r="AQ60" s="1365"/>
      <c r="AR60" s="1567"/>
      <c r="AS60" s="1548"/>
      <c r="AT60" s="884"/>
      <c r="AU60" s="885"/>
      <c r="AV60" s="883"/>
      <c r="AW60" s="884"/>
      <c r="AX60" s="1567">
        <v>77.427648500000004</v>
      </c>
      <c r="AY60" s="1548">
        <v>0</v>
      </c>
      <c r="AZ60" s="1138"/>
      <c r="BA60" s="885"/>
      <c r="BB60" s="883"/>
      <c r="BC60" s="884"/>
      <c r="BD60" s="1567"/>
      <c r="BE60" s="1548"/>
      <c r="BF60" s="884"/>
      <c r="BG60" s="885"/>
      <c r="BH60" s="883"/>
      <c r="BI60" s="884"/>
      <c r="BJ60" s="2102"/>
      <c r="BK60" s="2102"/>
      <c r="BL60" s="2102"/>
      <c r="BM60" s="884"/>
      <c r="BN60" s="1567"/>
      <c r="BO60" s="1548"/>
      <c r="BP60" s="1365"/>
      <c r="BQ60" s="997"/>
      <c r="BR60" s="996"/>
      <c r="BS60" s="1365"/>
      <c r="BT60" s="1567"/>
      <c r="BU60" s="1548"/>
      <c r="BV60" s="1365"/>
      <c r="BW60" s="997"/>
      <c r="BX60" s="996"/>
      <c r="BY60" s="1365"/>
      <c r="BZ60" s="1365"/>
      <c r="CA60" s="1365"/>
      <c r="CB60" s="1992">
        <f t="shared" si="60"/>
        <v>119.564196</v>
      </c>
      <c r="CC60" s="1365"/>
      <c r="CD60" s="1996">
        <v>0</v>
      </c>
      <c r="CE60" s="997"/>
      <c r="CF60" s="1981">
        <v>119.564196</v>
      </c>
      <c r="CG60" s="996"/>
      <c r="CH60" s="1365"/>
      <c r="CI60" s="2102"/>
      <c r="CJ60" s="2102"/>
      <c r="CK60" s="2102"/>
      <c r="CL60" s="1365"/>
      <c r="CM60" s="1365"/>
      <c r="CN60" s="1365"/>
      <c r="CO60" s="1992">
        <f t="shared" si="61"/>
        <v>168.55144999999999</v>
      </c>
      <c r="CP60" s="1365"/>
      <c r="CQ60" s="1996">
        <v>0</v>
      </c>
      <c r="CR60" s="997"/>
      <c r="CS60" s="1981">
        <v>168.55144999999999</v>
      </c>
      <c r="CT60" s="996"/>
      <c r="CU60" s="884"/>
      <c r="CV60" s="1365"/>
      <c r="CW60" s="1365"/>
      <c r="CX60" s="1992">
        <f t="shared" si="62"/>
        <v>69.064757</v>
      </c>
      <c r="CY60" s="1365"/>
      <c r="CZ60" s="1996">
        <f t="shared" si="55"/>
        <v>0</v>
      </c>
      <c r="DA60" s="997"/>
      <c r="DB60" s="1981">
        <f t="shared" si="56"/>
        <v>69.064757</v>
      </c>
      <c r="DC60" s="996">
        <f t="shared" si="63"/>
        <v>69.064757</v>
      </c>
      <c r="DD60" s="884"/>
      <c r="DE60" s="1567"/>
      <c r="DF60" s="1548"/>
      <c r="DG60" s="884"/>
      <c r="DH60" s="885"/>
      <c r="DI60" s="883"/>
      <c r="DJ60" s="367"/>
      <c r="DK60" s="1201"/>
      <c r="DL60" s="945"/>
      <c r="DM60" s="943"/>
      <c r="DN60" s="948"/>
      <c r="DO60" s="944"/>
      <c r="DP60" s="913"/>
      <c r="DQ60" s="914"/>
      <c r="DR60" s="946"/>
      <c r="DS60" s="942"/>
      <c r="DT60" s="942"/>
      <c r="DU60" s="954">
        <f t="shared" si="64"/>
        <v>0</v>
      </c>
      <c r="DV60" s="905"/>
      <c r="DW60" s="904">
        <f t="shared" si="67"/>
        <v>0</v>
      </c>
      <c r="DX60" s="1195" t="str">
        <f>_xlfn.XLOOKUP(K60,Cement!$Q$7:$Q$35,Cement!$AR$7:$AR$35,"")</f>
        <v/>
      </c>
      <c r="DY60" s="966"/>
      <c r="DZ60" s="966"/>
      <c r="EA60" s="367"/>
      <c r="EB60" s="176" t="e">
        <f>SUMIF('[1]9-1404.12.03'!$B$2:$B$2000,$J60,'[1]9-1404.12.03'!$L$2:$L$2000)</f>
        <v>#VALUE!</v>
      </c>
      <c r="EC60" s="176" t="e">
        <f>SUMIF('[1]9-1404.12.03'!$B$2:$B$2000,$J60,'[1]9-1404.12.03'!$E$2:$E$2000)/10</f>
        <v>#VALUE!</v>
      </c>
      <c r="ED60" s="177" t="str">
        <f t="shared" si="65"/>
        <v/>
      </c>
      <c r="EE60" s="176" t="e">
        <f>SUMIF('[1]8B-1404.12.02'!$D$2:$D$3000,$J60,'[1]8B-1404.12.02'!$M$2:$M$3000)</f>
        <v>#VALUE!</v>
      </c>
      <c r="EF60" s="176" t="e">
        <f>SUMIF('[1]8B-1404.12.02'!$D$2:$D$3000,$J60,'[1]8B-1404.12.02'!$G$2:$G$3000)/10</f>
        <v>#VALUE!</v>
      </c>
      <c r="EG60" s="177" t="str">
        <f t="shared" si="66"/>
        <v/>
      </c>
      <c r="EH60" s="1502"/>
      <c r="EI60" s="1534">
        <f>SUMIF(Cem_Export!$C$2:$C$3000,$J60,Cem_Export!$I$2:$I$3000)</f>
        <v>0</v>
      </c>
      <c r="EJ60" s="1534">
        <f>SUMIFS(Cem_Export!$J$2:$J$3000,Cem_Export!$C$2:$C$3000,$J60,Cem_Export!$L$2:$L$3000, $EJ$4)</f>
        <v>0</v>
      </c>
      <c r="EK60" s="1534">
        <f>SUMIFS(Cem_Export!$J$2:$J$3000,Cem_Export!$C$2:$C$3000,$J60,Cem_Export!$L$2:$L$3000, $EK$4)</f>
        <v>0</v>
      </c>
      <c r="EL60" s="1682" t="str">
        <f t="shared" si="68"/>
        <v/>
      </c>
      <c r="EM60" s="1836">
        <f t="shared" si="69"/>
        <v>0</v>
      </c>
      <c r="EN60" s="1562"/>
      <c r="EO60" s="1625">
        <f>SUMIF('Cem-Domestic'!$D$2:$D$4000,$J60,'Cem-Domestic'!$M$2:$M$4000)</f>
        <v>22000</v>
      </c>
      <c r="EP60" s="1625">
        <f>SUMIF('Cem-Domestic'!$D$2:$D$4000,$J60,'Cem-Domestic'!$G$2:$G$4000)/10^7</f>
        <v>69.064757</v>
      </c>
      <c r="EQ60" s="1681">
        <f t="shared" si="70"/>
        <v>3139.3071363636363</v>
      </c>
      <c r="ER60" s="1562"/>
      <c r="ES60" s="1533">
        <v>0</v>
      </c>
      <c r="ET60" s="1534">
        <v>0</v>
      </c>
      <c r="EU60" s="1535" t="s">
        <v>192</v>
      </c>
      <c r="EV60" s="1533">
        <v>0</v>
      </c>
      <c r="EW60" s="1534">
        <v>0</v>
      </c>
      <c r="EX60" s="1535" t="s">
        <v>192</v>
      </c>
      <c r="EY60" s="1533">
        <v>0</v>
      </c>
      <c r="EZ60" s="1534">
        <v>0</v>
      </c>
      <c r="FA60" s="1535" t="s">
        <v>192</v>
      </c>
      <c r="FB60" s="1533">
        <v>0</v>
      </c>
      <c r="FC60" s="1534">
        <v>0</v>
      </c>
      <c r="FD60" s="1535" t="s">
        <v>192</v>
      </c>
      <c r="FE60" s="1533">
        <v>0</v>
      </c>
      <c r="FF60" s="1534">
        <v>0</v>
      </c>
      <c r="FG60" s="1535" t="s">
        <v>192</v>
      </c>
    </row>
    <row r="61" spans="1:163" ht="21" customHeight="1">
      <c r="A61" s="978"/>
      <c r="B61" s="978"/>
      <c r="C61" s="978"/>
      <c r="D61" s="972"/>
      <c r="E61" s="972"/>
      <c r="F61" s="972"/>
      <c r="G61" s="987"/>
      <c r="H61" s="191"/>
      <c r="I61" s="173"/>
      <c r="J61" s="204" t="s">
        <v>954</v>
      </c>
      <c r="K61" s="190"/>
      <c r="L61" s="65"/>
      <c r="M61" s="65"/>
      <c r="N61" s="208"/>
      <c r="O61" s="208"/>
      <c r="P61" s="1468"/>
      <c r="Q61" s="1468"/>
      <c r="R61" s="1475"/>
      <c r="S61" s="1475"/>
      <c r="T61" s="1481"/>
      <c r="U61" s="1481"/>
      <c r="V61" s="207"/>
      <c r="W61" s="207"/>
      <c r="X61" s="934">
        <v>1000000</v>
      </c>
      <c r="Y61" s="1911"/>
      <c r="Z61" s="1567"/>
      <c r="AA61" s="1548"/>
      <c r="AB61" s="998"/>
      <c r="AC61" s="997"/>
      <c r="AD61" s="996"/>
      <c r="AE61" s="1365"/>
      <c r="AF61" s="1567">
        <v>179.27730249999999</v>
      </c>
      <c r="AG61" s="1548">
        <v>0</v>
      </c>
      <c r="AH61" s="998"/>
      <c r="AI61" s="885"/>
      <c r="AJ61" s="883"/>
      <c r="AK61" s="1365"/>
      <c r="AL61" s="1567">
        <v>211.55083250000001</v>
      </c>
      <c r="AM61" s="1548">
        <v>80750</v>
      </c>
      <c r="AN61" s="998"/>
      <c r="AO61" s="885"/>
      <c r="AP61" s="883"/>
      <c r="AQ61" s="1365"/>
      <c r="AR61" s="1567"/>
      <c r="AS61" s="1548"/>
      <c r="AT61" s="884"/>
      <c r="AU61" s="885"/>
      <c r="AV61" s="883"/>
      <c r="AW61" s="884"/>
      <c r="AX61" s="1567">
        <v>148.44555500000001</v>
      </c>
      <c r="AY61" s="1548">
        <v>0</v>
      </c>
      <c r="AZ61" s="1138"/>
      <c r="BA61" s="885"/>
      <c r="BB61" s="883"/>
      <c r="BC61" s="884"/>
      <c r="BD61" s="1567"/>
      <c r="BE61" s="1548"/>
      <c r="BF61" s="884"/>
      <c r="BG61" s="885"/>
      <c r="BH61" s="883"/>
      <c r="BI61" s="884"/>
      <c r="BJ61" s="2102"/>
      <c r="BK61" s="2102"/>
      <c r="BL61" s="2102"/>
      <c r="BM61" s="884"/>
      <c r="BN61" s="1567"/>
      <c r="BO61" s="1548"/>
      <c r="BP61" s="1365"/>
      <c r="BQ61" s="997"/>
      <c r="BR61" s="996"/>
      <c r="BS61" s="1365"/>
      <c r="BT61" s="1567"/>
      <c r="BU61" s="1548"/>
      <c r="BV61" s="1365"/>
      <c r="BW61" s="997"/>
      <c r="BX61" s="996"/>
      <c r="BY61" s="1365"/>
      <c r="BZ61" s="1365"/>
      <c r="CA61" s="1365"/>
      <c r="CB61" s="1992">
        <f t="shared" si="60"/>
        <v>351.66296499999999</v>
      </c>
      <c r="CC61" s="1365"/>
      <c r="CD61" s="1996">
        <v>34.300000000000004</v>
      </c>
      <c r="CE61" s="997"/>
      <c r="CF61" s="1981">
        <v>317.36296499999997</v>
      </c>
      <c r="CG61" s="996"/>
      <c r="CH61" s="1365"/>
      <c r="CI61" s="2102"/>
      <c r="CJ61" s="2102"/>
      <c r="CK61" s="2102"/>
      <c r="CL61" s="1365"/>
      <c r="CM61" s="1365"/>
      <c r="CN61" s="1365"/>
      <c r="CO61" s="1992">
        <f t="shared" si="61"/>
        <v>31.253295000000001</v>
      </c>
      <c r="CP61" s="1365"/>
      <c r="CQ61" s="1996">
        <v>20.580000000000002</v>
      </c>
      <c r="CR61" s="997"/>
      <c r="CS61" s="1981">
        <v>10.673295</v>
      </c>
      <c r="CT61" s="996"/>
      <c r="CU61" s="884"/>
      <c r="CV61" s="1365"/>
      <c r="CW61" s="1365"/>
      <c r="CX61" s="1992">
        <f t="shared" si="62"/>
        <v>117.029385</v>
      </c>
      <c r="CY61" s="1365"/>
      <c r="CZ61" s="1996">
        <f t="shared" si="55"/>
        <v>0</v>
      </c>
      <c r="DA61" s="997"/>
      <c r="DB61" s="1981">
        <f t="shared" si="56"/>
        <v>117.029385</v>
      </c>
      <c r="DC61" s="996">
        <f t="shared" si="63"/>
        <v>117.029385</v>
      </c>
      <c r="DD61" s="884"/>
      <c r="DE61" s="1567"/>
      <c r="DF61" s="1548"/>
      <c r="DG61" s="884"/>
      <c r="DH61" s="885"/>
      <c r="DI61" s="883"/>
      <c r="DJ61" s="367"/>
      <c r="DK61" s="1201"/>
      <c r="DL61" s="945"/>
      <c r="DM61" s="943"/>
      <c r="DN61" s="948"/>
      <c r="DO61" s="944"/>
      <c r="DP61" s="913"/>
      <c r="DQ61" s="914"/>
      <c r="DR61" s="946"/>
      <c r="DS61" s="942"/>
      <c r="DT61" s="942"/>
      <c r="DU61" s="954">
        <f t="shared" si="64"/>
        <v>0</v>
      </c>
      <c r="DV61" s="905"/>
      <c r="DW61" s="904">
        <f t="shared" si="67"/>
        <v>0</v>
      </c>
      <c r="DX61" s="1195" t="str">
        <f>_xlfn.XLOOKUP(K61,Cement!$Q$7:$Q$35,Cement!$AR$7:$AR$35,"")</f>
        <v/>
      </c>
      <c r="DY61" s="966"/>
      <c r="DZ61" s="966"/>
      <c r="EA61" s="367"/>
      <c r="EB61" s="176" t="e">
        <f>SUMIF('[1]9-1404.12.03'!$B$2:$B$2000,$J61,'[1]9-1404.12.03'!$L$2:$L$2000)</f>
        <v>#VALUE!</v>
      </c>
      <c r="EC61" s="176" t="e">
        <f>SUMIF('[1]9-1404.12.03'!$B$2:$B$2000,$J61,'[1]9-1404.12.03'!$E$2:$E$2000)/10</f>
        <v>#VALUE!</v>
      </c>
      <c r="ED61" s="177" t="str">
        <f t="shared" si="65"/>
        <v/>
      </c>
      <c r="EE61" s="176" t="e">
        <f>SUMIF('[1]8B-1404.12.02'!$D$2:$D$3000,$J61,'[1]8B-1404.12.02'!$M$2:$M$3000)</f>
        <v>#VALUE!</v>
      </c>
      <c r="EF61" s="176" t="e">
        <f>SUMIF('[1]8B-1404.12.02'!$D$2:$D$3000,$J61,'[1]8B-1404.12.02'!$G$2:$G$3000)/10</f>
        <v>#VALUE!</v>
      </c>
      <c r="EG61" s="177" t="str">
        <f t="shared" si="66"/>
        <v/>
      </c>
      <c r="EH61" s="1502"/>
      <c r="EI61" s="1534">
        <f>SUMIF(Cem_Export!$C$2:$C$3000,$J61,Cem_Export!$I$2:$I$3000)</f>
        <v>0</v>
      </c>
      <c r="EJ61" s="1534">
        <f>SUMIFS(Cem_Export!$J$2:$J$3000,Cem_Export!$C$2:$C$3000,$J61,Cem_Export!$L$2:$L$3000, $EJ$4)</f>
        <v>0</v>
      </c>
      <c r="EK61" s="1534">
        <f>SUMIFS(Cem_Export!$J$2:$J$3000,Cem_Export!$C$2:$C$3000,$J61,Cem_Export!$L$2:$L$3000, $EK$4)</f>
        <v>0</v>
      </c>
      <c r="EL61" s="1682" t="str">
        <f t="shared" si="68"/>
        <v/>
      </c>
      <c r="EM61" s="1836">
        <f t="shared" si="69"/>
        <v>0</v>
      </c>
      <c r="EN61" s="1562"/>
      <c r="EO61" s="1625">
        <f>SUMIF('Cem-Domestic'!$D$2:$D$4000,$J61,'Cem-Domestic'!$M$2:$M$4000)</f>
        <v>35000</v>
      </c>
      <c r="EP61" s="1625">
        <f>SUMIF('Cem-Domestic'!$D$2:$D$4000,$J61,'Cem-Domestic'!$G$2:$G$4000)/10^7</f>
        <v>117.029385</v>
      </c>
      <c r="EQ61" s="1681">
        <f t="shared" si="70"/>
        <v>3343.6967142857147</v>
      </c>
      <c r="ER61" s="1562"/>
      <c r="ES61" s="1533">
        <v>0</v>
      </c>
      <c r="ET61" s="1534">
        <v>0</v>
      </c>
      <c r="EU61" s="1535" t="s">
        <v>192</v>
      </c>
      <c r="EV61" s="1533">
        <v>0</v>
      </c>
      <c r="EW61" s="1534">
        <v>0</v>
      </c>
      <c r="EX61" s="1535" t="s">
        <v>192</v>
      </c>
      <c r="EY61" s="1533">
        <v>0</v>
      </c>
      <c r="EZ61" s="1534">
        <v>0</v>
      </c>
      <c r="FA61" s="1535" t="s">
        <v>192</v>
      </c>
      <c r="FB61" s="1533">
        <v>0</v>
      </c>
      <c r="FC61" s="1534">
        <v>0</v>
      </c>
      <c r="FD61" s="1535" t="s">
        <v>192</v>
      </c>
      <c r="FE61" s="1533">
        <v>1700</v>
      </c>
      <c r="FF61" s="1534">
        <v>80750</v>
      </c>
      <c r="FG61" s="1535">
        <v>47.5</v>
      </c>
    </row>
    <row r="62" spans="1:163" ht="22">
      <c r="A62" s="978"/>
      <c r="B62" s="978"/>
      <c r="C62" s="978"/>
      <c r="D62" s="972"/>
      <c r="E62" s="972"/>
      <c r="F62" s="972"/>
      <c r="G62" s="987"/>
      <c r="H62" s="191"/>
      <c r="I62" s="173" t="str">
        <f>_xlfn.XLOOKUP(K62,Cement!$Q$7:$Q$35,Cement!$A$7:$A$35,"")</f>
        <v/>
      </c>
      <c r="J62" s="423" t="s">
        <v>955</v>
      </c>
      <c r="K62" s="424" t="s">
        <v>956</v>
      </c>
      <c r="L62" s="424"/>
      <c r="M62" s="424"/>
      <c r="N62" s="208"/>
      <c r="O62" s="208"/>
      <c r="P62" s="1469"/>
      <c r="Q62" s="1469"/>
      <c r="R62" s="1476"/>
      <c r="S62" s="1476"/>
      <c r="T62" s="1482"/>
      <c r="U62" s="1482"/>
      <c r="V62" s="1087"/>
      <c r="W62" s="1087"/>
      <c r="X62" s="934">
        <v>1100000</v>
      </c>
      <c r="Y62" s="1911"/>
      <c r="Z62" s="1567"/>
      <c r="AA62" s="1548"/>
      <c r="AB62" s="998"/>
      <c r="AC62" s="997"/>
      <c r="AD62" s="996"/>
      <c r="AE62" s="1365"/>
      <c r="AF62" s="1567">
        <v>103.1808625</v>
      </c>
      <c r="AG62" s="1548">
        <v>2704</v>
      </c>
      <c r="AH62" s="998"/>
      <c r="AI62" s="885"/>
      <c r="AJ62" s="883"/>
      <c r="AK62" s="1365"/>
      <c r="AL62" s="1567">
        <v>89.262883000000002</v>
      </c>
      <c r="AM62" s="1548">
        <v>62770</v>
      </c>
      <c r="AN62" s="998"/>
      <c r="AO62" s="885"/>
      <c r="AP62" s="883"/>
      <c r="AQ62" s="1365"/>
      <c r="AR62" s="1567"/>
      <c r="AS62" s="1548"/>
      <c r="AT62" s="884"/>
      <c r="AU62" s="885"/>
      <c r="AV62" s="883"/>
      <c r="AW62" s="884"/>
      <c r="AX62" s="1567">
        <v>100.5696825</v>
      </c>
      <c r="AY62" s="1548">
        <v>0.12480000000000001</v>
      </c>
      <c r="AZ62" s="1138"/>
      <c r="BA62" s="885"/>
      <c r="BB62" s="883"/>
      <c r="BC62" s="884"/>
      <c r="BD62" s="1567"/>
      <c r="BE62" s="1548"/>
      <c r="BF62" s="884"/>
      <c r="BG62" s="885"/>
      <c r="BH62" s="883"/>
      <c r="BI62" s="884"/>
      <c r="BJ62" s="2102"/>
      <c r="BK62" s="2102"/>
      <c r="BL62" s="2102"/>
      <c r="BM62" s="884"/>
      <c r="BN62" s="1567"/>
      <c r="BO62" s="1548"/>
      <c r="BP62" s="1365"/>
      <c r="BQ62" s="997"/>
      <c r="BR62" s="996"/>
      <c r="BS62" s="1365"/>
      <c r="BT62" s="1567"/>
      <c r="BU62" s="1548"/>
      <c r="BV62" s="1365"/>
      <c r="BW62" s="997"/>
      <c r="BX62" s="996"/>
      <c r="BY62" s="1365"/>
      <c r="BZ62" s="1365"/>
      <c r="CA62" s="1365"/>
      <c r="CB62" s="1992">
        <f t="shared" si="60"/>
        <v>231.57980250000003</v>
      </c>
      <c r="CC62" s="1365"/>
      <c r="CD62" s="1996">
        <v>82.320000000000007</v>
      </c>
      <c r="CE62" s="997"/>
      <c r="CF62" s="1981">
        <v>149.25980250000001</v>
      </c>
      <c r="CG62" s="996"/>
      <c r="CH62" s="1365"/>
      <c r="CI62" s="2102"/>
      <c r="CJ62" s="2102"/>
      <c r="CK62" s="2102"/>
      <c r="CL62" s="1365"/>
      <c r="CM62" s="1365"/>
      <c r="CN62" s="1365"/>
      <c r="CO62" s="1992">
        <f t="shared" si="61"/>
        <v>196.33574349999998</v>
      </c>
      <c r="CP62" s="1365"/>
      <c r="CQ62" s="1996">
        <v>47.04</v>
      </c>
      <c r="CR62" s="997"/>
      <c r="CS62" s="1981">
        <v>149.29574349999999</v>
      </c>
      <c r="CT62" s="996"/>
      <c r="CU62" s="884"/>
      <c r="CV62" s="1365"/>
      <c r="CW62" s="1365"/>
      <c r="CX62" s="1992">
        <f t="shared" si="62"/>
        <v>120.0951275</v>
      </c>
      <c r="CY62" s="1365"/>
      <c r="CZ62" s="1996">
        <f t="shared" si="55"/>
        <v>58.800000000000004</v>
      </c>
      <c r="DA62" s="997"/>
      <c r="DB62" s="1981">
        <f t="shared" si="56"/>
        <v>61.2951275</v>
      </c>
      <c r="DC62" s="996">
        <f t="shared" si="63"/>
        <v>61.2951275</v>
      </c>
      <c r="DD62" s="884"/>
      <c r="DE62" s="1567"/>
      <c r="DF62" s="1548"/>
      <c r="DG62" s="884"/>
      <c r="DH62" s="885"/>
      <c r="DI62" s="883"/>
      <c r="DJ62" s="367"/>
      <c r="DK62" s="1201"/>
      <c r="DL62" s="945"/>
      <c r="DM62" s="943"/>
      <c r="DN62" s="948"/>
      <c r="DO62" s="944"/>
      <c r="DP62" s="913"/>
      <c r="DQ62" s="914"/>
      <c r="DR62" s="946"/>
      <c r="DS62" s="942"/>
      <c r="DT62" s="942"/>
      <c r="DU62" s="954">
        <f t="shared" si="64"/>
        <v>0</v>
      </c>
      <c r="DV62" s="905"/>
      <c r="DW62" s="904">
        <f t="shared" si="67"/>
        <v>0</v>
      </c>
      <c r="DX62" s="1195" t="str">
        <f>_xlfn.XLOOKUP(K62,Cement!$Q$7:$Q$35,Cement!$AR$7:$AR$35,"")</f>
        <v/>
      </c>
      <c r="DY62" s="966"/>
      <c r="DZ62" s="966"/>
      <c r="EA62" s="367"/>
      <c r="EB62" s="176" t="e">
        <f>SUMIF('[1]9-1404.12.03'!$B$2:$B$2000,$J62,'[1]9-1404.12.03'!$L$2:$L$2000)</f>
        <v>#VALUE!</v>
      </c>
      <c r="EC62" s="176" t="e">
        <f>SUMIF('[1]9-1404.12.03'!$B$2:$B$2000,$J62,'[1]9-1404.12.03'!$E$2:$E$2000)/10</f>
        <v>#VALUE!</v>
      </c>
      <c r="ED62" s="177" t="str">
        <f t="shared" si="65"/>
        <v/>
      </c>
      <c r="EE62" s="176" t="e">
        <f>SUMIF('[1]8B-1404.12.02'!$D$2:$D$3000,$J62,'[1]8B-1404.12.02'!$M$2:$M$3000)</f>
        <v>#VALUE!</v>
      </c>
      <c r="EF62" s="176" t="e">
        <f>SUMIF('[1]8B-1404.12.02'!$D$2:$D$3000,$J62,'[1]8B-1404.12.02'!$G$2:$G$3000)/10</f>
        <v>#VALUE!</v>
      </c>
      <c r="EG62" s="177" t="str">
        <f t="shared" si="66"/>
        <v/>
      </c>
      <c r="EH62" s="1502"/>
      <c r="EI62" s="1534">
        <f>SUMIF(Cem_Export!$C$2:$C$3000,$J62,Cem_Export!$I$2:$I$3000)</f>
        <v>10000</v>
      </c>
      <c r="EJ62" s="1534">
        <f>SUMIFS(Cem_Export!$J$2:$J$3000,Cem_Export!$C$2:$C$3000,$J62,Cem_Export!$L$2:$L$3000, $EJ$4)</f>
        <v>420000</v>
      </c>
      <c r="EK62" s="1534">
        <f>SUMIFS(Cem_Export!$J$2:$J$3000,Cem_Export!$C$2:$C$3000,$J62,Cem_Export!$L$2:$L$3000, $EK$4)</f>
        <v>0</v>
      </c>
      <c r="EL62" s="1682">
        <f t="shared" si="68"/>
        <v>42</v>
      </c>
      <c r="EM62" s="1836">
        <f t="shared" si="69"/>
        <v>58.800000000000004</v>
      </c>
      <c r="EN62" s="1562"/>
      <c r="EO62" s="1625">
        <f>SUMIF('Cem-Domestic'!$D$2:$D$4000,$J62,'Cem-Domestic'!$M$2:$M$4000)</f>
        <v>19375</v>
      </c>
      <c r="EP62" s="1625">
        <f>SUMIF('Cem-Domestic'!$D$2:$D$4000,$J62,'Cem-Domestic'!$G$2:$G$4000)/10^7</f>
        <v>61.2951275</v>
      </c>
      <c r="EQ62" s="1681">
        <f t="shared" si="70"/>
        <v>3163.619483870968</v>
      </c>
      <c r="ER62" s="1562"/>
      <c r="ES62" s="1533">
        <v>0</v>
      </c>
      <c r="ET62" s="1534">
        <v>0</v>
      </c>
      <c r="EU62" s="1535" t="s">
        <v>192</v>
      </c>
      <c r="EV62" s="1533">
        <v>0</v>
      </c>
      <c r="EW62" s="1534">
        <v>0</v>
      </c>
      <c r="EX62" s="1535" t="s">
        <v>192</v>
      </c>
      <c r="EY62" s="1533">
        <v>0</v>
      </c>
      <c r="EZ62" s="1534">
        <v>0</v>
      </c>
      <c r="FA62" s="1535" t="s">
        <v>192</v>
      </c>
      <c r="FB62" s="1533">
        <v>0</v>
      </c>
      <c r="FC62" s="1534">
        <v>0</v>
      </c>
      <c r="FD62" s="1535" t="s">
        <v>192</v>
      </c>
      <c r="FE62" s="1533">
        <v>52</v>
      </c>
      <c r="FF62" s="1534">
        <v>2704</v>
      </c>
      <c r="FG62" s="1535">
        <v>52</v>
      </c>
    </row>
    <row r="63" spans="1:163" ht="22">
      <c r="A63" s="978"/>
      <c r="B63" s="978"/>
      <c r="C63" s="978"/>
      <c r="D63" s="972"/>
      <c r="E63" s="972"/>
      <c r="F63" s="972"/>
      <c r="G63" s="987"/>
      <c r="H63" s="191"/>
      <c r="I63" s="173"/>
      <c r="J63" s="204" t="s">
        <v>957</v>
      </c>
      <c r="K63" s="65"/>
      <c r="L63" s="65"/>
      <c r="M63" s="65"/>
      <c r="N63" s="208"/>
      <c r="O63" s="208"/>
      <c r="P63" s="1468"/>
      <c r="Q63" s="1468"/>
      <c r="R63" s="1475"/>
      <c r="S63" s="1475"/>
      <c r="T63" s="1481"/>
      <c r="U63" s="1481"/>
      <c r="V63" s="207"/>
      <c r="W63" s="207"/>
      <c r="X63" s="934">
        <v>1000000</v>
      </c>
      <c r="Y63" s="1911"/>
      <c r="Z63" s="1567"/>
      <c r="AA63" s="1548"/>
      <c r="AB63" s="998"/>
      <c r="AC63" s="997"/>
      <c r="AD63" s="996"/>
      <c r="AE63" s="1365"/>
      <c r="AF63" s="1567">
        <v>146.4912975</v>
      </c>
      <c r="AG63" s="1548">
        <v>0</v>
      </c>
      <c r="AH63" s="998"/>
      <c r="AI63" s="885"/>
      <c r="AJ63" s="883"/>
      <c r="AK63" s="1365"/>
      <c r="AL63" s="1567">
        <v>114.1321475</v>
      </c>
      <c r="AM63" s="1548">
        <v>0</v>
      </c>
      <c r="AN63" s="998"/>
      <c r="AO63" s="885"/>
      <c r="AP63" s="883"/>
      <c r="AQ63" s="1365"/>
      <c r="AR63" s="1567"/>
      <c r="AS63" s="1548"/>
      <c r="AT63" s="884"/>
      <c r="AU63" s="885"/>
      <c r="AV63" s="883"/>
      <c r="AW63" s="884"/>
      <c r="AX63" s="1567">
        <v>136.82037500000001</v>
      </c>
      <c r="AY63" s="1548">
        <v>0</v>
      </c>
      <c r="AZ63" s="1138"/>
      <c r="BA63" s="885"/>
      <c r="BB63" s="883"/>
      <c r="BC63" s="884"/>
      <c r="BD63" s="1567"/>
      <c r="BE63" s="1548"/>
      <c r="BF63" s="884"/>
      <c r="BG63" s="885"/>
      <c r="BH63" s="883"/>
      <c r="BI63" s="884"/>
      <c r="BJ63" s="2102"/>
      <c r="BK63" s="2102"/>
      <c r="BL63" s="2102"/>
      <c r="BM63" s="884"/>
      <c r="BN63" s="1567"/>
      <c r="BO63" s="1548"/>
      <c r="BP63" s="1365"/>
      <c r="BQ63" s="997"/>
      <c r="BR63" s="996"/>
      <c r="BS63" s="1365"/>
      <c r="BT63" s="1567"/>
      <c r="BU63" s="1548"/>
      <c r="BV63" s="1365"/>
      <c r="BW63" s="997"/>
      <c r="BX63" s="996"/>
      <c r="BY63" s="1365"/>
      <c r="BZ63" s="1365"/>
      <c r="CA63" s="1365"/>
      <c r="CB63" s="1992">
        <f t="shared" si="60"/>
        <v>186.7533425</v>
      </c>
      <c r="CC63" s="1365"/>
      <c r="CD63" s="1996">
        <v>0</v>
      </c>
      <c r="CE63" s="997"/>
      <c r="CF63" s="1981">
        <v>186.7533425</v>
      </c>
      <c r="CG63" s="996"/>
      <c r="CH63" s="1365"/>
      <c r="CI63" s="2102"/>
      <c r="CJ63" s="2102"/>
      <c r="CK63" s="2102"/>
      <c r="CL63" s="1365"/>
      <c r="CM63" s="1365"/>
      <c r="CN63" s="1365"/>
      <c r="CO63" s="1992">
        <f t="shared" si="61"/>
        <v>115.057298</v>
      </c>
      <c r="CP63" s="1365"/>
      <c r="CQ63" s="1996">
        <v>0</v>
      </c>
      <c r="CR63" s="997"/>
      <c r="CS63" s="1981">
        <v>115.057298</v>
      </c>
      <c r="CT63" s="996"/>
      <c r="CU63" s="884"/>
      <c r="CV63" s="1365"/>
      <c r="CW63" s="1365"/>
      <c r="CX63" s="1992">
        <f t="shared" si="62"/>
        <v>98.678700000000006</v>
      </c>
      <c r="CY63" s="1365"/>
      <c r="CZ63" s="1996">
        <f t="shared" si="55"/>
        <v>0</v>
      </c>
      <c r="DA63" s="997"/>
      <c r="DB63" s="1981">
        <f t="shared" si="56"/>
        <v>98.678700000000006</v>
      </c>
      <c r="DC63" s="996">
        <f t="shared" si="63"/>
        <v>98.678700000000006</v>
      </c>
      <c r="DD63" s="884"/>
      <c r="DE63" s="1567"/>
      <c r="DF63" s="1548"/>
      <c r="DG63" s="884"/>
      <c r="DH63" s="885"/>
      <c r="DI63" s="883"/>
      <c r="DJ63" s="367"/>
      <c r="DK63" s="1201"/>
      <c r="DL63" s="945"/>
      <c r="DM63" s="943"/>
      <c r="DN63" s="948"/>
      <c r="DO63" s="944"/>
      <c r="DP63" s="913"/>
      <c r="DQ63" s="914"/>
      <c r="DR63" s="946"/>
      <c r="DS63" s="942"/>
      <c r="DT63" s="942"/>
      <c r="DU63" s="954">
        <f t="shared" si="64"/>
        <v>0</v>
      </c>
      <c r="DV63" s="905"/>
      <c r="DW63" s="904">
        <f t="shared" si="67"/>
        <v>0</v>
      </c>
      <c r="DX63" s="1195" t="str">
        <f>_xlfn.XLOOKUP(K63,Cement!$Q$7:$Q$35,Cement!$AR$7:$AR$35,"")</f>
        <v/>
      </c>
      <c r="DY63" s="966"/>
      <c r="DZ63" s="966"/>
      <c r="EA63" s="367"/>
      <c r="EB63" s="176" t="e">
        <f>SUMIF('[1]9-1404.12.03'!$B$2:$B$2000,$J63,'[1]9-1404.12.03'!$L$2:$L$2000)</f>
        <v>#VALUE!</v>
      </c>
      <c r="EC63" s="176" t="e">
        <f>SUMIF('[1]9-1404.12.03'!$B$2:$B$2000,$J63,'[1]9-1404.12.03'!$E$2:$E$2000)/10</f>
        <v>#VALUE!</v>
      </c>
      <c r="ED63" s="177" t="str">
        <f t="shared" si="65"/>
        <v/>
      </c>
      <c r="EE63" s="176" t="e">
        <f>SUMIF('[1]8B-1404.12.02'!$D$2:$D$3000,$J63,'[1]8B-1404.12.02'!$M$2:$M$3000)</f>
        <v>#VALUE!</v>
      </c>
      <c r="EF63" s="176" t="e">
        <f>SUMIF('[1]8B-1404.12.02'!$D$2:$D$3000,$J63,'[1]8B-1404.12.02'!$G$2:$G$3000)/10</f>
        <v>#VALUE!</v>
      </c>
      <c r="EG63" s="177" t="str">
        <f t="shared" si="66"/>
        <v/>
      </c>
      <c r="EH63" s="1502"/>
      <c r="EI63" s="1534">
        <f>SUMIF(Cem_Export!$C$2:$C$3000,$J63,Cem_Export!$I$2:$I$3000)</f>
        <v>0</v>
      </c>
      <c r="EJ63" s="1534">
        <f>SUMIFS(Cem_Export!$J$2:$J$3000,Cem_Export!$C$2:$C$3000,$J63,Cem_Export!$L$2:$L$3000, $EJ$4)</f>
        <v>0</v>
      </c>
      <c r="EK63" s="1534">
        <f>SUMIFS(Cem_Export!$J$2:$J$3000,Cem_Export!$C$2:$C$3000,$J63,Cem_Export!$L$2:$L$3000, $EK$4)</f>
        <v>0</v>
      </c>
      <c r="EL63" s="1682" t="str">
        <f t="shared" si="68"/>
        <v/>
      </c>
      <c r="EM63" s="1836">
        <f t="shared" si="69"/>
        <v>0</v>
      </c>
      <c r="EN63" s="1562"/>
      <c r="EO63" s="1625">
        <f>SUMIF('Cem-Domestic'!$D$2:$D$4000,$J63,'Cem-Domestic'!$M$2:$M$4000)</f>
        <v>31625</v>
      </c>
      <c r="EP63" s="1625">
        <f>SUMIF('Cem-Domestic'!$D$2:$D$4000,$J63,'Cem-Domestic'!$G$2:$G$4000)/10^7</f>
        <v>98.678700000000006</v>
      </c>
      <c r="EQ63" s="1681">
        <f t="shared" si="70"/>
        <v>3120.2750988142293</v>
      </c>
      <c r="ER63" s="1562"/>
      <c r="ES63" s="1533">
        <v>0</v>
      </c>
      <c r="ET63" s="1534">
        <v>0</v>
      </c>
      <c r="EU63" s="1535" t="s">
        <v>192</v>
      </c>
      <c r="EV63" s="1533">
        <v>0</v>
      </c>
      <c r="EW63" s="1534">
        <v>0</v>
      </c>
      <c r="EX63" s="1535" t="s">
        <v>192</v>
      </c>
      <c r="EY63" s="1533">
        <v>0</v>
      </c>
      <c r="EZ63" s="1534">
        <v>0</v>
      </c>
      <c r="FA63" s="1535" t="s">
        <v>192</v>
      </c>
      <c r="FB63" s="1533">
        <v>0</v>
      </c>
      <c r="FC63" s="1534">
        <v>0</v>
      </c>
      <c r="FD63" s="1535" t="s">
        <v>192</v>
      </c>
      <c r="FE63" s="1533">
        <v>0</v>
      </c>
      <c r="FF63" s="1534">
        <v>0</v>
      </c>
      <c r="FG63" s="1535" t="s">
        <v>192</v>
      </c>
    </row>
    <row r="64" spans="1:163" ht="22">
      <c r="A64" s="978"/>
      <c r="B64" s="978"/>
      <c r="C64" s="978"/>
      <c r="D64" s="972"/>
      <c r="E64" s="972"/>
      <c r="F64" s="972"/>
      <c r="G64" s="987"/>
      <c r="H64" s="191"/>
      <c r="I64" s="173"/>
      <c r="J64" s="204" t="s">
        <v>958</v>
      </c>
      <c r="K64" s="65"/>
      <c r="L64" s="65"/>
      <c r="M64" s="65"/>
      <c r="N64" s="208"/>
      <c r="O64" s="208"/>
      <c r="P64" s="1468"/>
      <c r="Q64" s="1468"/>
      <c r="R64" s="1475"/>
      <c r="S64" s="1475"/>
      <c r="T64" s="1481"/>
      <c r="U64" s="1481"/>
      <c r="V64" s="207"/>
      <c r="W64" s="207"/>
      <c r="X64" s="934">
        <v>1000000</v>
      </c>
      <c r="Y64" s="1911"/>
      <c r="Z64" s="1567"/>
      <c r="AA64" s="1548"/>
      <c r="AB64" s="998"/>
      <c r="AC64" s="997"/>
      <c r="AD64" s="996"/>
      <c r="AE64" s="1365"/>
      <c r="AF64" s="1567">
        <v>65.709177499999996</v>
      </c>
      <c r="AG64" s="1548">
        <v>613450</v>
      </c>
      <c r="AH64" s="998"/>
      <c r="AI64" s="885"/>
      <c r="AJ64" s="883"/>
      <c r="AK64" s="1365"/>
      <c r="AL64" s="1567">
        <v>67.688820000000007</v>
      </c>
      <c r="AM64" s="1548">
        <v>1326905</v>
      </c>
      <c r="AN64" s="998"/>
      <c r="AO64" s="885"/>
      <c r="AP64" s="883"/>
      <c r="AQ64" s="1365"/>
      <c r="AR64" s="1567"/>
      <c r="AS64" s="1548"/>
      <c r="AT64" s="884"/>
      <c r="AU64" s="885"/>
      <c r="AV64" s="883"/>
      <c r="AW64" s="884"/>
      <c r="AX64" s="1567">
        <v>22.9977725</v>
      </c>
      <c r="AY64" s="1548">
        <v>361.92118720000002</v>
      </c>
      <c r="AZ64" s="1138"/>
      <c r="BA64" s="885"/>
      <c r="BB64" s="883"/>
      <c r="BC64" s="884"/>
      <c r="BD64" s="1567"/>
      <c r="BE64" s="1548"/>
      <c r="BF64" s="884"/>
      <c r="BG64" s="885"/>
      <c r="BH64" s="883"/>
      <c r="BI64" s="884"/>
      <c r="BJ64" s="2102"/>
      <c r="BK64" s="2102"/>
      <c r="BL64" s="2102"/>
      <c r="BM64" s="884"/>
      <c r="BN64" s="1567"/>
      <c r="BO64" s="1548"/>
      <c r="BP64" s="1365"/>
      <c r="BQ64" s="997"/>
      <c r="BR64" s="996"/>
      <c r="BS64" s="1365"/>
      <c r="BT64" s="1567"/>
      <c r="BU64" s="1548"/>
      <c r="BV64" s="1365"/>
      <c r="BW64" s="997"/>
      <c r="BX64" s="996"/>
      <c r="BY64" s="1365"/>
      <c r="BZ64" s="1365"/>
      <c r="CA64" s="1365"/>
      <c r="CB64" s="1992">
        <f t="shared" si="60"/>
        <v>309.07591746658204</v>
      </c>
      <c r="CC64" s="1365"/>
      <c r="CD64" s="1996">
        <v>261.99339996658205</v>
      </c>
      <c r="CE64" s="997"/>
      <c r="CF64" s="1981">
        <v>47.082517500000002</v>
      </c>
      <c r="CG64" s="996"/>
      <c r="CH64" s="1365"/>
      <c r="CI64" s="2102"/>
      <c r="CJ64" s="2102"/>
      <c r="CK64" s="2102"/>
      <c r="CL64" s="1365"/>
      <c r="CM64" s="1365"/>
      <c r="CN64" s="1365"/>
      <c r="CO64" s="1992">
        <f t="shared" si="61"/>
        <v>299.43609197177142</v>
      </c>
      <c r="CP64" s="1365"/>
      <c r="CQ64" s="1996">
        <v>259.02449997177143</v>
      </c>
      <c r="CR64" s="997"/>
      <c r="CS64" s="1981">
        <v>40.411591999999999</v>
      </c>
      <c r="CT64" s="996"/>
      <c r="CU64" s="884"/>
      <c r="CV64" s="1365"/>
      <c r="CW64" s="1365"/>
      <c r="CX64" s="1992">
        <f t="shared" si="62"/>
        <v>90.523507499999994</v>
      </c>
      <c r="CY64" s="1365"/>
      <c r="CZ64" s="1996">
        <f t="shared" si="55"/>
        <v>68.778999999999996</v>
      </c>
      <c r="DA64" s="997"/>
      <c r="DB64" s="1981">
        <f t="shared" si="56"/>
        <v>21.744507500000001</v>
      </c>
      <c r="DC64" s="996">
        <f t="shared" si="63"/>
        <v>21.744507500000001</v>
      </c>
      <c r="DD64" s="884"/>
      <c r="DE64" s="1567"/>
      <c r="DF64" s="1548"/>
      <c r="DG64" s="884"/>
      <c r="DH64" s="885"/>
      <c r="DI64" s="883"/>
      <c r="DJ64" s="367"/>
      <c r="DK64" s="1201"/>
      <c r="DL64" s="945"/>
      <c r="DM64" s="943"/>
      <c r="DN64" s="948"/>
      <c r="DO64" s="944"/>
      <c r="DP64" s="913"/>
      <c r="DQ64" s="914"/>
      <c r="DR64" s="946"/>
      <c r="DS64" s="942"/>
      <c r="DT64" s="942"/>
      <c r="DU64" s="954">
        <f t="shared" si="64"/>
        <v>0</v>
      </c>
      <c r="DV64" s="905"/>
      <c r="DW64" s="904">
        <f t="shared" si="67"/>
        <v>0</v>
      </c>
      <c r="DX64" s="1195" t="str">
        <f>_xlfn.XLOOKUP(K64,Cement!$Q$7:$Q$35,Cement!$AR$7:$AR$35,"")</f>
        <v/>
      </c>
      <c r="DY64" s="966"/>
      <c r="DZ64" s="966"/>
      <c r="EA64" s="367"/>
      <c r="EB64" s="176" t="e">
        <f>SUMIF('[1]9-1404.12.03'!$B$2:$B$2000,$J64,'[1]9-1404.12.03'!$L$2:$L$2000)</f>
        <v>#VALUE!</v>
      </c>
      <c r="EC64" s="176" t="e">
        <f>SUMIF('[1]9-1404.12.03'!$B$2:$B$2000,$J64,'[1]9-1404.12.03'!$E$2:$E$2000)/10</f>
        <v>#VALUE!</v>
      </c>
      <c r="ED64" s="177" t="str">
        <f t="shared" si="65"/>
        <v/>
      </c>
      <c r="EE64" s="176" t="e">
        <f>SUMIF('[1]8B-1404.12.02'!$D$2:$D$3000,$J64,'[1]8B-1404.12.02'!$M$2:$M$3000)</f>
        <v>#VALUE!</v>
      </c>
      <c r="EF64" s="176" t="e">
        <f>SUMIF('[1]8B-1404.12.02'!$D$2:$D$3000,$J64,'[1]8B-1404.12.02'!$G$2:$G$3000)/10</f>
        <v>#VALUE!</v>
      </c>
      <c r="EG64" s="177" t="str">
        <f t="shared" si="66"/>
        <v/>
      </c>
      <c r="EH64" s="1502"/>
      <c r="EI64" s="1534">
        <f>SUMIF(Cem_Export!$C$2:$C$3000,$J64,Cem_Export!$I$2:$I$3000)</f>
        <v>11200</v>
      </c>
      <c r="EJ64" s="1534">
        <f>SUMIFS(Cem_Export!$J$2:$J$3000,Cem_Export!$C$2:$C$3000,$J64,Cem_Export!$L$2:$L$3000, $EJ$4)</f>
        <v>58800</v>
      </c>
      <c r="EK64" s="1534">
        <f>SUMIFS(Cem_Export!$J$2:$J$3000,Cem_Export!$C$2:$C$3000,$J64,Cem_Export!$L$2:$L$3000, $EK$4)</f>
        <v>605470000000</v>
      </c>
      <c r="EL64" s="1682">
        <f t="shared" si="68"/>
        <v>43.864158163265309</v>
      </c>
      <c r="EM64" s="1836">
        <f t="shared" si="69"/>
        <v>68.778999999999996</v>
      </c>
      <c r="EN64" s="1562"/>
      <c r="EO64" s="1625">
        <f>SUMIF('Cem-Domestic'!$D$2:$D$4000,$J64,'Cem-Domestic'!$M$2:$M$4000)</f>
        <v>6400</v>
      </c>
      <c r="EP64" s="1625">
        <f>SUMIF('Cem-Domestic'!$D$2:$D$4000,$J64,'Cem-Domestic'!$G$2:$G$4000)/10^7</f>
        <v>21.744507500000001</v>
      </c>
      <c r="EQ64" s="1681">
        <f t="shared" si="70"/>
        <v>3397.5792968750002</v>
      </c>
      <c r="ER64" s="1562"/>
      <c r="ES64" s="1533">
        <v>5450</v>
      </c>
      <c r="ET64" s="1534">
        <v>228900</v>
      </c>
      <c r="EU64" s="1535">
        <v>42</v>
      </c>
      <c r="EV64" s="1533">
        <v>2950</v>
      </c>
      <c r="EW64" s="1534">
        <v>122450</v>
      </c>
      <c r="EX64" s="1535">
        <v>41.508474576271183</v>
      </c>
      <c r="EY64" s="1533">
        <v>5250</v>
      </c>
      <c r="EZ64" s="1534">
        <v>220500</v>
      </c>
      <c r="FA64" s="1535">
        <v>42</v>
      </c>
      <c r="FB64" s="1533">
        <v>3750</v>
      </c>
      <c r="FC64" s="1534">
        <v>159200</v>
      </c>
      <c r="FD64" s="1535">
        <v>42.453333333333333</v>
      </c>
      <c r="FE64" s="1533">
        <v>4650</v>
      </c>
      <c r="FF64" s="1534">
        <v>195300</v>
      </c>
      <c r="FG64" s="1535">
        <v>42</v>
      </c>
    </row>
    <row r="65" spans="1:163" ht="22">
      <c r="A65" s="977"/>
      <c r="B65" s="977"/>
      <c r="C65" s="977"/>
      <c r="D65" s="971"/>
      <c r="E65" s="971"/>
      <c r="F65" s="971"/>
      <c r="G65" s="988"/>
      <c r="H65" s="175"/>
      <c r="I65" s="194"/>
      <c r="J65" s="204" t="s">
        <v>959</v>
      </c>
      <c r="K65" s="65"/>
      <c r="L65" s="65"/>
      <c r="M65" s="65"/>
      <c r="N65" s="208"/>
      <c r="O65" s="208"/>
      <c r="P65" s="1468"/>
      <c r="Q65" s="1468"/>
      <c r="R65" s="1475"/>
      <c r="S65" s="1475"/>
      <c r="T65" s="1481"/>
      <c r="U65" s="1481"/>
      <c r="V65" s="207"/>
      <c r="W65" s="207"/>
      <c r="X65" s="934">
        <v>1000000</v>
      </c>
      <c r="Y65" s="1911"/>
      <c r="Z65" s="1567"/>
      <c r="AA65" s="1548"/>
      <c r="AB65" s="998"/>
      <c r="AC65" s="997"/>
      <c r="AD65" s="996"/>
      <c r="AE65" s="1365"/>
      <c r="AF65" s="1567">
        <v>124.304109</v>
      </c>
      <c r="AG65" s="1548">
        <v>1543128</v>
      </c>
      <c r="AH65" s="998"/>
      <c r="AI65" s="885"/>
      <c r="AJ65" s="883"/>
      <c r="AK65" s="1365"/>
      <c r="AL65" s="1567">
        <v>161.64174249999999</v>
      </c>
      <c r="AM65" s="1548">
        <v>1727200</v>
      </c>
      <c r="AN65" s="998"/>
      <c r="AO65" s="885"/>
      <c r="AP65" s="883"/>
      <c r="AQ65" s="1365"/>
      <c r="AR65" s="1567"/>
      <c r="AS65" s="1548"/>
      <c r="AT65" s="884"/>
      <c r="AU65" s="885"/>
      <c r="AV65" s="883"/>
      <c r="AW65" s="884"/>
      <c r="AX65" s="1567">
        <v>103.73222850000001</v>
      </c>
      <c r="AY65" s="1548">
        <v>31.200000000000003</v>
      </c>
      <c r="AZ65" s="1138"/>
      <c r="BA65" s="885"/>
      <c r="BB65" s="883"/>
      <c r="BC65" s="884"/>
      <c r="BD65" s="1567"/>
      <c r="BE65" s="1548"/>
      <c r="BF65" s="884"/>
      <c r="BG65" s="885"/>
      <c r="BH65" s="883"/>
      <c r="BI65" s="884"/>
      <c r="BJ65" s="2102"/>
      <c r="BK65" s="2102"/>
      <c r="BL65" s="2102"/>
      <c r="BM65" s="884"/>
      <c r="BN65" s="1567"/>
      <c r="BO65" s="1548"/>
      <c r="BP65" s="1365"/>
      <c r="BQ65" s="997"/>
      <c r="BR65" s="996"/>
      <c r="BS65" s="1365"/>
      <c r="BT65" s="1567"/>
      <c r="BU65" s="1548"/>
      <c r="BV65" s="1365"/>
      <c r="BW65" s="997"/>
      <c r="BX65" s="996"/>
      <c r="BY65" s="1365"/>
      <c r="BZ65" s="1365"/>
      <c r="CA65" s="1365"/>
      <c r="CB65" s="1992">
        <f t="shared" si="60"/>
        <v>412.19602600000002</v>
      </c>
      <c r="CC65" s="1365"/>
      <c r="CD65" s="1996">
        <v>194.04000000000002</v>
      </c>
      <c r="CE65" s="997"/>
      <c r="CF65" s="1981">
        <v>218.156026</v>
      </c>
      <c r="CG65" s="996"/>
      <c r="CH65" s="1365"/>
      <c r="CI65" s="2102"/>
      <c r="CJ65" s="2102"/>
      <c r="CK65" s="2102"/>
      <c r="CL65" s="1365"/>
      <c r="CM65" s="1365"/>
      <c r="CN65" s="1365"/>
      <c r="CO65" s="1992">
        <f t="shared" si="61"/>
        <v>269.25095750000003</v>
      </c>
      <c r="CP65" s="1365"/>
      <c r="CQ65" s="1996">
        <v>188.16</v>
      </c>
      <c r="CR65" s="997"/>
      <c r="CS65" s="1981">
        <v>81.090957500000002</v>
      </c>
      <c r="CT65" s="996"/>
      <c r="CU65" s="884"/>
      <c r="CV65" s="1365"/>
      <c r="CW65" s="1365"/>
      <c r="CX65" s="1992">
        <f t="shared" si="62"/>
        <v>205.59337450000001</v>
      </c>
      <c r="CY65" s="1365"/>
      <c r="CZ65" s="1996">
        <f t="shared" si="55"/>
        <v>120.54</v>
      </c>
      <c r="DA65" s="997"/>
      <c r="DB65" s="1981">
        <f t="shared" si="56"/>
        <v>85.053374500000004</v>
      </c>
      <c r="DC65" s="996">
        <f t="shared" si="63"/>
        <v>85.053374500000004</v>
      </c>
      <c r="DD65" s="884"/>
      <c r="DE65" s="1567"/>
      <c r="DF65" s="1548"/>
      <c r="DG65" s="884"/>
      <c r="DH65" s="885"/>
      <c r="DI65" s="883"/>
      <c r="DJ65" s="367"/>
      <c r="DK65" s="1201"/>
      <c r="DL65" s="945"/>
      <c r="DM65" s="943"/>
      <c r="DN65" s="948"/>
      <c r="DO65" s="944"/>
      <c r="DP65" s="913"/>
      <c r="DQ65" s="914"/>
      <c r="DR65" s="946"/>
      <c r="DS65" s="942"/>
      <c r="DT65" s="942"/>
      <c r="DU65" s="954">
        <f t="shared" si="64"/>
        <v>0</v>
      </c>
      <c r="DV65" s="905"/>
      <c r="DW65" s="904">
        <f t="shared" si="67"/>
        <v>0</v>
      </c>
      <c r="DX65" s="1195" t="str">
        <f>_xlfn.XLOOKUP(K65,Cement!$Q$7:$Q$35,Cement!$AR$7:$AR$35,"")</f>
        <v/>
      </c>
      <c r="DY65" s="966"/>
      <c r="DZ65" s="966"/>
      <c r="EA65" s="367"/>
      <c r="EB65" s="176" t="e">
        <f>SUMIF('[1]9-1404.12.03'!$B$2:$B$2000,$J65,'[1]9-1404.12.03'!$L$2:$L$2000)</f>
        <v>#VALUE!</v>
      </c>
      <c r="EC65" s="176" t="e">
        <f>SUMIF('[1]9-1404.12.03'!$B$2:$B$2000,$J65,'[1]9-1404.12.03'!$E$2:$E$2000)/10</f>
        <v>#VALUE!</v>
      </c>
      <c r="ED65" s="177" t="str">
        <f t="shared" si="65"/>
        <v/>
      </c>
      <c r="EE65" s="176" t="e">
        <f>SUMIF('[1]8B-1404.12.02'!$D$2:$D$3000,$J65,'[1]8B-1404.12.02'!$M$2:$M$3000)</f>
        <v>#VALUE!</v>
      </c>
      <c r="EF65" s="176" t="e">
        <f>SUMIF('[1]8B-1404.12.02'!$D$2:$D$3000,$J65,'[1]8B-1404.12.02'!$G$2:$G$3000)/10</f>
        <v>#VALUE!</v>
      </c>
      <c r="EG65" s="177" t="str">
        <f t="shared" si="66"/>
        <v/>
      </c>
      <c r="EH65" s="1502"/>
      <c r="EI65" s="1534">
        <f>SUMIF(Cem_Export!$C$2:$C$3000,$J65,Cem_Export!$I$2:$I$3000)</f>
        <v>20500</v>
      </c>
      <c r="EJ65" s="1534">
        <f>SUMIFS(Cem_Export!$J$2:$J$3000,Cem_Export!$C$2:$C$3000,$J65,Cem_Export!$L$2:$L$3000, $EJ$4)</f>
        <v>861000</v>
      </c>
      <c r="EK65" s="1534">
        <f>SUMIFS(Cem_Export!$J$2:$J$3000,Cem_Export!$C$2:$C$3000,$J65,Cem_Export!$L$2:$L$3000, $EK$4)</f>
        <v>0</v>
      </c>
      <c r="EL65" s="1682">
        <f t="shared" si="68"/>
        <v>42</v>
      </c>
      <c r="EM65" s="1836">
        <f t="shared" si="69"/>
        <v>120.54</v>
      </c>
      <c r="EN65" s="1562"/>
      <c r="EO65" s="1625">
        <f>SUMIF('Cem-Domestic'!$D$2:$D$4000,$J65,'Cem-Domestic'!$M$2:$M$4000)</f>
        <v>28545</v>
      </c>
      <c r="EP65" s="1625">
        <f>SUMIF('Cem-Domestic'!$D$2:$D$4000,$J65,'Cem-Domestic'!$G$2:$G$4000)/10^7</f>
        <v>85.053374500000004</v>
      </c>
      <c r="EQ65" s="1681">
        <f t="shared" si="70"/>
        <v>2979.624259940445</v>
      </c>
      <c r="ER65" s="1562"/>
      <c r="ES65" s="1533">
        <v>1716</v>
      </c>
      <c r="ET65" s="1534">
        <v>75504</v>
      </c>
      <c r="EU65" s="1535">
        <v>44</v>
      </c>
      <c r="EV65" s="1533">
        <v>1712</v>
      </c>
      <c r="EW65" s="1534">
        <v>71328</v>
      </c>
      <c r="EX65" s="1535">
        <v>41.663551401869157</v>
      </c>
      <c r="EY65" s="1533">
        <v>18200</v>
      </c>
      <c r="EZ65" s="1534">
        <v>766800</v>
      </c>
      <c r="FA65" s="1535">
        <v>42.131868131868131</v>
      </c>
      <c r="FB65" s="1533">
        <v>8000</v>
      </c>
      <c r="FC65" s="1534">
        <v>338000</v>
      </c>
      <c r="FD65" s="1535">
        <v>42.25</v>
      </c>
      <c r="FE65" s="1533">
        <v>9500</v>
      </c>
      <c r="FF65" s="1534">
        <v>409000</v>
      </c>
      <c r="FG65" s="1535">
        <v>43.05263157894737</v>
      </c>
    </row>
    <row r="66" spans="1:163" ht="22">
      <c r="A66" s="977"/>
      <c r="B66" s="977"/>
      <c r="C66" s="977"/>
      <c r="D66" s="971"/>
      <c r="E66" s="971"/>
      <c r="F66" s="971"/>
      <c r="G66" s="988"/>
      <c r="H66" s="175"/>
      <c r="I66" s="194" t="str">
        <f>_xlfn.XLOOKUP(K66,Cement!$Q$7:$Q$35,Cement!$A$7:$A$35,"")</f>
        <v/>
      </c>
      <c r="J66" s="423" t="s">
        <v>960</v>
      </c>
      <c r="K66" s="424" t="s">
        <v>961</v>
      </c>
      <c r="L66" s="424"/>
      <c r="M66" s="424"/>
      <c r="N66" s="208"/>
      <c r="O66" s="208"/>
      <c r="P66" s="1469"/>
      <c r="Q66" s="1469"/>
      <c r="R66" s="1476"/>
      <c r="S66" s="1476"/>
      <c r="T66" s="1482"/>
      <c r="U66" s="1482"/>
      <c r="V66" s="1087"/>
      <c r="W66" s="1087"/>
      <c r="X66" s="934">
        <v>1000000</v>
      </c>
      <c r="Y66" s="1911"/>
      <c r="Z66" s="1567"/>
      <c r="AA66" s="1548"/>
      <c r="AB66" s="998"/>
      <c r="AC66" s="997"/>
      <c r="AD66" s="996"/>
      <c r="AE66" s="1365"/>
      <c r="AF66" s="1567">
        <v>48.08381</v>
      </c>
      <c r="AG66" s="1548">
        <v>352000</v>
      </c>
      <c r="AH66" s="998"/>
      <c r="AI66" s="885"/>
      <c r="AJ66" s="883"/>
      <c r="AK66" s="1365"/>
      <c r="AL66" s="1567">
        <v>70.784537999999998</v>
      </c>
      <c r="AM66" s="1548">
        <v>164000</v>
      </c>
      <c r="AN66" s="998"/>
      <c r="AO66" s="885"/>
      <c r="AP66" s="883"/>
      <c r="AQ66" s="1365"/>
      <c r="AR66" s="1567"/>
      <c r="AS66" s="1548"/>
      <c r="AT66" s="884"/>
      <c r="AU66" s="885"/>
      <c r="AV66" s="883"/>
      <c r="AW66" s="884"/>
      <c r="AX66" s="1567">
        <v>70.607994000000005</v>
      </c>
      <c r="AY66" s="1548">
        <v>91.389099999999999</v>
      </c>
      <c r="AZ66" s="1138"/>
      <c r="BA66" s="885"/>
      <c r="BB66" s="883"/>
      <c r="BC66" s="884"/>
      <c r="BD66" s="1567"/>
      <c r="BE66" s="1548"/>
      <c r="BF66" s="884"/>
      <c r="BG66" s="885"/>
      <c r="BH66" s="883"/>
      <c r="BI66" s="884"/>
      <c r="BJ66" s="2102"/>
      <c r="BK66" s="2102"/>
      <c r="BL66" s="2102"/>
      <c r="BM66" s="884"/>
      <c r="BN66" s="1567"/>
      <c r="BO66" s="1548"/>
      <c r="BP66" s="1365"/>
      <c r="BQ66" s="997"/>
      <c r="BR66" s="996"/>
      <c r="BS66" s="1365"/>
      <c r="BT66" s="1567"/>
      <c r="BU66" s="1548"/>
      <c r="BV66" s="1365"/>
      <c r="BW66" s="997"/>
      <c r="BX66" s="996"/>
      <c r="BY66" s="1365"/>
      <c r="BZ66" s="1365"/>
      <c r="CA66" s="1365"/>
      <c r="CB66" s="1992">
        <f t="shared" si="60"/>
        <v>111.921014</v>
      </c>
      <c r="CC66" s="1365"/>
      <c r="CD66" s="1996">
        <v>29.26</v>
      </c>
      <c r="CE66" s="997"/>
      <c r="CF66" s="1981">
        <v>82.661013999999994</v>
      </c>
      <c r="CG66" s="996"/>
      <c r="CH66" s="1365"/>
      <c r="CI66" s="2102"/>
      <c r="CJ66" s="2102"/>
      <c r="CK66" s="2102"/>
      <c r="CL66" s="1365"/>
      <c r="CM66" s="1365"/>
      <c r="CN66" s="1365"/>
      <c r="CO66" s="1992">
        <f t="shared" si="61"/>
        <v>89.767760999999993</v>
      </c>
      <c r="CP66" s="1365"/>
      <c r="CQ66" s="1996">
        <v>78.44</v>
      </c>
      <c r="CR66" s="997"/>
      <c r="CS66" s="1981">
        <v>11.327761000000001</v>
      </c>
      <c r="CT66" s="996"/>
      <c r="CU66" s="884"/>
      <c r="CV66" s="1365"/>
      <c r="CW66" s="1365"/>
      <c r="CX66" s="1992">
        <f t="shared" si="62"/>
        <v>118.64451</v>
      </c>
      <c r="CY66" s="1365"/>
      <c r="CZ66" s="1996">
        <f t="shared" si="55"/>
        <v>59.188500000000005</v>
      </c>
      <c r="DA66" s="997"/>
      <c r="DB66" s="1981">
        <f t="shared" si="56"/>
        <v>59.456009999999999</v>
      </c>
      <c r="DC66" s="996">
        <f t="shared" si="63"/>
        <v>59.456009999999999</v>
      </c>
      <c r="DD66" s="884"/>
      <c r="DE66" s="1567"/>
      <c r="DF66" s="1548"/>
      <c r="DG66" s="884"/>
      <c r="DH66" s="885"/>
      <c r="DI66" s="883"/>
      <c r="DJ66" s="367"/>
      <c r="DK66" s="1201"/>
      <c r="DL66" s="945"/>
      <c r="DM66" s="943"/>
      <c r="DN66" s="948"/>
      <c r="DO66" s="944"/>
      <c r="DP66" s="913"/>
      <c r="DQ66" s="914"/>
      <c r="DR66" s="946"/>
      <c r="DS66" s="942"/>
      <c r="DT66" s="942"/>
      <c r="DU66" s="954">
        <f t="shared" si="64"/>
        <v>0</v>
      </c>
      <c r="DV66" s="905"/>
      <c r="DW66" s="904">
        <f t="shared" si="67"/>
        <v>0</v>
      </c>
      <c r="DX66" s="1195" t="str">
        <f>_xlfn.XLOOKUP(K66,Cement!$Q$7:$Q$35,Cement!$AR$7:$AR$35,"")</f>
        <v/>
      </c>
      <c r="DY66" s="966"/>
      <c r="DZ66" s="966"/>
      <c r="EA66" s="367"/>
      <c r="EB66" s="176" t="e">
        <f>SUMIF('[1]9-1404.12.03'!$B$2:$B$2000,$J66,'[1]9-1404.12.03'!$L$2:$L$2000)</f>
        <v>#VALUE!</v>
      </c>
      <c r="EC66" s="176" t="e">
        <f>SUMIF('[1]9-1404.12.03'!$B$2:$B$2000,$J66,'[1]9-1404.12.03'!$E$2:$E$2000)/10</f>
        <v>#VALUE!</v>
      </c>
      <c r="ED66" s="177" t="str">
        <f t="shared" si="65"/>
        <v/>
      </c>
      <c r="EE66" s="176" t="e">
        <f>SUMIF('[1]8B-1404.12.02'!$D$2:$D$3000,$J66,'[1]8B-1404.12.02'!$M$2:$M$3000)</f>
        <v>#VALUE!</v>
      </c>
      <c r="EF66" s="176" t="e">
        <f>SUMIF('[1]8B-1404.12.02'!$D$2:$D$3000,$J66,'[1]8B-1404.12.02'!$G$2:$G$3000)/10</f>
        <v>#VALUE!</v>
      </c>
      <c r="EG66" s="177" t="str">
        <f t="shared" si="66"/>
        <v/>
      </c>
      <c r="EH66" s="1502"/>
      <c r="EI66" s="1534">
        <f>SUMIF(Cem_Export!$C$2:$C$3000,$J66,Cem_Export!$I$2:$I$3000)</f>
        <v>8500</v>
      </c>
      <c r="EJ66" s="1534">
        <f>SUMIFS(Cem_Export!$J$2:$J$3000,Cem_Export!$C$2:$C$3000,$J66,Cem_Export!$L$2:$L$3000, $EJ$4)</f>
        <v>401000</v>
      </c>
      <c r="EK66" s="1534">
        <f>SUMIFS(Cem_Export!$J$2:$J$3000,Cem_Export!$C$2:$C$3000,$J66,Cem_Export!$L$2:$L$3000, $EK$4)</f>
        <v>30485000000</v>
      </c>
      <c r="EL66" s="1682">
        <f t="shared" si="68"/>
        <v>49.738235294117644</v>
      </c>
      <c r="EM66" s="1836">
        <f t="shared" si="69"/>
        <v>59.188500000000005</v>
      </c>
      <c r="EN66" s="1562"/>
      <c r="EO66" s="1625">
        <f>SUMIF('Cem-Domestic'!$D$2:$D$4000,$J66,'Cem-Domestic'!$M$2:$M$4000)</f>
        <v>17200</v>
      </c>
      <c r="EP66" s="1625">
        <f>SUMIF('Cem-Domestic'!$D$2:$D$4000,$J66,'Cem-Domestic'!$G$2:$G$4000)/10^7</f>
        <v>59.456009999999999</v>
      </c>
      <c r="EQ66" s="1681">
        <f t="shared" si="70"/>
        <v>3456.7447674418604</v>
      </c>
      <c r="ER66" s="1562"/>
      <c r="ES66" s="1533">
        <v>1800</v>
      </c>
      <c r="ET66" s="1534">
        <v>75600</v>
      </c>
      <c r="EU66" s="1535">
        <v>42</v>
      </c>
      <c r="EV66" s="1533">
        <v>1000</v>
      </c>
      <c r="EW66" s="1534">
        <v>40000</v>
      </c>
      <c r="EX66" s="1535">
        <v>40</v>
      </c>
      <c r="EY66" s="1533">
        <v>2500</v>
      </c>
      <c r="EZ66" s="1534">
        <v>104000</v>
      </c>
      <c r="FA66" s="1535">
        <v>41.6</v>
      </c>
      <c r="FB66" s="1533">
        <v>0</v>
      </c>
      <c r="FC66" s="1534">
        <v>0</v>
      </c>
      <c r="FD66" s="1535" t="s">
        <v>192</v>
      </c>
      <c r="FE66" s="1533">
        <v>5000</v>
      </c>
      <c r="FF66" s="1534">
        <v>208000</v>
      </c>
      <c r="FG66" s="1535">
        <v>41.6</v>
      </c>
    </row>
    <row r="67" spans="1:163" ht="22">
      <c r="A67" s="977"/>
      <c r="B67" s="977"/>
      <c r="C67" s="977"/>
      <c r="D67" s="971"/>
      <c r="E67" s="971"/>
      <c r="F67" s="971"/>
      <c r="G67" s="988"/>
      <c r="H67" s="175"/>
      <c r="I67" s="194"/>
      <c r="J67" s="227" t="s">
        <v>962</v>
      </c>
      <c r="K67" s="65"/>
      <c r="L67" s="65"/>
      <c r="M67" s="65"/>
      <c r="N67" s="208"/>
      <c r="O67" s="208"/>
      <c r="P67" s="1468"/>
      <c r="Q67" s="1468"/>
      <c r="R67" s="1475"/>
      <c r="S67" s="1475"/>
      <c r="T67" s="1481"/>
      <c r="U67" s="1481"/>
      <c r="V67" s="207"/>
      <c r="W67" s="207"/>
      <c r="X67" s="934">
        <v>1000000</v>
      </c>
      <c r="Y67" s="1911"/>
      <c r="Z67" s="1567"/>
      <c r="AA67" s="1548"/>
      <c r="AB67" s="998"/>
      <c r="AC67" s="997"/>
      <c r="AD67" s="996"/>
      <c r="AE67" s="1365"/>
      <c r="AF67" s="1567">
        <v>42.031337399999998</v>
      </c>
      <c r="AG67" s="1548">
        <v>210756</v>
      </c>
      <c r="AH67" s="998"/>
      <c r="AI67" s="885"/>
      <c r="AJ67" s="883"/>
      <c r="AK67" s="1365"/>
      <c r="AL67" s="1567">
        <v>73.815000999999995</v>
      </c>
      <c r="AM67" s="1548">
        <v>0</v>
      </c>
      <c r="AN67" s="998"/>
      <c r="AO67" s="885"/>
      <c r="AP67" s="883"/>
      <c r="AQ67" s="1365"/>
      <c r="AR67" s="1567"/>
      <c r="AS67" s="1548"/>
      <c r="AT67" s="884"/>
      <c r="AU67" s="885"/>
      <c r="AV67" s="883"/>
      <c r="AW67" s="884"/>
      <c r="AX67" s="1567">
        <v>57.450205799999999</v>
      </c>
      <c r="AY67" s="1548">
        <v>63.405576000000003</v>
      </c>
      <c r="AZ67" s="1138"/>
      <c r="BA67" s="885"/>
      <c r="BB67" s="883"/>
      <c r="BC67" s="884"/>
      <c r="BD67" s="1567"/>
      <c r="BE67" s="1548"/>
      <c r="BF67" s="884"/>
      <c r="BG67" s="885"/>
      <c r="BH67" s="883"/>
      <c r="BI67" s="884"/>
      <c r="BJ67" s="2102"/>
      <c r="BK67" s="2102"/>
      <c r="BL67" s="2102"/>
      <c r="BM67" s="884"/>
      <c r="BN67" s="1567"/>
      <c r="BO67" s="1548"/>
      <c r="BP67" s="1365"/>
      <c r="BQ67" s="997"/>
      <c r="BR67" s="996"/>
      <c r="BS67" s="1365"/>
      <c r="BT67" s="1567"/>
      <c r="BU67" s="1548"/>
      <c r="BV67" s="1365"/>
      <c r="BW67" s="997"/>
      <c r="BX67" s="996"/>
      <c r="BY67" s="1365"/>
      <c r="BZ67" s="1365"/>
      <c r="CA67" s="1365"/>
      <c r="CB67" s="1992">
        <f t="shared" si="60"/>
        <v>195.85456019999998</v>
      </c>
      <c r="CC67" s="1365"/>
      <c r="CD67" s="1996">
        <v>93.520465999999999</v>
      </c>
      <c r="CE67" s="997"/>
      <c r="CF67" s="1981">
        <v>102.3340942</v>
      </c>
      <c r="CG67" s="996"/>
      <c r="CH67" s="1365"/>
      <c r="CI67" s="2102"/>
      <c r="CJ67" s="2102"/>
      <c r="CK67" s="2102"/>
      <c r="CL67" s="1365"/>
      <c r="CM67" s="1365"/>
      <c r="CN67" s="1365"/>
      <c r="CO67" s="1992">
        <f t="shared" si="61"/>
        <v>130.10773599999999</v>
      </c>
      <c r="CP67" s="1365"/>
      <c r="CQ67" s="1996">
        <v>97.592370000000003</v>
      </c>
      <c r="CR67" s="997"/>
      <c r="CS67" s="1981">
        <v>32.515366</v>
      </c>
      <c r="CT67" s="996"/>
      <c r="CU67" s="884"/>
      <c r="CV67" s="1365"/>
      <c r="CW67" s="1365"/>
      <c r="CX67" s="1992">
        <f t="shared" si="62"/>
        <v>68.058264199999996</v>
      </c>
      <c r="CY67" s="1365"/>
      <c r="CZ67" s="1996">
        <f t="shared" si="55"/>
        <v>31.918121200000002</v>
      </c>
      <c r="DA67" s="997"/>
      <c r="DB67" s="1981">
        <f t="shared" si="56"/>
        <v>36.140143000000002</v>
      </c>
      <c r="DC67" s="996">
        <f t="shared" si="63"/>
        <v>36.140143000000002</v>
      </c>
      <c r="DD67" s="884"/>
      <c r="DE67" s="1567"/>
      <c r="DF67" s="1548"/>
      <c r="DG67" s="884"/>
      <c r="DH67" s="885"/>
      <c r="DI67" s="883"/>
      <c r="DJ67" s="367"/>
      <c r="DK67" s="1201"/>
      <c r="DL67" s="945"/>
      <c r="DM67" s="943"/>
      <c r="DN67" s="948"/>
      <c r="DO67" s="944"/>
      <c r="DP67" s="913"/>
      <c r="DQ67" s="914"/>
      <c r="DR67" s="946"/>
      <c r="DS67" s="942"/>
      <c r="DT67" s="942"/>
      <c r="DU67" s="954">
        <f t="shared" si="64"/>
        <v>0</v>
      </c>
      <c r="DV67" s="905"/>
      <c r="DW67" s="904">
        <f t="shared" si="67"/>
        <v>0</v>
      </c>
      <c r="DX67" s="1195" t="str">
        <f>_xlfn.XLOOKUP(K67,Cement!$Q$7:$Q$35,Cement!$AR$7:$AR$35,"")</f>
        <v/>
      </c>
      <c r="DY67" s="966"/>
      <c r="DZ67" s="966"/>
      <c r="EA67" s="367"/>
      <c r="EB67" s="176" t="e">
        <f>SUMIF('[1]9-1404.12.03'!$B$2:$B$2000,$J67,'[1]9-1404.12.03'!$L$2:$L$2000)</f>
        <v>#VALUE!</v>
      </c>
      <c r="EC67" s="176" t="e">
        <f>SUMIF('[1]9-1404.12.03'!$B$2:$B$2000,$J67,'[1]9-1404.12.03'!$E$2:$E$2000)/10</f>
        <v>#VALUE!</v>
      </c>
      <c r="ED67" s="177" t="str">
        <f t="shared" si="65"/>
        <v/>
      </c>
      <c r="EE67" s="176" t="e">
        <f>SUMIF('[1]8B-1404.12.02'!$D$2:$D$3000,$J67,'[1]8B-1404.12.02'!$M$2:$M$3000)</f>
        <v>#VALUE!</v>
      </c>
      <c r="EF67" s="176" t="e">
        <f>SUMIF('[1]8B-1404.12.02'!$D$2:$D$3000,$J67,'[1]8B-1404.12.02'!$G$2:$G$3000)/10</f>
        <v>#VALUE!</v>
      </c>
      <c r="EG67" s="177" t="str">
        <f t="shared" si="66"/>
        <v/>
      </c>
      <c r="EH67" s="1502"/>
      <c r="EI67" s="1534">
        <f>SUMIF(Cem_Export!$C$2:$C$3000,$J67,Cem_Export!$I$2:$I$3000)</f>
        <v>5014</v>
      </c>
      <c r="EJ67" s="1534">
        <f>SUMIFS(Cem_Export!$J$2:$J$3000,Cem_Export!$C$2:$C$3000,$J67,Cem_Export!$L$2:$L$3000, $EJ$4)</f>
        <v>0</v>
      </c>
      <c r="EK67" s="1534">
        <f>SUMIFS(Cem_Export!$J$2:$J$3000,Cem_Export!$C$2:$C$3000,$J67,Cem_Export!$L$2:$L$3000, $EK$4)</f>
        <v>319181212000</v>
      </c>
      <c r="EL67" s="1682">
        <f t="shared" si="68"/>
        <v>45.470000000000006</v>
      </c>
      <c r="EM67" s="1836">
        <f t="shared" si="69"/>
        <v>31.918121200000002</v>
      </c>
      <c r="EN67" s="1562"/>
      <c r="EO67" s="1625">
        <f>SUMIF('Cem-Domestic'!$D$2:$D$4000,$J67,'Cem-Domestic'!$M$2:$M$4000)</f>
        <v>13988</v>
      </c>
      <c r="EP67" s="1625">
        <f>SUMIF('Cem-Domestic'!$D$2:$D$4000,$J67,'Cem-Domestic'!$G$2:$G$4000)/10^7</f>
        <v>36.140143000000002</v>
      </c>
      <c r="EQ67" s="1681">
        <f t="shared" si="70"/>
        <v>2583.653345724907</v>
      </c>
      <c r="ER67" s="1562"/>
      <c r="ES67" s="1533">
        <v>520</v>
      </c>
      <c r="ET67" s="1534">
        <v>21840</v>
      </c>
      <c r="EU67" s="1535">
        <v>42</v>
      </c>
      <c r="EV67" s="1533">
        <v>5018</v>
      </c>
      <c r="EW67" s="1534">
        <v>210756</v>
      </c>
      <c r="EX67" s="1535">
        <v>42</v>
      </c>
      <c r="EY67" s="1533">
        <v>0</v>
      </c>
      <c r="EZ67" s="1534">
        <v>0</v>
      </c>
      <c r="FA67" s="1535" t="s">
        <v>192</v>
      </c>
      <c r="FB67" s="1533">
        <v>0</v>
      </c>
      <c r="FC67" s="1534">
        <v>0</v>
      </c>
      <c r="FD67" s="1535" t="s">
        <v>192</v>
      </c>
      <c r="FE67" s="1533">
        <v>0</v>
      </c>
      <c r="FF67" s="1534">
        <v>0</v>
      </c>
      <c r="FG67" s="1535" t="s">
        <v>192</v>
      </c>
    </row>
    <row r="68" spans="1:163" ht="22">
      <c r="A68" s="977"/>
      <c r="B68" s="977"/>
      <c r="C68" s="977"/>
      <c r="D68" s="971"/>
      <c r="E68" s="971"/>
      <c r="F68" s="971"/>
      <c r="G68" s="988"/>
      <c r="H68" s="175"/>
      <c r="I68" s="194"/>
      <c r="J68" s="423" t="s">
        <v>963</v>
      </c>
      <c r="K68" s="424" t="s">
        <v>964</v>
      </c>
      <c r="L68" s="424"/>
      <c r="M68" s="424"/>
      <c r="N68" s="208"/>
      <c r="O68" s="208"/>
      <c r="P68" s="1469"/>
      <c r="Q68" s="1469"/>
      <c r="R68" s="1476"/>
      <c r="S68" s="1476"/>
      <c r="T68" s="1482"/>
      <c r="U68" s="1482"/>
      <c r="V68" s="1087"/>
      <c r="W68" s="1087"/>
      <c r="X68" s="934">
        <v>1700000</v>
      </c>
      <c r="Y68" s="1911"/>
      <c r="Z68" s="1567"/>
      <c r="AA68" s="1548"/>
      <c r="AB68" s="998"/>
      <c r="AC68" s="997"/>
      <c r="AD68" s="996"/>
      <c r="AE68" s="1365"/>
      <c r="AF68" s="1567">
        <v>113.03052</v>
      </c>
      <c r="AG68" s="1548">
        <v>0</v>
      </c>
      <c r="AH68" s="998"/>
      <c r="AI68" s="885"/>
      <c r="AJ68" s="883"/>
      <c r="AK68" s="1365"/>
      <c r="AL68" s="1567">
        <v>109.3219175</v>
      </c>
      <c r="AM68" s="1548">
        <v>132000</v>
      </c>
      <c r="AN68" s="998"/>
      <c r="AO68" s="885"/>
      <c r="AP68" s="883"/>
      <c r="AQ68" s="1365"/>
      <c r="AR68" s="1567"/>
      <c r="AS68" s="1548"/>
      <c r="AT68" s="884"/>
      <c r="AU68" s="885"/>
      <c r="AV68" s="883"/>
      <c r="AW68" s="884"/>
      <c r="AX68" s="1567">
        <v>100.78713500000001</v>
      </c>
      <c r="AY68" s="1548">
        <v>0</v>
      </c>
      <c r="AZ68" s="1138"/>
      <c r="BA68" s="885"/>
      <c r="BB68" s="883"/>
      <c r="BC68" s="884"/>
      <c r="BD68" s="1567"/>
      <c r="BE68" s="1548"/>
      <c r="BF68" s="884"/>
      <c r="BG68" s="885"/>
      <c r="BH68" s="883"/>
      <c r="BI68" s="884"/>
      <c r="BJ68" s="2102"/>
      <c r="BK68" s="2102"/>
      <c r="BL68" s="2102"/>
      <c r="BM68" s="884"/>
      <c r="BN68" s="1567"/>
      <c r="BO68" s="1548"/>
      <c r="BP68" s="1365"/>
      <c r="BQ68" s="997"/>
      <c r="BR68" s="996"/>
      <c r="BS68" s="1365"/>
      <c r="BT68" s="1567"/>
      <c r="BU68" s="1548"/>
      <c r="BV68" s="1365"/>
      <c r="BW68" s="997"/>
      <c r="BX68" s="996"/>
      <c r="BY68" s="1365"/>
      <c r="BZ68" s="1365"/>
      <c r="CA68" s="1365"/>
      <c r="CB68" s="1992">
        <f t="shared" si="60"/>
        <v>159.7616075</v>
      </c>
      <c r="CC68" s="1365"/>
      <c r="CD68" s="1996">
        <v>8.68</v>
      </c>
      <c r="CE68" s="997"/>
      <c r="CF68" s="1981">
        <v>151.08160749999999</v>
      </c>
      <c r="CG68" s="996"/>
      <c r="CH68" s="1365"/>
      <c r="CI68" s="2102"/>
      <c r="CJ68" s="2102"/>
      <c r="CK68" s="2102"/>
      <c r="CL68" s="1365"/>
      <c r="CM68" s="1365"/>
      <c r="CN68" s="1365"/>
      <c r="CO68" s="1992">
        <f t="shared" si="61"/>
        <v>41.235278000000001</v>
      </c>
      <c r="CP68" s="1365"/>
      <c r="CQ68" s="1996">
        <v>1.155</v>
      </c>
      <c r="CR68" s="997"/>
      <c r="CS68" s="1981">
        <v>40.080278</v>
      </c>
      <c r="CT68" s="996"/>
      <c r="CU68" s="884"/>
      <c r="CV68" s="1365"/>
      <c r="CW68" s="1365"/>
      <c r="CX68" s="1992">
        <f t="shared" si="62"/>
        <v>39.857252500000001</v>
      </c>
      <c r="CY68" s="1365"/>
      <c r="CZ68" s="1996">
        <f t="shared" si="55"/>
        <v>0</v>
      </c>
      <c r="DA68" s="997"/>
      <c r="DB68" s="1981">
        <f t="shared" si="56"/>
        <v>39.857252500000001</v>
      </c>
      <c r="DC68" s="996">
        <f t="shared" si="63"/>
        <v>39.857252500000001</v>
      </c>
      <c r="DD68" s="884"/>
      <c r="DE68" s="1567"/>
      <c r="DF68" s="1548"/>
      <c r="DG68" s="884"/>
      <c r="DH68" s="885"/>
      <c r="DI68" s="883"/>
      <c r="DJ68" s="367"/>
      <c r="DK68" s="1201"/>
      <c r="DL68" s="945"/>
      <c r="DM68" s="943"/>
      <c r="DN68" s="948"/>
      <c r="DO68" s="944"/>
      <c r="DP68" s="913"/>
      <c r="DQ68" s="914"/>
      <c r="DR68" s="946"/>
      <c r="DS68" s="942"/>
      <c r="DT68" s="942"/>
      <c r="DU68" s="954">
        <f t="shared" si="64"/>
        <v>0</v>
      </c>
      <c r="DV68" s="905"/>
      <c r="DW68" s="904">
        <f t="shared" si="67"/>
        <v>0</v>
      </c>
      <c r="DX68" s="1195" t="str">
        <f>_xlfn.XLOOKUP(K68,Cement!$Q$7:$Q$35,Cement!$AR$7:$AR$35,"")</f>
        <v/>
      </c>
      <c r="DY68" s="966"/>
      <c r="DZ68" s="966"/>
      <c r="EA68" s="367"/>
      <c r="EB68" s="176" t="e">
        <f>SUMIF('[1]9-1404.12.03'!$B$2:$B$2000,$J68,'[1]9-1404.12.03'!$L$2:$L$2000)</f>
        <v>#VALUE!</v>
      </c>
      <c r="EC68" s="176" t="e">
        <f>SUMIF('[1]9-1404.12.03'!$B$2:$B$2000,$J68,'[1]9-1404.12.03'!$E$2:$E$2000)/10</f>
        <v>#VALUE!</v>
      </c>
      <c r="ED68" s="177" t="str">
        <f t="shared" si="65"/>
        <v/>
      </c>
      <c r="EE68" s="176" t="e">
        <f>SUMIF('[1]8B-1404.12.02'!$D$2:$D$3000,$J68,'[1]8B-1404.12.02'!$M$2:$M$3000)</f>
        <v>#VALUE!</v>
      </c>
      <c r="EF68" s="176" t="e">
        <f>SUMIF('[1]8B-1404.12.02'!$D$2:$D$3000,$J68,'[1]8B-1404.12.02'!$G$2:$G$3000)/10</f>
        <v>#VALUE!</v>
      </c>
      <c r="EG68" s="177" t="str">
        <f t="shared" si="66"/>
        <v/>
      </c>
      <c r="EH68" s="1502"/>
      <c r="EI68" s="1534">
        <f>SUMIF(Cem_Export!$C$2:$C$3000,$J68,Cem_Export!$I$2:$I$3000)</f>
        <v>0</v>
      </c>
      <c r="EJ68" s="1534">
        <f>SUMIFS(Cem_Export!$J$2:$J$3000,Cem_Export!$C$2:$C$3000,$J68,Cem_Export!$L$2:$L$3000, $EJ$4)</f>
        <v>0</v>
      </c>
      <c r="EK68" s="1534">
        <f>SUMIFS(Cem_Export!$J$2:$J$3000,Cem_Export!$C$2:$C$3000,$J68,Cem_Export!$L$2:$L$3000, $EK$4)</f>
        <v>0</v>
      </c>
      <c r="EL68" s="1682" t="str">
        <f t="shared" si="68"/>
        <v/>
      </c>
      <c r="EM68" s="1836">
        <f t="shared" si="69"/>
        <v>0</v>
      </c>
      <c r="EN68" s="1562"/>
      <c r="EO68" s="1625">
        <f>SUMIF('Cem-Domestic'!$D$2:$D$4000,$J68,'Cem-Domestic'!$M$2:$M$4000)</f>
        <v>11750</v>
      </c>
      <c r="EP68" s="1625">
        <f>SUMIF('Cem-Domestic'!$D$2:$D$4000,$J68,'Cem-Domestic'!$G$2:$G$4000)/10^7</f>
        <v>39.857252500000001</v>
      </c>
      <c r="EQ68" s="1681">
        <f t="shared" si="70"/>
        <v>3392.1065957446808</v>
      </c>
      <c r="ER68" s="1562"/>
      <c r="ES68" s="1533">
        <v>0</v>
      </c>
      <c r="ET68" s="1534">
        <v>0</v>
      </c>
      <c r="EU68" s="1535" t="s">
        <v>192</v>
      </c>
      <c r="EV68" s="1533">
        <v>0</v>
      </c>
      <c r="EW68" s="1534">
        <v>0</v>
      </c>
      <c r="EX68" s="1535" t="s">
        <v>192</v>
      </c>
      <c r="EY68" s="1533">
        <v>0</v>
      </c>
      <c r="EZ68" s="1534">
        <v>0</v>
      </c>
      <c r="FA68" s="1535" t="s">
        <v>192</v>
      </c>
      <c r="FB68" s="1533">
        <v>0</v>
      </c>
      <c r="FC68" s="1534">
        <v>0</v>
      </c>
      <c r="FD68" s="1535" t="s">
        <v>192</v>
      </c>
      <c r="FE68" s="1533">
        <v>0</v>
      </c>
      <c r="FF68" s="1534">
        <v>0</v>
      </c>
      <c r="FG68" s="1535" t="s">
        <v>192</v>
      </c>
    </row>
    <row r="69" spans="1:163" ht="30" customHeight="1">
      <c r="A69" s="979"/>
      <c r="B69" s="979"/>
      <c r="C69" s="979"/>
      <c r="D69" s="973"/>
      <c r="E69" s="973"/>
      <c r="F69" s="973"/>
      <c r="G69" s="989"/>
      <c r="H69" s="537"/>
      <c r="I69" s="192"/>
      <c r="J69" s="205" t="s">
        <v>965</v>
      </c>
      <c r="K69" s="190"/>
      <c r="L69" s="65"/>
      <c r="M69" s="65"/>
      <c r="N69" s="208"/>
      <c r="O69" s="208"/>
      <c r="P69" s="1468"/>
      <c r="Q69" s="1468"/>
      <c r="R69" s="1475"/>
      <c r="S69" s="1475"/>
      <c r="T69" s="1481"/>
      <c r="U69" s="1481"/>
      <c r="V69" s="207"/>
      <c r="W69" s="207"/>
      <c r="X69" s="1215">
        <v>500000</v>
      </c>
      <c r="Y69" s="1912"/>
      <c r="Z69" s="1567"/>
      <c r="AA69" s="1548"/>
      <c r="AB69" s="998"/>
      <c r="AC69" s="997"/>
      <c r="AD69" s="996"/>
      <c r="AE69" s="1365"/>
      <c r="AF69" s="1567">
        <v>8.9651549999999993</v>
      </c>
      <c r="AG69" s="1548">
        <v>0</v>
      </c>
      <c r="AH69" s="998"/>
      <c r="AI69" s="885"/>
      <c r="AJ69" s="883"/>
      <c r="AK69" s="1365"/>
      <c r="AL69" s="1567">
        <v>13.009594999999999</v>
      </c>
      <c r="AM69" s="1548">
        <v>0</v>
      </c>
      <c r="AN69" s="998"/>
      <c r="AO69" s="885"/>
      <c r="AP69" s="883"/>
      <c r="AQ69" s="1365"/>
      <c r="AR69" s="1567"/>
      <c r="AS69" s="1548"/>
      <c r="AT69" s="884"/>
      <c r="AU69" s="885"/>
      <c r="AV69" s="883"/>
      <c r="AW69" s="884"/>
      <c r="AX69" s="1567">
        <v>11.83203</v>
      </c>
      <c r="AY69" s="1548">
        <v>0</v>
      </c>
      <c r="AZ69" s="1138"/>
      <c r="BA69" s="885"/>
      <c r="BB69" s="883"/>
      <c r="BC69" s="884"/>
      <c r="BD69" s="1567"/>
      <c r="BE69" s="1548"/>
      <c r="BF69" s="884"/>
      <c r="BG69" s="885"/>
      <c r="BH69" s="883"/>
      <c r="BI69" s="884"/>
      <c r="BJ69" s="2102"/>
      <c r="BK69" s="2102"/>
      <c r="BL69" s="2102"/>
      <c r="BM69" s="884"/>
      <c r="BN69" s="1567"/>
      <c r="BO69" s="1548"/>
      <c r="BP69" s="1365"/>
      <c r="BQ69" s="997"/>
      <c r="BR69" s="996"/>
      <c r="BS69" s="1365"/>
      <c r="BT69" s="1567"/>
      <c r="BU69" s="1548"/>
      <c r="BV69" s="1365"/>
      <c r="BW69" s="997"/>
      <c r="BX69" s="996"/>
      <c r="BY69" s="1365"/>
      <c r="BZ69" s="1365"/>
      <c r="CA69" s="1365"/>
      <c r="CB69" s="1992">
        <f t="shared" si="60"/>
        <v>18.611661999999999</v>
      </c>
      <c r="CC69" s="1365"/>
      <c r="CD69" s="1996">
        <v>0</v>
      </c>
      <c r="CE69" s="997"/>
      <c r="CF69" s="1981">
        <v>18.611661999999999</v>
      </c>
      <c r="CG69" s="996"/>
      <c r="CH69" s="1365"/>
      <c r="CI69" s="2102"/>
      <c r="CJ69" s="2102"/>
      <c r="CK69" s="2102"/>
      <c r="CL69" s="1365"/>
      <c r="CM69" s="1365"/>
      <c r="CN69" s="1365"/>
      <c r="CO69" s="1992">
        <f t="shared" si="61"/>
        <v>0</v>
      </c>
      <c r="CP69" s="1365"/>
      <c r="CQ69" s="1996">
        <v>0</v>
      </c>
      <c r="CR69" s="997"/>
      <c r="CS69" s="1981">
        <v>0</v>
      </c>
      <c r="CT69" s="996"/>
      <c r="CU69" s="884"/>
      <c r="CV69" s="1365"/>
      <c r="CW69" s="1365"/>
      <c r="CX69" s="1992">
        <f t="shared" si="62"/>
        <v>1.0676699999999999</v>
      </c>
      <c r="CY69" s="1365"/>
      <c r="CZ69" s="1996">
        <f t="shared" si="55"/>
        <v>0</v>
      </c>
      <c r="DA69" s="997"/>
      <c r="DB69" s="1981">
        <f t="shared" si="56"/>
        <v>1.0676699999999999</v>
      </c>
      <c r="DC69" s="996">
        <f t="shared" si="63"/>
        <v>1.0676699999999999</v>
      </c>
      <c r="DD69" s="884"/>
      <c r="DE69" s="1567"/>
      <c r="DF69" s="1548"/>
      <c r="DG69" s="884"/>
      <c r="DH69" s="885"/>
      <c r="DI69" s="883"/>
      <c r="DJ69" s="367"/>
      <c r="DK69" s="1201"/>
      <c r="DL69" s="945"/>
      <c r="DM69" s="943"/>
      <c r="DN69" s="948"/>
      <c r="DO69" s="944"/>
      <c r="DP69" s="913"/>
      <c r="DQ69" s="914"/>
      <c r="DR69" s="946"/>
      <c r="DS69" s="942"/>
      <c r="DT69" s="942"/>
      <c r="DU69" s="954">
        <f t="shared" si="64"/>
        <v>0</v>
      </c>
      <c r="DV69" s="905"/>
      <c r="DW69" s="904">
        <f t="shared" si="67"/>
        <v>0</v>
      </c>
      <c r="DX69" s="1195" t="str">
        <f>_xlfn.XLOOKUP(K69,Cement!$Q$7:$Q$35,Cement!$AR$7:$AR$35,"")</f>
        <v/>
      </c>
      <c r="DY69" s="966"/>
      <c r="DZ69" s="966"/>
      <c r="EA69" s="367"/>
      <c r="EB69" s="176" t="e">
        <f>SUMIF('[1]9-1404.12.03'!$B$2:$B$2000,$J69,'[1]9-1404.12.03'!$L$2:$L$2000)</f>
        <v>#VALUE!</v>
      </c>
      <c r="EC69" s="176" t="e">
        <f>SUMIF('[1]9-1404.12.03'!$B$2:$B$2000,$J69,'[1]9-1404.12.03'!$E$2:$E$2000)/10</f>
        <v>#VALUE!</v>
      </c>
      <c r="ED69" s="177" t="str">
        <f t="shared" si="65"/>
        <v/>
      </c>
      <c r="EE69" s="176" t="e">
        <f>SUMIF('[1]8B-1404.12.02'!$D$2:$D$3000,$J69,'[1]8B-1404.12.02'!$M$2:$M$3000)</f>
        <v>#VALUE!</v>
      </c>
      <c r="EF69" s="176" t="e">
        <f>SUMIF('[1]8B-1404.12.02'!$D$2:$D$3000,$J69,'[1]8B-1404.12.02'!$G$2:$G$3000)/10</f>
        <v>#VALUE!</v>
      </c>
      <c r="EG69" s="177" t="str">
        <f t="shared" si="66"/>
        <v/>
      </c>
      <c r="EH69" s="1502"/>
      <c r="EI69" s="1534">
        <f>SUMIF(Cem_Export!$C$2:$C$3000,$J69,Cem_Export!$I$2:$I$3000)</f>
        <v>0</v>
      </c>
      <c r="EJ69" s="1534">
        <f>SUMIFS(Cem_Export!$J$2:$J$3000,Cem_Export!$C$2:$C$3000,$J69,Cem_Export!$L$2:$L$3000, $EJ$4)</f>
        <v>0</v>
      </c>
      <c r="EK69" s="1534">
        <f>SUMIFS(Cem_Export!$J$2:$J$3000,Cem_Export!$C$2:$C$3000,$J69,Cem_Export!$L$2:$L$3000, $EK$4)</f>
        <v>0</v>
      </c>
      <c r="EL69" s="1682" t="str">
        <f t="shared" ref="EL69:EL79" si="71">IFERROR(((EJ69*$EK$3)+(EK69*10^-4))/($EI69*$EK$3),"")</f>
        <v/>
      </c>
      <c r="EM69" s="1836">
        <f t="shared" ref="EM69:EM79" si="72">IFERROR((EJ69*$EK$3*10^4+EK69)*10^-10,0)</f>
        <v>0</v>
      </c>
      <c r="EN69" s="1562"/>
      <c r="EO69" s="1625">
        <f>SUMIF('Cem-Domestic'!$D$2:$D$4000,$J69,'Cem-Domestic'!$M$2:$M$4000)</f>
        <v>300</v>
      </c>
      <c r="EP69" s="1625">
        <f>SUMIF('Cem-Domestic'!$D$2:$D$4000,$J69,'Cem-Domestic'!$G$2:$G$4000)/10^7</f>
        <v>1.0676699999999999</v>
      </c>
      <c r="EQ69" s="1681">
        <f t="shared" ref="EQ69:EQ79" si="73">IFERROR((EP69/EO69)*10^6,"")</f>
        <v>3558.8999999999996</v>
      </c>
      <c r="ER69" s="1562"/>
      <c r="ES69" s="1533">
        <v>0</v>
      </c>
      <c r="ET69" s="1534">
        <v>0</v>
      </c>
      <c r="EU69" s="1535" t="s">
        <v>192</v>
      </c>
      <c r="EV69" s="1533">
        <v>0</v>
      </c>
      <c r="EW69" s="1534">
        <v>0</v>
      </c>
      <c r="EX69" s="1535" t="s">
        <v>192</v>
      </c>
      <c r="EY69" s="1533">
        <v>0</v>
      </c>
      <c r="EZ69" s="1534">
        <v>0</v>
      </c>
      <c r="FA69" s="1535" t="s">
        <v>192</v>
      </c>
      <c r="FB69" s="1533">
        <v>0</v>
      </c>
      <c r="FC69" s="1534">
        <v>0</v>
      </c>
      <c r="FD69" s="1535" t="s">
        <v>192</v>
      </c>
      <c r="FE69" s="1533">
        <v>0</v>
      </c>
      <c r="FF69" s="1534">
        <v>0</v>
      </c>
      <c r="FG69" s="1535" t="s">
        <v>192</v>
      </c>
    </row>
    <row r="70" spans="1:163" ht="22">
      <c r="A70" s="977"/>
      <c r="B70" s="977"/>
      <c r="C70" s="977"/>
      <c r="D70" s="971"/>
      <c r="E70" s="971"/>
      <c r="F70" s="971"/>
      <c r="G70" s="988"/>
      <c r="H70" s="175"/>
      <c r="I70" s="194"/>
      <c r="J70" s="204" t="s">
        <v>966</v>
      </c>
      <c r="K70" s="65"/>
      <c r="L70" s="65"/>
      <c r="M70" s="65"/>
      <c r="N70" s="208"/>
      <c r="O70" s="208"/>
      <c r="P70" s="1468"/>
      <c r="Q70" s="1468"/>
      <c r="R70" s="1475"/>
      <c r="S70" s="1475"/>
      <c r="T70" s="1481"/>
      <c r="U70" s="1481"/>
      <c r="V70" s="207"/>
      <c r="W70" s="207"/>
      <c r="X70" s="934">
        <v>1200000</v>
      </c>
      <c r="Y70" s="1911"/>
      <c r="Z70" s="1567"/>
      <c r="AA70" s="1548"/>
      <c r="AB70" s="998"/>
      <c r="AC70" s="997"/>
      <c r="AD70" s="996"/>
      <c r="AE70" s="1365"/>
      <c r="AF70" s="1567">
        <v>63.707068999999997</v>
      </c>
      <c r="AG70" s="1548">
        <v>0</v>
      </c>
      <c r="AH70" s="998"/>
      <c r="AI70" s="885"/>
      <c r="AJ70" s="883"/>
      <c r="AK70" s="1365"/>
      <c r="AL70" s="1567">
        <v>109.88648499999999</v>
      </c>
      <c r="AM70" s="1548">
        <v>0</v>
      </c>
      <c r="AN70" s="998"/>
      <c r="AO70" s="885"/>
      <c r="AP70" s="883"/>
      <c r="AQ70" s="1365"/>
      <c r="AR70" s="1567"/>
      <c r="AS70" s="1548"/>
      <c r="AT70" s="884"/>
      <c r="AU70" s="885"/>
      <c r="AV70" s="883"/>
      <c r="AW70" s="884"/>
      <c r="AX70" s="1567">
        <v>73.176275000000004</v>
      </c>
      <c r="AY70" s="1548">
        <v>0</v>
      </c>
      <c r="AZ70" s="1138"/>
      <c r="BA70" s="885"/>
      <c r="BB70" s="883"/>
      <c r="BC70" s="884"/>
      <c r="BD70" s="1567"/>
      <c r="BE70" s="1548"/>
      <c r="BF70" s="884"/>
      <c r="BG70" s="885"/>
      <c r="BH70" s="883"/>
      <c r="BI70" s="884"/>
      <c r="BJ70" s="2102"/>
      <c r="BK70" s="2102"/>
      <c r="BL70" s="2102"/>
      <c r="BM70" s="884"/>
      <c r="BN70" s="1567"/>
      <c r="BO70" s="1548"/>
      <c r="BP70" s="1365"/>
      <c r="BQ70" s="997"/>
      <c r="BR70" s="996"/>
      <c r="BS70" s="1365"/>
      <c r="BT70" s="1567"/>
      <c r="BU70" s="1548"/>
      <c r="BV70" s="1365"/>
      <c r="BW70" s="997"/>
      <c r="BX70" s="996"/>
      <c r="BY70" s="1365"/>
      <c r="BZ70" s="1365"/>
      <c r="CA70" s="1365"/>
      <c r="CB70" s="1992">
        <f t="shared" ref="CB70:CB79" si="74">CD70+CF70</f>
        <v>57.296858999999998</v>
      </c>
      <c r="CC70" s="1365"/>
      <c r="CD70" s="1996">
        <v>0</v>
      </c>
      <c r="CE70" s="997"/>
      <c r="CF70" s="1981">
        <v>57.296858999999998</v>
      </c>
      <c r="CG70" s="996"/>
      <c r="CH70" s="1365"/>
      <c r="CI70" s="2102"/>
      <c r="CJ70" s="2102"/>
      <c r="CK70" s="2102"/>
      <c r="CL70" s="1365"/>
      <c r="CM70" s="1365"/>
      <c r="CN70" s="1365"/>
      <c r="CO70" s="1992">
        <f t="shared" si="61"/>
        <v>9.7372650000000007</v>
      </c>
      <c r="CP70" s="1365"/>
      <c r="CQ70" s="1996">
        <v>0</v>
      </c>
      <c r="CR70" s="997"/>
      <c r="CS70" s="1981">
        <v>9.7372650000000007</v>
      </c>
      <c r="CT70" s="996"/>
      <c r="CU70" s="884"/>
      <c r="CV70" s="1365"/>
      <c r="CW70" s="1365"/>
      <c r="CX70" s="1992">
        <f t="shared" si="62"/>
        <v>14.742742</v>
      </c>
      <c r="CY70" s="1365"/>
      <c r="CZ70" s="1996">
        <f t="shared" ref="CZ70:CZ79" si="75">EM70</f>
        <v>0</v>
      </c>
      <c r="DA70" s="997"/>
      <c r="DB70" s="1981">
        <f t="shared" ref="DB70:DB79" si="76">EP70</f>
        <v>14.742742</v>
      </c>
      <c r="DC70" s="996">
        <f t="shared" si="63"/>
        <v>14.742742</v>
      </c>
      <c r="DD70" s="884"/>
      <c r="DE70" s="1567"/>
      <c r="DF70" s="1548"/>
      <c r="DG70" s="884"/>
      <c r="DH70" s="885"/>
      <c r="DI70" s="883"/>
      <c r="DJ70" s="367"/>
      <c r="DK70" s="1201"/>
      <c r="DL70" s="945"/>
      <c r="DM70" s="943"/>
      <c r="DN70" s="948"/>
      <c r="DO70" s="944"/>
      <c r="DP70" s="913"/>
      <c r="DQ70" s="914"/>
      <c r="DR70" s="946"/>
      <c r="DS70" s="942"/>
      <c r="DT70" s="942"/>
      <c r="DU70" s="954">
        <f t="shared" si="64"/>
        <v>0</v>
      </c>
      <c r="DV70" s="905"/>
      <c r="DW70" s="904">
        <f t="shared" si="67"/>
        <v>0</v>
      </c>
      <c r="DX70" s="1195" t="str">
        <f>_xlfn.XLOOKUP(K70,Cement!$Q$7:$Q$35,Cement!$AR$7:$AR$35,"")</f>
        <v/>
      </c>
      <c r="DY70" s="966"/>
      <c r="DZ70" s="966"/>
      <c r="EA70" s="367"/>
      <c r="EB70" s="176" t="e">
        <f>SUMIF('[1]9-1404.12.03'!$B$2:$B$2000,$J70,'[1]9-1404.12.03'!$L$2:$L$2000)</f>
        <v>#VALUE!</v>
      </c>
      <c r="EC70" s="176" t="e">
        <f>SUMIF('[1]9-1404.12.03'!$B$2:$B$2000,$J70,'[1]9-1404.12.03'!$E$2:$E$2000)/10</f>
        <v>#VALUE!</v>
      </c>
      <c r="ED70" s="177" t="str">
        <f t="shared" si="65"/>
        <v/>
      </c>
      <c r="EE70" s="176" t="e">
        <f>SUMIF('[1]8B-1404.12.02'!$D$2:$D$3000,$J70,'[1]8B-1404.12.02'!$M$2:$M$3000)</f>
        <v>#VALUE!</v>
      </c>
      <c r="EF70" s="176" t="e">
        <f>SUMIF('[1]8B-1404.12.02'!$D$2:$D$3000,$J70,'[1]8B-1404.12.02'!$G$2:$G$3000)/10</f>
        <v>#VALUE!</v>
      </c>
      <c r="EG70" s="177" t="str">
        <f t="shared" si="66"/>
        <v/>
      </c>
      <c r="EH70" s="1502"/>
      <c r="EI70" s="1534">
        <f>SUMIF(Cem_Export!$C$2:$C$3000,$J70,Cem_Export!$I$2:$I$3000)</f>
        <v>0</v>
      </c>
      <c r="EJ70" s="1534">
        <f>SUMIFS(Cem_Export!$J$2:$J$3000,Cem_Export!$C$2:$C$3000,$J70,Cem_Export!$L$2:$L$3000, $EJ$4)</f>
        <v>0</v>
      </c>
      <c r="EK70" s="1534">
        <f>SUMIFS(Cem_Export!$J$2:$J$3000,Cem_Export!$C$2:$C$3000,$J70,Cem_Export!$L$2:$L$3000, $EK$4)</f>
        <v>0</v>
      </c>
      <c r="EL70" s="1682" t="str">
        <f t="shared" si="71"/>
        <v/>
      </c>
      <c r="EM70" s="1836">
        <f t="shared" si="72"/>
        <v>0</v>
      </c>
      <c r="EN70" s="1562"/>
      <c r="EO70" s="1625">
        <f>SUMIF('Cem-Domestic'!$D$2:$D$4000,$J70,'Cem-Domestic'!$M$2:$M$4000)</f>
        <v>5010</v>
      </c>
      <c r="EP70" s="1625">
        <f>SUMIF('Cem-Domestic'!$D$2:$D$4000,$J70,'Cem-Domestic'!$G$2:$G$4000)/10^7</f>
        <v>14.742742</v>
      </c>
      <c r="EQ70" s="1681">
        <f t="shared" si="73"/>
        <v>2942.6630738522954</v>
      </c>
      <c r="ER70" s="1562"/>
      <c r="ES70" s="1533">
        <v>0</v>
      </c>
      <c r="ET70" s="1534">
        <v>0</v>
      </c>
      <c r="EU70" s="1535" t="s">
        <v>192</v>
      </c>
      <c r="EV70" s="1533">
        <v>0</v>
      </c>
      <c r="EW70" s="1534">
        <v>0</v>
      </c>
      <c r="EX70" s="1535" t="s">
        <v>192</v>
      </c>
      <c r="EY70" s="1533">
        <v>0</v>
      </c>
      <c r="EZ70" s="1534">
        <v>0</v>
      </c>
      <c r="FA70" s="1535" t="s">
        <v>192</v>
      </c>
      <c r="FB70" s="1533">
        <v>0</v>
      </c>
      <c r="FC70" s="1534">
        <v>0</v>
      </c>
      <c r="FD70" s="1535" t="s">
        <v>192</v>
      </c>
      <c r="FE70" s="1533">
        <v>0</v>
      </c>
      <c r="FF70" s="1534">
        <v>0</v>
      </c>
      <c r="FG70" s="1535" t="s">
        <v>192</v>
      </c>
    </row>
    <row r="71" spans="1:163" ht="22">
      <c r="A71" s="977"/>
      <c r="B71" s="977"/>
      <c r="C71" s="977"/>
      <c r="D71" s="971"/>
      <c r="E71" s="971"/>
      <c r="F71" s="971"/>
      <c r="G71" s="988"/>
      <c r="H71" s="175"/>
      <c r="I71" s="194" t="str">
        <f>_xlfn.XLOOKUP(K71,Cement!$Q$7:$Q$35,Cement!$A$7:$A$35,"")</f>
        <v/>
      </c>
      <c r="J71" s="423" t="s">
        <v>967</v>
      </c>
      <c r="K71" s="424" t="s">
        <v>968</v>
      </c>
      <c r="L71" s="424"/>
      <c r="M71" s="424"/>
      <c r="N71" s="208"/>
      <c r="O71" s="208"/>
      <c r="P71" s="1469"/>
      <c r="Q71" s="1469"/>
      <c r="R71" s="1476"/>
      <c r="S71" s="1476"/>
      <c r="T71" s="1482"/>
      <c r="U71" s="1482"/>
      <c r="V71" s="1087"/>
      <c r="W71" s="1087"/>
      <c r="X71" s="934">
        <v>1000000</v>
      </c>
      <c r="Y71" s="1911"/>
      <c r="Z71" s="1567"/>
      <c r="AA71" s="1548"/>
      <c r="AB71" s="998"/>
      <c r="AC71" s="997"/>
      <c r="AD71" s="996"/>
      <c r="AE71" s="1365"/>
      <c r="AF71" s="1567">
        <v>47.157581</v>
      </c>
      <c r="AG71" s="1548">
        <v>0</v>
      </c>
      <c r="AH71" s="998"/>
      <c r="AI71" s="885"/>
      <c r="AJ71" s="883"/>
      <c r="AK71" s="1365"/>
      <c r="AL71" s="1567">
        <v>61.115701000000001</v>
      </c>
      <c r="AM71" s="1548">
        <v>0</v>
      </c>
      <c r="AN71" s="998"/>
      <c r="AO71" s="885"/>
      <c r="AP71" s="883"/>
      <c r="AQ71" s="1365"/>
      <c r="AR71" s="1567"/>
      <c r="AS71" s="1548"/>
      <c r="AT71" s="884"/>
      <c r="AU71" s="885"/>
      <c r="AV71" s="883"/>
      <c r="AW71" s="884"/>
      <c r="AX71" s="1567">
        <v>54.838355999999997</v>
      </c>
      <c r="AY71" s="1548">
        <v>0</v>
      </c>
      <c r="AZ71" s="1138"/>
      <c r="BA71" s="885"/>
      <c r="BB71" s="883"/>
      <c r="BC71" s="884"/>
      <c r="BD71" s="1567"/>
      <c r="BE71" s="1548"/>
      <c r="BF71" s="884"/>
      <c r="BG71" s="885"/>
      <c r="BH71" s="883"/>
      <c r="BI71" s="884"/>
      <c r="BJ71" s="2102"/>
      <c r="BK71" s="2102"/>
      <c r="BL71" s="2102"/>
      <c r="BM71" s="884"/>
      <c r="BN71" s="1567"/>
      <c r="BO71" s="1548"/>
      <c r="BP71" s="1365"/>
      <c r="BQ71" s="997"/>
      <c r="BR71" s="996"/>
      <c r="BS71" s="1365"/>
      <c r="BT71" s="1567"/>
      <c r="BU71" s="1548"/>
      <c r="BV71" s="1365"/>
      <c r="BW71" s="997"/>
      <c r="BX71" s="996"/>
      <c r="BY71" s="1365"/>
      <c r="BZ71" s="1365"/>
      <c r="CA71" s="1365"/>
      <c r="CB71" s="1992">
        <f t="shared" si="74"/>
        <v>96.584353000000007</v>
      </c>
      <c r="CC71" s="1365"/>
      <c r="CD71" s="1996">
        <v>11.76</v>
      </c>
      <c r="CE71" s="997"/>
      <c r="CF71" s="1981">
        <v>84.824353000000002</v>
      </c>
      <c r="CG71" s="996"/>
      <c r="CH71" s="1365"/>
      <c r="CI71" s="2102"/>
      <c r="CJ71" s="2102"/>
      <c r="CK71" s="2102"/>
      <c r="CL71" s="1365"/>
      <c r="CM71" s="1365"/>
      <c r="CN71" s="1365"/>
      <c r="CO71" s="1992">
        <f t="shared" si="61"/>
        <v>84.477944999999991</v>
      </c>
      <c r="CP71" s="1365"/>
      <c r="CQ71" s="1996">
        <v>2.94</v>
      </c>
      <c r="CR71" s="997"/>
      <c r="CS71" s="1981">
        <v>81.537944999999993</v>
      </c>
      <c r="CT71" s="996"/>
      <c r="CU71" s="884"/>
      <c r="CV71" s="1365"/>
      <c r="CW71" s="1365"/>
      <c r="CX71" s="1992">
        <f t="shared" si="62"/>
        <v>19.438372999999999</v>
      </c>
      <c r="CY71" s="1365"/>
      <c r="CZ71" s="1996">
        <f t="shared" si="75"/>
        <v>0</v>
      </c>
      <c r="DA71" s="997"/>
      <c r="DB71" s="1981">
        <f t="shared" si="76"/>
        <v>19.438372999999999</v>
      </c>
      <c r="DC71" s="996">
        <f t="shared" si="63"/>
        <v>19.438372999999999</v>
      </c>
      <c r="DD71" s="884"/>
      <c r="DE71" s="1567"/>
      <c r="DF71" s="1548"/>
      <c r="DG71" s="884"/>
      <c r="DH71" s="885"/>
      <c r="DI71" s="883"/>
      <c r="DJ71" s="367"/>
      <c r="DK71" s="1201"/>
      <c r="DL71" s="945"/>
      <c r="DM71" s="943"/>
      <c r="DN71" s="948"/>
      <c r="DO71" s="944"/>
      <c r="DP71" s="913"/>
      <c r="DQ71" s="914"/>
      <c r="DR71" s="946"/>
      <c r="DS71" s="942"/>
      <c r="DT71" s="942"/>
      <c r="DU71" s="954">
        <f t="shared" si="64"/>
        <v>0</v>
      </c>
      <c r="DV71" s="905"/>
      <c r="DW71" s="904">
        <f t="shared" si="67"/>
        <v>0</v>
      </c>
      <c r="DX71" s="1195" t="str">
        <f>_xlfn.XLOOKUP(K71,Cement!$Q$7:$Q$35,Cement!$AR$7:$AR$35,"")</f>
        <v/>
      </c>
      <c r="DY71" s="966"/>
      <c r="DZ71" s="966"/>
      <c r="EA71" s="367"/>
      <c r="EB71" s="176" t="e">
        <f>SUMIF('[1]9-1404.12.03'!$B$2:$B$2000,$J71,'[1]9-1404.12.03'!$L$2:$L$2000)</f>
        <v>#VALUE!</v>
      </c>
      <c r="EC71" s="176" t="e">
        <f>SUMIF('[1]9-1404.12.03'!$B$2:$B$2000,$J71,'[1]9-1404.12.03'!$E$2:$E$2000)/10</f>
        <v>#VALUE!</v>
      </c>
      <c r="ED71" s="177" t="str">
        <f t="shared" si="65"/>
        <v/>
      </c>
      <c r="EE71" s="176" t="e">
        <f>SUMIF('[1]8B-1404.12.02'!$D$2:$D$3000,$J71,'[1]8B-1404.12.02'!$M$2:$M$3000)</f>
        <v>#VALUE!</v>
      </c>
      <c r="EF71" s="176" t="e">
        <f>SUMIF('[1]8B-1404.12.02'!$D$2:$D$3000,$J71,'[1]8B-1404.12.02'!$G$2:$G$3000)/10</f>
        <v>#VALUE!</v>
      </c>
      <c r="EG71" s="177" t="str">
        <f t="shared" si="66"/>
        <v/>
      </c>
      <c r="EH71" s="1502"/>
      <c r="EI71" s="1534">
        <f>SUMIF(Cem_Export!$C$2:$C$3000,$J71,Cem_Export!$I$2:$I$3000)</f>
        <v>0</v>
      </c>
      <c r="EJ71" s="1534">
        <f>SUMIFS(Cem_Export!$J$2:$J$3000,Cem_Export!$C$2:$C$3000,$J71,Cem_Export!$L$2:$L$3000, $EJ$4)</f>
        <v>0</v>
      </c>
      <c r="EK71" s="1534">
        <f>SUMIFS(Cem_Export!$J$2:$J$3000,Cem_Export!$C$2:$C$3000,$J71,Cem_Export!$L$2:$L$3000, $EK$4)</f>
        <v>0</v>
      </c>
      <c r="EL71" s="1682" t="str">
        <f t="shared" si="71"/>
        <v/>
      </c>
      <c r="EM71" s="1836">
        <f t="shared" si="72"/>
        <v>0</v>
      </c>
      <c r="EN71" s="1562"/>
      <c r="EO71" s="1625">
        <f>SUMIF('Cem-Domestic'!$D$2:$D$4000,$J71,'Cem-Domestic'!$M$2:$M$4000)</f>
        <v>6630</v>
      </c>
      <c r="EP71" s="1625">
        <f>SUMIF('Cem-Domestic'!$D$2:$D$4000,$J71,'Cem-Domestic'!$G$2:$G$4000)/10^7</f>
        <v>19.438372999999999</v>
      </c>
      <c r="EQ71" s="1681">
        <f t="shared" si="73"/>
        <v>2931.8812971342381</v>
      </c>
      <c r="ER71" s="1562"/>
      <c r="ES71" s="1533">
        <v>0</v>
      </c>
      <c r="ET71" s="1534">
        <v>0</v>
      </c>
      <c r="EU71" s="1535" t="s">
        <v>192</v>
      </c>
      <c r="EV71" s="1533">
        <v>0</v>
      </c>
      <c r="EW71" s="1534">
        <v>0</v>
      </c>
      <c r="EX71" s="1535" t="s">
        <v>192</v>
      </c>
      <c r="EY71" s="1533">
        <v>0</v>
      </c>
      <c r="EZ71" s="1534">
        <v>0</v>
      </c>
      <c r="FA71" s="1535" t="s">
        <v>192</v>
      </c>
      <c r="FB71" s="1533">
        <v>0</v>
      </c>
      <c r="FC71" s="1534">
        <v>0</v>
      </c>
      <c r="FD71" s="1535" t="s">
        <v>192</v>
      </c>
      <c r="FE71" s="1533">
        <v>0</v>
      </c>
      <c r="FF71" s="1534">
        <v>0</v>
      </c>
      <c r="FG71" s="1535" t="s">
        <v>192</v>
      </c>
    </row>
    <row r="72" spans="1:163" ht="22">
      <c r="A72" s="977"/>
      <c r="B72" s="977"/>
      <c r="C72" s="977"/>
      <c r="D72" s="971"/>
      <c r="E72" s="971"/>
      <c r="F72" s="971"/>
      <c r="G72" s="988"/>
      <c r="H72" s="175"/>
      <c r="I72" s="194"/>
      <c r="J72" s="227" t="s">
        <v>969</v>
      </c>
      <c r="K72" s="65"/>
      <c r="L72" s="65"/>
      <c r="M72" s="65"/>
      <c r="N72" s="208"/>
      <c r="O72" s="208"/>
      <c r="P72" s="1468"/>
      <c r="Q72" s="1468"/>
      <c r="R72" s="1475"/>
      <c r="S72" s="1475"/>
      <c r="T72" s="1481"/>
      <c r="U72" s="1481"/>
      <c r="V72" s="207"/>
      <c r="W72" s="207"/>
      <c r="X72" s="934">
        <v>320000</v>
      </c>
      <c r="Y72" s="1911"/>
      <c r="Z72" s="1567"/>
      <c r="AA72" s="1548"/>
      <c r="AB72" s="998"/>
      <c r="AC72" s="997"/>
      <c r="AD72" s="996"/>
      <c r="AE72" s="1365"/>
      <c r="AF72" s="1567">
        <v>0</v>
      </c>
      <c r="AG72" s="1548">
        <v>0</v>
      </c>
      <c r="AH72" s="998"/>
      <c r="AI72" s="885"/>
      <c r="AJ72" s="883"/>
      <c r="AK72" s="1365"/>
      <c r="AL72" s="1567">
        <v>0</v>
      </c>
      <c r="AM72" s="1548">
        <v>0</v>
      </c>
      <c r="AN72" s="998"/>
      <c r="AO72" s="885"/>
      <c r="AP72" s="883"/>
      <c r="AQ72" s="1365"/>
      <c r="AR72" s="1567"/>
      <c r="AS72" s="1548"/>
      <c r="AT72" s="884"/>
      <c r="AU72" s="885"/>
      <c r="AV72" s="883"/>
      <c r="AW72" s="884"/>
      <c r="AX72" s="1567">
        <v>0</v>
      </c>
      <c r="AY72" s="1548">
        <v>0</v>
      </c>
      <c r="AZ72" s="1138"/>
      <c r="BA72" s="885"/>
      <c r="BB72" s="883"/>
      <c r="BC72" s="884"/>
      <c r="BD72" s="1567"/>
      <c r="BE72" s="1548"/>
      <c r="BF72" s="884"/>
      <c r="BG72" s="885"/>
      <c r="BH72" s="883"/>
      <c r="BI72" s="884"/>
      <c r="BJ72" s="2102"/>
      <c r="BK72" s="2102"/>
      <c r="BL72" s="2102"/>
      <c r="BM72" s="884"/>
      <c r="BN72" s="1567"/>
      <c r="BO72" s="1548"/>
      <c r="BP72" s="1365"/>
      <c r="BQ72" s="997"/>
      <c r="BR72" s="996"/>
      <c r="BS72" s="1365"/>
      <c r="BT72" s="1567"/>
      <c r="BU72" s="1548"/>
      <c r="BV72" s="1365"/>
      <c r="BW72" s="997"/>
      <c r="BX72" s="996"/>
      <c r="BY72" s="1365"/>
      <c r="BZ72" s="1365"/>
      <c r="CA72" s="1365"/>
      <c r="CB72" s="1992">
        <f t="shared" si="74"/>
        <v>0</v>
      </c>
      <c r="CC72" s="1365"/>
      <c r="CD72" s="1996">
        <v>0</v>
      </c>
      <c r="CE72" s="997"/>
      <c r="CF72" s="1981">
        <v>0</v>
      </c>
      <c r="CG72" s="996"/>
      <c r="CH72" s="1365"/>
      <c r="CI72" s="2102"/>
      <c r="CJ72" s="2102"/>
      <c r="CK72" s="2102"/>
      <c r="CL72" s="1365"/>
      <c r="CM72" s="1365"/>
      <c r="CN72" s="1365"/>
      <c r="CO72" s="1992">
        <f t="shared" si="61"/>
        <v>26.126495999999999</v>
      </c>
      <c r="CP72" s="1365"/>
      <c r="CQ72" s="1996">
        <v>0</v>
      </c>
      <c r="CR72" s="997"/>
      <c r="CS72" s="1981">
        <v>26.126495999999999</v>
      </c>
      <c r="CT72" s="996"/>
      <c r="CU72" s="884"/>
      <c r="CV72" s="1365"/>
      <c r="CW72" s="1365"/>
      <c r="CX72" s="1992">
        <f t="shared" si="62"/>
        <v>0</v>
      </c>
      <c r="CY72" s="1365"/>
      <c r="CZ72" s="1996">
        <f t="shared" si="75"/>
        <v>0</v>
      </c>
      <c r="DA72" s="997"/>
      <c r="DB72" s="1981">
        <f t="shared" si="76"/>
        <v>0</v>
      </c>
      <c r="DC72" s="996">
        <f t="shared" si="63"/>
        <v>0</v>
      </c>
      <c r="DD72" s="884"/>
      <c r="DE72" s="1567"/>
      <c r="DF72" s="1548"/>
      <c r="DG72" s="884"/>
      <c r="DH72" s="885"/>
      <c r="DI72" s="883"/>
      <c r="DJ72" s="367"/>
      <c r="DK72" s="1201"/>
      <c r="DL72" s="945"/>
      <c r="DM72" s="943"/>
      <c r="DN72" s="948"/>
      <c r="DO72" s="944"/>
      <c r="DP72" s="913"/>
      <c r="DQ72" s="914"/>
      <c r="DR72" s="946"/>
      <c r="DS72" s="942"/>
      <c r="DT72" s="942"/>
      <c r="DU72" s="954">
        <f t="shared" si="64"/>
        <v>0</v>
      </c>
      <c r="DV72" s="905"/>
      <c r="DW72" s="904">
        <f t="shared" si="67"/>
        <v>0</v>
      </c>
      <c r="DX72" s="1195" t="str">
        <f>_xlfn.XLOOKUP(K72,Cement!$Q$7:$Q$35,Cement!$AR$7:$AR$35,"")</f>
        <v/>
      </c>
      <c r="DY72" s="966"/>
      <c r="DZ72" s="966"/>
      <c r="EA72" s="367"/>
      <c r="EB72" s="176" t="e">
        <f>SUMIF('[1]9-1404.12.03'!$B$2:$B$2000,$J72,'[1]9-1404.12.03'!$L$2:$L$2000)</f>
        <v>#VALUE!</v>
      </c>
      <c r="EC72" s="176" t="e">
        <f>SUMIF('[1]9-1404.12.03'!$B$2:$B$2000,$J72,'[1]9-1404.12.03'!$E$2:$E$2000)/10</f>
        <v>#VALUE!</v>
      </c>
      <c r="ED72" s="177" t="str">
        <f t="shared" si="65"/>
        <v/>
      </c>
      <c r="EE72" s="176" t="e">
        <f>SUMIF('[1]8B-1404.12.02'!$D$2:$D$3000,$J72,'[1]8B-1404.12.02'!$M$2:$M$3000)</f>
        <v>#VALUE!</v>
      </c>
      <c r="EF72" s="176" t="e">
        <f>SUMIF('[1]8B-1404.12.02'!$D$2:$D$3000,$J72,'[1]8B-1404.12.02'!$G$2:$G$3000)/10</f>
        <v>#VALUE!</v>
      </c>
      <c r="EG72" s="177" t="str">
        <f t="shared" si="66"/>
        <v/>
      </c>
      <c r="EH72" s="1502"/>
      <c r="EI72" s="1534">
        <f>SUMIF(Cem_Export!$C$2:$C$3000,$J72,Cem_Export!$I$2:$I$3000)</f>
        <v>0</v>
      </c>
      <c r="EJ72" s="1534">
        <f>SUMIFS(Cem_Export!$J$2:$J$3000,Cem_Export!$C$2:$C$3000,$J72,Cem_Export!$L$2:$L$3000, $EJ$4)</f>
        <v>0</v>
      </c>
      <c r="EK72" s="1534">
        <f>SUMIFS(Cem_Export!$J$2:$J$3000,Cem_Export!$C$2:$C$3000,$J72,Cem_Export!$L$2:$L$3000, $EK$4)</f>
        <v>0</v>
      </c>
      <c r="EL72" s="1682" t="str">
        <f t="shared" si="71"/>
        <v/>
      </c>
      <c r="EM72" s="1836">
        <f t="shared" si="72"/>
        <v>0</v>
      </c>
      <c r="EN72" s="1562"/>
      <c r="EO72" s="1625">
        <f>SUMIF('Cem-Domestic'!$D$2:$D$4000,$J72,'Cem-Domestic'!$M$2:$M$4000)</f>
        <v>0</v>
      </c>
      <c r="EP72" s="1625">
        <f>SUMIF('Cem-Domestic'!$D$2:$D$4000,$J72,'Cem-Domestic'!$G$2:$G$4000)/10^7</f>
        <v>0</v>
      </c>
      <c r="EQ72" s="1681" t="str">
        <f t="shared" si="73"/>
        <v/>
      </c>
      <c r="ER72" s="1562"/>
      <c r="ES72" s="1533">
        <v>0</v>
      </c>
      <c r="ET72" s="1534">
        <v>0</v>
      </c>
      <c r="EU72" s="1535" t="s">
        <v>192</v>
      </c>
      <c r="EV72" s="1533">
        <v>0</v>
      </c>
      <c r="EW72" s="1534">
        <v>0</v>
      </c>
      <c r="EX72" s="1535" t="s">
        <v>192</v>
      </c>
      <c r="EY72" s="1533">
        <v>0</v>
      </c>
      <c r="EZ72" s="1534">
        <v>0</v>
      </c>
      <c r="FA72" s="1535" t="s">
        <v>192</v>
      </c>
      <c r="FB72" s="1533">
        <v>0</v>
      </c>
      <c r="FC72" s="1534">
        <v>0</v>
      </c>
      <c r="FD72" s="1535" t="s">
        <v>192</v>
      </c>
      <c r="FE72" s="1533">
        <v>0</v>
      </c>
      <c r="FF72" s="1534">
        <v>0</v>
      </c>
      <c r="FG72" s="1535" t="s">
        <v>192</v>
      </c>
    </row>
    <row r="73" spans="1:163" ht="22">
      <c r="A73" s="977"/>
      <c r="B73" s="977"/>
      <c r="C73" s="977"/>
      <c r="D73" s="971"/>
      <c r="E73" s="971"/>
      <c r="F73" s="971"/>
      <c r="G73" s="988"/>
      <c r="H73" s="175"/>
      <c r="I73" s="194"/>
      <c r="J73" s="423" t="s">
        <v>970</v>
      </c>
      <c r="K73" s="424" t="s">
        <v>971</v>
      </c>
      <c r="L73" s="424"/>
      <c r="M73" s="424"/>
      <c r="N73" s="208"/>
      <c r="O73" s="208"/>
      <c r="P73" s="1469"/>
      <c r="Q73" s="1469"/>
      <c r="R73" s="1476"/>
      <c r="S73" s="1476"/>
      <c r="T73" s="1482"/>
      <c r="U73" s="1482"/>
      <c r="V73" s="1087"/>
      <c r="W73" s="1087"/>
      <c r="X73" s="934">
        <v>165000</v>
      </c>
      <c r="Y73" s="1911"/>
      <c r="Z73" s="1567"/>
      <c r="AA73" s="1548"/>
      <c r="AB73" s="998"/>
      <c r="AC73" s="997"/>
      <c r="AD73" s="996"/>
      <c r="AE73" s="1365"/>
      <c r="AF73" s="1567">
        <v>8.4120190000000008</v>
      </c>
      <c r="AG73" s="1548">
        <v>0</v>
      </c>
      <c r="AH73" s="998"/>
      <c r="AI73" s="885"/>
      <c r="AJ73" s="883"/>
      <c r="AK73" s="1365"/>
      <c r="AL73" s="1567">
        <v>13.319216000000001</v>
      </c>
      <c r="AM73" s="1548">
        <v>0</v>
      </c>
      <c r="AN73" s="998"/>
      <c r="AO73" s="885"/>
      <c r="AP73" s="883"/>
      <c r="AQ73" s="1365"/>
      <c r="AR73" s="1567"/>
      <c r="AS73" s="1548"/>
      <c r="AT73" s="884"/>
      <c r="AU73" s="885"/>
      <c r="AV73" s="883"/>
      <c r="AW73" s="884"/>
      <c r="AX73" s="1567">
        <v>15.917971</v>
      </c>
      <c r="AY73" s="1548">
        <v>0</v>
      </c>
      <c r="AZ73" s="1138"/>
      <c r="BA73" s="885"/>
      <c r="BB73" s="883"/>
      <c r="BC73" s="884"/>
      <c r="BD73" s="1567"/>
      <c r="BE73" s="1548"/>
      <c r="BF73" s="884"/>
      <c r="BG73" s="885"/>
      <c r="BH73" s="883"/>
      <c r="BI73" s="884"/>
      <c r="BJ73" s="2102"/>
      <c r="BK73" s="2102"/>
      <c r="BL73" s="2102"/>
      <c r="BM73" s="884"/>
      <c r="BN73" s="1567"/>
      <c r="BO73" s="1548"/>
      <c r="BP73" s="1365"/>
      <c r="BQ73" s="997"/>
      <c r="BR73" s="996"/>
      <c r="BS73" s="1365"/>
      <c r="BT73" s="1567"/>
      <c r="BU73" s="1548"/>
      <c r="BV73" s="1365"/>
      <c r="BW73" s="997"/>
      <c r="BX73" s="996"/>
      <c r="BY73" s="1365"/>
      <c r="BZ73" s="1365"/>
      <c r="CA73" s="1365"/>
      <c r="CB73" s="1992">
        <f t="shared" si="74"/>
        <v>16.763856000000001</v>
      </c>
      <c r="CC73" s="1365"/>
      <c r="CD73" s="1996">
        <v>0</v>
      </c>
      <c r="CE73" s="997"/>
      <c r="CF73" s="1981">
        <v>16.763856000000001</v>
      </c>
      <c r="CG73" s="996"/>
      <c r="CH73" s="1365"/>
      <c r="CI73" s="2102"/>
      <c r="CJ73" s="2102"/>
      <c r="CK73" s="2102"/>
      <c r="CL73" s="1365"/>
      <c r="CM73" s="1365"/>
      <c r="CN73" s="1365"/>
      <c r="CO73" s="1992">
        <f t="shared" si="61"/>
        <v>46.420241500000003</v>
      </c>
      <c r="CP73" s="1365"/>
      <c r="CQ73" s="1996">
        <v>0</v>
      </c>
      <c r="CR73" s="997"/>
      <c r="CS73" s="1981">
        <v>46.420241500000003</v>
      </c>
      <c r="CT73" s="996"/>
      <c r="CU73" s="884"/>
      <c r="CV73" s="1365"/>
      <c r="CW73" s="1365"/>
      <c r="CX73" s="1992">
        <f t="shared" si="62"/>
        <v>3.236923</v>
      </c>
      <c r="CY73" s="1365"/>
      <c r="CZ73" s="1996">
        <f t="shared" si="75"/>
        <v>0</v>
      </c>
      <c r="DA73" s="997"/>
      <c r="DB73" s="1981">
        <f t="shared" si="76"/>
        <v>3.236923</v>
      </c>
      <c r="DC73" s="996">
        <f t="shared" si="63"/>
        <v>3.236923</v>
      </c>
      <c r="DD73" s="884"/>
      <c r="DE73" s="1567"/>
      <c r="DF73" s="1548"/>
      <c r="DG73" s="884"/>
      <c r="DH73" s="885"/>
      <c r="DI73" s="883"/>
      <c r="DJ73" s="367"/>
      <c r="DK73" s="1201"/>
      <c r="DL73" s="945"/>
      <c r="DM73" s="943"/>
      <c r="DN73" s="948"/>
      <c r="DO73" s="944"/>
      <c r="DP73" s="913"/>
      <c r="DQ73" s="914"/>
      <c r="DR73" s="946"/>
      <c r="DS73" s="942"/>
      <c r="DT73" s="942"/>
      <c r="DU73" s="954">
        <f t="shared" si="64"/>
        <v>0</v>
      </c>
      <c r="DV73" s="905"/>
      <c r="DW73" s="904">
        <f t="shared" si="67"/>
        <v>0</v>
      </c>
      <c r="DX73" s="1195" t="str">
        <f>_xlfn.XLOOKUP(K73,Cement!$Q$7:$Q$35,Cement!$AR$7:$AR$35,"")</f>
        <v/>
      </c>
      <c r="DY73" s="966"/>
      <c r="DZ73" s="966"/>
      <c r="EA73" s="367"/>
      <c r="EB73" s="176" t="e">
        <f>SUMIF('[1]9-1404.12.03'!$B$2:$B$2000,$J73,'[1]9-1404.12.03'!$L$2:$L$2000)</f>
        <v>#VALUE!</v>
      </c>
      <c r="EC73" s="176" t="e">
        <f>SUMIF('[1]9-1404.12.03'!$B$2:$B$2000,$J73,'[1]9-1404.12.03'!$E$2:$E$2000)/10</f>
        <v>#VALUE!</v>
      </c>
      <c r="ED73" s="177" t="str">
        <f t="shared" si="65"/>
        <v/>
      </c>
      <c r="EE73" s="176" t="e">
        <f>SUMIF('[1]8B-1404.12.02'!$D$2:$D$3000,$J73,'[1]8B-1404.12.02'!$M$2:$M$3000)</f>
        <v>#VALUE!</v>
      </c>
      <c r="EF73" s="176" t="e">
        <f>SUMIF('[1]8B-1404.12.02'!$D$2:$D$3000,$J73,'[1]8B-1404.12.02'!$G$2:$G$3000)/10</f>
        <v>#VALUE!</v>
      </c>
      <c r="EG73" s="177" t="str">
        <f t="shared" si="66"/>
        <v/>
      </c>
      <c r="EH73" s="1502"/>
      <c r="EI73" s="1534">
        <f>SUMIF(Cem_Export!$C$2:$C$3000,$J73,Cem_Export!$I$2:$I$3000)</f>
        <v>0</v>
      </c>
      <c r="EJ73" s="1534">
        <f>SUMIFS(Cem_Export!$J$2:$J$3000,Cem_Export!$C$2:$C$3000,$J73,Cem_Export!$L$2:$L$3000, $EJ$4)</f>
        <v>0</v>
      </c>
      <c r="EK73" s="1534">
        <f>SUMIFS(Cem_Export!$J$2:$J$3000,Cem_Export!$C$2:$C$3000,$J73,Cem_Export!$L$2:$L$3000, $EK$4)</f>
        <v>0</v>
      </c>
      <c r="EL73" s="1682" t="str">
        <f t="shared" si="71"/>
        <v/>
      </c>
      <c r="EM73" s="1836">
        <f t="shared" si="72"/>
        <v>0</v>
      </c>
      <c r="EN73" s="1562"/>
      <c r="EO73" s="1625">
        <f>SUMIF('Cem-Domestic'!$D$2:$D$4000,$J73,'Cem-Domestic'!$M$2:$M$4000)</f>
        <v>450</v>
      </c>
      <c r="EP73" s="1625">
        <f>SUMIF('Cem-Domestic'!$D$2:$D$4000,$J73,'Cem-Domestic'!$G$2:$G$4000)/10^7</f>
        <v>3.236923</v>
      </c>
      <c r="EQ73" s="1681">
        <f t="shared" si="73"/>
        <v>7193.1622222222222</v>
      </c>
      <c r="ER73" s="1562"/>
      <c r="ES73" s="1533">
        <v>0</v>
      </c>
      <c r="ET73" s="1534">
        <v>0</v>
      </c>
      <c r="EU73" s="1535" t="s">
        <v>192</v>
      </c>
      <c r="EV73" s="1533">
        <v>0</v>
      </c>
      <c r="EW73" s="1534">
        <v>0</v>
      </c>
      <c r="EX73" s="1535" t="s">
        <v>192</v>
      </c>
      <c r="EY73" s="1533">
        <v>0</v>
      </c>
      <c r="EZ73" s="1534">
        <v>0</v>
      </c>
      <c r="FA73" s="1535" t="s">
        <v>192</v>
      </c>
      <c r="FB73" s="1533">
        <v>0</v>
      </c>
      <c r="FC73" s="1534">
        <v>0</v>
      </c>
      <c r="FD73" s="1535" t="s">
        <v>192</v>
      </c>
      <c r="FE73" s="1533">
        <v>0</v>
      </c>
      <c r="FF73" s="1534">
        <v>0</v>
      </c>
      <c r="FG73" s="1535" t="s">
        <v>192</v>
      </c>
    </row>
    <row r="74" spans="1:163" ht="22">
      <c r="A74" s="977"/>
      <c r="B74" s="977"/>
      <c r="C74" s="977"/>
      <c r="D74" s="971"/>
      <c r="E74" s="971"/>
      <c r="F74" s="971"/>
      <c r="G74" s="988"/>
      <c r="H74" s="175"/>
      <c r="I74" s="194"/>
      <c r="J74" s="227" t="s">
        <v>972</v>
      </c>
      <c r="K74" s="65"/>
      <c r="L74" s="65"/>
      <c r="M74" s="65"/>
      <c r="N74" s="208"/>
      <c r="O74" s="208"/>
      <c r="P74" s="1468"/>
      <c r="Q74" s="1468"/>
      <c r="R74" s="1475"/>
      <c r="S74" s="1475"/>
      <c r="T74" s="1481"/>
      <c r="U74" s="1481"/>
      <c r="V74" s="207"/>
      <c r="W74" s="207"/>
      <c r="X74" s="934">
        <v>1000000</v>
      </c>
      <c r="Y74" s="1911"/>
      <c r="Z74" s="1567"/>
      <c r="AA74" s="1548"/>
      <c r="AB74" s="998"/>
      <c r="AC74" s="997"/>
      <c r="AD74" s="996"/>
      <c r="AE74" s="1365"/>
      <c r="AF74" s="1567">
        <v>87.756752500000005</v>
      </c>
      <c r="AG74" s="1548">
        <v>1080000</v>
      </c>
      <c r="AH74" s="998"/>
      <c r="AI74" s="885"/>
      <c r="AJ74" s="883"/>
      <c r="AK74" s="1365"/>
      <c r="AL74" s="1567">
        <v>106.72311500000001</v>
      </c>
      <c r="AM74" s="1548">
        <v>440000</v>
      </c>
      <c r="AN74" s="998"/>
      <c r="AO74" s="885"/>
      <c r="AP74" s="883"/>
      <c r="AQ74" s="1365"/>
      <c r="AR74" s="1567"/>
      <c r="AS74" s="1548"/>
      <c r="AT74" s="884"/>
      <c r="AU74" s="885"/>
      <c r="AV74" s="883"/>
      <c r="AW74" s="884"/>
      <c r="AX74" s="1567">
        <v>118.10341</v>
      </c>
      <c r="AY74" s="1548">
        <v>3.12</v>
      </c>
      <c r="AZ74" s="1138"/>
      <c r="BA74" s="885"/>
      <c r="BB74" s="883"/>
      <c r="BC74" s="884"/>
      <c r="BD74" s="1567"/>
      <c r="BE74" s="1548"/>
      <c r="BF74" s="884"/>
      <c r="BG74" s="885"/>
      <c r="BH74" s="883"/>
      <c r="BI74" s="884"/>
      <c r="BJ74" s="2102"/>
      <c r="BK74" s="2102"/>
      <c r="BL74" s="2102"/>
      <c r="BM74" s="884"/>
      <c r="BN74" s="1567"/>
      <c r="BO74" s="1548"/>
      <c r="BP74" s="1365"/>
      <c r="BQ74" s="997"/>
      <c r="BR74" s="996"/>
      <c r="BS74" s="1365"/>
      <c r="BT74" s="1567"/>
      <c r="BU74" s="1548"/>
      <c r="BV74" s="1365"/>
      <c r="BW74" s="997"/>
      <c r="BX74" s="996"/>
      <c r="BY74" s="1365"/>
      <c r="BZ74" s="1365"/>
      <c r="CA74" s="1365"/>
      <c r="CB74" s="1992">
        <f t="shared" si="74"/>
        <v>120.63281000000001</v>
      </c>
      <c r="CC74" s="1365"/>
      <c r="CD74" s="1996">
        <v>28</v>
      </c>
      <c r="CE74" s="997"/>
      <c r="CF74" s="1981">
        <v>92.632810000000006</v>
      </c>
      <c r="CG74" s="996"/>
      <c r="CH74" s="1365"/>
      <c r="CI74" s="2102"/>
      <c r="CJ74" s="2102"/>
      <c r="CK74" s="2102"/>
      <c r="CL74" s="1365"/>
      <c r="CM74" s="1365"/>
      <c r="CN74" s="1365"/>
      <c r="CO74" s="1992">
        <f t="shared" si="61"/>
        <v>82.180222499999999</v>
      </c>
      <c r="CP74" s="1365"/>
      <c r="CQ74" s="1996">
        <v>0</v>
      </c>
      <c r="CR74" s="997"/>
      <c r="CS74" s="1981">
        <v>82.180222499999999</v>
      </c>
      <c r="CT74" s="996"/>
      <c r="CU74" s="884"/>
      <c r="CV74" s="1365"/>
      <c r="CW74" s="1365"/>
      <c r="CX74" s="1992">
        <f t="shared" si="62"/>
        <v>200.56225749999999</v>
      </c>
      <c r="CY74" s="1365"/>
      <c r="CZ74" s="1996">
        <f t="shared" si="75"/>
        <v>168</v>
      </c>
      <c r="DA74" s="997"/>
      <c r="DB74" s="1981">
        <f t="shared" si="76"/>
        <v>32.562257500000001</v>
      </c>
      <c r="DC74" s="996">
        <f t="shared" si="63"/>
        <v>32.562257500000001</v>
      </c>
      <c r="DD74" s="884"/>
      <c r="DE74" s="1567"/>
      <c r="DF74" s="1548"/>
      <c r="DG74" s="884"/>
      <c r="DH74" s="885"/>
      <c r="DI74" s="883"/>
      <c r="DJ74" s="367"/>
      <c r="DK74" s="1201"/>
      <c r="DL74" s="945"/>
      <c r="DM74" s="943"/>
      <c r="DN74" s="948"/>
      <c r="DO74" s="944"/>
      <c r="DP74" s="913"/>
      <c r="DQ74" s="914"/>
      <c r="DR74" s="946"/>
      <c r="DS74" s="942"/>
      <c r="DT74" s="942"/>
      <c r="DU74" s="954">
        <f t="shared" si="64"/>
        <v>0</v>
      </c>
      <c r="DV74" s="905"/>
      <c r="DW74" s="904">
        <f t="shared" si="67"/>
        <v>0</v>
      </c>
      <c r="DX74" s="1195" t="str">
        <f>_xlfn.XLOOKUP(K74,Cement!$Q$7:$Q$35,Cement!$AR$7:$AR$35,"")</f>
        <v/>
      </c>
      <c r="DY74" s="966"/>
      <c r="DZ74" s="966"/>
      <c r="EA74" s="367"/>
      <c r="EB74" s="176" t="e">
        <f>SUMIF('[1]9-1404.12.03'!$B$2:$B$2000,$J74,'[1]9-1404.12.03'!$L$2:$L$2000)</f>
        <v>#VALUE!</v>
      </c>
      <c r="EC74" s="176" t="e">
        <f>SUMIF('[1]9-1404.12.03'!$B$2:$B$2000,$J74,'[1]9-1404.12.03'!$E$2:$E$2000)/10</f>
        <v>#VALUE!</v>
      </c>
      <c r="ED74" s="177" t="str">
        <f t="shared" si="65"/>
        <v/>
      </c>
      <c r="EE74" s="176" t="e">
        <f>SUMIF('[1]8B-1404.12.02'!$D$2:$D$3000,$J74,'[1]8B-1404.12.02'!$M$2:$M$3000)</f>
        <v>#VALUE!</v>
      </c>
      <c r="EF74" s="176" t="e">
        <f>SUMIF('[1]8B-1404.12.02'!$D$2:$D$3000,$J74,'[1]8B-1404.12.02'!$G$2:$G$3000)/10</f>
        <v>#VALUE!</v>
      </c>
      <c r="EG74" s="177" t="str">
        <f t="shared" si="66"/>
        <v/>
      </c>
      <c r="EH74" s="1502"/>
      <c r="EI74" s="1534">
        <f>SUMIF(Cem_Export!$C$2:$C$3000,$J74,Cem_Export!$I$2:$I$3000)</f>
        <v>30000</v>
      </c>
      <c r="EJ74" s="1534">
        <f>SUMIFS(Cem_Export!$J$2:$J$3000,Cem_Export!$C$2:$C$3000,$J74,Cem_Export!$L$2:$L$3000, $EJ$4)</f>
        <v>1200000</v>
      </c>
      <c r="EK74" s="1534">
        <f>SUMIFS(Cem_Export!$J$2:$J$3000,Cem_Export!$C$2:$C$3000,$J74,Cem_Export!$L$2:$L$3000, $EK$4)</f>
        <v>0</v>
      </c>
      <c r="EL74" s="1682">
        <f t="shared" si="71"/>
        <v>40</v>
      </c>
      <c r="EM74" s="1836">
        <f t="shared" si="72"/>
        <v>168</v>
      </c>
      <c r="EN74" s="1562"/>
      <c r="EO74" s="1625">
        <f>SUMIF('Cem-Domestic'!$D$2:$D$4000,$J74,'Cem-Domestic'!$M$2:$M$4000)</f>
        <v>9100</v>
      </c>
      <c r="EP74" s="1625">
        <f>SUMIF('Cem-Domestic'!$D$2:$D$4000,$J74,'Cem-Domestic'!$G$2:$G$4000)/10^7</f>
        <v>32.562257500000001</v>
      </c>
      <c r="EQ74" s="1681">
        <f t="shared" si="73"/>
        <v>3578.2700549450551</v>
      </c>
      <c r="ER74" s="1562"/>
      <c r="ES74" s="1533">
        <v>6000</v>
      </c>
      <c r="ET74" s="1534">
        <v>261000</v>
      </c>
      <c r="EU74" s="1535">
        <v>43.5</v>
      </c>
      <c r="EV74" s="1533">
        <v>0</v>
      </c>
      <c r="EW74" s="1534">
        <v>0</v>
      </c>
      <c r="EX74" s="1535" t="s">
        <v>192</v>
      </c>
      <c r="EY74" s="1533">
        <v>12000</v>
      </c>
      <c r="EZ74" s="1534">
        <v>480000</v>
      </c>
      <c r="FA74" s="1535">
        <v>40</v>
      </c>
      <c r="FB74" s="1533">
        <v>15000</v>
      </c>
      <c r="FC74" s="1534">
        <v>600000</v>
      </c>
      <c r="FD74" s="1535">
        <v>40</v>
      </c>
      <c r="FE74" s="1533">
        <v>0</v>
      </c>
      <c r="FF74" s="1534">
        <v>0</v>
      </c>
      <c r="FG74" s="1535" t="s">
        <v>192</v>
      </c>
    </row>
    <row r="75" spans="1:163" ht="40">
      <c r="A75" s="977"/>
      <c r="B75" s="977"/>
      <c r="C75" s="977"/>
      <c r="D75" s="971"/>
      <c r="E75" s="971"/>
      <c r="F75" s="971"/>
      <c r="G75" s="988"/>
      <c r="H75" s="767"/>
      <c r="I75" s="768"/>
      <c r="J75" s="769" t="s">
        <v>973</v>
      </c>
      <c r="K75" s="770"/>
      <c r="L75" s="770"/>
      <c r="M75" s="928"/>
      <c r="N75" s="772"/>
      <c r="O75" s="772"/>
      <c r="P75" s="1469"/>
      <c r="Q75" s="1469"/>
      <c r="R75" s="1476"/>
      <c r="S75" s="1476"/>
      <c r="T75" s="1482"/>
      <c r="U75" s="1482"/>
      <c r="V75" s="928"/>
      <c r="W75" s="928"/>
      <c r="X75" s="1216">
        <v>300000</v>
      </c>
      <c r="Y75" s="1913"/>
      <c r="Z75" s="1567"/>
      <c r="AA75" s="1548"/>
      <c r="AB75" s="998"/>
      <c r="AC75" s="997"/>
      <c r="AD75" s="996"/>
      <c r="AE75" s="1365"/>
      <c r="AF75" s="1567">
        <v>18.492108000000002</v>
      </c>
      <c r="AG75" s="1548">
        <v>0</v>
      </c>
      <c r="AH75" s="998"/>
      <c r="AI75" s="885"/>
      <c r="AJ75" s="883"/>
      <c r="AK75" s="1365"/>
      <c r="AL75" s="1567">
        <v>20.275943000000002</v>
      </c>
      <c r="AM75" s="1548">
        <v>0</v>
      </c>
      <c r="AN75" s="998"/>
      <c r="AO75" s="885"/>
      <c r="AP75" s="883"/>
      <c r="AQ75" s="1365"/>
      <c r="AR75" s="1567"/>
      <c r="AS75" s="1548"/>
      <c r="AT75" s="884"/>
      <c r="AU75" s="885"/>
      <c r="AV75" s="883"/>
      <c r="AW75" s="884"/>
      <c r="AX75" s="1567">
        <v>26.656206999999998</v>
      </c>
      <c r="AY75" s="1548">
        <v>0</v>
      </c>
      <c r="AZ75" s="1138"/>
      <c r="BA75" s="885"/>
      <c r="BB75" s="883"/>
      <c r="BC75" s="884"/>
      <c r="BD75" s="1567"/>
      <c r="BE75" s="1548"/>
      <c r="BF75" s="884"/>
      <c r="BG75" s="885"/>
      <c r="BH75" s="883"/>
      <c r="BI75" s="884"/>
      <c r="BJ75" s="2102"/>
      <c r="BK75" s="2102"/>
      <c r="BL75" s="2102"/>
      <c r="BM75" s="884"/>
      <c r="BN75" s="1567"/>
      <c r="BO75" s="1548"/>
      <c r="BP75" s="1365"/>
      <c r="BQ75" s="997"/>
      <c r="BR75" s="996"/>
      <c r="BS75" s="1365"/>
      <c r="BT75" s="1567"/>
      <c r="BU75" s="1548"/>
      <c r="BV75" s="1365"/>
      <c r="BW75" s="997"/>
      <c r="BX75" s="996"/>
      <c r="BY75" s="1365"/>
      <c r="BZ75" s="1365"/>
      <c r="CA75" s="1365"/>
      <c r="CB75" s="1992">
        <f t="shared" si="74"/>
        <v>34.469374999999999</v>
      </c>
      <c r="CC75" s="1365"/>
      <c r="CD75" s="1996">
        <v>0</v>
      </c>
      <c r="CE75" s="997"/>
      <c r="CF75" s="1981">
        <v>34.469374999999999</v>
      </c>
      <c r="CG75" s="996"/>
      <c r="CH75" s="1365"/>
      <c r="CI75" s="2102"/>
      <c r="CJ75" s="2102"/>
      <c r="CK75" s="2102"/>
      <c r="CL75" s="1365"/>
      <c r="CM75" s="1365"/>
      <c r="CN75" s="1365"/>
      <c r="CO75" s="1992">
        <f t="shared" si="61"/>
        <v>31.544619000000001</v>
      </c>
      <c r="CP75" s="1365"/>
      <c r="CQ75" s="1996">
        <v>0</v>
      </c>
      <c r="CR75" s="997"/>
      <c r="CS75" s="1981">
        <v>31.544619000000001</v>
      </c>
      <c r="CT75" s="996"/>
      <c r="CU75" s="884"/>
      <c r="CV75" s="1365"/>
      <c r="CW75" s="1365"/>
      <c r="CX75" s="1992">
        <f t="shared" si="62"/>
        <v>8.6883189999999999</v>
      </c>
      <c r="CY75" s="1365"/>
      <c r="CZ75" s="1996">
        <f t="shared" si="75"/>
        <v>0</v>
      </c>
      <c r="DA75" s="997"/>
      <c r="DB75" s="1981">
        <f t="shared" si="76"/>
        <v>8.6883189999999999</v>
      </c>
      <c r="DC75" s="996">
        <f t="shared" si="63"/>
        <v>8.6883189999999999</v>
      </c>
      <c r="DD75" s="884"/>
      <c r="DE75" s="1567"/>
      <c r="DF75" s="1548"/>
      <c r="DG75" s="884"/>
      <c r="DH75" s="885"/>
      <c r="DI75" s="883"/>
      <c r="DJ75" s="908"/>
      <c r="DK75" s="1201"/>
      <c r="DL75" s="945"/>
      <c r="DM75" s="943"/>
      <c r="DN75" s="948"/>
      <c r="DO75" s="944"/>
      <c r="DP75" s="913"/>
      <c r="DQ75" s="914"/>
      <c r="DR75" s="946"/>
      <c r="DS75" s="942"/>
      <c r="DT75" s="942"/>
      <c r="DU75" s="954">
        <f t="shared" si="64"/>
        <v>0</v>
      </c>
      <c r="DV75" s="905"/>
      <c r="DW75" s="904">
        <f t="shared" si="67"/>
        <v>0</v>
      </c>
      <c r="DX75" s="1195" t="str">
        <f>_xlfn.XLOOKUP(K75,Cement!$Q$7:$Q$35,Cement!$AR$7:$AR$35,"")</f>
        <v/>
      </c>
      <c r="DY75" s="966"/>
      <c r="DZ75" s="966"/>
      <c r="EA75" s="367"/>
      <c r="EB75" s="176" t="e">
        <f>SUMIF('[1]9-1404.12.03'!$B$2:$B$2000,$J75,'[1]9-1404.12.03'!$L$2:$L$2000)</f>
        <v>#VALUE!</v>
      </c>
      <c r="EC75" s="176" t="e">
        <f>SUMIF('[1]9-1404.12.03'!$B$2:$B$2000,$J75,'[1]9-1404.12.03'!$E$2:$E$2000)/10</f>
        <v>#VALUE!</v>
      </c>
      <c r="ED75" s="177" t="str">
        <f t="shared" si="65"/>
        <v/>
      </c>
      <c r="EE75" s="176" t="e">
        <f>SUMIF('[1]8B-1404.12.02'!$D$2:$D$3000,$J75,'[1]8B-1404.12.02'!$M$2:$M$3000)</f>
        <v>#VALUE!</v>
      </c>
      <c r="EF75" s="176" t="e">
        <f>SUMIF('[1]8B-1404.12.02'!$D$2:$D$3000,$J75,'[1]8B-1404.12.02'!$G$2:$G$3000)/10</f>
        <v>#VALUE!</v>
      </c>
      <c r="EG75" s="773" t="str">
        <f t="shared" si="66"/>
        <v/>
      </c>
      <c r="EH75" s="1502"/>
      <c r="EI75" s="1534">
        <f>SUMIF(Cem_Export!$C$2:$C$3000,$J75,Cem_Export!$I$2:$I$3000)</f>
        <v>0</v>
      </c>
      <c r="EJ75" s="1534">
        <f>SUMIFS(Cem_Export!$J$2:$J$3000,Cem_Export!$C$2:$C$3000,$J75,Cem_Export!$L$2:$L$3000, $EJ$4)</f>
        <v>0</v>
      </c>
      <c r="EK75" s="1534">
        <f>SUMIFS(Cem_Export!$J$2:$J$3000,Cem_Export!$C$2:$C$3000,$J75,Cem_Export!$L$2:$L$3000, $EK$4)</f>
        <v>0</v>
      </c>
      <c r="EL75" s="1682" t="str">
        <f t="shared" si="71"/>
        <v/>
      </c>
      <c r="EM75" s="1836">
        <f t="shared" si="72"/>
        <v>0</v>
      </c>
      <c r="EN75" s="1562"/>
      <c r="EO75" s="1625">
        <f>SUMIF('Cem-Domestic'!$D$2:$D$4000,$J75,'Cem-Domestic'!$M$2:$M$4000)</f>
        <v>1240</v>
      </c>
      <c r="EP75" s="1625">
        <f>SUMIF('Cem-Domestic'!$D$2:$D$4000,$J75,'Cem-Domestic'!$G$2:$G$4000)/10^7</f>
        <v>8.6883189999999999</v>
      </c>
      <c r="EQ75" s="1681">
        <f t="shared" si="73"/>
        <v>7006.7088709677419</v>
      </c>
      <c r="ER75" s="1562"/>
      <c r="ES75" s="1533">
        <v>0</v>
      </c>
      <c r="ET75" s="1534">
        <v>0</v>
      </c>
      <c r="EU75" s="1535" t="s">
        <v>192</v>
      </c>
      <c r="EV75" s="1533">
        <v>0</v>
      </c>
      <c r="EW75" s="1534">
        <v>0</v>
      </c>
      <c r="EX75" s="1535" t="s">
        <v>192</v>
      </c>
      <c r="EY75" s="1533">
        <v>0</v>
      </c>
      <c r="EZ75" s="1534">
        <v>0</v>
      </c>
      <c r="FA75" s="1535" t="s">
        <v>192</v>
      </c>
      <c r="FB75" s="1533">
        <v>0</v>
      </c>
      <c r="FC75" s="1534">
        <v>0</v>
      </c>
      <c r="FD75" s="1535" t="s">
        <v>192</v>
      </c>
      <c r="FE75" s="1533">
        <v>0</v>
      </c>
      <c r="FF75" s="1534">
        <v>0</v>
      </c>
      <c r="FG75" s="1535" t="s">
        <v>192</v>
      </c>
    </row>
    <row r="76" spans="1:163" ht="22">
      <c r="A76" s="977"/>
      <c r="B76" s="977"/>
      <c r="C76" s="977"/>
      <c r="D76" s="971"/>
      <c r="E76" s="971"/>
      <c r="F76" s="971"/>
      <c r="G76" s="988"/>
      <c r="H76" s="767"/>
      <c r="I76" s="768"/>
      <c r="J76" s="769" t="s">
        <v>974</v>
      </c>
      <c r="K76" s="771"/>
      <c r="L76" s="771"/>
      <c r="M76" s="929"/>
      <c r="N76" s="772"/>
      <c r="O76" s="772"/>
      <c r="P76" s="1468"/>
      <c r="Q76" s="1468"/>
      <c r="R76" s="1475"/>
      <c r="S76" s="1475"/>
      <c r="T76" s="1481"/>
      <c r="U76" s="1481"/>
      <c r="V76" s="929"/>
      <c r="W76" s="929"/>
      <c r="X76" s="1216">
        <v>300000</v>
      </c>
      <c r="Y76" s="1913"/>
      <c r="Z76" s="1567"/>
      <c r="AA76" s="1548"/>
      <c r="AB76" s="998"/>
      <c r="AC76" s="997"/>
      <c r="AD76" s="996"/>
      <c r="AE76" s="1365"/>
      <c r="AF76" s="1567">
        <v>34.753684499999999</v>
      </c>
      <c r="AG76" s="1548">
        <v>0</v>
      </c>
      <c r="AH76" s="998"/>
      <c r="AI76" s="885"/>
      <c r="AJ76" s="883"/>
      <c r="AK76" s="1365"/>
      <c r="AL76" s="1567">
        <v>28.701389500000001</v>
      </c>
      <c r="AM76" s="1548">
        <v>0</v>
      </c>
      <c r="AN76" s="998"/>
      <c r="AO76" s="885"/>
      <c r="AP76" s="883"/>
      <c r="AQ76" s="1365"/>
      <c r="AR76" s="1567"/>
      <c r="AS76" s="1548"/>
      <c r="AT76" s="884"/>
      <c r="AU76" s="885"/>
      <c r="AV76" s="883"/>
      <c r="AW76" s="884"/>
      <c r="AX76" s="1567">
        <v>35.377139</v>
      </c>
      <c r="AY76" s="1548">
        <v>0</v>
      </c>
      <c r="AZ76" s="1138"/>
      <c r="BA76" s="885"/>
      <c r="BB76" s="883"/>
      <c r="BC76" s="884"/>
      <c r="BD76" s="1567"/>
      <c r="BE76" s="1548"/>
      <c r="BF76" s="884"/>
      <c r="BG76" s="885"/>
      <c r="BH76" s="883"/>
      <c r="BI76" s="884"/>
      <c r="BJ76" s="2102"/>
      <c r="BK76" s="2102"/>
      <c r="BL76" s="2102"/>
      <c r="BM76" s="884"/>
      <c r="BN76" s="1567"/>
      <c r="BO76" s="1548"/>
      <c r="BP76" s="1365"/>
      <c r="BQ76" s="997"/>
      <c r="BR76" s="996"/>
      <c r="BS76" s="1365"/>
      <c r="BT76" s="1567"/>
      <c r="BU76" s="1548"/>
      <c r="BV76" s="1365"/>
      <c r="BW76" s="997"/>
      <c r="BX76" s="996"/>
      <c r="BY76" s="1365"/>
      <c r="BZ76" s="1365"/>
      <c r="CA76" s="1365"/>
      <c r="CB76" s="1992">
        <f t="shared" si="74"/>
        <v>47.071683999999998</v>
      </c>
      <c r="CC76" s="1365"/>
      <c r="CD76" s="1996">
        <v>0</v>
      </c>
      <c r="CE76" s="997"/>
      <c r="CF76" s="1981">
        <v>47.071683999999998</v>
      </c>
      <c r="CG76" s="996"/>
      <c r="CH76" s="1365"/>
      <c r="CI76" s="2102"/>
      <c r="CJ76" s="2102"/>
      <c r="CK76" s="2102"/>
      <c r="CL76" s="1365"/>
      <c r="CM76" s="1365"/>
      <c r="CN76" s="1365"/>
      <c r="CO76" s="1992">
        <f t="shared" si="61"/>
        <v>0</v>
      </c>
      <c r="CP76" s="1365"/>
      <c r="CQ76" s="1996">
        <v>0</v>
      </c>
      <c r="CR76" s="997"/>
      <c r="CS76" s="1981">
        <v>0</v>
      </c>
      <c r="CT76" s="996"/>
      <c r="CU76" s="884"/>
      <c r="CV76" s="1365"/>
      <c r="CW76" s="1365"/>
      <c r="CX76" s="1992">
        <f t="shared" si="62"/>
        <v>14.456782</v>
      </c>
      <c r="CY76" s="1365"/>
      <c r="CZ76" s="1996">
        <f t="shared" si="75"/>
        <v>0</v>
      </c>
      <c r="DA76" s="997"/>
      <c r="DB76" s="1981">
        <f t="shared" si="76"/>
        <v>14.456782</v>
      </c>
      <c r="DC76" s="996">
        <f t="shared" si="63"/>
        <v>14.456782</v>
      </c>
      <c r="DD76" s="884"/>
      <c r="DE76" s="1567"/>
      <c r="DF76" s="1548"/>
      <c r="DG76" s="884"/>
      <c r="DH76" s="885"/>
      <c r="DI76" s="883"/>
      <c r="DJ76" s="908"/>
      <c r="DK76" s="1201"/>
      <c r="DL76" s="945"/>
      <c r="DM76" s="943"/>
      <c r="DN76" s="948"/>
      <c r="DO76" s="944"/>
      <c r="DP76" s="913"/>
      <c r="DQ76" s="914"/>
      <c r="DR76" s="946"/>
      <c r="DS76" s="942"/>
      <c r="DT76" s="942"/>
      <c r="DU76" s="954">
        <f t="shared" si="64"/>
        <v>0</v>
      </c>
      <c r="DV76" s="905"/>
      <c r="DW76" s="904">
        <f t="shared" si="67"/>
        <v>0</v>
      </c>
      <c r="DX76" s="1195" t="str">
        <f>_xlfn.XLOOKUP(K76,Cement!$Q$7:$Q$35,Cement!$AR$7:$AR$35,"")</f>
        <v/>
      </c>
      <c r="DY76" s="966"/>
      <c r="DZ76" s="966"/>
      <c r="EA76" s="367"/>
      <c r="EB76" s="176" t="e">
        <f>SUMIF('[1]9-1404.12.03'!$B$2:$B$2000,$J76,'[1]9-1404.12.03'!$L$2:$L$2000)</f>
        <v>#VALUE!</v>
      </c>
      <c r="EC76" s="176" t="e">
        <f>SUMIF('[1]9-1404.12.03'!$B$2:$B$2000,$J76,'[1]9-1404.12.03'!$E$2:$E$2000)/10</f>
        <v>#VALUE!</v>
      </c>
      <c r="ED76" s="177" t="str">
        <f t="shared" si="65"/>
        <v/>
      </c>
      <c r="EE76" s="176" t="e">
        <f>SUMIF('[1]8B-1404.12.02'!$D$2:$D$3000,$J76,'[1]8B-1404.12.02'!$M$2:$M$3000)</f>
        <v>#VALUE!</v>
      </c>
      <c r="EF76" s="176" t="e">
        <f>SUMIF('[1]8B-1404.12.02'!$D$2:$D$3000,$J76,'[1]8B-1404.12.02'!$G$2:$G$3000)/10</f>
        <v>#VALUE!</v>
      </c>
      <c r="EG76" s="773" t="str">
        <f t="shared" si="66"/>
        <v/>
      </c>
      <c r="EH76" s="1502"/>
      <c r="EI76" s="1534">
        <f>SUMIF(Cem_Export!$C$2:$C$3000,$J76,Cem_Export!$I$2:$I$3000)</f>
        <v>0</v>
      </c>
      <c r="EJ76" s="1534">
        <f>SUMIFS(Cem_Export!$J$2:$J$3000,Cem_Export!$C$2:$C$3000,$J76,Cem_Export!$L$2:$L$3000, $EJ$4)</f>
        <v>0</v>
      </c>
      <c r="EK76" s="1534">
        <f>SUMIFS(Cem_Export!$J$2:$J$3000,Cem_Export!$C$2:$C$3000,$J76,Cem_Export!$L$2:$L$3000, $EK$4)</f>
        <v>0</v>
      </c>
      <c r="EL76" s="1682" t="str">
        <f t="shared" si="71"/>
        <v/>
      </c>
      <c r="EM76" s="1836">
        <f t="shared" si="72"/>
        <v>0</v>
      </c>
      <c r="EN76" s="1562"/>
      <c r="EO76" s="1625">
        <f>SUMIF('Cem-Domestic'!$D$2:$D$4000,$J76,'Cem-Domestic'!$M$2:$M$4000)</f>
        <v>1650</v>
      </c>
      <c r="EP76" s="1625">
        <f>SUMIF('Cem-Domestic'!$D$2:$D$4000,$J76,'Cem-Domestic'!$G$2:$G$4000)/10^7</f>
        <v>14.456782</v>
      </c>
      <c r="EQ76" s="1681">
        <f t="shared" si="73"/>
        <v>8761.6860606060618</v>
      </c>
      <c r="ER76" s="1562"/>
      <c r="ES76" s="1533">
        <v>0</v>
      </c>
      <c r="ET76" s="1534">
        <v>0</v>
      </c>
      <c r="EU76" s="1535" t="s">
        <v>192</v>
      </c>
      <c r="EV76" s="1533">
        <v>0</v>
      </c>
      <c r="EW76" s="1534">
        <v>0</v>
      </c>
      <c r="EX76" s="1535" t="s">
        <v>192</v>
      </c>
      <c r="EY76" s="1533">
        <v>0</v>
      </c>
      <c r="EZ76" s="1534">
        <v>0</v>
      </c>
      <c r="FA76" s="1535" t="s">
        <v>192</v>
      </c>
      <c r="FB76" s="1533">
        <v>0</v>
      </c>
      <c r="FC76" s="1534">
        <v>0</v>
      </c>
      <c r="FD76" s="1535" t="s">
        <v>192</v>
      </c>
      <c r="FE76" s="1533">
        <v>0</v>
      </c>
      <c r="FF76" s="1534">
        <v>0</v>
      </c>
      <c r="FG76" s="1535" t="s">
        <v>192</v>
      </c>
    </row>
    <row r="77" spans="1:163" ht="22">
      <c r="A77" s="977"/>
      <c r="B77" s="977"/>
      <c r="C77" s="977"/>
      <c r="D77" s="971"/>
      <c r="E77" s="971"/>
      <c r="F77" s="971"/>
      <c r="G77" s="988"/>
      <c r="H77" s="767"/>
      <c r="I77" s="768"/>
      <c r="J77" s="769" t="s">
        <v>975</v>
      </c>
      <c r="K77" s="771"/>
      <c r="L77" s="771"/>
      <c r="M77" s="929"/>
      <c r="N77" s="772"/>
      <c r="O77" s="772"/>
      <c r="P77" s="1468"/>
      <c r="Q77" s="1468"/>
      <c r="R77" s="1475"/>
      <c r="S77" s="1475"/>
      <c r="T77" s="1481"/>
      <c r="U77" s="1481"/>
      <c r="V77" s="929"/>
      <c r="W77" s="929"/>
      <c r="X77" s="1216">
        <v>300000</v>
      </c>
      <c r="Y77" s="1913"/>
      <c r="Z77" s="1567"/>
      <c r="AA77" s="1548"/>
      <c r="AB77" s="998"/>
      <c r="AC77" s="997"/>
      <c r="AD77" s="996"/>
      <c r="AE77" s="1365"/>
      <c r="AF77" s="1567">
        <v>46.956420000000001</v>
      </c>
      <c r="AG77" s="1548">
        <v>0</v>
      </c>
      <c r="AH77" s="998"/>
      <c r="AI77" s="885"/>
      <c r="AJ77" s="883"/>
      <c r="AK77" s="1365"/>
      <c r="AL77" s="1567">
        <v>47.127090000000003</v>
      </c>
      <c r="AM77" s="1548">
        <v>0</v>
      </c>
      <c r="AN77" s="998"/>
      <c r="AO77" s="885"/>
      <c r="AP77" s="883"/>
      <c r="AQ77" s="1365"/>
      <c r="AR77" s="1567"/>
      <c r="AS77" s="1548"/>
      <c r="AT77" s="884"/>
      <c r="AU77" s="885"/>
      <c r="AV77" s="883"/>
      <c r="AW77" s="884"/>
      <c r="AX77" s="1567">
        <v>63.154235</v>
      </c>
      <c r="AY77" s="1548">
        <v>0</v>
      </c>
      <c r="AZ77" s="1138"/>
      <c r="BA77" s="885"/>
      <c r="BB77" s="883"/>
      <c r="BC77" s="884"/>
      <c r="BD77" s="1567"/>
      <c r="BE77" s="1548"/>
      <c r="BF77" s="884"/>
      <c r="BG77" s="885"/>
      <c r="BH77" s="883"/>
      <c r="BI77" s="884"/>
      <c r="BJ77" s="2102"/>
      <c r="BK77" s="2102"/>
      <c r="BL77" s="2102"/>
      <c r="BM77" s="884"/>
      <c r="BN77" s="1567"/>
      <c r="BO77" s="1548"/>
      <c r="BP77" s="1365"/>
      <c r="BQ77" s="997"/>
      <c r="BR77" s="996"/>
      <c r="BS77" s="1365"/>
      <c r="BT77" s="1567"/>
      <c r="BU77" s="1548"/>
      <c r="BV77" s="1365"/>
      <c r="BW77" s="997"/>
      <c r="BX77" s="996"/>
      <c r="BY77" s="1365"/>
      <c r="BZ77" s="1365"/>
      <c r="CA77" s="1365"/>
      <c r="CB77" s="1992">
        <f t="shared" si="74"/>
        <v>85.158672499999994</v>
      </c>
      <c r="CC77" s="1365"/>
      <c r="CD77" s="1996">
        <v>0</v>
      </c>
      <c r="CE77" s="997"/>
      <c r="CF77" s="1981">
        <v>85.158672499999994</v>
      </c>
      <c r="CG77" s="996"/>
      <c r="CH77" s="1365"/>
      <c r="CI77" s="2102"/>
      <c r="CJ77" s="2102"/>
      <c r="CK77" s="2102"/>
      <c r="CL77" s="1365"/>
      <c r="CM77" s="1365"/>
      <c r="CN77" s="1365"/>
      <c r="CO77" s="1992">
        <f t="shared" si="61"/>
        <v>21.486754999999999</v>
      </c>
      <c r="CP77" s="1365"/>
      <c r="CQ77" s="1996">
        <v>0</v>
      </c>
      <c r="CR77" s="997"/>
      <c r="CS77" s="1981">
        <f>$EP77</f>
        <v>21.486754999999999</v>
      </c>
      <c r="CT77" s="996"/>
      <c r="CU77" s="884"/>
      <c r="CV77" s="1365"/>
      <c r="CW77" s="1365"/>
      <c r="CX77" s="1992">
        <f t="shared" si="62"/>
        <v>21.486754999999999</v>
      </c>
      <c r="CY77" s="1365"/>
      <c r="CZ77" s="1996">
        <f t="shared" si="75"/>
        <v>0</v>
      </c>
      <c r="DA77" s="997"/>
      <c r="DB77" s="1981">
        <f t="shared" si="76"/>
        <v>21.486754999999999</v>
      </c>
      <c r="DC77" s="996">
        <f t="shared" si="63"/>
        <v>21.486754999999999</v>
      </c>
      <c r="DD77" s="884"/>
      <c r="DE77" s="1567"/>
      <c r="DF77" s="1548"/>
      <c r="DG77" s="884"/>
      <c r="DH77" s="885"/>
      <c r="DI77" s="883"/>
      <c r="DJ77" s="908"/>
      <c r="DK77" s="1201"/>
      <c r="DL77" s="945"/>
      <c r="DM77" s="943"/>
      <c r="DN77" s="948"/>
      <c r="DO77" s="944"/>
      <c r="DP77" s="913"/>
      <c r="DQ77" s="914"/>
      <c r="DR77" s="946"/>
      <c r="DS77" s="942"/>
      <c r="DT77" s="942"/>
      <c r="DU77" s="954">
        <f t="shared" si="64"/>
        <v>0</v>
      </c>
      <c r="DV77" s="905"/>
      <c r="DW77" s="904">
        <f t="shared" si="67"/>
        <v>0</v>
      </c>
      <c r="DX77" s="1195" t="str">
        <f>_xlfn.XLOOKUP(K77,Cement!$Q$7:$Q$35,Cement!$AR$7:$AR$35,"")</f>
        <v/>
      </c>
      <c r="DY77" s="966"/>
      <c r="DZ77" s="966"/>
      <c r="EA77" s="367"/>
      <c r="EB77" s="176" t="e">
        <f>SUMIF('[1]9-1404.12.03'!$B$2:$B$2000,$J77,'[1]9-1404.12.03'!$L$2:$L$2000)</f>
        <v>#VALUE!</v>
      </c>
      <c r="EC77" s="176" t="e">
        <f>SUMIF('[1]9-1404.12.03'!$B$2:$B$2000,$J77,'[1]9-1404.12.03'!$E$2:$E$2000)/10</f>
        <v>#VALUE!</v>
      </c>
      <c r="ED77" s="177" t="str">
        <f t="shared" si="65"/>
        <v/>
      </c>
      <c r="EE77" s="176" t="e">
        <f>SUMIF('[1]8B-1404.12.02'!$D$2:$D$3000,$J77,'[1]8B-1404.12.02'!$M$2:$M$3000)</f>
        <v>#VALUE!</v>
      </c>
      <c r="EF77" s="176" t="e">
        <f>SUMIF('[1]8B-1404.12.02'!$D$2:$D$3000,$J77,'[1]8B-1404.12.02'!$G$2:$G$3000)/10</f>
        <v>#VALUE!</v>
      </c>
      <c r="EG77" s="773" t="str">
        <f t="shared" si="66"/>
        <v/>
      </c>
      <c r="EH77" s="1502"/>
      <c r="EI77" s="1534">
        <f>SUMIF(Cem_Export!$C$2:$C$3000,$J77,Cem_Export!$I$2:$I$3000)</f>
        <v>0</v>
      </c>
      <c r="EJ77" s="1534">
        <f>SUMIFS(Cem_Export!$J$2:$J$3000,Cem_Export!$C$2:$C$3000,$J77,Cem_Export!$L$2:$L$3000, $EJ$4)</f>
        <v>0</v>
      </c>
      <c r="EK77" s="1534">
        <f>SUMIFS(Cem_Export!$J$2:$J$3000,Cem_Export!$C$2:$C$3000,$J77,Cem_Export!$L$2:$L$3000, $EK$4)</f>
        <v>0</v>
      </c>
      <c r="EL77" s="1682" t="str">
        <f t="shared" si="71"/>
        <v/>
      </c>
      <c r="EM77" s="1836">
        <f t="shared" si="72"/>
        <v>0</v>
      </c>
      <c r="EN77" s="1562"/>
      <c r="EO77" s="1625">
        <f>SUMIF('Cem-Domestic'!$D$2:$D$4000,$J77,'Cem-Domestic'!$M$2:$M$4000)</f>
        <v>3250</v>
      </c>
      <c r="EP77" s="1625">
        <f>SUMIF('Cem-Domestic'!$D$2:$D$4000,$J77,'Cem-Domestic'!$G$2:$G$4000)/10^7</f>
        <v>21.486754999999999</v>
      </c>
      <c r="EQ77" s="1681">
        <f t="shared" si="73"/>
        <v>6611.3092307692305</v>
      </c>
      <c r="ER77" s="1562"/>
      <c r="ES77" s="1533">
        <v>0</v>
      </c>
      <c r="ET77" s="1534">
        <v>0</v>
      </c>
      <c r="EU77" s="1535" t="s">
        <v>192</v>
      </c>
      <c r="EV77" s="1533">
        <v>0</v>
      </c>
      <c r="EW77" s="1534">
        <v>0</v>
      </c>
      <c r="EX77" s="1535" t="s">
        <v>192</v>
      </c>
      <c r="EY77" s="1533">
        <v>0</v>
      </c>
      <c r="EZ77" s="1534">
        <v>0</v>
      </c>
      <c r="FA77" s="1535" t="s">
        <v>192</v>
      </c>
      <c r="FB77" s="1533">
        <v>0</v>
      </c>
      <c r="FC77" s="1534">
        <v>0</v>
      </c>
      <c r="FD77" s="1535" t="s">
        <v>192</v>
      </c>
      <c r="FE77" s="1533">
        <v>0</v>
      </c>
      <c r="FF77" s="1534">
        <v>0</v>
      </c>
      <c r="FG77" s="1535" t="s">
        <v>192</v>
      </c>
    </row>
    <row r="78" spans="1:163" ht="22">
      <c r="A78" s="977"/>
      <c r="B78" s="977"/>
      <c r="C78" s="977"/>
      <c r="D78" s="971"/>
      <c r="E78" s="971"/>
      <c r="F78" s="971"/>
      <c r="G78" s="988"/>
      <c r="H78" s="767"/>
      <c r="I78" s="768"/>
      <c r="J78" s="779" t="s">
        <v>976</v>
      </c>
      <c r="K78" s="771"/>
      <c r="L78" s="771"/>
      <c r="M78" s="929"/>
      <c r="N78" s="772"/>
      <c r="O78" s="772"/>
      <c r="P78" s="1468"/>
      <c r="Q78" s="1468"/>
      <c r="R78" s="1475"/>
      <c r="S78" s="1475"/>
      <c r="T78" s="1481"/>
      <c r="U78" s="1481"/>
      <c r="V78" s="929"/>
      <c r="W78" s="929"/>
      <c r="X78" s="1216">
        <v>100000</v>
      </c>
      <c r="Y78" s="1913"/>
      <c r="Z78" s="1567"/>
      <c r="AA78" s="1548"/>
      <c r="AB78" s="998"/>
      <c r="AC78" s="997"/>
      <c r="AD78" s="996"/>
      <c r="AE78" s="1365"/>
      <c r="AF78" s="1567">
        <v>27.694860500000001</v>
      </c>
      <c r="AG78" s="1548">
        <v>0</v>
      </c>
      <c r="AH78" s="998"/>
      <c r="AI78" s="885"/>
      <c r="AJ78" s="883"/>
      <c r="AK78" s="1365"/>
      <c r="AL78" s="1567">
        <v>21.438983</v>
      </c>
      <c r="AM78" s="1548">
        <v>0</v>
      </c>
      <c r="AN78" s="998"/>
      <c r="AO78" s="885"/>
      <c r="AP78" s="883"/>
      <c r="AQ78" s="1365"/>
      <c r="AR78" s="1567"/>
      <c r="AS78" s="1548"/>
      <c r="AT78" s="884"/>
      <c r="AU78" s="885"/>
      <c r="AV78" s="883"/>
      <c r="AW78" s="884"/>
      <c r="AX78" s="1567">
        <v>25.606305500000001</v>
      </c>
      <c r="AY78" s="1548">
        <v>0</v>
      </c>
      <c r="AZ78" s="1138"/>
      <c r="BA78" s="885"/>
      <c r="BB78" s="883"/>
      <c r="BC78" s="884"/>
      <c r="BD78" s="1567"/>
      <c r="BE78" s="1548"/>
      <c r="BF78" s="884"/>
      <c r="BG78" s="885"/>
      <c r="BH78" s="883"/>
      <c r="BI78" s="884"/>
      <c r="BJ78" s="2102"/>
      <c r="BK78" s="2102"/>
      <c r="BL78" s="2102"/>
      <c r="BM78" s="884"/>
      <c r="BN78" s="1567"/>
      <c r="BO78" s="1548"/>
      <c r="BP78" s="1365"/>
      <c r="BQ78" s="997"/>
      <c r="BR78" s="996"/>
      <c r="BS78" s="1365"/>
      <c r="BT78" s="1567"/>
      <c r="BU78" s="1548"/>
      <c r="BV78" s="1365"/>
      <c r="BW78" s="997"/>
      <c r="BX78" s="996"/>
      <c r="BY78" s="1365"/>
      <c r="BZ78" s="1365"/>
      <c r="CA78" s="1365"/>
      <c r="CB78" s="1992">
        <f t="shared" si="74"/>
        <v>30.160292999999999</v>
      </c>
      <c r="CC78" s="1365"/>
      <c r="CD78" s="1996">
        <v>0</v>
      </c>
      <c r="CE78" s="997"/>
      <c r="CF78" s="1981">
        <v>30.160292999999999</v>
      </c>
      <c r="CG78" s="996"/>
      <c r="CH78" s="1365"/>
      <c r="CI78" s="2102"/>
      <c r="CJ78" s="2102"/>
      <c r="CK78" s="2102"/>
      <c r="CL78" s="1365"/>
      <c r="CM78" s="1365"/>
      <c r="CN78" s="1365"/>
      <c r="CO78" s="1992">
        <f t="shared" si="61"/>
        <v>9.3514879999999998</v>
      </c>
      <c r="CP78" s="1365"/>
      <c r="CQ78" s="1996">
        <v>0</v>
      </c>
      <c r="CR78" s="997"/>
      <c r="CS78" s="1981">
        <f>$EP78</f>
        <v>9.3514879999999998</v>
      </c>
      <c r="CT78" s="996"/>
      <c r="CU78" s="884"/>
      <c r="CV78" s="1365"/>
      <c r="CW78" s="1365"/>
      <c r="CX78" s="1992">
        <f t="shared" si="62"/>
        <v>9.3514879999999998</v>
      </c>
      <c r="CY78" s="1365"/>
      <c r="CZ78" s="1996">
        <f t="shared" si="75"/>
        <v>0</v>
      </c>
      <c r="DA78" s="997"/>
      <c r="DB78" s="1981">
        <f t="shared" si="76"/>
        <v>9.3514879999999998</v>
      </c>
      <c r="DC78" s="996">
        <f t="shared" si="63"/>
        <v>9.3514879999999998</v>
      </c>
      <c r="DD78" s="884"/>
      <c r="DE78" s="1567"/>
      <c r="DF78" s="1548"/>
      <c r="DG78" s="884"/>
      <c r="DH78" s="885"/>
      <c r="DI78" s="883"/>
      <c r="DJ78" s="908"/>
      <c r="DK78" s="1201"/>
      <c r="DL78" s="945"/>
      <c r="DM78" s="943"/>
      <c r="DN78" s="948"/>
      <c r="DO78" s="944"/>
      <c r="DP78" s="913"/>
      <c r="DQ78" s="914"/>
      <c r="DR78" s="946"/>
      <c r="DS78" s="942"/>
      <c r="DT78" s="942"/>
      <c r="DU78" s="954">
        <f t="shared" si="64"/>
        <v>0</v>
      </c>
      <c r="DV78" s="905"/>
      <c r="DW78" s="904">
        <f t="shared" si="67"/>
        <v>0</v>
      </c>
      <c r="DX78" s="1195" t="str">
        <f>_xlfn.XLOOKUP(K78,Cement!$Q$7:$Q$35,Cement!$AR$7:$AR$35,"")</f>
        <v/>
      </c>
      <c r="DY78" s="966"/>
      <c r="DZ78" s="966"/>
      <c r="EA78" s="367"/>
      <c r="EB78" s="176" t="e">
        <f>SUMIF('[1]9-1404.12.03'!$B$2:$B$2000,$J78,'[1]9-1404.12.03'!$L$2:$L$2000)</f>
        <v>#VALUE!</v>
      </c>
      <c r="EC78" s="176" t="e">
        <f>SUMIF('[1]9-1404.12.03'!$B$2:$B$2000,$J78,'[1]9-1404.12.03'!$E$2:$E$2000)/10</f>
        <v>#VALUE!</v>
      </c>
      <c r="ED78" s="177" t="str">
        <f t="shared" si="65"/>
        <v/>
      </c>
      <c r="EE78" s="176" t="e">
        <f>SUMIF('[1]8B-1404.12.02'!$D$2:$D$3000,$J78,'[1]8B-1404.12.02'!$M$2:$M$3000)</f>
        <v>#VALUE!</v>
      </c>
      <c r="EF78" s="176" t="e">
        <f>SUMIF('[1]8B-1404.12.02'!$D$2:$D$3000,$J78,'[1]8B-1404.12.02'!$G$2:$G$3000)/10</f>
        <v>#VALUE!</v>
      </c>
      <c r="EG78" s="773" t="str">
        <f t="shared" si="66"/>
        <v/>
      </c>
      <c r="EH78" s="1502"/>
      <c r="EI78" s="1534">
        <f>SUMIF(Cem_Export!$C$2:$C$3000,$J78,Cem_Export!$I$2:$I$3000)</f>
        <v>0</v>
      </c>
      <c r="EJ78" s="1534">
        <f>SUMIFS(Cem_Export!$J$2:$J$3000,Cem_Export!$C$2:$C$3000,$J78,Cem_Export!$L$2:$L$3000, $EJ$4)</f>
        <v>0</v>
      </c>
      <c r="EK78" s="1534">
        <f>SUMIFS(Cem_Export!$J$2:$J$3000,Cem_Export!$C$2:$C$3000,$J78,Cem_Export!$L$2:$L$3000, $EK$4)</f>
        <v>0</v>
      </c>
      <c r="EL78" s="1682" t="str">
        <f t="shared" si="71"/>
        <v/>
      </c>
      <c r="EM78" s="1836">
        <f t="shared" si="72"/>
        <v>0</v>
      </c>
      <c r="EN78" s="1562"/>
      <c r="EO78" s="1625">
        <f>SUMIF('Cem-Domestic'!$D$2:$D$4000,$J78,'Cem-Domestic'!$M$2:$M$4000)</f>
        <v>1300</v>
      </c>
      <c r="EP78" s="1625">
        <f>SUMIF('Cem-Domestic'!$D$2:$D$4000,$J78,'Cem-Domestic'!$G$2:$G$4000)/10^7</f>
        <v>9.3514879999999998</v>
      </c>
      <c r="EQ78" s="1681">
        <f t="shared" si="73"/>
        <v>7193.4523076923078</v>
      </c>
      <c r="ER78" s="1562"/>
      <c r="ES78" s="1533">
        <v>0</v>
      </c>
      <c r="ET78" s="1534">
        <v>0</v>
      </c>
      <c r="EU78" s="1535" t="s">
        <v>192</v>
      </c>
      <c r="EV78" s="1533">
        <v>0</v>
      </c>
      <c r="EW78" s="1534">
        <v>0</v>
      </c>
      <c r="EX78" s="1535" t="s">
        <v>192</v>
      </c>
      <c r="EY78" s="1533">
        <v>0</v>
      </c>
      <c r="EZ78" s="1534">
        <v>0</v>
      </c>
      <c r="FA78" s="1535" t="s">
        <v>192</v>
      </c>
      <c r="FB78" s="1533">
        <v>0</v>
      </c>
      <c r="FC78" s="1534">
        <v>0</v>
      </c>
      <c r="FD78" s="1535" t="s">
        <v>192</v>
      </c>
      <c r="FE78" s="1533">
        <v>0</v>
      </c>
      <c r="FF78" s="1534">
        <v>0</v>
      </c>
      <c r="FG78" s="1535" t="s">
        <v>192</v>
      </c>
    </row>
    <row r="79" spans="1:163" ht="23" thickBot="1">
      <c r="A79" s="977"/>
      <c r="B79" s="977"/>
      <c r="C79" s="977"/>
      <c r="D79" s="971"/>
      <c r="E79" s="971"/>
      <c r="F79" s="971"/>
      <c r="G79" s="988"/>
      <c r="H79" s="767"/>
      <c r="I79" s="768"/>
      <c r="J79" s="774"/>
      <c r="K79" s="771"/>
      <c r="L79" s="771"/>
      <c r="M79" s="929"/>
      <c r="N79" s="772"/>
      <c r="O79" s="772"/>
      <c r="P79" s="1468"/>
      <c r="Q79" s="1468"/>
      <c r="R79" s="1475"/>
      <c r="S79" s="1475"/>
      <c r="T79" s="1481"/>
      <c r="U79" s="1481"/>
      <c r="V79" s="929"/>
      <c r="W79" s="929"/>
      <c r="X79" s="1216"/>
      <c r="Y79" s="1913"/>
      <c r="Z79" s="1567"/>
      <c r="AA79" s="1548"/>
      <c r="AB79" s="998"/>
      <c r="AC79" s="997"/>
      <c r="AD79" s="996"/>
      <c r="AE79" s="1365"/>
      <c r="AF79" s="1567">
        <v>0</v>
      </c>
      <c r="AG79" s="1548">
        <v>0</v>
      </c>
      <c r="AH79" s="998"/>
      <c r="AI79" s="885"/>
      <c r="AJ79" s="883"/>
      <c r="AK79" s="1365"/>
      <c r="AL79" s="1567">
        <v>0</v>
      </c>
      <c r="AM79" s="1548">
        <v>0</v>
      </c>
      <c r="AN79" s="998"/>
      <c r="AO79" s="885"/>
      <c r="AP79" s="883"/>
      <c r="AQ79" s="1365"/>
      <c r="AR79" s="1567"/>
      <c r="AS79" s="1548"/>
      <c r="AT79" s="884"/>
      <c r="AU79" s="885"/>
      <c r="AV79" s="883"/>
      <c r="AW79" s="884"/>
      <c r="AX79" s="1567">
        <v>0</v>
      </c>
      <c r="AY79" s="1548">
        <v>0</v>
      </c>
      <c r="AZ79" s="1138"/>
      <c r="BA79" s="885"/>
      <c r="BB79" s="883"/>
      <c r="BC79" s="884"/>
      <c r="BD79" s="1567"/>
      <c r="BE79" s="1548"/>
      <c r="BF79" s="884"/>
      <c r="BG79" s="885"/>
      <c r="BH79" s="883"/>
      <c r="BI79" s="884"/>
      <c r="BJ79" s="2102"/>
      <c r="BK79" s="2102"/>
      <c r="BL79" s="2102"/>
      <c r="BM79" s="884"/>
      <c r="BN79" s="1567"/>
      <c r="BO79" s="1548"/>
      <c r="BP79" s="1365"/>
      <c r="BQ79" s="997"/>
      <c r="BR79" s="996"/>
      <c r="BS79" s="1365"/>
      <c r="BT79" s="1567"/>
      <c r="BU79" s="1548"/>
      <c r="BV79" s="1365"/>
      <c r="BW79" s="997"/>
      <c r="BX79" s="996"/>
      <c r="BY79" s="1365"/>
      <c r="BZ79" s="1365"/>
      <c r="CA79" s="1365"/>
      <c r="CB79" s="1992">
        <f t="shared" si="74"/>
        <v>0</v>
      </c>
      <c r="CC79" s="1365"/>
      <c r="CD79" s="1996">
        <v>0</v>
      </c>
      <c r="CE79" s="997"/>
      <c r="CF79" s="1981">
        <v>0</v>
      </c>
      <c r="CG79" s="996"/>
      <c r="CH79" s="1365"/>
      <c r="CI79" s="2102"/>
      <c r="CJ79" s="2102"/>
      <c r="CK79" s="2102"/>
      <c r="CL79" s="1365"/>
      <c r="CM79" s="1365"/>
      <c r="CN79" s="1365"/>
      <c r="CO79" s="1992">
        <f t="shared" si="61"/>
        <v>0</v>
      </c>
      <c r="CP79" s="1365"/>
      <c r="CQ79" s="1996">
        <v>0</v>
      </c>
      <c r="CR79" s="997"/>
      <c r="CS79" s="1981">
        <f>$EP79</f>
        <v>0</v>
      </c>
      <c r="CT79" s="996"/>
      <c r="CU79" s="884"/>
      <c r="CV79" s="1365"/>
      <c r="CW79" s="1365"/>
      <c r="CX79" s="1992">
        <f t="shared" si="62"/>
        <v>0</v>
      </c>
      <c r="CY79" s="1365"/>
      <c r="CZ79" s="1996">
        <f t="shared" si="75"/>
        <v>0</v>
      </c>
      <c r="DA79" s="997"/>
      <c r="DB79" s="1981">
        <f t="shared" si="76"/>
        <v>0</v>
      </c>
      <c r="DC79" s="996">
        <f t="shared" si="63"/>
        <v>0</v>
      </c>
      <c r="DD79" s="884"/>
      <c r="DE79" s="1567"/>
      <c r="DF79" s="1548"/>
      <c r="DG79" s="884"/>
      <c r="DH79" s="885"/>
      <c r="DI79" s="883"/>
      <c r="DJ79" s="908"/>
      <c r="DK79" s="1201"/>
      <c r="DL79" s="945"/>
      <c r="DM79" s="943"/>
      <c r="DN79" s="948"/>
      <c r="DO79" s="944"/>
      <c r="DP79" s="913"/>
      <c r="DQ79" s="914"/>
      <c r="DR79" s="946"/>
      <c r="DS79" s="942"/>
      <c r="DT79" s="942"/>
      <c r="DU79" s="954">
        <f t="shared" si="64"/>
        <v>0</v>
      </c>
      <c r="DV79" s="905"/>
      <c r="DW79" s="904">
        <f t="shared" si="67"/>
        <v>0</v>
      </c>
      <c r="DX79" s="1195" t="str">
        <f>_xlfn.XLOOKUP(K79,Cement!$Q$7:$Q$35,Cement!$AR$7:$AR$35,"")</f>
        <v/>
      </c>
      <c r="DY79" s="966"/>
      <c r="DZ79" s="966"/>
      <c r="EA79" s="367"/>
      <c r="EB79" s="176" t="e">
        <f>SUMIF('[1]9-1404.12.03'!$B$2:$B$2000,$J79,'[1]9-1404.12.03'!$L$2:$L$2000)</f>
        <v>#VALUE!</v>
      </c>
      <c r="EC79" s="176" t="e">
        <f>SUMIF('[1]9-1404.12.03'!$B$2:$B$2000,$J79,'[1]9-1404.12.03'!$E$2:$E$2000)/10</f>
        <v>#VALUE!</v>
      </c>
      <c r="ED79" s="177" t="str">
        <f t="shared" si="65"/>
        <v/>
      </c>
      <c r="EE79" s="176" t="e">
        <f>SUMIF('[1]8B-1404.12.02'!$D$2:$D$3000,$J79,'[1]8B-1404.12.02'!$M$2:$M$3000)</f>
        <v>#VALUE!</v>
      </c>
      <c r="EF79" s="176" t="e">
        <f>SUMIF('[1]8B-1404.12.02'!$D$2:$D$3000,$J79,'[1]8B-1404.12.02'!$G$2:$G$3000)/10</f>
        <v>#VALUE!</v>
      </c>
      <c r="EG79" s="773" t="str">
        <f t="shared" si="66"/>
        <v/>
      </c>
      <c r="EH79" s="1502"/>
      <c r="EI79" s="1534">
        <f>SUMIF(Cem_Export!$C$2:$C$3000,$J79,Cem_Export!$I$2:$I$3000)</f>
        <v>0</v>
      </c>
      <c r="EJ79" s="1534">
        <f>SUMIFS(Cem_Export!$J$2:$J$3000,Cem_Export!$C$2:$C$3000,$J79,Cem_Export!$L$2:$L$3000, $EJ$4)</f>
        <v>0</v>
      </c>
      <c r="EK79" s="1534">
        <f>SUMIFS(Cem_Export!$J$2:$J$3000,Cem_Export!$C$2:$C$3000,$J79,Cem_Export!$L$2:$L$3000, $EK$4)</f>
        <v>0</v>
      </c>
      <c r="EL79" s="1682" t="str">
        <f t="shared" si="71"/>
        <v/>
      </c>
      <c r="EM79" s="1836">
        <f t="shared" si="72"/>
        <v>0</v>
      </c>
      <c r="EN79" s="1562"/>
      <c r="EO79" s="1625">
        <f>SUMIF('Cem-Domestic'!$D$2:$D$4000,$J79,'Cem-Domestic'!$M$2:$M$4000)</f>
        <v>0</v>
      </c>
      <c r="EP79" s="1625">
        <f>SUMIF('Cem-Domestic'!$D$2:$D$4000,$J79,'Cem-Domestic'!$G$2:$G$4000)/10^7</f>
        <v>0</v>
      </c>
      <c r="EQ79" s="1681" t="str">
        <f t="shared" si="73"/>
        <v/>
      </c>
      <c r="ER79" s="1562"/>
      <c r="ES79" s="1533">
        <v>0</v>
      </c>
      <c r="ET79" s="1534">
        <v>0</v>
      </c>
      <c r="EU79" s="1535" t="s">
        <v>192</v>
      </c>
      <c r="EV79" s="1533">
        <v>0</v>
      </c>
      <c r="EW79" s="1534">
        <v>0</v>
      </c>
      <c r="EX79" s="1535" t="s">
        <v>192</v>
      </c>
      <c r="EY79" s="1533">
        <v>0</v>
      </c>
      <c r="EZ79" s="1534">
        <v>0</v>
      </c>
      <c r="FA79" s="1535" t="s">
        <v>192</v>
      </c>
      <c r="FB79" s="1543">
        <v>0</v>
      </c>
      <c r="FC79" s="1544">
        <v>0</v>
      </c>
      <c r="FD79" s="1545" t="s">
        <v>192</v>
      </c>
      <c r="FE79" s="1543">
        <v>0</v>
      </c>
      <c r="FF79" s="1544">
        <v>0</v>
      </c>
      <c r="FG79" s="1545" t="s">
        <v>192</v>
      </c>
    </row>
    <row r="80" spans="1:163" ht="11.25" customHeight="1" thickBot="1">
      <c r="A80" s="980"/>
      <c r="B80" s="980"/>
      <c r="C80" s="980"/>
      <c r="D80" s="974"/>
      <c r="E80" s="974"/>
      <c r="F80" s="974"/>
      <c r="G80" s="990"/>
      <c r="H80" s="538"/>
      <c r="I80" s="195"/>
      <c r="J80" s="196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214">
        <f>SUM(X5:X74)</f>
        <v>84560000</v>
      </c>
      <c r="Y80" s="1214"/>
      <c r="Z80" s="1568"/>
      <c r="AA80" s="1549"/>
      <c r="AB80" s="1004"/>
      <c r="AC80" s="1003"/>
      <c r="AD80" s="1002"/>
      <c r="AE80" s="1914"/>
      <c r="AF80" s="1568"/>
      <c r="AG80" s="1549"/>
      <c r="AH80" s="886"/>
      <c r="AI80" s="785"/>
      <c r="AJ80" s="888"/>
      <c r="AK80" s="1847"/>
      <c r="AL80" s="1568"/>
      <c r="AM80" s="1549"/>
      <c r="AN80" s="886"/>
      <c r="AO80" s="785"/>
      <c r="AP80" s="888"/>
      <c r="AQ80" s="1847"/>
      <c r="AR80" s="1568"/>
      <c r="AS80" s="1549"/>
      <c r="AT80" s="886"/>
      <c r="AU80" s="785"/>
      <c r="AV80" s="888"/>
      <c r="AW80" s="1847"/>
      <c r="AX80" s="1568"/>
      <c r="AY80" s="1549"/>
      <c r="AZ80" s="1847"/>
      <c r="BA80" s="1846"/>
      <c r="BB80" s="1845"/>
      <c r="BC80" s="1847"/>
      <c r="BD80" s="1568"/>
      <c r="BE80" s="1549"/>
      <c r="BF80" s="886"/>
      <c r="BG80" s="785"/>
      <c r="BH80" s="888"/>
      <c r="BI80" s="886"/>
      <c r="BJ80" s="2103"/>
      <c r="BK80" s="2103"/>
      <c r="BL80" s="1001"/>
      <c r="BM80" s="1847"/>
      <c r="BN80" s="1568"/>
      <c r="BO80" s="1549"/>
      <c r="BP80" s="1004"/>
      <c r="BQ80" s="1003"/>
      <c r="BR80" s="1002"/>
      <c r="BS80" s="1004"/>
      <c r="BT80" s="1568"/>
      <c r="BU80" s="1549"/>
      <c r="BV80" s="1004"/>
      <c r="BW80" s="1003"/>
      <c r="BX80" s="1002"/>
      <c r="BY80" s="1004"/>
      <c r="BZ80" s="1004"/>
      <c r="CA80" s="1914"/>
      <c r="CB80" s="1994"/>
      <c r="CC80" s="1914"/>
      <c r="CD80" s="1997"/>
      <c r="CE80" s="1982"/>
      <c r="CF80" s="1568"/>
      <c r="CG80" s="1983"/>
      <c r="CH80" s="1004"/>
      <c r="CI80" s="2103"/>
      <c r="CJ80" s="2103"/>
      <c r="CK80" s="2103"/>
      <c r="CL80" s="1004"/>
      <c r="CM80" s="1004"/>
      <c r="CN80" s="1914"/>
      <c r="CO80" s="1994"/>
      <c r="CP80" s="1914"/>
      <c r="CQ80" s="1997"/>
      <c r="CR80" s="1982"/>
      <c r="CS80" s="1568"/>
      <c r="CT80" s="1983"/>
      <c r="CU80" s="886"/>
      <c r="CV80" s="1004"/>
      <c r="CW80" s="1914"/>
      <c r="CX80" s="1994"/>
      <c r="CY80" s="1914"/>
      <c r="CZ80" s="1997"/>
      <c r="DA80" s="1982"/>
      <c r="DB80" s="1568"/>
      <c r="DC80" s="1983"/>
      <c r="DD80" s="886"/>
      <c r="DE80" s="1568"/>
      <c r="DF80" s="1549"/>
      <c r="DG80" s="886"/>
      <c r="DH80" s="785"/>
      <c r="DI80" s="888"/>
      <c r="DJ80" s="367"/>
      <c r="DK80" s="1201"/>
      <c r="DL80" s="900"/>
      <c r="DM80" s="900"/>
      <c r="DN80" s="949"/>
      <c r="DO80" s="945"/>
      <c r="DP80" s="890"/>
      <c r="DQ80" s="890"/>
      <c r="DR80" s="947"/>
      <c r="DS80" s="941"/>
      <c r="DT80" s="941"/>
      <c r="DU80" s="953"/>
      <c r="DV80" s="907"/>
      <c r="DW80" s="906"/>
      <c r="DX80" s="1196"/>
      <c r="DY80" s="967"/>
      <c r="DZ80" s="967"/>
      <c r="EA80" s="367"/>
      <c r="EB80" s="199"/>
      <c r="EC80" s="199"/>
      <c r="ED80" s="199"/>
      <c r="EE80" s="199"/>
      <c r="EF80" s="199"/>
      <c r="EG80" s="199"/>
      <c r="EI80" s="183"/>
      <c r="EM80" s="1648"/>
      <c r="EN80" s="1562"/>
      <c r="EO80" s="1635"/>
      <c r="EP80" s="1843"/>
      <c r="EQ80" s="1637"/>
      <c r="ER80" s="1562"/>
      <c r="ES80" s="1536"/>
      <c r="ET80" s="1537"/>
      <c r="EU80" s="1538"/>
      <c r="EV80" s="1536"/>
      <c r="EW80" s="1537"/>
      <c r="EX80" s="1538"/>
      <c r="EY80" s="1539"/>
      <c r="EZ80" s="1539"/>
      <c r="FA80" s="1539"/>
      <c r="FB80" s="1546"/>
      <c r="FC80" s="1546"/>
      <c r="FD80" s="1546"/>
      <c r="FE80" s="1546"/>
      <c r="FF80" s="1546"/>
      <c r="FG80" s="1546"/>
    </row>
    <row r="81" spans="1:163" ht="28" thickBot="1">
      <c r="A81" s="978"/>
      <c r="B81" s="978"/>
      <c r="C81" s="978"/>
      <c r="D81" s="972"/>
      <c r="E81" s="972"/>
      <c r="F81" s="972"/>
      <c r="G81" s="987"/>
      <c r="H81" s="191"/>
      <c r="I81" s="173"/>
      <c r="J81" s="193" t="s">
        <v>737</v>
      </c>
      <c r="K81" s="143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172"/>
      <c r="Y81" s="1911"/>
      <c r="Z81" s="1005"/>
      <c r="AA81" s="1550"/>
      <c r="AB81" s="1008">
        <f>SUM(AB5:AB74)</f>
        <v>8484</v>
      </c>
      <c r="AC81" s="1007">
        <f>SUM(AC5:AC74)</f>
        <v>1422</v>
      </c>
      <c r="AD81" s="1006">
        <f>SUM(AD5:AD74)</f>
        <v>7062</v>
      </c>
      <c r="AE81" s="1008"/>
      <c r="AF81" s="1005">
        <v>10534.041137300001</v>
      </c>
      <c r="AG81" s="1550">
        <v>32416891.026042357</v>
      </c>
      <c r="AH81" s="1008">
        <f>SUM(AH5:AH74)</f>
        <v>8568</v>
      </c>
      <c r="AI81" s="1007">
        <f>SUM(AI5:AI74)</f>
        <v>1762</v>
      </c>
      <c r="AJ81" s="1006">
        <f>SUM(AJ5:AJ74)</f>
        <v>6806</v>
      </c>
      <c r="AK81" s="1008"/>
      <c r="AL81" s="1680">
        <f>SUM(AL5:AL74)</f>
        <v>12130.561184399996</v>
      </c>
      <c r="AM81" s="1679">
        <f>SUM(AM5:AM74)</f>
        <v>27691352.798153713</v>
      </c>
      <c r="AN81" s="1008">
        <f>SUM(AN5:AN74)</f>
        <v>7787</v>
      </c>
      <c r="AO81" s="1007">
        <f>SUM(AO5:AO74)</f>
        <v>1460</v>
      </c>
      <c r="AP81" s="1006">
        <f>SUM(AP5:AP74)</f>
        <v>6327</v>
      </c>
      <c r="AQ81" s="1008"/>
      <c r="AR81" s="1680">
        <f>SUM(AR5:AR74)</f>
        <v>6103.5341073</v>
      </c>
      <c r="AS81" s="1679">
        <f>SUM(AS5:AS74)</f>
        <v>4946048.2648217371</v>
      </c>
      <c r="AT81" s="887">
        <f>SUM(AT5:AT74)</f>
        <v>7544</v>
      </c>
      <c r="AU81" s="820">
        <f>SUM(AU5:AU74)</f>
        <v>1600</v>
      </c>
      <c r="AV81" s="889">
        <f>SUM(AV5:AV74)</f>
        <v>5944</v>
      </c>
      <c r="AW81" s="887"/>
      <c r="AX81" s="1848">
        <f>SUM(AX5:AX74)</f>
        <v>11370.925054699999</v>
      </c>
      <c r="AY81" s="1849">
        <f>SUM(AY5:AY74)</f>
        <v>2364.2044652212876</v>
      </c>
      <c r="AZ81" s="1852">
        <f>SUM(AZ5:AZ74)</f>
        <v>8646</v>
      </c>
      <c r="BA81" s="1851">
        <f>SUM(BA5:BA74)</f>
        <v>1882</v>
      </c>
      <c r="BB81" s="1850">
        <f>SUM(BB5:BB74)</f>
        <v>6764</v>
      </c>
      <c r="BC81" s="887"/>
      <c r="BD81" s="1848"/>
      <c r="BE81" s="1849"/>
      <c r="BF81" s="820">
        <f>SUM(BF5:BF74)</f>
        <v>7658</v>
      </c>
      <c r="BG81" s="820">
        <f>SUM(BG5:BG74)</f>
        <v>825</v>
      </c>
      <c r="BH81" s="889">
        <f>SUM(BH5:BH74)</f>
        <v>6833</v>
      </c>
      <c r="BI81" s="887"/>
      <c r="BJ81" s="2104"/>
      <c r="BK81" s="2104"/>
      <c r="BL81" s="2104"/>
      <c r="BM81" s="887"/>
      <c r="BN81" s="1848"/>
      <c r="BO81" s="1849"/>
      <c r="BP81" s="1008">
        <f>SUM(BP5:BP74)</f>
        <v>7720</v>
      </c>
      <c r="BQ81" s="1007">
        <f>SUM(BQ5:BQ74)</f>
        <v>1746</v>
      </c>
      <c r="BR81" s="1006">
        <f>SUM(BR5:BR74)</f>
        <v>5974</v>
      </c>
      <c r="BS81" s="1008"/>
      <c r="BT81" s="1848"/>
      <c r="BU81" s="1849"/>
      <c r="BV81" s="1008">
        <f>SUM(BV5:BV74)</f>
        <v>13182</v>
      </c>
      <c r="BW81" s="1007">
        <f>SUM(BW5:BW74)</f>
        <v>2222</v>
      </c>
      <c r="BX81" s="1006">
        <f>SUM(BX5:BX74)</f>
        <v>10960</v>
      </c>
      <c r="BY81" s="1008"/>
      <c r="BZ81" s="1008"/>
      <c r="CA81" s="1984"/>
      <c r="CB81" s="1995">
        <f t="shared" ref="CB81:CG81" si="77">SUM(CB5:CB74)</f>
        <v>22399.545911477464</v>
      </c>
      <c r="CC81" s="1985">
        <f t="shared" si="77"/>
        <v>12298</v>
      </c>
      <c r="CD81" s="1998">
        <f t="shared" si="77"/>
        <v>4251.6872954774653</v>
      </c>
      <c r="CE81" s="1986">
        <f t="shared" si="77"/>
        <v>1815</v>
      </c>
      <c r="CF81" s="1986">
        <f t="shared" si="77"/>
        <v>18147.858616000001</v>
      </c>
      <c r="CG81" s="1987">
        <f t="shared" si="77"/>
        <v>10483</v>
      </c>
      <c r="CH81" s="1008"/>
      <c r="CI81" s="2104"/>
      <c r="CJ81" s="2104"/>
      <c r="CK81" s="2104"/>
      <c r="CL81" s="1008"/>
      <c r="CM81" s="1008"/>
      <c r="CN81" s="1984"/>
      <c r="CO81" s="1995">
        <f t="shared" ref="CO81:CT81" si="78">SUM(CO5:CO74)</f>
        <v>14941.512120986134</v>
      </c>
      <c r="CP81" s="1985">
        <f t="shared" si="78"/>
        <v>11699</v>
      </c>
      <c r="CQ81" s="1998">
        <f t="shared" si="78"/>
        <v>3094.1520847861261</v>
      </c>
      <c r="CR81" s="1986">
        <f t="shared" si="78"/>
        <v>2090</v>
      </c>
      <c r="CS81" s="1986">
        <f t="shared" si="78"/>
        <v>12058.528605700003</v>
      </c>
      <c r="CT81" s="1987">
        <f t="shared" si="78"/>
        <v>9609</v>
      </c>
      <c r="CU81" s="887"/>
      <c r="CV81" s="1008"/>
      <c r="CW81" s="1984"/>
      <c r="CX81" s="1995">
        <f t="shared" ref="CX81" si="79">SUM(CX5:CX74)</f>
        <v>8481.5758759593573</v>
      </c>
      <c r="CY81" s="1985"/>
      <c r="CZ81" s="1998"/>
      <c r="DA81" s="1986">
        <f>SUM(DA5:DA74)</f>
        <v>0</v>
      </c>
      <c r="DB81" s="1986">
        <f>SUM(DB5:DB74)</f>
        <v>6873.7241234000003</v>
      </c>
      <c r="DC81" s="1987">
        <f t="shared" ref="DC81" si="80">SUM(DC5:DC74)</f>
        <v>6873.7241234000003</v>
      </c>
      <c r="DD81" s="887"/>
      <c r="DE81" s="1848"/>
      <c r="DF81" s="1849"/>
      <c r="DG81" s="887">
        <f>SUM(DG5:DG74)</f>
        <v>8162</v>
      </c>
      <c r="DH81" s="820">
        <f>SUM(DH5:DH74)</f>
        <v>1571</v>
      </c>
      <c r="DI81" s="889">
        <f>SUM(DI5:DI74)</f>
        <v>6591</v>
      </c>
      <c r="DJ81" s="370"/>
      <c r="DK81" s="1202"/>
      <c r="DL81" s="900"/>
      <c r="DM81" s="900"/>
      <c r="DN81" s="949"/>
      <c r="DO81" s="945"/>
      <c r="DP81" s="890"/>
      <c r="DQ81" s="890"/>
      <c r="DR81" s="947"/>
      <c r="DS81" s="941"/>
      <c r="DT81" s="941"/>
      <c r="DU81" s="953"/>
      <c r="DV81" s="907"/>
      <c r="DW81" s="906"/>
      <c r="DX81" s="959"/>
      <c r="DY81" s="967"/>
      <c r="DZ81" s="967"/>
      <c r="EA81" s="370"/>
      <c r="EB81" s="198" t="e">
        <f>SUM(EB5:EB74)</f>
        <v>#VALUE!</v>
      </c>
      <c r="EC81" s="198" t="e">
        <f>SUM(EC5:EC74)</f>
        <v>#VALUE!</v>
      </c>
      <c r="ED81" s="201" t="str">
        <f>IFERROR(EC81/EB81,"")</f>
        <v/>
      </c>
      <c r="EE81" s="200" t="e">
        <f>SUM(EE5:EE74)</f>
        <v>#VALUE!</v>
      </c>
      <c r="EF81" s="198" t="e">
        <f>SUM(EF5:EF74)</f>
        <v>#VALUE!</v>
      </c>
      <c r="EG81" s="201" t="str">
        <f>IFERROR(EF81/EE81,"")</f>
        <v/>
      </c>
      <c r="EI81" s="200">
        <f>SUM(EI4:EI74)</f>
        <v>259752</v>
      </c>
      <c r="EJ81" s="198">
        <f>SUM(EJ4:EJ74)</f>
        <v>10589308.081138253</v>
      </c>
      <c r="EK81" s="198">
        <f>SUM(EK4:EK74)</f>
        <v>1253486212000</v>
      </c>
      <c r="EL81" s="198">
        <f>IFERROR(((EJ81*$EK$3)+(EK81*10^-4))/($EI81*$EK$3),"")</f>
        <v>44.213924725984661</v>
      </c>
      <c r="EM81" s="1837">
        <f>IFERROR((EJ81*$EK$3*10^4+EK81)*10^-10,0)</f>
        <v>1607.8517525593554</v>
      </c>
      <c r="EN81" s="1562"/>
      <c r="EO81" s="200">
        <f>SUM(EO4:EO74)</f>
        <v>1993283</v>
      </c>
      <c r="EP81" s="1844">
        <f>SUM(EP4:EP74)</f>
        <v>6873.7241234000003</v>
      </c>
      <c r="EQ81" s="201">
        <f>IFERROR(EP81/EO81,"")</f>
        <v>3.4484436597312074E-3</v>
      </c>
      <c r="ER81" s="1562"/>
      <c r="ES81" s="1536">
        <v>170068</v>
      </c>
      <c r="ET81" s="1537">
        <v>7053943.0007139891</v>
      </c>
      <c r="EU81" s="1538">
        <v>41.477191480548896</v>
      </c>
      <c r="EV81" s="1536">
        <v>150145</v>
      </c>
      <c r="EW81" s="1537">
        <v>6073101</v>
      </c>
      <c r="EX81" s="1538">
        <v>40.448240034633187</v>
      </c>
      <c r="EY81" s="1536">
        <v>224110</v>
      </c>
      <c r="EZ81" s="1537">
        <v>9484601.4096579738</v>
      </c>
      <c r="FA81" s="1538">
        <v>42.321187852652599</v>
      </c>
      <c r="FB81" s="1536">
        <v>195276</v>
      </c>
      <c r="FC81" s="1537">
        <v>8496363</v>
      </c>
      <c r="FD81" s="1538">
        <v>43.801521646721604</v>
      </c>
      <c r="FE81" s="1536">
        <v>225403</v>
      </c>
      <c r="FF81" s="1537">
        <v>9428601.5005604662</v>
      </c>
      <c r="FG81" s="1538">
        <v>41.829973427862392</v>
      </c>
    </row>
    <row r="82" spans="1:163">
      <c r="DO82" s="135"/>
    </row>
    <row r="83" spans="1:163" ht="17" thickBot="1"/>
    <row r="84" spans="1:163" ht="20" thickBot="1">
      <c r="EB84" s="775" t="e">
        <f>SUM(EB5:EB79)</f>
        <v>#VALUE!</v>
      </c>
      <c r="EC84" s="776" t="e">
        <f>SUM(EC5:EC79)</f>
        <v>#VALUE!</v>
      </c>
      <c r="ED84" s="777"/>
      <c r="EE84" s="775" t="e">
        <f>SUM(EE5:EE79)</f>
        <v>#VALUE!</v>
      </c>
      <c r="EF84" s="776" t="e">
        <f>SUM(EF5:EF79)</f>
        <v>#VALUE!</v>
      </c>
      <c r="EG84" s="777"/>
      <c r="EI84" s="775">
        <f>SUM(EI4:EI78)</f>
        <v>259752</v>
      </c>
      <c r="EJ84" s="776">
        <f>SUM(EJ4:EJ78)</f>
        <v>10589308.081138253</v>
      </c>
      <c r="EK84" s="776"/>
      <c r="EL84" s="777"/>
      <c r="EM84" s="1835"/>
      <c r="EN84" s="1563"/>
      <c r="EO84" s="775">
        <f>SUM(EO4:EO78)</f>
        <v>2000723</v>
      </c>
      <c r="EP84" s="776">
        <f>SUM(EP4:EP78)</f>
        <v>6927.7074674000005</v>
      </c>
      <c r="EQ84" s="777"/>
      <c r="ER84" s="1563"/>
    </row>
  </sheetData>
  <autoFilter ref="A4:HZ4" xr:uid="{FD1763C5-8CC9-FD4D-9213-115F1E088EBD}">
    <sortState xmlns:xlrd2="http://schemas.microsoft.com/office/spreadsheetml/2017/richdata2" ref="A5:HZ33">
      <sortCondition ref="A4:A33"/>
    </sortState>
  </autoFilter>
  <mergeCells count="23">
    <mergeCell ref="FE1:FG1"/>
    <mergeCell ref="FB1:FD1"/>
    <mergeCell ref="EY1:FA1"/>
    <mergeCell ref="EB1:ED1"/>
    <mergeCell ref="DE1:DI1"/>
    <mergeCell ref="EI1:EM1"/>
    <mergeCell ref="DV1:DZ1"/>
    <mergeCell ref="DL1:DO1"/>
    <mergeCell ref="DP1:DS1"/>
    <mergeCell ref="EV1:EX1"/>
    <mergeCell ref="EO1:EQ1"/>
    <mergeCell ref="EE1:EG1"/>
    <mergeCell ref="CV1:DC1"/>
    <mergeCell ref="Z1:AD1"/>
    <mergeCell ref="AF1:AJ1"/>
    <mergeCell ref="AR1:AV1"/>
    <mergeCell ref="BD1:BH1"/>
    <mergeCell ref="BN1:BR1"/>
    <mergeCell ref="BT1:BX1"/>
    <mergeCell ref="AX1:BB1"/>
    <mergeCell ref="AL1:AP1"/>
    <mergeCell ref="CA1:CG1"/>
    <mergeCell ref="CM1:CT1"/>
  </mergeCells>
  <phoneticPr fontId="39" type="noConversion"/>
  <conditionalFormatting sqref="A5:M32 N5:Y74 Z5:AA81 AP5:AP81 AV5:AV81 BB5:BB81 CM5:DC81 EG6:EH72 ER6:FG74 EB6:EF79 EO6:EQ79 EN18:EN74 EM18:EM79 EI32:EL79 FB32:FG79 ES32:FA81 A33:G74 AB34:AC38 AD34:AO81 AQ34:AU81 AW34:BA81 BC34:CL81 DD35:DI81 DK35:DZ81 AB36:AD81 I38:O39 H38:H47">
    <cfRule type="expression" dxfId="78" priority="2">
      <formula>ROW()=EVEN(ROW())</formula>
    </cfRule>
  </conditionalFormatting>
  <conditionalFormatting sqref="A80:Y81 EB80:EG81">
    <cfRule type="expression" dxfId="77" priority="215">
      <formula>ROW()=EVEN(ROW())</formula>
    </cfRule>
  </conditionalFormatting>
  <conditionalFormatting sqref="J40:J42">
    <cfRule type="expression" dxfId="76" priority="1517">
      <formula>ROW()=EVEN(ROW())</formula>
    </cfRule>
  </conditionalFormatting>
  <conditionalFormatting sqref="AB5:CI33 CL5:CL33 DD5:DI33 DK5:DZ33 H33:M37 DD34:DZ34 I43:O44 H48:O48">
    <cfRule type="expression" dxfId="75" priority="201">
      <formula>ROW()=EVEN(ROW())</formula>
    </cfRule>
  </conditionalFormatting>
  <conditionalFormatting sqref="CJ5:CJ33">
    <cfRule type="cellIs" dxfId="74" priority="3" operator="lessThan">
      <formula>0</formula>
    </cfRule>
    <cfRule type="cellIs" dxfId="73" priority="4" operator="greaterThan">
      <formula>0</formula>
    </cfRule>
    <cfRule type="expression" dxfId="72" priority="5" stopIfTrue="1">
      <formula>ROW()=EVEN(ROW())</formula>
    </cfRule>
  </conditionalFormatting>
  <conditionalFormatting sqref="EB84:EG84">
    <cfRule type="expression" dxfId="71" priority="514">
      <formula>ROW()=EVEN(ROW())</formula>
    </cfRule>
  </conditionalFormatting>
  <conditionalFormatting sqref="EB5:EK5 EN5:FG5 EL5:EL31 EI6:EK31 EI81:EM81 EO81:EQ81 ES81:FG81 EI84:FG84">
    <cfRule type="expression" dxfId="70" priority="78">
      <formula>ROW()=EVEN(ROW())</formula>
    </cfRule>
  </conditionalFormatting>
  <conditionalFormatting sqref="EK3">
    <cfRule type="expression" dxfId="69" priority="22">
      <formula>ROW()=EVEN(ROW())</formula>
    </cfRule>
  </conditionalFormatting>
  <conditionalFormatting sqref="EM5:EM10 ES5:FG30 EN6:EN10 EM11:EN17 I40:I74 K40:O74 J45:J74 H49:H74 EG73:EG74 EH73:EH79">
    <cfRule type="expression" dxfId="68" priority="72">
      <formula>ROW()=EVEN(ROW())</formula>
    </cfRule>
  </conditionalFormatting>
  <pageMargins left="0.7" right="0.7" top="0.75" bottom="0.75" header="0.3" footer="0.3"/>
  <pageSetup paperSize="9" scale="17" fitToHeight="2" orientation="landscape" horizontalDpi="0" verticalDpi="0"/>
  <rowBreaks count="2" manualBreakCount="2">
    <brk id="32" max="16383" man="1"/>
    <brk id="3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CD5C-0ACA-1B4F-8ECC-FEDF8BD3BF65}">
  <dimension ref="A1:L188"/>
  <sheetViews>
    <sheetView workbookViewId="0">
      <selection activeCell="A426" sqref="A1:XFD1048576"/>
    </sheetView>
  </sheetViews>
  <sheetFormatPr baseColWidth="10" defaultColWidth="8.83203125" defaultRowHeight="16"/>
  <cols>
    <col min="1" max="1" width="35.33203125" bestFit="1" customWidth="1"/>
    <col min="2" max="2" width="20.5" bestFit="1" customWidth="1"/>
    <col min="3" max="3" width="23.6640625" bestFit="1" customWidth="1"/>
    <col min="4" max="4" width="13.6640625" bestFit="1" customWidth="1"/>
    <col min="5" max="5" width="5.83203125" bestFit="1" customWidth="1"/>
    <col min="6" max="6" width="7.83203125" bestFit="1" customWidth="1"/>
    <col min="7" max="7" width="10.5" bestFit="1" customWidth="1"/>
    <col min="8" max="8" width="5.83203125" bestFit="1" customWidth="1"/>
    <col min="9" max="9" width="8" bestFit="1" customWidth="1"/>
    <col min="10" max="10" width="12.6640625" bestFit="1" customWidth="1"/>
    <col min="11" max="11" width="13.83203125" customWidth="1"/>
    <col min="12" max="12" width="8" bestFit="1" customWidth="1"/>
  </cols>
  <sheetData>
    <row r="1" spans="1:12" ht="30">
      <c r="A1" s="1976" t="s">
        <v>977</v>
      </c>
      <c r="B1" s="1976" t="s">
        <v>11</v>
      </c>
      <c r="C1" s="1976" t="s">
        <v>978</v>
      </c>
      <c r="D1" s="1976" t="s">
        <v>979</v>
      </c>
      <c r="E1" s="1976" t="s">
        <v>980</v>
      </c>
      <c r="F1" s="1976" t="s">
        <v>981</v>
      </c>
      <c r="G1" s="1976" t="s">
        <v>982</v>
      </c>
      <c r="H1" s="1976" t="s">
        <v>983</v>
      </c>
      <c r="I1" s="1976" t="s">
        <v>984</v>
      </c>
      <c r="J1" s="1976" t="s">
        <v>985</v>
      </c>
      <c r="K1" s="1976" t="s">
        <v>986</v>
      </c>
      <c r="L1" s="1976" t="s">
        <v>987</v>
      </c>
    </row>
    <row r="2" spans="1:12">
      <c r="A2" t="s">
        <v>1008</v>
      </c>
      <c r="B2" t="s">
        <v>1010</v>
      </c>
      <c r="C2" t="s">
        <v>921</v>
      </c>
      <c r="D2" t="s">
        <v>989</v>
      </c>
      <c r="E2" t="s">
        <v>990</v>
      </c>
      <c r="F2">
        <v>5000</v>
      </c>
      <c r="G2">
        <v>32</v>
      </c>
      <c r="H2">
        <v>0</v>
      </c>
      <c r="I2">
        <v>0</v>
      </c>
      <c r="J2">
        <v>0</v>
      </c>
      <c r="K2" t="s">
        <v>8294</v>
      </c>
      <c r="L2" t="s">
        <v>893</v>
      </c>
    </row>
    <row r="3" spans="1:12">
      <c r="A3" t="s">
        <v>1021</v>
      </c>
      <c r="B3" t="s">
        <v>1026</v>
      </c>
      <c r="C3" t="s">
        <v>921</v>
      </c>
      <c r="D3" t="s">
        <v>989</v>
      </c>
      <c r="E3" t="s">
        <v>990</v>
      </c>
      <c r="F3">
        <v>9000</v>
      </c>
      <c r="G3">
        <v>49</v>
      </c>
      <c r="H3">
        <v>0</v>
      </c>
      <c r="I3">
        <v>0</v>
      </c>
      <c r="J3">
        <v>0</v>
      </c>
      <c r="K3" t="s">
        <v>8290</v>
      </c>
      <c r="L3" t="s">
        <v>893</v>
      </c>
    </row>
    <row r="4" spans="1:12">
      <c r="A4" t="s">
        <v>993</v>
      </c>
      <c r="B4" t="s">
        <v>1000</v>
      </c>
      <c r="C4" t="s">
        <v>48</v>
      </c>
      <c r="D4" t="s">
        <v>989</v>
      </c>
      <c r="E4">
        <v>52</v>
      </c>
      <c r="F4">
        <v>2000</v>
      </c>
      <c r="G4">
        <v>52</v>
      </c>
      <c r="H4">
        <v>1000</v>
      </c>
      <c r="I4">
        <v>1000</v>
      </c>
      <c r="J4">
        <v>52000</v>
      </c>
      <c r="K4" t="s">
        <v>8294</v>
      </c>
      <c r="L4" t="s">
        <v>893</v>
      </c>
    </row>
    <row r="5" spans="1:12">
      <c r="A5" t="s">
        <v>993</v>
      </c>
      <c r="B5" t="s">
        <v>1002</v>
      </c>
      <c r="C5" t="s">
        <v>934</v>
      </c>
      <c r="D5" t="s">
        <v>989</v>
      </c>
      <c r="E5">
        <v>42</v>
      </c>
      <c r="F5">
        <v>4000</v>
      </c>
      <c r="G5">
        <v>42</v>
      </c>
      <c r="H5">
        <v>4000</v>
      </c>
      <c r="I5">
        <v>4000</v>
      </c>
      <c r="J5">
        <v>168000</v>
      </c>
      <c r="K5" t="s">
        <v>8294</v>
      </c>
      <c r="L5" t="s">
        <v>893</v>
      </c>
    </row>
    <row r="6" spans="1:12">
      <c r="A6" t="s">
        <v>993</v>
      </c>
      <c r="B6" t="s">
        <v>1001</v>
      </c>
      <c r="C6" t="s">
        <v>920</v>
      </c>
      <c r="D6" t="s">
        <v>989</v>
      </c>
      <c r="E6">
        <v>42</v>
      </c>
      <c r="F6">
        <v>2000</v>
      </c>
      <c r="G6">
        <v>42</v>
      </c>
      <c r="H6">
        <v>2000</v>
      </c>
      <c r="I6">
        <v>2000</v>
      </c>
      <c r="J6">
        <v>84000</v>
      </c>
      <c r="K6" t="s">
        <v>8294</v>
      </c>
      <c r="L6" t="s">
        <v>893</v>
      </c>
    </row>
    <row r="7" spans="1:12">
      <c r="A7" t="s">
        <v>993</v>
      </c>
      <c r="B7" t="s">
        <v>1001</v>
      </c>
      <c r="C7" t="s">
        <v>920</v>
      </c>
      <c r="D7" t="s">
        <v>989</v>
      </c>
      <c r="E7">
        <v>44</v>
      </c>
      <c r="F7">
        <v>2000</v>
      </c>
      <c r="G7">
        <v>44</v>
      </c>
      <c r="H7">
        <v>2000</v>
      </c>
      <c r="I7">
        <v>2000</v>
      </c>
      <c r="J7">
        <v>88000</v>
      </c>
      <c r="K7" t="s">
        <v>8294</v>
      </c>
      <c r="L7" t="s">
        <v>893</v>
      </c>
    </row>
    <row r="8" spans="1:12">
      <c r="A8" t="s">
        <v>993</v>
      </c>
      <c r="B8" t="s">
        <v>1001</v>
      </c>
      <c r="C8" t="s">
        <v>920</v>
      </c>
      <c r="D8" t="s">
        <v>989</v>
      </c>
      <c r="E8">
        <v>42</v>
      </c>
      <c r="F8">
        <v>16000</v>
      </c>
      <c r="G8">
        <v>42</v>
      </c>
      <c r="H8">
        <v>4000</v>
      </c>
      <c r="I8">
        <v>4000</v>
      </c>
      <c r="J8">
        <v>168000</v>
      </c>
      <c r="K8" t="s">
        <v>8294</v>
      </c>
      <c r="L8" t="s">
        <v>893</v>
      </c>
    </row>
    <row r="9" spans="1:12">
      <c r="A9" t="s">
        <v>993</v>
      </c>
      <c r="B9" t="s">
        <v>7792</v>
      </c>
      <c r="C9" t="s">
        <v>955</v>
      </c>
      <c r="D9" t="s">
        <v>989</v>
      </c>
      <c r="E9">
        <v>42</v>
      </c>
      <c r="F9">
        <v>10000</v>
      </c>
      <c r="G9">
        <v>42</v>
      </c>
      <c r="H9">
        <v>10000</v>
      </c>
      <c r="I9">
        <v>10000</v>
      </c>
      <c r="J9">
        <v>420000</v>
      </c>
      <c r="K9" t="s">
        <v>8294</v>
      </c>
      <c r="L9" t="s">
        <v>893</v>
      </c>
    </row>
    <row r="10" spans="1:12">
      <c r="A10" t="s">
        <v>993</v>
      </c>
      <c r="B10" t="s">
        <v>1001</v>
      </c>
      <c r="C10" t="s">
        <v>920</v>
      </c>
      <c r="D10" t="s">
        <v>989</v>
      </c>
      <c r="E10">
        <v>48</v>
      </c>
      <c r="F10">
        <v>1000</v>
      </c>
      <c r="G10">
        <v>48</v>
      </c>
      <c r="H10">
        <v>1000</v>
      </c>
      <c r="I10">
        <v>1000</v>
      </c>
      <c r="J10">
        <v>48000</v>
      </c>
      <c r="K10" t="s">
        <v>8294</v>
      </c>
      <c r="L10" t="s">
        <v>893</v>
      </c>
    </row>
    <row r="11" spans="1:12">
      <c r="A11" t="s">
        <v>1021</v>
      </c>
      <c r="B11" t="s">
        <v>1022</v>
      </c>
      <c r="C11" t="s">
        <v>897</v>
      </c>
      <c r="D11" t="s">
        <v>989</v>
      </c>
      <c r="E11" t="s">
        <v>990</v>
      </c>
      <c r="F11">
        <v>6000</v>
      </c>
      <c r="G11">
        <v>49</v>
      </c>
      <c r="H11">
        <v>0</v>
      </c>
      <c r="I11">
        <v>0</v>
      </c>
      <c r="J11">
        <v>0</v>
      </c>
      <c r="K11" t="s">
        <v>8294</v>
      </c>
      <c r="L11" t="s">
        <v>893</v>
      </c>
    </row>
    <row r="12" spans="1:12">
      <c r="A12" t="s">
        <v>1034</v>
      </c>
      <c r="B12" t="s">
        <v>1036</v>
      </c>
      <c r="C12" t="s">
        <v>897</v>
      </c>
      <c r="D12" t="s">
        <v>989</v>
      </c>
      <c r="E12" t="s">
        <v>990</v>
      </c>
      <c r="F12">
        <v>6000</v>
      </c>
      <c r="G12">
        <v>47.5</v>
      </c>
      <c r="H12">
        <v>0</v>
      </c>
      <c r="I12">
        <v>0</v>
      </c>
      <c r="J12">
        <v>0</v>
      </c>
      <c r="K12" t="s">
        <v>8294</v>
      </c>
      <c r="L12" t="s">
        <v>893</v>
      </c>
    </row>
    <row r="13" spans="1:12">
      <c r="A13" t="s">
        <v>993</v>
      </c>
      <c r="B13" t="s">
        <v>994</v>
      </c>
      <c r="C13" t="s">
        <v>897</v>
      </c>
      <c r="D13" t="s">
        <v>989</v>
      </c>
      <c r="E13" t="s">
        <v>990</v>
      </c>
      <c r="F13">
        <v>5000</v>
      </c>
      <c r="G13">
        <v>52</v>
      </c>
      <c r="H13">
        <v>0</v>
      </c>
      <c r="I13">
        <v>0</v>
      </c>
      <c r="J13">
        <v>0</v>
      </c>
      <c r="K13" t="s">
        <v>8294</v>
      </c>
      <c r="L13" t="s">
        <v>893</v>
      </c>
    </row>
    <row r="14" spans="1:12">
      <c r="A14" t="s">
        <v>1008</v>
      </c>
      <c r="B14" t="s">
        <v>1011</v>
      </c>
      <c r="C14" t="s">
        <v>897</v>
      </c>
      <c r="D14" t="s">
        <v>989</v>
      </c>
      <c r="E14" t="s">
        <v>990</v>
      </c>
      <c r="F14">
        <v>1000</v>
      </c>
      <c r="G14">
        <v>50</v>
      </c>
      <c r="H14">
        <v>0</v>
      </c>
      <c r="I14">
        <v>0</v>
      </c>
      <c r="J14">
        <v>0</v>
      </c>
      <c r="K14" t="s">
        <v>8294</v>
      </c>
      <c r="L14" t="s">
        <v>893</v>
      </c>
    </row>
    <row r="15" spans="1:12">
      <c r="A15" t="s">
        <v>993</v>
      </c>
      <c r="B15" t="s">
        <v>994</v>
      </c>
      <c r="C15" t="s">
        <v>897</v>
      </c>
      <c r="D15" t="s">
        <v>989</v>
      </c>
      <c r="E15" t="s">
        <v>990</v>
      </c>
      <c r="F15">
        <v>10000</v>
      </c>
      <c r="G15">
        <v>52</v>
      </c>
      <c r="H15">
        <v>0</v>
      </c>
      <c r="I15">
        <v>0</v>
      </c>
      <c r="J15">
        <v>0</v>
      </c>
      <c r="K15" t="s">
        <v>8294</v>
      </c>
      <c r="L15" t="s">
        <v>893</v>
      </c>
    </row>
    <row r="16" spans="1:12">
      <c r="A16" t="s">
        <v>993</v>
      </c>
      <c r="B16" t="s">
        <v>996</v>
      </c>
      <c r="C16" t="s">
        <v>908</v>
      </c>
      <c r="D16" t="s">
        <v>989</v>
      </c>
      <c r="E16">
        <v>52</v>
      </c>
      <c r="F16">
        <v>5000</v>
      </c>
      <c r="G16">
        <v>52</v>
      </c>
      <c r="H16">
        <v>1000</v>
      </c>
      <c r="I16">
        <v>1000</v>
      </c>
      <c r="J16">
        <v>52000</v>
      </c>
      <c r="K16" t="s">
        <v>8294</v>
      </c>
      <c r="L16" t="s">
        <v>893</v>
      </c>
    </row>
    <row r="17" spans="1:12">
      <c r="A17" t="s">
        <v>993</v>
      </c>
      <c r="B17" t="s">
        <v>996</v>
      </c>
      <c r="C17" t="s">
        <v>908</v>
      </c>
      <c r="D17" t="s">
        <v>1007</v>
      </c>
      <c r="E17">
        <v>52</v>
      </c>
      <c r="F17">
        <v>0</v>
      </c>
      <c r="G17">
        <v>52</v>
      </c>
      <c r="H17">
        <v>1000</v>
      </c>
      <c r="I17">
        <v>1000</v>
      </c>
      <c r="J17">
        <v>52000</v>
      </c>
      <c r="K17" t="s">
        <v>8294</v>
      </c>
      <c r="L17" t="s">
        <v>893</v>
      </c>
    </row>
    <row r="18" spans="1:12">
      <c r="A18" t="s">
        <v>1028</v>
      </c>
      <c r="B18" t="s">
        <v>1029</v>
      </c>
      <c r="C18" t="s">
        <v>901</v>
      </c>
      <c r="D18" t="s">
        <v>989</v>
      </c>
      <c r="E18" t="s">
        <v>990</v>
      </c>
      <c r="F18">
        <v>5000</v>
      </c>
      <c r="G18">
        <v>37</v>
      </c>
      <c r="H18">
        <v>0</v>
      </c>
      <c r="I18">
        <v>0</v>
      </c>
      <c r="J18">
        <v>0</v>
      </c>
      <c r="K18" t="s">
        <v>8294</v>
      </c>
      <c r="L18" t="s">
        <v>893</v>
      </c>
    </row>
    <row r="19" spans="1:12">
      <c r="A19" t="s">
        <v>1034</v>
      </c>
      <c r="B19" t="s">
        <v>1035</v>
      </c>
      <c r="C19" t="s">
        <v>901</v>
      </c>
      <c r="D19" t="s">
        <v>989</v>
      </c>
      <c r="E19" t="s">
        <v>990</v>
      </c>
      <c r="F19">
        <v>3000</v>
      </c>
      <c r="G19">
        <v>35</v>
      </c>
      <c r="H19">
        <v>0</v>
      </c>
      <c r="I19">
        <v>0</v>
      </c>
      <c r="J19">
        <v>0</v>
      </c>
      <c r="K19" t="s">
        <v>8294</v>
      </c>
      <c r="L19" t="s">
        <v>893</v>
      </c>
    </row>
    <row r="20" spans="1:12">
      <c r="A20" t="s">
        <v>1030</v>
      </c>
      <c r="B20" t="s">
        <v>1031</v>
      </c>
      <c r="C20" t="s">
        <v>901</v>
      </c>
      <c r="D20" t="s">
        <v>989</v>
      </c>
      <c r="E20" t="s">
        <v>990</v>
      </c>
      <c r="F20">
        <v>3000</v>
      </c>
      <c r="G20">
        <v>31</v>
      </c>
      <c r="H20">
        <v>0</v>
      </c>
      <c r="I20">
        <v>0</v>
      </c>
      <c r="J20">
        <v>0</v>
      </c>
      <c r="K20" t="s">
        <v>8294</v>
      </c>
      <c r="L20" t="s">
        <v>893</v>
      </c>
    </row>
    <row r="21" spans="1:12">
      <c r="A21" t="s">
        <v>1028</v>
      </c>
      <c r="B21" t="s">
        <v>1029</v>
      </c>
      <c r="C21" t="s">
        <v>901</v>
      </c>
      <c r="D21" t="s">
        <v>989</v>
      </c>
      <c r="E21" t="s">
        <v>990</v>
      </c>
      <c r="F21">
        <v>2000</v>
      </c>
      <c r="G21">
        <v>37</v>
      </c>
      <c r="H21">
        <v>0</v>
      </c>
      <c r="I21">
        <v>0</v>
      </c>
      <c r="J21">
        <v>0</v>
      </c>
      <c r="K21" t="s">
        <v>8294</v>
      </c>
      <c r="L21" t="s">
        <v>893</v>
      </c>
    </row>
    <row r="22" spans="1:12">
      <c r="A22" t="s">
        <v>1028</v>
      </c>
      <c r="B22" t="s">
        <v>1029</v>
      </c>
      <c r="C22" t="s">
        <v>901</v>
      </c>
      <c r="D22" t="s">
        <v>989</v>
      </c>
      <c r="E22" t="s">
        <v>990</v>
      </c>
      <c r="F22">
        <v>2000</v>
      </c>
      <c r="G22">
        <v>37</v>
      </c>
      <c r="H22">
        <v>0</v>
      </c>
      <c r="I22">
        <v>0</v>
      </c>
      <c r="J22">
        <v>0</v>
      </c>
      <c r="K22" t="s">
        <v>8294</v>
      </c>
      <c r="L22" t="s">
        <v>893</v>
      </c>
    </row>
    <row r="23" spans="1:12">
      <c r="A23" t="s">
        <v>1034</v>
      </c>
      <c r="B23" t="s">
        <v>1035</v>
      </c>
      <c r="C23" t="s">
        <v>901</v>
      </c>
      <c r="D23" t="s">
        <v>989</v>
      </c>
      <c r="E23" t="s">
        <v>990</v>
      </c>
      <c r="F23">
        <v>1000</v>
      </c>
      <c r="G23">
        <v>37</v>
      </c>
      <c r="H23">
        <v>0</v>
      </c>
      <c r="I23">
        <v>0</v>
      </c>
      <c r="J23">
        <v>0</v>
      </c>
      <c r="K23" t="s">
        <v>8294</v>
      </c>
      <c r="L23" t="s">
        <v>893</v>
      </c>
    </row>
    <row r="24" spans="1:12">
      <c r="A24" t="s">
        <v>1034</v>
      </c>
      <c r="B24" t="s">
        <v>1035</v>
      </c>
      <c r="C24" t="s">
        <v>901</v>
      </c>
      <c r="D24" t="s">
        <v>989</v>
      </c>
      <c r="E24" t="s">
        <v>990</v>
      </c>
      <c r="F24">
        <v>1000</v>
      </c>
      <c r="G24">
        <v>37</v>
      </c>
      <c r="H24">
        <v>0</v>
      </c>
      <c r="I24">
        <v>0</v>
      </c>
      <c r="J24">
        <v>0</v>
      </c>
      <c r="K24" t="s">
        <v>8294</v>
      </c>
      <c r="L24" t="s">
        <v>893</v>
      </c>
    </row>
    <row r="25" spans="1:12">
      <c r="A25" t="s">
        <v>993</v>
      </c>
      <c r="B25" t="s">
        <v>999</v>
      </c>
      <c r="C25" t="s">
        <v>926</v>
      </c>
      <c r="D25" t="s">
        <v>997</v>
      </c>
      <c r="E25" t="s">
        <v>990</v>
      </c>
      <c r="F25">
        <v>1000</v>
      </c>
      <c r="G25">
        <v>63289</v>
      </c>
      <c r="H25">
        <v>0</v>
      </c>
      <c r="I25">
        <v>0</v>
      </c>
      <c r="J25">
        <v>0</v>
      </c>
      <c r="K25" t="s">
        <v>8294</v>
      </c>
      <c r="L25" t="s">
        <v>895</v>
      </c>
    </row>
    <row r="26" spans="1:12">
      <c r="A26" t="s">
        <v>993</v>
      </c>
      <c r="B26" t="s">
        <v>999</v>
      </c>
      <c r="C26" t="s">
        <v>926</v>
      </c>
      <c r="D26" t="s">
        <v>989</v>
      </c>
      <c r="E26">
        <v>52</v>
      </c>
      <c r="F26">
        <v>2000</v>
      </c>
      <c r="G26">
        <v>52</v>
      </c>
      <c r="H26">
        <v>2000</v>
      </c>
      <c r="I26">
        <v>2000</v>
      </c>
      <c r="J26">
        <v>104000</v>
      </c>
      <c r="K26" t="s">
        <v>8294</v>
      </c>
      <c r="L26" t="s">
        <v>893</v>
      </c>
    </row>
    <row r="27" spans="1:12">
      <c r="A27" t="s">
        <v>993</v>
      </c>
      <c r="B27" t="s">
        <v>7813</v>
      </c>
      <c r="C27" t="s">
        <v>917</v>
      </c>
      <c r="D27" t="s">
        <v>989</v>
      </c>
      <c r="E27" t="s">
        <v>990</v>
      </c>
      <c r="F27">
        <v>75</v>
      </c>
      <c r="G27">
        <v>52</v>
      </c>
      <c r="H27">
        <v>0</v>
      </c>
      <c r="I27">
        <v>0</v>
      </c>
      <c r="J27">
        <v>0</v>
      </c>
      <c r="K27" t="s">
        <v>8294</v>
      </c>
      <c r="L27" t="s">
        <v>893</v>
      </c>
    </row>
    <row r="28" spans="1:12">
      <c r="A28" t="s">
        <v>993</v>
      </c>
      <c r="B28" t="s">
        <v>1005</v>
      </c>
      <c r="C28" t="s">
        <v>959</v>
      </c>
      <c r="D28" t="s">
        <v>989</v>
      </c>
      <c r="E28">
        <v>42</v>
      </c>
      <c r="F28">
        <v>6000</v>
      </c>
      <c r="G28">
        <v>42</v>
      </c>
      <c r="H28">
        <v>6000</v>
      </c>
      <c r="I28">
        <v>6000</v>
      </c>
      <c r="J28">
        <v>252000</v>
      </c>
      <c r="K28" t="s">
        <v>8294</v>
      </c>
      <c r="L28" t="s">
        <v>893</v>
      </c>
    </row>
    <row r="29" spans="1:12">
      <c r="A29" t="s">
        <v>1012</v>
      </c>
      <c r="B29" t="s">
        <v>1014</v>
      </c>
      <c r="C29" t="s">
        <v>960</v>
      </c>
      <c r="D29" t="s">
        <v>989</v>
      </c>
      <c r="E29">
        <v>52</v>
      </c>
      <c r="F29">
        <v>2000</v>
      </c>
      <c r="G29">
        <v>52</v>
      </c>
      <c r="H29">
        <v>2000</v>
      </c>
      <c r="I29">
        <v>2000</v>
      </c>
      <c r="J29">
        <v>104000</v>
      </c>
      <c r="K29" t="s">
        <v>8294</v>
      </c>
      <c r="L29" t="s">
        <v>893</v>
      </c>
    </row>
    <row r="30" spans="1:12">
      <c r="A30" t="s">
        <v>1012</v>
      </c>
      <c r="B30" t="s">
        <v>1014</v>
      </c>
      <c r="C30" t="s">
        <v>960</v>
      </c>
      <c r="D30" t="s">
        <v>989</v>
      </c>
      <c r="E30">
        <v>42</v>
      </c>
      <c r="F30">
        <v>500</v>
      </c>
      <c r="G30">
        <v>42</v>
      </c>
      <c r="H30">
        <v>500</v>
      </c>
      <c r="I30">
        <v>500</v>
      </c>
      <c r="J30">
        <v>21000</v>
      </c>
      <c r="K30" t="s">
        <v>8294</v>
      </c>
      <c r="L30" t="s">
        <v>893</v>
      </c>
    </row>
    <row r="31" spans="1:12">
      <c r="A31" t="s">
        <v>1012</v>
      </c>
      <c r="B31" t="s">
        <v>1014</v>
      </c>
      <c r="C31" t="s">
        <v>960</v>
      </c>
      <c r="D31" t="s">
        <v>989</v>
      </c>
      <c r="E31">
        <v>42</v>
      </c>
      <c r="F31">
        <v>500</v>
      </c>
      <c r="G31">
        <v>42</v>
      </c>
      <c r="H31">
        <v>500</v>
      </c>
      <c r="I31">
        <v>500</v>
      </c>
      <c r="J31">
        <v>21000</v>
      </c>
      <c r="K31" t="s">
        <v>8294</v>
      </c>
      <c r="L31" t="s">
        <v>893</v>
      </c>
    </row>
    <row r="32" spans="1:12">
      <c r="A32" t="s">
        <v>993</v>
      </c>
      <c r="B32" t="s">
        <v>8295</v>
      </c>
      <c r="C32" t="s">
        <v>896</v>
      </c>
      <c r="D32" t="s">
        <v>989</v>
      </c>
      <c r="E32">
        <v>42</v>
      </c>
      <c r="F32">
        <v>40000</v>
      </c>
      <c r="G32">
        <v>42</v>
      </c>
      <c r="H32">
        <v>40000</v>
      </c>
      <c r="I32">
        <v>40000</v>
      </c>
      <c r="J32">
        <v>1680000</v>
      </c>
      <c r="K32" t="s">
        <v>8294</v>
      </c>
      <c r="L32" t="s">
        <v>893</v>
      </c>
    </row>
    <row r="33" spans="1:12">
      <c r="A33" t="s">
        <v>1017</v>
      </c>
      <c r="B33" t="s">
        <v>1018</v>
      </c>
      <c r="C33" t="s">
        <v>950</v>
      </c>
      <c r="D33" t="s">
        <v>989</v>
      </c>
      <c r="E33" t="s">
        <v>990</v>
      </c>
      <c r="F33">
        <v>30000</v>
      </c>
      <c r="G33">
        <v>29</v>
      </c>
      <c r="H33">
        <v>0</v>
      </c>
      <c r="I33">
        <v>0</v>
      </c>
      <c r="J33">
        <v>0</v>
      </c>
      <c r="K33" t="s">
        <v>8294</v>
      </c>
      <c r="L33" t="s">
        <v>893</v>
      </c>
    </row>
    <row r="34" spans="1:12">
      <c r="A34" t="s">
        <v>1019</v>
      </c>
      <c r="B34" t="s">
        <v>1020</v>
      </c>
      <c r="C34" t="s">
        <v>950</v>
      </c>
      <c r="D34" t="s">
        <v>989</v>
      </c>
      <c r="E34" t="s">
        <v>990</v>
      </c>
      <c r="F34">
        <v>25000</v>
      </c>
      <c r="G34">
        <v>29</v>
      </c>
      <c r="H34">
        <v>0</v>
      </c>
      <c r="I34">
        <v>0</v>
      </c>
      <c r="J34">
        <v>0</v>
      </c>
      <c r="K34" t="s">
        <v>8294</v>
      </c>
      <c r="L34" t="s">
        <v>893</v>
      </c>
    </row>
    <row r="35" spans="1:12">
      <c r="A35" t="s">
        <v>1021</v>
      </c>
      <c r="B35" t="s">
        <v>1022</v>
      </c>
      <c r="C35" t="s">
        <v>897</v>
      </c>
      <c r="D35" t="s">
        <v>989</v>
      </c>
      <c r="E35" t="s">
        <v>990</v>
      </c>
      <c r="F35">
        <v>6000</v>
      </c>
      <c r="G35">
        <v>49</v>
      </c>
      <c r="H35">
        <v>0</v>
      </c>
      <c r="I35">
        <v>0</v>
      </c>
      <c r="J35">
        <v>0</v>
      </c>
      <c r="K35" t="s">
        <v>8291</v>
      </c>
      <c r="L35" t="s">
        <v>893</v>
      </c>
    </row>
    <row r="36" spans="1:12">
      <c r="A36" t="s">
        <v>1034</v>
      </c>
      <c r="B36" t="s">
        <v>1036</v>
      </c>
      <c r="C36" t="s">
        <v>897</v>
      </c>
      <c r="D36" t="s">
        <v>989</v>
      </c>
      <c r="E36" t="s">
        <v>990</v>
      </c>
      <c r="F36">
        <v>6000</v>
      </c>
      <c r="G36">
        <v>47.5</v>
      </c>
      <c r="H36">
        <v>0</v>
      </c>
      <c r="I36">
        <v>0</v>
      </c>
      <c r="J36">
        <v>0</v>
      </c>
      <c r="K36" t="s">
        <v>8291</v>
      </c>
      <c r="L36" t="s">
        <v>893</v>
      </c>
    </row>
    <row r="37" spans="1:12">
      <c r="A37" t="s">
        <v>1028</v>
      </c>
      <c r="B37" t="s">
        <v>1029</v>
      </c>
      <c r="C37" t="s">
        <v>901</v>
      </c>
      <c r="D37" t="s">
        <v>989</v>
      </c>
      <c r="E37">
        <v>37</v>
      </c>
      <c r="F37">
        <v>5000</v>
      </c>
      <c r="G37">
        <v>37</v>
      </c>
      <c r="H37">
        <v>1000</v>
      </c>
      <c r="I37">
        <v>1000</v>
      </c>
      <c r="J37">
        <v>37000</v>
      </c>
      <c r="K37" t="s">
        <v>8291</v>
      </c>
      <c r="L37" t="s">
        <v>893</v>
      </c>
    </row>
    <row r="38" spans="1:12">
      <c r="A38" t="s">
        <v>1034</v>
      </c>
      <c r="B38" t="s">
        <v>1035</v>
      </c>
      <c r="C38" t="s">
        <v>901</v>
      </c>
      <c r="D38" t="s">
        <v>989</v>
      </c>
      <c r="E38">
        <v>35</v>
      </c>
      <c r="F38">
        <v>3000</v>
      </c>
      <c r="G38">
        <v>35</v>
      </c>
      <c r="H38">
        <v>2000</v>
      </c>
      <c r="I38">
        <v>2000</v>
      </c>
      <c r="J38">
        <v>70000</v>
      </c>
      <c r="K38" t="s">
        <v>8291</v>
      </c>
      <c r="L38" t="s">
        <v>893</v>
      </c>
    </row>
    <row r="39" spans="1:12">
      <c r="A39" t="s">
        <v>1030</v>
      </c>
      <c r="B39" t="s">
        <v>1031</v>
      </c>
      <c r="C39" t="s">
        <v>901</v>
      </c>
      <c r="D39" t="s">
        <v>989</v>
      </c>
      <c r="E39">
        <v>31</v>
      </c>
      <c r="F39">
        <v>3000</v>
      </c>
      <c r="G39">
        <v>31</v>
      </c>
      <c r="H39">
        <v>2000</v>
      </c>
      <c r="I39">
        <v>2000</v>
      </c>
      <c r="J39">
        <v>62000</v>
      </c>
      <c r="K39" t="s">
        <v>8291</v>
      </c>
      <c r="L39" t="s">
        <v>893</v>
      </c>
    </row>
    <row r="40" spans="1:12">
      <c r="A40" t="s">
        <v>1028</v>
      </c>
      <c r="B40" t="s">
        <v>1029</v>
      </c>
      <c r="C40" t="s">
        <v>901</v>
      </c>
      <c r="D40" t="s">
        <v>989</v>
      </c>
      <c r="E40" t="s">
        <v>990</v>
      </c>
      <c r="F40">
        <v>2000</v>
      </c>
      <c r="G40">
        <v>37</v>
      </c>
      <c r="H40">
        <v>0</v>
      </c>
      <c r="I40">
        <v>0</v>
      </c>
      <c r="J40">
        <v>0</v>
      </c>
      <c r="K40" t="s">
        <v>8291</v>
      </c>
      <c r="L40" t="s">
        <v>893</v>
      </c>
    </row>
    <row r="41" spans="1:12">
      <c r="A41" t="s">
        <v>1028</v>
      </c>
      <c r="B41" t="s">
        <v>1029</v>
      </c>
      <c r="C41" t="s">
        <v>901</v>
      </c>
      <c r="D41" t="s">
        <v>989</v>
      </c>
      <c r="E41" t="s">
        <v>990</v>
      </c>
      <c r="F41">
        <v>2000</v>
      </c>
      <c r="G41">
        <v>37</v>
      </c>
      <c r="H41">
        <v>0</v>
      </c>
      <c r="I41">
        <v>0</v>
      </c>
      <c r="J41">
        <v>0</v>
      </c>
      <c r="K41" t="s">
        <v>8291</v>
      </c>
      <c r="L41" t="s">
        <v>893</v>
      </c>
    </row>
    <row r="42" spans="1:12">
      <c r="A42" t="s">
        <v>1034</v>
      </c>
      <c r="B42" t="s">
        <v>1035</v>
      </c>
      <c r="C42" t="s">
        <v>901</v>
      </c>
      <c r="D42" t="s">
        <v>989</v>
      </c>
      <c r="E42" t="s">
        <v>990</v>
      </c>
      <c r="F42">
        <v>1000</v>
      </c>
      <c r="G42">
        <v>37</v>
      </c>
      <c r="H42">
        <v>0</v>
      </c>
      <c r="I42">
        <v>0</v>
      </c>
      <c r="J42">
        <v>0</v>
      </c>
      <c r="K42" t="s">
        <v>8291</v>
      </c>
      <c r="L42" t="s">
        <v>893</v>
      </c>
    </row>
    <row r="43" spans="1:12">
      <c r="A43" t="s">
        <v>1034</v>
      </c>
      <c r="B43" t="s">
        <v>1035</v>
      </c>
      <c r="C43" t="s">
        <v>901</v>
      </c>
      <c r="D43" t="s">
        <v>989</v>
      </c>
      <c r="E43" t="s">
        <v>990</v>
      </c>
      <c r="F43">
        <v>1000</v>
      </c>
      <c r="G43">
        <v>37</v>
      </c>
      <c r="H43">
        <v>0</v>
      </c>
      <c r="I43">
        <v>0</v>
      </c>
      <c r="J43">
        <v>0</v>
      </c>
      <c r="K43" t="s">
        <v>8291</v>
      </c>
      <c r="L43" t="s">
        <v>893</v>
      </c>
    </row>
    <row r="44" spans="1:12">
      <c r="A44" t="s">
        <v>1021</v>
      </c>
      <c r="B44" t="s">
        <v>1023</v>
      </c>
      <c r="C44" t="s">
        <v>958</v>
      </c>
      <c r="D44" t="s">
        <v>989</v>
      </c>
      <c r="E44">
        <v>49</v>
      </c>
      <c r="F44">
        <v>550</v>
      </c>
      <c r="G44">
        <v>49</v>
      </c>
      <c r="H44">
        <v>550</v>
      </c>
      <c r="I44">
        <v>550</v>
      </c>
      <c r="J44">
        <v>26950</v>
      </c>
      <c r="K44" t="s">
        <v>8291</v>
      </c>
      <c r="L44" t="s">
        <v>893</v>
      </c>
    </row>
    <row r="45" spans="1:12">
      <c r="A45" t="s">
        <v>991</v>
      </c>
      <c r="B45" t="s">
        <v>8296</v>
      </c>
      <c r="C45" t="s">
        <v>972</v>
      </c>
      <c r="D45" t="s">
        <v>989</v>
      </c>
      <c r="E45">
        <v>40</v>
      </c>
      <c r="F45">
        <v>30000</v>
      </c>
      <c r="G45">
        <v>40</v>
      </c>
      <c r="H45">
        <v>30000</v>
      </c>
      <c r="I45">
        <v>30000</v>
      </c>
      <c r="J45">
        <v>1200000</v>
      </c>
      <c r="K45" t="s">
        <v>8291</v>
      </c>
      <c r="L45" t="s">
        <v>893</v>
      </c>
    </row>
    <row r="46" spans="1:12">
      <c r="A46" t="s">
        <v>1012</v>
      </c>
      <c r="B46" t="s">
        <v>1014</v>
      </c>
      <c r="C46" t="s">
        <v>960</v>
      </c>
      <c r="D46" t="s">
        <v>989</v>
      </c>
      <c r="E46">
        <v>52</v>
      </c>
      <c r="F46">
        <v>1000</v>
      </c>
      <c r="G46">
        <v>52</v>
      </c>
      <c r="H46">
        <v>1000</v>
      </c>
      <c r="I46">
        <v>1000</v>
      </c>
      <c r="J46">
        <v>52000</v>
      </c>
      <c r="K46" t="s">
        <v>8291</v>
      </c>
      <c r="L46" t="s">
        <v>893</v>
      </c>
    </row>
    <row r="47" spans="1:12">
      <c r="A47" t="s">
        <v>993</v>
      </c>
      <c r="B47" t="s">
        <v>1006</v>
      </c>
      <c r="C47" t="s">
        <v>939</v>
      </c>
      <c r="D47" t="s">
        <v>989</v>
      </c>
      <c r="E47">
        <v>52</v>
      </c>
      <c r="F47">
        <v>200</v>
      </c>
      <c r="G47">
        <v>52</v>
      </c>
      <c r="H47">
        <v>275</v>
      </c>
      <c r="I47">
        <v>200</v>
      </c>
      <c r="J47">
        <v>10400</v>
      </c>
      <c r="K47" t="s">
        <v>8291</v>
      </c>
      <c r="L47" t="s">
        <v>893</v>
      </c>
    </row>
    <row r="48" spans="1:12">
      <c r="A48" t="s">
        <v>1017</v>
      </c>
      <c r="B48" t="s">
        <v>1018</v>
      </c>
      <c r="C48" t="s">
        <v>950</v>
      </c>
      <c r="D48" t="s">
        <v>989</v>
      </c>
      <c r="E48" t="s">
        <v>990</v>
      </c>
      <c r="F48">
        <v>30000</v>
      </c>
      <c r="G48">
        <v>29</v>
      </c>
      <c r="H48">
        <v>0</v>
      </c>
      <c r="I48">
        <v>0</v>
      </c>
      <c r="J48">
        <v>0</v>
      </c>
      <c r="K48" t="s">
        <v>8291</v>
      </c>
      <c r="L48" t="s">
        <v>893</v>
      </c>
    </row>
    <row r="49" spans="1:12">
      <c r="A49" t="s">
        <v>1019</v>
      </c>
      <c r="B49" t="s">
        <v>1020</v>
      </c>
      <c r="C49" t="s">
        <v>950</v>
      </c>
      <c r="D49" t="s">
        <v>989</v>
      </c>
      <c r="E49" t="s">
        <v>990</v>
      </c>
      <c r="F49">
        <v>25000</v>
      </c>
      <c r="G49">
        <v>29</v>
      </c>
      <c r="H49">
        <v>0</v>
      </c>
      <c r="I49">
        <v>0</v>
      </c>
      <c r="J49">
        <v>0</v>
      </c>
      <c r="K49" t="s">
        <v>8291</v>
      </c>
      <c r="L49" t="s">
        <v>893</v>
      </c>
    </row>
    <row r="50" spans="1:12">
      <c r="A50" t="s">
        <v>988</v>
      </c>
      <c r="B50" t="s">
        <v>8297</v>
      </c>
      <c r="C50" t="s">
        <v>959</v>
      </c>
      <c r="D50" t="s">
        <v>989</v>
      </c>
      <c r="E50">
        <v>42</v>
      </c>
      <c r="F50">
        <v>1500</v>
      </c>
      <c r="G50">
        <v>42</v>
      </c>
      <c r="H50">
        <v>1500</v>
      </c>
      <c r="I50">
        <v>1500</v>
      </c>
      <c r="J50">
        <v>63000</v>
      </c>
      <c r="K50" t="s">
        <v>8291</v>
      </c>
      <c r="L50" t="s">
        <v>893</v>
      </c>
    </row>
    <row r="51" spans="1:12">
      <c r="A51" t="s">
        <v>1012</v>
      </c>
      <c r="B51" t="s">
        <v>8298</v>
      </c>
      <c r="C51" t="s">
        <v>950</v>
      </c>
      <c r="D51" t="s">
        <v>989</v>
      </c>
      <c r="E51" t="s">
        <v>990</v>
      </c>
      <c r="F51">
        <v>10000</v>
      </c>
      <c r="G51">
        <v>52</v>
      </c>
      <c r="H51">
        <v>200</v>
      </c>
      <c r="I51">
        <v>0</v>
      </c>
      <c r="J51">
        <v>0</v>
      </c>
      <c r="K51" t="s">
        <v>8291</v>
      </c>
      <c r="L51" t="s">
        <v>893</v>
      </c>
    </row>
    <row r="52" spans="1:12">
      <c r="A52" t="s">
        <v>993</v>
      </c>
      <c r="B52" t="s">
        <v>1001</v>
      </c>
      <c r="C52" t="s">
        <v>920</v>
      </c>
      <c r="D52" t="s">
        <v>989</v>
      </c>
      <c r="E52">
        <v>50</v>
      </c>
      <c r="F52">
        <v>500</v>
      </c>
      <c r="G52">
        <v>50</v>
      </c>
      <c r="H52">
        <v>500</v>
      </c>
      <c r="I52">
        <v>500</v>
      </c>
      <c r="J52">
        <v>25000</v>
      </c>
      <c r="K52" t="s">
        <v>8291</v>
      </c>
      <c r="L52" t="s">
        <v>893</v>
      </c>
    </row>
    <row r="53" spans="1:12">
      <c r="A53" t="s">
        <v>1021</v>
      </c>
      <c r="B53" t="s">
        <v>1025</v>
      </c>
      <c r="C53" t="s">
        <v>907</v>
      </c>
      <c r="D53" t="s">
        <v>989</v>
      </c>
      <c r="E53" t="s">
        <v>990</v>
      </c>
      <c r="F53">
        <v>10000</v>
      </c>
      <c r="G53">
        <v>49</v>
      </c>
      <c r="H53">
        <v>0</v>
      </c>
      <c r="I53">
        <v>0</v>
      </c>
      <c r="J53">
        <v>0</v>
      </c>
      <c r="K53" t="s">
        <v>8290</v>
      </c>
      <c r="L53" t="s">
        <v>893</v>
      </c>
    </row>
    <row r="54" spans="1:12">
      <c r="A54" t="s">
        <v>1021</v>
      </c>
      <c r="B54" t="s">
        <v>1025</v>
      </c>
      <c r="C54" t="s">
        <v>907</v>
      </c>
      <c r="D54" t="s">
        <v>989</v>
      </c>
      <c r="E54" t="s">
        <v>990</v>
      </c>
      <c r="F54">
        <v>10000</v>
      </c>
      <c r="G54">
        <v>49</v>
      </c>
      <c r="H54">
        <v>0</v>
      </c>
      <c r="I54">
        <v>0</v>
      </c>
      <c r="J54">
        <v>0</v>
      </c>
      <c r="K54" t="s">
        <v>8290</v>
      </c>
      <c r="L54" t="s">
        <v>893</v>
      </c>
    </row>
    <row r="55" spans="1:12">
      <c r="A55" t="s">
        <v>1034</v>
      </c>
      <c r="B55" t="s">
        <v>8299</v>
      </c>
      <c r="C55" t="s">
        <v>907</v>
      </c>
      <c r="D55" t="s">
        <v>989</v>
      </c>
      <c r="E55" t="s">
        <v>990</v>
      </c>
      <c r="F55">
        <v>7000</v>
      </c>
      <c r="G55">
        <v>47.5</v>
      </c>
      <c r="H55">
        <v>0</v>
      </c>
      <c r="I55">
        <v>0</v>
      </c>
      <c r="J55">
        <v>0</v>
      </c>
      <c r="K55" t="s">
        <v>8290</v>
      </c>
      <c r="L55" t="s">
        <v>893</v>
      </c>
    </row>
    <row r="56" spans="1:12">
      <c r="A56" t="s">
        <v>993</v>
      </c>
      <c r="B56" t="s">
        <v>996</v>
      </c>
      <c r="C56" t="s">
        <v>908</v>
      </c>
      <c r="D56" t="s">
        <v>989</v>
      </c>
      <c r="E56" t="s">
        <v>990</v>
      </c>
      <c r="F56">
        <v>3000</v>
      </c>
      <c r="G56">
        <v>42</v>
      </c>
      <c r="H56">
        <v>0</v>
      </c>
      <c r="I56">
        <v>0</v>
      </c>
      <c r="J56">
        <v>0</v>
      </c>
      <c r="K56" t="s">
        <v>8290</v>
      </c>
      <c r="L56" t="s">
        <v>893</v>
      </c>
    </row>
    <row r="57" spans="1:12">
      <c r="A57" t="s">
        <v>993</v>
      </c>
      <c r="B57" t="s">
        <v>996</v>
      </c>
      <c r="C57" t="s">
        <v>908</v>
      </c>
      <c r="D57" t="s">
        <v>989</v>
      </c>
      <c r="E57">
        <v>53</v>
      </c>
      <c r="F57">
        <v>5000</v>
      </c>
      <c r="G57">
        <v>53</v>
      </c>
      <c r="H57">
        <v>1000</v>
      </c>
      <c r="I57">
        <v>1000</v>
      </c>
      <c r="J57">
        <v>53000</v>
      </c>
      <c r="K57" t="s">
        <v>8290</v>
      </c>
      <c r="L57" t="s">
        <v>893</v>
      </c>
    </row>
    <row r="58" spans="1:12">
      <c r="A58" t="s">
        <v>1021</v>
      </c>
      <c r="B58" t="s">
        <v>1022</v>
      </c>
      <c r="C58" t="s">
        <v>897</v>
      </c>
      <c r="D58" t="s">
        <v>989</v>
      </c>
      <c r="E58" t="s">
        <v>990</v>
      </c>
      <c r="F58">
        <v>6000</v>
      </c>
      <c r="G58">
        <v>49</v>
      </c>
      <c r="H58">
        <v>0</v>
      </c>
      <c r="I58">
        <v>0</v>
      </c>
      <c r="J58">
        <v>0</v>
      </c>
      <c r="K58" t="s">
        <v>8290</v>
      </c>
      <c r="L58" t="s">
        <v>893</v>
      </c>
    </row>
    <row r="59" spans="1:12">
      <c r="A59" t="s">
        <v>1034</v>
      </c>
      <c r="B59" t="s">
        <v>1036</v>
      </c>
      <c r="C59" t="s">
        <v>897</v>
      </c>
      <c r="D59" t="s">
        <v>989</v>
      </c>
      <c r="E59" t="s">
        <v>990</v>
      </c>
      <c r="F59">
        <v>6000</v>
      </c>
      <c r="G59">
        <v>47.5</v>
      </c>
      <c r="H59">
        <v>0</v>
      </c>
      <c r="I59">
        <v>0</v>
      </c>
      <c r="J59">
        <v>0</v>
      </c>
      <c r="K59" t="s">
        <v>8290</v>
      </c>
      <c r="L59" t="s">
        <v>893</v>
      </c>
    </row>
    <row r="60" spans="1:12">
      <c r="A60" t="s">
        <v>993</v>
      </c>
      <c r="B60" t="s">
        <v>994</v>
      </c>
      <c r="C60" t="s">
        <v>897</v>
      </c>
      <c r="D60" t="s">
        <v>989</v>
      </c>
      <c r="E60" t="s">
        <v>990</v>
      </c>
      <c r="F60">
        <v>5000</v>
      </c>
      <c r="G60">
        <v>52</v>
      </c>
      <c r="H60">
        <v>0</v>
      </c>
      <c r="I60">
        <v>0</v>
      </c>
      <c r="J60">
        <v>0</v>
      </c>
      <c r="K60" t="s">
        <v>8290</v>
      </c>
      <c r="L60" t="s">
        <v>893</v>
      </c>
    </row>
    <row r="61" spans="1:12">
      <c r="A61" t="s">
        <v>1008</v>
      </c>
      <c r="B61" t="s">
        <v>1011</v>
      </c>
      <c r="C61" t="s">
        <v>897</v>
      </c>
      <c r="D61" t="s">
        <v>989</v>
      </c>
      <c r="E61" t="s">
        <v>990</v>
      </c>
      <c r="F61">
        <v>1000</v>
      </c>
      <c r="G61">
        <v>50</v>
      </c>
      <c r="H61">
        <v>0</v>
      </c>
      <c r="I61">
        <v>0</v>
      </c>
      <c r="J61">
        <v>0</v>
      </c>
      <c r="K61" t="s">
        <v>8290</v>
      </c>
      <c r="L61" t="s">
        <v>893</v>
      </c>
    </row>
    <row r="62" spans="1:12">
      <c r="A62" t="s">
        <v>993</v>
      </c>
      <c r="B62" t="s">
        <v>994</v>
      </c>
      <c r="C62" t="s">
        <v>897</v>
      </c>
      <c r="D62" t="s">
        <v>989</v>
      </c>
      <c r="E62" t="s">
        <v>990</v>
      </c>
      <c r="F62">
        <v>10000</v>
      </c>
      <c r="G62">
        <v>52</v>
      </c>
      <c r="H62">
        <v>0</v>
      </c>
      <c r="I62">
        <v>0</v>
      </c>
      <c r="J62">
        <v>0</v>
      </c>
      <c r="K62" t="s">
        <v>8290</v>
      </c>
      <c r="L62" t="s">
        <v>893</v>
      </c>
    </row>
    <row r="63" spans="1:12">
      <c r="A63" t="s">
        <v>1028</v>
      </c>
      <c r="B63" t="s">
        <v>1029</v>
      </c>
      <c r="C63" t="s">
        <v>901</v>
      </c>
      <c r="D63" t="s">
        <v>989</v>
      </c>
      <c r="E63" t="s">
        <v>990</v>
      </c>
      <c r="F63">
        <v>5000</v>
      </c>
      <c r="G63">
        <v>37</v>
      </c>
      <c r="H63">
        <v>0</v>
      </c>
      <c r="I63">
        <v>0</v>
      </c>
      <c r="J63">
        <v>0</v>
      </c>
      <c r="K63" t="s">
        <v>8290</v>
      </c>
      <c r="L63" t="s">
        <v>893</v>
      </c>
    </row>
    <row r="64" spans="1:12">
      <c r="A64" t="s">
        <v>1034</v>
      </c>
      <c r="B64" t="s">
        <v>1035</v>
      </c>
      <c r="C64" t="s">
        <v>901</v>
      </c>
      <c r="D64" t="s">
        <v>989</v>
      </c>
      <c r="E64" t="s">
        <v>990</v>
      </c>
      <c r="F64">
        <v>3000</v>
      </c>
      <c r="G64">
        <v>35</v>
      </c>
      <c r="H64">
        <v>0</v>
      </c>
      <c r="I64">
        <v>0</v>
      </c>
      <c r="J64">
        <v>0</v>
      </c>
      <c r="K64" t="s">
        <v>8290</v>
      </c>
      <c r="L64" t="s">
        <v>893</v>
      </c>
    </row>
    <row r="65" spans="1:12">
      <c r="A65" t="s">
        <v>1030</v>
      </c>
      <c r="B65" t="s">
        <v>1031</v>
      </c>
      <c r="C65" t="s">
        <v>901</v>
      </c>
      <c r="D65" t="s">
        <v>989</v>
      </c>
      <c r="E65" t="s">
        <v>990</v>
      </c>
      <c r="F65">
        <v>3000</v>
      </c>
      <c r="G65">
        <v>31</v>
      </c>
      <c r="H65">
        <v>0</v>
      </c>
      <c r="I65">
        <v>0</v>
      </c>
      <c r="J65">
        <v>0</v>
      </c>
      <c r="K65" t="s">
        <v>8290</v>
      </c>
      <c r="L65" t="s">
        <v>893</v>
      </c>
    </row>
    <row r="66" spans="1:12">
      <c r="A66" t="s">
        <v>1028</v>
      </c>
      <c r="B66" t="s">
        <v>1029</v>
      </c>
      <c r="C66" t="s">
        <v>901</v>
      </c>
      <c r="D66" t="s">
        <v>989</v>
      </c>
      <c r="E66" t="s">
        <v>990</v>
      </c>
      <c r="F66">
        <v>2000</v>
      </c>
      <c r="G66">
        <v>37</v>
      </c>
      <c r="H66">
        <v>0</v>
      </c>
      <c r="I66">
        <v>0</v>
      </c>
      <c r="J66">
        <v>0</v>
      </c>
      <c r="K66" t="s">
        <v>8290</v>
      </c>
      <c r="L66" t="s">
        <v>893</v>
      </c>
    </row>
    <row r="67" spans="1:12">
      <c r="A67" t="s">
        <v>1028</v>
      </c>
      <c r="B67" t="s">
        <v>1029</v>
      </c>
      <c r="C67" t="s">
        <v>901</v>
      </c>
      <c r="D67" t="s">
        <v>989</v>
      </c>
      <c r="E67" t="s">
        <v>990</v>
      </c>
      <c r="F67">
        <v>2000</v>
      </c>
      <c r="G67">
        <v>37</v>
      </c>
      <c r="H67">
        <v>0</v>
      </c>
      <c r="I67">
        <v>0</v>
      </c>
      <c r="J67">
        <v>0</v>
      </c>
      <c r="K67" t="s">
        <v>8290</v>
      </c>
      <c r="L67" t="s">
        <v>893</v>
      </c>
    </row>
    <row r="68" spans="1:12">
      <c r="A68" t="s">
        <v>1034</v>
      </c>
      <c r="B68" t="s">
        <v>1035</v>
      </c>
      <c r="C68" t="s">
        <v>901</v>
      </c>
      <c r="D68" t="s">
        <v>989</v>
      </c>
      <c r="E68" t="s">
        <v>990</v>
      </c>
      <c r="F68">
        <v>1000</v>
      </c>
      <c r="G68">
        <v>37</v>
      </c>
      <c r="H68">
        <v>0</v>
      </c>
      <c r="I68">
        <v>0</v>
      </c>
      <c r="J68">
        <v>0</v>
      </c>
      <c r="K68" t="s">
        <v>8290</v>
      </c>
      <c r="L68" t="s">
        <v>893</v>
      </c>
    </row>
    <row r="69" spans="1:12">
      <c r="A69" t="s">
        <v>1034</v>
      </c>
      <c r="B69" t="s">
        <v>1035</v>
      </c>
      <c r="C69" t="s">
        <v>901</v>
      </c>
      <c r="D69" t="s">
        <v>989</v>
      </c>
      <c r="E69" t="s">
        <v>990</v>
      </c>
      <c r="F69">
        <v>1000</v>
      </c>
      <c r="G69">
        <v>37</v>
      </c>
      <c r="H69">
        <v>0</v>
      </c>
      <c r="I69">
        <v>0</v>
      </c>
      <c r="J69">
        <v>0</v>
      </c>
      <c r="K69" t="s">
        <v>8290</v>
      </c>
      <c r="L69" t="s">
        <v>893</v>
      </c>
    </row>
    <row r="70" spans="1:12">
      <c r="A70" t="s">
        <v>993</v>
      </c>
      <c r="B70" t="s">
        <v>1002</v>
      </c>
      <c r="C70" t="s">
        <v>934</v>
      </c>
      <c r="D70" t="s">
        <v>989</v>
      </c>
      <c r="E70" t="s">
        <v>990</v>
      </c>
      <c r="F70">
        <v>500</v>
      </c>
      <c r="G70">
        <v>42</v>
      </c>
      <c r="H70">
        <v>0</v>
      </c>
      <c r="I70">
        <v>0</v>
      </c>
      <c r="J70">
        <v>0</v>
      </c>
      <c r="K70" t="s">
        <v>8290</v>
      </c>
      <c r="L70" t="s">
        <v>893</v>
      </c>
    </row>
    <row r="71" spans="1:12">
      <c r="A71" t="s">
        <v>1008</v>
      </c>
      <c r="B71" t="s">
        <v>7793</v>
      </c>
      <c r="C71" t="s">
        <v>958</v>
      </c>
      <c r="D71" t="s">
        <v>1004</v>
      </c>
      <c r="E71">
        <v>60547</v>
      </c>
      <c r="F71">
        <v>10000</v>
      </c>
      <c r="G71">
        <v>60547</v>
      </c>
      <c r="H71">
        <v>10000</v>
      </c>
      <c r="I71">
        <v>10000</v>
      </c>
      <c r="J71">
        <v>605470000000</v>
      </c>
      <c r="K71" t="s">
        <v>8290</v>
      </c>
      <c r="L71" t="s">
        <v>895</v>
      </c>
    </row>
    <row r="72" spans="1:12">
      <c r="A72" t="s">
        <v>1034</v>
      </c>
      <c r="B72" t="s">
        <v>8299</v>
      </c>
      <c r="C72" t="s">
        <v>907</v>
      </c>
      <c r="D72" t="s">
        <v>989</v>
      </c>
      <c r="E72" t="s">
        <v>990</v>
      </c>
      <c r="F72">
        <v>7000</v>
      </c>
      <c r="G72">
        <v>47.5</v>
      </c>
      <c r="H72">
        <v>0</v>
      </c>
      <c r="I72">
        <v>0</v>
      </c>
      <c r="J72">
        <v>0</v>
      </c>
      <c r="K72" t="s">
        <v>8290</v>
      </c>
      <c r="L72" t="s">
        <v>893</v>
      </c>
    </row>
    <row r="73" spans="1:12">
      <c r="A73" t="s">
        <v>1017</v>
      </c>
      <c r="B73" t="s">
        <v>1018</v>
      </c>
      <c r="C73" t="s">
        <v>950</v>
      </c>
      <c r="D73" t="s">
        <v>989</v>
      </c>
      <c r="E73" t="s">
        <v>990</v>
      </c>
      <c r="F73">
        <v>30000</v>
      </c>
      <c r="G73">
        <v>29</v>
      </c>
      <c r="H73">
        <v>0</v>
      </c>
      <c r="I73">
        <v>0</v>
      </c>
      <c r="J73">
        <v>0</v>
      </c>
      <c r="K73" t="s">
        <v>8290</v>
      </c>
      <c r="L73" t="s">
        <v>893</v>
      </c>
    </row>
    <row r="74" spans="1:12">
      <c r="A74" t="s">
        <v>1019</v>
      </c>
      <c r="B74" t="s">
        <v>1020</v>
      </c>
      <c r="C74" t="s">
        <v>950</v>
      </c>
      <c r="D74" t="s">
        <v>989</v>
      </c>
      <c r="E74" t="s">
        <v>990</v>
      </c>
      <c r="F74">
        <v>25000</v>
      </c>
      <c r="G74">
        <v>29</v>
      </c>
      <c r="H74">
        <v>0</v>
      </c>
      <c r="I74">
        <v>0</v>
      </c>
      <c r="J74">
        <v>0</v>
      </c>
      <c r="K74" t="s">
        <v>8290</v>
      </c>
      <c r="L74" t="s">
        <v>893</v>
      </c>
    </row>
    <row r="75" spans="1:12">
      <c r="A75" t="s">
        <v>1012</v>
      </c>
      <c r="B75" t="s">
        <v>8298</v>
      </c>
      <c r="C75" t="s">
        <v>950</v>
      </c>
      <c r="D75" t="s">
        <v>989</v>
      </c>
      <c r="E75" t="s">
        <v>990</v>
      </c>
      <c r="F75">
        <v>10000</v>
      </c>
      <c r="G75">
        <v>52</v>
      </c>
      <c r="H75">
        <v>0</v>
      </c>
      <c r="I75">
        <v>0</v>
      </c>
      <c r="J75">
        <v>0</v>
      </c>
      <c r="K75" t="s">
        <v>8290</v>
      </c>
      <c r="L75" t="s">
        <v>893</v>
      </c>
    </row>
    <row r="76" spans="1:12">
      <c r="A76" t="s">
        <v>993</v>
      </c>
      <c r="B76" t="s">
        <v>998</v>
      </c>
      <c r="C76" t="s">
        <v>907</v>
      </c>
      <c r="D76" t="s">
        <v>997</v>
      </c>
      <c r="E76" t="s">
        <v>990</v>
      </c>
      <c r="F76">
        <v>500</v>
      </c>
      <c r="G76">
        <v>63575</v>
      </c>
      <c r="H76">
        <v>0</v>
      </c>
      <c r="I76">
        <v>0</v>
      </c>
      <c r="J76">
        <v>0</v>
      </c>
      <c r="K76" t="s">
        <v>8290</v>
      </c>
      <c r="L76" t="s">
        <v>895</v>
      </c>
    </row>
    <row r="77" spans="1:12">
      <c r="A77" t="s">
        <v>1012</v>
      </c>
      <c r="B77" t="s">
        <v>1016</v>
      </c>
      <c r="C77" t="s">
        <v>911</v>
      </c>
      <c r="D77" t="s">
        <v>989</v>
      </c>
      <c r="E77">
        <v>42</v>
      </c>
      <c r="F77">
        <v>1500</v>
      </c>
      <c r="G77">
        <v>42</v>
      </c>
      <c r="H77">
        <v>1500</v>
      </c>
      <c r="I77">
        <v>1500</v>
      </c>
      <c r="J77">
        <v>63000</v>
      </c>
      <c r="K77" t="s">
        <v>8290</v>
      </c>
      <c r="L77" t="s">
        <v>893</v>
      </c>
    </row>
    <row r="78" spans="1:12">
      <c r="A78" t="s">
        <v>1021</v>
      </c>
      <c r="B78" t="s">
        <v>1027</v>
      </c>
      <c r="C78" t="s">
        <v>940</v>
      </c>
      <c r="D78" t="s">
        <v>989</v>
      </c>
      <c r="E78">
        <v>49</v>
      </c>
      <c r="F78">
        <v>18000</v>
      </c>
      <c r="G78">
        <v>49</v>
      </c>
      <c r="H78">
        <v>18000</v>
      </c>
      <c r="I78">
        <v>18000</v>
      </c>
      <c r="J78">
        <v>882000</v>
      </c>
      <c r="K78" t="s">
        <v>8290</v>
      </c>
      <c r="L78" t="s">
        <v>893</v>
      </c>
    </row>
    <row r="79" spans="1:12">
      <c r="A79" t="s">
        <v>1021</v>
      </c>
      <c r="B79" t="s">
        <v>1027</v>
      </c>
      <c r="C79" t="s">
        <v>940</v>
      </c>
      <c r="D79" t="s">
        <v>989</v>
      </c>
      <c r="E79">
        <v>49</v>
      </c>
      <c r="F79">
        <v>15000</v>
      </c>
      <c r="G79">
        <v>49</v>
      </c>
      <c r="H79">
        <v>15000</v>
      </c>
      <c r="I79">
        <v>15000</v>
      </c>
      <c r="J79">
        <v>735000</v>
      </c>
      <c r="K79" t="s">
        <v>8290</v>
      </c>
      <c r="L79" t="s">
        <v>893</v>
      </c>
    </row>
    <row r="80" spans="1:12">
      <c r="A80" t="s">
        <v>1012</v>
      </c>
      <c r="B80" t="s">
        <v>8300</v>
      </c>
      <c r="C80" t="s">
        <v>945</v>
      </c>
      <c r="D80" t="s">
        <v>989</v>
      </c>
      <c r="E80">
        <v>52</v>
      </c>
      <c r="F80">
        <v>1000</v>
      </c>
      <c r="G80">
        <v>52</v>
      </c>
      <c r="H80">
        <v>1000</v>
      </c>
      <c r="I80">
        <v>1000</v>
      </c>
      <c r="J80">
        <v>52000</v>
      </c>
      <c r="K80" t="s">
        <v>8290</v>
      </c>
      <c r="L80" t="s">
        <v>893</v>
      </c>
    </row>
    <row r="81" spans="1:12">
      <c r="A81" t="s">
        <v>993</v>
      </c>
      <c r="B81" t="s">
        <v>1005</v>
      </c>
      <c r="C81" t="s">
        <v>959</v>
      </c>
      <c r="D81" t="s">
        <v>989</v>
      </c>
      <c r="E81">
        <v>42</v>
      </c>
      <c r="F81">
        <v>6000</v>
      </c>
      <c r="G81">
        <v>42</v>
      </c>
      <c r="H81">
        <v>6000</v>
      </c>
      <c r="I81">
        <v>6000</v>
      </c>
      <c r="J81">
        <v>252000</v>
      </c>
      <c r="K81" t="s">
        <v>8290</v>
      </c>
      <c r="L81" t="s">
        <v>893</v>
      </c>
    </row>
    <row r="82" spans="1:12">
      <c r="A82" t="s">
        <v>993</v>
      </c>
      <c r="B82" t="s">
        <v>1006</v>
      </c>
      <c r="C82" t="s">
        <v>939</v>
      </c>
      <c r="D82" t="s">
        <v>989</v>
      </c>
      <c r="E82" t="s">
        <v>990</v>
      </c>
      <c r="F82">
        <v>300</v>
      </c>
      <c r="G82">
        <v>52</v>
      </c>
      <c r="H82">
        <v>0</v>
      </c>
      <c r="I82">
        <v>0</v>
      </c>
      <c r="J82">
        <v>0</v>
      </c>
      <c r="K82" t="s">
        <v>8290</v>
      </c>
      <c r="L82" t="s">
        <v>893</v>
      </c>
    </row>
    <row r="83" spans="1:12">
      <c r="A83" t="s">
        <v>1008</v>
      </c>
      <c r="B83" t="s">
        <v>1009</v>
      </c>
      <c r="C83" t="s">
        <v>922</v>
      </c>
      <c r="D83" t="s">
        <v>989</v>
      </c>
      <c r="E83" t="s">
        <v>990</v>
      </c>
      <c r="F83">
        <v>1000</v>
      </c>
      <c r="G83">
        <v>40</v>
      </c>
      <c r="H83">
        <v>0</v>
      </c>
      <c r="I83">
        <v>0</v>
      </c>
      <c r="J83">
        <v>0</v>
      </c>
      <c r="K83" t="s">
        <v>8290</v>
      </c>
      <c r="L83" t="s">
        <v>893</v>
      </c>
    </row>
    <row r="84" spans="1:12">
      <c r="A84" t="s">
        <v>993</v>
      </c>
      <c r="B84" t="s">
        <v>995</v>
      </c>
      <c r="C84" t="s">
        <v>922</v>
      </c>
      <c r="D84" t="s">
        <v>989</v>
      </c>
      <c r="E84" t="s">
        <v>990</v>
      </c>
      <c r="F84">
        <v>8000</v>
      </c>
      <c r="G84">
        <v>42</v>
      </c>
      <c r="H84">
        <v>0</v>
      </c>
      <c r="I84">
        <v>0</v>
      </c>
      <c r="J84">
        <v>0</v>
      </c>
      <c r="K84" t="s">
        <v>8290</v>
      </c>
      <c r="L84" t="s">
        <v>893</v>
      </c>
    </row>
    <row r="85" spans="1:12">
      <c r="A85" t="s">
        <v>993</v>
      </c>
      <c r="B85" t="s">
        <v>995</v>
      </c>
      <c r="C85" t="s">
        <v>922</v>
      </c>
      <c r="D85" t="s">
        <v>989</v>
      </c>
      <c r="E85" t="s">
        <v>990</v>
      </c>
      <c r="F85">
        <v>1000</v>
      </c>
      <c r="G85">
        <v>42</v>
      </c>
      <c r="H85">
        <v>0</v>
      </c>
      <c r="I85">
        <v>0</v>
      </c>
      <c r="J85">
        <v>0</v>
      </c>
      <c r="K85" t="s">
        <v>8290</v>
      </c>
      <c r="L85" t="s">
        <v>893</v>
      </c>
    </row>
    <row r="86" spans="1:12">
      <c r="A86" t="s">
        <v>993</v>
      </c>
      <c r="B86" t="s">
        <v>994</v>
      </c>
      <c r="C86" t="s">
        <v>897</v>
      </c>
      <c r="D86" t="s">
        <v>989</v>
      </c>
      <c r="E86" t="s">
        <v>990</v>
      </c>
      <c r="F86">
        <v>48</v>
      </c>
      <c r="G86">
        <v>42</v>
      </c>
      <c r="H86">
        <v>0</v>
      </c>
      <c r="I86">
        <v>0</v>
      </c>
      <c r="J86">
        <v>0</v>
      </c>
      <c r="K86" t="s">
        <v>8290</v>
      </c>
      <c r="L86" t="s">
        <v>893</v>
      </c>
    </row>
    <row r="87" spans="1:12">
      <c r="A87" t="s">
        <v>1012</v>
      </c>
      <c r="B87" t="s">
        <v>1015</v>
      </c>
      <c r="C87" t="s">
        <v>898</v>
      </c>
      <c r="D87" t="s">
        <v>989</v>
      </c>
      <c r="E87">
        <v>42</v>
      </c>
      <c r="F87">
        <v>4000</v>
      </c>
      <c r="G87">
        <v>42</v>
      </c>
      <c r="H87">
        <v>4000</v>
      </c>
      <c r="I87">
        <v>4000</v>
      </c>
      <c r="J87">
        <v>168000</v>
      </c>
      <c r="K87" t="s">
        <v>8290</v>
      </c>
      <c r="L87" t="s">
        <v>893</v>
      </c>
    </row>
    <row r="88" spans="1:12">
      <c r="A88" t="s">
        <v>1012</v>
      </c>
      <c r="B88" t="s">
        <v>8301</v>
      </c>
      <c r="C88" t="s">
        <v>941</v>
      </c>
      <c r="D88" t="s">
        <v>997</v>
      </c>
      <c r="E88">
        <v>63575</v>
      </c>
      <c r="F88">
        <v>1000</v>
      </c>
      <c r="G88">
        <v>63575</v>
      </c>
      <c r="H88">
        <v>1000</v>
      </c>
      <c r="I88">
        <v>1000</v>
      </c>
      <c r="J88">
        <v>63575000000</v>
      </c>
      <c r="K88" t="s">
        <v>8290</v>
      </c>
      <c r="L88" t="s">
        <v>895</v>
      </c>
    </row>
    <row r="89" spans="1:12">
      <c r="A89" t="s">
        <v>1008</v>
      </c>
      <c r="B89" t="s">
        <v>1010</v>
      </c>
      <c r="C89" t="s">
        <v>921</v>
      </c>
      <c r="D89" t="s">
        <v>989</v>
      </c>
      <c r="E89" t="s">
        <v>990</v>
      </c>
      <c r="F89">
        <v>5000</v>
      </c>
      <c r="G89">
        <v>32</v>
      </c>
      <c r="H89">
        <v>0</v>
      </c>
      <c r="I89">
        <v>0</v>
      </c>
      <c r="J89">
        <v>0</v>
      </c>
      <c r="K89" t="s">
        <v>8508</v>
      </c>
      <c r="L89" t="s">
        <v>893</v>
      </c>
    </row>
    <row r="90" spans="1:12">
      <c r="A90" t="s">
        <v>993</v>
      </c>
      <c r="B90" t="s">
        <v>8302</v>
      </c>
      <c r="C90" t="s">
        <v>927</v>
      </c>
      <c r="D90" t="s">
        <v>989</v>
      </c>
      <c r="E90">
        <v>52</v>
      </c>
      <c r="F90">
        <v>5000</v>
      </c>
      <c r="G90">
        <v>52</v>
      </c>
      <c r="H90">
        <v>5000</v>
      </c>
      <c r="I90">
        <v>5000</v>
      </c>
      <c r="J90">
        <v>260000</v>
      </c>
      <c r="K90" t="s">
        <v>8287</v>
      </c>
      <c r="L90" t="s">
        <v>893</v>
      </c>
    </row>
    <row r="91" spans="1:12">
      <c r="A91" t="s">
        <v>993</v>
      </c>
      <c r="B91" t="s">
        <v>1005</v>
      </c>
      <c r="C91" t="s">
        <v>959</v>
      </c>
      <c r="D91" t="s">
        <v>989</v>
      </c>
      <c r="E91">
        <v>42</v>
      </c>
      <c r="F91">
        <v>2000</v>
      </c>
      <c r="G91">
        <v>42</v>
      </c>
      <c r="H91">
        <v>2000</v>
      </c>
      <c r="I91">
        <v>2000</v>
      </c>
      <c r="J91">
        <v>84000</v>
      </c>
      <c r="K91" t="s">
        <v>8287</v>
      </c>
      <c r="L91" t="s">
        <v>893</v>
      </c>
    </row>
    <row r="92" spans="1:12">
      <c r="A92" t="s">
        <v>1034</v>
      </c>
      <c r="B92" t="s">
        <v>1037</v>
      </c>
      <c r="C92" t="s">
        <v>915</v>
      </c>
      <c r="D92" t="s">
        <v>989</v>
      </c>
      <c r="E92">
        <v>47.5</v>
      </c>
      <c r="F92">
        <v>4992</v>
      </c>
      <c r="G92">
        <v>47.5</v>
      </c>
      <c r="H92">
        <v>2688</v>
      </c>
      <c r="I92">
        <v>2688</v>
      </c>
      <c r="J92">
        <v>127679.999112356</v>
      </c>
      <c r="K92" t="s">
        <v>8287</v>
      </c>
      <c r="L92" t="s">
        <v>893</v>
      </c>
    </row>
    <row r="93" spans="1:12">
      <c r="A93" t="s">
        <v>1028</v>
      </c>
      <c r="B93" t="s">
        <v>1029</v>
      </c>
      <c r="C93" t="s">
        <v>901</v>
      </c>
      <c r="D93" t="s">
        <v>989</v>
      </c>
      <c r="E93" t="s">
        <v>990</v>
      </c>
      <c r="F93">
        <v>5000</v>
      </c>
      <c r="G93">
        <v>37</v>
      </c>
      <c r="H93">
        <v>0</v>
      </c>
      <c r="I93">
        <v>0</v>
      </c>
      <c r="J93">
        <v>0</v>
      </c>
      <c r="K93" t="s">
        <v>8287</v>
      </c>
      <c r="L93" t="s">
        <v>893</v>
      </c>
    </row>
    <row r="94" spans="1:12">
      <c r="A94" t="s">
        <v>1034</v>
      </c>
      <c r="B94" t="s">
        <v>1035</v>
      </c>
      <c r="C94" t="s">
        <v>901</v>
      </c>
      <c r="D94" t="s">
        <v>989</v>
      </c>
      <c r="E94" t="s">
        <v>990</v>
      </c>
      <c r="F94">
        <v>3000</v>
      </c>
      <c r="G94">
        <v>35</v>
      </c>
      <c r="H94">
        <v>0</v>
      </c>
      <c r="I94">
        <v>0</v>
      </c>
      <c r="J94">
        <v>0</v>
      </c>
      <c r="K94" t="s">
        <v>8287</v>
      </c>
      <c r="L94" t="s">
        <v>893</v>
      </c>
    </row>
    <row r="95" spans="1:12">
      <c r="A95" t="s">
        <v>1030</v>
      </c>
      <c r="B95" t="s">
        <v>1031</v>
      </c>
      <c r="C95" t="s">
        <v>901</v>
      </c>
      <c r="D95" t="s">
        <v>989</v>
      </c>
      <c r="E95" t="s">
        <v>990</v>
      </c>
      <c r="F95">
        <v>3000</v>
      </c>
      <c r="G95">
        <v>31</v>
      </c>
      <c r="H95">
        <v>0</v>
      </c>
      <c r="I95">
        <v>0</v>
      </c>
      <c r="J95">
        <v>0</v>
      </c>
      <c r="K95" t="s">
        <v>8287</v>
      </c>
      <c r="L95" t="s">
        <v>893</v>
      </c>
    </row>
    <row r="96" spans="1:12">
      <c r="A96" t="s">
        <v>1028</v>
      </c>
      <c r="B96" t="s">
        <v>1029</v>
      </c>
      <c r="C96" t="s">
        <v>901</v>
      </c>
      <c r="D96" t="s">
        <v>989</v>
      </c>
      <c r="E96" t="s">
        <v>990</v>
      </c>
      <c r="F96">
        <v>2000</v>
      </c>
      <c r="G96">
        <v>37</v>
      </c>
      <c r="H96">
        <v>0</v>
      </c>
      <c r="I96">
        <v>0</v>
      </c>
      <c r="J96">
        <v>0</v>
      </c>
      <c r="K96" t="s">
        <v>8287</v>
      </c>
      <c r="L96" t="s">
        <v>893</v>
      </c>
    </row>
    <row r="97" spans="1:12">
      <c r="A97" t="s">
        <v>1028</v>
      </c>
      <c r="B97" t="s">
        <v>1029</v>
      </c>
      <c r="C97" t="s">
        <v>901</v>
      </c>
      <c r="D97" t="s">
        <v>989</v>
      </c>
      <c r="E97" t="s">
        <v>990</v>
      </c>
      <c r="F97">
        <v>2000</v>
      </c>
      <c r="G97">
        <v>37</v>
      </c>
      <c r="H97">
        <v>0</v>
      </c>
      <c r="I97">
        <v>0</v>
      </c>
      <c r="J97">
        <v>0</v>
      </c>
      <c r="K97" t="s">
        <v>8287</v>
      </c>
      <c r="L97" t="s">
        <v>893</v>
      </c>
    </row>
    <row r="98" spans="1:12">
      <c r="A98" t="s">
        <v>1030</v>
      </c>
      <c r="B98" t="s">
        <v>1033</v>
      </c>
      <c r="C98" t="s">
        <v>948</v>
      </c>
      <c r="D98" t="s">
        <v>989</v>
      </c>
      <c r="E98">
        <v>32</v>
      </c>
      <c r="F98">
        <v>5000</v>
      </c>
      <c r="G98">
        <v>32</v>
      </c>
      <c r="H98">
        <v>5000</v>
      </c>
      <c r="I98">
        <v>5000</v>
      </c>
      <c r="J98">
        <v>160000</v>
      </c>
      <c r="K98" t="s">
        <v>8287</v>
      </c>
      <c r="L98" t="s">
        <v>893</v>
      </c>
    </row>
    <row r="99" spans="1:12">
      <c r="A99" t="s">
        <v>1034</v>
      </c>
      <c r="B99" t="s">
        <v>1035</v>
      </c>
      <c r="C99" t="s">
        <v>901</v>
      </c>
      <c r="D99" t="s">
        <v>989</v>
      </c>
      <c r="E99" t="s">
        <v>990</v>
      </c>
      <c r="F99">
        <v>1000</v>
      </c>
      <c r="G99">
        <v>37</v>
      </c>
      <c r="H99">
        <v>0</v>
      </c>
      <c r="I99">
        <v>0</v>
      </c>
      <c r="J99">
        <v>0</v>
      </c>
      <c r="K99" t="s">
        <v>8287</v>
      </c>
      <c r="L99" t="s">
        <v>893</v>
      </c>
    </row>
    <row r="100" spans="1:12">
      <c r="A100" t="s">
        <v>1034</v>
      </c>
      <c r="B100" t="s">
        <v>1035</v>
      </c>
      <c r="C100" t="s">
        <v>901</v>
      </c>
      <c r="D100" t="s">
        <v>989</v>
      </c>
      <c r="E100" t="s">
        <v>990</v>
      </c>
      <c r="F100">
        <v>1000</v>
      </c>
      <c r="G100">
        <v>37</v>
      </c>
      <c r="H100">
        <v>0</v>
      </c>
      <c r="I100">
        <v>0</v>
      </c>
      <c r="J100">
        <v>0</v>
      </c>
      <c r="K100" t="s">
        <v>8287</v>
      </c>
      <c r="L100" t="s">
        <v>893</v>
      </c>
    </row>
    <row r="101" spans="1:12">
      <c r="A101" t="s">
        <v>1021</v>
      </c>
      <c r="B101" t="s">
        <v>1022</v>
      </c>
      <c r="C101" t="s">
        <v>897</v>
      </c>
      <c r="D101" t="s">
        <v>989</v>
      </c>
      <c r="E101" t="s">
        <v>990</v>
      </c>
      <c r="F101">
        <v>6000</v>
      </c>
      <c r="G101">
        <v>49</v>
      </c>
      <c r="H101">
        <v>0</v>
      </c>
      <c r="I101">
        <v>0</v>
      </c>
      <c r="J101">
        <v>0</v>
      </c>
      <c r="K101" t="s">
        <v>8287</v>
      </c>
      <c r="L101" t="s">
        <v>893</v>
      </c>
    </row>
    <row r="102" spans="1:12">
      <c r="A102" t="s">
        <v>1034</v>
      </c>
      <c r="B102" t="s">
        <v>1036</v>
      </c>
      <c r="C102" t="s">
        <v>897</v>
      </c>
      <c r="D102" t="s">
        <v>989</v>
      </c>
      <c r="E102" t="s">
        <v>990</v>
      </c>
      <c r="F102">
        <v>6000</v>
      </c>
      <c r="G102">
        <v>47.5</v>
      </c>
      <c r="H102">
        <v>0</v>
      </c>
      <c r="I102">
        <v>0</v>
      </c>
      <c r="J102">
        <v>0</v>
      </c>
      <c r="K102" t="s">
        <v>8287</v>
      </c>
      <c r="L102" t="s">
        <v>893</v>
      </c>
    </row>
    <row r="103" spans="1:12">
      <c r="A103" t="s">
        <v>1038</v>
      </c>
      <c r="B103" t="s">
        <v>1039</v>
      </c>
      <c r="C103" t="s">
        <v>912</v>
      </c>
      <c r="D103" t="s">
        <v>989</v>
      </c>
      <c r="E103">
        <v>42</v>
      </c>
      <c r="F103">
        <v>10000</v>
      </c>
      <c r="G103">
        <v>42</v>
      </c>
      <c r="H103">
        <v>10000</v>
      </c>
      <c r="I103">
        <v>10000</v>
      </c>
      <c r="J103">
        <v>420000</v>
      </c>
      <c r="K103" t="s">
        <v>8287</v>
      </c>
      <c r="L103" t="s">
        <v>893</v>
      </c>
    </row>
    <row r="104" spans="1:12">
      <c r="A104" t="s">
        <v>1017</v>
      </c>
      <c r="B104" t="s">
        <v>1018</v>
      </c>
      <c r="C104" t="s">
        <v>950</v>
      </c>
      <c r="D104" t="s">
        <v>989</v>
      </c>
      <c r="E104" t="s">
        <v>990</v>
      </c>
      <c r="F104">
        <v>30000</v>
      </c>
      <c r="G104">
        <v>29</v>
      </c>
      <c r="H104">
        <v>0</v>
      </c>
      <c r="I104">
        <v>0</v>
      </c>
      <c r="J104">
        <v>0</v>
      </c>
      <c r="K104" t="s">
        <v>8287</v>
      </c>
      <c r="L104" t="s">
        <v>893</v>
      </c>
    </row>
    <row r="105" spans="1:12">
      <c r="A105" t="s">
        <v>1019</v>
      </c>
      <c r="B105" t="s">
        <v>1020</v>
      </c>
      <c r="C105" t="s">
        <v>950</v>
      </c>
      <c r="D105" t="s">
        <v>989</v>
      </c>
      <c r="E105" t="s">
        <v>990</v>
      </c>
      <c r="F105">
        <v>25000</v>
      </c>
      <c r="G105">
        <v>29</v>
      </c>
      <c r="H105">
        <v>0</v>
      </c>
      <c r="I105">
        <v>0</v>
      </c>
      <c r="J105">
        <v>0</v>
      </c>
      <c r="K105" t="s">
        <v>8287</v>
      </c>
      <c r="L105" t="s">
        <v>893</v>
      </c>
    </row>
    <row r="106" spans="1:12">
      <c r="A106" t="s">
        <v>1012</v>
      </c>
      <c r="B106" t="s">
        <v>8298</v>
      </c>
      <c r="C106" t="s">
        <v>950</v>
      </c>
      <c r="D106" t="s">
        <v>989</v>
      </c>
      <c r="E106" t="s">
        <v>990</v>
      </c>
      <c r="F106">
        <v>10000</v>
      </c>
      <c r="G106">
        <v>52</v>
      </c>
      <c r="H106">
        <v>0</v>
      </c>
      <c r="I106">
        <v>0</v>
      </c>
      <c r="J106">
        <v>0</v>
      </c>
      <c r="K106" t="s">
        <v>8287</v>
      </c>
      <c r="L106" t="s">
        <v>893</v>
      </c>
    </row>
    <row r="107" spans="1:12">
      <c r="A107" t="s">
        <v>993</v>
      </c>
      <c r="B107" t="s">
        <v>1002</v>
      </c>
      <c r="C107" t="s">
        <v>934</v>
      </c>
      <c r="D107" t="s">
        <v>989</v>
      </c>
      <c r="E107">
        <v>52</v>
      </c>
      <c r="F107">
        <v>2000</v>
      </c>
      <c r="G107">
        <v>52</v>
      </c>
      <c r="H107">
        <v>2000</v>
      </c>
      <c r="I107">
        <v>2000</v>
      </c>
      <c r="J107">
        <v>104000</v>
      </c>
      <c r="K107" t="s">
        <v>8287</v>
      </c>
      <c r="L107" t="s">
        <v>893</v>
      </c>
    </row>
    <row r="108" spans="1:12">
      <c r="A108" t="s">
        <v>1012</v>
      </c>
      <c r="B108" t="s">
        <v>8300</v>
      </c>
      <c r="C108" t="s">
        <v>945</v>
      </c>
      <c r="D108" t="s">
        <v>989</v>
      </c>
      <c r="E108">
        <v>42</v>
      </c>
      <c r="F108">
        <v>1000</v>
      </c>
      <c r="G108">
        <v>42</v>
      </c>
      <c r="H108">
        <v>1000</v>
      </c>
      <c r="I108">
        <v>1000</v>
      </c>
      <c r="J108">
        <v>42000</v>
      </c>
      <c r="K108" t="s">
        <v>8286</v>
      </c>
      <c r="L108" t="s">
        <v>893</v>
      </c>
    </row>
    <row r="109" spans="1:12">
      <c r="A109" t="s">
        <v>993</v>
      </c>
      <c r="B109" t="s">
        <v>1003</v>
      </c>
      <c r="C109" t="s">
        <v>958</v>
      </c>
      <c r="D109" t="s">
        <v>1004</v>
      </c>
      <c r="E109" t="s">
        <v>990</v>
      </c>
      <c r="F109">
        <v>1000</v>
      </c>
      <c r="G109">
        <v>63616</v>
      </c>
      <c r="H109">
        <v>0</v>
      </c>
      <c r="I109">
        <v>0</v>
      </c>
      <c r="J109">
        <v>0</v>
      </c>
      <c r="K109" t="s">
        <v>8287</v>
      </c>
      <c r="L109" t="s">
        <v>895</v>
      </c>
    </row>
    <row r="110" spans="1:12">
      <c r="A110" t="s">
        <v>1030</v>
      </c>
      <c r="B110" t="s">
        <v>1032</v>
      </c>
      <c r="C110" t="s">
        <v>941</v>
      </c>
      <c r="D110" t="s">
        <v>997</v>
      </c>
      <c r="E110">
        <v>46955</v>
      </c>
      <c r="F110">
        <v>5000</v>
      </c>
      <c r="G110">
        <v>46955</v>
      </c>
      <c r="H110">
        <v>5000</v>
      </c>
      <c r="I110">
        <v>5000</v>
      </c>
      <c r="J110">
        <v>234775000000</v>
      </c>
      <c r="K110" t="s">
        <v>8287</v>
      </c>
      <c r="L110" t="s">
        <v>895</v>
      </c>
    </row>
    <row r="111" spans="1:12">
      <c r="A111" t="s">
        <v>1012</v>
      </c>
      <c r="B111" t="s">
        <v>1014</v>
      </c>
      <c r="C111" t="s">
        <v>960</v>
      </c>
      <c r="D111" t="s">
        <v>997</v>
      </c>
      <c r="E111" t="s">
        <v>990</v>
      </c>
      <c r="F111">
        <v>500</v>
      </c>
      <c r="G111">
        <v>63658</v>
      </c>
      <c r="H111">
        <v>0</v>
      </c>
      <c r="I111">
        <v>0</v>
      </c>
      <c r="J111">
        <v>0</v>
      </c>
      <c r="K111" t="s">
        <v>8287</v>
      </c>
      <c r="L111" t="s">
        <v>895</v>
      </c>
    </row>
    <row r="112" spans="1:12">
      <c r="A112" t="s">
        <v>1012</v>
      </c>
      <c r="B112" t="s">
        <v>1014</v>
      </c>
      <c r="C112" t="s">
        <v>960</v>
      </c>
      <c r="D112" t="s">
        <v>997</v>
      </c>
      <c r="E112" t="s">
        <v>990</v>
      </c>
      <c r="F112">
        <v>500</v>
      </c>
      <c r="G112">
        <v>63658</v>
      </c>
      <c r="H112">
        <v>0</v>
      </c>
      <c r="I112">
        <v>0</v>
      </c>
      <c r="J112">
        <v>0</v>
      </c>
      <c r="K112" t="s">
        <v>8287</v>
      </c>
      <c r="L112" t="s">
        <v>895</v>
      </c>
    </row>
    <row r="113" spans="1:12">
      <c r="A113" t="s">
        <v>1012</v>
      </c>
      <c r="B113" t="s">
        <v>1014</v>
      </c>
      <c r="C113" t="s">
        <v>960</v>
      </c>
      <c r="D113" t="s">
        <v>989</v>
      </c>
      <c r="E113">
        <v>52</v>
      </c>
      <c r="F113">
        <v>2000</v>
      </c>
      <c r="G113">
        <v>52</v>
      </c>
      <c r="H113">
        <v>2000</v>
      </c>
      <c r="I113">
        <v>2000</v>
      </c>
      <c r="J113">
        <v>104000</v>
      </c>
      <c r="K113" t="s">
        <v>8287</v>
      </c>
      <c r="L113" t="s">
        <v>893</v>
      </c>
    </row>
    <row r="114" spans="1:12">
      <c r="A114" t="s">
        <v>1008</v>
      </c>
      <c r="B114" t="s">
        <v>1009</v>
      </c>
      <c r="C114" t="s">
        <v>922</v>
      </c>
      <c r="D114" t="s">
        <v>989</v>
      </c>
      <c r="E114" t="s">
        <v>990</v>
      </c>
      <c r="F114">
        <v>1000</v>
      </c>
      <c r="G114">
        <v>40</v>
      </c>
      <c r="H114">
        <v>0</v>
      </c>
      <c r="I114">
        <v>0</v>
      </c>
      <c r="J114">
        <v>0</v>
      </c>
      <c r="K114" t="s">
        <v>8286</v>
      </c>
      <c r="L114" t="s">
        <v>893</v>
      </c>
    </row>
    <row r="115" spans="1:12">
      <c r="A115" t="s">
        <v>993</v>
      </c>
      <c r="B115" t="s">
        <v>995</v>
      </c>
      <c r="C115" t="s">
        <v>922</v>
      </c>
      <c r="D115" t="s">
        <v>989</v>
      </c>
      <c r="E115" t="s">
        <v>990</v>
      </c>
      <c r="F115">
        <v>8000</v>
      </c>
      <c r="G115">
        <v>42</v>
      </c>
      <c r="H115">
        <v>0</v>
      </c>
      <c r="I115">
        <v>0</v>
      </c>
      <c r="J115">
        <v>0</v>
      </c>
      <c r="K115" t="s">
        <v>8286</v>
      </c>
      <c r="L115" t="s">
        <v>893</v>
      </c>
    </row>
    <row r="116" spans="1:12">
      <c r="A116" t="s">
        <v>993</v>
      </c>
      <c r="B116" t="s">
        <v>995</v>
      </c>
      <c r="C116" t="s">
        <v>922</v>
      </c>
      <c r="D116" t="s">
        <v>989</v>
      </c>
      <c r="E116" t="s">
        <v>990</v>
      </c>
      <c r="F116">
        <v>1000</v>
      </c>
      <c r="G116">
        <v>42</v>
      </c>
      <c r="H116">
        <v>0</v>
      </c>
      <c r="I116">
        <v>0</v>
      </c>
      <c r="J116">
        <v>0</v>
      </c>
      <c r="K116" t="s">
        <v>8286</v>
      </c>
      <c r="L116" t="s">
        <v>893</v>
      </c>
    </row>
    <row r="117" spans="1:12">
      <c r="A117" t="s">
        <v>1021</v>
      </c>
      <c r="B117" t="s">
        <v>1022</v>
      </c>
      <c r="C117" t="s">
        <v>897</v>
      </c>
      <c r="D117" t="s">
        <v>989</v>
      </c>
      <c r="E117" t="s">
        <v>990</v>
      </c>
      <c r="F117">
        <v>6000</v>
      </c>
      <c r="G117">
        <v>49</v>
      </c>
      <c r="H117">
        <v>0</v>
      </c>
      <c r="I117">
        <v>0</v>
      </c>
      <c r="J117">
        <v>0</v>
      </c>
      <c r="K117" t="s">
        <v>8286</v>
      </c>
      <c r="L117" t="s">
        <v>893</v>
      </c>
    </row>
    <row r="118" spans="1:12">
      <c r="A118" t="s">
        <v>1034</v>
      </c>
      <c r="B118" t="s">
        <v>1036</v>
      </c>
      <c r="C118" t="s">
        <v>897</v>
      </c>
      <c r="D118" t="s">
        <v>989</v>
      </c>
      <c r="E118" t="s">
        <v>990</v>
      </c>
      <c r="F118">
        <v>6000</v>
      </c>
      <c r="G118">
        <v>47.5</v>
      </c>
      <c r="H118">
        <v>0</v>
      </c>
      <c r="I118">
        <v>0</v>
      </c>
      <c r="J118">
        <v>0</v>
      </c>
      <c r="K118" t="s">
        <v>8286</v>
      </c>
      <c r="L118" t="s">
        <v>893</v>
      </c>
    </row>
    <row r="119" spans="1:12">
      <c r="A119" t="s">
        <v>993</v>
      </c>
      <c r="B119" t="s">
        <v>994</v>
      </c>
      <c r="C119" t="s">
        <v>897</v>
      </c>
      <c r="D119" t="s">
        <v>989</v>
      </c>
      <c r="E119">
        <v>52</v>
      </c>
      <c r="F119">
        <v>5000</v>
      </c>
      <c r="G119">
        <v>52</v>
      </c>
      <c r="H119">
        <v>3000</v>
      </c>
      <c r="I119">
        <v>3000</v>
      </c>
      <c r="J119">
        <v>156000</v>
      </c>
      <c r="K119" t="s">
        <v>8286</v>
      </c>
      <c r="L119" t="s">
        <v>893</v>
      </c>
    </row>
    <row r="120" spans="1:12">
      <c r="A120" t="s">
        <v>1008</v>
      </c>
      <c r="B120" t="s">
        <v>1011</v>
      </c>
      <c r="C120" t="s">
        <v>897</v>
      </c>
      <c r="D120" t="s">
        <v>989</v>
      </c>
      <c r="E120" t="s">
        <v>990</v>
      </c>
      <c r="F120">
        <v>1000</v>
      </c>
      <c r="G120">
        <v>50</v>
      </c>
      <c r="H120">
        <v>0</v>
      </c>
      <c r="I120">
        <v>0</v>
      </c>
      <c r="J120">
        <v>0</v>
      </c>
      <c r="K120" t="s">
        <v>8286</v>
      </c>
      <c r="L120" t="s">
        <v>893</v>
      </c>
    </row>
    <row r="121" spans="1:12">
      <c r="A121" t="s">
        <v>993</v>
      </c>
      <c r="B121" t="s">
        <v>994</v>
      </c>
      <c r="C121" t="s">
        <v>897</v>
      </c>
      <c r="D121" t="s">
        <v>989</v>
      </c>
      <c r="E121">
        <v>52</v>
      </c>
      <c r="F121">
        <v>10000</v>
      </c>
      <c r="G121">
        <v>52</v>
      </c>
      <c r="H121">
        <v>10000</v>
      </c>
      <c r="I121">
        <v>10000</v>
      </c>
      <c r="J121">
        <v>520000</v>
      </c>
      <c r="K121" t="s">
        <v>8286</v>
      </c>
      <c r="L121" t="s">
        <v>893</v>
      </c>
    </row>
    <row r="122" spans="1:12">
      <c r="A122" t="s">
        <v>1028</v>
      </c>
      <c r="B122" t="s">
        <v>1029</v>
      </c>
      <c r="C122" t="s">
        <v>901</v>
      </c>
      <c r="D122" t="s">
        <v>989</v>
      </c>
      <c r="E122" t="s">
        <v>990</v>
      </c>
      <c r="F122">
        <v>5000</v>
      </c>
      <c r="G122">
        <v>37</v>
      </c>
      <c r="H122">
        <v>0</v>
      </c>
      <c r="I122">
        <v>0</v>
      </c>
      <c r="J122">
        <v>0</v>
      </c>
      <c r="K122" t="s">
        <v>8286</v>
      </c>
      <c r="L122" t="s">
        <v>893</v>
      </c>
    </row>
    <row r="123" spans="1:12">
      <c r="A123" t="s">
        <v>1034</v>
      </c>
      <c r="B123" t="s">
        <v>1035</v>
      </c>
      <c r="C123" t="s">
        <v>901</v>
      </c>
      <c r="D123" t="s">
        <v>989</v>
      </c>
      <c r="E123" t="s">
        <v>990</v>
      </c>
      <c r="F123">
        <v>3000</v>
      </c>
      <c r="G123">
        <v>35</v>
      </c>
      <c r="H123">
        <v>0</v>
      </c>
      <c r="I123">
        <v>0</v>
      </c>
      <c r="J123">
        <v>0</v>
      </c>
      <c r="K123" t="s">
        <v>8286</v>
      </c>
      <c r="L123" t="s">
        <v>893</v>
      </c>
    </row>
    <row r="124" spans="1:12">
      <c r="A124" t="s">
        <v>1030</v>
      </c>
      <c r="B124" t="s">
        <v>1031</v>
      </c>
      <c r="C124" t="s">
        <v>901</v>
      </c>
      <c r="D124" t="s">
        <v>989</v>
      </c>
      <c r="E124" t="s">
        <v>990</v>
      </c>
      <c r="F124">
        <v>3000</v>
      </c>
      <c r="G124">
        <v>31</v>
      </c>
      <c r="H124">
        <v>0</v>
      </c>
      <c r="I124">
        <v>0</v>
      </c>
      <c r="J124">
        <v>0</v>
      </c>
      <c r="K124" t="s">
        <v>8286</v>
      </c>
      <c r="L124" t="s">
        <v>893</v>
      </c>
    </row>
    <row r="125" spans="1:12">
      <c r="A125" t="s">
        <v>1028</v>
      </c>
      <c r="B125" t="s">
        <v>1029</v>
      </c>
      <c r="C125" t="s">
        <v>901</v>
      </c>
      <c r="D125" t="s">
        <v>989</v>
      </c>
      <c r="E125" t="s">
        <v>990</v>
      </c>
      <c r="F125">
        <v>2000</v>
      </c>
      <c r="G125">
        <v>37</v>
      </c>
      <c r="H125">
        <v>0</v>
      </c>
      <c r="I125">
        <v>0</v>
      </c>
      <c r="J125">
        <v>0</v>
      </c>
      <c r="K125" t="s">
        <v>8286</v>
      </c>
      <c r="L125" t="s">
        <v>893</v>
      </c>
    </row>
    <row r="126" spans="1:12">
      <c r="A126" t="s">
        <v>1028</v>
      </c>
      <c r="B126" t="s">
        <v>1029</v>
      </c>
      <c r="C126" t="s">
        <v>901</v>
      </c>
      <c r="D126" t="s">
        <v>989</v>
      </c>
      <c r="E126" t="s">
        <v>990</v>
      </c>
      <c r="F126">
        <v>2000</v>
      </c>
      <c r="G126">
        <v>37</v>
      </c>
      <c r="H126">
        <v>0</v>
      </c>
      <c r="I126">
        <v>0</v>
      </c>
      <c r="J126">
        <v>0</v>
      </c>
      <c r="K126" t="s">
        <v>8286</v>
      </c>
      <c r="L126" t="s">
        <v>893</v>
      </c>
    </row>
    <row r="127" spans="1:12">
      <c r="A127" t="s">
        <v>1034</v>
      </c>
      <c r="B127" t="s">
        <v>1035</v>
      </c>
      <c r="C127" t="s">
        <v>901</v>
      </c>
      <c r="D127" t="s">
        <v>989</v>
      </c>
      <c r="E127" t="s">
        <v>990</v>
      </c>
      <c r="F127">
        <v>1000</v>
      </c>
      <c r="G127">
        <v>37</v>
      </c>
      <c r="H127">
        <v>0</v>
      </c>
      <c r="I127">
        <v>0</v>
      </c>
      <c r="J127">
        <v>0</v>
      </c>
      <c r="K127" t="s">
        <v>8286</v>
      </c>
      <c r="L127" t="s">
        <v>893</v>
      </c>
    </row>
    <row r="128" spans="1:12">
      <c r="A128" t="s">
        <v>1034</v>
      </c>
      <c r="B128" t="s">
        <v>1035</v>
      </c>
      <c r="C128" t="s">
        <v>901</v>
      </c>
      <c r="D128" t="s">
        <v>989</v>
      </c>
      <c r="E128" t="s">
        <v>990</v>
      </c>
      <c r="F128">
        <v>1000</v>
      </c>
      <c r="G128">
        <v>37</v>
      </c>
      <c r="H128">
        <v>0</v>
      </c>
      <c r="I128">
        <v>0</v>
      </c>
      <c r="J128">
        <v>0</v>
      </c>
      <c r="K128" t="s">
        <v>8286</v>
      </c>
      <c r="L128" t="s">
        <v>893</v>
      </c>
    </row>
    <row r="129" spans="1:12">
      <c r="A129" t="s">
        <v>993</v>
      </c>
      <c r="B129" t="s">
        <v>8303</v>
      </c>
      <c r="C129" t="s">
        <v>918</v>
      </c>
      <c r="D129" t="s">
        <v>989</v>
      </c>
      <c r="E129" t="s">
        <v>990</v>
      </c>
      <c r="F129">
        <v>500</v>
      </c>
      <c r="G129">
        <v>42</v>
      </c>
      <c r="H129">
        <v>0</v>
      </c>
      <c r="I129">
        <v>0</v>
      </c>
      <c r="J129">
        <v>0</v>
      </c>
      <c r="K129" t="s">
        <v>8286</v>
      </c>
      <c r="L129" t="s">
        <v>893</v>
      </c>
    </row>
    <row r="130" spans="1:12">
      <c r="A130" t="s">
        <v>1017</v>
      </c>
      <c r="B130" t="s">
        <v>1018</v>
      </c>
      <c r="C130" t="s">
        <v>950</v>
      </c>
      <c r="D130" t="s">
        <v>989</v>
      </c>
      <c r="E130" t="s">
        <v>990</v>
      </c>
      <c r="F130">
        <v>30000</v>
      </c>
      <c r="G130">
        <v>29</v>
      </c>
      <c r="H130">
        <v>0</v>
      </c>
      <c r="I130">
        <v>0</v>
      </c>
      <c r="J130">
        <v>0</v>
      </c>
      <c r="K130" t="s">
        <v>8286</v>
      </c>
      <c r="L130" t="s">
        <v>893</v>
      </c>
    </row>
    <row r="131" spans="1:12">
      <c r="A131" t="s">
        <v>1019</v>
      </c>
      <c r="B131" t="s">
        <v>1020</v>
      </c>
      <c r="C131" t="s">
        <v>950</v>
      </c>
      <c r="D131" t="s">
        <v>989</v>
      </c>
      <c r="E131" t="s">
        <v>990</v>
      </c>
      <c r="F131">
        <v>25000</v>
      </c>
      <c r="G131">
        <v>29</v>
      </c>
      <c r="H131">
        <v>0</v>
      </c>
      <c r="I131">
        <v>0</v>
      </c>
      <c r="J131">
        <v>0</v>
      </c>
      <c r="K131" t="s">
        <v>8286</v>
      </c>
      <c r="L131" t="s">
        <v>893</v>
      </c>
    </row>
    <row r="132" spans="1:12">
      <c r="A132" t="s">
        <v>1012</v>
      </c>
      <c r="B132" t="s">
        <v>8298</v>
      </c>
      <c r="C132" t="s">
        <v>950</v>
      </c>
      <c r="D132" t="s">
        <v>989</v>
      </c>
      <c r="E132" t="s">
        <v>990</v>
      </c>
      <c r="F132">
        <v>10000</v>
      </c>
      <c r="G132">
        <v>52</v>
      </c>
      <c r="H132">
        <v>0</v>
      </c>
      <c r="I132">
        <v>0</v>
      </c>
      <c r="J132">
        <v>0</v>
      </c>
      <c r="K132" t="s">
        <v>8286</v>
      </c>
      <c r="L132" t="s">
        <v>893</v>
      </c>
    </row>
    <row r="133" spans="1:12">
      <c r="A133" t="s">
        <v>1021</v>
      </c>
      <c r="B133" t="s">
        <v>1024</v>
      </c>
      <c r="C133" t="s">
        <v>939</v>
      </c>
      <c r="D133" t="s">
        <v>989</v>
      </c>
      <c r="E133">
        <v>49</v>
      </c>
      <c r="F133">
        <v>6000</v>
      </c>
      <c r="G133">
        <v>49</v>
      </c>
      <c r="H133">
        <v>6000</v>
      </c>
      <c r="I133">
        <v>6000</v>
      </c>
      <c r="J133">
        <v>294000</v>
      </c>
      <c r="K133" t="s">
        <v>8286</v>
      </c>
      <c r="L133" t="s">
        <v>893</v>
      </c>
    </row>
    <row r="134" spans="1:12">
      <c r="A134" t="s">
        <v>1012</v>
      </c>
      <c r="B134" t="s">
        <v>1016</v>
      </c>
      <c r="C134" t="s">
        <v>911</v>
      </c>
      <c r="D134" t="s">
        <v>989</v>
      </c>
      <c r="E134" t="s">
        <v>990</v>
      </c>
      <c r="F134">
        <v>5000</v>
      </c>
      <c r="G134">
        <v>42</v>
      </c>
      <c r="H134">
        <v>0</v>
      </c>
      <c r="I134">
        <v>0</v>
      </c>
      <c r="J134">
        <v>0</v>
      </c>
      <c r="K134" t="s">
        <v>8286</v>
      </c>
      <c r="L134" t="s">
        <v>893</v>
      </c>
    </row>
    <row r="135" spans="1:12">
      <c r="A135" t="s">
        <v>992</v>
      </c>
      <c r="B135" t="s">
        <v>8304</v>
      </c>
      <c r="C135" t="s">
        <v>959</v>
      </c>
      <c r="D135" t="s">
        <v>989</v>
      </c>
      <c r="E135">
        <v>42</v>
      </c>
      <c r="F135">
        <v>5000</v>
      </c>
      <c r="G135">
        <v>42</v>
      </c>
      <c r="H135">
        <v>5000</v>
      </c>
      <c r="I135">
        <v>5000</v>
      </c>
      <c r="J135">
        <v>210000</v>
      </c>
      <c r="K135" t="s">
        <v>8286</v>
      </c>
      <c r="L135" t="s">
        <v>893</v>
      </c>
    </row>
    <row r="136" spans="1:12">
      <c r="A136" t="s">
        <v>1012</v>
      </c>
      <c r="B136" t="s">
        <v>1013</v>
      </c>
      <c r="C136" t="s">
        <v>962</v>
      </c>
      <c r="D136" t="s">
        <v>1004</v>
      </c>
      <c r="E136">
        <v>63658</v>
      </c>
      <c r="F136">
        <v>5014</v>
      </c>
      <c r="G136">
        <v>63658</v>
      </c>
      <c r="H136">
        <v>5014</v>
      </c>
      <c r="I136">
        <v>5014</v>
      </c>
      <c r="J136">
        <v>319181212000</v>
      </c>
      <c r="K136" t="s">
        <v>8286</v>
      </c>
      <c r="L136" t="s">
        <v>895</v>
      </c>
    </row>
    <row r="137" spans="1:12">
      <c r="A137" t="s">
        <v>993</v>
      </c>
      <c r="B137" t="s">
        <v>994</v>
      </c>
      <c r="C137" t="s">
        <v>897</v>
      </c>
      <c r="D137" t="s">
        <v>989</v>
      </c>
      <c r="E137" t="s">
        <v>990</v>
      </c>
      <c r="F137">
        <v>48</v>
      </c>
      <c r="G137">
        <v>42</v>
      </c>
      <c r="H137">
        <v>0</v>
      </c>
      <c r="I137">
        <v>0</v>
      </c>
      <c r="J137">
        <v>0</v>
      </c>
      <c r="K137" t="s">
        <v>8286</v>
      </c>
      <c r="L137" t="s">
        <v>893</v>
      </c>
    </row>
    <row r="138" spans="1:12">
      <c r="A138" t="s">
        <v>993</v>
      </c>
      <c r="B138" t="s">
        <v>8305</v>
      </c>
      <c r="C138" t="s">
        <v>8306</v>
      </c>
      <c r="D138" t="s">
        <v>989</v>
      </c>
      <c r="E138">
        <v>42</v>
      </c>
      <c r="F138">
        <v>5000</v>
      </c>
      <c r="G138">
        <v>42</v>
      </c>
      <c r="H138">
        <v>5000</v>
      </c>
      <c r="I138">
        <v>5000</v>
      </c>
      <c r="J138">
        <v>210000</v>
      </c>
      <c r="K138" t="s">
        <v>8286</v>
      </c>
      <c r="L138" t="s">
        <v>893</v>
      </c>
    </row>
    <row r="139" spans="1:12">
      <c r="A139" t="s">
        <v>993</v>
      </c>
      <c r="B139" t="s">
        <v>1001</v>
      </c>
      <c r="C139" t="s">
        <v>920</v>
      </c>
      <c r="D139" t="s">
        <v>989</v>
      </c>
      <c r="E139" t="s">
        <v>990</v>
      </c>
      <c r="F139">
        <v>10000</v>
      </c>
      <c r="G139">
        <v>52</v>
      </c>
      <c r="H139">
        <v>0</v>
      </c>
      <c r="I139">
        <v>0</v>
      </c>
      <c r="J139">
        <v>0</v>
      </c>
      <c r="K139" t="s">
        <v>8286</v>
      </c>
      <c r="L139" t="s">
        <v>893</v>
      </c>
    </row>
    <row r="140" spans="1:12">
      <c r="A140" t="s">
        <v>993</v>
      </c>
      <c r="B140" t="s">
        <v>1001</v>
      </c>
      <c r="C140" t="s">
        <v>920</v>
      </c>
      <c r="D140" t="s">
        <v>989</v>
      </c>
      <c r="E140" t="s">
        <v>990</v>
      </c>
      <c r="F140">
        <v>2560</v>
      </c>
      <c r="G140">
        <v>42</v>
      </c>
      <c r="H140">
        <v>0</v>
      </c>
      <c r="I140">
        <v>0</v>
      </c>
      <c r="J140">
        <v>0</v>
      </c>
      <c r="K140" t="s">
        <v>8286</v>
      </c>
      <c r="L140" t="s">
        <v>893</v>
      </c>
    </row>
    <row r="141" spans="1:12">
      <c r="A141" t="s">
        <v>993</v>
      </c>
      <c r="B141" t="s">
        <v>1001</v>
      </c>
      <c r="C141" t="s">
        <v>920</v>
      </c>
      <c r="D141" t="s">
        <v>989</v>
      </c>
      <c r="E141" t="s">
        <v>990</v>
      </c>
      <c r="F141">
        <v>10000</v>
      </c>
      <c r="G141">
        <v>52</v>
      </c>
      <c r="H141">
        <v>0</v>
      </c>
      <c r="I141">
        <v>0</v>
      </c>
      <c r="J141">
        <v>0</v>
      </c>
      <c r="K141" t="s">
        <v>8286</v>
      </c>
      <c r="L141" t="s">
        <v>893</v>
      </c>
    </row>
    <row r="142" spans="1:12">
      <c r="A142" t="s">
        <v>993</v>
      </c>
      <c r="B142" t="s">
        <v>996</v>
      </c>
      <c r="C142" t="s">
        <v>908</v>
      </c>
      <c r="D142" t="s">
        <v>989</v>
      </c>
      <c r="E142">
        <v>42</v>
      </c>
      <c r="F142">
        <v>5000</v>
      </c>
      <c r="G142">
        <v>42</v>
      </c>
      <c r="H142">
        <v>3000</v>
      </c>
      <c r="I142">
        <v>3000</v>
      </c>
      <c r="J142">
        <v>126000</v>
      </c>
      <c r="K142" t="s">
        <v>8286</v>
      </c>
      <c r="L142" t="s">
        <v>893</v>
      </c>
    </row>
    <row r="143" spans="1:12">
      <c r="A143" t="s">
        <v>993</v>
      </c>
      <c r="B143" t="s">
        <v>996</v>
      </c>
      <c r="C143" t="s">
        <v>908</v>
      </c>
      <c r="D143" t="s">
        <v>1007</v>
      </c>
      <c r="E143">
        <v>42</v>
      </c>
      <c r="F143">
        <v>0</v>
      </c>
      <c r="G143">
        <v>42</v>
      </c>
      <c r="H143">
        <v>2000</v>
      </c>
      <c r="I143">
        <v>2000</v>
      </c>
      <c r="J143">
        <v>84303.082025898097</v>
      </c>
      <c r="K143" t="s">
        <v>8508</v>
      </c>
      <c r="L143" t="s">
        <v>893</v>
      </c>
    </row>
    <row r="144" spans="1:12">
      <c r="A144" t="s">
        <v>8307</v>
      </c>
      <c r="B144" t="s">
        <v>8308</v>
      </c>
      <c r="C144" t="s">
        <v>928</v>
      </c>
      <c r="D144" t="s">
        <v>989</v>
      </c>
      <c r="E144">
        <v>52</v>
      </c>
      <c r="F144">
        <v>200</v>
      </c>
      <c r="G144">
        <v>52</v>
      </c>
      <c r="H144">
        <v>400</v>
      </c>
      <c r="I144">
        <v>200</v>
      </c>
      <c r="J144">
        <v>10400</v>
      </c>
      <c r="K144" t="s">
        <v>8286</v>
      </c>
      <c r="L144" t="s">
        <v>893</v>
      </c>
    </row>
    <row r="145" spans="1:12">
      <c r="A145" t="s">
        <v>1028</v>
      </c>
      <c r="B145" t="s">
        <v>1029</v>
      </c>
      <c r="C145" t="s">
        <v>901</v>
      </c>
      <c r="D145" t="s">
        <v>989</v>
      </c>
      <c r="E145" t="s">
        <v>990</v>
      </c>
      <c r="F145">
        <v>5000</v>
      </c>
      <c r="G145">
        <v>37</v>
      </c>
      <c r="H145">
        <v>0</v>
      </c>
      <c r="I145">
        <v>0</v>
      </c>
      <c r="J145">
        <v>0</v>
      </c>
      <c r="K145" t="s">
        <v>8508</v>
      </c>
      <c r="L145" t="s">
        <v>893</v>
      </c>
    </row>
    <row r="146" spans="1:12">
      <c r="A146" t="s">
        <v>1012</v>
      </c>
      <c r="B146" t="s">
        <v>1014</v>
      </c>
      <c r="C146" t="s">
        <v>960</v>
      </c>
      <c r="D146" t="s">
        <v>989</v>
      </c>
      <c r="E146">
        <v>42</v>
      </c>
      <c r="F146">
        <v>500</v>
      </c>
      <c r="G146">
        <v>42</v>
      </c>
      <c r="H146">
        <v>500</v>
      </c>
      <c r="I146">
        <v>500</v>
      </c>
      <c r="J146">
        <v>21000</v>
      </c>
      <c r="K146" t="s">
        <v>8508</v>
      </c>
      <c r="L146" t="s">
        <v>893</v>
      </c>
    </row>
    <row r="147" spans="1:12">
      <c r="A147" t="s">
        <v>1034</v>
      </c>
      <c r="B147" t="s">
        <v>1035</v>
      </c>
      <c r="C147" t="s">
        <v>901</v>
      </c>
      <c r="D147" t="s">
        <v>989</v>
      </c>
      <c r="E147" t="s">
        <v>990</v>
      </c>
      <c r="F147">
        <v>3000</v>
      </c>
      <c r="G147">
        <v>35</v>
      </c>
      <c r="H147">
        <v>0</v>
      </c>
      <c r="I147">
        <v>0</v>
      </c>
      <c r="J147">
        <v>0</v>
      </c>
      <c r="K147" t="s">
        <v>8508</v>
      </c>
      <c r="L147" t="s">
        <v>893</v>
      </c>
    </row>
    <row r="148" spans="1:12">
      <c r="A148" t="s">
        <v>1030</v>
      </c>
      <c r="B148" t="s">
        <v>1031</v>
      </c>
      <c r="C148" t="s">
        <v>901</v>
      </c>
      <c r="D148" t="s">
        <v>989</v>
      </c>
      <c r="E148" t="s">
        <v>990</v>
      </c>
      <c r="F148">
        <v>3000</v>
      </c>
      <c r="G148">
        <v>31</v>
      </c>
      <c r="H148">
        <v>0</v>
      </c>
      <c r="I148">
        <v>0</v>
      </c>
      <c r="J148">
        <v>0</v>
      </c>
      <c r="K148" t="s">
        <v>8508</v>
      </c>
      <c r="L148" t="s">
        <v>893</v>
      </c>
    </row>
    <row r="149" spans="1:12">
      <c r="A149" t="s">
        <v>1028</v>
      </c>
      <c r="B149" t="s">
        <v>1029</v>
      </c>
      <c r="C149" t="s">
        <v>901</v>
      </c>
      <c r="D149" t="s">
        <v>989</v>
      </c>
      <c r="E149" t="s">
        <v>990</v>
      </c>
      <c r="F149">
        <v>2000</v>
      </c>
      <c r="G149">
        <v>37</v>
      </c>
      <c r="H149">
        <v>0</v>
      </c>
      <c r="I149">
        <v>0</v>
      </c>
      <c r="J149">
        <v>0</v>
      </c>
      <c r="K149" t="s">
        <v>8508</v>
      </c>
      <c r="L149" t="s">
        <v>893</v>
      </c>
    </row>
    <row r="150" spans="1:12">
      <c r="A150" t="s">
        <v>1028</v>
      </c>
      <c r="B150" t="s">
        <v>1029</v>
      </c>
      <c r="C150" t="s">
        <v>901</v>
      </c>
      <c r="D150" t="s">
        <v>989</v>
      </c>
      <c r="E150" t="s">
        <v>990</v>
      </c>
      <c r="F150">
        <v>2000</v>
      </c>
      <c r="G150">
        <v>37</v>
      </c>
      <c r="H150">
        <v>0</v>
      </c>
      <c r="I150">
        <v>0</v>
      </c>
      <c r="J150">
        <v>0</v>
      </c>
      <c r="K150" t="s">
        <v>8508</v>
      </c>
      <c r="L150" t="s">
        <v>893</v>
      </c>
    </row>
    <row r="151" spans="1:12">
      <c r="A151" t="s">
        <v>1034</v>
      </c>
      <c r="B151" t="s">
        <v>1035</v>
      </c>
      <c r="C151" t="s">
        <v>901</v>
      </c>
      <c r="D151" t="s">
        <v>989</v>
      </c>
      <c r="E151">
        <v>37</v>
      </c>
      <c r="F151">
        <v>1000</v>
      </c>
      <c r="G151">
        <v>37</v>
      </c>
      <c r="H151">
        <v>500</v>
      </c>
      <c r="I151">
        <v>500</v>
      </c>
      <c r="J151">
        <v>18500</v>
      </c>
      <c r="K151" t="s">
        <v>8508</v>
      </c>
      <c r="L151" t="s">
        <v>893</v>
      </c>
    </row>
    <row r="152" spans="1:12">
      <c r="A152" t="s">
        <v>1034</v>
      </c>
      <c r="B152" t="s">
        <v>1035</v>
      </c>
      <c r="C152" t="s">
        <v>901</v>
      </c>
      <c r="D152" t="s">
        <v>989</v>
      </c>
      <c r="E152" t="s">
        <v>990</v>
      </c>
      <c r="F152">
        <v>1000</v>
      </c>
      <c r="G152">
        <v>37</v>
      </c>
      <c r="H152">
        <v>0</v>
      </c>
      <c r="I152">
        <v>0</v>
      </c>
      <c r="J152">
        <v>0</v>
      </c>
      <c r="K152" t="s">
        <v>8508</v>
      </c>
      <c r="L152" t="s">
        <v>893</v>
      </c>
    </row>
    <row r="153" spans="1:12">
      <c r="A153" t="s">
        <v>1028</v>
      </c>
      <c r="B153" t="s">
        <v>1029</v>
      </c>
      <c r="C153" t="s">
        <v>901</v>
      </c>
      <c r="D153" t="s">
        <v>989</v>
      </c>
      <c r="E153" t="s">
        <v>990</v>
      </c>
      <c r="F153">
        <v>5000</v>
      </c>
      <c r="G153">
        <v>37</v>
      </c>
      <c r="H153">
        <v>0</v>
      </c>
      <c r="I153">
        <v>0</v>
      </c>
      <c r="J153">
        <v>0</v>
      </c>
      <c r="K153" t="s">
        <v>8509</v>
      </c>
      <c r="L153" t="s">
        <v>893</v>
      </c>
    </row>
    <row r="154" spans="1:12">
      <c r="A154" t="s">
        <v>1034</v>
      </c>
      <c r="B154" t="s">
        <v>1035</v>
      </c>
      <c r="C154" t="s">
        <v>901</v>
      </c>
      <c r="D154" t="s">
        <v>989</v>
      </c>
      <c r="E154" t="s">
        <v>990</v>
      </c>
      <c r="F154">
        <v>3000</v>
      </c>
      <c r="G154">
        <v>35</v>
      </c>
      <c r="H154">
        <v>0</v>
      </c>
      <c r="I154">
        <v>0</v>
      </c>
      <c r="J154">
        <v>0</v>
      </c>
      <c r="K154" t="s">
        <v>8509</v>
      </c>
      <c r="L154" t="s">
        <v>893</v>
      </c>
    </row>
    <row r="155" spans="1:12">
      <c r="A155" t="s">
        <v>1030</v>
      </c>
      <c r="B155" t="s">
        <v>1031</v>
      </c>
      <c r="C155" t="s">
        <v>901</v>
      </c>
      <c r="D155" t="s">
        <v>989</v>
      </c>
      <c r="E155" t="s">
        <v>990</v>
      </c>
      <c r="F155">
        <v>3000</v>
      </c>
      <c r="G155">
        <v>31</v>
      </c>
      <c r="H155">
        <v>0</v>
      </c>
      <c r="I155">
        <v>0</v>
      </c>
      <c r="J155">
        <v>0</v>
      </c>
      <c r="K155" t="s">
        <v>8509</v>
      </c>
      <c r="L155" t="s">
        <v>893</v>
      </c>
    </row>
    <row r="156" spans="1:12">
      <c r="A156" t="s">
        <v>1028</v>
      </c>
      <c r="B156" t="s">
        <v>1029</v>
      </c>
      <c r="C156" t="s">
        <v>901</v>
      </c>
      <c r="D156" t="s">
        <v>989</v>
      </c>
      <c r="E156" t="s">
        <v>990</v>
      </c>
      <c r="F156">
        <v>2000</v>
      </c>
      <c r="G156">
        <v>37</v>
      </c>
      <c r="H156">
        <v>0</v>
      </c>
      <c r="I156">
        <v>0</v>
      </c>
      <c r="J156">
        <v>0</v>
      </c>
      <c r="K156" t="s">
        <v>8509</v>
      </c>
      <c r="L156" t="s">
        <v>893</v>
      </c>
    </row>
    <row r="157" spans="1:12">
      <c r="A157" t="s">
        <v>1028</v>
      </c>
      <c r="B157" t="s">
        <v>1029</v>
      </c>
      <c r="C157" t="s">
        <v>901</v>
      </c>
      <c r="D157" t="s">
        <v>989</v>
      </c>
      <c r="E157" t="s">
        <v>990</v>
      </c>
      <c r="F157">
        <v>2000</v>
      </c>
      <c r="G157">
        <v>37</v>
      </c>
      <c r="H157">
        <v>0</v>
      </c>
      <c r="I157">
        <v>0</v>
      </c>
      <c r="J157">
        <v>0</v>
      </c>
      <c r="K157" t="s">
        <v>8509</v>
      </c>
      <c r="L157" t="s">
        <v>893</v>
      </c>
    </row>
    <row r="158" spans="1:12">
      <c r="A158" t="s">
        <v>1034</v>
      </c>
      <c r="B158" t="s">
        <v>1035</v>
      </c>
      <c r="C158" t="s">
        <v>901</v>
      </c>
      <c r="D158" t="s">
        <v>989</v>
      </c>
      <c r="E158" t="s">
        <v>990</v>
      </c>
      <c r="F158">
        <v>1000</v>
      </c>
      <c r="G158">
        <v>37</v>
      </c>
      <c r="H158">
        <v>0</v>
      </c>
      <c r="I158">
        <v>0</v>
      </c>
      <c r="J158">
        <v>0</v>
      </c>
      <c r="K158" t="s">
        <v>8509</v>
      </c>
      <c r="L158" t="s">
        <v>893</v>
      </c>
    </row>
    <row r="159" spans="1:12">
      <c r="A159" t="s">
        <v>1034</v>
      </c>
      <c r="B159" t="s">
        <v>1035</v>
      </c>
      <c r="C159" t="s">
        <v>901</v>
      </c>
      <c r="D159" t="s">
        <v>989</v>
      </c>
      <c r="E159" t="s">
        <v>990</v>
      </c>
      <c r="F159">
        <v>1000</v>
      </c>
      <c r="G159">
        <v>37</v>
      </c>
      <c r="H159">
        <v>0</v>
      </c>
      <c r="I159">
        <v>0</v>
      </c>
      <c r="J159">
        <v>0</v>
      </c>
      <c r="K159" t="s">
        <v>8509</v>
      </c>
      <c r="L159" t="s">
        <v>893</v>
      </c>
    </row>
    <row r="160" spans="1:12">
      <c r="A160" t="s">
        <v>1021</v>
      </c>
      <c r="B160" t="s">
        <v>1022</v>
      </c>
      <c r="C160" t="s">
        <v>897</v>
      </c>
      <c r="D160" t="s">
        <v>989</v>
      </c>
      <c r="E160" t="s">
        <v>990</v>
      </c>
      <c r="F160">
        <v>6000</v>
      </c>
      <c r="G160">
        <v>49</v>
      </c>
      <c r="H160">
        <v>0</v>
      </c>
      <c r="I160">
        <v>0</v>
      </c>
      <c r="J160">
        <v>0</v>
      </c>
      <c r="K160" t="s">
        <v>8508</v>
      </c>
      <c r="L160" t="s">
        <v>893</v>
      </c>
    </row>
    <row r="161" spans="1:12">
      <c r="A161" t="s">
        <v>1034</v>
      </c>
      <c r="B161" t="s">
        <v>1036</v>
      </c>
      <c r="C161" t="s">
        <v>897</v>
      </c>
      <c r="D161" t="s">
        <v>989</v>
      </c>
      <c r="E161" t="s">
        <v>990</v>
      </c>
      <c r="F161">
        <v>6000</v>
      </c>
      <c r="G161">
        <v>47.5</v>
      </c>
      <c r="H161">
        <v>0</v>
      </c>
      <c r="I161">
        <v>0</v>
      </c>
      <c r="J161">
        <v>0</v>
      </c>
      <c r="K161" t="s">
        <v>8508</v>
      </c>
      <c r="L161" t="s">
        <v>893</v>
      </c>
    </row>
    <row r="162" spans="1:12">
      <c r="A162" t="s">
        <v>993</v>
      </c>
      <c r="B162" t="s">
        <v>994</v>
      </c>
      <c r="C162" t="s">
        <v>897</v>
      </c>
      <c r="D162" t="s">
        <v>989</v>
      </c>
      <c r="E162" t="s">
        <v>990</v>
      </c>
      <c r="F162">
        <v>5000</v>
      </c>
      <c r="G162">
        <v>52</v>
      </c>
      <c r="H162">
        <v>0</v>
      </c>
      <c r="I162">
        <v>0</v>
      </c>
      <c r="J162">
        <v>0</v>
      </c>
      <c r="K162" t="s">
        <v>8508</v>
      </c>
      <c r="L162" t="s">
        <v>893</v>
      </c>
    </row>
    <row r="163" spans="1:12">
      <c r="A163" t="s">
        <v>993</v>
      </c>
      <c r="B163" t="s">
        <v>994</v>
      </c>
      <c r="C163" t="s">
        <v>897</v>
      </c>
      <c r="D163" t="s">
        <v>989</v>
      </c>
      <c r="E163" t="s">
        <v>990</v>
      </c>
      <c r="F163">
        <v>10000</v>
      </c>
      <c r="G163">
        <v>52</v>
      </c>
      <c r="H163">
        <v>0</v>
      </c>
      <c r="I163">
        <v>0</v>
      </c>
      <c r="J163">
        <v>0</v>
      </c>
      <c r="K163" t="s">
        <v>8508</v>
      </c>
      <c r="L163" t="s">
        <v>893</v>
      </c>
    </row>
    <row r="164" spans="1:12">
      <c r="A164" t="s">
        <v>1038</v>
      </c>
      <c r="B164" t="s">
        <v>1039</v>
      </c>
      <c r="C164" t="s">
        <v>912</v>
      </c>
      <c r="D164" t="s">
        <v>989</v>
      </c>
      <c r="E164" t="s">
        <v>990</v>
      </c>
      <c r="F164">
        <v>1000</v>
      </c>
      <c r="G164">
        <v>52</v>
      </c>
      <c r="H164">
        <v>0</v>
      </c>
      <c r="I164">
        <v>0</v>
      </c>
      <c r="J164">
        <v>0</v>
      </c>
      <c r="K164" t="s">
        <v>8508</v>
      </c>
      <c r="L164" t="s">
        <v>893</v>
      </c>
    </row>
    <row r="165" spans="1:12">
      <c r="A165" t="s">
        <v>993</v>
      </c>
      <c r="B165" t="s">
        <v>1002</v>
      </c>
      <c r="C165" t="s">
        <v>934</v>
      </c>
      <c r="D165" t="s">
        <v>989</v>
      </c>
      <c r="E165">
        <v>53</v>
      </c>
      <c r="F165">
        <v>2000</v>
      </c>
      <c r="G165">
        <v>53</v>
      </c>
      <c r="H165">
        <v>2000</v>
      </c>
      <c r="I165">
        <v>2000</v>
      </c>
      <c r="J165">
        <v>106000</v>
      </c>
      <c r="K165" t="s">
        <v>8508</v>
      </c>
      <c r="L165" t="s">
        <v>893</v>
      </c>
    </row>
    <row r="166" spans="1:12">
      <c r="A166" t="s">
        <v>8515</v>
      </c>
      <c r="B166" t="s">
        <v>8514</v>
      </c>
      <c r="C166" t="s">
        <v>903</v>
      </c>
      <c r="D166" t="s">
        <v>989</v>
      </c>
      <c r="E166">
        <v>47.5</v>
      </c>
      <c r="F166">
        <v>2500</v>
      </c>
      <c r="G166">
        <v>47.5</v>
      </c>
      <c r="H166">
        <v>2350</v>
      </c>
      <c r="I166">
        <v>2350</v>
      </c>
      <c r="J166">
        <v>111625</v>
      </c>
      <c r="K166" t="s">
        <v>8508</v>
      </c>
      <c r="L166" t="s">
        <v>893</v>
      </c>
    </row>
    <row r="167" spans="1:12">
      <c r="A167" t="s">
        <v>1017</v>
      </c>
      <c r="B167" t="s">
        <v>1018</v>
      </c>
      <c r="C167" t="s">
        <v>950</v>
      </c>
      <c r="D167" t="s">
        <v>989</v>
      </c>
      <c r="E167" t="s">
        <v>990</v>
      </c>
      <c r="F167">
        <v>30000</v>
      </c>
      <c r="G167">
        <v>29</v>
      </c>
      <c r="H167">
        <v>0</v>
      </c>
      <c r="I167">
        <v>0</v>
      </c>
      <c r="J167">
        <v>0</v>
      </c>
      <c r="K167" t="s">
        <v>8508</v>
      </c>
      <c r="L167" t="s">
        <v>893</v>
      </c>
    </row>
    <row r="168" spans="1:12">
      <c r="A168" t="s">
        <v>1019</v>
      </c>
      <c r="B168" t="s">
        <v>1020</v>
      </c>
      <c r="C168" t="s">
        <v>950</v>
      </c>
      <c r="D168" t="s">
        <v>989</v>
      </c>
      <c r="E168" t="s">
        <v>990</v>
      </c>
      <c r="F168">
        <v>25000</v>
      </c>
      <c r="G168">
        <v>29</v>
      </c>
      <c r="H168">
        <v>0</v>
      </c>
      <c r="I168">
        <v>0</v>
      </c>
      <c r="J168">
        <v>0</v>
      </c>
      <c r="K168" t="s">
        <v>8508</v>
      </c>
      <c r="L168" t="s">
        <v>893</v>
      </c>
    </row>
    <row r="169" spans="1:12">
      <c r="A169" t="s">
        <v>1012</v>
      </c>
      <c r="B169" t="s">
        <v>8298</v>
      </c>
      <c r="C169" t="s">
        <v>950</v>
      </c>
      <c r="D169" t="s">
        <v>989</v>
      </c>
      <c r="E169" t="s">
        <v>990</v>
      </c>
      <c r="F169">
        <v>10000</v>
      </c>
      <c r="G169">
        <v>52</v>
      </c>
      <c r="H169">
        <v>0</v>
      </c>
      <c r="I169">
        <v>0</v>
      </c>
      <c r="J169">
        <v>0</v>
      </c>
      <c r="K169" t="s">
        <v>8508</v>
      </c>
      <c r="L169" t="s">
        <v>893</v>
      </c>
    </row>
    <row r="170" spans="1:12">
      <c r="A170" t="s">
        <v>1017</v>
      </c>
      <c r="B170" t="s">
        <v>1018</v>
      </c>
      <c r="C170" t="s">
        <v>950</v>
      </c>
      <c r="D170" t="s">
        <v>989</v>
      </c>
      <c r="E170" t="s">
        <v>990</v>
      </c>
      <c r="F170">
        <v>30000</v>
      </c>
      <c r="G170">
        <v>29</v>
      </c>
      <c r="H170">
        <v>0</v>
      </c>
      <c r="I170">
        <v>0</v>
      </c>
      <c r="J170">
        <v>0</v>
      </c>
      <c r="K170" t="s">
        <v>8509</v>
      </c>
      <c r="L170" t="s">
        <v>893</v>
      </c>
    </row>
    <row r="171" spans="1:12">
      <c r="A171" t="s">
        <v>1019</v>
      </c>
      <c r="B171" t="s">
        <v>1020</v>
      </c>
      <c r="C171" t="s">
        <v>950</v>
      </c>
      <c r="D171" t="s">
        <v>989</v>
      </c>
      <c r="E171" t="s">
        <v>990</v>
      </c>
      <c r="F171">
        <v>25000</v>
      </c>
      <c r="G171">
        <v>29</v>
      </c>
      <c r="H171">
        <v>0</v>
      </c>
      <c r="I171">
        <v>0</v>
      </c>
      <c r="J171">
        <v>0</v>
      </c>
      <c r="K171" t="s">
        <v>8509</v>
      </c>
      <c r="L171" t="s">
        <v>893</v>
      </c>
    </row>
    <row r="172" spans="1:12">
      <c r="A172" t="s">
        <v>1008</v>
      </c>
      <c r="B172" t="s">
        <v>8513</v>
      </c>
      <c r="C172" t="s">
        <v>903</v>
      </c>
      <c r="D172" t="s">
        <v>989</v>
      </c>
      <c r="E172">
        <v>31</v>
      </c>
      <c r="F172">
        <v>600</v>
      </c>
      <c r="G172">
        <v>31</v>
      </c>
      <c r="H172">
        <v>600</v>
      </c>
      <c r="I172">
        <v>600</v>
      </c>
      <c r="J172">
        <v>18600</v>
      </c>
      <c r="K172" t="s">
        <v>8508</v>
      </c>
      <c r="L172" t="s">
        <v>893</v>
      </c>
    </row>
    <row r="173" spans="1:12">
      <c r="A173" t="s">
        <v>993</v>
      </c>
      <c r="B173" t="s">
        <v>998</v>
      </c>
      <c r="C173" t="s">
        <v>907</v>
      </c>
      <c r="D173" t="s">
        <v>997</v>
      </c>
      <c r="E173" t="s">
        <v>990</v>
      </c>
      <c r="F173">
        <v>1000</v>
      </c>
      <c r="G173">
        <v>63750</v>
      </c>
      <c r="H173">
        <v>0</v>
      </c>
      <c r="I173">
        <v>0</v>
      </c>
      <c r="J173">
        <v>0</v>
      </c>
      <c r="K173" t="s">
        <v>8508</v>
      </c>
      <c r="L173" t="s">
        <v>895</v>
      </c>
    </row>
    <row r="174" spans="1:12">
      <c r="A174" t="s">
        <v>1021</v>
      </c>
      <c r="B174" t="s">
        <v>1023</v>
      </c>
      <c r="C174" t="s">
        <v>958</v>
      </c>
      <c r="D174" t="s">
        <v>989</v>
      </c>
      <c r="E174" t="s">
        <v>990</v>
      </c>
      <c r="F174">
        <v>650</v>
      </c>
      <c r="G174">
        <v>49</v>
      </c>
      <c r="H174">
        <v>650</v>
      </c>
      <c r="I174">
        <v>0</v>
      </c>
      <c r="J174">
        <v>0</v>
      </c>
      <c r="K174" t="s">
        <v>8508</v>
      </c>
      <c r="L174" t="s">
        <v>893</v>
      </c>
    </row>
    <row r="175" spans="1:12">
      <c r="A175" t="s">
        <v>1012</v>
      </c>
      <c r="B175" t="s">
        <v>1014</v>
      </c>
      <c r="C175" t="s">
        <v>960</v>
      </c>
      <c r="D175" t="s">
        <v>997</v>
      </c>
      <c r="E175" t="s">
        <v>990</v>
      </c>
      <c r="F175">
        <v>500</v>
      </c>
      <c r="G175">
        <v>63658</v>
      </c>
      <c r="H175">
        <v>0</v>
      </c>
      <c r="I175">
        <v>0</v>
      </c>
      <c r="J175">
        <v>0</v>
      </c>
      <c r="K175" t="s">
        <v>8286</v>
      </c>
      <c r="L175" t="s">
        <v>895</v>
      </c>
    </row>
    <row r="176" spans="1:12">
      <c r="A176" t="s">
        <v>1028</v>
      </c>
      <c r="B176" t="s">
        <v>8512</v>
      </c>
      <c r="C176" t="s">
        <v>906</v>
      </c>
      <c r="D176" t="s">
        <v>989</v>
      </c>
      <c r="E176" t="s">
        <v>990</v>
      </c>
      <c r="F176">
        <v>100</v>
      </c>
      <c r="G176">
        <v>52</v>
      </c>
      <c r="H176">
        <v>200</v>
      </c>
      <c r="I176">
        <v>0</v>
      </c>
      <c r="J176">
        <v>0</v>
      </c>
      <c r="K176" t="s">
        <v>8509</v>
      </c>
      <c r="L176" t="s">
        <v>893</v>
      </c>
    </row>
    <row r="177" spans="1:12">
      <c r="A177" t="s">
        <v>1012</v>
      </c>
      <c r="B177" t="s">
        <v>8298</v>
      </c>
      <c r="C177" t="s">
        <v>950</v>
      </c>
      <c r="D177" t="s">
        <v>997</v>
      </c>
      <c r="E177" t="s">
        <v>990</v>
      </c>
      <c r="F177">
        <v>300</v>
      </c>
      <c r="G177">
        <v>63881</v>
      </c>
      <c r="H177">
        <v>0</v>
      </c>
      <c r="I177">
        <v>0</v>
      </c>
      <c r="J177">
        <v>0</v>
      </c>
      <c r="K177" t="s">
        <v>8509</v>
      </c>
      <c r="L177" t="s">
        <v>895</v>
      </c>
    </row>
    <row r="178" spans="1:12">
      <c r="A178" t="s">
        <v>1012</v>
      </c>
      <c r="B178" t="s">
        <v>8298</v>
      </c>
      <c r="C178" t="s">
        <v>950</v>
      </c>
      <c r="D178" t="s">
        <v>997</v>
      </c>
      <c r="E178" t="s">
        <v>990</v>
      </c>
      <c r="F178">
        <v>200</v>
      </c>
      <c r="G178">
        <v>63881</v>
      </c>
      <c r="H178">
        <v>0</v>
      </c>
      <c r="I178">
        <v>0</v>
      </c>
      <c r="J178">
        <v>0</v>
      </c>
      <c r="K178" t="s">
        <v>8509</v>
      </c>
      <c r="L178" t="s">
        <v>895</v>
      </c>
    </row>
    <row r="179" spans="1:12">
      <c r="A179" t="s">
        <v>1021</v>
      </c>
      <c r="B179" t="s">
        <v>1022</v>
      </c>
      <c r="C179" t="s">
        <v>897</v>
      </c>
      <c r="D179" t="s">
        <v>989</v>
      </c>
      <c r="E179" t="s">
        <v>990</v>
      </c>
      <c r="F179">
        <v>6000</v>
      </c>
      <c r="G179">
        <v>49</v>
      </c>
      <c r="H179">
        <v>0</v>
      </c>
      <c r="I179">
        <v>0</v>
      </c>
      <c r="J179">
        <v>0</v>
      </c>
      <c r="K179" t="s">
        <v>8509</v>
      </c>
      <c r="L179" t="s">
        <v>893</v>
      </c>
    </row>
    <row r="180" spans="1:12">
      <c r="A180" t="s">
        <v>1034</v>
      </c>
      <c r="B180" t="s">
        <v>1036</v>
      </c>
      <c r="C180" t="s">
        <v>897</v>
      </c>
      <c r="D180" t="s">
        <v>989</v>
      </c>
      <c r="E180" t="s">
        <v>990</v>
      </c>
      <c r="F180">
        <v>6000</v>
      </c>
      <c r="G180">
        <v>47.5</v>
      </c>
      <c r="H180">
        <v>0</v>
      </c>
      <c r="I180">
        <v>0</v>
      </c>
      <c r="J180">
        <v>0</v>
      </c>
      <c r="K180" t="s">
        <v>8509</v>
      </c>
      <c r="L180" t="s">
        <v>893</v>
      </c>
    </row>
    <row r="181" spans="1:12">
      <c r="A181" t="s">
        <v>993</v>
      </c>
      <c r="B181" t="s">
        <v>1002</v>
      </c>
      <c r="C181" t="s">
        <v>934</v>
      </c>
      <c r="D181" t="s">
        <v>989</v>
      </c>
      <c r="E181">
        <v>42</v>
      </c>
      <c r="F181">
        <v>3000</v>
      </c>
      <c r="G181">
        <v>42</v>
      </c>
      <c r="H181">
        <v>3000</v>
      </c>
      <c r="I181">
        <v>3000</v>
      </c>
      <c r="J181">
        <v>126000</v>
      </c>
      <c r="K181" t="s">
        <v>8509</v>
      </c>
      <c r="L181" t="s">
        <v>893</v>
      </c>
    </row>
    <row r="182" spans="1:12">
      <c r="A182" t="s">
        <v>1008</v>
      </c>
      <c r="B182" t="s">
        <v>1011</v>
      </c>
      <c r="C182" t="s">
        <v>897</v>
      </c>
      <c r="D182" t="s">
        <v>989</v>
      </c>
      <c r="E182">
        <v>50</v>
      </c>
      <c r="F182">
        <v>1000</v>
      </c>
      <c r="G182">
        <v>50</v>
      </c>
      <c r="H182">
        <v>1000</v>
      </c>
      <c r="I182">
        <v>1000</v>
      </c>
      <c r="J182">
        <v>50000</v>
      </c>
      <c r="K182" t="s">
        <v>8509</v>
      </c>
      <c r="L182" t="s">
        <v>893</v>
      </c>
    </row>
    <row r="183" spans="1:12">
      <c r="A183" t="s">
        <v>993</v>
      </c>
      <c r="B183" t="s">
        <v>994</v>
      </c>
      <c r="C183" t="s">
        <v>897</v>
      </c>
      <c r="D183" t="s">
        <v>989</v>
      </c>
      <c r="E183" t="s">
        <v>990</v>
      </c>
      <c r="F183">
        <v>48</v>
      </c>
      <c r="G183">
        <v>42</v>
      </c>
      <c r="H183">
        <v>0</v>
      </c>
      <c r="I183">
        <v>0</v>
      </c>
      <c r="J183">
        <v>0</v>
      </c>
      <c r="K183" t="s">
        <v>8509</v>
      </c>
      <c r="L183" t="s">
        <v>893</v>
      </c>
    </row>
    <row r="184" spans="1:12">
      <c r="A184" t="s">
        <v>1012</v>
      </c>
      <c r="B184" t="s">
        <v>1014</v>
      </c>
      <c r="C184" t="s">
        <v>960</v>
      </c>
      <c r="D184" t="s">
        <v>989</v>
      </c>
      <c r="E184">
        <v>52</v>
      </c>
      <c r="F184">
        <v>1500</v>
      </c>
      <c r="G184">
        <v>52</v>
      </c>
      <c r="H184">
        <v>1500</v>
      </c>
      <c r="I184">
        <v>1500</v>
      </c>
      <c r="J184">
        <v>78000</v>
      </c>
      <c r="K184" t="s">
        <v>8509</v>
      </c>
      <c r="L184" t="s">
        <v>893</v>
      </c>
    </row>
    <row r="185" spans="1:12">
      <c r="A185" t="s">
        <v>1008</v>
      </c>
      <c r="B185" t="s">
        <v>8511</v>
      </c>
      <c r="C185" t="s">
        <v>960</v>
      </c>
      <c r="D185" t="s">
        <v>997</v>
      </c>
      <c r="E185">
        <v>60970</v>
      </c>
      <c r="F185">
        <v>500</v>
      </c>
      <c r="G185">
        <v>60970</v>
      </c>
      <c r="H185">
        <v>500</v>
      </c>
      <c r="I185">
        <v>500</v>
      </c>
      <c r="J185">
        <v>30485000000</v>
      </c>
      <c r="K185" t="s">
        <v>8509</v>
      </c>
      <c r="L185" t="s">
        <v>895</v>
      </c>
    </row>
    <row r="186" spans="1:12">
      <c r="A186" t="s">
        <v>1012</v>
      </c>
      <c r="B186" t="s">
        <v>8298</v>
      </c>
      <c r="C186" t="s">
        <v>950</v>
      </c>
      <c r="D186" t="s">
        <v>997</v>
      </c>
      <c r="E186" t="s">
        <v>990</v>
      </c>
      <c r="F186">
        <v>2000</v>
      </c>
      <c r="G186">
        <v>63881</v>
      </c>
      <c r="H186">
        <v>0</v>
      </c>
      <c r="I186">
        <v>0</v>
      </c>
      <c r="J186">
        <v>0</v>
      </c>
      <c r="K186" t="s">
        <v>8509</v>
      </c>
      <c r="L186" t="s">
        <v>895</v>
      </c>
    </row>
    <row r="187" spans="1:12">
      <c r="A187" t="s">
        <v>993</v>
      </c>
      <c r="B187" t="s">
        <v>994</v>
      </c>
      <c r="C187" t="s">
        <v>897</v>
      </c>
      <c r="D187" t="s">
        <v>989</v>
      </c>
      <c r="E187">
        <v>52</v>
      </c>
      <c r="F187">
        <v>5000</v>
      </c>
      <c r="G187">
        <v>52</v>
      </c>
      <c r="H187">
        <v>5000</v>
      </c>
      <c r="I187">
        <v>5000</v>
      </c>
      <c r="J187">
        <v>260000</v>
      </c>
      <c r="K187" t="s">
        <v>8509</v>
      </c>
      <c r="L187" t="s">
        <v>893</v>
      </c>
    </row>
    <row r="188" spans="1:12">
      <c r="A188" t="s">
        <v>1021</v>
      </c>
      <c r="B188" t="s">
        <v>1023</v>
      </c>
      <c r="C188" t="s">
        <v>958</v>
      </c>
      <c r="D188" t="s">
        <v>989</v>
      </c>
      <c r="E188">
        <v>49</v>
      </c>
      <c r="F188">
        <v>650</v>
      </c>
      <c r="G188">
        <v>49</v>
      </c>
      <c r="H188">
        <v>650</v>
      </c>
      <c r="I188">
        <v>650</v>
      </c>
      <c r="J188">
        <v>31850</v>
      </c>
      <c r="K188" t="s">
        <v>8509</v>
      </c>
      <c r="L188" t="s">
        <v>893</v>
      </c>
    </row>
  </sheetData>
  <pageMargins left="0.75" right="0.75" top="1" bottom="1" header="0.5" footer="0.5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B2CA-9AEB-B540-A862-B96BB731ABED}">
  <dimension ref="A1:R2327"/>
  <sheetViews>
    <sheetView topLeftCell="C699" workbookViewId="0">
      <selection activeCell="A2302" sqref="A1:XFD1048576"/>
    </sheetView>
  </sheetViews>
  <sheetFormatPr baseColWidth="10" defaultColWidth="12.33203125" defaultRowHeight="15"/>
  <cols>
    <col min="1" max="1" width="28.6640625" style="1989" bestFit="1" customWidth="1"/>
    <col min="2" max="2" width="20.6640625" style="1989" bestFit="1" customWidth="1"/>
    <col min="3" max="3" width="8.1640625" style="1989" bestFit="1" customWidth="1"/>
    <col min="4" max="4" width="28.1640625" style="1989" bestFit="1" customWidth="1"/>
    <col min="5" max="5" width="10.33203125" style="1989" bestFit="1" customWidth="1"/>
    <col min="6" max="6" width="16.6640625" style="1989" bestFit="1" customWidth="1"/>
    <col min="7" max="7" width="10.6640625" style="1989" bestFit="1" customWidth="1"/>
    <col min="8" max="9" width="6.5" style="1989" bestFit="1" customWidth="1"/>
    <col min="10" max="10" width="7.6640625" style="1989" bestFit="1" customWidth="1"/>
    <col min="11" max="13" width="6.1640625" style="1989" bestFit="1" customWidth="1"/>
    <col min="14" max="14" width="3.1640625" style="1989" bestFit="1" customWidth="1"/>
    <col min="15" max="16" width="10.5" style="1989" bestFit="1" customWidth="1"/>
    <col min="17" max="17" width="24.33203125" style="1989" bestFit="1" customWidth="1"/>
    <col min="18" max="18" width="14.33203125" style="1989" bestFit="1" customWidth="1"/>
    <col min="19" max="19" width="10.33203125" style="1989" bestFit="1" customWidth="1"/>
    <col min="20" max="16384" width="12.33203125" style="1989"/>
  </cols>
  <sheetData>
    <row r="1" spans="1:18" ht="30">
      <c r="A1" s="1988" t="s">
        <v>977</v>
      </c>
      <c r="B1" s="1988" t="s">
        <v>11</v>
      </c>
      <c r="C1" s="1988" t="s">
        <v>1040</v>
      </c>
      <c r="D1" s="1988" t="s">
        <v>978</v>
      </c>
      <c r="E1" s="1988" t="s">
        <v>979</v>
      </c>
      <c r="F1" s="1988" t="s">
        <v>1041</v>
      </c>
      <c r="G1" s="1988" t="s">
        <v>1042</v>
      </c>
      <c r="H1" s="1988" t="s">
        <v>1043</v>
      </c>
      <c r="I1" s="1988" t="s">
        <v>980</v>
      </c>
      <c r="J1" s="1988" t="s">
        <v>982</v>
      </c>
      <c r="K1" s="1988" t="s">
        <v>981</v>
      </c>
      <c r="L1" s="1988" t="s">
        <v>983</v>
      </c>
      <c r="M1" s="1988" t="s">
        <v>984</v>
      </c>
      <c r="N1" s="1988" t="s">
        <v>1044</v>
      </c>
      <c r="O1" s="1988" t="s">
        <v>986</v>
      </c>
      <c r="P1" s="1988" t="s">
        <v>1045</v>
      </c>
      <c r="Q1" s="1988" t="s">
        <v>1046</v>
      </c>
      <c r="R1" s="1988" t="s">
        <v>1047</v>
      </c>
    </row>
    <row r="2" spans="1:18">
      <c r="A2" s="1990" t="s">
        <v>1194</v>
      </c>
      <c r="B2" s="1990" t="s">
        <v>1310</v>
      </c>
      <c r="C2" s="1990" t="s">
        <v>1050</v>
      </c>
      <c r="D2" s="1990" t="s">
        <v>952</v>
      </c>
      <c r="E2" s="1990" t="s">
        <v>1051</v>
      </c>
      <c r="F2" s="1991">
        <v>39877</v>
      </c>
      <c r="G2" s="1991">
        <v>10966175</v>
      </c>
      <c r="H2" s="1991">
        <v>39877</v>
      </c>
      <c r="I2" s="1991">
        <v>39877</v>
      </c>
      <c r="J2" s="1991">
        <v>39877</v>
      </c>
      <c r="K2" s="1990">
        <v>0</v>
      </c>
      <c r="L2" s="1990">
        <v>275</v>
      </c>
      <c r="M2" s="1990">
        <v>275</v>
      </c>
      <c r="N2" s="1990" t="s">
        <v>1052</v>
      </c>
      <c r="O2" s="1990" t="s">
        <v>8294</v>
      </c>
      <c r="P2" s="1990" t="s">
        <v>1311</v>
      </c>
      <c r="Q2" s="1990" t="s">
        <v>1312</v>
      </c>
      <c r="R2" s="1990" t="s">
        <v>1054</v>
      </c>
    </row>
    <row r="3" spans="1:18">
      <c r="A3" s="1990" t="s">
        <v>1194</v>
      </c>
      <c r="B3" s="1990" t="s">
        <v>1226</v>
      </c>
      <c r="C3" s="1990" t="s">
        <v>1050</v>
      </c>
      <c r="D3" s="1990" t="s">
        <v>963</v>
      </c>
      <c r="E3" s="1990" t="s">
        <v>1051</v>
      </c>
      <c r="F3" s="1991">
        <v>39877</v>
      </c>
      <c r="G3" s="1991">
        <v>3987700</v>
      </c>
      <c r="H3" s="1991">
        <v>39877</v>
      </c>
      <c r="I3" s="1991">
        <v>39877</v>
      </c>
      <c r="J3" s="1991">
        <v>39877</v>
      </c>
      <c r="K3" s="1990">
        <v>0</v>
      </c>
      <c r="L3" s="1990">
        <v>100</v>
      </c>
      <c r="M3" s="1990">
        <v>100</v>
      </c>
      <c r="N3" s="1990" t="s">
        <v>1052</v>
      </c>
      <c r="O3" s="1990" t="s">
        <v>8294</v>
      </c>
      <c r="P3" s="1990" t="s">
        <v>963</v>
      </c>
      <c r="Q3" s="1990" t="s">
        <v>1090</v>
      </c>
      <c r="R3" s="1990" t="s">
        <v>1054</v>
      </c>
    </row>
    <row r="4" spans="1:18" ht="30">
      <c r="A4" s="1990" t="s">
        <v>1144</v>
      </c>
      <c r="B4" s="1990" t="s">
        <v>1145</v>
      </c>
      <c r="C4" s="1990" t="s">
        <v>1050</v>
      </c>
      <c r="D4" s="1990" t="s">
        <v>922</v>
      </c>
      <c r="E4" s="1990" t="s">
        <v>1051</v>
      </c>
      <c r="F4" s="1991">
        <v>37366</v>
      </c>
      <c r="G4" s="1991">
        <v>7473200</v>
      </c>
      <c r="H4" s="1991">
        <v>37366</v>
      </c>
      <c r="I4" s="1991">
        <v>37366</v>
      </c>
      <c r="J4" s="1991">
        <v>37366</v>
      </c>
      <c r="K4" s="1990">
        <v>0</v>
      </c>
      <c r="L4" s="1990">
        <v>200</v>
      </c>
      <c r="M4" s="1990">
        <v>200</v>
      </c>
      <c r="N4" s="1990" t="s">
        <v>1052</v>
      </c>
      <c r="O4" s="1990" t="s">
        <v>8294</v>
      </c>
      <c r="P4" s="1990" t="s">
        <v>922</v>
      </c>
      <c r="Q4" s="1990" t="s">
        <v>1087</v>
      </c>
      <c r="R4" s="1990" t="s">
        <v>1054</v>
      </c>
    </row>
    <row r="5" spans="1:18">
      <c r="A5" s="1990" t="s">
        <v>1192</v>
      </c>
      <c r="B5" s="1990" t="s">
        <v>1313</v>
      </c>
      <c r="C5" s="1990" t="s">
        <v>1050</v>
      </c>
      <c r="D5" s="1990" t="s">
        <v>952</v>
      </c>
      <c r="E5" s="1990" t="s">
        <v>1051</v>
      </c>
      <c r="F5" s="1991">
        <v>28223</v>
      </c>
      <c r="G5" s="1991">
        <v>1411150</v>
      </c>
      <c r="H5" s="1991">
        <v>28223</v>
      </c>
      <c r="I5" s="1991">
        <v>28223</v>
      </c>
      <c r="J5" s="1991">
        <v>28223</v>
      </c>
      <c r="K5" s="1990">
        <v>0</v>
      </c>
      <c r="L5" s="1990">
        <v>50</v>
      </c>
      <c r="M5" s="1990">
        <v>50</v>
      </c>
      <c r="N5" s="1990" t="s">
        <v>1052</v>
      </c>
      <c r="O5" s="1990" t="s">
        <v>8294</v>
      </c>
      <c r="P5" s="1990" t="s">
        <v>1311</v>
      </c>
      <c r="Q5" s="1990" t="s">
        <v>1312</v>
      </c>
      <c r="R5" s="1990" t="s">
        <v>1054</v>
      </c>
    </row>
    <row r="6" spans="1:18" ht="30">
      <c r="A6" s="1990" t="s">
        <v>1115</v>
      </c>
      <c r="B6" s="1990" t="s">
        <v>1116</v>
      </c>
      <c r="C6" s="1990" t="s">
        <v>1050</v>
      </c>
      <c r="D6" s="1990" t="s">
        <v>942</v>
      </c>
      <c r="E6" s="1990" t="s">
        <v>1051</v>
      </c>
      <c r="F6" s="1991">
        <v>45114</v>
      </c>
      <c r="G6" s="1991">
        <v>137372130</v>
      </c>
      <c r="H6" s="1991">
        <v>45114</v>
      </c>
      <c r="I6" s="1991">
        <v>45114</v>
      </c>
      <c r="J6" s="1991">
        <v>45114</v>
      </c>
      <c r="K6" s="1990">
        <v>0</v>
      </c>
      <c r="L6" s="1991">
        <v>3045</v>
      </c>
      <c r="M6" s="1991">
        <v>3045</v>
      </c>
      <c r="N6" s="1990" t="s">
        <v>1052</v>
      </c>
      <c r="O6" s="1990" t="s">
        <v>8294</v>
      </c>
      <c r="P6" s="1990" t="s">
        <v>1117</v>
      </c>
      <c r="Q6" s="1990" t="s">
        <v>1118</v>
      </c>
      <c r="R6" s="1990" t="s">
        <v>1054</v>
      </c>
    </row>
    <row r="7" spans="1:18" ht="30">
      <c r="A7" s="1990" t="s">
        <v>1119</v>
      </c>
      <c r="B7" s="1990" t="s">
        <v>1120</v>
      </c>
      <c r="C7" s="1990" t="s">
        <v>1050</v>
      </c>
      <c r="D7" s="1990" t="s">
        <v>942</v>
      </c>
      <c r="E7" s="1990" t="s">
        <v>1051</v>
      </c>
      <c r="F7" s="1991">
        <v>44070</v>
      </c>
      <c r="G7" s="1991">
        <v>70732350</v>
      </c>
      <c r="H7" s="1991">
        <v>44070</v>
      </c>
      <c r="I7" s="1991">
        <v>44070</v>
      </c>
      <c r="J7" s="1991">
        <v>44070</v>
      </c>
      <c r="K7" s="1991">
        <v>0</v>
      </c>
      <c r="L7" s="1991">
        <v>1605</v>
      </c>
      <c r="M7" s="1991">
        <v>1605</v>
      </c>
      <c r="N7" s="1990" t="s">
        <v>1052</v>
      </c>
      <c r="O7" s="1990" t="s">
        <v>8294</v>
      </c>
      <c r="P7" s="1990" t="s">
        <v>1117</v>
      </c>
      <c r="Q7" s="1990" t="s">
        <v>1118</v>
      </c>
      <c r="R7" s="1990" t="s">
        <v>1054</v>
      </c>
    </row>
    <row r="8" spans="1:18">
      <c r="A8" s="1990" t="s">
        <v>1163</v>
      </c>
      <c r="B8" s="1990" t="s">
        <v>1164</v>
      </c>
      <c r="C8" s="1990" t="s">
        <v>1050</v>
      </c>
      <c r="D8" s="1990" t="s">
        <v>909</v>
      </c>
      <c r="E8" s="1990" t="s">
        <v>1051</v>
      </c>
      <c r="F8" s="1991">
        <v>35589</v>
      </c>
      <c r="G8" s="1991">
        <v>1779450</v>
      </c>
      <c r="H8" s="1991">
        <v>35589</v>
      </c>
      <c r="I8" s="1991">
        <v>35589</v>
      </c>
      <c r="J8" s="1991">
        <v>35589</v>
      </c>
      <c r="K8" s="1991">
        <v>0</v>
      </c>
      <c r="L8" s="1990">
        <v>50</v>
      </c>
      <c r="M8" s="1990">
        <v>50</v>
      </c>
      <c r="N8" s="1990" t="s">
        <v>1052</v>
      </c>
      <c r="O8" s="1990" t="s">
        <v>8294</v>
      </c>
      <c r="P8" s="1990" t="s">
        <v>909</v>
      </c>
      <c r="Q8" s="1990" t="s">
        <v>1053</v>
      </c>
      <c r="R8" s="1990" t="s">
        <v>1054</v>
      </c>
    </row>
    <row r="9" spans="1:18" ht="30">
      <c r="A9" s="1990" t="s">
        <v>1061</v>
      </c>
      <c r="B9" s="1990" t="s">
        <v>1125</v>
      </c>
      <c r="C9" s="1990" t="s">
        <v>1050</v>
      </c>
      <c r="D9" s="1990" t="s">
        <v>950</v>
      </c>
      <c r="E9" s="1990" t="s">
        <v>1051</v>
      </c>
      <c r="F9" s="1991">
        <v>35589</v>
      </c>
      <c r="G9" s="1991">
        <v>3558900</v>
      </c>
      <c r="H9" s="1991">
        <v>35589</v>
      </c>
      <c r="I9" s="1991">
        <v>35589</v>
      </c>
      <c r="J9" s="1991">
        <v>35589</v>
      </c>
      <c r="K9" s="1991">
        <v>0</v>
      </c>
      <c r="L9" s="1991">
        <v>100</v>
      </c>
      <c r="M9" s="1991">
        <v>100</v>
      </c>
      <c r="N9" s="1990" t="s">
        <v>1052</v>
      </c>
      <c r="O9" s="1990" t="s">
        <v>8294</v>
      </c>
      <c r="P9" s="1990" t="s">
        <v>1124</v>
      </c>
      <c r="Q9" s="1990" t="s">
        <v>1114</v>
      </c>
      <c r="R9" s="1990" t="s">
        <v>1067</v>
      </c>
    </row>
    <row r="10" spans="1:18" ht="30">
      <c r="A10" s="1990" t="s">
        <v>1151</v>
      </c>
      <c r="B10" s="1990" t="s">
        <v>1268</v>
      </c>
      <c r="C10" s="1990" t="s">
        <v>1050</v>
      </c>
      <c r="D10" s="1990" t="s">
        <v>950</v>
      </c>
      <c r="E10" s="1990" t="s">
        <v>1051</v>
      </c>
      <c r="F10" s="1991">
        <v>27392</v>
      </c>
      <c r="G10" s="1991">
        <v>2054400</v>
      </c>
      <c r="H10" s="1991">
        <v>27392</v>
      </c>
      <c r="I10" s="1991">
        <v>27392</v>
      </c>
      <c r="J10" s="1991">
        <v>27392</v>
      </c>
      <c r="K10" s="1991">
        <v>0</v>
      </c>
      <c r="L10" s="1991">
        <v>75</v>
      </c>
      <c r="M10" s="1991">
        <v>75</v>
      </c>
      <c r="N10" s="1990" t="s">
        <v>1052</v>
      </c>
      <c r="O10" s="1990" t="s">
        <v>8294</v>
      </c>
      <c r="P10" s="1990" t="s">
        <v>1124</v>
      </c>
      <c r="Q10" s="1990" t="s">
        <v>1114</v>
      </c>
      <c r="R10" s="1990" t="s">
        <v>1067</v>
      </c>
    </row>
    <row r="11" spans="1:18">
      <c r="A11" s="1990" t="s">
        <v>1153</v>
      </c>
      <c r="B11" s="1990" t="s">
        <v>1242</v>
      </c>
      <c r="C11" s="1990" t="s">
        <v>1050</v>
      </c>
      <c r="D11" s="1990" t="s">
        <v>967</v>
      </c>
      <c r="E11" s="1990" t="s">
        <v>1051</v>
      </c>
      <c r="F11" s="1991">
        <v>38789</v>
      </c>
      <c r="G11" s="1991">
        <v>1939450</v>
      </c>
      <c r="H11" s="1991">
        <v>38789</v>
      </c>
      <c r="I11" s="1991">
        <v>38789</v>
      </c>
      <c r="J11" s="1991">
        <v>38789</v>
      </c>
      <c r="K11" s="1991">
        <v>0</v>
      </c>
      <c r="L11" s="1991">
        <v>50</v>
      </c>
      <c r="M11" s="1991">
        <v>50</v>
      </c>
      <c r="N11" s="1990" t="s">
        <v>1052</v>
      </c>
      <c r="O11" s="1990" t="s">
        <v>8291</v>
      </c>
      <c r="P11" s="1990" t="s">
        <v>967</v>
      </c>
      <c r="Q11" s="1990" t="s">
        <v>1080</v>
      </c>
      <c r="R11" s="1990" t="s">
        <v>1067</v>
      </c>
    </row>
    <row r="12" spans="1:18">
      <c r="A12" s="1990" t="s">
        <v>1163</v>
      </c>
      <c r="B12" s="1990" t="s">
        <v>1164</v>
      </c>
      <c r="C12" s="1990" t="s">
        <v>1050</v>
      </c>
      <c r="D12" s="1990" t="s">
        <v>909</v>
      </c>
      <c r="E12" s="1990" t="s">
        <v>1051</v>
      </c>
      <c r="F12" s="1991">
        <v>35589</v>
      </c>
      <c r="G12" s="1991">
        <v>30250650</v>
      </c>
      <c r="H12" s="1991">
        <v>35589</v>
      </c>
      <c r="I12" s="1991">
        <v>35589</v>
      </c>
      <c r="J12" s="1991">
        <v>35589</v>
      </c>
      <c r="K12" s="1991">
        <v>0</v>
      </c>
      <c r="L12" s="1991">
        <v>850</v>
      </c>
      <c r="M12" s="1991">
        <v>850</v>
      </c>
      <c r="N12" s="1990" t="s">
        <v>1052</v>
      </c>
      <c r="O12" s="1990" t="s">
        <v>8291</v>
      </c>
      <c r="P12" s="1990" t="s">
        <v>909</v>
      </c>
      <c r="Q12" s="1990" t="s">
        <v>1053</v>
      </c>
      <c r="R12" s="1990" t="s">
        <v>1054</v>
      </c>
    </row>
    <row r="13" spans="1:18" ht="30">
      <c r="A13" s="1990" t="s">
        <v>1061</v>
      </c>
      <c r="B13" s="1990" t="s">
        <v>1376</v>
      </c>
      <c r="C13" s="1990" t="s">
        <v>1050</v>
      </c>
      <c r="D13" s="1990" t="s">
        <v>941</v>
      </c>
      <c r="E13" s="1990" t="s">
        <v>1054</v>
      </c>
      <c r="F13" s="1991">
        <v>35589</v>
      </c>
      <c r="G13" s="1991">
        <v>1779450</v>
      </c>
      <c r="H13" s="1991">
        <v>35589</v>
      </c>
      <c r="I13" s="1991">
        <v>35589</v>
      </c>
      <c r="J13" s="1991">
        <v>35589</v>
      </c>
      <c r="K13" s="1991">
        <v>1000</v>
      </c>
      <c r="L13" s="1991">
        <v>50</v>
      </c>
      <c r="M13" s="1991">
        <v>50</v>
      </c>
      <c r="N13" s="1990" t="s">
        <v>1052</v>
      </c>
      <c r="O13" s="1990" t="s">
        <v>8291</v>
      </c>
      <c r="P13" s="1990" t="s">
        <v>941</v>
      </c>
      <c r="Q13" s="1990" t="s">
        <v>1075</v>
      </c>
      <c r="R13" s="1990" t="s">
        <v>1054</v>
      </c>
    </row>
    <row r="14" spans="1:18">
      <c r="A14" s="1990" t="s">
        <v>1061</v>
      </c>
      <c r="B14" s="1990" t="s">
        <v>1317</v>
      </c>
      <c r="C14" s="1990" t="s">
        <v>1050</v>
      </c>
      <c r="D14" s="1990" t="s">
        <v>906</v>
      </c>
      <c r="E14" s="1990" t="s">
        <v>1054</v>
      </c>
      <c r="F14" s="1991">
        <v>39823</v>
      </c>
      <c r="G14" s="1991">
        <v>292699050</v>
      </c>
      <c r="H14" s="1991">
        <v>39823</v>
      </c>
      <c r="I14" s="1991">
        <v>39823</v>
      </c>
      <c r="J14" s="1991">
        <v>39823</v>
      </c>
      <c r="K14" s="1991">
        <v>8000</v>
      </c>
      <c r="L14" s="1991">
        <v>7350</v>
      </c>
      <c r="M14" s="1991">
        <v>7350</v>
      </c>
      <c r="N14" s="1990" t="s">
        <v>1052</v>
      </c>
      <c r="O14" s="1990" t="s">
        <v>8291</v>
      </c>
      <c r="P14" s="1990" t="s">
        <v>906</v>
      </c>
      <c r="Q14" s="1990" t="s">
        <v>1063</v>
      </c>
      <c r="R14" s="1990" t="s">
        <v>1054</v>
      </c>
    </row>
    <row r="15" spans="1:18" ht="30">
      <c r="A15" s="1990" t="s">
        <v>1057</v>
      </c>
      <c r="B15" s="1990" t="s">
        <v>1408</v>
      </c>
      <c r="C15" s="1990" t="s">
        <v>1050</v>
      </c>
      <c r="D15" s="1990" t="s">
        <v>922</v>
      </c>
      <c r="E15" s="1990" t="s">
        <v>1054</v>
      </c>
      <c r="F15" s="1991">
        <v>37366</v>
      </c>
      <c r="G15" s="1991">
        <v>74732000</v>
      </c>
      <c r="H15" s="1991">
        <v>37366</v>
      </c>
      <c r="I15" s="1991">
        <v>37366</v>
      </c>
      <c r="J15" s="1991">
        <v>37366</v>
      </c>
      <c r="K15" s="1991">
        <v>2000</v>
      </c>
      <c r="L15" s="1991">
        <v>2000</v>
      </c>
      <c r="M15" s="1991">
        <v>2000</v>
      </c>
      <c r="N15" s="1990" t="s">
        <v>1052</v>
      </c>
      <c r="O15" s="1990" t="s">
        <v>8291</v>
      </c>
      <c r="P15" s="1990" t="s">
        <v>922</v>
      </c>
      <c r="Q15" s="1990" t="s">
        <v>1087</v>
      </c>
      <c r="R15" s="1990" t="s">
        <v>1054</v>
      </c>
    </row>
    <row r="16" spans="1:18">
      <c r="A16" s="1990" t="s">
        <v>1059</v>
      </c>
      <c r="B16" s="1990" t="s">
        <v>1064</v>
      </c>
      <c r="C16" s="1990" t="s">
        <v>1050</v>
      </c>
      <c r="D16" s="1990" t="s">
        <v>911</v>
      </c>
      <c r="E16" s="1990" t="s">
        <v>1054</v>
      </c>
      <c r="F16" s="1991">
        <v>26199</v>
      </c>
      <c r="G16" s="1991">
        <v>174223350</v>
      </c>
      <c r="H16" s="1991">
        <v>26199</v>
      </c>
      <c r="I16" s="1991">
        <v>26199</v>
      </c>
      <c r="J16" s="1991">
        <v>26199</v>
      </c>
      <c r="K16" s="1991">
        <v>9000</v>
      </c>
      <c r="L16" s="1991">
        <v>6850</v>
      </c>
      <c r="M16" s="1991">
        <v>6650</v>
      </c>
      <c r="N16" s="1990" t="s">
        <v>1052</v>
      </c>
      <c r="O16" s="1990" t="s">
        <v>8291</v>
      </c>
      <c r="P16" s="1990" t="s">
        <v>911</v>
      </c>
      <c r="Q16" s="1990" t="s">
        <v>1063</v>
      </c>
      <c r="R16" s="1990" t="s">
        <v>1054</v>
      </c>
    </row>
    <row r="17" spans="1:18" ht="45">
      <c r="A17" s="1990" t="s">
        <v>1059</v>
      </c>
      <c r="B17" s="1990" t="s">
        <v>1387</v>
      </c>
      <c r="C17" s="1990" t="s">
        <v>1050</v>
      </c>
      <c r="D17" s="1990" t="s">
        <v>925</v>
      </c>
      <c r="E17" s="1990" t="s">
        <v>1054</v>
      </c>
      <c r="F17" s="1991">
        <v>26435</v>
      </c>
      <c r="G17" s="1991">
        <v>235932375</v>
      </c>
      <c r="H17" s="1991">
        <v>26435</v>
      </c>
      <c r="I17" s="1991">
        <v>26435</v>
      </c>
      <c r="J17" s="1991">
        <v>26435</v>
      </c>
      <c r="K17" s="1991">
        <v>9000</v>
      </c>
      <c r="L17" s="1991">
        <v>8925</v>
      </c>
      <c r="M17" s="1991">
        <v>8925</v>
      </c>
      <c r="N17" s="1990" t="s">
        <v>1052</v>
      </c>
      <c r="O17" s="1990" t="s">
        <v>8291</v>
      </c>
      <c r="P17" s="1990" t="s">
        <v>1388</v>
      </c>
      <c r="Q17" s="1990" t="s">
        <v>1389</v>
      </c>
      <c r="R17" s="1990" t="s">
        <v>1054</v>
      </c>
    </row>
    <row r="18" spans="1:18">
      <c r="A18" s="1990" t="s">
        <v>1085</v>
      </c>
      <c r="B18" s="1990" t="s">
        <v>1319</v>
      </c>
      <c r="C18" s="1990" t="s">
        <v>1050</v>
      </c>
      <c r="D18" s="1990" t="s">
        <v>906</v>
      </c>
      <c r="E18" s="1990" t="s">
        <v>1054</v>
      </c>
      <c r="F18" s="1991">
        <v>25562</v>
      </c>
      <c r="G18" s="1991">
        <v>128832480</v>
      </c>
      <c r="H18" s="1991">
        <v>25562</v>
      </c>
      <c r="I18" s="1991">
        <v>25562</v>
      </c>
      <c r="J18" s="1991">
        <v>25562</v>
      </c>
      <c r="K18" s="1991">
        <v>8000</v>
      </c>
      <c r="L18" s="1990">
        <v>5040</v>
      </c>
      <c r="M18" s="1990">
        <v>5040</v>
      </c>
      <c r="N18" s="1990" t="s">
        <v>1052</v>
      </c>
      <c r="O18" s="1990" t="s">
        <v>8291</v>
      </c>
      <c r="P18" s="1990" t="s">
        <v>906</v>
      </c>
      <c r="Q18" s="1990" t="s">
        <v>1063</v>
      </c>
      <c r="R18" s="1990" t="s">
        <v>1054</v>
      </c>
    </row>
    <row r="19" spans="1:18">
      <c r="A19" s="1990" t="s">
        <v>1061</v>
      </c>
      <c r="B19" s="1990" t="s">
        <v>1129</v>
      </c>
      <c r="C19" s="1990" t="s">
        <v>1050</v>
      </c>
      <c r="D19" s="1990" t="s">
        <v>960</v>
      </c>
      <c r="E19" s="1990" t="s">
        <v>1054</v>
      </c>
      <c r="F19" s="1991">
        <v>35589</v>
      </c>
      <c r="G19" s="1991">
        <v>254817240</v>
      </c>
      <c r="H19" s="1991">
        <v>35589</v>
      </c>
      <c r="I19" s="1991">
        <v>35589</v>
      </c>
      <c r="J19" s="1991">
        <v>35589</v>
      </c>
      <c r="K19" s="1991">
        <v>7600</v>
      </c>
      <c r="L19" s="1991">
        <v>7160</v>
      </c>
      <c r="M19" s="1991">
        <v>7160</v>
      </c>
      <c r="N19" s="1990" t="s">
        <v>1052</v>
      </c>
      <c r="O19" s="1990" t="s">
        <v>8291</v>
      </c>
      <c r="P19" s="1990" t="s">
        <v>960</v>
      </c>
      <c r="Q19" s="1990" t="s">
        <v>1130</v>
      </c>
      <c r="R19" s="1990" t="s">
        <v>1054</v>
      </c>
    </row>
    <row r="20" spans="1:18" ht="30">
      <c r="A20" s="1990" t="s">
        <v>1057</v>
      </c>
      <c r="B20" s="1990" t="s">
        <v>1370</v>
      </c>
      <c r="C20" s="1990" t="s">
        <v>1050</v>
      </c>
      <c r="D20" s="1990" t="s">
        <v>910</v>
      </c>
      <c r="E20" s="1990" t="s">
        <v>1054</v>
      </c>
      <c r="F20" s="1991">
        <v>43276</v>
      </c>
      <c r="G20" s="1991">
        <v>289949200</v>
      </c>
      <c r="H20" s="1991">
        <v>43276</v>
      </c>
      <c r="I20" s="1991">
        <v>43276</v>
      </c>
      <c r="J20" s="1991">
        <v>43276</v>
      </c>
      <c r="K20" s="1990">
        <v>11000</v>
      </c>
      <c r="L20" s="1990">
        <v>6750</v>
      </c>
      <c r="M20" s="1990">
        <v>6700</v>
      </c>
      <c r="N20" s="1990" t="s">
        <v>1052</v>
      </c>
      <c r="O20" s="1990" t="s">
        <v>8291</v>
      </c>
      <c r="P20" s="1990" t="s">
        <v>1283</v>
      </c>
      <c r="Q20" s="1990" t="s">
        <v>1075</v>
      </c>
      <c r="R20" s="1990" t="s">
        <v>1054</v>
      </c>
    </row>
    <row r="21" spans="1:18">
      <c r="A21" s="1990" t="s">
        <v>1061</v>
      </c>
      <c r="B21" s="1990" t="s">
        <v>1332</v>
      </c>
      <c r="C21" s="1990" t="s">
        <v>1050</v>
      </c>
      <c r="D21" s="1990" t="s">
        <v>898</v>
      </c>
      <c r="E21" s="1990" t="s">
        <v>1054</v>
      </c>
      <c r="F21" s="1991">
        <v>42603</v>
      </c>
      <c r="G21" s="1991">
        <v>97986900</v>
      </c>
      <c r="H21" s="1991">
        <v>42603</v>
      </c>
      <c r="I21" s="1991">
        <v>42603</v>
      </c>
      <c r="J21" s="1991">
        <v>42603</v>
      </c>
      <c r="K21" s="1991">
        <v>2500</v>
      </c>
      <c r="L21" s="1991">
        <v>4800</v>
      </c>
      <c r="M21" s="1991">
        <v>2300</v>
      </c>
      <c r="N21" s="1990" t="s">
        <v>1052</v>
      </c>
      <c r="O21" s="1990" t="s">
        <v>8291</v>
      </c>
      <c r="P21" s="1990" t="s">
        <v>898</v>
      </c>
      <c r="Q21" s="1990" t="s">
        <v>1053</v>
      </c>
      <c r="R21" s="1990" t="s">
        <v>1054</v>
      </c>
    </row>
    <row r="22" spans="1:18">
      <c r="A22" s="1990" t="s">
        <v>1059</v>
      </c>
      <c r="B22" s="1990" t="s">
        <v>1360</v>
      </c>
      <c r="C22" s="1990" t="s">
        <v>1050</v>
      </c>
      <c r="D22" s="1990" t="s">
        <v>938</v>
      </c>
      <c r="E22" s="1990" t="s">
        <v>1054</v>
      </c>
      <c r="F22" s="1991">
        <v>26236</v>
      </c>
      <c r="G22" s="1991">
        <v>22956500</v>
      </c>
      <c r="H22" s="1991">
        <v>26236</v>
      </c>
      <c r="I22" s="1991">
        <v>26236</v>
      </c>
      <c r="J22" s="1991">
        <v>26236</v>
      </c>
      <c r="K22" s="1991">
        <v>1200</v>
      </c>
      <c r="L22" s="1991">
        <v>875</v>
      </c>
      <c r="M22" s="1991">
        <v>875</v>
      </c>
      <c r="N22" s="1990" t="s">
        <v>1052</v>
      </c>
      <c r="O22" s="1990" t="s">
        <v>8291</v>
      </c>
      <c r="P22" s="1990" t="s">
        <v>938</v>
      </c>
      <c r="Q22" s="1990" t="s">
        <v>1053</v>
      </c>
      <c r="R22" s="1990" t="s">
        <v>1054</v>
      </c>
    </row>
    <row r="23" spans="1:18" ht="30">
      <c r="A23" s="1990" t="s">
        <v>1119</v>
      </c>
      <c r="B23" s="1990" t="s">
        <v>1465</v>
      </c>
      <c r="C23" s="1990" t="s">
        <v>1050</v>
      </c>
      <c r="D23" s="1990" t="s">
        <v>934</v>
      </c>
      <c r="E23" s="1990" t="s">
        <v>1054</v>
      </c>
      <c r="F23" s="1991">
        <v>42015</v>
      </c>
      <c r="G23" s="1991">
        <v>8403000</v>
      </c>
      <c r="H23" s="1991">
        <v>42015</v>
      </c>
      <c r="I23" s="1991">
        <v>42015</v>
      </c>
      <c r="J23" s="1991">
        <v>42015</v>
      </c>
      <c r="K23" s="1991">
        <v>200</v>
      </c>
      <c r="L23" s="1991">
        <v>200</v>
      </c>
      <c r="M23" s="1991">
        <v>200</v>
      </c>
      <c r="N23" s="1990" t="s">
        <v>1052</v>
      </c>
      <c r="O23" s="1990" t="s">
        <v>8291</v>
      </c>
      <c r="P23" s="1990" t="s">
        <v>934</v>
      </c>
      <c r="Q23" s="1990" t="s">
        <v>1292</v>
      </c>
      <c r="R23" s="1990" t="s">
        <v>1054</v>
      </c>
    </row>
    <row r="24" spans="1:18" ht="30">
      <c r="A24" s="1990" t="s">
        <v>1059</v>
      </c>
      <c r="B24" s="1990" t="s">
        <v>1369</v>
      </c>
      <c r="C24" s="1990" t="s">
        <v>1050</v>
      </c>
      <c r="D24" s="1990" t="s">
        <v>910</v>
      </c>
      <c r="E24" s="1990" t="s">
        <v>1054</v>
      </c>
      <c r="F24" s="1991">
        <v>26505</v>
      </c>
      <c r="G24" s="1991">
        <v>264387375</v>
      </c>
      <c r="H24" s="1991">
        <v>26505</v>
      </c>
      <c r="I24" s="1991">
        <v>26505</v>
      </c>
      <c r="J24" s="1991">
        <v>26505</v>
      </c>
      <c r="K24" s="1991">
        <v>11000</v>
      </c>
      <c r="L24" s="1991">
        <v>9975</v>
      </c>
      <c r="M24" s="1991">
        <v>9975</v>
      </c>
      <c r="N24" s="1990" t="s">
        <v>1052</v>
      </c>
      <c r="O24" s="1990" t="s">
        <v>8291</v>
      </c>
      <c r="P24" s="1990" t="s">
        <v>1283</v>
      </c>
      <c r="Q24" s="1990" t="s">
        <v>1075</v>
      </c>
      <c r="R24" s="1990" t="s">
        <v>1054</v>
      </c>
    </row>
    <row r="25" spans="1:18">
      <c r="A25" s="1990" t="s">
        <v>1057</v>
      </c>
      <c r="B25" s="1990" t="s">
        <v>1361</v>
      </c>
      <c r="C25" s="1990" t="s">
        <v>1050</v>
      </c>
      <c r="D25" s="1990" t="s">
        <v>938</v>
      </c>
      <c r="E25" s="1990" t="s">
        <v>1054</v>
      </c>
      <c r="F25" s="1991">
        <v>38566</v>
      </c>
      <c r="G25" s="1991">
        <v>18318850</v>
      </c>
      <c r="H25" s="1991">
        <v>38566</v>
      </c>
      <c r="I25" s="1991">
        <v>38566</v>
      </c>
      <c r="J25" s="1991">
        <v>38566</v>
      </c>
      <c r="K25" s="1991">
        <v>800</v>
      </c>
      <c r="L25" s="1991">
        <v>475</v>
      </c>
      <c r="M25" s="1991">
        <v>475</v>
      </c>
      <c r="N25" s="1990" t="s">
        <v>1052</v>
      </c>
      <c r="O25" s="1990" t="s">
        <v>8291</v>
      </c>
      <c r="P25" s="1990" t="s">
        <v>938</v>
      </c>
      <c r="Q25" s="1990" t="s">
        <v>1053</v>
      </c>
      <c r="R25" s="1990" t="s">
        <v>1054</v>
      </c>
    </row>
    <row r="26" spans="1:18">
      <c r="A26" s="1990" t="s">
        <v>1138</v>
      </c>
      <c r="B26" s="1990" t="s">
        <v>1471</v>
      </c>
      <c r="C26" s="1990" t="s">
        <v>1050</v>
      </c>
      <c r="D26" s="1990" t="s">
        <v>952</v>
      </c>
      <c r="E26" s="1990" t="s">
        <v>1054</v>
      </c>
      <c r="F26" s="1991">
        <v>26844</v>
      </c>
      <c r="G26" s="1991">
        <v>26172900</v>
      </c>
      <c r="H26" s="1991">
        <v>26844</v>
      </c>
      <c r="I26" s="1991">
        <v>26844</v>
      </c>
      <c r="J26" s="1991">
        <v>26844</v>
      </c>
      <c r="K26" s="1991">
        <v>1200</v>
      </c>
      <c r="L26" s="1991">
        <v>975</v>
      </c>
      <c r="M26" s="1991">
        <v>975</v>
      </c>
      <c r="N26" s="1990" t="s">
        <v>1052</v>
      </c>
      <c r="O26" s="1990" t="s">
        <v>8291</v>
      </c>
      <c r="P26" s="1990" t="s">
        <v>1311</v>
      </c>
      <c r="Q26" s="1990" t="s">
        <v>1312</v>
      </c>
      <c r="R26" s="1990" t="s">
        <v>1054</v>
      </c>
    </row>
    <row r="27" spans="1:18">
      <c r="A27" s="1990" t="s">
        <v>1076</v>
      </c>
      <c r="B27" s="1990" t="s">
        <v>1089</v>
      </c>
      <c r="C27" s="1990" t="s">
        <v>1050</v>
      </c>
      <c r="D27" s="1990" t="s">
        <v>963</v>
      </c>
      <c r="E27" s="1990" t="s">
        <v>1054</v>
      </c>
      <c r="F27" s="1991">
        <v>35980</v>
      </c>
      <c r="G27" s="1991">
        <v>36879500</v>
      </c>
      <c r="H27" s="1991">
        <v>35980</v>
      </c>
      <c r="I27" s="1991">
        <v>35980</v>
      </c>
      <c r="J27" s="1991">
        <v>35980</v>
      </c>
      <c r="K27" s="1991">
        <v>2000</v>
      </c>
      <c r="L27" s="1991">
        <v>1025</v>
      </c>
      <c r="M27" s="1991">
        <v>1025</v>
      </c>
      <c r="N27" s="1990" t="s">
        <v>1052</v>
      </c>
      <c r="O27" s="1990" t="s">
        <v>8291</v>
      </c>
      <c r="P27" s="1990" t="s">
        <v>963</v>
      </c>
      <c r="Q27" s="1990" t="s">
        <v>1090</v>
      </c>
      <c r="R27" s="1990" t="s">
        <v>1054</v>
      </c>
    </row>
    <row r="28" spans="1:18">
      <c r="A28" s="1990" t="s">
        <v>1076</v>
      </c>
      <c r="B28" s="1990" t="s">
        <v>1320</v>
      </c>
      <c r="C28" s="1990" t="s">
        <v>1050</v>
      </c>
      <c r="D28" s="1990" t="s">
        <v>906</v>
      </c>
      <c r="E28" s="1990" t="s">
        <v>1054</v>
      </c>
      <c r="F28" s="1991">
        <v>36504</v>
      </c>
      <c r="G28" s="1991">
        <v>197486640</v>
      </c>
      <c r="H28" s="1991">
        <v>36504</v>
      </c>
      <c r="I28" s="1991">
        <v>36504</v>
      </c>
      <c r="J28" s="1991">
        <v>36504</v>
      </c>
      <c r="K28" s="1991">
        <v>8000</v>
      </c>
      <c r="L28" s="1991">
        <v>5410</v>
      </c>
      <c r="M28" s="1991">
        <v>5410</v>
      </c>
      <c r="N28" s="1990" t="s">
        <v>1052</v>
      </c>
      <c r="O28" s="1990" t="s">
        <v>8291</v>
      </c>
      <c r="P28" s="1990" t="s">
        <v>906</v>
      </c>
      <c r="Q28" s="1990" t="s">
        <v>1063</v>
      </c>
      <c r="R28" s="1990" t="s">
        <v>1054</v>
      </c>
    </row>
    <row r="29" spans="1:18" ht="30">
      <c r="A29" s="1990" t="s">
        <v>1119</v>
      </c>
      <c r="B29" s="1990" t="s">
        <v>1120</v>
      </c>
      <c r="C29" s="1990" t="s">
        <v>1050</v>
      </c>
      <c r="D29" s="1990" t="s">
        <v>942</v>
      </c>
      <c r="E29" s="1990" t="s">
        <v>1054</v>
      </c>
      <c r="F29" s="1991">
        <v>44070</v>
      </c>
      <c r="G29" s="1991">
        <v>5288400</v>
      </c>
      <c r="H29" s="1991">
        <v>44070</v>
      </c>
      <c r="I29" s="1991">
        <v>44070</v>
      </c>
      <c r="J29" s="1991">
        <v>44070</v>
      </c>
      <c r="K29" s="1991">
        <v>1920</v>
      </c>
      <c r="L29" s="1991">
        <v>120</v>
      </c>
      <c r="M29" s="1991">
        <v>120</v>
      </c>
      <c r="N29" s="1990" t="s">
        <v>1052</v>
      </c>
      <c r="O29" s="1990" t="s">
        <v>8291</v>
      </c>
      <c r="P29" s="1990" t="s">
        <v>1117</v>
      </c>
      <c r="Q29" s="1990" t="s">
        <v>1118</v>
      </c>
      <c r="R29" s="1990" t="s">
        <v>1054</v>
      </c>
    </row>
    <row r="30" spans="1:18" ht="30">
      <c r="A30" s="1990" t="s">
        <v>1057</v>
      </c>
      <c r="B30" s="1990" t="s">
        <v>1073</v>
      </c>
      <c r="C30" s="1990" t="s">
        <v>1050</v>
      </c>
      <c r="D30" s="1990" t="s">
        <v>917</v>
      </c>
      <c r="E30" s="1990" t="s">
        <v>1054</v>
      </c>
      <c r="F30" s="1991">
        <v>37366</v>
      </c>
      <c r="G30" s="1991">
        <v>132649300</v>
      </c>
      <c r="H30" s="1991">
        <v>37366</v>
      </c>
      <c r="I30" s="1991">
        <v>37366</v>
      </c>
      <c r="J30" s="1991">
        <v>37366</v>
      </c>
      <c r="K30" s="1991">
        <v>4000</v>
      </c>
      <c r="L30" s="1991">
        <v>3550</v>
      </c>
      <c r="M30" s="1991">
        <v>3550</v>
      </c>
      <c r="N30" s="1990" t="s">
        <v>1052</v>
      </c>
      <c r="O30" s="1990" t="s">
        <v>8291</v>
      </c>
      <c r="P30" s="1990" t="s">
        <v>1074</v>
      </c>
      <c r="Q30" s="1990" t="s">
        <v>1075</v>
      </c>
      <c r="R30" s="1990" t="s">
        <v>1054</v>
      </c>
    </row>
    <row r="31" spans="1:18">
      <c r="A31" s="1990" t="s">
        <v>1336</v>
      </c>
      <c r="B31" s="1990" t="s">
        <v>1386</v>
      </c>
      <c r="C31" s="1990" t="s">
        <v>1050</v>
      </c>
      <c r="D31" s="1990" t="s">
        <v>949</v>
      </c>
      <c r="E31" s="1990" t="s">
        <v>1054</v>
      </c>
      <c r="F31" s="1991">
        <v>38166</v>
      </c>
      <c r="G31" s="1991">
        <v>17174700</v>
      </c>
      <c r="H31" s="1991">
        <v>38166</v>
      </c>
      <c r="I31" s="1991">
        <v>38166</v>
      </c>
      <c r="J31" s="1991">
        <v>38166</v>
      </c>
      <c r="K31" s="1991">
        <v>500</v>
      </c>
      <c r="L31" s="1991">
        <v>450</v>
      </c>
      <c r="M31" s="1991">
        <v>450</v>
      </c>
      <c r="N31" s="1990" t="s">
        <v>1052</v>
      </c>
      <c r="O31" s="1990" t="s">
        <v>8291</v>
      </c>
      <c r="P31" s="1990" t="s">
        <v>949</v>
      </c>
      <c r="Q31" s="1990" t="s">
        <v>1078</v>
      </c>
      <c r="R31" s="1990" t="s">
        <v>1054</v>
      </c>
    </row>
    <row r="32" spans="1:18" ht="30">
      <c r="A32" s="1990" t="s">
        <v>1057</v>
      </c>
      <c r="B32" s="1990" t="s">
        <v>1111</v>
      </c>
      <c r="C32" s="1990" t="s">
        <v>1050</v>
      </c>
      <c r="D32" s="1990" t="s">
        <v>914</v>
      </c>
      <c r="E32" s="1990" t="s">
        <v>1054</v>
      </c>
      <c r="F32" s="1991">
        <v>38587</v>
      </c>
      <c r="G32" s="1991">
        <v>71385950</v>
      </c>
      <c r="H32" s="1991">
        <v>38587</v>
      </c>
      <c r="I32" s="1991">
        <v>38587</v>
      </c>
      <c r="J32" s="1991">
        <v>38587</v>
      </c>
      <c r="K32" s="1991">
        <v>3000</v>
      </c>
      <c r="L32" s="1991">
        <v>2050</v>
      </c>
      <c r="M32" s="1991">
        <v>1850</v>
      </c>
      <c r="N32" s="1990" t="s">
        <v>1052</v>
      </c>
      <c r="O32" s="1990" t="s">
        <v>8291</v>
      </c>
      <c r="P32" s="1990" t="s">
        <v>1110</v>
      </c>
      <c r="Q32" s="1990" t="s">
        <v>1053</v>
      </c>
      <c r="R32" s="1990" t="s">
        <v>1054</v>
      </c>
    </row>
    <row r="33" spans="1:18" ht="30">
      <c r="A33" s="1990" t="s">
        <v>1112</v>
      </c>
      <c r="B33" s="1990" t="s">
        <v>1272</v>
      </c>
      <c r="C33" s="1990" t="s">
        <v>1050</v>
      </c>
      <c r="D33" s="1990" t="s">
        <v>922</v>
      </c>
      <c r="E33" s="1990" t="s">
        <v>1054</v>
      </c>
      <c r="F33" s="1991">
        <v>24512</v>
      </c>
      <c r="G33" s="1991">
        <v>58828800</v>
      </c>
      <c r="H33" s="1991">
        <v>24512</v>
      </c>
      <c r="I33" s="1991">
        <v>24512</v>
      </c>
      <c r="J33" s="1991">
        <v>24512</v>
      </c>
      <c r="K33" s="1991">
        <v>2500</v>
      </c>
      <c r="L33" s="1991">
        <v>2400</v>
      </c>
      <c r="M33" s="1991">
        <v>2400</v>
      </c>
      <c r="N33" s="1990" t="s">
        <v>1052</v>
      </c>
      <c r="O33" s="1990" t="s">
        <v>8291</v>
      </c>
      <c r="P33" s="1990" t="s">
        <v>922</v>
      </c>
      <c r="Q33" s="1990" t="s">
        <v>1087</v>
      </c>
      <c r="R33" s="1990" t="s">
        <v>1054</v>
      </c>
    </row>
    <row r="34" spans="1:18" ht="30">
      <c r="A34" s="1990" t="s">
        <v>1059</v>
      </c>
      <c r="B34" s="1990" t="s">
        <v>1352</v>
      </c>
      <c r="C34" s="1990" t="s">
        <v>1050</v>
      </c>
      <c r="D34" s="1990" t="s">
        <v>914</v>
      </c>
      <c r="E34" s="1990" t="s">
        <v>1054</v>
      </c>
      <c r="F34" s="1991">
        <v>26199</v>
      </c>
      <c r="G34" s="1991">
        <v>110035800</v>
      </c>
      <c r="H34" s="1991">
        <v>26199</v>
      </c>
      <c r="I34" s="1991">
        <v>26199</v>
      </c>
      <c r="J34" s="1991">
        <v>26199</v>
      </c>
      <c r="K34" s="1991">
        <v>6200</v>
      </c>
      <c r="L34" s="1991">
        <v>4200</v>
      </c>
      <c r="M34" s="1991">
        <v>4200</v>
      </c>
      <c r="N34" s="1990" t="s">
        <v>1052</v>
      </c>
      <c r="O34" s="1990" t="s">
        <v>8291</v>
      </c>
      <c r="P34" s="1990" t="s">
        <v>1110</v>
      </c>
      <c r="Q34" s="1990" t="s">
        <v>1053</v>
      </c>
      <c r="R34" s="1990" t="s">
        <v>1054</v>
      </c>
    </row>
    <row r="35" spans="1:18" ht="30">
      <c r="A35" s="1990" t="s">
        <v>1055</v>
      </c>
      <c r="B35" s="1990" t="s">
        <v>1131</v>
      </c>
      <c r="C35" s="1990" t="s">
        <v>1050</v>
      </c>
      <c r="D35" s="1990" t="s">
        <v>923</v>
      </c>
      <c r="E35" s="1990" t="s">
        <v>1054</v>
      </c>
      <c r="F35" s="1991">
        <v>36947</v>
      </c>
      <c r="G35" s="1991">
        <v>72785590</v>
      </c>
      <c r="H35" s="1991">
        <v>36947</v>
      </c>
      <c r="I35" s="1991">
        <v>36947</v>
      </c>
      <c r="J35" s="1991">
        <v>36947</v>
      </c>
      <c r="K35" s="1991">
        <v>3000</v>
      </c>
      <c r="L35" s="1991">
        <v>4520</v>
      </c>
      <c r="M35" s="1990">
        <v>1970</v>
      </c>
      <c r="N35" s="1990" t="s">
        <v>1052</v>
      </c>
      <c r="O35" s="1990" t="s">
        <v>8291</v>
      </c>
      <c r="P35" s="1990" t="s">
        <v>923</v>
      </c>
      <c r="Q35" s="1990" t="s">
        <v>1132</v>
      </c>
      <c r="R35" s="1990" t="s">
        <v>1054</v>
      </c>
    </row>
    <row r="36" spans="1:18" ht="30">
      <c r="A36" s="1990" t="s">
        <v>1115</v>
      </c>
      <c r="B36" s="1990" t="s">
        <v>1116</v>
      </c>
      <c r="C36" s="1990" t="s">
        <v>1050</v>
      </c>
      <c r="D36" s="1990" t="s">
        <v>942</v>
      </c>
      <c r="E36" s="1990" t="s">
        <v>1054</v>
      </c>
      <c r="F36" s="1991">
        <v>45114</v>
      </c>
      <c r="G36" s="1991">
        <v>4736970</v>
      </c>
      <c r="H36" s="1991">
        <v>45114</v>
      </c>
      <c r="I36" s="1991">
        <v>45114</v>
      </c>
      <c r="J36" s="1991">
        <v>45114</v>
      </c>
      <c r="K36" s="1991">
        <v>4500</v>
      </c>
      <c r="L36" s="1990">
        <v>105</v>
      </c>
      <c r="M36" s="1990">
        <v>105</v>
      </c>
      <c r="N36" s="1990" t="s">
        <v>1052</v>
      </c>
      <c r="O36" s="1990" t="s">
        <v>8291</v>
      </c>
      <c r="P36" s="1990" t="s">
        <v>1117</v>
      </c>
      <c r="Q36" s="1990" t="s">
        <v>1118</v>
      </c>
      <c r="R36" s="1990" t="s">
        <v>1054</v>
      </c>
    </row>
    <row r="37" spans="1:18">
      <c r="A37" s="1990" t="s">
        <v>1059</v>
      </c>
      <c r="B37" s="1990" t="s">
        <v>1470</v>
      </c>
      <c r="C37" s="1990" t="s">
        <v>1050</v>
      </c>
      <c r="D37" s="1990" t="s">
        <v>952</v>
      </c>
      <c r="E37" s="1990" t="s">
        <v>1054</v>
      </c>
      <c r="F37" s="1991">
        <v>26369</v>
      </c>
      <c r="G37" s="1991">
        <v>373121350</v>
      </c>
      <c r="H37" s="1991">
        <v>26369</v>
      </c>
      <c r="I37" s="1991">
        <v>26369</v>
      </c>
      <c r="J37" s="1991">
        <v>26369</v>
      </c>
      <c r="K37" s="1991">
        <v>19000</v>
      </c>
      <c r="L37" s="1990">
        <v>14150</v>
      </c>
      <c r="M37" s="1990">
        <v>14150</v>
      </c>
      <c r="N37" s="1990" t="s">
        <v>1052</v>
      </c>
      <c r="O37" s="1990" t="s">
        <v>8291</v>
      </c>
      <c r="P37" s="1990" t="s">
        <v>1311</v>
      </c>
      <c r="Q37" s="1990" t="s">
        <v>1312</v>
      </c>
      <c r="R37" s="1990" t="s">
        <v>1054</v>
      </c>
    </row>
    <row r="38" spans="1:18" ht="30">
      <c r="A38" s="1990" t="s">
        <v>1059</v>
      </c>
      <c r="B38" s="1990" t="s">
        <v>1374</v>
      </c>
      <c r="C38" s="1990" t="s">
        <v>1050</v>
      </c>
      <c r="D38" s="1990" t="s">
        <v>899</v>
      </c>
      <c r="E38" s="1990" t="s">
        <v>1054</v>
      </c>
      <c r="F38" s="1991">
        <v>26719</v>
      </c>
      <c r="G38" s="1991">
        <v>239803025</v>
      </c>
      <c r="H38" s="1991">
        <v>26719</v>
      </c>
      <c r="I38" s="1991">
        <v>26719</v>
      </c>
      <c r="J38" s="1991">
        <v>26719</v>
      </c>
      <c r="K38" s="1991">
        <v>11000</v>
      </c>
      <c r="L38" s="1991">
        <v>9300</v>
      </c>
      <c r="M38" s="1991">
        <v>8975</v>
      </c>
      <c r="N38" s="1990" t="s">
        <v>1052</v>
      </c>
      <c r="O38" s="1990" t="s">
        <v>8291</v>
      </c>
      <c r="P38" s="1990" t="s">
        <v>899</v>
      </c>
      <c r="Q38" s="1990" t="s">
        <v>1075</v>
      </c>
      <c r="R38" s="1990" t="s">
        <v>1054</v>
      </c>
    </row>
    <row r="39" spans="1:18" ht="30">
      <c r="A39" s="1990" t="s">
        <v>1057</v>
      </c>
      <c r="B39" s="1990" t="s">
        <v>1395</v>
      </c>
      <c r="C39" s="1990" t="s">
        <v>1050</v>
      </c>
      <c r="D39" s="1990" t="s">
        <v>957</v>
      </c>
      <c r="E39" s="1990" t="s">
        <v>1054</v>
      </c>
      <c r="F39" s="1991">
        <v>37366</v>
      </c>
      <c r="G39" s="1991">
        <v>14946400</v>
      </c>
      <c r="H39" s="1991">
        <v>37366</v>
      </c>
      <c r="I39" s="1991">
        <v>37366</v>
      </c>
      <c r="J39" s="1991">
        <v>37366</v>
      </c>
      <c r="K39" s="1991">
        <v>1800</v>
      </c>
      <c r="L39" s="1991">
        <v>850</v>
      </c>
      <c r="M39" s="1991">
        <v>400</v>
      </c>
      <c r="N39" s="1990" t="s">
        <v>1052</v>
      </c>
      <c r="O39" s="1990" t="s">
        <v>8291</v>
      </c>
      <c r="P39" s="1990" t="s">
        <v>957</v>
      </c>
      <c r="Q39" s="1990" t="s">
        <v>1090</v>
      </c>
      <c r="R39" s="1990" t="s">
        <v>1054</v>
      </c>
    </row>
    <row r="40" spans="1:18" ht="30">
      <c r="A40" s="1990" t="s">
        <v>1076</v>
      </c>
      <c r="B40" s="1990" t="s">
        <v>1109</v>
      </c>
      <c r="C40" s="1990" t="s">
        <v>1050</v>
      </c>
      <c r="D40" s="1990" t="s">
        <v>914</v>
      </c>
      <c r="E40" s="1990" t="s">
        <v>1054</v>
      </c>
      <c r="F40" s="1991">
        <v>35980</v>
      </c>
      <c r="G40" s="1991">
        <v>46774000</v>
      </c>
      <c r="H40" s="1991">
        <v>35980</v>
      </c>
      <c r="I40" s="1991">
        <v>35980</v>
      </c>
      <c r="J40" s="1991">
        <v>35980</v>
      </c>
      <c r="K40" s="1991">
        <v>2000</v>
      </c>
      <c r="L40" s="1990">
        <v>1500</v>
      </c>
      <c r="M40" s="1990">
        <v>1300</v>
      </c>
      <c r="N40" s="1990" t="s">
        <v>1052</v>
      </c>
      <c r="O40" s="1990" t="s">
        <v>8291</v>
      </c>
      <c r="P40" s="1990" t="s">
        <v>1110</v>
      </c>
      <c r="Q40" s="1990" t="s">
        <v>1053</v>
      </c>
      <c r="R40" s="1990" t="s">
        <v>1054</v>
      </c>
    </row>
    <row r="41" spans="1:18">
      <c r="A41" s="1990" t="s">
        <v>1057</v>
      </c>
      <c r="B41" s="1990" t="s">
        <v>1472</v>
      </c>
      <c r="C41" s="1990" t="s">
        <v>1050</v>
      </c>
      <c r="D41" s="1990" t="s">
        <v>952</v>
      </c>
      <c r="E41" s="1990" t="s">
        <v>1054</v>
      </c>
      <c r="F41" s="1991">
        <v>38825</v>
      </c>
      <c r="G41" s="1991">
        <v>305746875</v>
      </c>
      <c r="H41" s="1991">
        <v>38825</v>
      </c>
      <c r="I41" s="1991">
        <v>38825</v>
      </c>
      <c r="J41" s="1991">
        <v>38825</v>
      </c>
      <c r="K41" s="1991">
        <v>15000</v>
      </c>
      <c r="L41" s="1991">
        <v>7875</v>
      </c>
      <c r="M41" s="1991">
        <v>7875</v>
      </c>
      <c r="N41" s="1990" t="s">
        <v>1052</v>
      </c>
      <c r="O41" s="1990" t="s">
        <v>8291</v>
      </c>
      <c r="P41" s="1990" t="s">
        <v>1311</v>
      </c>
      <c r="Q41" s="1990" t="s">
        <v>1312</v>
      </c>
      <c r="R41" s="1990" t="s">
        <v>1054</v>
      </c>
    </row>
    <row r="42" spans="1:18">
      <c r="A42" s="1990" t="s">
        <v>1059</v>
      </c>
      <c r="B42" s="1990" t="s">
        <v>1060</v>
      </c>
      <c r="C42" s="1990" t="s">
        <v>1050</v>
      </c>
      <c r="D42" s="1990" t="s">
        <v>930</v>
      </c>
      <c r="E42" s="1990" t="s">
        <v>1054</v>
      </c>
      <c r="F42" s="1991">
        <v>27718</v>
      </c>
      <c r="G42" s="1991">
        <v>40191100</v>
      </c>
      <c r="H42" s="1991">
        <v>27718</v>
      </c>
      <c r="I42" s="1991">
        <v>27718</v>
      </c>
      <c r="J42" s="1991">
        <v>27718</v>
      </c>
      <c r="K42" s="1991">
        <v>2700</v>
      </c>
      <c r="L42" s="1991">
        <v>1650</v>
      </c>
      <c r="M42" s="1991">
        <v>1450</v>
      </c>
      <c r="N42" s="1990" t="s">
        <v>1052</v>
      </c>
      <c r="O42" s="1990" t="s">
        <v>8291</v>
      </c>
      <c r="P42" s="1990" t="s">
        <v>930</v>
      </c>
      <c r="Q42" s="1990" t="s">
        <v>1053</v>
      </c>
      <c r="R42" s="1990" t="s">
        <v>1054</v>
      </c>
    </row>
    <row r="43" spans="1:18" ht="30">
      <c r="A43" s="1990" t="s">
        <v>1085</v>
      </c>
      <c r="B43" s="1990" t="s">
        <v>1351</v>
      </c>
      <c r="C43" s="1990" t="s">
        <v>1050</v>
      </c>
      <c r="D43" s="1990" t="s">
        <v>914</v>
      </c>
      <c r="E43" s="1990" t="s">
        <v>1054</v>
      </c>
      <c r="F43" s="1991">
        <v>25568</v>
      </c>
      <c r="G43" s="1991">
        <v>51136000</v>
      </c>
      <c r="H43" s="1991">
        <v>25568</v>
      </c>
      <c r="I43" s="1991">
        <v>25568</v>
      </c>
      <c r="J43" s="1991">
        <v>25568</v>
      </c>
      <c r="K43" s="1991">
        <v>2000</v>
      </c>
      <c r="L43" s="1991">
        <v>2000</v>
      </c>
      <c r="M43" s="1991">
        <v>2000</v>
      </c>
      <c r="N43" s="1990" t="s">
        <v>1052</v>
      </c>
      <c r="O43" s="1990" t="s">
        <v>8291</v>
      </c>
      <c r="P43" s="1990" t="s">
        <v>1110</v>
      </c>
      <c r="Q43" s="1990" t="s">
        <v>1053</v>
      </c>
      <c r="R43" s="1990" t="s">
        <v>1054</v>
      </c>
    </row>
    <row r="44" spans="1:18">
      <c r="A44" s="1990" t="s">
        <v>1085</v>
      </c>
      <c r="B44" s="1990" t="s">
        <v>1338</v>
      </c>
      <c r="C44" s="1990" t="s">
        <v>1050</v>
      </c>
      <c r="D44" s="1990" t="s">
        <v>930</v>
      </c>
      <c r="E44" s="1990" t="s">
        <v>1054</v>
      </c>
      <c r="F44" s="1991">
        <v>26585</v>
      </c>
      <c r="G44" s="1991">
        <v>50511500</v>
      </c>
      <c r="H44" s="1991">
        <v>26585</v>
      </c>
      <c r="I44" s="1991">
        <v>26585</v>
      </c>
      <c r="J44" s="1991">
        <v>26585</v>
      </c>
      <c r="K44" s="1991">
        <v>2000</v>
      </c>
      <c r="L44" s="1991">
        <v>1900</v>
      </c>
      <c r="M44" s="1991">
        <v>1900</v>
      </c>
      <c r="N44" s="1990" t="s">
        <v>1052</v>
      </c>
      <c r="O44" s="1990" t="s">
        <v>8291</v>
      </c>
      <c r="P44" s="1990" t="s">
        <v>930</v>
      </c>
      <c r="Q44" s="1990" t="s">
        <v>1053</v>
      </c>
      <c r="R44" s="1990" t="s">
        <v>1054</v>
      </c>
    </row>
    <row r="45" spans="1:18" ht="30">
      <c r="A45" s="1990" t="s">
        <v>1085</v>
      </c>
      <c r="B45" s="1990" t="s">
        <v>1086</v>
      </c>
      <c r="C45" s="1990" t="s">
        <v>1050</v>
      </c>
      <c r="D45" s="1990" t="s">
        <v>922</v>
      </c>
      <c r="E45" s="1990" t="s">
        <v>1054</v>
      </c>
      <c r="F45" s="1991">
        <v>25406</v>
      </c>
      <c r="G45" s="1991">
        <v>19054500</v>
      </c>
      <c r="H45" s="1991">
        <v>25406</v>
      </c>
      <c r="I45" s="1991">
        <v>25406</v>
      </c>
      <c r="J45" s="1991">
        <v>25406</v>
      </c>
      <c r="K45" s="1991">
        <v>1200</v>
      </c>
      <c r="L45" s="1991">
        <v>1350</v>
      </c>
      <c r="M45" s="1991">
        <v>750</v>
      </c>
      <c r="N45" s="1990" t="s">
        <v>1052</v>
      </c>
      <c r="O45" s="1990" t="s">
        <v>8291</v>
      </c>
      <c r="P45" s="1990" t="s">
        <v>922</v>
      </c>
      <c r="Q45" s="1990" t="s">
        <v>1087</v>
      </c>
      <c r="R45" s="1990" t="s">
        <v>1054</v>
      </c>
    </row>
    <row r="46" spans="1:18">
      <c r="A46" s="1990" t="s">
        <v>1112</v>
      </c>
      <c r="B46" s="1990" t="s">
        <v>1482</v>
      </c>
      <c r="C46" s="1990" t="s">
        <v>1050</v>
      </c>
      <c r="D46" s="1990" t="s">
        <v>930</v>
      </c>
      <c r="E46" s="1990" t="s">
        <v>1054</v>
      </c>
      <c r="F46" s="1991">
        <v>24346</v>
      </c>
      <c r="G46" s="1991">
        <v>99818600</v>
      </c>
      <c r="H46" s="1991">
        <v>24346</v>
      </c>
      <c r="I46" s="1991">
        <v>24346</v>
      </c>
      <c r="J46" s="1991">
        <v>24346</v>
      </c>
      <c r="K46" s="1991">
        <v>4500</v>
      </c>
      <c r="L46" s="1991">
        <v>4100</v>
      </c>
      <c r="M46" s="1991">
        <v>4100</v>
      </c>
      <c r="N46" s="1990" t="s">
        <v>1052</v>
      </c>
      <c r="O46" s="1990" t="s">
        <v>8291</v>
      </c>
      <c r="P46" s="1990" t="s">
        <v>930</v>
      </c>
      <c r="Q46" s="1990" t="s">
        <v>1053</v>
      </c>
      <c r="R46" s="1990" t="s">
        <v>1054</v>
      </c>
    </row>
    <row r="47" spans="1:18" ht="30">
      <c r="A47" s="1990" t="s">
        <v>1057</v>
      </c>
      <c r="B47" s="1990" t="s">
        <v>1375</v>
      </c>
      <c r="C47" s="1990" t="s">
        <v>1050</v>
      </c>
      <c r="D47" s="1990" t="s">
        <v>899</v>
      </c>
      <c r="E47" s="1990" t="s">
        <v>1054</v>
      </c>
      <c r="F47" s="1991">
        <v>41713</v>
      </c>
      <c r="G47" s="1991">
        <v>358731800</v>
      </c>
      <c r="H47" s="1991">
        <v>41713</v>
      </c>
      <c r="I47" s="1991">
        <v>41713</v>
      </c>
      <c r="J47" s="1991">
        <v>41713</v>
      </c>
      <c r="K47" s="1991">
        <v>10000</v>
      </c>
      <c r="L47" s="1991">
        <v>8600</v>
      </c>
      <c r="M47" s="1991">
        <v>8600</v>
      </c>
      <c r="N47" s="1990" t="s">
        <v>1052</v>
      </c>
      <c r="O47" s="1990" t="s">
        <v>8291</v>
      </c>
      <c r="P47" s="1990" t="s">
        <v>899</v>
      </c>
      <c r="Q47" s="1990" t="s">
        <v>1075</v>
      </c>
      <c r="R47" s="1990" t="s">
        <v>1054</v>
      </c>
    </row>
    <row r="48" spans="1:18">
      <c r="A48" s="1990" t="s">
        <v>1055</v>
      </c>
      <c r="B48" s="1990" t="s">
        <v>1339</v>
      </c>
      <c r="C48" s="1990" t="s">
        <v>1050</v>
      </c>
      <c r="D48" s="1990" t="s">
        <v>928</v>
      </c>
      <c r="E48" s="1990" t="s">
        <v>1054</v>
      </c>
      <c r="F48" s="1991">
        <v>34876</v>
      </c>
      <c r="G48" s="1991">
        <v>6103300</v>
      </c>
      <c r="H48" s="1991">
        <v>34876</v>
      </c>
      <c r="I48" s="1991">
        <v>34876</v>
      </c>
      <c r="J48" s="1991">
        <v>34876</v>
      </c>
      <c r="K48" s="1991">
        <v>200</v>
      </c>
      <c r="L48" s="1990">
        <v>175</v>
      </c>
      <c r="M48" s="1990">
        <v>175</v>
      </c>
      <c r="N48" s="1990" t="s">
        <v>1052</v>
      </c>
      <c r="O48" s="1990" t="s">
        <v>8291</v>
      </c>
      <c r="P48" s="1990" t="s">
        <v>928</v>
      </c>
      <c r="Q48" s="1990" t="s">
        <v>1053</v>
      </c>
      <c r="R48" s="1990" t="s">
        <v>1054</v>
      </c>
    </row>
    <row r="49" spans="1:18">
      <c r="A49" s="1990" t="s">
        <v>1068</v>
      </c>
      <c r="B49" s="1990" t="s">
        <v>1094</v>
      </c>
      <c r="C49" s="1990" t="s">
        <v>1050</v>
      </c>
      <c r="D49" s="1990" t="s">
        <v>928</v>
      </c>
      <c r="E49" s="1990" t="s">
        <v>1054</v>
      </c>
      <c r="F49" s="1991">
        <v>24954</v>
      </c>
      <c r="G49" s="1991">
        <v>54898800</v>
      </c>
      <c r="H49" s="1991">
        <v>24954</v>
      </c>
      <c r="I49" s="1991">
        <v>24954</v>
      </c>
      <c r="J49" s="1991">
        <v>24954</v>
      </c>
      <c r="K49" s="1991">
        <v>8000</v>
      </c>
      <c r="L49" s="1991">
        <v>2200</v>
      </c>
      <c r="M49" s="1991">
        <v>2200</v>
      </c>
      <c r="N49" s="1990" t="s">
        <v>1052</v>
      </c>
      <c r="O49" s="1990" t="s">
        <v>8291</v>
      </c>
      <c r="P49" s="1990" t="s">
        <v>928</v>
      </c>
      <c r="Q49" s="1990" t="s">
        <v>1053</v>
      </c>
      <c r="R49" s="1990" t="s">
        <v>1067</v>
      </c>
    </row>
    <row r="50" spans="1:18">
      <c r="A50" s="1990" t="s">
        <v>1059</v>
      </c>
      <c r="B50" s="1990" t="s">
        <v>1406</v>
      </c>
      <c r="C50" s="1990" t="s">
        <v>1050</v>
      </c>
      <c r="D50" s="1990" t="s">
        <v>966</v>
      </c>
      <c r="E50" s="1990" t="s">
        <v>1054</v>
      </c>
      <c r="F50" s="1991">
        <v>26236</v>
      </c>
      <c r="G50" s="1991">
        <v>24661840</v>
      </c>
      <c r="H50" s="1991">
        <v>26236</v>
      </c>
      <c r="I50" s="1991">
        <v>26236</v>
      </c>
      <c r="J50" s="1991">
        <v>26236</v>
      </c>
      <c r="K50" s="1991">
        <v>3500</v>
      </c>
      <c r="L50" s="1991">
        <v>1440</v>
      </c>
      <c r="M50" s="1991">
        <v>940</v>
      </c>
      <c r="N50" s="1990" t="s">
        <v>1052</v>
      </c>
      <c r="O50" s="1990" t="s">
        <v>8291</v>
      </c>
      <c r="P50" s="1990" t="s">
        <v>966</v>
      </c>
      <c r="Q50" s="1990" t="s">
        <v>1087</v>
      </c>
      <c r="R50" s="1990" t="s">
        <v>1067</v>
      </c>
    </row>
    <row r="51" spans="1:18" ht="30">
      <c r="A51" s="1990" t="s">
        <v>1061</v>
      </c>
      <c r="B51" s="1990" t="s">
        <v>1414</v>
      </c>
      <c r="C51" s="1990" t="s">
        <v>1050</v>
      </c>
      <c r="D51" s="1990" t="s">
        <v>965</v>
      </c>
      <c r="E51" s="1990" t="s">
        <v>1054</v>
      </c>
      <c r="F51" s="1991">
        <v>35589</v>
      </c>
      <c r="G51" s="1991">
        <v>5338350</v>
      </c>
      <c r="H51" s="1991">
        <v>35589</v>
      </c>
      <c r="I51" s="1991">
        <v>35589</v>
      </c>
      <c r="J51" s="1991">
        <v>35589</v>
      </c>
      <c r="K51" s="1991">
        <v>300</v>
      </c>
      <c r="L51" s="1991">
        <v>150</v>
      </c>
      <c r="M51" s="1991">
        <v>150</v>
      </c>
      <c r="N51" s="1990" t="s">
        <v>1052</v>
      </c>
      <c r="O51" s="1990" t="s">
        <v>8291</v>
      </c>
      <c r="P51" s="1990" t="s">
        <v>965</v>
      </c>
      <c r="Q51" s="1990" t="s">
        <v>1083</v>
      </c>
      <c r="R51" s="1990" t="s">
        <v>1067</v>
      </c>
    </row>
    <row r="52" spans="1:18">
      <c r="A52" s="1990" t="s">
        <v>1057</v>
      </c>
      <c r="B52" s="1990" t="s">
        <v>1426</v>
      </c>
      <c r="C52" s="1990" t="s">
        <v>1050</v>
      </c>
      <c r="D52" s="1990" t="s">
        <v>958</v>
      </c>
      <c r="E52" s="1990" t="s">
        <v>1427</v>
      </c>
      <c r="F52" s="1991">
        <v>37366</v>
      </c>
      <c r="G52" s="1991">
        <v>54180700</v>
      </c>
      <c r="H52" s="1991">
        <v>37366</v>
      </c>
      <c r="I52" s="1991">
        <v>37366</v>
      </c>
      <c r="J52" s="1991">
        <v>37366</v>
      </c>
      <c r="K52" s="1991">
        <v>3000</v>
      </c>
      <c r="L52" s="1991">
        <v>1450</v>
      </c>
      <c r="M52" s="1991">
        <v>1450</v>
      </c>
      <c r="N52" s="1990" t="s">
        <v>1052</v>
      </c>
      <c r="O52" s="1990" t="s">
        <v>8291</v>
      </c>
      <c r="P52" s="1990" t="s">
        <v>958</v>
      </c>
      <c r="Q52" s="1990" t="s">
        <v>1312</v>
      </c>
      <c r="R52" s="1990" t="s">
        <v>1067</v>
      </c>
    </row>
    <row r="53" spans="1:18">
      <c r="A53" s="1990" t="s">
        <v>1112</v>
      </c>
      <c r="B53" s="1990" t="s">
        <v>1429</v>
      </c>
      <c r="C53" s="1990" t="s">
        <v>1050</v>
      </c>
      <c r="D53" s="1990" t="s">
        <v>958</v>
      </c>
      <c r="E53" s="1990" t="s">
        <v>1427</v>
      </c>
      <c r="F53" s="1991">
        <v>24311</v>
      </c>
      <c r="G53" s="1991">
        <v>4254425</v>
      </c>
      <c r="H53" s="1991">
        <v>24311</v>
      </c>
      <c r="I53" s="1991">
        <v>24311</v>
      </c>
      <c r="J53" s="1991">
        <v>24311</v>
      </c>
      <c r="K53" s="1991">
        <v>1000</v>
      </c>
      <c r="L53" s="1990">
        <v>175</v>
      </c>
      <c r="M53" s="1990">
        <v>175</v>
      </c>
      <c r="N53" s="1990" t="s">
        <v>1052</v>
      </c>
      <c r="O53" s="1990" t="s">
        <v>8291</v>
      </c>
      <c r="P53" s="1990" t="s">
        <v>958</v>
      </c>
      <c r="Q53" s="1990" t="s">
        <v>1312</v>
      </c>
      <c r="R53" s="1990" t="s">
        <v>1067</v>
      </c>
    </row>
    <row r="54" spans="1:18">
      <c r="A54" s="1990" t="s">
        <v>1057</v>
      </c>
      <c r="B54" s="1990" t="s">
        <v>1092</v>
      </c>
      <c r="C54" s="1990" t="s">
        <v>1050</v>
      </c>
      <c r="D54" s="1990" t="s">
        <v>963</v>
      </c>
      <c r="E54" s="1990" t="s">
        <v>1054</v>
      </c>
      <c r="F54" s="1991">
        <v>37366</v>
      </c>
      <c r="G54" s="1991">
        <v>128912700</v>
      </c>
      <c r="H54" s="1991">
        <v>37366</v>
      </c>
      <c r="I54" s="1991">
        <v>37366</v>
      </c>
      <c r="J54" s="1991">
        <v>37366</v>
      </c>
      <c r="K54" s="1991">
        <v>4000</v>
      </c>
      <c r="L54" s="1991">
        <v>3450</v>
      </c>
      <c r="M54" s="1991">
        <v>3450</v>
      </c>
      <c r="N54" s="1990" t="s">
        <v>1052</v>
      </c>
      <c r="O54" s="1990" t="s">
        <v>8291</v>
      </c>
      <c r="P54" s="1990" t="s">
        <v>963</v>
      </c>
      <c r="Q54" s="1990" t="s">
        <v>1090</v>
      </c>
      <c r="R54" s="1990" t="s">
        <v>1067</v>
      </c>
    </row>
    <row r="55" spans="1:18" ht="30">
      <c r="A55" s="1990" t="s">
        <v>1059</v>
      </c>
      <c r="B55" s="1990" t="s">
        <v>1352</v>
      </c>
      <c r="C55" s="1990" t="s">
        <v>1050</v>
      </c>
      <c r="D55" s="1990" t="s">
        <v>914</v>
      </c>
      <c r="E55" s="1990" t="s">
        <v>1051</v>
      </c>
      <c r="F55" s="1991">
        <v>26199</v>
      </c>
      <c r="G55" s="1991">
        <v>1964925</v>
      </c>
      <c r="H55" s="1991">
        <v>26199</v>
      </c>
      <c r="I55" s="1991">
        <v>26199</v>
      </c>
      <c r="J55" s="1991">
        <v>26199</v>
      </c>
      <c r="K55" s="1991">
        <v>0</v>
      </c>
      <c r="L55" s="1991">
        <v>75</v>
      </c>
      <c r="M55" s="1991">
        <v>75</v>
      </c>
      <c r="N55" s="1990" t="s">
        <v>1052</v>
      </c>
      <c r="O55" s="1990" t="s">
        <v>8291</v>
      </c>
      <c r="P55" s="1990" t="s">
        <v>1110</v>
      </c>
      <c r="Q55" s="1990" t="s">
        <v>1053</v>
      </c>
      <c r="R55" s="1990" t="s">
        <v>1054</v>
      </c>
    </row>
    <row r="56" spans="1:18">
      <c r="A56" s="1990" t="s">
        <v>1061</v>
      </c>
      <c r="B56" s="1990" t="s">
        <v>1317</v>
      </c>
      <c r="C56" s="1990" t="s">
        <v>1050</v>
      </c>
      <c r="D56" s="1990" t="s">
        <v>906</v>
      </c>
      <c r="E56" s="1990" t="s">
        <v>1051</v>
      </c>
      <c r="F56" s="1991">
        <v>39823</v>
      </c>
      <c r="G56" s="1991">
        <v>25884950</v>
      </c>
      <c r="H56" s="1991">
        <v>39823</v>
      </c>
      <c r="I56" s="1991">
        <v>39823</v>
      </c>
      <c r="J56" s="1991">
        <v>39823</v>
      </c>
      <c r="K56" s="1991">
        <v>0</v>
      </c>
      <c r="L56" s="1991">
        <v>650</v>
      </c>
      <c r="M56" s="1991">
        <v>650</v>
      </c>
      <c r="N56" s="1990" t="s">
        <v>1052</v>
      </c>
      <c r="O56" s="1990" t="s">
        <v>8291</v>
      </c>
      <c r="P56" s="1990" t="s">
        <v>906</v>
      </c>
      <c r="Q56" s="1990" t="s">
        <v>1063</v>
      </c>
      <c r="R56" s="1990" t="s">
        <v>1054</v>
      </c>
    </row>
    <row r="57" spans="1:18" ht="30">
      <c r="A57" s="1990" t="s">
        <v>1061</v>
      </c>
      <c r="B57" s="1990" t="s">
        <v>1125</v>
      </c>
      <c r="C57" s="1990" t="s">
        <v>1050</v>
      </c>
      <c r="D57" s="1990" t="s">
        <v>950</v>
      </c>
      <c r="E57" s="1990" t="s">
        <v>1054</v>
      </c>
      <c r="F57" s="1991">
        <v>35589</v>
      </c>
      <c r="G57" s="1991">
        <v>66729375</v>
      </c>
      <c r="H57" s="1991">
        <v>35589</v>
      </c>
      <c r="I57" s="1991">
        <v>35589</v>
      </c>
      <c r="J57" s="1991">
        <v>35589</v>
      </c>
      <c r="K57" s="1991">
        <v>4000</v>
      </c>
      <c r="L57" s="1991">
        <v>1975</v>
      </c>
      <c r="M57" s="1990">
        <v>1875</v>
      </c>
      <c r="N57" s="1990" t="s">
        <v>1052</v>
      </c>
      <c r="O57" s="1990" t="s">
        <v>8291</v>
      </c>
      <c r="P57" s="1990" t="s">
        <v>1124</v>
      </c>
      <c r="Q57" s="1990" t="s">
        <v>1114</v>
      </c>
      <c r="R57" s="1990" t="s">
        <v>1067</v>
      </c>
    </row>
    <row r="58" spans="1:18" ht="45">
      <c r="A58" s="1990" t="s">
        <v>1059</v>
      </c>
      <c r="B58" s="1990" t="s">
        <v>1387</v>
      </c>
      <c r="C58" s="1990" t="s">
        <v>1050</v>
      </c>
      <c r="D58" s="1990" t="s">
        <v>925</v>
      </c>
      <c r="E58" s="1990" t="s">
        <v>1051</v>
      </c>
      <c r="F58" s="1991">
        <v>26435</v>
      </c>
      <c r="G58" s="1991">
        <v>1982625</v>
      </c>
      <c r="H58" s="1991">
        <v>26435</v>
      </c>
      <c r="I58" s="1991">
        <v>26435</v>
      </c>
      <c r="J58" s="1991">
        <v>26435</v>
      </c>
      <c r="K58" s="1991">
        <v>0</v>
      </c>
      <c r="L58" s="1990">
        <v>75</v>
      </c>
      <c r="M58" s="1990">
        <v>75</v>
      </c>
      <c r="N58" s="1990" t="s">
        <v>1052</v>
      </c>
      <c r="O58" s="1990" t="s">
        <v>8291</v>
      </c>
      <c r="P58" s="1990" t="s">
        <v>1388</v>
      </c>
      <c r="Q58" s="1990" t="s">
        <v>1389</v>
      </c>
      <c r="R58" s="1990" t="s">
        <v>1054</v>
      </c>
    </row>
    <row r="59" spans="1:18" ht="30">
      <c r="A59" s="1990" t="s">
        <v>1059</v>
      </c>
      <c r="B59" s="1990" t="s">
        <v>1369</v>
      </c>
      <c r="C59" s="1990" t="s">
        <v>1050</v>
      </c>
      <c r="D59" s="1990" t="s">
        <v>910</v>
      </c>
      <c r="E59" s="1990" t="s">
        <v>1051</v>
      </c>
      <c r="F59" s="1991">
        <v>26505</v>
      </c>
      <c r="G59" s="1991">
        <v>27167625</v>
      </c>
      <c r="H59" s="1991">
        <v>26505</v>
      </c>
      <c r="I59" s="1991">
        <v>26505</v>
      </c>
      <c r="J59" s="1991">
        <v>26505</v>
      </c>
      <c r="K59" s="1991">
        <v>0</v>
      </c>
      <c r="L59" s="1990">
        <v>1025</v>
      </c>
      <c r="M59" s="1990">
        <v>1025</v>
      </c>
      <c r="N59" s="1990" t="s">
        <v>1052</v>
      </c>
      <c r="O59" s="1990" t="s">
        <v>8291</v>
      </c>
      <c r="P59" s="1990" t="s">
        <v>1283</v>
      </c>
      <c r="Q59" s="1990" t="s">
        <v>1075</v>
      </c>
      <c r="R59" s="1990" t="s">
        <v>1054</v>
      </c>
    </row>
    <row r="60" spans="1:18">
      <c r="A60" s="1990" t="s">
        <v>1061</v>
      </c>
      <c r="B60" s="1990" t="s">
        <v>1129</v>
      </c>
      <c r="C60" s="1990" t="s">
        <v>1050</v>
      </c>
      <c r="D60" s="1990" t="s">
        <v>960</v>
      </c>
      <c r="E60" s="1990" t="s">
        <v>1051</v>
      </c>
      <c r="F60" s="1991">
        <v>35589</v>
      </c>
      <c r="G60" s="1991">
        <v>15659160</v>
      </c>
      <c r="H60" s="1991">
        <v>35589</v>
      </c>
      <c r="I60" s="1991">
        <v>35589</v>
      </c>
      <c r="J60" s="1991">
        <v>35589</v>
      </c>
      <c r="K60" s="1990">
        <v>0</v>
      </c>
      <c r="L60" s="1990">
        <v>440</v>
      </c>
      <c r="M60" s="1990">
        <v>440</v>
      </c>
      <c r="N60" s="1990" t="s">
        <v>1052</v>
      </c>
      <c r="O60" s="1990" t="s">
        <v>8291</v>
      </c>
      <c r="P60" s="1990" t="s">
        <v>960</v>
      </c>
      <c r="Q60" s="1990" t="s">
        <v>1130</v>
      </c>
      <c r="R60" s="1990" t="s">
        <v>1054</v>
      </c>
    </row>
    <row r="61" spans="1:18">
      <c r="A61" s="1990" t="s">
        <v>1059</v>
      </c>
      <c r="B61" s="1990" t="s">
        <v>1091</v>
      </c>
      <c r="C61" s="1990" t="s">
        <v>1050</v>
      </c>
      <c r="D61" s="1990" t="s">
        <v>963</v>
      </c>
      <c r="E61" s="1990" t="s">
        <v>1054</v>
      </c>
      <c r="F61" s="1991">
        <v>26199</v>
      </c>
      <c r="G61" s="1991">
        <v>55672875</v>
      </c>
      <c r="H61" s="1991">
        <v>26199</v>
      </c>
      <c r="I61" s="1991">
        <v>26199</v>
      </c>
      <c r="J61" s="1991">
        <v>26199</v>
      </c>
      <c r="K61" s="1990">
        <v>3000</v>
      </c>
      <c r="L61" s="1990">
        <v>2125</v>
      </c>
      <c r="M61" s="1990">
        <v>2125</v>
      </c>
      <c r="N61" s="1990" t="s">
        <v>1052</v>
      </c>
      <c r="O61" s="1990" t="s">
        <v>8291</v>
      </c>
      <c r="P61" s="1990" t="s">
        <v>963</v>
      </c>
      <c r="Q61" s="1990" t="s">
        <v>1090</v>
      </c>
      <c r="R61" s="1990" t="s">
        <v>1067</v>
      </c>
    </row>
    <row r="62" spans="1:18">
      <c r="A62" s="1990" t="s">
        <v>1076</v>
      </c>
      <c r="B62" s="1990" t="s">
        <v>1089</v>
      </c>
      <c r="C62" s="1990" t="s">
        <v>1050</v>
      </c>
      <c r="D62" s="1990" t="s">
        <v>963</v>
      </c>
      <c r="E62" s="1990" t="s">
        <v>1051</v>
      </c>
      <c r="F62" s="1991">
        <v>35980</v>
      </c>
      <c r="G62" s="1991">
        <v>1799000</v>
      </c>
      <c r="H62" s="1991">
        <v>35980</v>
      </c>
      <c r="I62" s="1991">
        <v>35980</v>
      </c>
      <c r="J62" s="1991">
        <v>35980</v>
      </c>
      <c r="K62" s="1990">
        <v>0</v>
      </c>
      <c r="L62" s="1990">
        <v>50</v>
      </c>
      <c r="M62" s="1990">
        <v>50</v>
      </c>
      <c r="N62" s="1990" t="s">
        <v>1052</v>
      </c>
      <c r="O62" s="1990" t="s">
        <v>8291</v>
      </c>
      <c r="P62" s="1990" t="s">
        <v>963</v>
      </c>
      <c r="Q62" s="1990" t="s">
        <v>1090</v>
      </c>
      <c r="R62" s="1990" t="s">
        <v>1054</v>
      </c>
    </row>
    <row r="63" spans="1:18">
      <c r="A63" s="1990" t="s">
        <v>1059</v>
      </c>
      <c r="B63" s="1990" t="s">
        <v>1064</v>
      </c>
      <c r="C63" s="1990" t="s">
        <v>1050</v>
      </c>
      <c r="D63" s="1990" t="s">
        <v>911</v>
      </c>
      <c r="E63" s="1990" t="s">
        <v>1051</v>
      </c>
      <c r="F63" s="1991">
        <v>26199</v>
      </c>
      <c r="G63" s="1991">
        <v>15064425</v>
      </c>
      <c r="H63" s="1991">
        <v>26199</v>
      </c>
      <c r="I63" s="1991">
        <v>26199</v>
      </c>
      <c r="J63" s="1991">
        <v>26199</v>
      </c>
      <c r="K63" s="1990">
        <v>0</v>
      </c>
      <c r="L63" s="1990">
        <v>575</v>
      </c>
      <c r="M63" s="1990">
        <v>575</v>
      </c>
      <c r="N63" s="1990" t="s">
        <v>1052</v>
      </c>
      <c r="O63" s="1990" t="s">
        <v>8291</v>
      </c>
      <c r="P63" s="1990" t="s">
        <v>911</v>
      </c>
      <c r="Q63" s="1990" t="s">
        <v>1063</v>
      </c>
      <c r="R63" s="1990" t="s">
        <v>1054</v>
      </c>
    </row>
    <row r="64" spans="1:18">
      <c r="A64" s="1990" t="s">
        <v>1061</v>
      </c>
      <c r="B64" s="1990" t="s">
        <v>1332</v>
      </c>
      <c r="C64" s="1990" t="s">
        <v>1050</v>
      </c>
      <c r="D64" s="1990" t="s">
        <v>898</v>
      </c>
      <c r="E64" s="1990" t="s">
        <v>1051</v>
      </c>
      <c r="F64" s="1991">
        <v>42603</v>
      </c>
      <c r="G64" s="1991">
        <v>5325375</v>
      </c>
      <c r="H64" s="1991">
        <v>42603</v>
      </c>
      <c r="I64" s="1991">
        <v>42603</v>
      </c>
      <c r="J64" s="1991">
        <v>42603</v>
      </c>
      <c r="K64" s="1990">
        <v>0</v>
      </c>
      <c r="L64" s="1990">
        <v>125</v>
      </c>
      <c r="M64" s="1990">
        <v>125</v>
      </c>
      <c r="N64" s="1990" t="s">
        <v>1052</v>
      </c>
      <c r="O64" s="1990" t="s">
        <v>8291</v>
      </c>
      <c r="P64" s="1990" t="s">
        <v>898</v>
      </c>
      <c r="Q64" s="1990" t="s">
        <v>1053</v>
      </c>
      <c r="R64" s="1990" t="s">
        <v>1054</v>
      </c>
    </row>
    <row r="65" spans="1:18">
      <c r="A65" s="1990" t="s">
        <v>1059</v>
      </c>
      <c r="B65" s="1990" t="s">
        <v>1428</v>
      </c>
      <c r="C65" s="1990" t="s">
        <v>1050</v>
      </c>
      <c r="D65" s="1990" t="s">
        <v>958</v>
      </c>
      <c r="E65" s="1990" t="s">
        <v>1427</v>
      </c>
      <c r="F65" s="1991">
        <v>26199</v>
      </c>
      <c r="G65" s="1991">
        <v>2619900</v>
      </c>
      <c r="H65" s="1991">
        <v>26199</v>
      </c>
      <c r="I65" s="1991">
        <v>26199</v>
      </c>
      <c r="J65" s="1991">
        <v>26199</v>
      </c>
      <c r="K65" s="1991">
        <v>7000</v>
      </c>
      <c r="L65" s="1991">
        <v>100</v>
      </c>
      <c r="M65" s="1991">
        <v>100</v>
      </c>
      <c r="N65" s="1990" t="s">
        <v>1052</v>
      </c>
      <c r="O65" s="1990" t="s">
        <v>8291</v>
      </c>
      <c r="P65" s="1990" t="s">
        <v>958</v>
      </c>
      <c r="Q65" s="1990" t="s">
        <v>1312</v>
      </c>
      <c r="R65" s="1990" t="s">
        <v>1067</v>
      </c>
    </row>
    <row r="66" spans="1:18" ht="30">
      <c r="A66" s="1990" t="s">
        <v>1057</v>
      </c>
      <c r="B66" s="1990" t="s">
        <v>1370</v>
      </c>
      <c r="C66" s="1990" t="s">
        <v>1050</v>
      </c>
      <c r="D66" s="1990" t="s">
        <v>910</v>
      </c>
      <c r="E66" s="1990" t="s">
        <v>1051</v>
      </c>
      <c r="F66" s="1991">
        <v>43276</v>
      </c>
      <c r="G66" s="1991">
        <v>24883700</v>
      </c>
      <c r="H66" s="1991">
        <v>43276</v>
      </c>
      <c r="I66" s="1991">
        <v>43276</v>
      </c>
      <c r="J66" s="1991">
        <v>43276</v>
      </c>
      <c r="K66" s="1990">
        <v>0</v>
      </c>
      <c r="L66" s="1990">
        <v>575</v>
      </c>
      <c r="M66" s="1990">
        <v>575</v>
      </c>
      <c r="N66" s="1990" t="s">
        <v>1052</v>
      </c>
      <c r="O66" s="1990" t="s">
        <v>8291</v>
      </c>
      <c r="P66" s="1990" t="s">
        <v>1283</v>
      </c>
      <c r="Q66" s="1990" t="s">
        <v>1075</v>
      </c>
      <c r="R66" s="1990" t="s">
        <v>1054</v>
      </c>
    </row>
    <row r="67" spans="1:18" ht="30">
      <c r="A67" s="1990" t="s">
        <v>1085</v>
      </c>
      <c r="B67" s="1990" t="s">
        <v>1421</v>
      </c>
      <c r="C67" s="1990" t="s">
        <v>1050</v>
      </c>
      <c r="D67" s="1990" t="s">
        <v>950</v>
      </c>
      <c r="E67" s="1990" t="s">
        <v>1054</v>
      </c>
      <c r="F67" s="1991">
        <v>25314</v>
      </c>
      <c r="G67" s="1991">
        <v>7594200</v>
      </c>
      <c r="H67" s="1991">
        <v>25314</v>
      </c>
      <c r="I67" s="1991">
        <v>25314</v>
      </c>
      <c r="J67" s="1991">
        <v>25314</v>
      </c>
      <c r="K67" s="1990">
        <v>4000</v>
      </c>
      <c r="L67" s="1990">
        <v>300</v>
      </c>
      <c r="M67" s="1990">
        <v>300</v>
      </c>
      <c r="N67" s="1990" t="s">
        <v>1052</v>
      </c>
      <c r="O67" s="1990" t="s">
        <v>8291</v>
      </c>
      <c r="P67" s="1990" t="s">
        <v>1124</v>
      </c>
      <c r="Q67" s="1990" t="s">
        <v>1114</v>
      </c>
      <c r="R67" s="1990" t="s">
        <v>1067</v>
      </c>
    </row>
    <row r="68" spans="1:18">
      <c r="A68" s="1990" t="s">
        <v>1085</v>
      </c>
      <c r="B68" s="1990" t="s">
        <v>1319</v>
      </c>
      <c r="C68" s="1990" t="s">
        <v>1050</v>
      </c>
      <c r="D68" s="1990" t="s">
        <v>906</v>
      </c>
      <c r="E68" s="1990" t="s">
        <v>1051</v>
      </c>
      <c r="F68" s="1991">
        <v>25562</v>
      </c>
      <c r="G68" s="1991">
        <v>15337200</v>
      </c>
      <c r="H68" s="1991">
        <v>25562</v>
      </c>
      <c r="I68" s="1991">
        <v>25562</v>
      </c>
      <c r="J68" s="1991">
        <v>25562</v>
      </c>
      <c r="K68" s="1990">
        <v>0</v>
      </c>
      <c r="L68" s="1990">
        <v>600</v>
      </c>
      <c r="M68" s="1990">
        <v>600</v>
      </c>
      <c r="N68" s="1990" t="s">
        <v>1052</v>
      </c>
      <c r="O68" s="1990" t="s">
        <v>8291</v>
      </c>
      <c r="P68" s="1990" t="s">
        <v>906</v>
      </c>
      <c r="Q68" s="1990" t="s">
        <v>1063</v>
      </c>
      <c r="R68" s="1990" t="s">
        <v>1054</v>
      </c>
    </row>
    <row r="69" spans="1:18">
      <c r="A69" s="1990" t="s">
        <v>1336</v>
      </c>
      <c r="B69" s="1990" t="s">
        <v>1386</v>
      </c>
      <c r="C69" s="1990" t="s">
        <v>1050</v>
      </c>
      <c r="D69" s="1990" t="s">
        <v>949</v>
      </c>
      <c r="E69" s="1990" t="s">
        <v>1051</v>
      </c>
      <c r="F69" s="1991">
        <v>38166</v>
      </c>
      <c r="G69" s="1991">
        <v>1908300</v>
      </c>
      <c r="H69" s="1991">
        <v>38166</v>
      </c>
      <c r="I69" s="1991">
        <v>38166</v>
      </c>
      <c r="J69" s="1991">
        <v>38166</v>
      </c>
      <c r="K69" s="1990">
        <v>0</v>
      </c>
      <c r="L69" s="1990">
        <v>50</v>
      </c>
      <c r="M69" s="1990">
        <v>50</v>
      </c>
      <c r="N69" s="1990" t="s">
        <v>1052</v>
      </c>
      <c r="O69" s="1990" t="s">
        <v>8291</v>
      </c>
      <c r="P69" s="1990" t="s">
        <v>949</v>
      </c>
      <c r="Q69" s="1990" t="s">
        <v>1078</v>
      </c>
      <c r="R69" s="1990" t="s">
        <v>1054</v>
      </c>
    </row>
    <row r="70" spans="1:18" ht="30">
      <c r="A70" s="1990" t="s">
        <v>1068</v>
      </c>
      <c r="B70" s="1990" t="s">
        <v>1123</v>
      </c>
      <c r="C70" s="1990" t="s">
        <v>1050</v>
      </c>
      <c r="D70" s="1990" t="s">
        <v>950</v>
      </c>
      <c r="E70" s="1990" t="s">
        <v>1054</v>
      </c>
      <c r="F70" s="1991">
        <v>25207</v>
      </c>
      <c r="G70" s="1991">
        <v>144940250</v>
      </c>
      <c r="H70" s="1991">
        <v>25207</v>
      </c>
      <c r="I70" s="1991">
        <v>25207</v>
      </c>
      <c r="J70" s="1991">
        <v>25207</v>
      </c>
      <c r="K70" s="1990">
        <v>12000</v>
      </c>
      <c r="L70" s="1990">
        <v>5750</v>
      </c>
      <c r="M70" s="1990">
        <v>5750</v>
      </c>
      <c r="N70" s="1990" t="s">
        <v>1052</v>
      </c>
      <c r="O70" s="1990" t="s">
        <v>8291</v>
      </c>
      <c r="P70" s="1990" t="s">
        <v>1124</v>
      </c>
      <c r="Q70" s="1990" t="s">
        <v>1114</v>
      </c>
      <c r="R70" s="1990" t="s">
        <v>1067</v>
      </c>
    </row>
    <row r="71" spans="1:18" ht="30">
      <c r="A71" s="1990" t="s">
        <v>1068</v>
      </c>
      <c r="B71" s="1990" t="s">
        <v>1454</v>
      </c>
      <c r="C71" s="1990" t="s">
        <v>1050</v>
      </c>
      <c r="D71" s="1990" t="s">
        <v>923</v>
      </c>
      <c r="E71" s="1990" t="s">
        <v>1054</v>
      </c>
      <c r="F71" s="1991">
        <v>26713</v>
      </c>
      <c r="G71" s="1991">
        <v>80139000</v>
      </c>
      <c r="H71" s="1991">
        <v>26713</v>
      </c>
      <c r="I71" s="1991">
        <v>26713</v>
      </c>
      <c r="J71" s="1991">
        <v>26713</v>
      </c>
      <c r="K71" s="1990">
        <v>4200</v>
      </c>
      <c r="L71" s="1990">
        <v>3000</v>
      </c>
      <c r="M71" s="1990">
        <v>3000</v>
      </c>
      <c r="N71" s="1990" t="s">
        <v>1052</v>
      </c>
      <c r="O71" s="1990" t="s">
        <v>8291</v>
      </c>
      <c r="P71" s="1990" t="s">
        <v>923</v>
      </c>
      <c r="Q71" s="1990" t="s">
        <v>1132</v>
      </c>
      <c r="R71" s="1990" t="s">
        <v>1067</v>
      </c>
    </row>
    <row r="72" spans="1:18" ht="30">
      <c r="A72" s="1990" t="s">
        <v>1068</v>
      </c>
      <c r="B72" s="1990" t="s">
        <v>1107</v>
      </c>
      <c r="C72" s="1990" t="s">
        <v>1050</v>
      </c>
      <c r="D72" s="1990" t="s">
        <v>941</v>
      </c>
      <c r="E72" s="1990" t="s">
        <v>1054</v>
      </c>
      <c r="F72" s="1991">
        <v>25124</v>
      </c>
      <c r="G72" s="1991">
        <v>41454600</v>
      </c>
      <c r="H72" s="1991">
        <v>25124</v>
      </c>
      <c r="I72" s="1991">
        <v>25124</v>
      </c>
      <c r="J72" s="1991">
        <v>25124</v>
      </c>
      <c r="K72" s="1990">
        <v>5500</v>
      </c>
      <c r="L72" s="1990">
        <v>1650</v>
      </c>
      <c r="M72" s="1990">
        <v>1650</v>
      </c>
      <c r="N72" s="1990" t="s">
        <v>1052</v>
      </c>
      <c r="O72" s="1990" t="s">
        <v>8291</v>
      </c>
      <c r="P72" s="1990" t="s">
        <v>941</v>
      </c>
      <c r="Q72" s="1990" t="s">
        <v>1075</v>
      </c>
      <c r="R72" s="1990" t="s">
        <v>1067</v>
      </c>
    </row>
    <row r="73" spans="1:18" ht="30">
      <c r="A73" s="1990" t="s">
        <v>1112</v>
      </c>
      <c r="B73" s="1990" t="s">
        <v>1272</v>
      </c>
      <c r="C73" s="1990" t="s">
        <v>1050</v>
      </c>
      <c r="D73" s="1990" t="s">
        <v>922</v>
      </c>
      <c r="E73" s="1990" t="s">
        <v>1051</v>
      </c>
      <c r="F73" s="1991">
        <v>24512</v>
      </c>
      <c r="G73" s="1991">
        <v>2451200</v>
      </c>
      <c r="H73" s="1991">
        <v>24512</v>
      </c>
      <c r="I73" s="1991">
        <v>24512</v>
      </c>
      <c r="J73" s="1991">
        <v>24512</v>
      </c>
      <c r="K73" s="1990">
        <v>0</v>
      </c>
      <c r="L73" s="1990">
        <v>100</v>
      </c>
      <c r="M73" s="1990">
        <v>100</v>
      </c>
      <c r="N73" s="1990" t="s">
        <v>1052</v>
      </c>
      <c r="O73" s="1990" t="s">
        <v>8291</v>
      </c>
      <c r="P73" s="1990" t="s">
        <v>922</v>
      </c>
      <c r="Q73" s="1990" t="s">
        <v>1087</v>
      </c>
      <c r="R73" s="1990" t="s">
        <v>1054</v>
      </c>
    </row>
    <row r="74" spans="1:18">
      <c r="A74" s="1990" t="s">
        <v>1076</v>
      </c>
      <c r="B74" s="1990" t="s">
        <v>1320</v>
      </c>
      <c r="C74" s="1990" t="s">
        <v>1050</v>
      </c>
      <c r="D74" s="1990" t="s">
        <v>906</v>
      </c>
      <c r="E74" s="1990" t="s">
        <v>1051</v>
      </c>
      <c r="F74" s="1991">
        <v>36504</v>
      </c>
      <c r="G74" s="1991">
        <v>31028400</v>
      </c>
      <c r="H74" s="1991">
        <v>36504</v>
      </c>
      <c r="I74" s="1991">
        <v>36504</v>
      </c>
      <c r="J74" s="1991">
        <v>36504</v>
      </c>
      <c r="K74" s="1990">
        <v>0</v>
      </c>
      <c r="L74" s="1990">
        <v>850</v>
      </c>
      <c r="M74" s="1990">
        <v>850</v>
      </c>
      <c r="N74" s="1990" t="s">
        <v>1052</v>
      </c>
      <c r="O74" s="1990" t="s">
        <v>8291</v>
      </c>
      <c r="P74" s="1990" t="s">
        <v>906</v>
      </c>
      <c r="Q74" s="1990" t="s">
        <v>1063</v>
      </c>
      <c r="R74" s="1990" t="s">
        <v>1054</v>
      </c>
    </row>
    <row r="75" spans="1:18">
      <c r="A75" s="1990" t="s">
        <v>1057</v>
      </c>
      <c r="B75" s="1990" t="s">
        <v>1405</v>
      </c>
      <c r="C75" s="1990" t="s">
        <v>1050</v>
      </c>
      <c r="D75" s="1990" t="s">
        <v>966</v>
      </c>
      <c r="E75" s="1990" t="s">
        <v>1054</v>
      </c>
      <c r="F75" s="1991">
        <v>37366</v>
      </c>
      <c r="G75" s="1991">
        <v>17935680</v>
      </c>
      <c r="H75" s="1991">
        <v>37366</v>
      </c>
      <c r="I75" s="1991">
        <v>37366</v>
      </c>
      <c r="J75" s="1991">
        <v>37366</v>
      </c>
      <c r="K75" s="1990">
        <v>2000</v>
      </c>
      <c r="L75" s="1991">
        <v>780</v>
      </c>
      <c r="M75" s="1991">
        <v>480</v>
      </c>
      <c r="N75" s="1990" t="s">
        <v>1052</v>
      </c>
      <c r="O75" s="1990" t="s">
        <v>8291</v>
      </c>
      <c r="P75" s="1990" t="s">
        <v>966</v>
      </c>
      <c r="Q75" s="1990" t="s">
        <v>1087</v>
      </c>
      <c r="R75" s="1990" t="s">
        <v>1067</v>
      </c>
    </row>
    <row r="76" spans="1:18">
      <c r="A76" s="1990" t="s">
        <v>1059</v>
      </c>
      <c r="B76" s="1990" t="s">
        <v>1391</v>
      </c>
      <c r="C76" s="1990" t="s">
        <v>1050</v>
      </c>
      <c r="D76" s="1990" t="s">
        <v>70</v>
      </c>
      <c r="E76" s="1990" t="s">
        <v>1054</v>
      </c>
      <c r="F76" s="1991">
        <v>28508</v>
      </c>
      <c r="G76" s="1991">
        <v>502453500</v>
      </c>
      <c r="H76" s="1991">
        <v>28508</v>
      </c>
      <c r="I76" s="1991">
        <v>28508</v>
      </c>
      <c r="J76" s="1991">
        <v>28508</v>
      </c>
      <c r="K76" s="1990">
        <v>27800</v>
      </c>
      <c r="L76" s="1990">
        <v>19625</v>
      </c>
      <c r="M76" s="1990">
        <v>17625</v>
      </c>
      <c r="N76" s="1990" t="s">
        <v>1052</v>
      </c>
      <c r="O76" s="1990" t="s">
        <v>8291</v>
      </c>
      <c r="P76" s="1990" t="s">
        <v>70</v>
      </c>
      <c r="Q76" s="1990" t="s">
        <v>1090</v>
      </c>
      <c r="R76" s="1990" t="s">
        <v>1067</v>
      </c>
    </row>
    <row r="77" spans="1:18">
      <c r="A77" s="1990" t="s">
        <v>1061</v>
      </c>
      <c r="B77" s="1990" t="s">
        <v>1128</v>
      </c>
      <c r="C77" s="1990" t="s">
        <v>1050</v>
      </c>
      <c r="D77" s="1990" t="s">
        <v>943</v>
      </c>
      <c r="E77" s="1990" t="s">
        <v>1054</v>
      </c>
      <c r="F77" s="1991">
        <v>35589</v>
      </c>
      <c r="G77" s="1991">
        <v>72957450</v>
      </c>
      <c r="H77" s="1991">
        <v>35589</v>
      </c>
      <c r="I77" s="1991">
        <v>35589</v>
      </c>
      <c r="J77" s="1991">
        <v>35589</v>
      </c>
      <c r="K77" s="1990">
        <v>2500</v>
      </c>
      <c r="L77" s="1990">
        <v>2050</v>
      </c>
      <c r="M77" s="1990">
        <v>2050</v>
      </c>
      <c r="N77" s="1990" t="s">
        <v>1052</v>
      </c>
      <c r="O77" s="1990" t="s">
        <v>8291</v>
      </c>
      <c r="P77" s="1990" t="s">
        <v>1127</v>
      </c>
      <c r="Q77" s="1990" t="s">
        <v>1114</v>
      </c>
      <c r="R77" s="1990" t="s">
        <v>1067</v>
      </c>
    </row>
    <row r="78" spans="1:18">
      <c r="A78" s="1990" t="s">
        <v>1059</v>
      </c>
      <c r="B78" s="1990" t="s">
        <v>1400</v>
      </c>
      <c r="C78" s="1990" t="s">
        <v>1050</v>
      </c>
      <c r="D78" s="1990" t="s">
        <v>967</v>
      </c>
      <c r="E78" s="1990" t="s">
        <v>1054</v>
      </c>
      <c r="F78" s="1991">
        <v>26199</v>
      </c>
      <c r="G78" s="1991">
        <v>52398000</v>
      </c>
      <c r="H78" s="1991">
        <v>26199</v>
      </c>
      <c r="I78" s="1991">
        <v>26199</v>
      </c>
      <c r="J78" s="1991">
        <v>26199</v>
      </c>
      <c r="K78" s="1990">
        <v>2800</v>
      </c>
      <c r="L78" s="1990">
        <v>2150</v>
      </c>
      <c r="M78" s="1990">
        <v>2000</v>
      </c>
      <c r="N78" s="1990" t="s">
        <v>1052</v>
      </c>
      <c r="O78" s="1990" t="s">
        <v>8291</v>
      </c>
      <c r="P78" s="1990" t="s">
        <v>967</v>
      </c>
      <c r="Q78" s="1990" t="s">
        <v>1080</v>
      </c>
      <c r="R78" s="1990" t="s">
        <v>1067</v>
      </c>
    </row>
    <row r="79" spans="1:18">
      <c r="A79" s="1990" t="s">
        <v>1057</v>
      </c>
      <c r="B79" s="1990" t="s">
        <v>1079</v>
      </c>
      <c r="C79" s="1990" t="s">
        <v>1050</v>
      </c>
      <c r="D79" s="1990" t="s">
        <v>967</v>
      </c>
      <c r="E79" s="1990" t="s">
        <v>1054</v>
      </c>
      <c r="F79" s="1991">
        <v>37366</v>
      </c>
      <c r="G79" s="1991">
        <v>10462480</v>
      </c>
      <c r="H79" s="1991">
        <v>37366</v>
      </c>
      <c r="I79" s="1991">
        <v>37366</v>
      </c>
      <c r="J79" s="1991">
        <v>37366</v>
      </c>
      <c r="K79" s="1990">
        <v>500</v>
      </c>
      <c r="L79" s="1990">
        <v>280</v>
      </c>
      <c r="M79" s="1990">
        <v>280</v>
      </c>
      <c r="N79" s="1990" t="s">
        <v>1052</v>
      </c>
      <c r="O79" s="1990" t="s">
        <v>8291</v>
      </c>
      <c r="P79" s="1990" t="s">
        <v>967</v>
      </c>
      <c r="Q79" s="1990" t="s">
        <v>1080</v>
      </c>
      <c r="R79" s="1990" t="s">
        <v>1067</v>
      </c>
    </row>
    <row r="80" spans="1:18" ht="30">
      <c r="A80" s="1990" t="s">
        <v>1059</v>
      </c>
      <c r="B80" s="1990" t="s">
        <v>1431</v>
      </c>
      <c r="C80" s="1990" t="s">
        <v>1050</v>
      </c>
      <c r="D80" s="1990" t="s">
        <v>926</v>
      </c>
      <c r="E80" s="1990" t="s">
        <v>1054</v>
      </c>
      <c r="F80" s="1991">
        <v>28068</v>
      </c>
      <c r="G80" s="1991">
        <v>273663000</v>
      </c>
      <c r="H80" s="1991">
        <v>28068</v>
      </c>
      <c r="I80" s="1991">
        <v>28068</v>
      </c>
      <c r="J80" s="1991">
        <v>28068</v>
      </c>
      <c r="K80" s="1990">
        <v>12000</v>
      </c>
      <c r="L80" s="1990">
        <v>9950</v>
      </c>
      <c r="M80" s="1990">
        <v>9750</v>
      </c>
      <c r="N80" s="1990" t="s">
        <v>1052</v>
      </c>
      <c r="O80" s="1990" t="s">
        <v>8291</v>
      </c>
      <c r="P80" s="1990" t="s">
        <v>926</v>
      </c>
      <c r="Q80" s="1990" t="s">
        <v>1252</v>
      </c>
      <c r="R80" s="1990" t="s">
        <v>1067</v>
      </c>
    </row>
    <row r="81" spans="1:18">
      <c r="A81" s="1990" t="s">
        <v>1068</v>
      </c>
      <c r="B81" s="1990" t="s">
        <v>1126</v>
      </c>
      <c r="C81" s="1990" t="s">
        <v>1050</v>
      </c>
      <c r="D81" s="1990" t="s">
        <v>943</v>
      </c>
      <c r="E81" s="1990" t="s">
        <v>1054</v>
      </c>
      <c r="F81" s="1991">
        <v>25045</v>
      </c>
      <c r="G81" s="1991">
        <v>100180000</v>
      </c>
      <c r="H81" s="1991">
        <v>25045</v>
      </c>
      <c r="I81" s="1991">
        <v>25045</v>
      </c>
      <c r="J81" s="1991">
        <v>25045</v>
      </c>
      <c r="K81" s="1990">
        <v>6000</v>
      </c>
      <c r="L81" s="1990">
        <v>4000</v>
      </c>
      <c r="M81" s="1990">
        <v>4000</v>
      </c>
      <c r="N81" s="1990" t="s">
        <v>1052</v>
      </c>
      <c r="O81" s="1990" t="s">
        <v>8291</v>
      </c>
      <c r="P81" s="1990" t="s">
        <v>1127</v>
      </c>
      <c r="Q81" s="1990" t="s">
        <v>1114</v>
      </c>
      <c r="R81" s="1990" t="s">
        <v>1067</v>
      </c>
    </row>
    <row r="82" spans="1:18" ht="30">
      <c r="A82" s="1990" t="s">
        <v>1068</v>
      </c>
      <c r="B82" s="1990" t="s">
        <v>1410</v>
      </c>
      <c r="C82" s="1990" t="s">
        <v>1050</v>
      </c>
      <c r="D82" s="1990" t="s">
        <v>962</v>
      </c>
      <c r="E82" s="1990" t="s">
        <v>1054</v>
      </c>
      <c r="F82" s="1991">
        <v>24954</v>
      </c>
      <c r="G82" s="1991">
        <v>142088076</v>
      </c>
      <c r="H82" s="1991">
        <v>24954</v>
      </c>
      <c r="I82" s="1991">
        <v>24954</v>
      </c>
      <c r="J82" s="1991">
        <v>24954</v>
      </c>
      <c r="K82" s="1990">
        <v>7514</v>
      </c>
      <c r="L82" s="1990">
        <v>5694</v>
      </c>
      <c r="M82" s="1990">
        <v>5694</v>
      </c>
      <c r="N82" s="1990" t="s">
        <v>1052</v>
      </c>
      <c r="O82" s="1990" t="s">
        <v>8291</v>
      </c>
      <c r="P82" s="1990" t="s">
        <v>962</v>
      </c>
      <c r="Q82" s="1990" t="s">
        <v>1080</v>
      </c>
      <c r="R82" s="1990" t="s">
        <v>1067</v>
      </c>
    </row>
    <row r="83" spans="1:18">
      <c r="A83" s="1990" t="s">
        <v>1059</v>
      </c>
      <c r="B83" s="1990" t="s">
        <v>1391</v>
      </c>
      <c r="C83" s="1990" t="s">
        <v>1050</v>
      </c>
      <c r="D83" s="1990" t="s">
        <v>70</v>
      </c>
      <c r="E83" s="1990" t="s">
        <v>1051</v>
      </c>
      <c r="F83" s="1991">
        <v>28508</v>
      </c>
      <c r="G83" s="1991">
        <v>71270000</v>
      </c>
      <c r="H83" s="1991">
        <v>28508</v>
      </c>
      <c r="I83" s="1991">
        <v>28508</v>
      </c>
      <c r="J83" s="1991">
        <v>28508</v>
      </c>
      <c r="K83" s="1990">
        <v>0</v>
      </c>
      <c r="L83" s="1990">
        <v>2500</v>
      </c>
      <c r="M83" s="1990">
        <v>2500</v>
      </c>
      <c r="N83" s="1990" t="s">
        <v>1052</v>
      </c>
      <c r="O83" s="1990" t="s">
        <v>8291</v>
      </c>
      <c r="P83" s="1990" t="s">
        <v>70</v>
      </c>
      <c r="Q83" s="1990" t="s">
        <v>1090</v>
      </c>
      <c r="R83" s="1990" t="s">
        <v>1067</v>
      </c>
    </row>
    <row r="84" spans="1:18" ht="30">
      <c r="A84" s="1990" t="s">
        <v>1059</v>
      </c>
      <c r="B84" s="1990" t="s">
        <v>1374</v>
      </c>
      <c r="C84" s="1990" t="s">
        <v>1050</v>
      </c>
      <c r="D84" s="1990" t="s">
        <v>899</v>
      </c>
      <c r="E84" s="1990" t="s">
        <v>1051</v>
      </c>
      <c r="F84" s="1991">
        <v>26719</v>
      </c>
      <c r="G84" s="1991">
        <v>39410525</v>
      </c>
      <c r="H84" s="1991">
        <v>26719</v>
      </c>
      <c r="I84" s="1991">
        <v>26719</v>
      </c>
      <c r="J84" s="1991">
        <v>26719</v>
      </c>
      <c r="K84" s="1990">
        <v>0</v>
      </c>
      <c r="L84" s="1990">
        <v>1475</v>
      </c>
      <c r="M84" s="1990">
        <v>1475</v>
      </c>
      <c r="N84" s="1990" t="s">
        <v>1052</v>
      </c>
      <c r="O84" s="1990" t="s">
        <v>8291</v>
      </c>
      <c r="P84" s="1990" t="s">
        <v>899</v>
      </c>
      <c r="Q84" s="1990" t="s">
        <v>1075</v>
      </c>
      <c r="R84" s="1990" t="s">
        <v>1054</v>
      </c>
    </row>
    <row r="85" spans="1:18" ht="30">
      <c r="A85" s="1990" t="s">
        <v>1068</v>
      </c>
      <c r="B85" s="1990" t="s">
        <v>1123</v>
      </c>
      <c r="C85" s="1990" t="s">
        <v>1050</v>
      </c>
      <c r="D85" s="1990" t="s">
        <v>950</v>
      </c>
      <c r="E85" s="1990" t="s">
        <v>1051</v>
      </c>
      <c r="F85" s="1991">
        <v>25207</v>
      </c>
      <c r="G85" s="1991">
        <v>5671575</v>
      </c>
      <c r="H85" s="1991">
        <v>25207</v>
      </c>
      <c r="I85" s="1991">
        <v>25207</v>
      </c>
      <c r="J85" s="1991">
        <v>25207</v>
      </c>
      <c r="K85" s="1990">
        <v>0</v>
      </c>
      <c r="L85" s="1990">
        <v>225</v>
      </c>
      <c r="M85" s="1990">
        <v>225</v>
      </c>
      <c r="N85" s="1990" t="s">
        <v>1052</v>
      </c>
      <c r="O85" s="1990" t="s">
        <v>8291</v>
      </c>
      <c r="P85" s="1990" t="s">
        <v>1124</v>
      </c>
      <c r="Q85" s="1990" t="s">
        <v>1114</v>
      </c>
      <c r="R85" s="1990" t="s">
        <v>1067</v>
      </c>
    </row>
    <row r="86" spans="1:18" ht="30">
      <c r="A86" s="1990" t="s">
        <v>1068</v>
      </c>
      <c r="B86" s="1990" t="s">
        <v>1410</v>
      </c>
      <c r="C86" s="1990" t="s">
        <v>1050</v>
      </c>
      <c r="D86" s="1990" t="s">
        <v>962</v>
      </c>
      <c r="E86" s="1990" t="s">
        <v>1051</v>
      </c>
      <c r="F86" s="1991">
        <v>24954</v>
      </c>
      <c r="G86" s="1991">
        <v>2595216</v>
      </c>
      <c r="H86" s="1991">
        <v>24954</v>
      </c>
      <c r="I86" s="1991">
        <v>24954</v>
      </c>
      <c r="J86" s="1991">
        <v>24954</v>
      </c>
      <c r="K86" s="1990">
        <v>0</v>
      </c>
      <c r="L86" s="1990">
        <v>104</v>
      </c>
      <c r="M86" s="1990">
        <v>104</v>
      </c>
      <c r="N86" s="1990" t="s">
        <v>1052</v>
      </c>
      <c r="O86" s="1990" t="s">
        <v>8291</v>
      </c>
      <c r="P86" s="1990" t="s">
        <v>962</v>
      </c>
      <c r="Q86" s="1990" t="s">
        <v>1080</v>
      </c>
      <c r="R86" s="1990" t="s">
        <v>1067</v>
      </c>
    </row>
    <row r="87" spans="1:18">
      <c r="A87" s="1990" t="s">
        <v>1057</v>
      </c>
      <c r="B87" s="1990" t="s">
        <v>1361</v>
      </c>
      <c r="C87" s="1990" t="s">
        <v>1050</v>
      </c>
      <c r="D87" s="1990" t="s">
        <v>938</v>
      </c>
      <c r="E87" s="1990" t="s">
        <v>1051</v>
      </c>
      <c r="F87" s="1991">
        <v>38566</v>
      </c>
      <c r="G87" s="1991">
        <v>1928300</v>
      </c>
      <c r="H87" s="1991">
        <v>38566</v>
      </c>
      <c r="I87" s="1991">
        <v>38566</v>
      </c>
      <c r="J87" s="1991">
        <v>38566</v>
      </c>
      <c r="K87" s="1990">
        <v>0</v>
      </c>
      <c r="L87" s="1991">
        <v>50</v>
      </c>
      <c r="M87" s="1991">
        <v>50</v>
      </c>
      <c r="N87" s="1990" t="s">
        <v>1052</v>
      </c>
      <c r="O87" s="1990" t="s">
        <v>8291</v>
      </c>
      <c r="P87" s="1990" t="s">
        <v>938</v>
      </c>
      <c r="Q87" s="1990" t="s">
        <v>1053</v>
      </c>
      <c r="R87" s="1990" t="s">
        <v>1054</v>
      </c>
    </row>
    <row r="88" spans="1:18">
      <c r="A88" s="1990" t="s">
        <v>1059</v>
      </c>
      <c r="B88" s="1990" t="s">
        <v>1470</v>
      </c>
      <c r="C88" s="1990" t="s">
        <v>1050</v>
      </c>
      <c r="D88" s="1990" t="s">
        <v>952</v>
      </c>
      <c r="E88" s="1990" t="s">
        <v>1051</v>
      </c>
      <c r="F88" s="1991">
        <v>26369</v>
      </c>
      <c r="G88" s="1991">
        <v>32302025</v>
      </c>
      <c r="H88" s="1991">
        <v>26369</v>
      </c>
      <c r="I88" s="1991">
        <v>26369</v>
      </c>
      <c r="J88" s="1991">
        <v>26369</v>
      </c>
      <c r="K88" s="1990">
        <v>0</v>
      </c>
      <c r="L88" s="1990">
        <v>1225</v>
      </c>
      <c r="M88" s="1990">
        <v>1225</v>
      </c>
      <c r="N88" s="1990" t="s">
        <v>1052</v>
      </c>
      <c r="O88" s="1990" t="s">
        <v>8291</v>
      </c>
      <c r="P88" s="1990" t="s">
        <v>1311</v>
      </c>
      <c r="Q88" s="1990" t="s">
        <v>1312</v>
      </c>
      <c r="R88" s="1990" t="s">
        <v>1054</v>
      </c>
    </row>
    <row r="89" spans="1:18">
      <c r="A89" s="1990" t="s">
        <v>1057</v>
      </c>
      <c r="B89" s="1990" t="s">
        <v>1472</v>
      </c>
      <c r="C89" s="1990" t="s">
        <v>1050</v>
      </c>
      <c r="D89" s="1990" t="s">
        <v>952</v>
      </c>
      <c r="E89" s="1990" t="s">
        <v>1051</v>
      </c>
      <c r="F89" s="1991">
        <v>38825</v>
      </c>
      <c r="G89" s="1991">
        <v>31060000</v>
      </c>
      <c r="H89" s="1991">
        <v>38825</v>
      </c>
      <c r="I89" s="1991">
        <v>38825</v>
      </c>
      <c r="J89" s="1991">
        <v>38825</v>
      </c>
      <c r="K89" s="1990">
        <v>0</v>
      </c>
      <c r="L89" s="1990">
        <v>800</v>
      </c>
      <c r="M89" s="1990">
        <v>800</v>
      </c>
      <c r="N89" s="1990" t="s">
        <v>1052</v>
      </c>
      <c r="O89" s="1990" t="s">
        <v>8291</v>
      </c>
      <c r="P89" s="1990" t="s">
        <v>1311</v>
      </c>
      <c r="Q89" s="1990" t="s">
        <v>1312</v>
      </c>
      <c r="R89" s="1990" t="s">
        <v>1054</v>
      </c>
    </row>
    <row r="90" spans="1:18">
      <c r="A90" s="1990" t="s">
        <v>1059</v>
      </c>
      <c r="B90" s="1990" t="s">
        <v>1060</v>
      </c>
      <c r="C90" s="1990" t="s">
        <v>1050</v>
      </c>
      <c r="D90" s="1990" t="s">
        <v>930</v>
      </c>
      <c r="E90" s="1990" t="s">
        <v>1051</v>
      </c>
      <c r="F90" s="1991">
        <v>27718</v>
      </c>
      <c r="G90" s="1991">
        <v>2078850</v>
      </c>
      <c r="H90" s="1991">
        <v>27718</v>
      </c>
      <c r="I90" s="1991">
        <v>27718</v>
      </c>
      <c r="J90" s="1991">
        <v>27718</v>
      </c>
      <c r="K90" s="1990">
        <v>0</v>
      </c>
      <c r="L90" s="1990">
        <v>75</v>
      </c>
      <c r="M90" s="1990">
        <v>75</v>
      </c>
      <c r="N90" s="1990" t="s">
        <v>1052</v>
      </c>
      <c r="O90" s="1990" t="s">
        <v>8291</v>
      </c>
      <c r="P90" s="1990" t="s">
        <v>930</v>
      </c>
      <c r="Q90" s="1990" t="s">
        <v>1053</v>
      </c>
      <c r="R90" s="1990" t="s">
        <v>1054</v>
      </c>
    </row>
    <row r="91" spans="1:18">
      <c r="A91" s="1990" t="s">
        <v>1061</v>
      </c>
      <c r="B91" s="1990" t="s">
        <v>1128</v>
      </c>
      <c r="C91" s="1990" t="s">
        <v>1050</v>
      </c>
      <c r="D91" s="1990" t="s">
        <v>943</v>
      </c>
      <c r="E91" s="1990" t="s">
        <v>1051</v>
      </c>
      <c r="F91" s="1991">
        <v>35589</v>
      </c>
      <c r="G91" s="1991">
        <v>16015050</v>
      </c>
      <c r="H91" s="1991">
        <v>35589</v>
      </c>
      <c r="I91" s="1991">
        <v>35589</v>
      </c>
      <c r="J91" s="1991">
        <v>35589</v>
      </c>
      <c r="K91" s="1990">
        <v>0</v>
      </c>
      <c r="L91" s="1990">
        <v>450</v>
      </c>
      <c r="M91" s="1990">
        <v>450</v>
      </c>
      <c r="N91" s="1990" t="s">
        <v>1052</v>
      </c>
      <c r="O91" s="1990" t="s">
        <v>8291</v>
      </c>
      <c r="P91" s="1990" t="s">
        <v>1127</v>
      </c>
      <c r="Q91" s="1990" t="s">
        <v>1114</v>
      </c>
      <c r="R91" s="1990" t="s">
        <v>1067</v>
      </c>
    </row>
    <row r="92" spans="1:18" ht="30">
      <c r="A92" s="1990" t="s">
        <v>1057</v>
      </c>
      <c r="B92" s="1990" t="s">
        <v>1375</v>
      </c>
      <c r="C92" s="1990" t="s">
        <v>1050</v>
      </c>
      <c r="D92" s="1990" t="s">
        <v>899</v>
      </c>
      <c r="E92" s="1990" t="s">
        <v>1051</v>
      </c>
      <c r="F92" s="1991">
        <v>41713</v>
      </c>
      <c r="G92" s="1991">
        <v>50055600</v>
      </c>
      <c r="H92" s="1991">
        <v>41713</v>
      </c>
      <c r="I92" s="1991">
        <v>41713</v>
      </c>
      <c r="J92" s="1991">
        <v>41713</v>
      </c>
      <c r="K92" s="1990">
        <v>0</v>
      </c>
      <c r="L92" s="1990">
        <v>1200</v>
      </c>
      <c r="M92" s="1990">
        <v>1200</v>
      </c>
      <c r="N92" s="1990" t="s">
        <v>1052</v>
      </c>
      <c r="O92" s="1990" t="s">
        <v>8291</v>
      </c>
      <c r="P92" s="1990" t="s">
        <v>899</v>
      </c>
      <c r="Q92" s="1990" t="s">
        <v>1075</v>
      </c>
      <c r="R92" s="1990" t="s">
        <v>1054</v>
      </c>
    </row>
    <row r="93" spans="1:18" ht="30">
      <c r="A93" s="1990" t="s">
        <v>1068</v>
      </c>
      <c r="B93" s="1990" t="s">
        <v>1454</v>
      </c>
      <c r="C93" s="1990" t="s">
        <v>1050</v>
      </c>
      <c r="D93" s="1990" t="s">
        <v>923</v>
      </c>
      <c r="E93" s="1990" t="s">
        <v>1051</v>
      </c>
      <c r="F93" s="1991">
        <v>26713</v>
      </c>
      <c r="G93" s="1991">
        <v>31521340</v>
      </c>
      <c r="H93" s="1991">
        <v>26713</v>
      </c>
      <c r="I93" s="1991">
        <v>26713</v>
      </c>
      <c r="J93" s="1991">
        <v>26713</v>
      </c>
      <c r="K93" s="1990">
        <v>0</v>
      </c>
      <c r="L93" s="1990">
        <v>1180</v>
      </c>
      <c r="M93" s="1990">
        <v>1180</v>
      </c>
      <c r="N93" s="1990" t="s">
        <v>1052</v>
      </c>
      <c r="O93" s="1990" t="s">
        <v>8291</v>
      </c>
      <c r="P93" s="1990" t="s">
        <v>923</v>
      </c>
      <c r="Q93" s="1990" t="s">
        <v>1132</v>
      </c>
      <c r="R93" s="1990" t="s">
        <v>1067</v>
      </c>
    </row>
    <row r="94" spans="1:18" ht="30">
      <c r="A94" s="1990" t="s">
        <v>1076</v>
      </c>
      <c r="B94" s="1990" t="s">
        <v>1109</v>
      </c>
      <c r="C94" s="1990" t="s">
        <v>1050</v>
      </c>
      <c r="D94" s="1990" t="s">
        <v>914</v>
      </c>
      <c r="E94" s="1990" t="s">
        <v>1051</v>
      </c>
      <c r="F94" s="1991">
        <v>35980</v>
      </c>
      <c r="G94" s="1991">
        <v>4497500</v>
      </c>
      <c r="H94" s="1991">
        <v>35980</v>
      </c>
      <c r="I94" s="1991">
        <v>35980</v>
      </c>
      <c r="J94" s="1991">
        <v>35980</v>
      </c>
      <c r="K94" s="1990">
        <v>0</v>
      </c>
      <c r="L94" s="1990">
        <v>125</v>
      </c>
      <c r="M94" s="1990">
        <v>125</v>
      </c>
      <c r="N94" s="1990" t="s">
        <v>1052</v>
      </c>
      <c r="O94" s="1990" t="s">
        <v>8291</v>
      </c>
      <c r="P94" s="1990" t="s">
        <v>1110</v>
      </c>
      <c r="Q94" s="1990" t="s">
        <v>1053</v>
      </c>
      <c r="R94" s="1990" t="s">
        <v>1054</v>
      </c>
    </row>
    <row r="95" spans="1:18" ht="30">
      <c r="A95" s="1990" t="s">
        <v>1057</v>
      </c>
      <c r="B95" s="1990" t="s">
        <v>1395</v>
      </c>
      <c r="C95" s="1990" t="s">
        <v>1050</v>
      </c>
      <c r="D95" s="1990" t="s">
        <v>957</v>
      </c>
      <c r="E95" s="1990" t="s">
        <v>1051</v>
      </c>
      <c r="F95" s="1991">
        <v>37366</v>
      </c>
      <c r="G95" s="1991">
        <v>21485450</v>
      </c>
      <c r="H95" s="1991">
        <v>37366</v>
      </c>
      <c r="I95" s="1991">
        <v>37366</v>
      </c>
      <c r="J95" s="1991">
        <v>37366</v>
      </c>
      <c r="K95" s="1990">
        <v>0</v>
      </c>
      <c r="L95" s="1990">
        <v>575</v>
      </c>
      <c r="M95" s="1990">
        <v>575</v>
      </c>
      <c r="N95" s="1990" t="s">
        <v>1052</v>
      </c>
      <c r="O95" s="1990" t="s">
        <v>8291</v>
      </c>
      <c r="P95" s="1990" t="s">
        <v>957</v>
      </c>
      <c r="Q95" s="1990" t="s">
        <v>1090</v>
      </c>
      <c r="R95" s="1990" t="s">
        <v>1054</v>
      </c>
    </row>
    <row r="96" spans="1:18" ht="30">
      <c r="A96" s="1990" t="s">
        <v>1061</v>
      </c>
      <c r="B96" s="1990" t="s">
        <v>1125</v>
      </c>
      <c r="C96" s="1990" t="s">
        <v>1050</v>
      </c>
      <c r="D96" s="1990" t="s">
        <v>950</v>
      </c>
      <c r="E96" s="1990" t="s">
        <v>1051</v>
      </c>
      <c r="F96" s="1991">
        <v>35589</v>
      </c>
      <c r="G96" s="1991">
        <v>3558900</v>
      </c>
      <c r="H96" s="1991">
        <v>35589</v>
      </c>
      <c r="I96" s="1991">
        <v>35589</v>
      </c>
      <c r="J96" s="1991">
        <v>35589</v>
      </c>
      <c r="K96" s="1990">
        <v>0</v>
      </c>
      <c r="L96" s="1990">
        <v>100</v>
      </c>
      <c r="M96" s="1990">
        <v>100</v>
      </c>
      <c r="N96" s="1990" t="s">
        <v>1052</v>
      </c>
      <c r="O96" s="1990" t="s">
        <v>8291</v>
      </c>
      <c r="P96" s="1990" t="s">
        <v>1124</v>
      </c>
      <c r="Q96" s="1990" t="s">
        <v>1114</v>
      </c>
      <c r="R96" s="1990" t="s">
        <v>1067</v>
      </c>
    </row>
    <row r="97" spans="1:18">
      <c r="A97" s="1990" t="s">
        <v>1057</v>
      </c>
      <c r="B97" s="1990" t="s">
        <v>1426</v>
      </c>
      <c r="C97" s="1990" t="s">
        <v>1050</v>
      </c>
      <c r="D97" s="1990" t="s">
        <v>958</v>
      </c>
      <c r="E97" s="1990" t="s">
        <v>8293</v>
      </c>
      <c r="F97" s="1991">
        <v>37366</v>
      </c>
      <c r="G97" s="1991">
        <v>3736600</v>
      </c>
      <c r="H97" s="1991">
        <v>37366</v>
      </c>
      <c r="I97" s="1991">
        <v>37366</v>
      </c>
      <c r="J97" s="1991">
        <v>37366</v>
      </c>
      <c r="K97" s="1990">
        <v>0</v>
      </c>
      <c r="L97" s="1990">
        <v>100</v>
      </c>
      <c r="M97" s="1990">
        <v>100</v>
      </c>
      <c r="N97" s="1990" t="s">
        <v>1052</v>
      </c>
      <c r="O97" s="1990" t="s">
        <v>8291</v>
      </c>
      <c r="P97" s="1990" t="s">
        <v>958</v>
      </c>
      <c r="Q97" s="1990" t="s">
        <v>1312</v>
      </c>
      <c r="R97" s="1990" t="s">
        <v>1067</v>
      </c>
    </row>
    <row r="98" spans="1:18">
      <c r="A98" s="1990" t="s">
        <v>1085</v>
      </c>
      <c r="B98" s="1990" t="s">
        <v>1338</v>
      </c>
      <c r="C98" s="1990" t="s">
        <v>1050</v>
      </c>
      <c r="D98" s="1990" t="s">
        <v>930</v>
      </c>
      <c r="E98" s="1990" t="s">
        <v>1051</v>
      </c>
      <c r="F98" s="1991">
        <v>26585</v>
      </c>
      <c r="G98" s="1991">
        <v>2658500</v>
      </c>
      <c r="H98" s="1991">
        <v>26585</v>
      </c>
      <c r="I98" s="1991">
        <v>26585</v>
      </c>
      <c r="J98" s="1991">
        <v>26585</v>
      </c>
      <c r="K98" s="1990">
        <v>0</v>
      </c>
      <c r="L98" s="1990">
        <v>100</v>
      </c>
      <c r="M98" s="1990">
        <v>100</v>
      </c>
      <c r="N98" s="1990" t="s">
        <v>1052</v>
      </c>
      <c r="O98" s="1990" t="s">
        <v>8291</v>
      </c>
      <c r="P98" s="1990" t="s">
        <v>930</v>
      </c>
      <c r="Q98" s="1990" t="s">
        <v>1053</v>
      </c>
      <c r="R98" s="1990" t="s">
        <v>1054</v>
      </c>
    </row>
    <row r="99" spans="1:18" ht="30">
      <c r="A99" s="1990" t="s">
        <v>1059</v>
      </c>
      <c r="B99" s="1990" t="s">
        <v>1431</v>
      </c>
      <c r="C99" s="1990" t="s">
        <v>1050</v>
      </c>
      <c r="D99" s="1990" t="s">
        <v>926</v>
      </c>
      <c r="E99" s="1990" t="s">
        <v>1051</v>
      </c>
      <c r="F99" s="1991">
        <v>28068</v>
      </c>
      <c r="G99" s="1991">
        <v>35786700</v>
      </c>
      <c r="H99" s="1991">
        <v>28068</v>
      </c>
      <c r="I99" s="1991">
        <v>28068</v>
      </c>
      <c r="J99" s="1991">
        <v>28068</v>
      </c>
      <c r="K99" s="1990">
        <v>0</v>
      </c>
      <c r="L99" s="1990">
        <v>1275</v>
      </c>
      <c r="M99" s="1990">
        <v>1275</v>
      </c>
      <c r="N99" s="1990" t="s">
        <v>1052</v>
      </c>
      <c r="O99" s="1990" t="s">
        <v>8291</v>
      </c>
      <c r="P99" s="1990" t="s">
        <v>926</v>
      </c>
      <c r="Q99" s="1990" t="s">
        <v>1252</v>
      </c>
      <c r="R99" s="1990" t="s">
        <v>1067</v>
      </c>
    </row>
    <row r="100" spans="1:18">
      <c r="A100" s="1990" t="s">
        <v>1059</v>
      </c>
      <c r="B100" s="1990" t="s">
        <v>1406</v>
      </c>
      <c r="C100" s="1990" t="s">
        <v>1050</v>
      </c>
      <c r="D100" s="1990" t="s">
        <v>966</v>
      </c>
      <c r="E100" s="1990" t="s">
        <v>1051</v>
      </c>
      <c r="F100" s="1991">
        <v>26236</v>
      </c>
      <c r="G100" s="1991">
        <v>787080</v>
      </c>
      <c r="H100" s="1991">
        <v>26236</v>
      </c>
      <c r="I100" s="1991">
        <v>26236</v>
      </c>
      <c r="J100" s="1991">
        <v>26236</v>
      </c>
      <c r="K100" s="1990">
        <v>0</v>
      </c>
      <c r="L100" s="1990">
        <v>30</v>
      </c>
      <c r="M100" s="1990">
        <v>30</v>
      </c>
      <c r="N100" s="1990" t="s">
        <v>1052</v>
      </c>
      <c r="O100" s="1990" t="s">
        <v>8291</v>
      </c>
      <c r="P100" s="1990" t="s">
        <v>966</v>
      </c>
      <c r="Q100" s="1990" t="s">
        <v>1087</v>
      </c>
      <c r="R100" s="1990" t="s">
        <v>1067</v>
      </c>
    </row>
    <row r="101" spans="1:18" ht="30">
      <c r="A101" s="1990" t="s">
        <v>1061</v>
      </c>
      <c r="B101" s="1990" t="s">
        <v>1414</v>
      </c>
      <c r="C101" s="1990" t="s">
        <v>1050</v>
      </c>
      <c r="D101" s="1990" t="s">
        <v>965</v>
      </c>
      <c r="E101" s="1990" t="s">
        <v>1051</v>
      </c>
      <c r="F101" s="1991">
        <v>35589</v>
      </c>
      <c r="G101" s="1991">
        <v>5338350</v>
      </c>
      <c r="H101" s="1991">
        <v>35589</v>
      </c>
      <c r="I101" s="1991">
        <v>35589</v>
      </c>
      <c r="J101" s="1991">
        <v>35589</v>
      </c>
      <c r="K101" s="1990">
        <v>0</v>
      </c>
      <c r="L101" s="1991">
        <v>150</v>
      </c>
      <c r="M101" s="1991">
        <v>150</v>
      </c>
      <c r="N101" s="1990" t="s">
        <v>1052</v>
      </c>
      <c r="O101" s="1990" t="s">
        <v>8291</v>
      </c>
      <c r="P101" s="1990" t="s">
        <v>965</v>
      </c>
      <c r="Q101" s="1990" t="s">
        <v>1083</v>
      </c>
      <c r="R101" s="1990" t="s">
        <v>1067</v>
      </c>
    </row>
    <row r="102" spans="1:18">
      <c r="A102" s="1990" t="s">
        <v>1057</v>
      </c>
      <c r="B102" s="1990" t="s">
        <v>1092</v>
      </c>
      <c r="C102" s="1990" t="s">
        <v>1050</v>
      </c>
      <c r="D102" s="1990" t="s">
        <v>963</v>
      </c>
      <c r="E102" s="1990" t="s">
        <v>1051</v>
      </c>
      <c r="F102" s="1991">
        <v>37366</v>
      </c>
      <c r="G102" s="1991">
        <v>2802450</v>
      </c>
      <c r="H102" s="1991">
        <v>37366</v>
      </c>
      <c r="I102" s="1991">
        <v>37366</v>
      </c>
      <c r="J102" s="1991">
        <v>37366</v>
      </c>
      <c r="K102" s="1990">
        <v>0</v>
      </c>
      <c r="L102" s="1990">
        <v>75</v>
      </c>
      <c r="M102" s="1990">
        <v>75</v>
      </c>
      <c r="N102" s="1990" t="s">
        <v>1052</v>
      </c>
      <c r="O102" s="1990" t="s">
        <v>8291</v>
      </c>
      <c r="P102" s="1990" t="s">
        <v>963</v>
      </c>
      <c r="Q102" s="1990" t="s">
        <v>1090</v>
      </c>
      <c r="R102" s="1990" t="s">
        <v>1067</v>
      </c>
    </row>
    <row r="103" spans="1:18">
      <c r="A103" s="1990" t="s">
        <v>1068</v>
      </c>
      <c r="B103" s="1990" t="s">
        <v>1126</v>
      </c>
      <c r="C103" s="1990" t="s">
        <v>1050</v>
      </c>
      <c r="D103" s="1990" t="s">
        <v>943</v>
      </c>
      <c r="E103" s="1990" t="s">
        <v>1051</v>
      </c>
      <c r="F103" s="1991">
        <v>25045</v>
      </c>
      <c r="G103" s="1991">
        <v>22540500</v>
      </c>
      <c r="H103" s="1991">
        <v>25045</v>
      </c>
      <c r="I103" s="1991">
        <v>25045</v>
      </c>
      <c r="J103" s="1991">
        <v>25045</v>
      </c>
      <c r="K103" s="1990">
        <v>0</v>
      </c>
      <c r="L103" s="1991">
        <v>900</v>
      </c>
      <c r="M103" s="1991">
        <v>900</v>
      </c>
      <c r="N103" s="1990" t="s">
        <v>1052</v>
      </c>
      <c r="O103" s="1990" t="s">
        <v>8291</v>
      </c>
      <c r="P103" s="1990" t="s">
        <v>1127</v>
      </c>
      <c r="Q103" s="1990" t="s">
        <v>1114</v>
      </c>
      <c r="R103" s="1990" t="s">
        <v>1067</v>
      </c>
    </row>
    <row r="104" spans="1:18">
      <c r="A104" s="1990" t="s">
        <v>1059</v>
      </c>
      <c r="B104" s="1990" t="s">
        <v>1091</v>
      </c>
      <c r="C104" s="1990" t="s">
        <v>1050</v>
      </c>
      <c r="D104" s="1990" t="s">
        <v>963</v>
      </c>
      <c r="E104" s="1990" t="s">
        <v>1051</v>
      </c>
      <c r="F104" s="1991">
        <v>26199</v>
      </c>
      <c r="G104" s="1991">
        <v>5239800</v>
      </c>
      <c r="H104" s="1991">
        <v>26199</v>
      </c>
      <c r="I104" s="1991">
        <v>26199</v>
      </c>
      <c r="J104" s="1991">
        <v>26199</v>
      </c>
      <c r="K104" s="1990">
        <v>0</v>
      </c>
      <c r="L104" s="1990">
        <v>200</v>
      </c>
      <c r="M104" s="1990">
        <v>200</v>
      </c>
      <c r="N104" s="1990" t="s">
        <v>1052</v>
      </c>
      <c r="O104" s="1990" t="s">
        <v>8291</v>
      </c>
      <c r="P104" s="1990" t="s">
        <v>963</v>
      </c>
      <c r="Q104" s="1990" t="s">
        <v>1090</v>
      </c>
      <c r="R104" s="1990" t="s">
        <v>1067</v>
      </c>
    </row>
    <row r="105" spans="1:18">
      <c r="A105" s="1990" t="s">
        <v>1112</v>
      </c>
      <c r="B105" s="1990" t="s">
        <v>1482</v>
      </c>
      <c r="C105" s="1990" t="s">
        <v>1050</v>
      </c>
      <c r="D105" s="1990" t="s">
        <v>930</v>
      </c>
      <c r="E105" s="1990" t="s">
        <v>1051</v>
      </c>
      <c r="F105" s="1991">
        <v>24346</v>
      </c>
      <c r="G105" s="1991">
        <v>3651900</v>
      </c>
      <c r="H105" s="1991">
        <v>24346</v>
      </c>
      <c r="I105" s="1991">
        <v>24346</v>
      </c>
      <c r="J105" s="1991">
        <v>24346</v>
      </c>
      <c r="K105" s="1990">
        <v>0</v>
      </c>
      <c r="L105" s="1990">
        <v>150</v>
      </c>
      <c r="M105" s="1990">
        <v>150</v>
      </c>
      <c r="N105" s="1990" t="s">
        <v>1052</v>
      </c>
      <c r="O105" s="1990" t="s">
        <v>8291</v>
      </c>
      <c r="P105" s="1990" t="s">
        <v>930</v>
      </c>
      <c r="Q105" s="1990" t="s">
        <v>1053</v>
      </c>
      <c r="R105" s="1990" t="s">
        <v>1054</v>
      </c>
    </row>
    <row r="106" spans="1:18">
      <c r="A106" s="1990" t="s">
        <v>1057</v>
      </c>
      <c r="B106" s="1990" t="s">
        <v>1385</v>
      </c>
      <c r="C106" s="1990" t="s">
        <v>1050</v>
      </c>
      <c r="D106" s="1990" t="s">
        <v>949</v>
      </c>
      <c r="E106" s="1990" t="s">
        <v>1054</v>
      </c>
      <c r="F106" s="1991">
        <v>39463</v>
      </c>
      <c r="G106" s="1991">
        <v>386737750</v>
      </c>
      <c r="H106" s="1991">
        <v>39111</v>
      </c>
      <c r="I106" s="1991">
        <v>40599</v>
      </c>
      <c r="J106" s="1991">
        <v>37366</v>
      </c>
      <c r="K106" s="1990">
        <v>9800</v>
      </c>
      <c r="L106" s="1990">
        <v>13525</v>
      </c>
      <c r="M106" s="1990">
        <v>9800</v>
      </c>
      <c r="N106" s="1990" t="s">
        <v>1052</v>
      </c>
      <c r="O106" s="1990" t="s">
        <v>8291</v>
      </c>
      <c r="P106" s="1990" t="s">
        <v>949</v>
      </c>
      <c r="Q106" s="1990" t="s">
        <v>1078</v>
      </c>
      <c r="R106" s="1990" t="s">
        <v>1054</v>
      </c>
    </row>
    <row r="107" spans="1:18">
      <c r="A107" s="1990" t="s">
        <v>1059</v>
      </c>
      <c r="B107" s="1990" t="s">
        <v>1349</v>
      </c>
      <c r="C107" s="1990" t="s">
        <v>1050</v>
      </c>
      <c r="D107" s="1990" t="s">
        <v>908</v>
      </c>
      <c r="E107" s="1990" t="s">
        <v>1054</v>
      </c>
      <c r="F107" s="1991">
        <v>27519</v>
      </c>
      <c r="G107" s="1991">
        <v>165113850</v>
      </c>
      <c r="H107" s="1991">
        <v>27498</v>
      </c>
      <c r="I107" s="1991">
        <v>28000</v>
      </c>
      <c r="J107" s="1991">
        <v>27497</v>
      </c>
      <c r="K107" s="1990">
        <v>6000</v>
      </c>
      <c r="L107" s="1991">
        <v>12290</v>
      </c>
      <c r="M107" s="1991">
        <v>6000</v>
      </c>
      <c r="N107" s="1990" t="s">
        <v>1052</v>
      </c>
      <c r="O107" s="1990" t="s">
        <v>8291</v>
      </c>
      <c r="P107" s="1990" t="s">
        <v>908</v>
      </c>
      <c r="Q107" s="1990" t="s">
        <v>1053</v>
      </c>
      <c r="R107" s="1990" t="s">
        <v>1054</v>
      </c>
    </row>
    <row r="108" spans="1:18">
      <c r="A108" s="1990" t="s">
        <v>1057</v>
      </c>
      <c r="B108" s="1990" t="s">
        <v>1341</v>
      </c>
      <c r="C108" s="1990" t="s">
        <v>1050</v>
      </c>
      <c r="D108" s="1990" t="s">
        <v>904</v>
      </c>
      <c r="E108" s="1990" t="s">
        <v>1054</v>
      </c>
      <c r="F108" s="1991">
        <v>46733</v>
      </c>
      <c r="G108" s="1991">
        <v>373860150</v>
      </c>
      <c r="H108" s="1991">
        <v>46429</v>
      </c>
      <c r="I108" s="1991">
        <v>47399</v>
      </c>
      <c r="J108" s="1991">
        <v>40781</v>
      </c>
      <c r="K108" s="1990">
        <v>8000</v>
      </c>
      <c r="L108" s="1990">
        <v>10925</v>
      </c>
      <c r="M108" s="1990">
        <v>8000</v>
      </c>
      <c r="N108" s="1990" t="s">
        <v>1052</v>
      </c>
      <c r="O108" s="1990" t="s">
        <v>8291</v>
      </c>
      <c r="P108" s="1990" t="s">
        <v>904</v>
      </c>
      <c r="Q108" s="1990" t="s">
        <v>1053</v>
      </c>
      <c r="R108" s="1990" t="s">
        <v>1054</v>
      </c>
    </row>
    <row r="109" spans="1:18">
      <c r="A109" s="1990" t="s">
        <v>1068</v>
      </c>
      <c r="B109" s="1990" t="s">
        <v>1318</v>
      </c>
      <c r="C109" s="1990" t="s">
        <v>1050</v>
      </c>
      <c r="D109" s="1990" t="s">
        <v>906</v>
      </c>
      <c r="E109" s="1990" t="s">
        <v>1054</v>
      </c>
      <c r="F109" s="1991">
        <v>31486</v>
      </c>
      <c r="G109" s="1991">
        <v>251886290</v>
      </c>
      <c r="H109" s="1991">
        <v>31310</v>
      </c>
      <c r="I109" s="1991">
        <v>31659</v>
      </c>
      <c r="J109" s="1991">
        <v>31300</v>
      </c>
      <c r="K109" s="1990">
        <v>8000</v>
      </c>
      <c r="L109" s="1990">
        <v>8690</v>
      </c>
      <c r="M109" s="1990">
        <v>8000</v>
      </c>
      <c r="N109" s="1990" t="s">
        <v>1052</v>
      </c>
      <c r="O109" s="1990" t="s">
        <v>8291</v>
      </c>
      <c r="P109" s="1990" t="s">
        <v>906</v>
      </c>
      <c r="Q109" s="1990" t="s">
        <v>1063</v>
      </c>
      <c r="R109" s="1990" t="s">
        <v>1054</v>
      </c>
    </row>
    <row r="110" spans="1:18" ht="30">
      <c r="A110" s="1990" t="s">
        <v>1085</v>
      </c>
      <c r="B110" s="1990" t="s">
        <v>1099</v>
      </c>
      <c r="C110" s="1990" t="s">
        <v>1050</v>
      </c>
      <c r="D110" s="1990" t="s">
        <v>954</v>
      </c>
      <c r="E110" s="1990" t="s">
        <v>1054</v>
      </c>
      <c r="F110" s="1991">
        <v>32385</v>
      </c>
      <c r="G110" s="1991">
        <v>16192500</v>
      </c>
      <c r="H110" s="1991">
        <v>32049</v>
      </c>
      <c r="I110" s="1991">
        <v>32889</v>
      </c>
      <c r="J110" s="1991">
        <v>26896</v>
      </c>
      <c r="K110" s="1990">
        <v>500</v>
      </c>
      <c r="L110" s="1990">
        <v>1300</v>
      </c>
      <c r="M110" s="1990">
        <v>500</v>
      </c>
      <c r="N110" s="1990" t="s">
        <v>1052</v>
      </c>
      <c r="O110" s="1990" t="s">
        <v>8291</v>
      </c>
      <c r="P110" s="1990" t="s">
        <v>954</v>
      </c>
      <c r="Q110" s="1990" t="s">
        <v>1090</v>
      </c>
      <c r="R110" s="1990" t="s">
        <v>1054</v>
      </c>
    </row>
    <row r="111" spans="1:18" ht="30">
      <c r="A111" s="1990" t="s">
        <v>1076</v>
      </c>
      <c r="B111" s="1990" t="s">
        <v>1380</v>
      </c>
      <c r="C111" s="1990" t="s">
        <v>1050</v>
      </c>
      <c r="D111" s="1990" t="s">
        <v>948</v>
      </c>
      <c r="E111" s="1990" t="s">
        <v>1054</v>
      </c>
      <c r="F111" s="1991">
        <v>47771</v>
      </c>
      <c r="G111" s="1991">
        <v>66879970</v>
      </c>
      <c r="H111" s="1991">
        <v>47599</v>
      </c>
      <c r="I111" s="1991">
        <v>48045</v>
      </c>
      <c r="J111" s="1991">
        <v>46584</v>
      </c>
      <c r="K111" s="1990">
        <v>1400</v>
      </c>
      <c r="L111" s="1990">
        <v>1880</v>
      </c>
      <c r="M111" s="1990">
        <v>1400</v>
      </c>
      <c r="N111" s="1990" t="s">
        <v>1052</v>
      </c>
      <c r="O111" s="1990" t="s">
        <v>8291</v>
      </c>
      <c r="P111" s="1990" t="s">
        <v>948</v>
      </c>
      <c r="Q111" s="1990" t="s">
        <v>1209</v>
      </c>
      <c r="R111" s="1990" t="s">
        <v>1054</v>
      </c>
    </row>
    <row r="112" spans="1:18">
      <c r="A112" s="1990" t="s">
        <v>1057</v>
      </c>
      <c r="B112" s="1990" t="s">
        <v>1058</v>
      </c>
      <c r="C112" s="1990" t="s">
        <v>1050</v>
      </c>
      <c r="D112" s="1990" t="s">
        <v>909</v>
      </c>
      <c r="E112" s="1990" t="s">
        <v>1054</v>
      </c>
      <c r="F112" s="1991">
        <v>40208</v>
      </c>
      <c r="G112" s="1991">
        <v>482496660</v>
      </c>
      <c r="H112" s="1991">
        <v>39799</v>
      </c>
      <c r="I112" s="1991">
        <v>43800</v>
      </c>
      <c r="J112" s="1991">
        <v>37731</v>
      </c>
      <c r="K112" s="1990">
        <v>12000</v>
      </c>
      <c r="L112" s="1990">
        <v>14890</v>
      </c>
      <c r="M112" s="1990">
        <v>12000</v>
      </c>
      <c r="N112" s="1990" t="s">
        <v>1052</v>
      </c>
      <c r="O112" s="1990" t="s">
        <v>8291</v>
      </c>
      <c r="P112" s="1990" t="s">
        <v>909</v>
      </c>
      <c r="Q112" s="1990" t="s">
        <v>1053</v>
      </c>
      <c r="R112" s="1990" t="s">
        <v>1054</v>
      </c>
    </row>
    <row r="113" spans="1:18">
      <c r="A113" s="1990" t="s">
        <v>1057</v>
      </c>
      <c r="B113" s="1990" t="s">
        <v>1350</v>
      </c>
      <c r="C113" s="1990" t="s">
        <v>1050</v>
      </c>
      <c r="D113" s="1990" t="s">
        <v>908</v>
      </c>
      <c r="E113" s="1990" t="s">
        <v>1054</v>
      </c>
      <c r="F113" s="1991">
        <v>38399</v>
      </c>
      <c r="G113" s="1991">
        <v>115198125</v>
      </c>
      <c r="H113" s="1991">
        <v>38249</v>
      </c>
      <c r="I113" s="1991">
        <v>40159</v>
      </c>
      <c r="J113" s="1991">
        <v>37366</v>
      </c>
      <c r="K113" s="1990">
        <v>3000</v>
      </c>
      <c r="L113" s="1990">
        <v>6700</v>
      </c>
      <c r="M113" s="1990">
        <v>3000</v>
      </c>
      <c r="N113" s="1990" t="s">
        <v>1052</v>
      </c>
      <c r="O113" s="1990" t="s">
        <v>8291</v>
      </c>
      <c r="P113" s="1990" t="s">
        <v>908</v>
      </c>
      <c r="Q113" s="1990" t="s">
        <v>1053</v>
      </c>
      <c r="R113" s="1990" t="s">
        <v>1054</v>
      </c>
    </row>
    <row r="114" spans="1:18" ht="30">
      <c r="A114" s="1990" t="s">
        <v>1076</v>
      </c>
      <c r="B114" s="1990" t="s">
        <v>1102</v>
      </c>
      <c r="C114" s="1990" t="s">
        <v>1050</v>
      </c>
      <c r="D114" s="1990" t="s">
        <v>935</v>
      </c>
      <c r="E114" s="1990" t="s">
        <v>1054</v>
      </c>
      <c r="F114" s="1991">
        <v>40060</v>
      </c>
      <c r="G114" s="1991">
        <v>20029900</v>
      </c>
      <c r="H114" s="1991">
        <v>39999</v>
      </c>
      <c r="I114" s="1991">
        <v>40097</v>
      </c>
      <c r="J114" s="1991">
        <v>38737</v>
      </c>
      <c r="K114" s="1990">
        <v>500</v>
      </c>
      <c r="L114" s="1990">
        <v>825</v>
      </c>
      <c r="M114" s="1990">
        <v>500</v>
      </c>
      <c r="N114" s="1990" t="s">
        <v>1052</v>
      </c>
      <c r="O114" s="1990" t="s">
        <v>8291</v>
      </c>
      <c r="P114" s="1990" t="s">
        <v>935</v>
      </c>
      <c r="Q114" s="1990" t="s">
        <v>1087</v>
      </c>
      <c r="R114" s="1990" t="s">
        <v>1054</v>
      </c>
    </row>
    <row r="115" spans="1:18" ht="30">
      <c r="A115" s="1990" t="s">
        <v>1057</v>
      </c>
      <c r="B115" s="1990" t="s">
        <v>1432</v>
      </c>
      <c r="C115" s="1990" t="s">
        <v>1050</v>
      </c>
      <c r="D115" s="1990" t="s">
        <v>926</v>
      </c>
      <c r="E115" s="1990" t="s">
        <v>1054</v>
      </c>
      <c r="F115" s="1991">
        <v>44435</v>
      </c>
      <c r="G115" s="1991">
        <v>177739770</v>
      </c>
      <c r="H115" s="1991">
        <v>44300</v>
      </c>
      <c r="I115" s="1991">
        <v>44599</v>
      </c>
      <c r="J115" s="1991">
        <v>43836</v>
      </c>
      <c r="K115" s="1990">
        <v>4000</v>
      </c>
      <c r="L115" s="1991">
        <v>5120</v>
      </c>
      <c r="M115" s="1991">
        <v>4000</v>
      </c>
      <c r="N115" s="1990" t="s">
        <v>1052</v>
      </c>
      <c r="O115" s="1990" t="s">
        <v>8291</v>
      </c>
      <c r="P115" s="1990" t="s">
        <v>926</v>
      </c>
      <c r="Q115" s="1990" t="s">
        <v>1252</v>
      </c>
      <c r="R115" s="1990" t="s">
        <v>1054</v>
      </c>
    </row>
    <row r="116" spans="1:18" ht="30">
      <c r="A116" s="1990" t="s">
        <v>1057</v>
      </c>
      <c r="B116" s="1990" t="s">
        <v>1069</v>
      </c>
      <c r="C116" s="1990" t="s">
        <v>1050</v>
      </c>
      <c r="D116" s="1990" t="s">
        <v>953</v>
      </c>
      <c r="E116" s="1990" t="s">
        <v>1054</v>
      </c>
      <c r="F116" s="1991">
        <v>39407</v>
      </c>
      <c r="G116" s="1991">
        <v>137923150</v>
      </c>
      <c r="H116" s="1991">
        <v>39199</v>
      </c>
      <c r="I116" s="1991">
        <v>39689</v>
      </c>
      <c r="J116" s="1991">
        <v>37366</v>
      </c>
      <c r="K116" s="1990">
        <v>3500</v>
      </c>
      <c r="L116" s="1991">
        <v>4150</v>
      </c>
      <c r="M116" s="1991">
        <v>3500</v>
      </c>
      <c r="N116" s="1990" t="s">
        <v>1052</v>
      </c>
      <c r="O116" s="1990" t="s">
        <v>8291</v>
      </c>
      <c r="P116" s="1990" t="s">
        <v>1066</v>
      </c>
      <c r="Q116" s="1990" t="s">
        <v>1063</v>
      </c>
      <c r="R116" s="1990" t="s">
        <v>1054</v>
      </c>
    </row>
    <row r="117" spans="1:18" ht="30">
      <c r="A117" s="1990" t="s">
        <v>1059</v>
      </c>
      <c r="B117" s="1990" t="s">
        <v>1100</v>
      </c>
      <c r="C117" s="1990" t="s">
        <v>1050</v>
      </c>
      <c r="D117" s="1990" t="s">
        <v>954</v>
      </c>
      <c r="E117" s="1990" t="s">
        <v>1054</v>
      </c>
      <c r="F117" s="1991">
        <v>32263</v>
      </c>
      <c r="G117" s="1991">
        <v>322631350</v>
      </c>
      <c r="H117" s="1991">
        <v>31699</v>
      </c>
      <c r="I117" s="1991">
        <v>32777</v>
      </c>
      <c r="J117" s="1991">
        <v>27248</v>
      </c>
      <c r="K117" s="1990">
        <v>10000</v>
      </c>
      <c r="L117" s="1990">
        <v>12450</v>
      </c>
      <c r="M117" s="1990">
        <v>10000</v>
      </c>
      <c r="N117" s="1990" t="s">
        <v>1052</v>
      </c>
      <c r="O117" s="1990" t="s">
        <v>8291</v>
      </c>
      <c r="P117" s="1990" t="s">
        <v>954</v>
      </c>
      <c r="Q117" s="1990" t="s">
        <v>1090</v>
      </c>
      <c r="R117" s="1990" t="s">
        <v>1054</v>
      </c>
    </row>
    <row r="118" spans="1:18">
      <c r="A118" s="1990" t="s">
        <v>1055</v>
      </c>
      <c r="B118" s="1990" t="s">
        <v>1084</v>
      </c>
      <c r="C118" s="1990" t="s">
        <v>1050</v>
      </c>
      <c r="D118" s="1990" t="s">
        <v>955</v>
      </c>
      <c r="E118" s="1990" t="s">
        <v>1054</v>
      </c>
      <c r="F118" s="1991">
        <v>36365</v>
      </c>
      <c r="G118" s="1991">
        <v>145458750</v>
      </c>
      <c r="H118" s="1991">
        <v>36189</v>
      </c>
      <c r="I118" s="1991">
        <v>37199</v>
      </c>
      <c r="J118" s="1991">
        <v>34876</v>
      </c>
      <c r="K118" s="1990">
        <v>4000</v>
      </c>
      <c r="L118" s="1990">
        <v>10625</v>
      </c>
      <c r="M118" s="1990">
        <v>4000</v>
      </c>
      <c r="N118" s="1990" t="s">
        <v>1052</v>
      </c>
      <c r="O118" s="1990" t="s">
        <v>8291</v>
      </c>
      <c r="P118" s="1990" t="s">
        <v>955</v>
      </c>
      <c r="Q118" s="1990" t="s">
        <v>1080</v>
      </c>
      <c r="R118" s="1990" t="s">
        <v>1054</v>
      </c>
    </row>
    <row r="119" spans="1:18" ht="30">
      <c r="A119" s="1990" t="s">
        <v>1057</v>
      </c>
      <c r="B119" s="1990" t="s">
        <v>1368</v>
      </c>
      <c r="C119" s="1990" t="s">
        <v>1050</v>
      </c>
      <c r="D119" s="1990" t="s">
        <v>940</v>
      </c>
      <c r="E119" s="1990" t="s">
        <v>1054</v>
      </c>
      <c r="F119" s="1991">
        <v>47846</v>
      </c>
      <c r="G119" s="1991">
        <v>143536900</v>
      </c>
      <c r="H119" s="1991">
        <v>47639</v>
      </c>
      <c r="I119" s="1991">
        <v>47869</v>
      </c>
      <c r="J119" s="1991">
        <v>37783</v>
      </c>
      <c r="K119" s="1990">
        <v>3000</v>
      </c>
      <c r="L119" s="1990">
        <v>6325</v>
      </c>
      <c r="M119" s="1990">
        <v>3000</v>
      </c>
      <c r="N119" s="1990" t="s">
        <v>1052</v>
      </c>
      <c r="O119" s="1990" t="s">
        <v>8291</v>
      </c>
      <c r="P119" s="1990" t="s">
        <v>1244</v>
      </c>
      <c r="Q119" s="1990" t="s">
        <v>1075</v>
      </c>
      <c r="R119" s="1990" t="s">
        <v>1054</v>
      </c>
    </row>
    <row r="120" spans="1:18">
      <c r="A120" s="1990" t="s">
        <v>1059</v>
      </c>
      <c r="B120" s="1990" t="s">
        <v>1137</v>
      </c>
      <c r="C120" s="1990" t="s">
        <v>1050</v>
      </c>
      <c r="D120" s="1990" t="s">
        <v>48</v>
      </c>
      <c r="E120" s="1990" t="s">
        <v>1054</v>
      </c>
      <c r="F120" s="1991">
        <v>32626</v>
      </c>
      <c r="G120" s="1991">
        <v>130504450</v>
      </c>
      <c r="H120" s="1991">
        <v>32039</v>
      </c>
      <c r="I120" s="1991">
        <v>32898</v>
      </c>
      <c r="J120" s="1991">
        <v>26446</v>
      </c>
      <c r="K120" s="1990">
        <v>4000</v>
      </c>
      <c r="L120" s="1990">
        <v>10925</v>
      </c>
      <c r="M120" s="1990">
        <v>4000</v>
      </c>
      <c r="N120" s="1990" t="s">
        <v>1052</v>
      </c>
      <c r="O120" s="1990" t="s">
        <v>8291</v>
      </c>
      <c r="P120" s="1990" t="s">
        <v>48</v>
      </c>
      <c r="Q120" s="1990" t="s">
        <v>1083</v>
      </c>
      <c r="R120" s="1990" t="s">
        <v>1054</v>
      </c>
    </row>
    <row r="121" spans="1:18" ht="30">
      <c r="A121" s="1990" t="s">
        <v>1059</v>
      </c>
      <c r="B121" s="1990" t="s">
        <v>1464</v>
      </c>
      <c r="C121" s="1990" t="s">
        <v>1050</v>
      </c>
      <c r="D121" s="1990" t="s">
        <v>934</v>
      </c>
      <c r="E121" s="1990" t="s">
        <v>1054</v>
      </c>
      <c r="F121" s="1991">
        <v>28539</v>
      </c>
      <c r="G121" s="1991">
        <v>17123400</v>
      </c>
      <c r="H121" s="1991">
        <v>28537</v>
      </c>
      <c r="I121" s="1991">
        <v>28549</v>
      </c>
      <c r="J121" s="1991">
        <v>28537</v>
      </c>
      <c r="K121" s="1990">
        <v>600</v>
      </c>
      <c r="L121" s="1990">
        <v>800</v>
      </c>
      <c r="M121" s="1990">
        <v>600</v>
      </c>
      <c r="N121" s="1990" t="s">
        <v>1052</v>
      </c>
      <c r="O121" s="1990" t="s">
        <v>8291</v>
      </c>
      <c r="P121" s="1990" t="s">
        <v>934</v>
      </c>
      <c r="Q121" s="1990" t="s">
        <v>1292</v>
      </c>
      <c r="R121" s="1990" t="s">
        <v>1054</v>
      </c>
    </row>
    <row r="122" spans="1:18" ht="30">
      <c r="A122" s="1990" t="s">
        <v>1057</v>
      </c>
      <c r="B122" s="1990" t="s">
        <v>1378</v>
      </c>
      <c r="C122" s="1990" t="s">
        <v>1050</v>
      </c>
      <c r="D122" s="1990" t="s">
        <v>948</v>
      </c>
      <c r="E122" s="1990" t="s">
        <v>1054</v>
      </c>
      <c r="F122" s="1991">
        <v>48961</v>
      </c>
      <c r="G122" s="1991">
        <v>68545100</v>
      </c>
      <c r="H122" s="1991">
        <v>48700</v>
      </c>
      <c r="I122" s="1991">
        <v>49199</v>
      </c>
      <c r="J122" s="1991">
        <v>47108</v>
      </c>
      <c r="K122" s="1990">
        <v>1400</v>
      </c>
      <c r="L122" s="1990">
        <v>1810</v>
      </c>
      <c r="M122" s="1990">
        <v>1400</v>
      </c>
      <c r="N122" s="1990" t="s">
        <v>1052</v>
      </c>
      <c r="O122" s="1990" t="s">
        <v>8291</v>
      </c>
      <c r="P122" s="1990" t="s">
        <v>948</v>
      </c>
      <c r="Q122" s="1990" t="s">
        <v>1209</v>
      </c>
      <c r="R122" s="1990" t="s">
        <v>1054</v>
      </c>
    </row>
    <row r="123" spans="1:18">
      <c r="A123" s="1990" t="s">
        <v>1068</v>
      </c>
      <c r="B123" s="1990" t="s">
        <v>1121</v>
      </c>
      <c r="C123" s="1990" t="s">
        <v>1050</v>
      </c>
      <c r="D123" s="1990" t="s">
        <v>920</v>
      </c>
      <c r="E123" s="1990" t="s">
        <v>1054</v>
      </c>
      <c r="F123" s="1991">
        <v>26153</v>
      </c>
      <c r="G123" s="1991">
        <v>78460300</v>
      </c>
      <c r="H123" s="1991">
        <v>25839</v>
      </c>
      <c r="I123" s="1991">
        <v>27400</v>
      </c>
      <c r="J123" s="1991">
        <v>25045</v>
      </c>
      <c r="K123" s="1990">
        <v>3000</v>
      </c>
      <c r="L123" s="1990">
        <v>4225</v>
      </c>
      <c r="M123" s="1990">
        <v>3000</v>
      </c>
      <c r="N123" s="1990" t="s">
        <v>1052</v>
      </c>
      <c r="O123" s="1990" t="s">
        <v>8291</v>
      </c>
      <c r="P123" s="1990" t="s">
        <v>920</v>
      </c>
      <c r="Q123" s="1990" t="s">
        <v>1114</v>
      </c>
      <c r="R123" s="1990" t="s">
        <v>1054</v>
      </c>
    </row>
    <row r="124" spans="1:18">
      <c r="A124" s="1990" t="s">
        <v>1068</v>
      </c>
      <c r="B124" s="1990" t="s">
        <v>1331</v>
      </c>
      <c r="C124" s="1990" t="s">
        <v>1050</v>
      </c>
      <c r="D124" s="1990" t="s">
        <v>898</v>
      </c>
      <c r="E124" s="1990" t="s">
        <v>1054</v>
      </c>
      <c r="F124" s="1991">
        <v>41626</v>
      </c>
      <c r="G124" s="1991">
        <v>62438500</v>
      </c>
      <c r="H124" s="1991">
        <v>41539</v>
      </c>
      <c r="I124" s="1991">
        <v>41669</v>
      </c>
      <c r="J124" s="1991">
        <v>30375</v>
      </c>
      <c r="K124" s="1990">
        <v>1500</v>
      </c>
      <c r="L124" s="1990">
        <v>2600</v>
      </c>
      <c r="M124" s="1990">
        <v>1500</v>
      </c>
      <c r="N124" s="1990" t="s">
        <v>1052</v>
      </c>
      <c r="O124" s="1990" t="s">
        <v>8291</v>
      </c>
      <c r="P124" s="1990" t="s">
        <v>898</v>
      </c>
      <c r="Q124" s="1990" t="s">
        <v>1053</v>
      </c>
      <c r="R124" s="1990" t="s">
        <v>1054</v>
      </c>
    </row>
    <row r="125" spans="1:18" ht="45">
      <c r="A125" s="1990" t="s">
        <v>1057</v>
      </c>
      <c r="B125" s="1990" t="s">
        <v>1440</v>
      </c>
      <c r="C125" s="1990" t="s">
        <v>1050</v>
      </c>
      <c r="D125" s="1990" t="s">
        <v>936</v>
      </c>
      <c r="E125" s="1990" t="s">
        <v>1054</v>
      </c>
      <c r="F125" s="1991">
        <v>39721</v>
      </c>
      <c r="G125" s="1991">
        <v>182718475</v>
      </c>
      <c r="H125" s="1991">
        <v>39690</v>
      </c>
      <c r="I125" s="1991">
        <v>40499</v>
      </c>
      <c r="J125" s="1991">
        <v>39689</v>
      </c>
      <c r="K125" s="1990">
        <v>4600</v>
      </c>
      <c r="L125" s="1990">
        <v>5475</v>
      </c>
      <c r="M125" s="1990">
        <v>4600</v>
      </c>
      <c r="N125" s="1990" t="s">
        <v>1052</v>
      </c>
      <c r="O125" s="1990" t="s">
        <v>8291</v>
      </c>
      <c r="P125" s="1990" t="s">
        <v>1136</v>
      </c>
      <c r="Q125" s="1990" t="s">
        <v>8292</v>
      </c>
      <c r="R125" s="1990" t="s">
        <v>1054</v>
      </c>
    </row>
    <row r="126" spans="1:18" ht="30">
      <c r="A126" s="1990" t="s">
        <v>1085</v>
      </c>
      <c r="B126" s="1990" t="s">
        <v>1354</v>
      </c>
      <c r="C126" s="1990" t="s">
        <v>1050</v>
      </c>
      <c r="D126" s="1990" t="s">
        <v>901</v>
      </c>
      <c r="E126" s="1990" t="s">
        <v>1054</v>
      </c>
      <c r="F126" s="1991">
        <v>31533</v>
      </c>
      <c r="G126" s="1991">
        <v>315332025</v>
      </c>
      <c r="H126" s="1991">
        <v>31270</v>
      </c>
      <c r="I126" s="1991">
        <v>33139</v>
      </c>
      <c r="J126" s="1991">
        <v>30030</v>
      </c>
      <c r="K126" s="1990">
        <v>10000</v>
      </c>
      <c r="L126" s="1990">
        <v>15075</v>
      </c>
      <c r="M126" s="1990">
        <v>10000</v>
      </c>
      <c r="N126" s="1990" t="s">
        <v>1052</v>
      </c>
      <c r="O126" s="1990" t="s">
        <v>8291</v>
      </c>
      <c r="P126" s="1990" t="s">
        <v>1198</v>
      </c>
      <c r="Q126" s="1990" t="s">
        <v>1053</v>
      </c>
      <c r="R126" s="1990" t="s">
        <v>1054</v>
      </c>
    </row>
    <row r="127" spans="1:18">
      <c r="A127" s="1990" t="s">
        <v>1415</v>
      </c>
      <c r="B127" s="1990" t="s">
        <v>1416</v>
      </c>
      <c r="C127" s="1990" t="s">
        <v>1050</v>
      </c>
      <c r="D127" s="1990" t="s">
        <v>920</v>
      </c>
      <c r="E127" s="1990" t="s">
        <v>1054</v>
      </c>
      <c r="F127" s="1991">
        <v>35769</v>
      </c>
      <c r="G127" s="1991">
        <v>35769000</v>
      </c>
      <c r="H127" s="1991">
        <v>35709</v>
      </c>
      <c r="I127" s="1991">
        <v>36009</v>
      </c>
      <c r="J127" s="1991">
        <v>35676</v>
      </c>
      <c r="K127" s="1990">
        <v>1000</v>
      </c>
      <c r="L127" s="1990">
        <v>1275</v>
      </c>
      <c r="M127" s="1990">
        <v>1000</v>
      </c>
      <c r="N127" s="1990" t="s">
        <v>1052</v>
      </c>
      <c r="O127" s="1990" t="s">
        <v>8291</v>
      </c>
      <c r="P127" s="1990" t="s">
        <v>920</v>
      </c>
      <c r="Q127" s="1990" t="s">
        <v>1114</v>
      </c>
      <c r="R127" s="1990" t="s">
        <v>1054</v>
      </c>
    </row>
    <row r="128" spans="1:18">
      <c r="A128" s="1990" t="s">
        <v>1055</v>
      </c>
      <c r="B128" s="1990" t="s">
        <v>1056</v>
      </c>
      <c r="C128" s="1990" t="s">
        <v>1050</v>
      </c>
      <c r="D128" s="1990" t="s">
        <v>912</v>
      </c>
      <c r="E128" s="1990" t="s">
        <v>1054</v>
      </c>
      <c r="F128" s="1991">
        <v>44087</v>
      </c>
      <c r="G128" s="1991">
        <v>154302750</v>
      </c>
      <c r="H128" s="1991">
        <v>43669</v>
      </c>
      <c r="I128" s="1991">
        <v>45299</v>
      </c>
      <c r="J128" s="1991">
        <v>38148</v>
      </c>
      <c r="K128" s="1990">
        <v>3500</v>
      </c>
      <c r="L128" s="1990">
        <v>5950</v>
      </c>
      <c r="M128" s="1990">
        <v>3500</v>
      </c>
      <c r="N128" s="1990" t="s">
        <v>1052</v>
      </c>
      <c r="O128" s="1990" t="s">
        <v>8291</v>
      </c>
      <c r="P128" s="1990" t="s">
        <v>912</v>
      </c>
      <c r="Q128" s="1990" t="s">
        <v>1053</v>
      </c>
      <c r="R128" s="1990" t="s">
        <v>1054</v>
      </c>
    </row>
    <row r="129" spans="1:18">
      <c r="A129" s="1990" t="s">
        <v>1055</v>
      </c>
      <c r="B129" s="1990" t="s">
        <v>1373</v>
      </c>
      <c r="C129" s="1990" t="s">
        <v>1050</v>
      </c>
      <c r="D129" s="1990" t="s">
        <v>907</v>
      </c>
      <c r="E129" s="1990" t="s">
        <v>1054</v>
      </c>
      <c r="F129" s="1991">
        <v>40419</v>
      </c>
      <c r="G129" s="1991">
        <v>20209350</v>
      </c>
      <c r="H129" s="1991">
        <v>40170</v>
      </c>
      <c r="I129" s="1991">
        <v>41709</v>
      </c>
      <c r="J129" s="1991">
        <v>35242</v>
      </c>
      <c r="K129" s="1990">
        <v>500</v>
      </c>
      <c r="L129" s="1990">
        <v>1600</v>
      </c>
      <c r="M129" s="1990">
        <v>500</v>
      </c>
      <c r="N129" s="1990" t="s">
        <v>1052</v>
      </c>
      <c r="O129" s="1990" t="s">
        <v>8291</v>
      </c>
      <c r="P129" s="1990" t="s">
        <v>907</v>
      </c>
      <c r="Q129" s="1990" t="s">
        <v>1075</v>
      </c>
      <c r="R129" s="1990" t="s">
        <v>1054</v>
      </c>
    </row>
    <row r="130" spans="1:18" ht="30">
      <c r="A130" s="1990" t="s">
        <v>1059</v>
      </c>
      <c r="B130" s="1990" t="s">
        <v>1362</v>
      </c>
      <c r="C130" s="1990" t="s">
        <v>1050</v>
      </c>
      <c r="D130" s="1990" t="s">
        <v>917</v>
      </c>
      <c r="E130" s="1990" t="s">
        <v>1054</v>
      </c>
      <c r="F130" s="1991">
        <v>27249</v>
      </c>
      <c r="G130" s="1991">
        <v>217992300</v>
      </c>
      <c r="H130" s="1991">
        <v>27109</v>
      </c>
      <c r="I130" s="1991">
        <v>27889</v>
      </c>
      <c r="J130" s="1991">
        <v>27038</v>
      </c>
      <c r="K130" s="1990">
        <v>8000</v>
      </c>
      <c r="L130" s="1990">
        <v>8400</v>
      </c>
      <c r="M130" s="1990">
        <v>8000</v>
      </c>
      <c r="N130" s="1990" t="s">
        <v>1052</v>
      </c>
      <c r="O130" s="1990" t="s">
        <v>8291</v>
      </c>
      <c r="P130" s="1990" t="s">
        <v>1074</v>
      </c>
      <c r="Q130" s="1990" t="s">
        <v>1075</v>
      </c>
      <c r="R130" s="1990" t="s">
        <v>1054</v>
      </c>
    </row>
    <row r="131" spans="1:18" ht="30">
      <c r="A131" s="1990" t="s">
        <v>1085</v>
      </c>
      <c r="B131" s="1990" t="s">
        <v>1381</v>
      </c>
      <c r="C131" s="1990" t="s">
        <v>1050</v>
      </c>
      <c r="D131" s="1990" t="s">
        <v>948</v>
      </c>
      <c r="E131" s="1990" t="s">
        <v>1054</v>
      </c>
      <c r="F131" s="1991">
        <v>33950</v>
      </c>
      <c r="G131" s="1991">
        <v>112035150</v>
      </c>
      <c r="H131" s="1991">
        <v>33699</v>
      </c>
      <c r="I131" s="1991">
        <v>34669</v>
      </c>
      <c r="J131" s="1991">
        <v>29900</v>
      </c>
      <c r="K131" s="1990">
        <v>3300</v>
      </c>
      <c r="L131" s="1990">
        <v>6770</v>
      </c>
      <c r="M131" s="1990">
        <v>3300</v>
      </c>
      <c r="N131" s="1990" t="s">
        <v>1052</v>
      </c>
      <c r="O131" s="1990" t="s">
        <v>8291</v>
      </c>
      <c r="P131" s="1990" t="s">
        <v>948</v>
      </c>
      <c r="Q131" s="1990" t="s">
        <v>1209</v>
      </c>
      <c r="R131" s="1990" t="s">
        <v>1054</v>
      </c>
    </row>
    <row r="132" spans="1:18" ht="30">
      <c r="A132" s="1990" t="s">
        <v>1112</v>
      </c>
      <c r="B132" s="1990" t="s">
        <v>1353</v>
      </c>
      <c r="C132" s="1990" t="s">
        <v>1050</v>
      </c>
      <c r="D132" s="1990" t="s">
        <v>901</v>
      </c>
      <c r="E132" s="1990" t="s">
        <v>1054</v>
      </c>
      <c r="F132" s="1991">
        <v>32315</v>
      </c>
      <c r="G132" s="1991">
        <v>64630175</v>
      </c>
      <c r="H132" s="1991">
        <v>32042</v>
      </c>
      <c r="I132" s="1991">
        <v>32909</v>
      </c>
      <c r="J132" s="1991">
        <v>28922</v>
      </c>
      <c r="K132" s="1990">
        <v>2000</v>
      </c>
      <c r="L132" s="1990">
        <v>6075</v>
      </c>
      <c r="M132" s="1990">
        <v>2000</v>
      </c>
      <c r="N132" s="1990" t="s">
        <v>1052</v>
      </c>
      <c r="O132" s="1990" t="s">
        <v>8291</v>
      </c>
      <c r="P132" s="1990" t="s">
        <v>1198</v>
      </c>
      <c r="Q132" s="1990" t="s">
        <v>1053</v>
      </c>
      <c r="R132" s="1990" t="s">
        <v>1054</v>
      </c>
    </row>
    <row r="133" spans="1:18">
      <c r="A133" s="1990" t="s">
        <v>1059</v>
      </c>
      <c r="B133" s="1990" t="s">
        <v>1122</v>
      </c>
      <c r="C133" s="1990" t="s">
        <v>1050</v>
      </c>
      <c r="D133" s="1990" t="s">
        <v>920</v>
      </c>
      <c r="E133" s="1990" t="s">
        <v>1054</v>
      </c>
      <c r="F133" s="1991">
        <v>26343</v>
      </c>
      <c r="G133" s="1991">
        <v>131712575</v>
      </c>
      <c r="H133" s="1991">
        <v>26302</v>
      </c>
      <c r="I133" s="1991">
        <v>26809</v>
      </c>
      <c r="J133" s="1991">
        <v>26295</v>
      </c>
      <c r="K133" s="1990">
        <v>5000</v>
      </c>
      <c r="L133" s="1990">
        <v>5575</v>
      </c>
      <c r="M133" s="1990">
        <v>5000</v>
      </c>
      <c r="N133" s="1990" t="s">
        <v>1052</v>
      </c>
      <c r="O133" s="1990" t="s">
        <v>8291</v>
      </c>
      <c r="P133" s="1990" t="s">
        <v>920</v>
      </c>
      <c r="Q133" s="1990" t="s">
        <v>1114</v>
      </c>
      <c r="R133" s="1990" t="s">
        <v>1054</v>
      </c>
    </row>
    <row r="134" spans="1:18">
      <c r="A134" s="1990" t="s">
        <v>1061</v>
      </c>
      <c r="B134" s="1990" t="s">
        <v>1383</v>
      </c>
      <c r="C134" s="1990" t="s">
        <v>1050</v>
      </c>
      <c r="D134" s="1990" t="s">
        <v>947</v>
      </c>
      <c r="E134" s="1990" t="s">
        <v>1054</v>
      </c>
      <c r="F134" s="1991">
        <v>49497</v>
      </c>
      <c r="G134" s="1991">
        <v>173237925</v>
      </c>
      <c r="H134" s="1991">
        <v>48500</v>
      </c>
      <c r="I134" s="1991">
        <v>51500</v>
      </c>
      <c r="J134" s="1991">
        <v>43983</v>
      </c>
      <c r="K134" s="1991">
        <v>3500</v>
      </c>
      <c r="L134" s="1991">
        <v>12175</v>
      </c>
      <c r="M134" s="1991">
        <v>3500</v>
      </c>
      <c r="N134" s="1990" t="s">
        <v>1052</v>
      </c>
      <c r="O134" s="1990" t="s">
        <v>8291</v>
      </c>
      <c r="P134" s="1990" t="s">
        <v>1264</v>
      </c>
      <c r="Q134" s="1990" t="s">
        <v>1078</v>
      </c>
      <c r="R134" s="1990" t="s">
        <v>1054</v>
      </c>
    </row>
    <row r="135" spans="1:18">
      <c r="A135" s="1990" t="s">
        <v>1057</v>
      </c>
      <c r="B135" s="1990" t="s">
        <v>1417</v>
      </c>
      <c r="C135" s="1990" t="s">
        <v>1050</v>
      </c>
      <c r="D135" s="1990" t="s">
        <v>959</v>
      </c>
      <c r="E135" s="1990" t="s">
        <v>1054</v>
      </c>
      <c r="F135" s="1991">
        <v>37380</v>
      </c>
      <c r="G135" s="1991">
        <v>93449340</v>
      </c>
      <c r="H135" s="1991">
        <v>37366</v>
      </c>
      <c r="I135" s="1991">
        <v>37699</v>
      </c>
      <c r="J135" s="1991">
        <v>37366</v>
      </c>
      <c r="K135" s="1991">
        <v>2500</v>
      </c>
      <c r="L135" s="1991">
        <v>2630</v>
      </c>
      <c r="M135" s="1991">
        <v>2500</v>
      </c>
      <c r="N135" s="1990" t="s">
        <v>1052</v>
      </c>
      <c r="O135" s="1990" t="s">
        <v>8291</v>
      </c>
      <c r="P135" s="1990" t="s">
        <v>959</v>
      </c>
      <c r="Q135" s="1990" t="s">
        <v>1083</v>
      </c>
      <c r="R135" s="1990" t="s">
        <v>1054</v>
      </c>
    </row>
    <row r="136" spans="1:18">
      <c r="A136" s="1990" t="s">
        <v>1076</v>
      </c>
      <c r="B136" s="1990" t="s">
        <v>1469</v>
      </c>
      <c r="C136" s="1990" t="s">
        <v>1050</v>
      </c>
      <c r="D136" s="1990" t="s">
        <v>952</v>
      </c>
      <c r="E136" s="1990" t="s">
        <v>1054</v>
      </c>
      <c r="F136" s="1991">
        <v>37173</v>
      </c>
      <c r="G136" s="1991">
        <v>18586600</v>
      </c>
      <c r="H136" s="1991">
        <v>37069</v>
      </c>
      <c r="I136" s="1991">
        <v>37889</v>
      </c>
      <c r="J136" s="1991">
        <v>36425</v>
      </c>
      <c r="K136" s="1990">
        <v>500</v>
      </c>
      <c r="L136" s="1990">
        <v>750</v>
      </c>
      <c r="M136" s="1990">
        <v>500</v>
      </c>
      <c r="N136" s="1990" t="s">
        <v>1052</v>
      </c>
      <c r="O136" s="1990" t="s">
        <v>8291</v>
      </c>
      <c r="P136" s="1990" t="s">
        <v>1311</v>
      </c>
      <c r="Q136" s="1990" t="s">
        <v>1312</v>
      </c>
      <c r="R136" s="1990" t="s">
        <v>1054</v>
      </c>
    </row>
    <row r="137" spans="1:18" ht="30">
      <c r="A137" s="1990" t="s">
        <v>1059</v>
      </c>
      <c r="B137" s="1990" t="s">
        <v>1379</v>
      </c>
      <c r="C137" s="1990" t="s">
        <v>1050</v>
      </c>
      <c r="D137" s="1990" t="s">
        <v>948</v>
      </c>
      <c r="E137" s="1990" t="s">
        <v>1054</v>
      </c>
      <c r="F137" s="1991">
        <v>34671</v>
      </c>
      <c r="G137" s="1991">
        <v>114415010</v>
      </c>
      <c r="H137" s="1991">
        <v>34409</v>
      </c>
      <c r="I137" s="1991">
        <v>35699</v>
      </c>
      <c r="J137" s="1991">
        <v>30444</v>
      </c>
      <c r="K137" s="1991">
        <v>3300</v>
      </c>
      <c r="L137" s="1991">
        <v>7060</v>
      </c>
      <c r="M137" s="1991">
        <v>3300</v>
      </c>
      <c r="N137" s="1990" t="s">
        <v>1052</v>
      </c>
      <c r="O137" s="1990" t="s">
        <v>8291</v>
      </c>
      <c r="P137" s="1990" t="s">
        <v>948</v>
      </c>
      <c r="Q137" s="1990" t="s">
        <v>1209</v>
      </c>
      <c r="R137" s="1990" t="s">
        <v>1054</v>
      </c>
    </row>
    <row r="138" spans="1:18" ht="30">
      <c r="A138" s="1990" t="s">
        <v>1061</v>
      </c>
      <c r="B138" s="1990" t="s">
        <v>1097</v>
      </c>
      <c r="C138" s="1990" t="s">
        <v>1050</v>
      </c>
      <c r="D138" s="1990" t="s">
        <v>957</v>
      </c>
      <c r="E138" s="1990" t="s">
        <v>1054</v>
      </c>
      <c r="F138" s="1991">
        <v>37120</v>
      </c>
      <c r="G138" s="1991">
        <v>185601425</v>
      </c>
      <c r="H138" s="1991">
        <v>36999</v>
      </c>
      <c r="I138" s="1991">
        <v>37455</v>
      </c>
      <c r="J138" s="1991">
        <v>36331</v>
      </c>
      <c r="K138" s="1991">
        <v>5000</v>
      </c>
      <c r="L138" s="1991">
        <v>6350</v>
      </c>
      <c r="M138" s="1991">
        <v>5000</v>
      </c>
      <c r="N138" s="1990" t="s">
        <v>1052</v>
      </c>
      <c r="O138" s="1990" t="s">
        <v>8291</v>
      </c>
      <c r="P138" s="1990" t="s">
        <v>957</v>
      </c>
      <c r="Q138" s="1990" t="s">
        <v>1090</v>
      </c>
      <c r="R138" s="1990" t="s">
        <v>1054</v>
      </c>
    </row>
    <row r="139" spans="1:18">
      <c r="A139" s="1990" t="s">
        <v>1061</v>
      </c>
      <c r="B139" s="1990" t="s">
        <v>1439</v>
      </c>
      <c r="C139" s="1990" t="s">
        <v>1050</v>
      </c>
      <c r="D139" s="1990" t="s">
        <v>946</v>
      </c>
      <c r="E139" s="1990" t="s">
        <v>1054</v>
      </c>
      <c r="F139" s="1991">
        <v>40922</v>
      </c>
      <c r="G139" s="1991">
        <v>53198975</v>
      </c>
      <c r="H139" s="1991">
        <v>40599</v>
      </c>
      <c r="I139" s="1991">
        <v>41559</v>
      </c>
      <c r="J139" s="1991">
        <v>37001</v>
      </c>
      <c r="K139" s="1991">
        <v>1300</v>
      </c>
      <c r="L139" s="1990">
        <v>2425</v>
      </c>
      <c r="M139" s="1990">
        <v>1300</v>
      </c>
      <c r="N139" s="1990" t="s">
        <v>1052</v>
      </c>
      <c r="O139" s="1990" t="s">
        <v>8291</v>
      </c>
      <c r="P139" s="1990" t="s">
        <v>946</v>
      </c>
      <c r="Q139" s="1990" t="s">
        <v>1438</v>
      </c>
      <c r="R139" s="1990" t="s">
        <v>1054</v>
      </c>
    </row>
    <row r="140" spans="1:18">
      <c r="A140" s="1990" t="s">
        <v>1085</v>
      </c>
      <c r="B140" s="1990" t="s">
        <v>1402</v>
      </c>
      <c r="C140" s="1990" t="s">
        <v>1050</v>
      </c>
      <c r="D140" s="1990" t="s">
        <v>921</v>
      </c>
      <c r="E140" s="1990" t="s">
        <v>1054</v>
      </c>
      <c r="F140" s="1991">
        <v>27994</v>
      </c>
      <c r="G140" s="1991">
        <v>55987575</v>
      </c>
      <c r="H140" s="1991">
        <v>27899</v>
      </c>
      <c r="I140" s="1991">
        <v>28259</v>
      </c>
      <c r="J140" s="1991">
        <v>26769</v>
      </c>
      <c r="K140" s="1990">
        <v>2000</v>
      </c>
      <c r="L140" s="1990">
        <v>2850</v>
      </c>
      <c r="M140" s="1990">
        <v>2000</v>
      </c>
      <c r="N140" s="1990" t="s">
        <v>1052</v>
      </c>
      <c r="O140" s="1990" t="s">
        <v>8291</v>
      </c>
      <c r="P140" s="1990" t="s">
        <v>921</v>
      </c>
      <c r="Q140" s="1990" t="s">
        <v>1114</v>
      </c>
      <c r="R140" s="1990" t="s">
        <v>1054</v>
      </c>
    </row>
    <row r="141" spans="1:18">
      <c r="A141" s="1990" t="s">
        <v>1068</v>
      </c>
      <c r="B141" s="1990" t="s">
        <v>1396</v>
      </c>
      <c r="C141" s="1990" t="s">
        <v>1050</v>
      </c>
      <c r="D141" s="1990" t="s">
        <v>913</v>
      </c>
      <c r="E141" s="1990" t="s">
        <v>1054</v>
      </c>
      <c r="F141" s="1991">
        <v>35147</v>
      </c>
      <c r="G141" s="1991">
        <v>948980150</v>
      </c>
      <c r="H141" s="1991">
        <v>34869</v>
      </c>
      <c r="I141" s="1991">
        <v>35799</v>
      </c>
      <c r="J141" s="1991">
        <v>28753</v>
      </c>
      <c r="K141" s="1990">
        <v>27000</v>
      </c>
      <c r="L141" s="1990">
        <v>36375</v>
      </c>
      <c r="M141" s="1990">
        <v>27000</v>
      </c>
      <c r="N141" s="1990" t="s">
        <v>1052</v>
      </c>
      <c r="O141" s="1990" t="s">
        <v>8291</v>
      </c>
      <c r="P141" s="1990" t="s">
        <v>913</v>
      </c>
      <c r="Q141" s="1990" t="s">
        <v>1090</v>
      </c>
      <c r="R141" s="1990" t="s">
        <v>1054</v>
      </c>
    </row>
    <row r="142" spans="1:18" ht="45">
      <c r="A142" s="1990" t="s">
        <v>1057</v>
      </c>
      <c r="B142" s="1990" t="s">
        <v>1390</v>
      </c>
      <c r="C142" s="1990" t="s">
        <v>1050</v>
      </c>
      <c r="D142" s="1990" t="s">
        <v>925</v>
      </c>
      <c r="E142" s="1990" t="s">
        <v>1054</v>
      </c>
      <c r="F142" s="1991">
        <v>41868</v>
      </c>
      <c r="G142" s="1991">
        <v>376810430</v>
      </c>
      <c r="H142" s="1991">
        <v>41599</v>
      </c>
      <c r="I142" s="1991">
        <v>42099</v>
      </c>
      <c r="J142" s="1991">
        <v>39544</v>
      </c>
      <c r="K142" s="1991">
        <v>9000</v>
      </c>
      <c r="L142" s="1991">
        <v>9940</v>
      </c>
      <c r="M142" s="1991">
        <v>9000</v>
      </c>
      <c r="N142" s="1990" t="s">
        <v>1052</v>
      </c>
      <c r="O142" s="1990" t="s">
        <v>8291</v>
      </c>
      <c r="P142" s="1990" t="s">
        <v>1388</v>
      </c>
      <c r="Q142" s="1990" t="s">
        <v>1389</v>
      </c>
      <c r="R142" s="1990" t="s">
        <v>1054</v>
      </c>
    </row>
    <row r="143" spans="1:18">
      <c r="A143" s="1990" t="s">
        <v>1057</v>
      </c>
      <c r="B143" s="1990" t="s">
        <v>1372</v>
      </c>
      <c r="C143" s="1990" t="s">
        <v>1050</v>
      </c>
      <c r="D143" s="1990" t="s">
        <v>907</v>
      </c>
      <c r="E143" s="1990" t="s">
        <v>1054</v>
      </c>
      <c r="F143" s="1991">
        <v>40755</v>
      </c>
      <c r="G143" s="1991">
        <v>611327700</v>
      </c>
      <c r="H143" s="1991">
        <v>40329</v>
      </c>
      <c r="I143" s="1991">
        <v>42659</v>
      </c>
      <c r="J143" s="1991">
        <v>38760</v>
      </c>
      <c r="K143" s="1990">
        <v>15000</v>
      </c>
      <c r="L143" s="1990">
        <v>19450</v>
      </c>
      <c r="M143" s="1990">
        <v>15000</v>
      </c>
      <c r="N143" s="1990" t="s">
        <v>1052</v>
      </c>
      <c r="O143" s="1990" t="s">
        <v>8291</v>
      </c>
      <c r="P143" s="1990" t="s">
        <v>907</v>
      </c>
      <c r="Q143" s="1990" t="s">
        <v>1075</v>
      </c>
      <c r="R143" s="1990" t="s">
        <v>1054</v>
      </c>
    </row>
    <row r="144" spans="1:18">
      <c r="A144" s="1990" t="s">
        <v>1059</v>
      </c>
      <c r="B144" s="1990" t="s">
        <v>1384</v>
      </c>
      <c r="C144" s="1990" t="s">
        <v>1050</v>
      </c>
      <c r="D144" s="1990" t="s">
        <v>949</v>
      </c>
      <c r="E144" s="1990" t="s">
        <v>1054</v>
      </c>
      <c r="F144" s="1991">
        <v>30550</v>
      </c>
      <c r="G144" s="1991">
        <v>229126700</v>
      </c>
      <c r="H144" s="1991">
        <v>30239</v>
      </c>
      <c r="I144" s="1991">
        <v>31099</v>
      </c>
      <c r="J144" s="1991">
        <v>28491</v>
      </c>
      <c r="K144" s="1990">
        <v>7500</v>
      </c>
      <c r="L144" s="1990">
        <v>10325</v>
      </c>
      <c r="M144" s="1990">
        <v>7500</v>
      </c>
      <c r="N144" s="1990" t="s">
        <v>1052</v>
      </c>
      <c r="O144" s="1990" t="s">
        <v>8291</v>
      </c>
      <c r="P144" s="1990" t="s">
        <v>949</v>
      </c>
      <c r="Q144" s="1990" t="s">
        <v>1078</v>
      </c>
      <c r="R144" s="1990" t="s">
        <v>1054</v>
      </c>
    </row>
    <row r="145" spans="1:18">
      <c r="A145" s="1990" t="s">
        <v>1068</v>
      </c>
      <c r="B145" s="1990" t="s">
        <v>1365</v>
      </c>
      <c r="C145" s="1990" t="s">
        <v>1050</v>
      </c>
      <c r="D145" s="1990" t="s">
        <v>916</v>
      </c>
      <c r="E145" s="1990" t="s">
        <v>1054</v>
      </c>
      <c r="F145" s="1991">
        <v>35515</v>
      </c>
      <c r="G145" s="1991">
        <v>532720450</v>
      </c>
      <c r="H145" s="1991">
        <v>34800</v>
      </c>
      <c r="I145" s="1991">
        <v>36439</v>
      </c>
      <c r="J145" s="1991">
        <v>29171</v>
      </c>
      <c r="K145" s="1990">
        <v>15000</v>
      </c>
      <c r="L145" s="1990">
        <v>23675</v>
      </c>
      <c r="M145" s="1990">
        <v>15000</v>
      </c>
      <c r="N145" s="1990" t="s">
        <v>1052</v>
      </c>
      <c r="O145" s="1990" t="s">
        <v>8291</v>
      </c>
      <c r="P145" s="1990" t="s">
        <v>916</v>
      </c>
      <c r="Q145" s="1990" t="s">
        <v>1075</v>
      </c>
      <c r="R145" s="1990" t="s">
        <v>1054</v>
      </c>
    </row>
    <row r="146" spans="1:18">
      <c r="A146" s="1990" t="s">
        <v>1055</v>
      </c>
      <c r="B146" s="1990" t="s">
        <v>1407</v>
      </c>
      <c r="C146" s="1990" t="s">
        <v>1050</v>
      </c>
      <c r="D146" s="1990" t="s">
        <v>921</v>
      </c>
      <c r="E146" s="1990" t="s">
        <v>1054</v>
      </c>
      <c r="F146" s="1991">
        <v>36272</v>
      </c>
      <c r="G146" s="1991">
        <v>79797550</v>
      </c>
      <c r="H146" s="1991">
        <v>36109</v>
      </c>
      <c r="I146" s="1991">
        <v>36555</v>
      </c>
      <c r="J146" s="1991">
        <v>35398</v>
      </c>
      <c r="K146" s="1990">
        <v>2200</v>
      </c>
      <c r="L146" s="1990">
        <v>2975</v>
      </c>
      <c r="M146" s="1990">
        <v>2200</v>
      </c>
      <c r="N146" s="1990" t="s">
        <v>1052</v>
      </c>
      <c r="O146" s="1990" t="s">
        <v>8291</v>
      </c>
      <c r="P146" s="1990" t="s">
        <v>921</v>
      </c>
      <c r="Q146" s="1990" t="s">
        <v>1114</v>
      </c>
      <c r="R146" s="1990" t="s">
        <v>1054</v>
      </c>
    </row>
    <row r="147" spans="1:18">
      <c r="A147" s="1990" t="s">
        <v>1059</v>
      </c>
      <c r="B147" s="1990" t="s">
        <v>1343</v>
      </c>
      <c r="C147" s="1990" t="s">
        <v>1050</v>
      </c>
      <c r="D147" s="1990" t="s">
        <v>931</v>
      </c>
      <c r="E147" s="1990" t="s">
        <v>1054</v>
      </c>
      <c r="F147" s="1991">
        <v>29506</v>
      </c>
      <c r="G147" s="1991">
        <v>203590200</v>
      </c>
      <c r="H147" s="1991">
        <v>29492</v>
      </c>
      <c r="I147" s="1991">
        <v>29639</v>
      </c>
      <c r="J147" s="1991">
        <v>29491</v>
      </c>
      <c r="K147" s="1991">
        <v>6900</v>
      </c>
      <c r="L147" s="1990">
        <v>7190</v>
      </c>
      <c r="M147" s="1990">
        <v>6900</v>
      </c>
      <c r="N147" s="1990" t="s">
        <v>1052</v>
      </c>
      <c r="O147" s="1990" t="s">
        <v>8291</v>
      </c>
      <c r="P147" s="1990" t="s">
        <v>931</v>
      </c>
      <c r="Q147" s="1990" t="s">
        <v>1053</v>
      </c>
      <c r="R147" s="1990" t="s">
        <v>1054</v>
      </c>
    </row>
    <row r="148" spans="1:18" ht="30">
      <c r="A148" s="1990" t="s">
        <v>1059</v>
      </c>
      <c r="B148" s="1990" t="s">
        <v>1367</v>
      </c>
      <c r="C148" s="1990" t="s">
        <v>1050</v>
      </c>
      <c r="D148" s="1990" t="s">
        <v>940</v>
      </c>
      <c r="E148" s="1990" t="s">
        <v>1054</v>
      </c>
      <c r="F148" s="1991">
        <v>35432</v>
      </c>
      <c r="G148" s="1991">
        <v>460616325</v>
      </c>
      <c r="H148" s="1991">
        <v>34889</v>
      </c>
      <c r="I148" s="1991">
        <v>37009</v>
      </c>
      <c r="J148" s="1991">
        <v>27444</v>
      </c>
      <c r="K148" s="1990">
        <v>13000</v>
      </c>
      <c r="L148" s="1990">
        <v>18200</v>
      </c>
      <c r="M148" s="1990">
        <v>13000</v>
      </c>
      <c r="N148" s="1990" t="s">
        <v>1052</v>
      </c>
      <c r="O148" s="1990" t="s">
        <v>8291</v>
      </c>
      <c r="P148" s="1990" t="s">
        <v>1244</v>
      </c>
      <c r="Q148" s="1990" t="s">
        <v>1075</v>
      </c>
      <c r="R148" s="1990" t="s">
        <v>1054</v>
      </c>
    </row>
    <row r="149" spans="1:18">
      <c r="A149" s="1990" t="s">
        <v>1059</v>
      </c>
      <c r="B149" s="1990" t="s">
        <v>1106</v>
      </c>
      <c r="C149" s="1990" t="s">
        <v>1050</v>
      </c>
      <c r="D149" s="1990" t="s">
        <v>897</v>
      </c>
      <c r="E149" s="1990" t="s">
        <v>1054</v>
      </c>
      <c r="F149" s="1991">
        <v>33180</v>
      </c>
      <c r="G149" s="1991">
        <v>132719660</v>
      </c>
      <c r="H149" s="1991">
        <v>32699</v>
      </c>
      <c r="I149" s="1991">
        <v>33789</v>
      </c>
      <c r="J149" s="1991">
        <v>26446</v>
      </c>
      <c r="K149" s="1990">
        <v>4000</v>
      </c>
      <c r="L149" s="1991">
        <v>9040</v>
      </c>
      <c r="M149" s="1990">
        <v>4000</v>
      </c>
      <c r="N149" s="1990" t="s">
        <v>1052</v>
      </c>
      <c r="O149" s="1990" t="s">
        <v>8291</v>
      </c>
      <c r="P149" s="1990" t="s">
        <v>897</v>
      </c>
      <c r="Q149" s="1990" t="s">
        <v>1053</v>
      </c>
      <c r="R149" s="1990" t="s">
        <v>1054</v>
      </c>
    </row>
    <row r="150" spans="1:18">
      <c r="A150" s="1990" t="s">
        <v>1112</v>
      </c>
      <c r="B150" s="1990" t="s">
        <v>1321</v>
      </c>
      <c r="C150" s="1990" t="s">
        <v>1050</v>
      </c>
      <c r="D150" s="1990" t="s">
        <v>915</v>
      </c>
      <c r="E150" s="1990" t="s">
        <v>1054</v>
      </c>
      <c r="F150" s="1991">
        <v>30225</v>
      </c>
      <c r="G150" s="1991">
        <v>30466512</v>
      </c>
      <c r="H150" s="1991">
        <v>30099</v>
      </c>
      <c r="I150" s="1991">
        <v>30579</v>
      </c>
      <c r="J150" s="1991">
        <v>27206</v>
      </c>
      <c r="K150" s="1991">
        <v>1008</v>
      </c>
      <c r="L150" s="1990">
        <v>1776</v>
      </c>
      <c r="M150" s="1990">
        <v>1008</v>
      </c>
      <c r="N150" s="1990" t="s">
        <v>1052</v>
      </c>
      <c r="O150" s="1990" t="s">
        <v>8291</v>
      </c>
      <c r="P150" s="1990" t="s">
        <v>915</v>
      </c>
      <c r="Q150" s="1990" t="s">
        <v>1053</v>
      </c>
      <c r="R150" s="1990" t="s">
        <v>1054</v>
      </c>
    </row>
    <row r="151" spans="1:18" ht="30">
      <c r="A151" s="1990" t="s">
        <v>1336</v>
      </c>
      <c r="B151" s="1990" t="s">
        <v>1348</v>
      </c>
      <c r="C151" s="1990" t="s">
        <v>1050</v>
      </c>
      <c r="D151" s="1990" t="s">
        <v>939</v>
      </c>
      <c r="E151" s="1990" t="s">
        <v>1054</v>
      </c>
      <c r="F151" s="1991">
        <v>49602</v>
      </c>
      <c r="G151" s="1991">
        <v>24801000</v>
      </c>
      <c r="H151" s="1991">
        <v>49599</v>
      </c>
      <c r="I151" s="1991">
        <v>49609</v>
      </c>
      <c r="J151" s="1991">
        <v>39092</v>
      </c>
      <c r="K151" s="1991">
        <v>500</v>
      </c>
      <c r="L151" s="1991">
        <v>1525</v>
      </c>
      <c r="M151" s="1991">
        <v>500</v>
      </c>
      <c r="N151" s="1990" t="s">
        <v>1052</v>
      </c>
      <c r="O151" s="1990" t="s">
        <v>8291</v>
      </c>
      <c r="P151" s="1990" t="s">
        <v>939</v>
      </c>
      <c r="Q151" s="1990" t="s">
        <v>1053</v>
      </c>
      <c r="R151" s="1990" t="s">
        <v>1054</v>
      </c>
    </row>
    <row r="152" spans="1:18" ht="30">
      <c r="A152" s="1990" t="s">
        <v>1061</v>
      </c>
      <c r="B152" s="1990" t="s">
        <v>1133</v>
      </c>
      <c r="C152" s="1990" t="s">
        <v>1050</v>
      </c>
      <c r="D152" s="1990" t="s">
        <v>923</v>
      </c>
      <c r="E152" s="1990" t="s">
        <v>1054</v>
      </c>
      <c r="F152" s="1991">
        <v>37483</v>
      </c>
      <c r="G152" s="1991">
        <v>48728250</v>
      </c>
      <c r="H152" s="1991">
        <v>37300</v>
      </c>
      <c r="I152" s="1991">
        <v>38199</v>
      </c>
      <c r="J152" s="1991">
        <v>37281</v>
      </c>
      <c r="K152" s="1991">
        <v>1300</v>
      </c>
      <c r="L152" s="1991">
        <v>3175</v>
      </c>
      <c r="M152" s="1991">
        <v>1300</v>
      </c>
      <c r="N152" s="1990" t="s">
        <v>1052</v>
      </c>
      <c r="O152" s="1990" t="s">
        <v>8291</v>
      </c>
      <c r="P152" s="1990" t="s">
        <v>923</v>
      </c>
      <c r="Q152" s="1990" t="s">
        <v>1132</v>
      </c>
      <c r="R152" s="1990" t="s">
        <v>1054</v>
      </c>
    </row>
    <row r="153" spans="1:18">
      <c r="A153" s="1990" t="s">
        <v>1085</v>
      </c>
      <c r="B153" s="1990" t="s">
        <v>1445</v>
      </c>
      <c r="C153" s="1990" t="s">
        <v>1050</v>
      </c>
      <c r="D153" s="1990" t="s">
        <v>933</v>
      </c>
      <c r="E153" s="1990" t="s">
        <v>1054</v>
      </c>
      <c r="F153" s="1991">
        <v>32465</v>
      </c>
      <c r="G153" s="1991">
        <v>81163450</v>
      </c>
      <c r="H153" s="1991">
        <v>32099</v>
      </c>
      <c r="I153" s="1991">
        <v>32869</v>
      </c>
      <c r="J153" s="1991">
        <v>26505</v>
      </c>
      <c r="K153" s="1990">
        <v>2500</v>
      </c>
      <c r="L153" s="1990">
        <v>7250</v>
      </c>
      <c r="M153" s="1990">
        <v>2500</v>
      </c>
      <c r="N153" s="1990" t="s">
        <v>1052</v>
      </c>
      <c r="O153" s="1990" t="s">
        <v>8291</v>
      </c>
      <c r="P153" s="1990" t="s">
        <v>933</v>
      </c>
      <c r="Q153" s="1990" t="s">
        <v>1446</v>
      </c>
      <c r="R153" s="1990" t="s">
        <v>1054</v>
      </c>
    </row>
    <row r="154" spans="1:18" ht="30">
      <c r="A154" s="1990" t="s">
        <v>1061</v>
      </c>
      <c r="B154" s="1990" t="s">
        <v>1141</v>
      </c>
      <c r="C154" s="1990" t="s">
        <v>1050</v>
      </c>
      <c r="D154" s="1990" t="s">
        <v>945</v>
      </c>
      <c r="E154" s="1990" t="s">
        <v>1054</v>
      </c>
      <c r="F154" s="1991">
        <v>36152</v>
      </c>
      <c r="G154" s="1991">
        <v>21691150</v>
      </c>
      <c r="H154" s="1991">
        <v>35989</v>
      </c>
      <c r="I154" s="1991">
        <v>36399</v>
      </c>
      <c r="J154" s="1991">
        <v>35589</v>
      </c>
      <c r="K154" s="1990">
        <v>600</v>
      </c>
      <c r="L154" s="1990">
        <v>825</v>
      </c>
      <c r="M154" s="1990">
        <v>600</v>
      </c>
      <c r="N154" s="1990" t="s">
        <v>1052</v>
      </c>
      <c r="O154" s="1990" t="s">
        <v>8291</v>
      </c>
      <c r="P154" s="1990" t="s">
        <v>1142</v>
      </c>
      <c r="Q154" s="1990" t="s">
        <v>1143</v>
      </c>
      <c r="R154" s="1990" t="s">
        <v>1054</v>
      </c>
    </row>
    <row r="155" spans="1:18">
      <c r="A155" s="1990" t="s">
        <v>1061</v>
      </c>
      <c r="B155" s="1990" t="s">
        <v>1366</v>
      </c>
      <c r="C155" s="1990" t="s">
        <v>1050</v>
      </c>
      <c r="D155" s="1990" t="s">
        <v>916</v>
      </c>
      <c r="E155" s="1990" t="s">
        <v>1054</v>
      </c>
      <c r="F155" s="1991">
        <v>50146</v>
      </c>
      <c r="G155" s="1991">
        <v>150437480</v>
      </c>
      <c r="H155" s="1991">
        <v>49889</v>
      </c>
      <c r="I155" s="1991">
        <v>50610</v>
      </c>
      <c r="J155" s="1991">
        <v>41293</v>
      </c>
      <c r="K155" s="1990">
        <v>3000</v>
      </c>
      <c r="L155" s="1990">
        <v>6300</v>
      </c>
      <c r="M155" s="1990">
        <v>3000</v>
      </c>
      <c r="N155" s="1990" t="s">
        <v>1052</v>
      </c>
      <c r="O155" s="1990" t="s">
        <v>8291</v>
      </c>
      <c r="P155" s="1990" t="s">
        <v>916</v>
      </c>
      <c r="Q155" s="1990" t="s">
        <v>1075</v>
      </c>
      <c r="R155" s="1990" t="s">
        <v>1054</v>
      </c>
    </row>
    <row r="156" spans="1:18" ht="30">
      <c r="A156" s="1990" t="s">
        <v>1068</v>
      </c>
      <c r="B156" s="1990" t="s">
        <v>1356</v>
      </c>
      <c r="C156" s="1990" t="s">
        <v>1050</v>
      </c>
      <c r="D156" s="1990" t="s">
        <v>901</v>
      </c>
      <c r="E156" s="1990" t="s">
        <v>1054</v>
      </c>
      <c r="F156" s="1991">
        <v>36687</v>
      </c>
      <c r="G156" s="1991">
        <v>293494575</v>
      </c>
      <c r="H156" s="1991">
        <v>35059</v>
      </c>
      <c r="I156" s="1991">
        <v>42659</v>
      </c>
      <c r="J156" s="1991">
        <v>33251</v>
      </c>
      <c r="K156" s="1991">
        <v>8000</v>
      </c>
      <c r="L156" s="1991">
        <v>11750</v>
      </c>
      <c r="M156" s="1990">
        <v>8000</v>
      </c>
      <c r="N156" s="1990" t="s">
        <v>1052</v>
      </c>
      <c r="O156" s="1990" t="s">
        <v>8291</v>
      </c>
      <c r="P156" s="1990" t="s">
        <v>1198</v>
      </c>
      <c r="Q156" s="1990" t="s">
        <v>1053</v>
      </c>
      <c r="R156" s="1990" t="s">
        <v>1054</v>
      </c>
    </row>
    <row r="157" spans="1:18">
      <c r="A157" s="1990" t="s">
        <v>1059</v>
      </c>
      <c r="B157" s="1990" t="s">
        <v>1082</v>
      </c>
      <c r="C157" s="1990" t="s">
        <v>1050</v>
      </c>
      <c r="D157" s="1990" t="s">
        <v>959</v>
      </c>
      <c r="E157" s="1990" t="s">
        <v>1054</v>
      </c>
      <c r="F157" s="1991">
        <v>26319</v>
      </c>
      <c r="G157" s="1991">
        <v>263322285</v>
      </c>
      <c r="H157" s="1991">
        <v>26295</v>
      </c>
      <c r="I157" s="1991">
        <v>26899</v>
      </c>
      <c r="J157" s="1991">
        <v>26295</v>
      </c>
      <c r="K157" s="1990">
        <v>10005</v>
      </c>
      <c r="L157" s="1991">
        <v>10395</v>
      </c>
      <c r="M157" s="1990">
        <v>10005</v>
      </c>
      <c r="N157" s="1990" t="s">
        <v>1052</v>
      </c>
      <c r="O157" s="1990" t="s">
        <v>8291</v>
      </c>
      <c r="P157" s="1990" t="s">
        <v>959</v>
      </c>
      <c r="Q157" s="1990" t="s">
        <v>1083</v>
      </c>
      <c r="R157" s="1990" t="s">
        <v>1054</v>
      </c>
    </row>
    <row r="158" spans="1:18">
      <c r="A158" s="1990" t="s">
        <v>1085</v>
      </c>
      <c r="B158" s="1990" t="s">
        <v>1324</v>
      </c>
      <c r="C158" s="1990" t="s">
        <v>1050</v>
      </c>
      <c r="D158" s="1990" t="s">
        <v>900</v>
      </c>
      <c r="E158" s="1990" t="s">
        <v>1054</v>
      </c>
      <c r="F158" s="1991">
        <v>32794</v>
      </c>
      <c r="G158" s="1991">
        <v>278744810</v>
      </c>
      <c r="H158" s="1991">
        <v>32555</v>
      </c>
      <c r="I158" s="1991">
        <v>33399</v>
      </c>
      <c r="J158" s="1991">
        <v>31849</v>
      </c>
      <c r="K158" s="1991">
        <v>8500</v>
      </c>
      <c r="L158" s="1990">
        <v>11550</v>
      </c>
      <c r="M158" s="1990">
        <v>8500</v>
      </c>
      <c r="N158" s="1990" t="s">
        <v>1052</v>
      </c>
      <c r="O158" s="1990" t="s">
        <v>8291</v>
      </c>
      <c r="P158" s="1990" t="s">
        <v>900</v>
      </c>
      <c r="Q158" s="1990" t="s">
        <v>1053</v>
      </c>
      <c r="R158" s="1990" t="s">
        <v>1054</v>
      </c>
    </row>
    <row r="159" spans="1:18" ht="30">
      <c r="A159" s="1990" t="s">
        <v>1059</v>
      </c>
      <c r="B159" s="1990" t="s">
        <v>1420</v>
      </c>
      <c r="C159" s="1990" t="s">
        <v>1050</v>
      </c>
      <c r="D159" s="1990" t="s">
        <v>972</v>
      </c>
      <c r="E159" s="1990" t="s">
        <v>1054</v>
      </c>
      <c r="F159" s="1991">
        <v>29543</v>
      </c>
      <c r="G159" s="1991">
        <v>36928250</v>
      </c>
      <c r="H159" s="1991">
        <v>28219</v>
      </c>
      <c r="I159" s="1991">
        <v>32599</v>
      </c>
      <c r="J159" s="1991">
        <v>28206</v>
      </c>
      <c r="K159" s="1991">
        <v>1250</v>
      </c>
      <c r="L159" s="1990">
        <v>1400</v>
      </c>
      <c r="M159" s="1990">
        <v>1250</v>
      </c>
      <c r="N159" s="1990" t="s">
        <v>1052</v>
      </c>
      <c r="O159" s="1990" t="s">
        <v>8291</v>
      </c>
      <c r="P159" s="1990" t="s">
        <v>972</v>
      </c>
      <c r="Q159" s="1990" t="s">
        <v>1240</v>
      </c>
      <c r="R159" s="1990" t="s">
        <v>1054</v>
      </c>
    </row>
    <row r="160" spans="1:18" ht="30">
      <c r="A160" s="1990" t="s">
        <v>1057</v>
      </c>
      <c r="B160" s="1990" t="s">
        <v>1463</v>
      </c>
      <c r="C160" s="1990" t="s">
        <v>1050</v>
      </c>
      <c r="D160" s="1990" t="s">
        <v>934</v>
      </c>
      <c r="E160" s="1990" t="s">
        <v>1054</v>
      </c>
      <c r="F160" s="1991">
        <v>40232</v>
      </c>
      <c r="G160" s="1991">
        <v>32185200</v>
      </c>
      <c r="H160" s="1991">
        <v>40115</v>
      </c>
      <c r="I160" s="1991">
        <v>40669</v>
      </c>
      <c r="J160" s="1991">
        <v>40115</v>
      </c>
      <c r="K160" s="1991">
        <v>800</v>
      </c>
      <c r="L160" s="1990">
        <v>1525</v>
      </c>
      <c r="M160" s="1990">
        <v>800</v>
      </c>
      <c r="N160" s="1990" t="s">
        <v>1052</v>
      </c>
      <c r="O160" s="1990" t="s">
        <v>8291</v>
      </c>
      <c r="P160" s="1990" t="s">
        <v>934</v>
      </c>
      <c r="Q160" s="1990" t="s">
        <v>1292</v>
      </c>
      <c r="R160" s="1990" t="s">
        <v>1054</v>
      </c>
    </row>
    <row r="161" spans="1:18">
      <c r="A161" s="1990" t="s">
        <v>1059</v>
      </c>
      <c r="B161" s="1990" t="s">
        <v>1403</v>
      </c>
      <c r="C161" s="1990" t="s">
        <v>1050</v>
      </c>
      <c r="D161" s="1990" t="s">
        <v>955</v>
      </c>
      <c r="E161" s="1990" t="s">
        <v>1054</v>
      </c>
      <c r="F161" s="1991">
        <v>27361</v>
      </c>
      <c r="G161" s="1991">
        <v>34201750</v>
      </c>
      <c r="H161" s="1991">
        <v>27019</v>
      </c>
      <c r="I161" s="1991">
        <v>27799</v>
      </c>
      <c r="J161" s="1991">
        <v>26216</v>
      </c>
      <c r="K161" s="1991">
        <v>1250</v>
      </c>
      <c r="L161" s="1991">
        <v>1600</v>
      </c>
      <c r="M161" s="1991">
        <v>1250</v>
      </c>
      <c r="N161" s="1990" t="s">
        <v>1052</v>
      </c>
      <c r="O161" s="1990" t="s">
        <v>8291</v>
      </c>
      <c r="P161" s="1990" t="s">
        <v>955</v>
      </c>
      <c r="Q161" s="1990" t="s">
        <v>1080</v>
      </c>
      <c r="R161" s="1990" t="s">
        <v>1054</v>
      </c>
    </row>
    <row r="162" spans="1:18">
      <c r="A162" s="1990" t="s">
        <v>1057</v>
      </c>
      <c r="B162" s="1990" t="s">
        <v>1323</v>
      </c>
      <c r="C162" s="1990" t="s">
        <v>1050</v>
      </c>
      <c r="D162" s="1990" t="s">
        <v>915</v>
      </c>
      <c r="E162" s="1990" t="s">
        <v>1054</v>
      </c>
      <c r="F162" s="1991">
        <v>47403</v>
      </c>
      <c r="G162" s="1991">
        <v>995466570</v>
      </c>
      <c r="H162" s="1991">
        <v>47100</v>
      </c>
      <c r="I162" s="1991">
        <v>52639</v>
      </c>
      <c r="J162" s="1991">
        <v>40921</v>
      </c>
      <c r="K162" s="1990">
        <v>21000</v>
      </c>
      <c r="L162" s="1990">
        <v>28020</v>
      </c>
      <c r="M162" s="1990">
        <v>21000</v>
      </c>
      <c r="N162" s="1990" t="s">
        <v>1052</v>
      </c>
      <c r="O162" s="1990" t="s">
        <v>8291</v>
      </c>
      <c r="P162" s="1990" t="s">
        <v>915</v>
      </c>
      <c r="Q162" s="1990" t="s">
        <v>1053</v>
      </c>
      <c r="R162" s="1990" t="s">
        <v>1054</v>
      </c>
    </row>
    <row r="163" spans="1:18" ht="30">
      <c r="A163" s="1990" t="s">
        <v>1076</v>
      </c>
      <c r="B163" s="1990" t="s">
        <v>1448</v>
      </c>
      <c r="C163" s="1990" t="s">
        <v>1050</v>
      </c>
      <c r="D163" s="1990" t="s">
        <v>942</v>
      </c>
      <c r="E163" s="1990" t="s">
        <v>1054</v>
      </c>
      <c r="F163" s="1991">
        <v>43841</v>
      </c>
      <c r="G163" s="1991">
        <v>92065540</v>
      </c>
      <c r="H163" s="1991">
        <v>43670</v>
      </c>
      <c r="I163" s="1991">
        <v>44059</v>
      </c>
      <c r="J163" s="1991">
        <v>43214</v>
      </c>
      <c r="K163" s="1990">
        <v>2100</v>
      </c>
      <c r="L163" s="1990">
        <v>4840</v>
      </c>
      <c r="M163" s="1990">
        <v>2100</v>
      </c>
      <c r="N163" s="1990" t="s">
        <v>1052</v>
      </c>
      <c r="O163" s="1990" t="s">
        <v>8291</v>
      </c>
      <c r="P163" s="1990" t="s">
        <v>1117</v>
      </c>
      <c r="Q163" s="1990" t="s">
        <v>1118</v>
      </c>
      <c r="R163" s="1990" t="s">
        <v>1054</v>
      </c>
    </row>
    <row r="164" spans="1:18">
      <c r="A164" s="1990" t="s">
        <v>1059</v>
      </c>
      <c r="B164" s="1990" t="s">
        <v>1371</v>
      </c>
      <c r="C164" s="1990" t="s">
        <v>1050</v>
      </c>
      <c r="D164" s="1990" t="s">
        <v>907</v>
      </c>
      <c r="E164" s="1990" t="s">
        <v>1054</v>
      </c>
      <c r="F164" s="1991">
        <v>34321</v>
      </c>
      <c r="G164" s="1991">
        <v>549140300</v>
      </c>
      <c r="H164" s="1991">
        <v>34099</v>
      </c>
      <c r="I164" s="1991">
        <v>34889</v>
      </c>
      <c r="J164" s="1991">
        <v>29345</v>
      </c>
      <c r="K164" s="1991">
        <v>16000</v>
      </c>
      <c r="L164" s="1990">
        <v>26750</v>
      </c>
      <c r="M164" s="1990">
        <v>16000</v>
      </c>
      <c r="N164" s="1990" t="s">
        <v>1052</v>
      </c>
      <c r="O164" s="1990" t="s">
        <v>8291</v>
      </c>
      <c r="P164" s="1990" t="s">
        <v>907</v>
      </c>
      <c r="Q164" s="1990" t="s">
        <v>1075</v>
      </c>
      <c r="R164" s="1990" t="s">
        <v>1054</v>
      </c>
    </row>
    <row r="165" spans="1:18">
      <c r="A165" s="1990" t="s">
        <v>1059</v>
      </c>
      <c r="B165" s="1990" t="s">
        <v>1363</v>
      </c>
      <c r="C165" s="1990" t="s">
        <v>1050</v>
      </c>
      <c r="D165" s="1990" t="s">
        <v>896</v>
      </c>
      <c r="E165" s="1990" t="s">
        <v>1054</v>
      </c>
      <c r="F165" s="1991">
        <v>29296</v>
      </c>
      <c r="G165" s="1991">
        <v>146479825</v>
      </c>
      <c r="H165" s="1991">
        <v>29288</v>
      </c>
      <c r="I165" s="1991">
        <v>29488</v>
      </c>
      <c r="J165" s="1991">
        <v>29288</v>
      </c>
      <c r="K165" s="1990">
        <v>5000</v>
      </c>
      <c r="L165" s="1990">
        <v>7600</v>
      </c>
      <c r="M165" s="1990">
        <v>5000</v>
      </c>
      <c r="N165" s="1990" t="s">
        <v>1052</v>
      </c>
      <c r="O165" s="1990" t="s">
        <v>8291</v>
      </c>
      <c r="P165" s="1990" t="s">
        <v>896</v>
      </c>
      <c r="Q165" s="1990" t="s">
        <v>1075</v>
      </c>
      <c r="R165" s="1990" t="s">
        <v>1054</v>
      </c>
    </row>
    <row r="166" spans="1:18" ht="30">
      <c r="A166" s="1990" t="s">
        <v>1055</v>
      </c>
      <c r="B166" s="1990" t="s">
        <v>1271</v>
      </c>
      <c r="C166" s="1990" t="s">
        <v>1050</v>
      </c>
      <c r="D166" s="1990" t="s">
        <v>922</v>
      </c>
      <c r="E166" s="1990" t="s">
        <v>1054</v>
      </c>
      <c r="F166" s="1991">
        <v>35064</v>
      </c>
      <c r="G166" s="1991">
        <v>87659750</v>
      </c>
      <c r="H166" s="1991">
        <v>34989</v>
      </c>
      <c r="I166" s="1991">
        <v>35262</v>
      </c>
      <c r="J166" s="1991">
        <v>34876</v>
      </c>
      <c r="K166" s="1990">
        <v>2500</v>
      </c>
      <c r="L166" s="1990">
        <v>3575</v>
      </c>
      <c r="M166" s="1990">
        <v>2500</v>
      </c>
      <c r="N166" s="1990" t="s">
        <v>1052</v>
      </c>
      <c r="O166" s="1990" t="s">
        <v>8291</v>
      </c>
      <c r="P166" s="1990" t="s">
        <v>922</v>
      </c>
      <c r="Q166" s="1990" t="s">
        <v>1087</v>
      </c>
      <c r="R166" s="1990" t="s">
        <v>1054</v>
      </c>
    </row>
    <row r="167" spans="1:18">
      <c r="A167" s="1990" t="s">
        <v>1061</v>
      </c>
      <c r="B167" s="1990" t="s">
        <v>1398</v>
      </c>
      <c r="C167" s="1990" t="s">
        <v>1050</v>
      </c>
      <c r="D167" s="1990" t="s">
        <v>913</v>
      </c>
      <c r="E167" s="1990" t="s">
        <v>1054</v>
      </c>
      <c r="F167" s="1991">
        <v>51591</v>
      </c>
      <c r="G167" s="1991">
        <v>722274150</v>
      </c>
      <c r="H167" s="1991">
        <v>51100</v>
      </c>
      <c r="I167" s="1991">
        <v>53019</v>
      </c>
      <c r="J167" s="1991">
        <v>41178</v>
      </c>
      <c r="K167" s="1990">
        <v>14000</v>
      </c>
      <c r="L167" s="1990">
        <v>26125</v>
      </c>
      <c r="M167" s="1990">
        <v>14000</v>
      </c>
      <c r="N167" s="1990" t="s">
        <v>1052</v>
      </c>
      <c r="O167" s="1990" t="s">
        <v>8291</v>
      </c>
      <c r="P167" s="1990" t="s">
        <v>913</v>
      </c>
      <c r="Q167" s="1990" t="s">
        <v>1090</v>
      </c>
      <c r="R167" s="1990" t="s">
        <v>1054</v>
      </c>
    </row>
    <row r="168" spans="1:18">
      <c r="A168" s="1990" t="s">
        <v>1076</v>
      </c>
      <c r="B168" s="1990" t="s">
        <v>1451</v>
      </c>
      <c r="C168" s="1990" t="s">
        <v>1050</v>
      </c>
      <c r="D168" s="1990" t="s">
        <v>933</v>
      </c>
      <c r="E168" s="1990" t="s">
        <v>1054</v>
      </c>
      <c r="F168" s="1991">
        <v>44423</v>
      </c>
      <c r="G168" s="1991">
        <v>22211250</v>
      </c>
      <c r="H168" s="1991">
        <v>43889</v>
      </c>
      <c r="I168" s="1991">
        <v>45069</v>
      </c>
      <c r="J168" s="1991">
        <v>38641</v>
      </c>
      <c r="K168" s="1990">
        <v>500</v>
      </c>
      <c r="L168" s="1990">
        <v>1475</v>
      </c>
      <c r="M168" s="1990">
        <v>500</v>
      </c>
      <c r="N168" s="1990" t="s">
        <v>1052</v>
      </c>
      <c r="O168" s="1990" t="s">
        <v>8291</v>
      </c>
      <c r="P168" s="1990" t="s">
        <v>933</v>
      </c>
      <c r="Q168" s="1990" t="s">
        <v>1446</v>
      </c>
      <c r="R168" s="1990" t="s">
        <v>1054</v>
      </c>
    </row>
    <row r="169" spans="1:18">
      <c r="A169" s="1990" t="s">
        <v>1061</v>
      </c>
      <c r="B169" s="1990" t="s">
        <v>1342</v>
      </c>
      <c r="C169" s="1990" t="s">
        <v>1050</v>
      </c>
      <c r="D169" s="1990" t="s">
        <v>897</v>
      </c>
      <c r="E169" s="1990" t="s">
        <v>1054</v>
      </c>
      <c r="F169" s="1991">
        <v>45372</v>
      </c>
      <c r="G169" s="1991">
        <v>272233625</v>
      </c>
      <c r="H169" s="1991">
        <v>45060</v>
      </c>
      <c r="I169" s="1991">
        <v>46059</v>
      </c>
      <c r="J169" s="1991">
        <v>36874</v>
      </c>
      <c r="K169" s="1991">
        <v>6000</v>
      </c>
      <c r="L169" s="1991">
        <v>12900</v>
      </c>
      <c r="M169" s="1991">
        <v>6000</v>
      </c>
      <c r="N169" s="1990" t="s">
        <v>1052</v>
      </c>
      <c r="O169" s="1990" t="s">
        <v>8291</v>
      </c>
      <c r="P169" s="1990" t="s">
        <v>897</v>
      </c>
      <c r="Q169" s="1990" t="s">
        <v>1053</v>
      </c>
      <c r="R169" s="1990" t="s">
        <v>1054</v>
      </c>
    </row>
    <row r="170" spans="1:18" ht="30">
      <c r="A170" s="1990" t="s">
        <v>1057</v>
      </c>
      <c r="B170" s="1990" t="s">
        <v>1105</v>
      </c>
      <c r="C170" s="1990" t="s">
        <v>1050</v>
      </c>
      <c r="D170" s="1990" t="s">
        <v>935</v>
      </c>
      <c r="E170" s="1990" t="s">
        <v>1054</v>
      </c>
      <c r="F170" s="1991">
        <v>41928</v>
      </c>
      <c r="G170" s="1991">
        <v>125782500</v>
      </c>
      <c r="H170" s="1991">
        <v>41769</v>
      </c>
      <c r="I170" s="1991">
        <v>44259</v>
      </c>
      <c r="J170" s="1991">
        <v>38645</v>
      </c>
      <c r="K170" s="1990">
        <v>3000</v>
      </c>
      <c r="L170" s="1990">
        <v>10075</v>
      </c>
      <c r="M170" s="1990">
        <v>3000</v>
      </c>
      <c r="N170" s="1990" t="s">
        <v>1052</v>
      </c>
      <c r="O170" s="1990" t="s">
        <v>8291</v>
      </c>
      <c r="P170" s="1990" t="s">
        <v>935</v>
      </c>
      <c r="Q170" s="1990" t="s">
        <v>1087</v>
      </c>
      <c r="R170" s="1990" t="s">
        <v>1054</v>
      </c>
    </row>
    <row r="171" spans="1:18">
      <c r="A171" s="1990" t="s">
        <v>1059</v>
      </c>
      <c r="B171" s="1990" t="s">
        <v>1433</v>
      </c>
      <c r="C171" s="1990" t="s">
        <v>1050</v>
      </c>
      <c r="D171" s="1990" t="s">
        <v>903</v>
      </c>
      <c r="E171" s="1990" t="s">
        <v>1054</v>
      </c>
      <c r="F171" s="1991">
        <v>38493</v>
      </c>
      <c r="G171" s="1991">
        <v>232885200</v>
      </c>
      <c r="H171" s="1991">
        <v>38089</v>
      </c>
      <c r="I171" s="1991">
        <v>39000</v>
      </c>
      <c r="J171" s="1991">
        <v>31641</v>
      </c>
      <c r="K171" s="1991">
        <v>6050</v>
      </c>
      <c r="L171" s="1991">
        <v>11475</v>
      </c>
      <c r="M171" s="1991">
        <v>6050</v>
      </c>
      <c r="N171" s="1990" t="s">
        <v>1052</v>
      </c>
      <c r="O171" s="1990" t="s">
        <v>8291</v>
      </c>
      <c r="P171" s="1990" t="s">
        <v>903</v>
      </c>
      <c r="Q171" s="1990" t="s">
        <v>1218</v>
      </c>
      <c r="R171" s="1990" t="s">
        <v>1054</v>
      </c>
    </row>
    <row r="172" spans="1:18">
      <c r="A172" s="1990" t="s">
        <v>1057</v>
      </c>
      <c r="B172" s="1990" t="s">
        <v>1436</v>
      </c>
      <c r="C172" s="1990" t="s">
        <v>1050</v>
      </c>
      <c r="D172" s="1990" t="s">
        <v>919</v>
      </c>
      <c r="E172" s="1990" t="s">
        <v>1054</v>
      </c>
      <c r="F172" s="1991">
        <v>37899</v>
      </c>
      <c r="G172" s="1991">
        <v>18949425</v>
      </c>
      <c r="H172" s="1991">
        <v>37709</v>
      </c>
      <c r="I172" s="1991">
        <v>38369</v>
      </c>
      <c r="J172" s="1991">
        <v>37366</v>
      </c>
      <c r="K172" s="1991">
        <v>500</v>
      </c>
      <c r="L172" s="1991">
        <v>725</v>
      </c>
      <c r="M172" s="1991">
        <v>500</v>
      </c>
      <c r="N172" s="1990" t="s">
        <v>1052</v>
      </c>
      <c r="O172" s="1990" t="s">
        <v>8291</v>
      </c>
      <c r="P172" s="1990" t="s">
        <v>919</v>
      </c>
      <c r="Q172" s="1990" t="s">
        <v>1274</v>
      </c>
      <c r="R172" s="1990" t="s">
        <v>1054</v>
      </c>
    </row>
    <row r="173" spans="1:18">
      <c r="A173" s="1990" t="s">
        <v>1057</v>
      </c>
      <c r="B173" s="1990" t="s">
        <v>1079</v>
      </c>
      <c r="C173" s="1990" t="s">
        <v>1050</v>
      </c>
      <c r="D173" s="1990" t="s">
        <v>967</v>
      </c>
      <c r="E173" s="1990" t="s">
        <v>1051</v>
      </c>
      <c r="F173" s="1991">
        <v>37366</v>
      </c>
      <c r="G173" s="1991">
        <v>1494640</v>
      </c>
      <c r="H173" s="1991">
        <v>37366</v>
      </c>
      <c r="I173" s="1991">
        <v>37366</v>
      </c>
      <c r="J173" s="1991">
        <v>37366</v>
      </c>
      <c r="K173" s="1990">
        <v>0</v>
      </c>
      <c r="L173" s="1990">
        <v>40</v>
      </c>
      <c r="M173" s="1990">
        <v>40</v>
      </c>
      <c r="N173" s="1990" t="s">
        <v>1052</v>
      </c>
      <c r="O173" s="1990" t="s">
        <v>8291</v>
      </c>
      <c r="P173" s="1990" t="s">
        <v>967</v>
      </c>
      <c r="Q173" s="1990" t="s">
        <v>1080</v>
      </c>
      <c r="R173" s="1990" t="s">
        <v>1067</v>
      </c>
    </row>
    <row r="174" spans="1:18" ht="30">
      <c r="A174" s="1990" t="s">
        <v>1057</v>
      </c>
      <c r="B174" s="1990" t="s">
        <v>1101</v>
      </c>
      <c r="C174" s="1990" t="s">
        <v>1050</v>
      </c>
      <c r="D174" s="1990" t="s">
        <v>954</v>
      </c>
      <c r="E174" s="1990" t="s">
        <v>1054</v>
      </c>
      <c r="F174" s="1991">
        <v>38113</v>
      </c>
      <c r="G174" s="1991">
        <v>247732325</v>
      </c>
      <c r="H174" s="1991">
        <v>37794</v>
      </c>
      <c r="I174" s="1991">
        <v>38409</v>
      </c>
      <c r="J174" s="1991">
        <v>37366</v>
      </c>
      <c r="K174" s="1991">
        <v>6500</v>
      </c>
      <c r="L174" s="1990">
        <v>7500</v>
      </c>
      <c r="M174" s="1990">
        <v>6500</v>
      </c>
      <c r="N174" s="1990" t="s">
        <v>1052</v>
      </c>
      <c r="O174" s="1990" t="s">
        <v>8291</v>
      </c>
      <c r="P174" s="1990" t="s">
        <v>954</v>
      </c>
      <c r="Q174" s="1990" t="s">
        <v>1090</v>
      </c>
      <c r="R174" s="1990" t="s">
        <v>1054</v>
      </c>
    </row>
    <row r="175" spans="1:18" ht="30">
      <c r="A175" s="1990" t="s">
        <v>1085</v>
      </c>
      <c r="B175" s="1990" t="s">
        <v>1086</v>
      </c>
      <c r="C175" s="1990" t="s">
        <v>1050</v>
      </c>
      <c r="D175" s="1990" t="s">
        <v>922</v>
      </c>
      <c r="E175" s="1990" t="s">
        <v>1051</v>
      </c>
      <c r="F175" s="1991">
        <v>25406</v>
      </c>
      <c r="G175" s="1991">
        <v>11432700</v>
      </c>
      <c r="H175" s="1991">
        <v>25406</v>
      </c>
      <c r="I175" s="1991">
        <v>25406</v>
      </c>
      <c r="J175" s="1991">
        <v>25406</v>
      </c>
      <c r="K175" s="1991">
        <v>0</v>
      </c>
      <c r="L175" s="1991">
        <v>450</v>
      </c>
      <c r="M175" s="1991">
        <v>450</v>
      </c>
      <c r="N175" s="1990" t="s">
        <v>1052</v>
      </c>
      <c r="O175" s="1990" t="s">
        <v>8291</v>
      </c>
      <c r="P175" s="1990" t="s">
        <v>922</v>
      </c>
      <c r="Q175" s="1990" t="s">
        <v>1087</v>
      </c>
      <c r="R175" s="1990" t="s">
        <v>1054</v>
      </c>
    </row>
    <row r="176" spans="1:18">
      <c r="A176" s="1990" t="s">
        <v>1059</v>
      </c>
      <c r="B176" s="1990" t="s">
        <v>1400</v>
      </c>
      <c r="C176" s="1990" t="s">
        <v>1050</v>
      </c>
      <c r="D176" s="1990" t="s">
        <v>967</v>
      </c>
      <c r="E176" s="1990" t="s">
        <v>1051</v>
      </c>
      <c r="F176" s="1991">
        <v>26199</v>
      </c>
      <c r="G176" s="1991">
        <v>261990</v>
      </c>
      <c r="H176" s="1991">
        <v>26199</v>
      </c>
      <c r="I176" s="1991">
        <v>26199</v>
      </c>
      <c r="J176" s="1991">
        <v>26199</v>
      </c>
      <c r="K176" s="1991">
        <v>0</v>
      </c>
      <c r="L176" s="1991">
        <v>10</v>
      </c>
      <c r="M176" s="1991">
        <v>10</v>
      </c>
      <c r="N176" s="1990" t="s">
        <v>1052</v>
      </c>
      <c r="O176" s="1990" t="s">
        <v>8291</v>
      </c>
      <c r="P176" s="1990" t="s">
        <v>967</v>
      </c>
      <c r="Q176" s="1990" t="s">
        <v>1080</v>
      </c>
      <c r="R176" s="1990" t="s">
        <v>1067</v>
      </c>
    </row>
    <row r="177" spans="1:18">
      <c r="A177" s="1990" t="s">
        <v>1068</v>
      </c>
      <c r="B177" s="1990" t="s">
        <v>1094</v>
      </c>
      <c r="C177" s="1990" t="s">
        <v>1050</v>
      </c>
      <c r="D177" s="1990" t="s">
        <v>928</v>
      </c>
      <c r="E177" s="1990" t="s">
        <v>1051</v>
      </c>
      <c r="F177" s="1991">
        <v>24954</v>
      </c>
      <c r="G177" s="1991">
        <v>12477000</v>
      </c>
      <c r="H177" s="1991">
        <v>24954</v>
      </c>
      <c r="I177" s="1991">
        <v>24954</v>
      </c>
      <c r="J177" s="1991">
        <v>24954</v>
      </c>
      <c r="K177" s="1990">
        <v>0</v>
      </c>
      <c r="L177" s="1990">
        <v>500</v>
      </c>
      <c r="M177" s="1990">
        <v>500</v>
      </c>
      <c r="N177" s="1990" t="s">
        <v>1052</v>
      </c>
      <c r="O177" s="1990" t="s">
        <v>8291</v>
      </c>
      <c r="P177" s="1990" t="s">
        <v>928</v>
      </c>
      <c r="Q177" s="1990" t="s">
        <v>1053</v>
      </c>
      <c r="R177" s="1990" t="s">
        <v>1067</v>
      </c>
    </row>
    <row r="178" spans="1:18">
      <c r="A178" s="1990" t="s">
        <v>1085</v>
      </c>
      <c r="B178" s="1990" t="s">
        <v>1457</v>
      </c>
      <c r="C178" s="1990" t="s">
        <v>1050</v>
      </c>
      <c r="D178" s="1990" t="s">
        <v>48</v>
      </c>
      <c r="E178" s="1990" t="s">
        <v>1054</v>
      </c>
      <c r="F178" s="1991">
        <v>27788</v>
      </c>
      <c r="G178" s="1991">
        <v>111150250</v>
      </c>
      <c r="H178" s="1991">
        <v>27519</v>
      </c>
      <c r="I178" s="1991">
        <v>28999</v>
      </c>
      <c r="J178" s="1991">
        <v>25869</v>
      </c>
      <c r="K178" s="1990">
        <v>4000</v>
      </c>
      <c r="L178" s="1990">
        <v>7700</v>
      </c>
      <c r="M178" s="1990">
        <v>4000</v>
      </c>
      <c r="N178" s="1990" t="s">
        <v>1052</v>
      </c>
      <c r="O178" s="1990" t="s">
        <v>8291</v>
      </c>
      <c r="P178" s="1990" t="s">
        <v>48</v>
      </c>
      <c r="Q178" s="1990" t="s">
        <v>1083</v>
      </c>
      <c r="R178" s="1990" t="s">
        <v>1054</v>
      </c>
    </row>
    <row r="179" spans="1:18">
      <c r="A179" s="1990" t="s">
        <v>1061</v>
      </c>
      <c r="B179" s="1990" t="s">
        <v>1418</v>
      </c>
      <c r="C179" s="1990" t="s">
        <v>1050</v>
      </c>
      <c r="D179" s="1990" t="s">
        <v>959</v>
      </c>
      <c r="E179" s="1990" t="s">
        <v>1054</v>
      </c>
      <c r="F179" s="1991">
        <v>37457</v>
      </c>
      <c r="G179" s="1991">
        <v>74914150</v>
      </c>
      <c r="H179" s="1991">
        <v>37369</v>
      </c>
      <c r="I179" s="1991">
        <v>37599</v>
      </c>
      <c r="J179" s="1991">
        <v>35589</v>
      </c>
      <c r="K179" s="1991">
        <v>2000</v>
      </c>
      <c r="L179" s="1991">
        <v>3340</v>
      </c>
      <c r="M179" s="1991">
        <v>2000</v>
      </c>
      <c r="N179" s="1990" t="s">
        <v>1052</v>
      </c>
      <c r="O179" s="1990" t="s">
        <v>8291</v>
      </c>
      <c r="P179" s="1990" t="s">
        <v>959</v>
      </c>
      <c r="Q179" s="1990" t="s">
        <v>1083</v>
      </c>
      <c r="R179" s="1990" t="s">
        <v>1054</v>
      </c>
    </row>
    <row r="180" spans="1:18" ht="45">
      <c r="A180" s="1990" t="s">
        <v>1059</v>
      </c>
      <c r="B180" s="1990" t="s">
        <v>1441</v>
      </c>
      <c r="C180" s="1990" t="s">
        <v>1050</v>
      </c>
      <c r="D180" s="1990" t="s">
        <v>936</v>
      </c>
      <c r="E180" s="1990" t="s">
        <v>1054</v>
      </c>
      <c r="F180" s="1991">
        <v>26324</v>
      </c>
      <c r="G180" s="1991">
        <v>115824650</v>
      </c>
      <c r="H180" s="1991">
        <v>26291</v>
      </c>
      <c r="I180" s="1991">
        <v>26509</v>
      </c>
      <c r="J180" s="1991">
        <v>26291</v>
      </c>
      <c r="K180" s="1991">
        <v>4400</v>
      </c>
      <c r="L180" s="1991">
        <v>4700</v>
      </c>
      <c r="M180" s="1991">
        <v>4400</v>
      </c>
      <c r="N180" s="1990" t="s">
        <v>1052</v>
      </c>
      <c r="O180" s="1990" t="s">
        <v>8291</v>
      </c>
      <c r="P180" s="1990" t="s">
        <v>1136</v>
      </c>
      <c r="Q180" s="1990" t="s">
        <v>8292</v>
      </c>
      <c r="R180" s="1990" t="s">
        <v>1054</v>
      </c>
    </row>
    <row r="181" spans="1:18">
      <c r="A181" s="1990" t="s">
        <v>1057</v>
      </c>
      <c r="B181" s="1990" t="s">
        <v>1434</v>
      </c>
      <c r="C181" s="1990" t="s">
        <v>1050</v>
      </c>
      <c r="D181" s="1990" t="s">
        <v>900</v>
      </c>
      <c r="E181" s="1990" t="s">
        <v>1054</v>
      </c>
      <c r="F181" s="1991">
        <v>47935</v>
      </c>
      <c r="G181" s="1991">
        <v>47934850</v>
      </c>
      <c r="H181" s="1991">
        <v>47555</v>
      </c>
      <c r="I181" s="1991">
        <v>48555</v>
      </c>
      <c r="J181" s="1991">
        <v>43542</v>
      </c>
      <c r="K181" s="1991">
        <v>1000</v>
      </c>
      <c r="L181" s="1990">
        <v>2700</v>
      </c>
      <c r="M181" s="1990">
        <v>1000</v>
      </c>
      <c r="N181" s="1990" t="s">
        <v>1052</v>
      </c>
      <c r="O181" s="1990" t="s">
        <v>8291</v>
      </c>
      <c r="P181" s="1990" t="s">
        <v>900</v>
      </c>
      <c r="Q181" s="1990" t="s">
        <v>1274</v>
      </c>
      <c r="R181" s="1990" t="s">
        <v>1054</v>
      </c>
    </row>
    <row r="182" spans="1:18">
      <c r="A182" s="1990" t="s">
        <v>1057</v>
      </c>
      <c r="B182" s="1990" t="s">
        <v>1093</v>
      </c>
      <c r="C182" s="1990" t="s">
        <v>1050</v>
      </c>
      <c r="D182" s="1990" t="s">
        <v>930</v>
      </c>
      <c r="E182" s="1990" t="s">
        <v>1054</v>
      </c>
      <c r="F182" s="1991">
        <v>38361</v>
      </c>
      <c r="G182" s="1991">
        <v>115083275</v>
      </c>
      <c r="H182" s="1991">
        <v>38149</v>
      </c>
      <c r="I182" s="1991">
        <v>38779</v>
      </c>
      <c r="J182" s="1991">
        <v>37366</v>
      </c>
      <c r="K182" s="1990">
        <v>3000</v>
      </c>
      <c r="L182" s="1990">
        <v>4000</v>
      </c>
      <c r="M182" s="1990">
        <v>3000</v>
      </c>
      <c r="N182" s="1990" t="s">
        <v>1052</v>
      </c>
      <c r="O182" s="1990" t="s">
        <v>8291</v>
      </c>
      <c r="P182" s="1990" t="s">
        <v>930</v>
      </c>
      <c r="Q182" s="1990" t="s">
        <v>1053</v>
      </c>
      <c r="R182" s="1990" t="s">
        <v>1054</v>
      </c>
    </row>
    <row r="183" spans="1:18">
      <c r="A183" s="1990" t="s">
        <v>1059</v>
      </c>
      <c r="B183" s="1990" t="s">
        <v>1460</v>
      </c>
      <c r="C183" s="1990" t="s">
        <v>1050</v>
      </c>
      <c r="D183" s="1990" t="s">
        <v>927</v>
      </c>
      <c r="E183" s="1990" t="s">
        <v>1054</v>
      </c>
      <c r="F183" s="1991">
        <v>27456</v>
      </c>
      <c r="G183" s="1991">
        <v>197681500</v>
      </c>
      <c r="H183" s="1991">
        <v>27306</v>
      </c>
      <c r="I183" s="1991">
        <v>28299</v>
      </c>
      <c r="J183" s="1991">
        <v>27305</v>
      </c>
      <c r="K183" s="1990">
        <v>7200</v>
      </c>
      <c r="L183" s="1990">
        <v>8200</v>
      </c>
      <c r="M183" s="1990">
        <v>7200</v>
      </c>
      <c r="N183" s="1990" t="s">
        <v>1052</v>
      </c>
      <c r="O183" s="1990" t="s">
        <v>8291</v>
      </c>
      <c r="P183" s="1990" t="s">
        <v>927</v>
      </c>
      <c r="Q183" s="1990" t="s">
        <v>1143</v>
      </c>
      <c r="R183" s="1990" t="s">
        <v>1054</v>
      </c>
    </row>
    <row r="184" spans="1:18">
      <c r="A184" s="1990" t="s">
        <v>1057</v>
      </c>
      <c r="B184" s="1990" t="s">
        <v>1399</v>
      </c>
      <c r="C184" s="1990" t="s">
        <v>1050</v>
      </c>
      <c r="D184" s="1990" t="s">
        <v>921</v>
      </c>
      <c r="E184" s="1990" t="s">
        <v>1054</v>
      </c>
      <c r="F184" s="1991">
        <v>37821</v>
      </c>
      <c r="G184" s="1991">
        <v>56730825</v>
      </c>
      <c r="H184" s="1991">
        <v>37729</v>
      </c>
      <c r="I184" s="1991">
        <v>38119</v>
      </c>
      <c r="J184" s="1991">
        <v>37366</v>
      </c>
      <c r="K184" s="1991">
        <v>1500</v>
      </c>
      <c r="L184" s="1990">
        <v>1675</v>
      </c>
      <c r="M184" s="1990">
        <v>1500</v>
      </c>
      <c r="N184" s="1990" t="s">
        <v>1052</v>
      </c>
      <c r="O184" s="1990" t="s">
        <v>8291</v>
      </c>
      <c r="P184" s="1990" t="s">
        <v>921</v>
      </c>
      <c r="Q184" s="1990" t="s">
        <v>1114</v>
      </c>
      <c r="R184" s="1990" t="s">
        <v>1054</v>
      </c>
    </row>
    <row r="185" spans="1:18">
      <c r="A185" s="1990" t="s">
        <v>1059</v>
      </c>
      <c r="B185" s="1990" t="s">
        <v>1335</v>
      </c>
      <c r="C185" s="1990" t="s">
        <v>1050</v>
      </c>
      <c r="D185" s="1990" t="s">
        <v>909</v>
      </c>
      <c r="E185" s="1990" t="s">
        <v>1054</v>
      </c>
      <c r="F185" s="1991">
        <v>39641</v>
      </c>
      <c r="G185" s="1991">
        <v>396407000</v>
      </c>
      <c r="H185" s="1991">
        <v>39019</v>
      </c>
      <c r="I185" s="1991">
        <v>40199</v>
      </c>
      <c r="J185" s="1991">
        <v>28601</v>
      </c>
      <c r="K185" s="1990">
        <v>10000</v>
      </c>
      <c r="L185" s="1991">
        <v>15960</v>
      </c>
      <c r="M185" s="1991">
        <v>10000</v>
      </c>
      <c r="N185" s="1990" t="s">
        <v>1052</v>
      </c>
      <c r="O185" s="1990" t="s">
        <v>8291</v>
      </c>
      <c r="P185" s="1990" t="s">
        <v>909</v>
      </c>
      <c r="Q185" s="1990" t="s">
        <v>1053</v>
      </c>
      <c r="R185" s="1990" t="s">
        <v>1054</v>
      </c>
    </row>
    <row r="186" spans="1:18" ht="30">
      <c r="A186" s="1990" t="s">
        <v>1057</v>
      </c>
      <c r="B186" s="1990" t="s">
        <v>1450</v>
      </c>
      <c r="C186" s="1990" t="s">
        <v>1050</v>
      </c>
      <c r="D186" s="1990" t="s">
        <v>942</v>
      </c>
      <c r="E186" s="1990" t="s">
        <v>1054</v>
      </c>
      <c r="F186" s="1991">
        <v>45370</v>
      </c>
      <c r="G186" s="1991">
        <v>113424710</v>
      </c>
      <c r="H186" s="1991">
        <v>45110</v>
      </c>
      <c r="I186" s="1991">
        <v>45899</v>
      </c>
      <c r="J186" s="1991">
        <v>42170</v>
      </c>
      <c r="K186" s="1990">
        <v>2500</v>
      </c>
      <c r="L186" s="1990">
        <v>6260</v>
      </c>
      <c r="M186" s="1990">
        <v>2500</v>
      </c>
      <c r="N186" s="1990" t="s">
        <v>1052</v>
      </c>
      <c r="O186" s="1990" t="s">
        <v>8291</v>
      </c>
      <c r="P186" s="1990" t="s">
        <v>1117</v>
      </c>
      <c r="Q186" s="1990" t="s">
        <v>1118</v>
      </c>
      <c r="R186" s="1990" t="s">
        <v>1054</v>
      </c>
    </row>
    <row r="187" spans="1:18" ht="30">
      <c r="A187" s="1990" t="s">
        <v>1059</v>
      </c>
      <c r="B187" s="1990" t="s">
        <v>1449</v>
      </c>
      <c r="C187" s="1990" t="s">
        <v>1050</v>
      </c>
      <c r="D187" s="1990" t="s">
        <v>942</v>
      </c>
      <c r="E187" s="1990" t="s">
        <v>1054</v>
      </c>
      <c r="F187" s="1991">
        <v>36534</v>
      </c>
      <c r="G187" s="1991">
        <v>73068940</v>
      </c>
      <c r="H187" s="1991">
        <v>36370</v>
      </c>
      <c r="I187" s="1991">
        <v>37199</v>
      </c>
      <c r="J187" s="1991">
        <v>31574</v>
      </c>
      <c r="K187" s="1991">
        <v>2000</v>
      </c>
      <c r="L187" s="1990">
        <v>5340</v>
      </c>
      <c r="M187" s="1990">
        <v>2000</v>
      </c>
      <c r="N187" s="1990" t="s">
        <v>1052</v>
      </c>
      <c r="O187" s="1990" t="s">
        <v>8291</v>
      </c>
      <c r="P187" s="1990" t="s">
        <v>1117</v>
      </c>
      <c r="Q187" s="1990" t="s">
        <v>1118</v>
      </c>
      <c r="R187" s="1990" t="s">
        <v>1054</v>
      </c>
    </row>
    <row r="188" spans="1:18">
      <c r="A188" s="1990" t="s">
        <v>1061</v>
      </c>
      <c r="B188" s="1990" t="s">
        <v>1344</v>
      </c>
      <c r="C188" s="1990" t="s">
        <v>1050</v>
      </c>
      <c r="D188" s="1990" t="s">
        <v>931</v>
      </c>
      <c r="E188" s="1990" t="s">
        <v>1054</v>
      </c>
      <c r="F188" s="1991">
        <v>43536</v>
      </c>
      <c r="G188" s="1991">
        <v>182852975</v>
      </c>
      <c r="H188" s="1991">
        <v>43299</v>
      </c>
      <c r="I188" s="1991">
        <v>44469</v>
      </c>
      <c r="J188" s="1991">
        <v>39990</v>
      </c>
      <c r="K188" s="1990">
        <v>4200</v>
      </c>
      <c r="L188" s="1990">
        <v>6075</v>
      </c>
      <c r="M188" s="1990">
        <v>4200</v>
      </c>
      <c r="N188" s="1990" t="s">
        <v>1052</v>
      </c>
      <c r="O188" s="1990" t="s">
        <v>8291</v>
      </c>
      <c r="P188" s="1990" t="s">
        <v>931</v>
      </c>
      <c r="Q188" s="1990" t="s">
        <v>1053</v>
      </c>
      <c r="R188" s="1990" t="s">
        <v>1054</v>
      </c>
    </row>
    <row r="189" spans="1:18" ht="30">
      <c r="A189" s="1990" t="s">
        <v>1059</v>
      </c>
      <c r="B189" s="1990" t="s">
        <v>1393</v>
      </c>
      <c r="C189" s="1990" t="s">
        <v>1050</v>
      </c>
      <c r="D189" s="1990" t="s">
        <v>937</v>
      </c>
      <c r="E189" s="1990" t="s">
        <v>1054</v>
      </c>
      <c r="F189" s="1991">
        <v>31589</v>
      </c>
      <c r="G189" s="1991">
        <v>221125050</v>
      </c>
      <c r="H189" s="1991">
        <v>31239</v>
      </c>
      <c r="I189" s="1991">
        <v>32599</v>
      </c>
      <c r="J189" s="1991">
        <v>26607</v>
      </c>
      <c r="K189" s="1990">
        <v>7000</v>
      </c>
      <c r="L189" s="1990">
        <v>17050</v>
      </c>
      <c r="M189" s="1990">
        <v>7000</v>
      </c>
      <c r="N189" s="1990" t="s">
        <v>1052</v>
      </c>
      <c r="O189" s="1990" t="s">
        <v>8291</v>
      </c>
      <c r="P189" s="1990" t="s">
        <v>937</v>
      </c>
      <c r="Q189" s="1990" t="s">
        <v>1090</v>
      </c>
      <c r="R189" s="1990" t="s">
        <v>1054</v>
      </c>
    </row>
    <row r="190" spans="1:18" ht="30">
      <c r="A190" s="1990" t="s">
        <v>1057</v>
      </c>
      <c r="B190" s="1990" t="s">
        <v>1347</v>
      </c>
      <c r="C190" s="1990" t="s">
        <v>1050</v>
      </c>
      <c r="D190" s="1990" t="s">
        <v>939</v>
      </c>
      <c r="E190" s="1990" t="s">
        <v>1054</v>
      </c>
      <c r="F190" s="1991">
        <v>48711</v>
      </c>
      <c r="G190" s="1991">
        <v>182666400</v>
      </c>
      <c r="H190" s="1991">
        <v>46599</v>
      </c>
      <c r="I190" s="1991">
        <v>50111</v>
      </c>
      <c r="J190" s="1991">
        <v>38292</v>
      </c>
      <c r="K190" s="1990">
        <v>3750</v>
      </c>
      <c r="L190" s="1990">
        <v>7500</v>
      </c>
      <c r="M190" s="1990">
        <v>3750</v>
      </c>
      <c r="N190" s="1990" t="s">
        <v>1052</v>
      </c>
      <c r="O190" s="1990" t="s">
        <v>8291</v>
      </c>
      <c r="P190" s="1990" t="s">
        <v>939</v>
      </c>
      <c r="Q190" s="1990" t="s">
        <v>1053</v>
      </c>
      <c r="R190" s="1990" t="s">
        <v>1054</v>
      </c>
    </row>
    <row r="191" spans="1:18" ht="45">
      <c r="A191" s="1990" t="s">
        <v>1134</v>
      </c>
      <c r="B191" s="1990" t="s">
        <v>1135</v>
      </c>
      <c r="C191" s="1990" t="s">
        <v>1050</v>
      </c>
      <c r="D191" s="1990" t="s">
        <v>936</v>
      </c>
      <c r="E191" s="1990" t="s">
        <v>1054</v>
      </c>
      <c r="F191" s="1991">
        <v>39638</v>
      </c>
      <c r="G191" s="1991">
        <v>75311875</v>
      </c>
      <c r="H191" s="1991">
        <v>39575</v>
      </c>
      <c r="I191" s="1991">
        <v>40499</v>
      </c>
      <c r="J191" s="1991">
        <v>39574</v>
      </c>
      <c r="K191" s="1990">
        <v>1900</v>
      </c>
      <c r="L191" s="1990">
        <v>2950</v>
      </c>
      <c r="M191" s="1990">
        <v>1900</v>
      </c>
      <c r="N191" s="1990" t="s">
        <v>1052</v>
      </c>
      <c r="O191" s="1990" t="s">
        <v>8291</v>
      </c>
      <c r="P191" s="1990" t="s">
        <v>1136</v>
      </c>
      <c r="Q191" s="1990" t="s">
        <v>8292</v>
      </c>
      <c r="R191" s="1990" t="s">
        <v>1054</v>
      </c>
    </row>
    <row r="192" spans="1:18" ht="30">
      <c r="A192" s="1990" t="s">
        <v>1076</v>
      </c>
      <c r="B192" s="1990" t="s">
        <v>1355</v>
      </c>
      <c r="C192" s="1990" t="s">
        <v>1050</v>
      </c>
      <c r="D192" s="1990" t="s">
        <v>901</v>
      </c>
      <c r="E192" s="1990" t="s">
        <v>1054</v>
      </c>
      <c r="F192" s="1991">
        <v>48821</v>
      </c>
      <c r="G192" s="1991">
        <v>146461900</v>
      </c>
      <c r="H192" s="1991">
        <v>48510</v>
      </c>
      <c r="I192" s="1991">
        <v>49559</v>
      </c>
      <c r="J192" s="1991">
        <v>44545</v>
      </c>
      <c r="K192" s="1990">
        <v>3000</v>
      </c>
      <c r="L192" s="1990">
        <v>6740</v>
      </c>
      <c r="M192" s="1990">
        <v>3000</v>
      </c>
      <c r="N192" s="1990" t="s">
        <v>1052</v>
      </c>
      <c r="O192" s="1990" t="s">
        <v>8291</v>
      </c>
      <c r="P192" s="1990" t="s">
        <v>1198</v>
      </c>
      <c r="Q192" s="1990" t="s">
        <v>1053</v>
      </c>
      <c r="R192" s="1990" t="s">
        <v>1054</v>
      </c>
    </row>
    <row r="193" spans="1:18">
      <c r="A193" s="1990" t="s">
        <v>1336</v>
      </c>
      <c r="B193" s="1990" t="s">
        <v>1337</v>
      </c>
      <c r="C193" s="1990" t="s">
        <v>1050</v>
      </c>
      <c r="D193" s="1990" t="s">
        <v>909</v>
      </c>
      <c r="E193" s="1990" t="s">
        <v>1054</v>
      </c>
      <c r="F193" s="1991">
        <v>50344</v>
      </c>
      <c r="G193" s="1991">
        <v>20137680</v>
      </c>
      <c r="H193" s="1991">
        <v>49889</v>
      </c>
      <c r="I193" s="1991">
        <v>50799</v>
      </c>
      <c r="J193" s="1991">
        <v>38531</v>
      </c>
      <c r="K193" s="1990">
        <v>400</v>
      </c>
      <c r="L193" s="1991">
        <v>1470</v>
      </c>
      <c r="M193" s="1991">
        <v>400</v>
      </c>
      <c r="N193" s="1990" t="s">
        <v>1052</v>
      </c>
      <c r="O193" s="1990" t="s">
        <v>8291</v>
      </c>
      <c r="P193" s="1990" t="s">
        <v>909</v>
      </c>
      <c r="Q193" s="1990" t="s">
        <v>1053</v>
      </c>
      <c r="R193" s="1990" t="s">
        <v>1054</v>
      </c>
    </row>
    <row r="194" spans="1:18">
      <c r="A194" s="1990" t="s">
        <v>1068</v>
      </c>
      <c r="B194" s="1990" t="s">
        <v>1382</v>
      </c>
      <c r="C194" s="1990" t="s">
        <v>1050</v>
      </c>
      <c r="D194" s="1990" t="s">
        <v>947</v>
      </c>
      <c r="E194" s="1990" t="s">
        <v>1054</v>
      </c>
      <c r="F194" s="1991">
        <v>36581</v>
      </c>
      <c r="G194" s="1991">
        <v>128033675</v>
      </c>
      <c r="H194" s="1991">
        <v>35800</v>
      </c>
      <c r="I194" s="1991">
        <v>38000</v>
      </c>
      <c r="J194" s="1991">
        <v>31890</v>
      </c>
      <c r="K194" s="1990">
        <v>3500</v>
      </c>
      <c r="L194" s="1990">
        <v>16850</v>
      </c>
      <c r="M194" s="1990">
        <v>3500</v>
      </c>
      <c r="N194" s="1990" t="s">
        <v>1052</v>
      </c>
      <c r="O194" s="1990" t="s">
        <v>8291</v>
      </c>
      <c r="P194" s="1990" t="s">
        <v>1264</v>
      </c>
      <c r="Q194" s="1990" t="s">
        <v>1078</v>
      </c>
      <c r="R194" s="1990" t="s">
        <v>1054</v>
      </c>
    </row>
    <row r="195" spans="1:18">
      <c r="A195" s="1990" t="s">
        <v>1057</v>
      </c>
      <c r="B195" s="1990" t="s">
        <v>1425</v>
      </c>
      <c r="C195" s="1990" t="s">
        <v>1050</v>
      </c>
      <c r="D195" s="1990" t="s">
        <v>918</v>
      </c>
      <c r="E195" s="1990" t="s">
        <v>1054</v>
      </c>
      <c r="F195" s="1991">
        <v>44756</v>
      </c>
      <c r="G195" s="1991">
        <v>22377775</v>
      </c>
      <c r="H195" s="1991">
        <v>44559</v>
      </c>
      <c r="I195" s="1991">
        <v>45059</v>
      </c>
      <c r="J195" s="1991">
        <v>39740</v>
      </c>
      <c r="K195" s="1991">
        <v>500</v>
      </c>
      <c r="L195" s="1991">
        <v>2000</v>
      </c>
      <c r="M195" s="1991">
        <v>500</v>
      </c>
      <c r="N195" s="1990" t="s">
        <v>1052</v>
      </c>
      <c r="O195" s="1990" t="s">
        <v>8291</v>
      </c>
      <c r="P195" s="1990" t="s">
        <v>918</v>
      </c>
      <c r="Q195" s="1990" t="s">
        <v>1114</v>
      </c>
      <c r="R195" s="1990" t="s">
        <v>1054</v>
      </c>
    </row>
    <row r="196" spans="1:18" ht="30">
      <c r="A196" s="1990" t="s">
        <v>1061</v>
      </c>
      <c r="B196" s="1990" t="s">
        <v>1357</v>
      </c>
      <c r="C196" s="1990" t="s">
        <v>1050</v>
      </c>
      <c r="D196" s="1990" t="s">
        <v>901</v>
      </c>
      <c r="E196" s="1990" t="s">
        <v>1054</v>
      </c>
      <c r="F196" s="1991">
        <v>52712</v>
      </c>
      <c r="G196" s="1991">
        <v>316269720</v>
      </c>
      <c r="H196" s="1991">
        <v>52399</v>
      </c>
      <c r="I196" s="1991">
        <v>53359</v>
      </c>
      <c r="J196" s="1991">
        <v>45698</v>
      </c>
      <c r="K196" s="1990">
        <v>6000</v>
      </c>
      <c r="L196" s="1990">
        <v>12600</v>
      </c>
      <c r="M196" s="1990">
        <v>6000</v>
      </c>
      <c r="N196" s="1990" t="s">
        <v>1052</v>
      </c>
      <c r="O196" s="1990" t="s">
        <v>8291</v>
      </c>
      <c r="P196" s="1990" t="s">
        <v>1198</v>
      </c>
      <c r="Q196" s="1990" t="s">
        <v>1053</v>
      </c>
      <c r="R196" s="1990" t="s">
        <v>1054</v>
      </c>
    </row>
    <row r="197" spans="1:18">
      <c r="A197" s="1990" t="s">
        <v>1085</v>
      </c>
      <c r="B197" s="1990" t="s">
        <v>1404</v>
      </c>
      <c r="C197" s="1990" t="s">
        <v>1050</v>
      </c>
      <c r="D197" s="1990" t="s">
        <v>955</v>
      </c>
      <c r="E197" s="1990" t="s">
        <v>1054</v>
      </c>
      <c r="F197" s="1991">
        <v>25802</v>
      </c>
      <c r="G197" s="1991">
        <v>25801750</v>
      </c>
      <c r="H197" s="1991">
        <v>25651</v>
      </c>
      <c r="I197" s="1991">
        <v>25999</v>
      </c>
      <c r="J197" s="1991">
        <v>25649</v>
      </c>
      <c r="K197" s="1990">
        <v>1000</v>
      </c>
      <c r="L197" s="1991">
        <v>1625</v>
      </c>
      <c r="M197" s="1991">
        <v>1000</v>
      </c>
      <c r="N197" s="1990" t="s">
        <v>1052</v>
      </c>
      <c r="O197" s="1990" t="s">
        <v>8291</v>
      </c>
      <c r="P197" s="1990" t="s">
        <v>955</v>
      </c>
      <c r="Q197" s="1990" t="s">
        <v>1080</v>
      </c>
      <c r="R197" s="1990" t="s">
        <v>1054</v>
      </c>
    </row>
    <row r="198" spans="1:18" ht="45">
      <c r="A198" s="1990" t="s">
        <v>1138</v>
      </c>
      <c r="B198" s="1990" t="s">
        <v>1139</v>
      </c>
      <c r="C198" s="1990" t="s">
        <v>1050</v>
      </c>
      <c r="D198" s="1990" t="s">
        <v>936</v>
      </c>
      <c r="E198" s="1990" t="s">
        <v>1054</v>
      </c>
      <c r="F198" s="1991">
        <v>26354</v>
      </c>
      <c r="G198" s="1991">
        <v>39530550</v>
      </c>
      <c r="H198" s="1991">
        <v>26323</v>
      </c>
      <c r="I198" s="1991">
        <v>26519</v>
      </c>
      <c r="J198" s="1991">
        <v>26018</v>
      </c>
      <c r="K198" s="1990">
        <v>1500</v>
      </c>
      <c r="L198" s="1990">
        <v>3725</v>
      </c>
      <c r="M198" s="1990">
        <v>1500</v>
      </c>
      <c r="N198" s="1990" t="s">
        <v>1052</v>
      </c>
      <c r="O198" s="1990" t="s">
        <v>8291</v>
      </c>
      <c r="P198" s="1990" t="s">
        <v>1136</v>
      </c>
      <c r="Q198" s="1990" t="s">
        <v>8292</v>
      </c>
      <c r="R198" s="1990" t="s">
        <v>1054</v>
      </c>
    </row>
    <row r="199" spans="1:18">
      <c r="A199" s="1990" t="s">
        <v>1057</v>
      </c>
      <c r="B199" s="1990" t="s">
        <v>1364</v>
      </c>
      <c r="C199" s="1990" t="s">
        <v>1050</v>
      </c>
      <c r="D199" s="1990" t="s">
        <v>896</v>
      </c>
      <c r="E199" s="1990" t="s">
        <v>1054</v>
      </c>
      <c r="F199" s="1991">
        <v>39079</v>
      </c>
      <c r="G199" s="1991">
        <v>156315425</v>
      </c>
      <c r="H199" s="1991">
        <v>38956</v>
      </c>
      <c r="I199" s="1991">
        <v>39579</v>
      </c>
      <c r="J199" s="1991">
        <v>38956</v>
      </c>
      <c r="K199" s="1990">
        <v>4000</v>
      </c>
      <c r="L199" s="1990">
        <v>7750</v>
      </c>
      <c r="M199" s="1990">
        <v>4000</v>
      </c>
      <c r="N199" s="1990" t="s">
        <v>1052</v>
      </c>
      <c r="O199" s="1990" t="s">
        <v>8291</v>
      </c>
      <c r="P199" s="1990" t="s">
        <v>896</v>
      </c>
      <c r="Q199" s="1990" t="s">
        <v>1075</v>
      </c>
      <c r="R199" s="1990" t="s">
        <v>1054</v>
      </c>
    </row>
    <row r="200" spans="1:18">
      <c r="A200" s="1990" t="s">
        <v>1076</v>
      </c>
      <c r="B200" s="1990" t="s">
        <v>1325</v>
      </c>
      <c r="C200" s="1990" t="s">
        <v>1050</v>
      </c>
      <c r="D200" s="1990" t="s">
        <v>900</v>
      </c>
      <c r="E200" s="1990" t="s">
        <v>1054</v>
      </c>
      <c r="F200" s="1991">
        <v>50224</v>
      </c>
      <c r="G200" s="1991">
        <v>301341990</v>
      </c>
      <c r="H200" s="1991">
        <v>49899</v>
      </c>
      <c r="I200" s="1991">
        <v>50770</v>
      </c>
      <c r="J200" s="1991">
        <v>46584</v>
      </c>
      <c r="K200" s="1990">
        <v>6000</v>
      </c>
      <c r="L200" s="1990">
        <v>9100</v>
      </c>
      <c r="M200" s="1990">
        <v>6000</v>
      </c>
      <c r="N200" s="1990" t="s">
        <v>1052</v>
      </c>
      <c r="O200" s="1990" t="s">
        <v>8291</v>
      </c>
      <c r="P200" s="1990" t="s">
        <v>900</v>
      </c>
      <c r="Q200" s="1990" t="s">
        <v>1053</v>
      </c>
      <c r="R200" s="1990" t="s">
        <v>1054</v>
      </c>
    </row>
    <row r="201" spans="1:18">
      <c r="A201" s="1990" t="s">
        <v>1085</v>
      </c>
      <c r="B201" s="1990" t="s">
        <v>1466</v>
      </c>
      <c r="C201" s="1990" t="s">
        <v>1050</v>
      </c>
      <c r="D201" s="1990" t="s">
        <v>952</v>
      </c>
      <c r="E201" s="1990" t="s">
        <v>1054</v>
      </c>
      <c r="F201" s="1991">
        <v>26725</v>
      </c>
      <c r="G201" s="1991">
        <v>53449850</v>
      </c>
      <c r="H201" s="1991">
        <v>26559</v>
      </c>
      <c r="I201" s="1991">
        <v>27029</v>
      </c>
      <c r="J201" s="1991">
        <v>26268</v>
      </c>
      <c r="K201" s="1990">
        <v>2000</v>
      </c>
      <c r="L201" s="1991">
        <v>2650</v>
      </c>
      <c r="M201" s="1991">
        <v>2000</v>
      </c>
      <c r="N201" s="1990" t="s">
        <v>1052</v>
      </c>
      <c r="O201" s="1990" t="s">
        <v>8291</v>
      </c>
      <c r="P201" s="1990" t="s">
        <v>1311</v>
      </c>
      <c r="Q201" s="1990" t="s">
        <v>1312</v>
      </c>
      <c r="R201" s="1990" t="s">
        <v>1054</v>
      </c>
    </row>
    <row r="202" spans="1:18">
      <c r="A202" s="1990" t="s">
        <v>1059</v>
      </c>
      <c r="B202" s="1990" t="s">
        <v>1322</v>
      </c>
      <c r="C202" s="1990" t="s">
        <v>1050</v>
      </c>
      <c r="D202" s="1990" t="s">
        <v>915</v>
      </c>
      <c r="E202" s="1990" t="s">
        <v>1054</v>
      </c>
      <c r="F202" s="1991">
        <v>31845</v>
      </c>
      <c r="G202" s="1991">
        <v>828487392</v>
      </c>
      <c r="H202" s="1991">
        <v>31699</v>
      </c>
      <c r="I202" s="1991">
        <v>32669</v>
      </c>
      <c r="J202" s="1991">
        <v>29663</v>
      </c>
      <c r="K202" s="1991">
        <v>26016</v>
      </c>
      <c r="L202" s="1991">
        <v>29736</v>
      </c>
      <c r="M202" s="1991">
        <v>26016</v>
      </c>
      <c r="N202" s="1990" t="s">
        <v>1052</v>
      </c>
      <c r="O202" s="1990" t="s">
        <v>8291</v>
      </c>
      <c r="P202" s="1990" t="s">
        <v>915</v>
      </c>
      <c r="Q202" s="1990" t="s">
        <v>1053</v>
      </c>
      <c r="R202" s="1990" t="s">
        <v>1054</v>
      </c>
    </row>
    <row r="203" spans="1:18" ht="30">
      <c r="A203" s="1990" t="s">
        <v>1112</v>
      </c>
      <c r="B203" s="1990" t="s">
        <v>1453</v>
      </c>
      <c r="C203" s="1990" t="s">
        <v>1050</v>
      </c>
      <c r="D203" s="1990" t="s">
        <v>923</v>
      </c>
      <c r="E203" s="1990" t="s">
        <v>1054</v>
      </c>
      <c r="F203" s="1991">
        <v>26198</v>
      </c>
      <c r="G203" s="1991">
        <v>10479100</v>
      </c>
      <c r="H203" s="1991">
        <v>25700</v>
      </c>
      <c r="I203" s="1991">
        <v>26888</v>
      </c>
      <c r="J203" s="1991">
        <v>24747</v>
      </c>
      <c r="K203" s="1990">
        <v>400</v>
      </c>
      <c r="L203" s="1990">
        <v>1130</v>
      </c>
      <c r="M203" s="1990">
        <v>400</v>
      </c>
      <c r="N203" s="1990" t="s">
        <v>1052</v>
      </c>
      <c r="O203" s="1990" t="s">
        <v>8291</v>
      </c>
      <c r="P203" s="1990" t="s">
        <v>923</v>
      </c>
      <c r="Q203" s="1990" t="s">
        <v>1132</v>
      </c>
      <c r="R203" s="1990" t="s">
        <v>1054</v>
      </c>
    </row>
    <row r="204" spans="1:18">
      <c r="A204" s="1990" t="s">
        <v>1057</v>
      </c>
      <c r="B204" s="1990" t="s">
        <v>1329</v>
      </c>
      <c r="C204" s="1990" t="s">
        <v>1050</v>
      </c>
      <c r="D204" s="1990" t="s">
        <v>912</v>
      </c>
      <c r="E204" s="1990" t="s">
        <v>1054</v>
      </c>
      <c r="F204" s="1991">
        <v>45263</v>
      </c>
      <c r="G204" s="1991">
        <v>248944950</v>
      </c>
      <c r="H204" s="1991">
        <v>44900</v>
      </c>
      <c r="I204" s="1991">
        <v>45889</v>
      </c>
      <c r="J204" s="1991">
        <v>38885</v>
      </c>
      <c r="K204" s="1990">
        <v>5500</v>
      </c>
      <c r="L204" s="1990">
        <v>10550</v>
      </c>
      <c r="M204" s="1990">
        <v>5500</v>
      </c>
      <c r="N204" s="1990" t="s">
        <v>1052</v>
      </c>
      <c r="O204" s="1990" t="s">
        <v>8291</v>
      </c>
      <c r="P204" s="1990" t="s">
        <v>912</v>
      </c>
      <c r="Q204" s="1990" t="s">
        <v>1053</v>
      </c>
      <c r="R204" s="1990" t="s">
        <v>1054</v>
      </c>
    </row>
    <row r="205" spans="1:18">
      <c r="A205" s="1990" t="s">
        <v>1061</v>
      </c>
      <c r="B205" s="1990" t="s">
        <v>1062</v>
      </c>
      <c r="C205" s="1990" t="s">
        <v>1050</v>
      </c>
      <c r="D205" s="1990" t="s">
        <v>911</v>
      </c>
      <c r="E205" s="1990" t="s">
        <v>1054</v>
      </c>
      <c r="F205" s="1991">
        <v>38138</v>
      </c>
      <c r="G205" s="1991">
        <v>343241125</v>
      </c>
      <c r="H205" s="1991">
        <v>38009</v>
      </c>
      <c r="I205" s="1991">
        <v>38359</v>
      </c>
      <c r="J205" s="1991">
        <v>37794</v>
      </c>
      <c r="K205" s="1991">
        <v>9000</v>
      </c>
      <c r="L205" s="1991">
        <v>9650</v>
      </c>
      <c r="M205" s="1991">
        <v>9000</v>
      </c>
      <c r="N205" s="1990" t="s">
        <v>1052</v>
      </c>
      <c r="O205" s="1990" t="s">
        <v>8291</v>
      </c>
      <c r="P205" s="1990" t="s">
        <v>911</v>
      </c>
      <c r="Q205" s="1990" t="s">
        <v>1063</v>
      </c>
      <c r="R205" s="1990" t="s">
        <v>1054</v>
      </c>
    </row>
    <row r="206" spans="1:18">
      <c r="A206" s="1990" t="s">
        <v>1076</v>
      </c>
      <c r="B206" s="1990" t="s">
        <v>1327</v>
      </c>
      <c r="C206" s="1990" t="s">
        <v>1050</v>
      </c>
      <c r="D206" s="1990" t="s">
        <v>912</v>
      </c>
      <c r="E206" s="1990" t="s">
        <v>1054</v>
      </c>
      <c r="F206" s="1991">
        <v>43414</v>
      </c>
      <c r="G206" s="1991">
        <v>65120325</v>
      </c>
      <c r="H206" s="1991">
        <v>43000</v>
      </c>
      <c r="I206" s="1991">
        <v>43899</v>
      </c>
      <c r="J206" s="1991">
        <v>37002</v>
      </c>
      <c r="K206" s="1990">
        <v>1500</v>
      </c>
      <c r="L206" s="1990">
        <v>3300</v>
      </c>
      <c r="M206" s="1990">
        <v>1500</v>
      </c>
      <c r="N206" s="1990" t="s">
        <v>1052</v>
      </c>
      <c r="O206" s="1990" t="s">
        <v>8291</v>
      </c>
      <c r="P206" s="1990" t="s">
        <v>912</v>
      </c>
      <c r="Q206" s="1990" t="s">
        <v>1053</v>
      </c>
      <c r="R206" s="1990" t="s">
        <v>1054</v>
      </c>
    </row>
    <row r="207" spans="1:18">
      <c r="A207" s="1990" t="s">
        <v>1059</v>
      </c>
      <c r="B207" s="1990" t="s">
        <v>1140</v>
      </c>
      <c r="C207" s="1990" t="s">
        <v>1050</v>
      </c>
      <c r="D207" s="1990" t="s">
        <v>918</v>
      </c>
      <c r="E207" s="1990" t="s">
        <v>1054</v>
      </c>
      <c r="F207" s="1991">
        <v>28022</v>
      </c>
      <c r="G207" s="1991">
        <v>280215175</v>
      </c>
      <c r="H207" s="1991">
        <v>27839</v>
      </c>
      <c r="I207" s="1991">
        <v>28799</v>
      </c>
      <c r="J207" s="1991">
        <v>26768</v>
      </c>
      <c r="K207" s="1991">
        <v>10000</v>
      </c>
      <c r="L207" s="1991">
        <v>14150</v>
      </c>
      <c r="M207" s="1991">
        <v>10000</v>
      </c>
      <c r="N207" s="1990" t="s">
        <v>1052</v>
      </c>
      <c r="O207" s="1990" t="s">
        <v>8291</v>
      </c>
      <c r="P207" s="1990" t="s">
        <v>918</v>
      </c>
      <c r="Q207" s="1990" t="s">
        <v>1114</v>
      </c>
      <c r="R207" s="1990" t="s">
        <v>1054</v>
      </c>
    </row>
    <row r="208" spans="1:18" ht="30">
      <c r="A208" s="1990" t="s">
        <v>1358</v>
      </c>
      <c r="B208" s="1990" t="s">
        <v>1359</v>
      </c>
      <c r="C208" s="1990" t="s">
        <v>1050</v>
      </c>
      <c r="D208" s="1990" t="s">
        <v>901</v>
      </c>
      <c r="E208" s="1990" t="s">
        <v>1054</v>
      </c>
      <c r="F208" s="1991">
        <v>56331</v>
      </c>
      <c r="G208" s="1991">
        <v>5633110</v>
      </c>
      <c r="H208" s="1991">
        <v>56119</v>
      </c>
      <c r="I208" s="1991">
        <v>56666</v>
      </c>
      <c r="J208" s="1991">
        <v>46498</v>
      </c>
      <c r="K208" s="1990">
        <v>100</v>
      </c>
      <c r="L208" s="1990">
        <v>660</v>
      </c>
      <c r="M208" s="1990">
        <v>100</v>
      </c>
      <c r="N208" s="1990" t="s">
        <v>1052</v>
      </c>
      <c r="O208" s="1990" t="s">
        <v>8291</v>
      </c>
      <c r="P208" s="1990" t="s">
        <v>1198</v>
      </c>
      <c r="Q208" s="1990" t="s">
        <v>1053</v>
      </c>
      <c r="R208" s="1990" t="s">
        <v>1054</v>
      </c>
    </row>
    <row r="209" spans="1:18" ht="30">
      <c r="A209" s="1990" t="s">
        <v>1057</v>
      </c>
      <c r="B209" s="1990" t="s">
        <v>1394</v>
      </c>
      <c r="C209" s="1990" t="s">
        <v>1050</v>
      </c>
      <c r="D209" s="1990" t="s">
        <v>937</v>
      </c>
      <c r="E209" s="1990" t="s">
        <v>1054</v>
      </c>
      <c r="F209" s="1991">
        <v>43951</v>
      </c>
      <c r="G209" s="1991">
        <v>395558575</v>
      </c>
      <c r="H209" s="1991">
        <v>43611</v>
      </c>
      <c r="I209" s="1991">
        <v>44599</v>
      </c>
      <c r="J209" s="1991">
        <v>37702</v>
      </c>
      <c r="K209" s="1990">
        <v>9000</v>
      </c>
      <c r="L209" s="1990">
        <v>15275</v>
      </c>
      <c r="M209" s="1990">
        <v>9000</v>
      </c>
      <c r="N209" s="1990" t="s">
        <v>1052</v>
      </c>
      <c r="O209" s="1990" t="s">
        <v>8291</v>
      </c>
      <c r="P209" s="1990" t="s">
        <v>937</v>
      </c>
      <c r="Q209" s="1990" t="s">
        <v>1090</v>
      </c>
      <c r="R209" s="1990" t="s">
        <v>1054</v>
      </c>
    </row>
    <row r="210" spans="1:18">
      <c r="A210" s="1990" t="s">
        <v>1076</v>
      </c>
      <c r="B210" s="1990" t="s">
        <v>1077</v>
      </c>
      <c r="C210" s="1990" t="s">
        <v>1050</v>
      </c>
      <c r="D210" s="1990" t="s">
        <v>949</v>
      </c>
      <c r="E210" s="1990" t="s">
        <v>1054</v>
      </c>
      <c r="F210" s="1991">
        <v>38289</v>
      </c>
      <c r="G210" s="1991">
        <v>19144500</v>
      </c>
      <c r="H210" s="1991">
        <v>38199</v>
      </c>
      <c r="I210" s="1991">
        <v>38629</v>
      </c>
      <c r="J210" s="1991">
        <v>36629</v>
      </c>
      <c r="K210" s="1991">
        <v>500</v>
      </c>
      <c r="L210" s="1991">
        <v>1150</v>
      </c>
      <c r="M210" s="1990">
        <v>500</v>
      </c>
      <c r="N210" s="1990" t="s">
        <v>1052</v>
      </c>
      <c r="O210" s="1990" t="s">
        <v>8291</v>
      </c>
      <c r="P210" s="1990" t="s">
        <v>949</v>
      </c>
      <c r="Q210" s="1990" t="s">
        <v>1078</v>
      </c>
      <c r="R210" s="1990" t="s">
        <v>1054</v>
      </c>
    </row>
    <row r="211" spans="1:18">
      <c r="A211" s="1990" t="s">
        <v>1059</v>
      </c>
      <c r="B211" s="1990" t="s">
        <v>1435</v>
      </c>
      <c r="C211" s="1990" t="s">
        <v>1050</v>
      </c>
      <c r="D211" s="1990" t="s">
        <v>919</v>
      </c>
      <c r="E211" s="1990" t="s">
        <v>1054</v>
      </c>
      <c r="F211" s="1991">
        <v>26677</v>
      </c>
      <c r="G211" s="1991">
        <v>160062740</v>
      </c>
      <c r="H211" s="1991">
        <v>26588</v>
      </c>
      <c r="I211" s="1991">
        <v>28000</v>
      </c>
      <c r="J211" s="1991">
        <v>26440</v>
      </c>
      <c r="K211" s="1991">
        <v>6000</v>
      </c>
      <c r="L211" s="1991">
        <v>9240</v>
      </c>
      <c r="M211" s="1991">
        <v>6000</v>
      </c>
      <c r="N211" s="1990" t="s">
        <v>1052</v>
      </c>
      <c r="O211" s="1990" t="s">
        <v>8291</v>
      </c>
      <c r="P211" s="1990" t="s">
        <v>919</v>
      </c>
      <c r="Q211" s="1990" t="s">
        <v>1274</v>
      </c>
      <c r="R211" s="1990" t="s">
        <v>1054</v>
      </c>
    </row>
    <row r="212" spans="1:18">
      <c r="A212" s="1990" t="s">
        <v>1059</v>
      </c>
      <c r="B212" s="1990" t="s">
        <v>1340</v>
      </c>
      <c r="C212" s="1990" t="s">
        <v>1050</v>
      </c>
      <c r="D212" s="1990" t="s">
        <v>904</v>
      </c>
      <c r="E212" s="1990" t="s">
        <v>1054</v>
      </c>
      <c r="F212" s="1991">
        <v>28680</v>
      </c>
      <c r="G212" s="1991">
        <v>688313850</v>
      </c>
      <c r="H212" s="1991">
        <v>28619</v>
      </c>
      <c r="I212" s="1991">
        <v>29112</v>
      </c>
      <c r="J212" s="1991">
        <v>28301</v>
      </c>
      <c r="K212" s="1991">
        <v>24000</v>
      </c>
      <c r="L212" s="1991">
        <v>26775</v>
      </c>
      <c r="M212" s="1991">
        <v>24000</v>
      </c>
      <c r="N212" s="1990" t="s">
        <v>1052</v>
      </c>
      <c r="O212" s="1990" t="s">
        <v>8291</v>
      </c>
      <c r="P212" s="1990" t="s">
        <v>904</v>
      </c>
      <c r="Q212" s="1990" t="s">
        <v>1053</v>
      </c>
      <c r="R212" s="1990" t="s">
        <v>1054</v>
      </c>
    </row>
    <row r="213" spans="1:18">
      <c r="A213" s="1990" t="s">
        <v>1057</v>
      </c>
      <c r="B213" s="1990" t="s">
        <v>1392</v>
      </c>
      <c r="C213" s="1990" t="s">
        <v>1050</v>
      </c>
      <c r="D213" s="1990" t="s">
        <v>70</v>
      </c>
      <c r="E213" s="1990" t="s">
        <v>1054</v>
      </c>
      <c r="F213" s="1991">
        <v>42786</v>
      </c>
      <c r="G213" s="1991">
        <v>385073052</v>
      </c>
      <c r="H213" s="1991">
        <v>42422</v>
      </c>
      <c r="I213" s="1991">
        <v>43309</v>
      </c>
      <c r="J213" s="1991">
        <v>37702</v>
      </c>
      <c r="K213" s="1991">
        <v>9000</v>
      </c>
      <c r="L213" s="1990">
        <v>11904</v>
      </c>
      <c r="M213" s="1990">
        <v>9000</v>
      </c>
      <c r="N213" s="1990" t="s">
        <v>1052</v>
      </c>
      <c r="O213" s="1990" t="s">
        <v>8291</v>
      </c>
      <c r="P213" s="1990" t="s">
        <v>70</v>
      </c>
      <c r="Q213" s="1990" t="s">
        <v>1090</v>
      </c>
      <c r="R213" s="1990" t="s">
        <v>1054</v>
      </c>
    </row>
    <row r="214" spans="1:18">
      <c r="A214" s="1990" t="s">
        <v>1061</v>
      </c>
      <c r="B214" s="1990" t="s">
        <v>1330</v>
      </c>
      <c r="C214" s="1990" t="s">
        <v>1050</v>
      </c>
      <c r="D214" s="1990" t="s">
        <v>905</v>
      </c>
      <c r="E214" s="1990" t="s">
        <v>1054</v>
      </c>
      <c r="F214" s="1991">
        <v>37400</v>
      </c>
      <c r="G214" s="1991">
        <v>26179850</v>
      </c>
      <c r="H214" s="1991">
        <v>37089</v>
      </c>
      <c r="I214" s="1991">
        <v>38389</v>
      </c>
      <c r="J214" s="1991">
        <v>35862</v>
      </c>
      <c r="K214" s="1991">
        <v>700</v>
      </c>
      <c r="L214" s="1991">
        <v>1175</v>
      </c>
      <c r="M214" s="1990">
        <v>700</v>
      </c>
      <c r="N214" s="1990" t="s">
        <v>1052</v>
      </c>
      <c r="O214" s="1990" t="s">
        <v>8291</v>
      </c>
      <c r="P214" s="1990" t="s">
        <v>905</v>
      </c>
      <c r="Q214" s="1990" t="s">
        <v>1053</v>
      </c>
      <c r="R214" s="1990" t="s">
        <v>1054</v>
      </c>
    </row>
    <row r="215" spans="1:18">
      <c r="A215" s="1990" t="s">
        <v>1057</v>
      </c>
      <c r="B215" s="1990" t="s">
        <v>1108</v>
      </c>
      <c r="C215" s="1990" t="s">
        <v>1050</v>
      </c>
      <c r="D215" s="1990" t="s">
        <v>902</v>
      </c>
      <c r="E215" s="1990" t="s">
        <v>1054</v>
      </c>
      <c r="F215" s="1991">
        <v>39373</v>
      </c>
      <c r="G215" s="1991">
        <v>472473000</v>
      </c>
      <c r="H215" s="1991">
        <v>39259</v>
      </c>
      <c r="I215" s="1991">
        <v>40959</v>
      </c>
      <c r="J215" s="1991">
        <v>38956</v>
      </c>
      <c r="K215" s="1991">
        <v>12000</v>
      </c>
      <c r="L215" s="1990">
        <v>14625</v>
      </c>
      <c r="M215" s="1990">
        <v>12000</v>
      </c>
      <c r="N215" s="1990" t="s">
        <v>1052</v>
      </c>
      <c r="O215" s="1990" t="s">
        <v>8291</v>
      </c>
      <c r="P215" s="1990" t="s">
        <v>902</v>
      </c>
      <c r="Q215" s="1990" t="s">
        <v>1053</v>
      </c>
      <c r="R215" s="1990" t="s">
        <v>1054</v>
      </c>
    </row>
    <row r="216" spans="1:18" ht="30">
      <c r="A216" s="1990" t="s">
        <v>1059</v>
      </c>
      <c r="B216" s="1990" t="s">
        <v>1346</v>
      </c>
      <c r="C216" s="1990" t="s">
        <v>1050</v>
      </c>
      <c r="D216" s="1990" t="s">
        <v>939</v>
      </c>
      <c r="E216" s="1990" t="s">
        <v>1054</v>
      </c>
      <c r="F216" s="1991">
        <v>33507</v>
      </c>
      <c r="G216" s="1991">
        <v>378632400</v>
      </c>
      <c r="H216" s="1991">
        <v>32869</v>
      </c>
      <c r="I216" s="1991">
        <v>33789</v>
      </c>
      <c r="J216" s="1991">
        <v>27304</v>
      </c>
      <c r="K216" s="1991">
        <v>11300</v>
      </c>
      <c r="L216" s="1991">
        <v>17125</v>
      </c>
      <c r="M216" s="1991">
        <v>11300</v>
      </c>
      <c r="N216" s="1990" t="s">
        <v>1052</v>
      </c>
      <c r="O216" s="1990" t="s">
        <v>8291</v>
      </c>
      <c r="P216" s="1990" t="s">
        <v>939</v>
      </c>
      <c r="Q216" s="1990" t="s">
        <v>1053</v>
      </c>
      <c r="R216" s="1990" t="s">
        <v>1054</v>
      </c>
    </row>
    <row r="217" spans="1:18">
      <c r="A217" s="1990" t="s">
        <v>1059</v>
      </c>
      <c r="B217" s="1990" t="s">
        <v>1401</v>
      </c>
      <c r="C217" s="1990" t="s">
        <v>1050</v>
      </c>
      <c r="D217" s="1990" t="s">
        <v>921</v>
      </c>
      <c r="E217" s="1990" t="s">
        <v>1054</v>
      </c>
      <c r="F217" s="1991">
        <v>28299</v>
      </c>
      <c r="G217" s="1991">
        <v>56597100</v>
      </c>
      <c r="H217" s="1991">
        <v>28189</v>
      </c>
      <c r="I217" s="1991">
        <v>28399</v>
      </c>
      <c r="J217" s="1991">
        <v>28060</v>
      </c>
      <c r="K217" s="1991">
        <v>2000</v>
      </c>
      <c r="L217" s="1990">
        <v>2450</v>
      </c>
      <c r="M217" s="1990">
        <v>2000</v>
      </c>
      <c r="N217" s="1990" t="s">
        <v>1052</v>
      </c>
      <c r="O217" s="1990" t="s">
        <v>8291</v>
      </c>
      <c r="P217" s="1990" t="s">
        <v>921</v>
      </c>
      <c r="Q217" s="1990" t="s">
        <v>1114</v>
      </c>
      <c r="R217" s="1990" t="s">
        <v>1054</v>
      </c>
    </row>
    <row r="218" spans="1:18" ht="30">
      <c r="A218" s="1990" t="s">
        <v>1059</v>
      </c>
      <c r="B218" s="1990" t="s">
        <v>1088</v>
      </c>
      <c r="C218" s="1990" t="s">
        <v>1050</v>
      </c>
      <c r="D218" s="1990" t="s">
        <v>922</v>
      </c>
      <c r="E218" s="1990" t="s">
        <v>1054</v>
      </c>
      <c r="F218" s="1991">
        <v>28806</v>
      </c>
      <c r="G218" s="1991">
        <v>72016100</v>
      </c>
      <c r="H218" s="1991">
        <v>28739</v>
      </c>
      <c r="I218" s="1991">
        <v>29159</v>
      </c>
      <c r="J218" s="1991">
        <v>26415</v>
      </c>
      <c r="K218" s="1991">
        <v>2500</v>
      </c>
      <c r="L218" s="1990">
        <v>4080</v>
      </c>
      <c r="M218" s="1990">
        <v>2500</v>
      </c>
      <c r="N218" s="1990" t="s">
        <v>1052</v>
      </c>
      <c r="O218" s="1990" t="s">
        <v>8291</v>
      </c>
      <c r="P218" s="1990" t="s">
        <v>922</v>
      </c>
      <c r="Q218" s="1990" t="s">
        <v>1087</v>
      </c>
      <c r="R218" s="1990" t="s">
        <v>1054</v>
      </c>
    </row>
    <row r="219" spans="1:18">
      <c r="A219" s="1990" t="s">
        <v>1068</v>
      </c>
      <c r="B219" s="1990" t="s">
        <v>1437</v>
      </c>
      <c r="C219" s="1990" t="s">
        <v>1050</v>
      </c>
      <c r="D219" s="1990" t="s">
        <v>946</v>
      </c>
      <c r="E219" s="1990" t="s">
        <v>1054</v>
      </c>
      <c r="F219" s="1991">
        <v>31378</v>
      </c>
      <c r="G219" s="1991">
        <v>28240125</v>
      </c>
      <c r="H219" s="1991">
        <v>31001</v>
      </c>
      <c r="I219" s="1991">
        <v>33369</v>
      </c>
      <c r="J219" s="1991">
        <v>26345</v>
      </c>
      <c r="K219" s="1991">
        <v>900</v>
      </c>
      <c r="L219" s="1990">
        <v>2225</v>
      </c>
      <c r="M219" s="1990">
        <v>900</v>
      </c>
      <c r="N219" s="1990" t="s">
        <v>1052</v>
      </c>
      <c r="O219" s="1990" t="s">
        <v>8291</v>
      </c>
      <c r="P219" s="1990" t="s">
        <v>946</v>
      </c>
      <c r="Q219" s="1990" t="s">
        <v>1438</v>
      </c>
      <c r="R219" s="1990" t="s">
        <v>1054</v>
      </c>
    </row>
    <row r="220" spans="1:18" ht="30">
      <c r="A220" s="1990" t="s">
        <v>1085</v>
      </c>
      <c r="B220" s="1990" t="s">
        <v>1447</v>
      </c>
      <c r="C220" s="1990" t="s">
        <v>1050</v>
      </c>
      <c r="D220" s="1990" t="s">
        <v>942</v>
      </c>
      <c r="E220" s="1990" t="s">
        <v>1054</v>
      </c>
      <c r="F220" s="1991">
        <v>37826</v>
      </c>
      <c r="G220" s="1991">
        <v>22695710</v>
      </c>
      <c r="H220" s="1991">
        <v>37529</v>
      </c>
      <c r="I220" s="1991">
        <v>38022</v>
      </c>
      <c r="J220" s="1991">
        <v>32090</v>
      </c>
      <c r="K220" s="1991">
        <v>600</v>
      </c>
      <c r="L220" s="1990">
        <v>2620</v>
      </c>
      <c r="M220" s="1990">
        <v>600</v>
      </c>
      <c r="N220" s="1990" t="s">
        <v>1052</v>
      </c>
      <c r="O220" s="1990" t="s">
        <v>8291</v>
      </c>
      <c r="P220" s="1990" t="s">
        <v>1117</v>
      </c>
      <c r="Q220" s="1990" t="s">
        <v>1118</v>
      </c>
      <c r="R220" s="1990" t="s">
        <v>1054</v>
      </c>
    </row>
    <row r="221" spans="1:18">
      <c r="A221" s="1990" t="s">
        <v>1358</v>
      </c>
      <c r="B221" s="1990" t="s">
        <v>1397</v>
      </c>
      <c r="C221" s="1990" t="s">
        <v>1050</v>
      </c>
      <c r="D221" s="1990" t="s">
        <v>913</v>
      </c>
      <c r="E221" s="1990" t="s">
        <v>1054</v>
      </c>
      <c r="F221" s="1991">
        <v>51801</v>
      </c>
      <c r="G221" s="1991">
        <v>25900500</v>
      </c>
      <c r="H221" s="1991">
        <v>51679</v>
      </c>
      <c r="I221" s="1991">
        <v>52029</v>
      </c>
      <c r="J221" s="1991">
        <v>41978</v>
      </c>
      <c r="K221" s="1991">
        <v>500</v>
      </c>
      <c r="L221" s="1990">
        <v>2075</v>
      </c>
      <c r="M221" s="1990">
        <v>500</v>
      </c>
      <c r="N221" s="1990" t="s">
        <v>1052</v>
      </c>
      <c r="O221" s="1990" t="s">
        <v>8291</v>
      </c>
      <c r="P221" s="1990" t="s">
        <v>913</v>
      </c>
      <c r="Q221" s="1990" t="s">
        <v>1090</v>
      </c>
      <c r="R221" s="1990" t="s">
        <v>1054</v>
      </c>
    </row>
    <row r="222" spans="1:18">
      <c r="A222" s="1990" t="s">
        <v>1057</v>
      </c>
      <c r="B222" s="1990" t="s">
        <v>1456</v>
      </c>
      <c r="C222" s="1990" t="s">
        <v>1050</v>
      </c>
      <c r="D222" s="1990" t="s">
        <v>48</v>
      </c>
      <c r="E222" s="1990" t="s">
        <v>1054</v>
      </c>
      <c r="F222" s="1991">
        <v>40810</v>
      </c>
      <c r="G222" s="1991">
        <v>163238700</v>
      </c>
      <c r="H222" s="1991">
        <v>40029</v>
      </c>
      <c r="I222" s="1991">
        <v>42869</v>
      </c>
      <c r="J222" s="1991">
        <v>37996</v>
      </c>
      <c r="K222" s="1990">
        <v>4000</v>
      </c>
      <c r="L222" s="1990">
        <v>10600</v>
      </c>
      <c r="M222" s="1990">
        <v>4000</v>
      </c>
      <c r="N222" s="1990" t="s">
        <v>1052</v>
      </c>
      <c r="O222" s="1990" t="s">
        <v>8291</v>
      </c>
      <c r="P222" s="1990" t="s">
        <v>48</v>
      </c>
      <c r="Q222" s="1990" t="s">
        <v>1083</v>
      </c>
      <c r="R222" s="1990" t="s">
        <v>1054</v>
      </c>
    </row>
    <row r="223" spans="1:18">
      <c r="A223" s="1990" t="s">
        <v>1059</v>
      </c>
      <c r="B223" s="1990" t="s">
        <v>1455</v>
      </c>
      <c r="C223" s="1990" t="s">
        <v>1050</v>
      </c>
      <c r="D223" s="1990" t="s">
        <v>960</v>
      </c>
      <c r="E223" s="1990" t="s">
        <v>1054</v>
      </c>
      <c r="F223" s="1991">
        <v>26251</v>
      </c>
      <c r="G223" s="1991">
        <v>13125300</v>
      </c>
      <c r="H223" s="1991">
        <v>26241</v>
      </c>
      <c r="I223" s="1991">
        <v>26289</v>
      </c>
      <c r="J223" s="1991">
        <v>26236</v>
      </c>
      <c r="K223" s="1990">
        <v>500</v>
      </c>
      <c r="L223" s="1990">
        <v>600</v>
      </c>
      <c r="M223" s="1990">
        <v>500</v>
      </c>
      <c r="N223" s="1990" t="s">
        <v>1052</v>
      </c>
      <c r="O223" s="1990" t="s">
        <v>8291</v>
      </c>
      <c r="P223" s="1990" t="s">
        <v>960</v>
      </c>
      <c r="Q223" s="1990" t="s">
        <v>1130</v>
      </c>
      <c r="R223" s="1990" t="s">
        <v>1054</v>
      </c>
    </row>
    <row r="224" spans="1:18" ht="30">
      <c r="A224" s="1990" t="s">
        <v>1057</v>
      </c>
      <c r="B224" s="1990" t="s">
        <v>1419</v>
      </c>
      <c r="C224" s="1990" t="s">
        <v>1050</v>
      </c>
      <c r="D224" s="1990" t="s">
        <v>972</v>
      </c>
      <c r="E224" s="1990" t="s">
        <v>1054</v>
      </c>
      <c r="F224" s="1991">
        <v>37857</v>
      </c>
      <c r="G224" s="1991">
        <v>85178600</v>
      </c>
      <c r="H224" s="1991">
        <v>37669</v>
      </c>
      <c r="I224" s="1991">
        <v>38879</v>
      </c>
      <c r="J224" s="1991">
        <v>37446</v>
      </c>
      <c r="K224" s="1990">
        <v>2250</v>
      </c>
      <c r="L224" s="1991">
        <v>5100</v>
      </c>
      <c r="M224" s="1991">
        <v>2250</v>
      </c>
      <c r="N224" s="1990" t="s">
        <v>1052</v>
      </c>
      <c r="O224" s="1990" t="s">
        <v>8291</v>
      </c>
      <c r="P224" s="1990" t="s">
        <v>972</v>
      </c>
      <c r="Q224" s="1990" t="s">
        <v>1240</v>
      </c>
      <c r="R224" s="1990" t="s">
        <v>1054</v>
      </c>
    </row>
    <row r="225" spans="1:18" ht="30">
      <c r="A225" s="1990" t="s">
        <v>1061</v>
      </c>
      <c r="B225" s="1990" t="s">
        <v>1409</v>
      </c>
      <c r="C225" s="1990" t="s">
        <v>1050</v>
      </c>
      <c r="D225" s="1990" t="s">
        <v>962</v>
      </c>
      <c r="E225" s="1990" t="s">
        <v>1054</v>
      </c>
      <c r="F225" s="1991">
        <v>36101</v>
      </c>
      <c r="G225" s="1991">
        <v>18772494</v>
      </c>
      <c r="H225" s="1991">
        <v>36056</v>
      </c>
      <c r="I225" s="1991">
        <v>36199</v>
      </c>
      <c r="J225" s="1991">
        <v>36056</v>
      </c>
      <c r="K225" s="1990">
        <v>520</v>
      </c>
      <c r="L225" s="1990">
        <v>598</v>
      </c>
      <c r="M225" s="1990">
        <v>520</v>
      </c>
      <c r="N225" s="1990" t="s">
        <v>1052</v>
      </c>
      <c r="O225" s="1990" t="s">
        <v>8291</v>
      </c>
      <c r="P225" s="1990" t="s">
        <v>962</v>
      </c>
      <c r="Q225" s="1990" t="s">
        <v>1080</v>
      </c>
      <c r="R225" s="1990" t="s">
        <v>1054</v>
      </c>
    </row>
    <row r="226" spans="1:18">
      <c r="A226" s="1990" t="s">
        <v>1059</v>
      </c>
      <c r="B226" s="1990" t="s">
        <v>1345</v>
      </c>
      <c r="C226" s="1990" t="s">
        <v>1050</v>
      </c>
      <c r="D226" s="1990" t="s">
        <v>902</v>
      </c>
      <c r="E226" s="1990" t="s">
        <v>1054</v>
      </c>
      <c r="F226" s="1991">
        <v>32987</v>
      </c>
      <c r="G226" s="1991">
        <v>263893650</v>
      </c>
      <c r="H226" s="1991">
        <v>32699</v>
      </c>
      <c r="I226" s="1991">
        <v>33679</v>
      </c>
      <c r="J226" s="1991">
        <v>31483</v>
      </c>
      <c r="K226" s="1990">
        <v>8000</v>
      </c>
      <c r="L226" s="1990">
        <v>9250</v>
      </c>
      <c r="M226" s="1990">
        <v>8000</v>
      </c>
      <c r="N226" s="1990" t="s">
        <v>1052</v>
      </c>
      <c r="O226" s="1990" t="s">
        <v>8291</v>
      </c>
      <c r="P226" s="1990" t="s">
        <v>902</v>
      </c>
      <c r="Q226" s="1990" t="s">
        <v>1053</v>
      </c>
      <c r="R226" s="1990" t="s">
        <v>1054</v>
      </c>
    </row>
    <row r="227" spans="1:18">
      <c r="A227" s="1990" t="s">
        <v>1055</v>
      </c>
      <c r="B227" s="1990" t="s">
        <v>1452</v>
      </c>
      <c r="C227" s="1990" t="s">
        <v>1050</v>
      </c>
      <c r="D227" s="1990" t="s">
        <v>933</v>
      </c>
      <c r="E227" s="1990" t="s">
        <v>1054</v>
      </c>
      <c r="F227" s="1991">
        <v>42741</v>
      </c>
      <c r="G227" s="1991">
        <v>85481800</v>
      </c>
      <c r="H227" s="1991">
        <v>42119</v>
      </c>
      <c r="I227" s="1991">
        <v>44699</v>
      </c>
      <c r="J227" s="1991">
        <v>39144</v>
      </c>
      <c r="K227" s="1990">
        <v>2000</v>
      </c>
      <c r="L227" s="1990">
        <v>4500</v>
      </c>
      <c r="M227" s="1990">
        <v>2000</v>
      </c>
      <c r="N227" s="1990" t="s">
        <v>1052</v>
      </c>
      <c r="O227" s="1990" t="s">
        <v>8291</v>
      </c>
      <c r="P227" s="1990" t="s">
        <v>933</v>
      </c>
      <c r="Q227" s="1990" t="s">
        <v>1446</v>
      </c>
      <c r="R227" s="1990" t="s">
        <v>1054</v>
      </c>
    </row>
    <row r="228" spans="1:18">
      <c r="A228" s="1990" t="s">
        <v>1057</v>
      </c>
      <c r="B228" s="1990" t="s">
        <v>1458</v>
      </c>
      <c r="C228" s="1990" t="s">
        <v>1050</v>
      </c>
      <c r="D228" s="1990" t="s">
        <v>927</v>
      </c>
      <c r="E228" s="1990" t="s">
        <v>1054</v>
      </c>
      <c r="F228" s="1991">
        <v>39548</v>
      </c>
      <c r="G228" s="1991">
        <v>67232125</v>
      </c>
      <c r="H228" s="1991">
        <v>39400</v>
      </c>
      <c r="I228" s="1991">
        <v>40555</v>
      </c>
      <c r="J228" s="1991">
        <v>39378</v>
      </c>
      <c r="K228" s="1990">
        <v>1700</v>
      </c>
      <c r="L228" s="1990">
        <v>2675</v>
      </c>
      <c r="M228" s="1990">
        <v>1700</v>
      </c>
      <c r="N228" s="1990" t="s">
        <v>1052</v>
      </c>
      <c r="O228" s="1990" t="s">
        <v>8291</v>
      </c>
      <c r="P228" s="1990" t="s">
        <v>927</v>
      </c>
      <c r="Q228" s="1990" t="s">
        <v>1143</v>
      </c>
      <c r="R228" s="1990" t="s">
        <v>1054</v>
      </c>
    </row>
    <row r="229" spans="1:18">
      <c r="A229" s="1990" t="s">
        <v>1112</v>
      </c>
      <c r="B229" s="1990" t="s">
        <v>1113</v>
      </c>
      <c r="C229" s="1990" t="s">
        <v>1050</v>
      </c>
      <c r="D229" s="1990" t="s">
        <v>920</v>
      </c>
      <c r="E229" s="1990" t="s">
        <v>1054</v>
      </c>
      <c r="F229" s="1991">
        <v>24604</v>
      </c>
      <c r="G229" s="1991">
        <v>73810750</v>
      </c>
      <c r="H229" s="1991">
        <v>24509</v>
      </c>
      <c r="I229" s="1991">
        <v>24939</v>
      </c>
      <c r="J229" s="1991">
        <v>24400</v>
      </c>
      <c r="K229" s="1990">
        <v>3000</v>
      </c>
      <c r="L229" s="1990">
        <v>3625</v>
      </c>
      <c r="M229" s="1990">
        <v>3000</v>
      </c>
      <c r="N229" s="1990" t="s">
        <v>1052</v>
      </c>
      <c r="O229" s="1990" t="s">
        <v>8291</v>
      </c>
      <c r="P229" s="1990" t="s">
        <v>920</v>
      </c>
      <c r="Q229" s="1990" t="s">
        <v>1114</v>
      </c>
      <c r="R229" s="1990" t="s">
        <v>1054</v>
      </c>
    </row>
    <row r="230" spans="1:18">
      <c r="A230" s="1990" t="s">
        <v>1057</v>
      </c>
      <c r="B230" s="1990" t="s">
        <v>1081</v>
      </c>
      <c r="C230" s="1990" t="s">
        <v>1050</v>
      </c>
      <c r="D230" s="1990" t="s">
        <v>955</v>
      </c>
      <c r="E230" s="1990" t="s">
        <v>1054</v>
      </c>
      <c r="F230" s="1991">
        <v>37964</v>
      </c>
      <c r="G230" s="1991">
        <v>37964300</v>
      </c>
      <c r="H230" s="1991">
        <v>37809</v>
      </c>
      <c r="I230" s="1991">
        <v>38399</v>
      </c>
      <c r="J230" s="1991">
        <v>37366</v>
      </c>
      <c r="K230" s="1990">
        <v>1000</v>
      </c>
      <c r="L230" s="1990">
        <v>3075</v>
      </c>
      <c r="M230" s="1990">
        <v>1000</v>
      </c>
      <c r="N230" s="1990" t="s">
        <v>1052</v>
      </c>
      <c r="O230" s="1990" t="s">
        <v>8291</v>
      </c>
      <c r="P230" s="1990" t="s">
        <v>955</v>
      </c>
      <c r="Q230" s="1990" t="s">
        <v>1080</v>
      </c>
      <c r="R230" s="1990" t="s">
        <v>1054</v>
      </c>
    </row>
    <row r="231" spans="1:18">
      <c r="A231" s="1990" t="s">
        <v>1059</v>
      </c>
      <c r="B231" s="1990" t="s">
        <v>1326</v>
      </c>
      <c r="C231" s="1990" t="s">
        <v>1050</v>
      </c>
      <c r="D231" s="1990" t="s">
        <v>900</v>
      </c>
      <c r="E231" s="1990" t="s">
        <v>1054</v>
      </c>
      <c r="F231" s="1991">
        <v>34053</v>
      </c>
      <c r="G231" s="1991">
        <v>187292950</v>
      </c>
      <c r="H231" s="1991">
        <v>33799</v>
      </c>
      <c r="I231" s="1991">
        <v>35229</v>
      </c>
      <c r="J231" s="1991">
        <v>31248</v>
      </c>
      <c r="K231" s="1990">
        <v>5500</v>
      </c>
      <c r="L231" s="1990">
        <v>9880</v>
      </c>
      <c r="M231" s="1990">
        <v>5500</v>
      </c>
      <c r="N231" s="1990" t="s">
        <v>1052</v>
      </c>
      <c r="O231" s="1990" t="s">
        <v>8291</v>
      </c>
      <c r="P231" s="1990" t="s">
        <v>900</v>
      </c>
      <c r="Q231" s="1990" t="s">
        <v>1053</v>
      </c>
      <c r="R231" s="1990" t="s">
        <v>1054</v>
      </c>
    </row>
    <row r="232" spans="1:18">
      <c r="A232" s="1990" t="s">
        <v>1061</v>
      </c>
      <c r="B232" s="1990" t="s">
        <v>1095</v>
      </c>
      <c r="C232" s="1990" t="s">
        <v>1050</v>
      </c>
      <c r="D232" s="1990" t="s">
        <v>928</v>
      </c>
      <c r="E232" s="1990" t="s">
        <v>1054</v>
      </c>
      <c r="F232" s="1991">
        <v>36247</v>
      </c>
      <c r="G232" s="1991">
        <v>163111450</v>
      </c>
      <c r="H232" s="1991">
        <v>36159</v>
      </c>
      <c r="I232" s="1991">
        <v>37009</v>
      </c>
      <c r="J232" s="1991">
        <v>36107</v>
      </c>
      <c r="K232" s="1990">
        <v>4500</v>
      </c>
      <c r="L232" s="1990">
        <v>4650</v>
      </c>
      <c r="M232" s="1990">
        <v>4500</v>
      </c>
      <c r="N232" s="1990" t="s">
        <v>1052</v>
      </c>
      <c r="O232" s="1990" t="s">
        <v>8291</v>
      </c>
      <c r="P232" s="1990" t="s">
        <v>928</v>
      </c>
      <c r="Q232" s="1990" t="s">
        <v>1053</v>
      </c>
      <c r="R232" s="1990" t="s">
        <v>1067</v>
      </c>
    </row>
    <row r="233" spans="1:18">
      <c r="A233" s="1990" t="s">
        <v>1055</v>
      </c>
      <c r="B233" s="1990" t="s">
        <v>1412</v>
      </c>
      <c r="C233" s="1990" t="s">
        <v>1050</v>
      </c>
      <c r="D233" s="1990" t="s">
        <v>920</v>
      </c>
      <c r="E233" s="1990" t="s">
        <v>1054</v>
      </c>
      <c r="F233" s="1991">
        <v>35656</v>
      </c>
      <c r="G233" s="1991">
        <v>249589350</v>
      </c>
      <c r="H233" s="1991">
        <v>35419</v>
      </c>
      <c r="I233" s="1991">
        <v>35911</v>
      </c>
      <c r="J233" s="1991">
        <v>34876</v>
      </c>
      <c r="K233" s="1990">
        <v>7000</v>
      </c>
      <c r="L233" s="1990">
        <v>9475</v>
      </c>
      <c r="M233" s="1990">
        <v>7000</v>
      </c>
      <c r="N233" s="1990" t="s">
        <v>1052</v>
      </c>
      <c r="O233" s="1990" t="s">
        <v>8291</v>
      </c>
      <c r="P233" s="1990" t="s">
        <v>920</v>
      </c>
      <c r="Q233" s="1990" t="s">
        <v>1114</v>
      </c>
      <c r="R233" s="1990" t="s">
        <v>1067</v>
      </c>
    </row>
    <row r="234" spans="1:18" ht="30">
      <c r="A234" s="1990" t="s">
        <v>1085</v>
      </c>
      <c r="B234" s="1990" t="s">
        <v>1096</v>
      </c>
      <c r="C234" s="1990" t="s">
        <v>1050</v>
      </c>
      <c r="D234" s="1990" t="s">
        <v>957</v>
      </c>
      <c r="E234" s="1990" t="s">
        <v>1054</v>
      </c>
      <c r="F234" s="1991">
        <v>26546</v>
      </c>
      <c r="G234" s="1991">
        <v>119456750</v>
      </c>
      <c r="H234" s="1991">
        <v>26349</v>
      </c>
      <c r="I234" s="1991">
        <v>26819</v>
      </c>
      <c r="J234" s="1991">
        <v>25523</v>
      </c>
      <c r="K234" s="1990">
        <v>4500</v>
      </c>
      <c r="L234" s="1990">
        <v>6025</v>
      </c>
      <c r="M234" s="1990">
        <v>4500</v>
      </c>
      <c r="N234" s="1990" t="s">
        <v>1052</v>
      </c>
      <c r="O234" s="1990" t="s">
        <v>8291</v>
      </c>
      <c r="P234" s="1990" t="s">
        <v>957</v>
      </c>
      <c r="Q234" s="1990" t="s">
        <v>1090</v>
      </c>
      <c r="R234" s="1990" t="s">
        <v>1067</v>
      </c>
    </row>
    <row r="235" spans="1:18" ht="30">
      <c r="A235" s="1990" t="s">
        <v>1059</v>
      </c>
      <c r="B235" s="1990" t="s">
        <v>1098</v>
      </c>
      <c r="C235" s="1990" t="s">
        <v>1050</v>
      </c>
      <c r="D235" s="1990" t="s">
        <v>957</v>
      </c>
      <c r="E235" s="1990" t="s">
        <v>1054</v>
      </c>
      <c r="F235" s="1991">
        <v>28407</v>
      </c>
      <c r="G235" s="1991">
        <v>127832750</v>
      </c>
      <c r="H235" s="1991">
        <v>28159</v>
      </c>
      <c r="I235" s="1991">
        <v>28769</v>
      </c>
      <c r="J235" s="1991">
        <v>26295</v>
      </c>
      <c r="K235" s="1990">
        <v>4500</v>
      </c>
      <c r="L235" s="1990">
        <v>5450</v>
      </c>
      <c r="M235" s="1990">
        <v>4500</v>
      </c>
      <c r="N235" s="1990" t="s">
        <v>1052</v>
      </c>
      <c r="O235" s="1990" t="s">
        <v>8291</v>
      </c>
      <c r="P235" s="1990" t="s">
        <v>957</v>
      </c>
      <c r="Q235" s="1990" t="s">
        <v>1090</v>
      </c>
      <c r="R235" s="1990" t="s">
        <v>1067</v>
      </c>
    </row>
    <row r="236" spans="1:18" ht="30">
      <c r="A236" s="1990" t="s">
        <v>1059</v>
      </c>
      <c r="B236" s="1990" t="s">
        <v>1065</v>
      </c>
      <c r="C236" s="1990" t="s">
        <v>1050</v>
      </c>
      <c r="D236" s="1990" t="s">
        <v>953</v>
      </c>
      <c r="E236" s="1990" t="s">
        <v>1054</v>
      </c>
      <c r="F236" s="1991">
        <v>28108</v>
      </c>
      <c r="G236" s="1991">
        <v>210811750</v>
      </c>
      <c r="H236" s="1991">
        <v>28099</v>
      </c>
      <c r="I236" s="1991">
        <v>28489</v>
      </c>
      <c r="J236" s="1991">
        <v>27993</v>
      </c>
      <c r="K236" s="1990">
        <v>7500</v>
      </c>
      <c r="L236" s="1990">
        <v>8975</v>
      </c>
      <c r="M236" s="1990">
        <v>7500</v>
      </c>
      <c r="N236" s="1990" t="s">
        <v>1052</v>
      </c>
      <c r="O236" s="1990" t="s">
        <v>8291</v>
      </c>
      <c r="P236" s="1990" t="s">
        <v>1066</v>
      </c>
      <c r="Q236" s="1990" t="s">
        <v>1063</v>
      </c>
      <c r="R236" s="1990" t="s">
        <v>1067</v>
      </c>
    </row>
    <row r="237" spans="1:18">
      <c r="A237" s="1990" t="s">
        <v>1112</v>
      </c>
      <c r="B237" s="1990" t="s">
        <v>1459</v>
      </c>
      <c r="C237" s="1990" t="s">
        <v>1050</v>
      </c>
      <c r="D237" s="1990" t="s">
        <v>955</v>
      </c>
      <c r="E237" s="1990" t="s">
        <v>1054</v>
      </c>
      <c r="F237" s="1991">
        <v>25634</v>
      </c>
      <c r="G237" s="1991">
        <v>51268000</v>
      </c>
      <c r="H237" s="1991">
        <v>25589</v>
      </c>
      <c r="I237" s="1991">
        <v>25839</v>
      </c>
      <c r="J237" s="1991">
        <v>24345</v>
      </c>
      <c r="K237" s="1990">
        <v>2000</v>
      </c>
      <c r="L237" s="1990">
        <v>5500</v>
      </c>
      <c r="M237" s="1990">
        <v>2000</v>
      </c>
      <c r="N237" s="1990" t="s">
        <v>1052</v>
      </c>
      <c r="O237" s="1990" t="s">
        <v>8291</v>
      </c>
      <c r="P237" s="1990" t="s">
        <v>955</v>
      </c>
      <c r="Q237" s="1990" t="s">
        <v>1080</v>
      </c>
      <c r="R237" s="1990" t="s">
        <v>1067</v>
      </c>
    </row>
    <row r="238" spans="1:18" ht="30">
      <c r="A238" s="1990" t="s">
        <v>1059</v>
      </c>
      <c r="B238" s="1990" t="s">
        <v>1104</v>
      </c>
      <c r="C238" s="1990" t="s">
        <v>1050</v>
      </c>
      <c r="D238" s="1990" t="s">
        <v>935</v>
      </c>
      <c r="E238" s="1990" t="s">
        <v>1054</v>
      </c>
      <c r="F238" s="1991">
        <v>26314</v>
      </c>
      <c r="G238" s="1991">
        <v>171043600</v>
      </c>
      <c r="H238" s="1991">
        <v>26237</v>
      </c>
      <c r="I238" s="1991">
        <v>26880</v>
      </c>
      <c r="J238" s="1991">
        <v>26236</v>
      </c>
      <c r="K238" s="1990">
        <v>6500</v>
      </c>
      <c r="L238" s="1990">
        <v>11550</v>
      </c>
      <c r="M238" s="1990">
        <v>6500</v>
      </c>
      <c r="N238" s="1990" t="s">
        <v>1052</v>
      </c>
      <c r="O238" s="1990" t="s">
        <v>8291</v>
      </c>
      <c r="P238" s="1990" t="s">
        <v>935</v>
      </c>
      <c r="Q238" s="1990" t="s">
        <v>1087</v>
      </c>
      <c r="R238" s="1990" t="s">
        <v>1067</v>
      </c>
    </row>
    <row r="239" spans="1:18">
      <c r="A239" s="1990" t="s">
        <v>1059</v>
      </c>
      <c r="B239" s="1990" t="s">
        <v>1328</v>
      </c>
      <c r="C239" s="1990" t="s">
        <v>1050</v>
      </c>
      <c r="D239" s="1990" t="s">
        <v>912</v>
      </c>
      <c r="E239" s="1990" t="s">
        <v>1054</v>
      </c>
      <c r="F239" s="1991">
        <v>29814</v>
      </c>
      <c r="G239" s="1991">
        <v>253415975</v>
      </c>
      <c r="H239" s="1991">
        <v>29529</v>
      </c>
      <c r="I239" s="1991">
        <v>30269</v>
      </c>
      <c r="J239" s="1991">
        <v>26446</v>
      </c>
      <c r="K239" s="1990">
        <v>8500</v>
      </c>
      <c r="L239" s="1990">
        <v>10850</v>
      </c>
      <c r="M239" s="1990">
        <v>8500</v>
      </c>
      <c r="N239" s="1990" t="s">
        <v>1052</v>
      </c>
      <c r="O239" s="1990" t="s">
        <v>8291</v>
      </c>
      <c r="P239" s="1990" t="s">
        <v>912</v>
      </c>
      <c r="Q239" s="1990" t="s">
        <v>1053</v>
      </c>
      <c r="R239" s="1990" t="s">
        <v>1067</v>
      </c>
    </row>
    <row r="240" spans="1:18">
      <c r="A240" s="1990" t="s">
        <v>1085</v>
      </c>
      <c r="B240" s="1990" t="s">
        <v>1411</v>
      </c>
      <c r="C240" s="1990" t="s">
        <v>1050</v>
      </c>
      <c r="D240" s="1990" t="s">
        <v>920</v>
      </c>
      <c r="E240" s="1990" t="s">
        <v>1054</v>
      </c>
      <c r="F240" s="1991">
        <v>27051</v>
      </c>
      <c r="G240" s="1991">
        <v>568064700</v>
      </c>
      <c r="H240" s="1991">
        <v>26969</v>
      </c>
      <c r="I240" s="1991">
        <v>27888</v>
      </c>
      <c r="J240" s="1991">
        <v>25523</v>
      </c>
      <c r="K240" s="1990">
        <v>21000</v>
      </c>
      <c r="L240" s="1990">
        <v>26925</v>
      </c>
      <c r="M240" s="1990">
        <v>21000</v>
      </c>
      <c r="N240" s="1990" t="s">
        <v>1052</v>
      </c>
      <c r="O240" s="1990" t="s">
        <v>8291</v>
      </c>
      <c r="P240" s="1990" t="s">
        <v>920</v>
      </c>
      <c r="Q240" s="1990" t="s">
        <v>1114</v>
      </c>
      <c r="R240" s="1990" t="s">
        <v>1067</v>
      </c>
    </row>
    <row r="241" spans="1:18">
      <c r="A241" s="1990" t="s">
        <v>1057</v>
      </c>
      <c r="B241" s="1990" t="s">
        <v>1413</v>
      </c>
      <c r="C241" s="1990" t="s">
        <v>1050</v>
      </c>
      <c r="D241" s="1990" t="s">
        <v>920</v>
      </c>
      <c r="E241" s="1990" t="s">
        <v>1054</v>
      </c>
      <c r="F241" s="1991">
        <v>38981</v>
      </c>
      <c r="G241" s="1991">
        <v>194903800</v>
      </c>
      <c r="H241" s="1991">
        <v>38759</v>
      </c>
      <c r="I241" s="1991">
        <v>39599</v>
      </c>
      <c r="J241" s="1991">
        <v>37366</v>
      </c>
      <c r="K241" s="1990">
        <v>5000</v>
      </c>
      <c r="L241" s="1990">
        <v>6875</v>
      </c>
      <c r="M241" s="1990">
        <v>5000</v>
      </c>
      <c r="N241" s="1990" t="s">
        <v>1052</v>
      </c>
      <c r="O241" s="1990" t="s">
        <v>8291</v>
      </c>
      <c r="P241" s="1990" t="s">
        <v>920</v>
      </c>
      <c r="Q241" s="1990" t="s">
        <v>1114</v>
      </c>
      <c r="R241" s="1990" t="s">
        <v>1067</v>
      </c>
    </row>
    <row r="242" spans="1:18" ht="30">
      <c r="A242" s="1990" t="s">
        <v>1068</v>
      </c>
      <c r="B242" s="1990" t="s">
        <v>1467</v>
      </c>
      <c r="C242" s="1990" t="s">
        <v>1050</v>
      </c>
      <c r="D242" s="1990" t="s">
        <v>945</v>
      </c>
      <c r="E242" s="1990" t="s">
        <v>1054</v>
      </c>
      <c r="F242" s="1991">
        <v>25051</v>
      </c>
      <c r="G242" s="1991">
        <v>25051400</v>
      </c>
      <c r="H242" s="1991">
        <v>25046</v>
      </c>
      <c r="I242" s="1991">
        <v>25148</v>
      </c>
      <c r="J242" s="1991">
        <v>25045</v>
      </c>
      <c r="K242" s="1990">
        <v>1000</v>
      </c>
      <c r="L242" s="1990">
        <v>1025</v>
      </c>
      <c r="M242" s="1990">
        <v>1000</v>
      </c>
      <c r="N242" s="1990" t="s">
        <v>1052</v>
      </c>
      <c r="O242" s="1990" t="s">
        <v>8291</v>
      </c>
      <c r="P242" s="1990" t="s">
        <v>1142</v>
      </c>
      <c r="Q242" s="1990" t="s">
        <v>1143</v>
      </c>
      <c r="R242" s="1990" t="s">
        <v>1067</v>
      </c>
    </row>
    <row r="243" spans="1:18">
      <c r="A243" s="1990" t="s">
        <v>1333</v>
      </c>
      <c r="B243" s="1990" t="s">
        <v>1334</v>
      </c>
      <c r="C243" s="1990" t="s">
        <v>1050</v>
      </c>
      <c r="D243" s="1990" t="s">
        <v>898</v>
      </c>
      <c r="E243" s="1990" t="s">
        <v>1054</v>
      </c>
      <c r="F243" s="1991"/>
      <c r="G243" s="1991">
        <v>0</v>
      </c>
      <c r="H243" s="1991"/>
      <c r="I243" s="1991"/>
      <c r="J243" s="1991">
        <v>44503</v>
      </c>
      <c r="K243" s="1990">
        <v>200</v>
      </c>
      <c r="L243" s="1990">
        <v>0</v>
      </c>
      <c r="M243" s="1990">
        <v>0</v>
      </c>
      <c r="N243" s="1990" t="s">
        <v>1052</v>
      </c>
      <c r="O243" s="1990" t="s">
        <v>8291</v>
      </c>
      <c r="P243" s="1990" t="s">
        <v>898</v>
      </c>
      <c r="Q243" s="1990" t="s">
        <v>1053</v>
      </c>
      <c r="R243" s="1990" t="s">
        <v>1054</v>
      </c>
    </row>
    <row r="244" spans="1:18" ht="30">
      <c r="A244" s="1990" t="s">
        <v>1119</v>
      </c>
      <c r="B244" s="1990" t="s">
        <v>1481</v>
      </c>
      <c r="C244" s="1990" t="s">
        <v>1050</v>
      </c>
      <c r="D244" s="1990" t="s">
        <v>948</v>
      </c>
      <c r="E244" s="1990" t="s">
        <v>1054</v>
      </c>
      <c r="F244" s="1991"/>
      <c r="G244" s="1991">
        <v>0</v>
      </c>
      <c r="H244" s="1991"/>
      <c r="I244" s="1991"/>
      <c r="J244" s="1991">
        <v>49008</v>
      </c>
      <c r="K244" s="1990">
        <v>250</v>
      </c>
      <c r="L244" s="1990">
        <v>0</v>
      </c>
      <c r="M244" s="1990">
        <v>0</v>
      </c>
      <c r="N244" s="1990" t="s">
        <v>1052</v>
      </c>
      <c r="O244" s="1990" t="s">
        <v>8291</v>
      </c>
      <c r="P244" s="1990" t="s">
        <v>948</v>
      </c>
      <c r="Q244" s="1990" t="s">
        <v>1209</v>
      </c>
      <c r="R244" s="1990" t="s">
        <v>1054</v>
      </c>
    </row>
    <row r="245" spans="1:18" ht="30">
      <c r="A245" s="1990" t="s">
        <v>1059</v>
      </c>
      <c r="B245" s="1990" t="s">
        <v>1377</v>
      </c>
      <c r="C245" s="1990" t="s">
        <v>1050</v>
      </c>
      <c r="D245" s="1990" t="s">
        <v>941</v>
      </c>
      <c r="E245" s="1990" t="s">
        <v>1054</v>
      </c>
      <c r="F245" s="1991"/>
      <c r="G245" s="1991">
        <v>0</v>
      </c>
      <c r="H245" s="1991"/>
      <c r="I245" s="1991"/>
      <c r="J245" s="1991">
        <v>27932</v>
      </c>
      <c r="K245" s="1990">
        <v>1300</v>
      </c>
      <c r="L245" s="1990">
        <v>0</v>
      </c>
      <c r="M245" s="1990">
        <v>0</v>
      </c>
      <c r="N245" s="1990" t="s">
        <v>1052</v>
      </c>
      <c r="O245" s="1990" t="s">
        <v>8291</v>
      </c>
      <c r="P245" s="1990" t="s">
        <v>941</v>
      </c>
      <c r="Q245" s="1990" t="s">
        <v>1075</v>
      </c>
      <c r="R245" s="1990" t="s">
        <v>1054</v>
      </c>
    </row>
    <row r="246" spans="1:18" ht="30">
      <c r="A246" s="1990" t="s">
        <v>1422</v>
      </c>
      <c r="B246" s="1990" t="s">
        <v>1423</v>
      </c>
      <c r="C246" s="1990" t="s">
        <v>1050</v>
      </c>
      <c r="D246" s="1990" t="s">
        <v>950</v>
      </c>
      <c r="E246" s="1990" t="s">
        <v>1054</v>
      </c>
      <c r="F246" s="1991"/>
      <c r="G246" s="1991">
        <v>0</v>
      </c>
      <c r="H246" s="1991"/>
      <c r="I246" s="1991"/>
      <c r="J246" s="1991">
        <v>30248</v>
      </c>
      <c r="K246" s="1990">
        <v>200</v>
      </c>
      <c r="L246" s="1990">
        <v>0</v>
      </c>
      <c r="M246" s="1990">
        <v>0</v>
      </c>
      <c r="N246" s="1990" t="s">
        <v>1052</v>
      </c>
      <c r="O246" s="1990" t="s">
        <v>8291</v>
      </c>
      <c r="P246" s="1990" t="s">
        <v>1124</v>
      </c>
      <c r="Q246" s="1990" t="s">
        <v>1114</v>
      </c>
      <c r="R246" s="1990" t="s">
        <v>1067</v>
      </c>
    </row>
    <row r="247" spans="1:18">
      <c r="A247" s="1990" t="s">
        <v>1085</v>
      </c>
      <c r="B247" s="1990" t="s">
        <v>1430</v>
      </c>
      <c r="C247" s="1990" t="s">
        <v>1050</v>
      </c>
      <c r="D247" s="1990" t="s">
        <v>958</v>
      </c>
      <c r="E247" s="1990" t="s">
        <v>1427</v>
      </c>
      <c r="F247" s="1991"/>
      <c r="G247" s="1991">
        <v>0</v>
      </c>
      <c r="H247" s="1991"/>
      <c r="I247" s="1991"/>
      <c r="J247" s="1991">
        <v>25314</v>
      </c>
      <c r="K247" s="1990">
        <v>1000</v>
      </c>
      <c r="L247" s="1990">
        <v>0</v>
      </c>
      <c r="M247" s="1990">
        <v>0</v>
      </c>
      <c r="N247" s="1990" t="s">
        <v>1052</v>
      </c>
      <c r="O247" s="1990" t="s">
        <v>8291</v>
      </c>
      <c r="P247" s="1990" t="s">
        <v>958</v>
      </c>
      <c r="Q247" s="1990" t="s">
        <v>1312</v>
      </c>
      <c r="R247" s="1990" t="s">
        <v>1067</v>
      </c>
    </row>
    <row r="248" spans="1:18" ht="30">
      <c r="A248" s="1990" t="s">
        <v>1115</v>
      </c>
      <c r="B248" s="1990" t="s">
        <v>1461</v>
      </c>
      <c r="C248" s="1990" t="s">
        <v>1050</v>
      </c>
      <c r="D248" s="1990" t="s">
        <v>945</v>
      </c>
      <c r="E248" s="1990" t="s">
        <v>1054</v>
      </c>
      <c r="F248" s="1991"/>
      <c r="G248" s="1991">
        <v>0</v>
      </c>
      <c r="H248" s="1991"/>
      <c r="I248" s="1991"/>
      <c r="J248" s="1991">
        <v>37880</v>
      </c>
      <c r="K248" s="1990">
        <v>200</v>
      </c>
      <c r="L248" s="1990">
        <v>0</v>
      </c>
      <c r="M248" s="1990">
        <v>0</v>
      </c>
      <c r="N248" s="1990" t="s">
        <v>1052</v>
      </c>
      <c r="O248" s="1990" t="s">
        <v>8291</v>
      </c>
      <c r="P248" s="1990" t="s">
        <v>1142</v>
      </c>
      <c r="Q248" s="1990" t="s">
        <v>1143</v>
      </c>
      <c r="R248" s="1990" t="s">
        <v>1054</v>
      </c>
    </row>
    <row r="249" spans="1:18" ht="30">
      <c r="A249" s="1990" t="s">
        <v>1333</v>
      </c>
      <c r="B249" s="1990" t="s">
        <v>1462</v>
      </c>
      <c r="C249" s="1990" t="s">
        <v>1050</v>
      </c>
      <c r="D249" s="1990" t="s">
        <v>945</v>
      </c>
      <c r="E249" s="1990" t="s">
        <v>1054</v>
      </c>
      <c r="F249" s="1991"/>
      <c r="G249" s="1991">
        <v>0</v>
      </c>
      <c r="H249" s="1991"/>
      <c r="I249" s="1991"/>
      <c r="J249" s="1991">
        <v>37489</v>
      </c>
      <c r="K249" s="1990">
        <v>200</v>
      </c>
      <c r="L249" s="1990">
        <v>0</v>
      </c>
      <c r="M249" s="1990">
        <v>0</v>
      </c>
      <c r="N249" s="1990" t="s">
        <v>1052</v>
      </c>
      <c r="O249" s="1990" t="s">
        <v>8291</v>
      </c>
      <c r="P249" s="1990" t="s">
        <v>1142</v>
      </c>
      <c r="Q249" s="1990" t="s">
        <v>1143</v>
      </c>
      <c r="R249" s="1990" t="s">
        <v>1054</v>
      </c>
    </row>
    <row r="250" spans="1:18" ht="45">
      <c r="A250" s="1990" t="s">
        <v>1442</v>
      </c>
      <c r="B250" s="1990" t="s">
        <v>1443</v>
      </c>
      <c r="C250" s="1990" t="s">
        <v>1050</v>
      </c>
      <c r="D250" s="1990" t="s">
        <v>936</v>
      </c>
      <c r="E250" s="1990" t="s">
        <v>1054</v>
      </c>
      <c r="F250" s="1991"/>
      <c r="G250" s="1991">
        <v>0</v>
      </c>
      <c r="H250" s="1991"/>
      <c r="I250" s="1991"/>
      <c r="J250" s="1991">
        <v>41474</v>
      </c>
      <c r="K250" s="1990">
        <v>200</v>
      </c>
      <c r="L250" s="1990">
        <v>0</v>
      </c>
      <c r="M250" s="1990">
        <v>0</v>
      </c>
      <c r="N250" s="1990" t="s">
        <v>1052</v>
      </c>
      <c r="O250" s="1990" t="s">
        <v>8291</v>
      </c>
      <c r="P250" s="1990" t="s">
        <v>1136</v>
      </c>
      <c r="Q250" s="1990" t="s">
        <v>8292</v>
      </c>
      <c r="R250" s="1990" t="s">
        <v>1054</v>
      </c>
    </row>
    <row r="251" spans="1:18" ht="45">
      <c r="A251" s="1990" t="s">
        <v>1119</v>
      </c>
      <c r="B251" s="1990" t="s">
        <v>1444</v>
      </c>
      <c r="C251" s="1990" t="s">
        <v>1050</v>
      </c>
      <c r="D251" s="1990" t="s">
        <v>936</v>
      </c>
      <c r="E251" s="1990" t="s">
        <v>1054</v>
      </c>
      <c r="F251" s="1991"/>
      <c r="G251" s="1991">
        <v>0</v>
      </c>
      <c r="H251" s="1991"/>
      <c r="I251" s="1991"/>
      <c r="J251" s="1991">
        <v>41589</v>
      </c>
      <c r="K251" s="1990">
        <v>200</v>
      </c>
      <c r="L251" s="1991">
        <v>0</v>
      </c>
      <c r="M251" s="1991">
        <v>0</v>
      </c>
      <c r="N251" s="1990" t="s">
        <v>1052</v>
      </c>
      <c r="O251" s="1990" t="s">
        <v>8291</v>
      </c>
      <c r="P251" s="1990" t="s">
        <v>1136</v>
      </c>
      <c r="Q251" s="1990" t="s">
        <v>8292</v>
      </c>
      <c r="R251" s="1990" t="s">
        <v>1054</v>
      </c>
    </row>
    <row r="252" spans="1:18" ht="30">
      <c r="A252" s="1990" t="s">
        <v>1422</v>
      </c>
      <c r="B252" s="1990" t="s">
        <v>1468</v>
      </c>
      <c r="C252" s="1990" t="s">
        <v>1050</v>
      </c>
      <c r="D252" s="1990" t="s">
        <v>945</v>
      </c>
      <c r="E252" s="1990" t="s">
        <v>1054</v>
      </c>
      <c r="F252" s="1991"/>
      <c r="G252" s="1991">
        <v>0</v>
      </c>
      <c r="H252" s="1991"/>
      <c r="I252" s="1991"/>
      <c r="J252" s="1991">
        <v>30054</v>
      </c>
      <c r="K252" s="1990">
        <v>500</v>
      </c>
      <c r="L252" s="1990">
        <v>0</v>
      </c>
      <c r="M252" s="1990">
        <v>0</v>
      </c>
      <c r="N252" s="1990" t="s">
        <v>1052</v>
      </c>
      <c r="O252" s="1990" t="s">
        <v>8291</v>
      </c>
      <c r="P252" s="1990" t="s">
        <v>1142</v>
      </c>
      <c r="Q252" s="1990" t="s">
        <v>1143</v>
      </c>
      <c r="R252" s="1990" t="s">
        <v>1054</v>
      </c>
    </row>
    <row r="253" spans="1:18">
      <c r="A253" s="1990" t="s">
        <v>1059</v>
      </c>
      <c r="B253" s="1990" t="s">
        <v>1391</v>
      </c>
      <c r="C253" s="1990" t="s">
        <v>1050</v>
      </c>
      <c r="D253" s="1990" t="s">
        <v>70</v>
      </c>
      <c r="E253" s="1990" t="s">
        <v>1051</v>
      </c>
      <c r="F253" s="1991">
        <v>28508</v>
      </c>
      <c r="G253" s="1991">
        <v>19955600</v>
      </c>
      <c r="H253" s="1991">
        <v>28508</v>
      </c>
      <c r="I253" s="1991">
        <v>28508</v>
      </c>
      <c r="J253" s="1991">
        <v>28508</v>
      </c>
      <c r="K253" s="1990">
        <v>0</v>
      </c>
      <c r="L253" s="1990">
        <v>700</v>
      </c>
      <c r="M253" s="1990">
        <v>700</v>
      </c>
      <c r="N253" s="1990" t="s">
        <v>1052</v>
      </c>
      <c r="O253" s="1990" t="s">
        <v>8290</v>
      </c>
      <c r="P253" s="1990" t="s">
        <v>70</v>
      </c>
      <c r="Q253" s="1990" t="s">
        <v>1090</v>
      </c>
      <c r="R253" s="1990" t="s">
        <v>1067</v>
      </c>
    </row>
    <row r="254" spans="1:18" ht="30">
      <c r="A254" s="1990" t="s">
        <v>1059</v>
      </c>
      <c r="B254" s="1990" t="s">
        <v>1374</v>
      </c>
      <c r="C254" s="1990" t="s">
        <v>1050</v>
      </c>
      <c r="D254" s="1990" t="s">
        <v>899</v>
      </c>
      <c r="E254" s="1990" t="s">
        <v>1051</v>
      </c>
      <c r="F254" s="1991">
        <v>26719</v>
      </c>
      <c r="G254" s="1991">
        <v>14695450</v>
      </c>
      <c r="H254" s="1991">
        <v>26719</v>
      </c>
      <c r="I254" s="1991">
        <v>26719</v>
      </c>
      <c r="J254" s="1991">
        <v>26719</v>
      </c>
      <c r="K254" s="1990">
        <v>0</v>
      </c>
      <c r="L254" s="1990">
        <v>550</v>
      </c>
      <c r="M254" s="1990">
        <v>550</v>
      </c>
      <c r="N254" s="1990" t="s">
        <v>1052</v>
      </c>
      <c r="O254" s="1990" t="s">
        <v>8290</v>
      </c>
      <c r="P254" s="1990" t="s">
        <v>899</v>
      </c>
      <c r="Q254" s="1990" t="s">
        <v>1075</v>
      </c>
      <c r="R254" s="1990" t="s">
        <v>1054</v>
      </c>
    </row>
    <row r="255" spans="1:18" ht="30">
      <c r="A255" s="1990" t="s">
        <v>1068</v>
      </c>
      <c r="B255" s="1990" t="s">
        <v>1123</v>
      </c>
      <c r="C255" s="1990" t="s">
        <v>1050</v>
      </c>
      <c r="D255" s="1990" t="s">
        <v>950</v>
      </c>
      <c r="E255" s="1990" t="s">
        <v>1051</v>
      </c>
      <c r="F255" s="1991">
        <v>25207</v>
      </c>
      <c r="G255" s="1991">
        <v>37180325</v>
      </c>
      <c r="H255" s="1991">
        <v>25207</v>
      </c>
      <c r="I255" s="1991">
        <v>25207</v>
      </c>
      <c r="J255" s="1991">
        <v>25207</v>
      </c>
      <c r="K255" s="1990">
        <v>0</v>
      </c>
      <c r="L255" s="1990">
        <v>1475</v>
      </c>
      <c r="M255" s="1990">
        <v>1475</v>
      </c>
      <c r="N255" s="1990" t="s">
        <v>1052</v>
      </c>
      <c r="O255" s="1990" t="s">
        <v>8290</v>
      </c>
      <c r="P255" s="1990" t="s">
        <v>1124</v>
      </c>
      <c r="Q255" s="1990" t="s">
        <v>1114</v>
      </c>
      <c r="R255" s="1990" t="s">
        <v>1067</v>
      </c>
    </row>
    <row r="256" spans="1:18">
      <c r="A256" s="1990" t="s">
        <v>1059</v>
      </c>
      <c r="B256" s="1990" t="s">
        <v>1470</v>
      </c>
      <c r="C256" s="1990" t="s">
        <v>1050</v>
      </c>
      <c r="D256" s="1990" t="s">
        <v>952</v>
      </c>
      <c r="E256" s="1990" t="s">
        <v>1051</v>
      </c>
      <c r="F256" s="1991">
        <v>26369</v>
      </c>
      <c r="G256" s="1991">
        <v>15162175</v>
      </c>
      <c r="H256" s="1991">
        <v>26369</v>
      </c>
      <c r="I256" s="1991">
        <v>26369</v>
      </c>
      <c r="J256" s="1991">
        <v>26369</v>
      </c>
      <c r="K256" s="1990">
        <v>0</v>
      </c>
      <c r="L256" s="1990">
        <v>575</v>
      </c>
      <c r="M256" s="1990">
        <v>575</v>
      </c>
      <c r="N256" s="1990" t="s">
        <v>1052</v>
      </c>
      <c r="O256" s="1990" t="s">
        <v>8290</v>
      </c>
      <c r="P256" s="1990" t="s">
        <v>1311</v>
      </c>
      <c r="Q256" s="1990" t="s">
        <v>1312</v>
      </c>
      <c r="R256" s="1990" t="s">
        <v>1054</v>
      </c>
    </row>
    <row r="257" spans="1:18">
      <c r="A257" s="1990" t="s">
        <v>1163</v>
      </c>
      <c r="B257" s="1990" t="s">
        <v>1164</v>
      </c>
      <c r="C257" s="1990" t="s">
        <v>1050</v>
      </c>
      <c r="D257" s="1990" t="s">
        <v>909</v>
      </c>
      <c r="E257" s="1990" t="s">
        <v>1051</v>
      </c>
      <c r="F257" s="1991">
        <v>35589</v>
      </c>
      <c r="G257" s="1991">
        <v>21353400</v>
      </c>
      <c r="H257" s="1991">
        <v>35589</v>
      </c>
      <c r="I257" s="1991">
        <v>35589</v>
      </c>
      <c r="J257" s="1991">
        <v>35589</v>
      </c>
      <c r="K257" s="1990">
        <v>0</v>
      </c>
      <c r="L257" s="1990">
        <v>600</v>
      </c>
      <c r="M257" s="1990">
        <v>600</v>
      </c>
      <c r="N257" s="1990" t="s">
        <v>1052</v>
      </c>
      <c r="O257" s="1990" t="s">
        <v>8290</v>
      </c>
      <c r="P257" s="1990" t="s">
        <v>909</v>
      </c>
      <c r="Q257" s="1990" t="s">
        <v>1053</v>
      </c>
      <c r="R257" s="1990" t="s">
        <v>1054</v>
      </c>
    </row>
    <row r="258" spans="1:18">
      <c r="A258" s="1990" t="s">
        <v>1112</v>
      </c>
      <c r="B258" s="1990" t="s">
        <v>1482</v>
      </c>
      <c r="C258" s="1990" t="s">
        <v>1050</v>
      </c>
      <c r="D258" s="1990" t="s">
        <v>930</v>
      </c>
      <c r="E258" s="1990" t="s">
        <v>1051</v>
      </c>
      <c r="F258" s="1991">
        <v>24346</v>
      </c>
      <c r="G258" s="1991">
        <v>6086500</v>
      </c>
      <c r="H258" s="1991">
        <v>24346</v>
      </c>
      <c r="I258" s="1991">
        <v>24346</v>
      </c>
      <c r="J258" s="1991">
        <v>24346</v>
      </c>
      <c r="K258" s="1990">
        <v>0</v>
      </c>
      <c r="L258" s="1991">
        <v>250</v>
      </c>
      <c r="M258" s="1990">
        <v>250</v>
      </c>
      <c r="N258" s="1990" t="s">
        <v>1052</v>
      </c>
      <c r="O258" s="1990" t="s">
        <v>8290</v>
      </c>
      <c r="P258" s="1990" t="s">
        <v>930</v>
      </c>
      <c r="Q258" s="1990" t="s">
        <v>1053</v>
      </c>
      <c r="R258" s="1990" t="s">
        <v>1054</v>
      </c>
    </row>
    <row r="259" spans="1:18">
      <c r="A259" s="1990" t="s">
        <v>1057</v>
      </c>
      <c r="B259" s="1990" t="s">
        <v>1472</v>
      </c>
      <c r="C259" s="1990" t="s">
        <v>1050</v>
      </c>
      <c r="D259" s="1990" t="s">
        <v>952</v>
      </c>
      <c r="E259" s="1990" t="s">
        <v>1051</v>
      </c>
      <c r="F259" s="1991">
        <v>38825</v>
      </c>
      <c r="G259" s="1991">
        <v>6794375</v>
      </c>
      <c r="H259" s="1991">
        <v>38825</v>
      </c>
      <c r="I259" s="1991">
        <v>38825</v>
      </c>
      <c r="J259" s="1991">
        <v>38825</v>
      </c>
      <c r="K259" s="1991">
        <v>0</v>
      </c>
      <c r="L259" s="1991">
        <v>175</v>
      </c>
      <c r="M259" s="1991">
        <v>175</v>
      </c>
      <c r="N259" s="1990" t="s">
        <v>1052</v>
      </c>
      <c r="O259" s="1990" t="s">
        <v>8290</v>
      </c>
      <c r="P259" s="1990" t="s">
        <v>1311</v>
      </c>
      <c r="Q259" s="1990" t="s">
        <v>1312</v>
      </c>
      <c r="R259" s="1990" t="s">
        <v>1054</v>
      </c>
    </row>
    <row r="260" spans="1:18">
      <c r="A260" s="1990" t="s">
        <v>1059</v>
      </c>
      <c r="B260" s="1990" t="s">
        <v>1060</v>
      </c>
      <c r="C260" s="1990" t="s">
        <v>1050</v>
      </c>
      <c r="D260" s="1990" t="s">
        <v>930</v>
      </c>
      <c r="E260" s="1990" t="s">
        <v>1051</v>
      </c>
      <c r="F260" s="1991">
        <v>27718</v>
      </c>
      <c r="G260" s="1991">
        <v>4850650</v>
      </c>
      <c r="H260" s="1991">
        <v>27718</v>
      </c>
      <c r="I260" s="1991">
        <v>27718</v>
      </c>
      <c r="J260" s="1991">
        <v>27718</v>
      </c>
      <c r="K260" s="1990">
        <v>0</v>
      </c>
      <c r="L260" s="1990">
        <v>175</v>
      </c>
      <c r="M260" s="1990">
        <v>175</v>
      </c>
      <c r="N260" s="1990" t="s">
        <v>1052</v>
      </c>
      <c r="O260" s="1990" t="s">
        <v>8290</v>
      </c>
      <c r="P260" s="1990" t="s">
        <v>930</v>
      </c>
      <c r="Q260" s="1990" t="s">
        <v>1053</v>
      </c>
      <c r="R260" s="1990" t="s">
        <v>1054</v>
      </c>
    </row>
    <row r="261" spans="1:18">
      <c r="A261" s="1990" t="s">
        <v>1068</v>
      </c>
      <c r="B261" s="1990" t="s">
        <v>1094</v>
      </c>
      <c r="C261" s="1990" t="s">
        <v>1050</v>
      </c>
      <c r="D261" s="1990" t="s">
        <v>928</v>
      </c>
      <c r="E261" s="1990" t="s">
        <v>1051</v>
      </c>
      <c r="F261" s="1991">
        <v>24954</v>
      </c>
      <c r="G261" s="1991">
        <v>2495400</v>
      </c>
      <c r="H261" s="1991">
        <v>24954</v>
      </c>
      <c r="I261" s="1991">
        <v>24954</v>
      </c>
      <c r="J261" s="1991">
        <v>24954</v>
      </c>
      <c r="K261" s="1991">
        <v>0</v>
      </c>
      <c r="L261" s="1991">
        <v>100</v>
      </c>
      <c r="M261" s="1991">
        <v>100</v>
      </c>
      <c r="N261" s="1990" t="s">
        <v>1052</v>
      </c>
      <c r="O261" s="1990" t="s">
        <v>8290</v>
      </c>
      <c r="P261" s="1990" t="s">
        <v>928</v>
      </c>
      <c r="Q261" s="1990" t="s">
        <v>1053</v>
      </c>
      <c r="R261" s="1990" t="s">
        <v>1067</v>
      </c>
    </row>
    <row r="262" spans="1:18" ht="30">
      <c r="A262" s="1990" t="s">
        <v>1057</v>
      </c>
      <c r="B262" s="1990" t="s">
        <v>1370</v>
      </c>
      <c r="C262" s="1990" t="s">
        <v>1050</v>
      </c>
      <c r="D262" s="1990" t="s">
        <v>910</v>
      </c>
      <c r="E262" s="1990" t="s">
        <v>1051</v>
      </c>
      <c r="F262" s="1991">
        <v>43276</v>
      </c>
      <c r="G262" s="1991">
        <v>7573300</v>
      </c>
      <c r="H262" s="1991">
        <v>43276</v>
      </c>
      <c r="I262" s="1991">
        <v>43276</v>
      </c>
      <c r="J262" s="1991">
        <v>43276</v>
      </c>
      <c r="K262" s="1991">
        <v>0</v>
      </c>
      <c r="L262" s="1991">
        <v>175</v>
      </c>
      <c r="M262" s="1991">
        <v>175</v>
      </c>
      <c r="N262" s="1990" t="s">
        <v>1052</v>
      </c>
      <c r="O262" s="1990" t="s">
        <v>8290</v>
      </c>
      <c r="P262" s="1990" t="s">
        <v>1283</v>
      </c>
      <c r="Q262" s="1990" t="s">
        <v>1075</v>
      </c>
      <c r="R262" s="1990" t="s">
        <v>1054</v>
      </c>
    </row>
    <row r="263" spans="1:18">
      <c r="A263" s="1990" t="s">
        <v>1085</v>
      </c>
      <c r="B263" s="1990" t="s">
        <v>1319</v>
      </c>
      <c r="C263" s="1990" t="s">
        <v>1050</v>
      </c>
      <c r="D263" s="1990" t="s">
        <v>906</v>
      </c>
      <c r="E263" s="1990" t="s">
        <v>1051</v>
      </c>
      <c r="F263" s="1991">
        <v>25562</v>
      </c>
      <c r="G263" s="1991">
        <v>40643580</v>
      </c>
      <c r="H263" s="1991">
        <v>25562</v>
      </c>
      <c r="I263" s="1991">
        <v>25562</v>
      </c>
      <c r="J263" s="1991">
        <v>25562</v>
      </c>
      <c r="K263" s="1990">
        <v>0</v>
      </c>
      <c r="L263" s="1990">
        <v>1590</v>
      </c>
      <c r="M263" s="1990">
        <v>1590</v>
      </c>
      <c r="N263" s="1990" t="s">
        <v>1052</v>
      </c>
      <c r="O263" s="1990" t="s">
        <v>8290</v>
      </c>
      <c r="P263" s="1990" t="s">
        <v>906</v>
      </c>
      <c r="Q263" s="1990" t="s">
        <v>1063</v>
      </c>
      <c r="R263" s="1990" t="s">
        <v>1054</v>
      </c>
    </row>
    <row r="264" spans="1:18" ht="30">
      <c r="A264" s="1990" t="s">
        <v>1057</v>
      </c>
      <c r="B264" s="1990" t="s">
        <v>1375</v>
      </c>
      <c r="C264" s="1990" t="s">
        <v>1050</v>
      </c>
      <c r="D264" s="1990" t="s">
        <v>899</v>
      </c>
      <c r="E264" s="1990" t="s">
        <v>1051</v>
      </c>
      <c r="F264" s="1991">
        <v>41713</v>
      </c>
      <c r="G264" s="1991">
        <v>8342600</v>
      </c>
      <c r="H264" s="1991">
        <v>41713</v>
      </c>
      <c r="I264" s="1991">
        <v>41713</v>
      </c>
      <c r="J264" s="1991">
        <v>41713</v>
      </c>
      <c r="K264" s="1990">
        <v>0</v>
      </c>
      <c r="L264" s="1990">
        <v>200</v>
      </c>
      <c r="M264" s="1990">
        <v>200</v>
      </c>
      <c r="N264" s="1990" t="s">
        <v>1052</v>
      </c>
      <c r="O264" s="1990" t="s">
        <v>8290</v>
      </c>
      <c r="P264" s="1990" t="s">
        <v>899</v>
      </c>
      <c r="Q264" s="1990" t="s">
        <v>1075</v>
      </c>
      <c r="R264" s="1990" t="s">
        <v>1054</v>
      </c>
    </row>
    <row r="265" spans="1:18">
      <c r="A265" s="1990" t="s">
        <v>1057</v>
      </c>
      <c r="B265" s="1990" t="s">
        <v>1092</v>
      </c>
      <c r="C265" s="1990" t="s">
        <v>1050</v>
      </c>
      <c r="D265" s="1990" t="s">
        <v>963</v>
      </c>
      <c r="E265" s="1990" t="s">
        <v>1051</v>
      </c>
      <c r="F265" s="1991">
        <v>37366</v>
      </c>
      <c r="G265" s="1991">
        <v>4670750</v>
      </c>
      <c r="H265" s="1991">
        <v>37366</v>
      </c>
      <c r="I265" s="1991">
        <v>37366</v>
      </c>
      <c r="J265" s="1991">
        <v>37366</v>
      </c>
      <c r="K265" s="1991">
        <v>0</v>
      </c>
      <c r="L265" s="1991">
        <v>125</v>
      </c>
      <c r="M265" s="1991">
        <v>125</v>
      </c>
      <c r="N265" s="1990" t="s">
        <v>1052</v>
      </c>
      <c r="O265" s="1990" t="s">
        <v>8290</v>
      </c>
      <c r="P265" s="1990" t="s">
        <v>963</v>
      </c>
      <c r="Q265" s="1990" t="s">
        <v>1090</v>
      </c>
      <c r="R265" s="1990" t="s">
        <v>1067</v>
      </c>
    </row>
    <row r="266" spans="1:18" ht="30">
      <c r="A266" s="1990" t="s">
        <v>1057</v>
      </c>
      <c r="B266" s="1990" t="s">
        <v>1395</v>
      </c>
      <c r="C266" s="1990" t="s">
        <v>1050</v>
      </c>
      <c r="D266" s="1990" t="s">
        <v>957</v>
      </c>
      <c r="E266" s="1990" t="s">
        <v>1051</v>
      </c>
      <c r="F266" s="1991">
        <v>37366</v>
      </c>
      <c r="G266" s="1991">
        <v>14012250</v>
      </c>
      <c r="H266" s="1991">
        <v>37366</v>
      </c>
      <c r="I266" s="1991">
        <v>37366</v>
      </c>
      <c r="J266" s="1991">
        <v>37366</v>
      </c>
      <c r="K266" s="1990">
        <v>0</v>
      </c>
      <c r="L266" s="1991">
        <v>375</v>
      </c>
      <c r="M266" s="1990">
        <v>375</v>
      </c>
      <c r="N266" s="1990" t="s">
        <v>1052</v>
      </c>
      <c r="O266" s="1990" t="s">
        <v>8290</v>
      </c>
      <c r="P266" s="1990" t="s">
        <v>957</v>
      </c>
      <c r="Q266" s="1990" t="s">
        <v>1090</v>
      </c>
      <c r="R266" s="1990" t="s">
        <v>1054</v>
      </c>
    </row>
    <row r="267" spans="1:18" ht="30">
      <c r="A267" s="1990" t="s">
        <v>1061</v>
      </c>
      <c r="B267" s="1990" t="s">
        <v>1125</v>
      </c>
      <c r="C267" s="1990" t="s">
        <v>1050</v>
      </c>
      <c r="D267" s="1990" t="s">
        <v>950</v>
      </c>
      <c r="E267" s="1990" t="s">
        <v>1051</v>
      </c>
      <c r="F267" s="1991">
        <v>35589</v>
      </c>
      <c r="G267" s="1991">
        <v>17794500</v>
      </c>
      <c r="H267" s="1991">
        <v>35589</v>
      </c>
      <c r="I267" s="1991">
        <v>35589</v>
      </c>
      <c r="J267" s="1991">
        <v>35589</v>
      </c>
      <c r="K267" s="1991">
        <v>0</v>
      </c>
      <c r="L267" s="1991">
        <v>500</v>
      </c>
      <c r="M267" s="1991">
        <v>500</v>
      </c>
      <c r="N267" s="1990" t="s">
        <v>1052</v>
      </c>
      <c r="O267" s="1990" t="s">
        <v>8290</v>
      </c>
      <c r="P267" s="1990" t="s">
        <v>1124</v>
      </c>
      <c r="Q267" s="1990" t="s">
        <v>1114</v>
      </c>
      <c r="R267" s="1990" t="s">
        <v>1067</v>
      </c>
    </row>
    <row r="268" spans="1:18" ht="30">
      <c r="A268" s="1990" t="s">
        <v>1059</v>
      </c>
      <c r="B268" s="1990" t="s">
        <v>1431</v>
      </c>
      <c r="C268" s="1990" t="s">
        <v>1050</v>
      </c>
      <c r="D268" s="1990" t="s">
        <v>926</v>
      </c>
      <c r="E268" s="1990" t="s">
        <v>1051</v>
      </c>
      <c r="F268" s="1991">
        <v>28068</v>
      </c>
      <c r="G268" s="1991">
        <v>27366300</v>
      </c>
      <c r="H268" s="1991">
        <v>28068</v>
      </c>
      <c r="I268" s="1991">
        <v>28068</v>
      </c>
      <c r="J268" s="1991">
        <v>28068</v>
      </c>
      <c r="K268" s="1991">
        <v>0</v>
      </c>
      <c r="L268" s="1991">
        <v>975</v>
      </c>
      <c r="M268" s="1991">
        <v>975</v>
      </c>
      <c r="N268" s="1990" t="s">
        <v>1052</v>
      </c>
      <c r="O268" s="1990" t="s">
        <v>8290</v>
      </c>
      <c r="P268" s="1990" t="s">
        <v>926</v>
      </c>
      <c r="Q268" s="1990" t="s">
        <v>1252</v>
      </c>
      <c r="R268" s="1990" t="s">
        <v>1067</v>
      </c>
    </row>
    <row r="269" spans="1:18">
      <c r="A269" s="1990" t="s">
        <v>1076</v>
      </c>
      <c r="B269" s="1990" t="s">
        <v>1320</v>
      </c>
      <c r="C269" s="1990" t="s">
        <v>1050</v>
      </c>
      <c r="D269" s="1990" t="s">
        <v>906</v>
      </c>
      <c r="E269" s="1990" t="s">
        <v>1051</v>
      </c>
      <c r="F269" s="1991">
        <v>36504</v>
      </c>
      <c r="G269" s="1991">
        <v>17521920</v>
      </c>
      <c r="H269" s="1991">
        <v>36504</v>
      </c>
      <c r="I269" s="1991">
        <v>36504</v>
      </c>
      <c r="J269" s="1991">
        <v>36504</v>
      </c>
      <c r="K269" s="1990">
        <v>0</v>
      </c>
      <c r="L269" s="1990">
        <v>480</v>
      </c>
      <c r="M269" s="1990">
        <v>480</v>
      </c>
      <c r="N269" s="1990" t="s">
        <v>1052</v>
      </c>
      <c r="O269" s="1990" t="s">
        <v>8290</v>
      </c>
      <c r="P269" s="1990" t="s">
        <v>906</v>
      </c>
      <c r="Q269" s="1990" t="s">
        <v>1063</v>
      </c>
      <c r="R269" s="1990" t="s">
        <v>1054</v>
      </c>
    </row>
    <row r="270" spans="1:18" ht="30">
      <c r="A270" s="1990" t="s">
        <v>1055</v>
      </c>
      <c r="B270" s="1990" t="s">
        <v>1131</v>
      </c>
      <c r="C270" s="1990" t="s">
        <v>1050</v>
      </c>
      <c r="D270" s="1990" t="s">
        <v>923</v>
      </c>
      <c r="E270" s="1990" t="s">
        <v>1051</v>
      </c>
      <c r="F270" s="1991">
        <v>36947</v>
      </c>
      <c r="G270" s="1991">
        <v>1108410</v>
      </c>
      <c r="H270" s="1991">
        <v>36947</v>
      </c>
      <c r="I270" s="1991">
        <v>36947</v>
      </c>
      <c r="J270" s="1991">
        <v>36947</v>
      </c>
      <c r="K270" s="1991">
        <v>0</v>
      </c>
      <c r="L270" s="1991">
        <v>30</v>
      </c>
      <c r="M270" s="1991">
        <v>30</v>
      </c>
      <c r="N270" s="1990" t="s">
        <v>1052</v>
      </c>
      <c r="O270" s="1990" t="s">
        <v>8290</v>
      </c>
      <c r="P270" s="1990" t="s">
        <v>923</v>
      </c>
      <c r="Q270" s="1990" t="s">
        <v>1132</v>
      </c>
      <c r="R270" s="1990" t="s">
        <v>1054</v>
      </c>
    </row>
    <row r="271" spans="1:18">
      <c r="A271" s="1990" t="s">
        <v>1057</v>
      </c>
      <c r="B271" s="1990" t="s">
        <v>1361</v>
      </c>
      <c r="C271" s="1990" t="s">
        <v>1050</v>
      </c>
      <c r="D271" s="1990" t="s">
        <v>938</v>
      </c>
      <c r="E271" s="1990" t="s">
        <v>1051</v>
      </c>
      <c r="F271" s="1991">
        <v>38566</v>
      </c>
      <c r="G271" s="1991">
        <v>964150</v>
      </c>
      <c r="H271" s="1991">
        <v>38566</v>
      </c>
      <c r="I271" s="1991">
        <v>38566</v>
      </c>
      <c r="J271" s="1991">
        <v>38566</v>
      </c>
      <c r="K271" s="1990">
        <v>0</v>
      </c>
      <c r="L271" s="1990">
        <v>25</v>
      </c>
      <c r="M271" s="1990">
        <v>25</v>
      </c>
      <c r="N271" s="1990" t="s">
        <v>1052</v>
      </c>
      <c r="O271" s="1990" t="s">
        <v>8290</v>
      </c>
      <c r="P271" s="1990" t="s">
        <v>938</v>
      </c>
      <c r="Q271" s="1990" t="s">
        <v>1053</v>
      </c>
      <c r="R271" s="1990" t="s">
        <v>1054</v>
      </c>
    </row>
    <row r="272" spans="1:18">
      <c r="A272" s="1990" t="s">
        <v>1068</v>
      </c>
      <c r="B272" s="1990" t="s">
        <v>1126</v>
      </c>
      <c r="C272" s="1990" t="s">
        <v>1050</v>
      </c>
      <c r="D272" s="1990" t="s">
        <v>943</v>
      </c>
      <c r="E272" s="1990" t="s">
        <v>1051</v>
      </c>
      <c r="F272" s="1991">
        <v>25045</v>
      </c>
      <c r="G272" s="1991">
        <v>27549500</v>
      </c>
      <c r="H272" s="1991">
        <v>25045</v>
      </c>
      <c r="I272" s="1991">
        <v>25045</v>
      </c>
      <c r="J272" s="1991">
        <v>25045</v>
      </c>
      <c r="K272" s="1990">
        <v>0</v>
      </c>
      <c r="L272" s="1990">
        <v>1100</v>
      </c>
      <c r="M272" s="1990">
        <v>1100</v>
      </c>
      <c r="N272" s="1990" t="s">
        <v>1052</v>
      </c>
      <c r="O272" s="1990" t="s">
        <v>8290</v>
      </c>
      <c r="P272" s="1990" t="s">
        <v>1127</v>
      </c>
      <c r="Q272" s="1990" t="s">
        <v>1114</v>
      </c>
      <c r="R272" s="1990" t="s">
        <v>1067</v>
      </c>
    </row>
    <row r="273" spans="1:18" ht="30">
      <c r="A273" s="1990" t="s">
        <v>1059</v>
      </c>
      <c r="B273" s="1990" t="s">
        <v>1352</v>
      </c>
      <c r="C273" s="1990" t="s">
        <v>1050</v>
      </c>
      <c r="D273" s="1990" t="s">
        <v>914</v>
      </c>
      <c r="E273" s="1990" t="s">
        <v>1051</v>
      </c>
      <c r="F273" s="1991">
        <v>26199</v>
      </c>
      <c r="G273" s="1991">
        <v>7204725</v>
      </c>
      <c r="H273" s="1991">
        <v>26199</v>
      </c>
      <c r="I273" s="1991">
        <v>26199</v>
      </c>
      <c r="J273" s="1991">
        <v>26199</v>
      </c>
      <c r="K273" s="1990">
        <v>0</v>
      </c>
      <c r="L273" s="1990">
        <v>275</v>
      </c>
      <c r="M273" s="1990">
        <v>275</v>
      </c>
      <c r="N273" s="1990" t="s">
        <v>1052</v>
      </c>
      <c r="O273" s="1990" t="s">
        <v>8290</v>
      </c>
      <c r="P273" s="1990" t="s">
        <v>1110</v>
      </c>
      <c r="Q273" s="1990" t="s">
        <v>1053</v>
      </c>
      <c r="R273" s="1990" t="s">
        <v>1054</v>
      </c>
    </row>
    <row r="274" spans="1:18" ht="30">
      <c r="A274" s="1990" t="s">
        <v>1076</v>
      </c>
      <c r="B274" s="1990" t="s">
        <v>1109</v>
      </c>
      <c r="C274" s="1990" t="s">
        <v>1050</v>
      </c>
      <c r="D274" s="1990" t="s">
        <v>914</v>
      </c>
      <c r="E274" s="1990" t="s">
        <v>1051</v>
      </c>
      <c r="F274" s="1991">
        <v>35980</v>
      </c>
      <c r="G274" s="1991">
        <v>4497500</v>
      </c>
      <c r="H274" s="1991">
        <v>35980</v>
      </c>
      <c r="I274" s="1991">
        <v>35980</v>
      </c>
      <c r="J274" s="1991">
        <v>35980</v>
      </c>
      <c r="K274" s="1991">
        <v>0</v>
      </c>
      <c r="L274" s="1991">
        <v>125</v>
      </c>
      <c r="M274" s="1991">
        <v>125</v>
      </c>
      <c r="N274" s="1990" t="s">
        <v>1052</v>
      </c>
      <c r="O274" s="1990" t="s">
        <v>8290</v>
      </c>
      <c r="P274" s="1990" t="s">
        <v>1110</v>
      </c>
      <c r="Q274" s="1990" t="s">
        <v>1053</v>
      </c>
      <c r="R274" s="1990" t="s">
        <v>1054</v>
      </c>
    </row>
    <row r="275" spans="1:18" ht="30">
      <c r="A275" s="1990" t="s">
        <v>1068</v>
      </c>
      <c r="B275" s="1990" t="s">
        <v>1454</v>
      </c>
      <c r="C275" s="1990" t="s">
        <v>1050</v>
      </c>
      <c r="D275" s="1990" t="s">
        <v>923</v>
      </c>
      <c r="E275" s="1990" t="s">
        <v>1051</v>
      </c>
      <c r="F275" s="1991">
        <v>26713</v>
      </c>
      <c r="G275" s="1991">
        <v>534260</v>
      </c>
      <c r="H275" s="1991">
        <v>26713</v>
      </c>
      <c r="I275" s="1991">
        <v>26713</v>
      </c>
      <c r="J275" s="1991">
        <v>26713</v>
      </c>
      <c r="K275" s="1990">
        <v>0</v>
      </c>
      <c r="L275" s="1990">
        <v>20</v>
      </c>
      <c r="M275" s="1990">
        <v>20</v>
      </c>
      <c r="N275" s="1990" t="s">
        <v>1052</v>
      </c>
      <c r="O275" s="1990" t="s">
        <v>8290</v>
      </c>
      <c r="P275" s="1990" t="s">
        <v>923</v>
      </c>
      <c r="Q275" s="1990" t="s">
        <v>1132</v>
      </c>
      <c r="R275" s="1990" t="s">
        <v>1067</v>
      </c>
    </row>
    <row r="276" spans="1:18">
      <c r="A276" s="1990" t="s">
        <v>1059</v>
      </c>
      <c r="B276" s="1990" t="s">
        <v>1406</v>
      </c>
      <c r="C276" s="1990" t="s">
        <v>1050</v>
      </c>
      <c r="D276" s="1990" t="s">
        <v>966</v>
      </c>
      <c r="E276" s="1990" t="s">
        <v>1051</v>
      </c>
      <c r="F276" s="1991">
        <v>26236</v>
      </c>
      <c r="G276" s="1991">
        <v>1049440</v>
      </c>
      <c r="H276" s="1991">
        <v>26236</v>
      </c>
      <c r="I276" s="1991">
        <v>26236</v>
      </c>
      <c r="J276" s="1991">
        <v>26236</v>
      </c>
      <c r="K276" s="1991">
        <v>0</v>
      </c>
      <c r="L276" s="1991">
        <v>40</v>
      </c>
      <c r="M276" s="1991">
        <v>40</v>
      </c>
      <c r="N276" s="1990" t="s">
        <v>1052</v>
      </c>
      <c r="O276" s="1990" t="s">
        <v>8290</v>
      </c>
      <c r="P276" s="1990" t="s">
        <v>966</v>
      </c>
      <c r="Q276" s="1990" t="s">
        <v>1087</v>
      </c>
      <c r="R276" s="1990" t="s">
        <v>1067</v>
      </c>
    </row>
    <row r="277" spans="1:18" ht="30">
      <c r="A277" s="1990" t="s">
        <v>1144</v>
      </c>
      <c r="B277" s="1990" t="s">
        <v>1145</v>
      </c>
      <c r="C277" s="1990" t="s">
        <v>1050</v>
      </c>
      <c r="D277" s="1990" t="s">
        <v>922</v>
      </c>
      <c r="E277" s="1990" t="s">
        <v>1051</v>
      </c>
      <c r="F277" s="1991">
        <v>37366</v>
      </c>
      <c r="G277" s="1991">
        <v>373660</v>
      </c>
      <c r="H277" s="1991">
        <v>37366</v>
      </c>
      <c r="I277" s="1991">
        <v>37366</v>
      </c>
      <c r="J277" s="1991">
        <v>37366</v>
      </c>
      <c r="K277" s="1991">
        <v>0</v>
      </c>
      <c r="L277" s="1991">
        <v>10</v>
      </c>
      <c r="M277" s="1991">
        <v>10</v>
      </c>
      <c r="N277" s="1990" t="s">
        <v>1052</v>
      </c>
      <c r="O277" s="1990" t="s">
        <v>8290</v>
      </c>
      <c r="P277" s="1990" t="s">
        <v>922</v>
      </c>
      <c r="Q277" s="1990" t="s">
        <v>1087</v>
      </c>
      <c r="R277" s="1990" t="s">
        <v>1054</v>
      </c>
    </row>
    <row r="278" spans="1:18">
      <c r="A278" s="1990" t="s">
        <v>1059</v>
      </c>
      <c r="B278" s="1990" t="s">
        <v>1091</v>
      </c>
      <c r="C278" s="1990" t="s">
        <v>1050</v>
      </c>
      <c r="D278" s="1990" t="s">
        <v>963</v>
      </c>
      <c r="E278" s="1990" t="s">
        <v>1051</v>
      </c>
      <c r="F278" s="1991">
        <v>26199</v>
      </c>
      <c r="G278" s="1991">
        <v>2619900</v>
      </c>
      <c r="H278" s="1991">
        <v>26199</v>
      </c>
      <c r="I278" s="1991">
        <v>26199</v>
      </c>
      <c r="J278" s="1991">
        <v>26199</v>
      </c>
      <c r="K278" s="1990">
        <v>0</v>
      </c>
      <c r="L278" s="1990">
        <v>100</v>
      </c>
      <c r="M278" s="1990">
        <v>100</v>
      </c>
      <c r="N278" s="1990" t="s">
        <v>1052</v>
      </c>
      <c r="O278" s="1990" t="s">
        <v>8290</v>
      </c>
      <c r="P278" s="1990" t="s">
        <v>963</v>
      </c>
      <c r="Q278" s="1990" t="s">
        <v>1090</v>
      </c>
      <c r="R278" s="1990" t="s">
        <v>1067</v>
      </c>
    </row>
    <row r="279" spans="1:18" ht="30">
      <c r="A279" s="1990" t="s">
        <v>1061</v>
      </c>
      <c r="B279" s="1990" t="s">
        <v>1125</v>
      </c>
      <c r="C279" s="1990" t="s">
        <v>1050</v>
      </c>
      <c r="D279" s="1990" t="s">
        <v>950</v>
      </c>
      <c r="E279" s="1990" t="s">
        <v>1051</v>
      </c>
      <c r="F279" s="1991">
        <v>35589</v>
      </c>
      <c r="G279" s="1991">
        <v>20463675</v>
      </c>
      <c r="H279" s="1991">
        <v>35589</v>
      </c>
      <c r="I279" s="1991">
        <v>35589</v>
      </c>
      <c r="J279" s="1991">
        <v>35589</v>
      </c>
      <c r="K279" s="1990">
        <v>0</v>
      </c>
      <c r="L279" s="1990">
        <v>575</v>
      </c>
      <c r="M279" s="1990">
        <v>575</v>
      </c>
      <c r="N279" s="1990" t="s">
        <v>1052</v>
      </c>
      <c r="O279" s="1990" t="s">
        <v>8287</v>
      </c>
      <c r="P279" s="1990" t="s">
        <v>1124</v>
      </c>
      <c r="Q279" s="1990" t="s">
        <v>1114</v>
      </c>
      <c r="R279" s="1990" t="s">
        <v>1067</v>
      </c>
    </row>
    <row r="280" spans="1:18" ht="30">
      <c r="A280" s="1990" t="s">
        <v>1068</v>
      </c>
      <c r="B280" s="1990" t="s">
        <v>1123</v>
      </c>
      <c r="C280" s="1990" t="s">
        <v>1050</v>
      </c>
      <c r="D280" s="1990" t="s">
        <v>950</v>
      </c>
      <c r="E280" s="1990" t="s">
        <v>1051</v>
      </c>
      <c r="F280" s="1991">
        <v>25207</v>
      </c>
      <c r="G280" s="1991">
        <v>30878575</v>
      </c>
      <c r="H280" s="1991">
        <v>25207</v>
      </c>
      <c r="I280" s="1991">
        <v>25207</v>
      </c>
      <c r="J280" s="1991">
        <v>25207</v>
      </c>
      <c r="K280" s="1991">
        <v>0</v>
      </c>
      <c r="L280" s="1991">
        <v>1225</v>
      </c>
      <c r="M280" s="1991">
        <v>1225</v>
      </c>
      <c r="N280" s="1990" t="s">
        <v>1052</v>
      </c>
      <c r="O280" s="1990" t="s">
        <v>8287</v>
      </c>
      <c r="P280" s="1990" t="s">
        <v>1124</v>
      </c>
      <c r="Q280" s="1990" t="s">
        <v>1114</v>
      </c>
      <c r="R280" s="1990" t="s">
        <v>1067</v>
      </c>
    </row>
    <row r="281" spans="1:18" ht="30">
      <c r="A281" s="1990" t="s">
        <v>1055</v>
      </c>
      <c r="B281" s="1990" t="s">
        <v>1131</v>
      </c>
      <c r="C281" s="1990" t="s">
        <v>1050</v>
      </c>
      <c r="D281" s="1990" t="s">
        <v>923</v>
      </c>
      <c r="E281" s="1990" t="s">
        <v>1051</v>
      </c>
      <c r="F281" s="1991">
        <v>36947</v>
      </c>
      <c r="G281" s="1991">
        <v>3694700</v>
      </c>
      <c r="H281" s="1991">
        <v>36947</v>
      </c>
      <c r="I281" s="1991">
        <v>36947</v>
      </c>
      <c r="J281" s="1991">
        <v>36947</v>
      </c>
      <c r="K281" s="1990">
        <v>0</v>
      </c>
      <c r="L281" s="1990">
        <v>100</v>
      </c>
      <c r="M281" s="1990">
        <v>100</v>
      </c>
      <c r="N281" s="1990" t="s">
        <v>1052</v>
      </c>
      <c r="O281" s="1990" t="s">
        <v>8287</v>
      </c>
      <c r="P281" s="1990" t="s">
        <v>923</v>
      </c>
      <c r="Q281" s="1990" t="s">
        <v>1132</v>
      </c>
      <c r="R281" s="1990" t="s">
        <v>1054</v>
      </c>
    </row>
    <row r="282" spans="1:18" ht="30">
      <c r="A282" s="1990" t="s">
        <v>1057</v>
      </c>
      <c r="B282" s="1990" t="s">
        <v>1395</v>
      </c>
      <c r="C282" s="1990" t="s">
        <v>1050</v>
      </c>
      <c r="D282" s="1990" t="s">
        <v>957</v>
      </c>
      <c r="E282" s="1990" t="s">
        <v>1051</v>
      </c>
      <c r="F282" s="1991">
        <v>37366</v>
      </c>
      <c r="G282" s="1991">
        <v>5604900</v>
      </c>
      <c r="H282" s="1991">
        <v>37366</v>
      </c>
      <c r="I282" s="1991">
        <v>37366</v>
      </c>
      <c r="J282" s="1991">
        <v>37366</v>
      </c>
      <c r="K282" s="1991">
        <v>0</v>
      </c>
      <c r="L282" s="1991">
        <v>150</v>
      </c>
      <c r="M282" s="1991">
        <v>150</v>
      </c>
      <c r="N282" s="1990" t="s">
        <v>1052</v>
      </c>
      <c r="O282" s="1990" t="s">
        <v>8287</v>
      </c>
      <c r="P282" s="1990" t="s">
        <v>957</v>
      </c>
      <c r="Q282" s="1990" t="s">
        <v>1090</v>
      </c>
      <c r="R282" s="1990" t="s">
        <v>1054</v>
      </c>
    </row>
    <row r="283" spans="1:18" ht="30">
      <c r="A283" s="1990" t="s">
        <v>1057</v>
      </c>
      <c r="B283" s="1990" t="s">
        <v>1111</v>
      </c>
      <c r="C283" s="1990" t="s">
        <v>1050</v>
      </c>
      <c r="D283" s="1990" t="s">
        <v>914</v>
      </c>
      <c r="E283" s="1990" t="s">
        <v>1051</v>
      </c>
      <c r="F283" s="1991">
        <v>38587</v>
      </c>
      <c r="G283" s="1991">
        <v>5788050</v>
      </c>
      <c r="H283" s="1991">
        <v>38587</v>
      </c>
      <c r="I283" s="1991">
        <v>38587</v>
      </c>
      <c r="J283" s="1991">
        <v>38587</v>
      </c>
      <c r="K283" s="1991">
        <v>0</v>
      </c>
      <c r="L283" s="1991">
        <v>150</v>
      </c>
      <c r="M283" s="1991">
        <v>150</v>
      </c>
      <c r="N283" s="1990" t="s">
        <v>1052</v>
      </c>
      <c r="O283" s="1990" t="s">
        <v>8287</v>
      </c>
      <c r="P283" s="1990" t="s">
        <v>1110</v>
      </c>
      <c r="Q283" s="1990" t="s">
        <v>1053</v>
      </c>
      <c r="R283" s="1990" t="s">
        <v>1054</v>
      </c>
    </row>
    <row r="284" spans="1:18" ht="30">
      <c r="A284" s="1990" t="s">
        <v>1057</v>
      </c>
      <c r="B284" s="1990" t="s">
        <v>1370</v>
      </c>
      <c r="C284" s="1990" t="s">
        <v>1050</v>
      </c>
      <c r="D284" s="1990" t="s">
        <v>910</v>
      </c>
      <c r="E284" s="1990" t="s">
        <v>1051</v>
      </c>
      <c r="F284" s="1991">
        <v>43276</v>
      </c>
      <c r="G284" s="1991">
        <v>3245700</v>
      </c>
      <c r="H284" s="1991">
        <v>43276</v>
      </c>
      <c r="I284" s="1991">
        <v>43276</v>
      </c>
      <c r="J284" s="1991">
        <v>43276</v>
      </c>
      <c r="K284" s="1991">
        <v>0</v>
      </c>
      <c r="L284" s="1991">
        <v>75</v>
      </c>
      <c r="M284" s="1991">
        <v>75</v>
      </c>
      <c r="N284" s="1990" t="s">
        <v>1052</v>
      </c>
      <c r="O284" s="1990" t="s">
        <v>8287</v>
      </c>
      <c r="P284" s="1990" t="s">
        <v>1283</v>
      </c>
      <c r="Q284" s="1990" t="s">
        <v>1075</v>
      </c>
      <c r="R284" s="1990" t="s">
        <v>1054</v>
      </c>
    </row>
    <row r="285" spans="1:18">
      <c r="A285" s="1990" t="s">
        <v>1057</v>
      </c>
      <c r="B285" s="1990" t="s">
        <v>1472</v>
      </c>
      <c r="C285" s="1990" t="s">
        <v>1050</v>
      </c>
      <c r="D285" s="1990" t="s">
        <v>952</v>
      </c>
      <c r="E285" s="1990" t="s">
        <v>1051</v>
      </c>
      <c r="F285" s="1991">
        <v>38825</v>
      </c>
      <c r="G285" s="1991">
        <v>11647500</v>
      </c>
      <c r="H285" s="1991">
        <v>38825</v>
      </c>
      <c r="I285" s="1991">
        <v>38825</v>
      </c>
      <c r="J285" s="1991">
        <v>38825</v>
      </c>
      <c r="K285" s="1990">
        <v>0</v>
      </c>
      <c r="L285" s="1990">
        <v>300</v>
      </c>
      <c r="M285" s="1990">
        <v>300</v>
      </c>
      <c r="N285" s="1990" t="s">
        <v>1052</v>
      </c>
      <c r="O285" s="1990" t="s">
        <v>8287</v>
      </c>
      <c r="P285" s="1990" t="s">
        <v>1311</v>
      </c>
      <c r="Q285" s="1990" t="s">
        <v>1312</v>
      </c>
      <c r="R285" s="1990" t="s">
        <v>1054</v>
      </c>
    </row>
    <row r="286" spans="1:18">
      <c r="A286" s="1990" t="s">
        <v>1068</v>
      </c>
      <c r="B286" s="1990" t="s">
        <v>1094</v>
      </c>
      <c r="C286" s="1990" t="s">
        <v>1050</v>
      </c>
      <c r="D286" s="1990" t="s">
        <v>928</v>
      </c>
      <c r="E286" s="1990" t="s">
        <v>1051</v>
      </c>
      <c r="F286" s="1991">
        <v>24954</v>
      </c>
      <c r="G286" s="1991">
        <v>12477000</v>
      </c>
      <c r="H286" s="1991">
        <v>24954</v>
      </c>
      <c r="I286" s="1991">
        <v>24954</v>
      </c>
      <c r="J286" s="1991">
        <v>24954</v>
      </c>
      <c r="K286" s="1990">
        <v>0</v>
      </c>
      <c r="L286" s="1990">
        <v>500</v>
      </c>
      <c r="M286" s="1990">
        <v>500</v>
      </c>
      <c r="N286" s="1990" t="s">
        <v>1052</v>
      </c>
      <c r="O286" s="1990" t="s">
        <v>8287</v>
      </c>
      <c r="P286" s="1990" t="s">
        <v>928</v>
      </c>
      <c r="Q286" s="1990" t="s">
        <v>1053</v>
      </c>
      <c r="R286" s="1990" t="s">
        <v>1067</v>
      </c>
    </row>
    <row r="287" spans="1:18" ht="30">
      <c r="A287" s="1990" t="s">
        <v>1059</v>
      </c>
      <c r="B287" s="1990" t="s">
        <v>1352</v>
      </c>
      <c r="C287" s="1990" t="s">
        <v>1050</v>
      </c>
      <c r="D287" s="1990" t="s">
        <v>914</v>
      </c>
      <c r="E287" s="1990" t="s">
        <v>1051</v>
      </c>
      <c r="F287" s="1991">
        <v>26199</v>
      </c>
      <c r="G287" s="1991">
        <v>7859700</v>
      </c>
      <c r="H287" s="1991">
        <v>26199</v>
      </c>
      <c r="I287" s="1991">
        <v>26199</v>
      </c>
      <c r="J287" s="1991">
        <v>26199</v>
      </c>
      <c r="K287" s="1991">
        <v>0</v>
      </c>
      <c r="L287" s="1991">
        <v>300</v>
      </c>
      <c r="M287" s="1991">
        <v>300</v>
      </c>
      <c r="N287" s="1990" t="s">
        <v>1052</v>
      </c>
      <c r="O287" s="1990" t="s">
        <v>8287</v>
      </c>
      <c r="P287" s="1990" t="s">
        <v>1110</v>
      </c>
      <c r="Q287" s="1990" t="s">
        <v>1053</v>
      </c>
      <c r="R287" s="1990" t="s">
        <v>1054</v>
      </c>
    </row>
    <row r="288" spans="1:18">
      <c r="A288" s="1990" t="s">
        <v>1059</v>
      </c>
      <c r="B288" s="1990" t="s">
        <v>1470</v>
      </c>
      <c r="C288" s="1990" t="s">
        <v>1050</v>
      </c>
      <c r="D288" s="1990" t="s">
        <v>952</v>
      </c>
      <c r="E288" s="1990" t="s">
        <v>1051</v>
      </c>
      <c r="F288" s="1991">
        <v>26369</v>
      </c>
      <c r="G288" s="1991">
        <v>42190400</v>
      </c>
      <c r="H288" s="1991">
        <v>26369</v>
      </c>
      <c r="I288" s="1991">
        <v>26369</v>
      </c>
      <c r="J288" s="1991">
        <v>26369</v>
      </c>
      <c r="K288" s="1990">
        <v>0</v>
      </c>
      <c r="L288" s="1991">
        <v>1600</v>
      </c>
      <c r="M288" s="1990">
        <v>1600</v>
      </c>
      <c r="N288" s="1990" t="s">
        <v>1052</v>
      </c>
      <c r="O288" s="1990" t="s">
        <v>8287</v>
      </c>
      <c r="P288" s="1990" t="s">
        <v>1311</v>
      </c>
      <c r="Q288" s="1990" t="s">
        <v>1312</v>
      </c>
      <c r="R288" s="1990" t="s">
        <v>1054</v>
      </c>
    </row>
    <row r="289" spans="1:18" ht="30">
      <c r="A289" s="1990" t="s">
        <v>1076</v>
      </c>
      <c r="B289" s="1990" t="s">
        <v>1109</v>
      </c>
      <c r="C289" s="1990" t="s">
        <v>1050</v>
      </c>
      <c r="D289" s="1990" t="s">
        <v>914</v>
      </c>
      <c r="E289" s="1990" t="s">
        <v>1051</v>
      </c>
      <c r="F289" s="1991">
        <v>35980</v>
      </c>
      <c r="G289" s="1991">
        <v>1799000</v>
      </c>
      <c r="H289" s="1991">
        <v>35980</v>
      </c>
      <c r="I289" s="1991">
        <v>35980</v>
      </c>
      <c r="J289" s="1991">
        <v>35980</v>
      </c>
      <c r="K289" s="1991">
        <v>0</v>
      </c>
      <c r="L289" s="1991">
        <v>50</v>
      </c>
      <c r="M289" s="1991">
        <v>50</v>
      </c>
      <c r="N289" s="1990" t="s">
        <v>1052</v>
      </c>
      <c r="O289" s="1990" t="s">
        <v>8287</v>
      </c>
      <c r="P289" s="1990" t="s">
        <v>1110</v>
      </c>
      <c r="Q289" s="1990" t="s">
        <v>1053</v>
      </c>
      <c r="R289" s="1990" t="s">
        <v>1054</v>
      </c>
    </row>
    <row r="290" spans="1:18">
      <c r="A290" s="1990" t="s">
        <v>1059</v>
      </c>
      <c r="B290" s="1990" t="s">
        <v>1060</v>
      </c>
      <c r="C290" s="1990" t="s">
        <v>1050</v>
      </c>
      <c r="D290" s="1990" t="s">
        <v>930</v>
      </c>
      <c r="E290" s="1990" t="s">
        <v>1051</v>
      </c>
      <c r="F290" s="1991">
        <v>27718</v>
      </c>
      <c r="G290" s="1991">
        <v>2771800</v>
      </c>
      <c r="H290" s="1991">
        <v>27718</v>
      </c>
      <c r="I290" s="1991">
        <v>27718</v>
      </c>
      <c r="J290" s="1991">
        <v>27718</v>
      </c>
      <c r="K290" s="1990">
        <v>0</v>
      </c>
      <c r="L290" s="1990">
        <v>100</v>
      </c>
      <c r="M290" s="1990">
        <v>100</v>
      </c>
      <c r="N290" s="1990" t="s">
        <v>1052</v>
      </c>
      <c r="O290" s="1990" t="s">
        <v>8287</v>
      </c>
      <c r="P290" s="1990" t="s">
        <v>930</v>
      </c>
      <c r="Q290" s="1990" t="s">
        <v>1053</v>
      </c>
      <c r="R290" s="1990" t="s">
        <v>1054</v>
      </c>
    </row>
    <row r="291" spans="1:18" ht="30">
      <c r="A291" s="1990" t="s">
        <v>1254</v>
      </c>
      <c r="B291" s="1990" t="s">
        <v>1314</v>
      </c>
      <c r="C291" s="1990" t="s">
        <v>1050</v>
      </c>
      <c r="D291" s="1990" t="s">
        <v>945</v>
      </c>
      <c r="E291" s="1990" t="s">
        <v>1054</v>
      </c>
      <c r="F291" s="1991">
        <v>37489</v>
      </c>
      <c r="G291" s="1991">
        <v>749780</v>
      </c>
      <c r="H291" s="1991">
        <v>37489</v>
      </c>
      <c r="I291" s="1991">
        <v>37489</v>
      </c>
      <c r="J291" s="1991">
        <v>37489</v>
      </c>
      <c r="K291" s="1991">
        <v>200</v>
      </c>
      <c r="L291" s="1991">
        <v>20</v>
      </c>
      <c r="M291" s="1991">
        <v>20</v>
      </c>
      <c r="N291" s="1990" t="s">
        <v>1052</v>
      </c>
      <c r="O291" s="1990" t="s">
        <v>8287</v>
      </c>
      <c r="P291" s="1990" t="s">
        <v>1142</v>
      </c>
      <c r="Q291" s="1990" t="s">
        <v>1143</v>
      </c>
      <c r="R291" s="1990" t="s">
        <v>1054</v>
      </c>
    </row>
    <row r="292" spans="1:18" ht="30">
      <c r="A292" s="1990" t="s">
        <v>1214</v>
      </c>
      <c r="B292" s="1990" t="s">
        <v>1215</v>
      </c>
      <c r="C292" s="1990" t="s">
        <v>1050</v>
      </c>
      <c r="D292" s="1990" t="s">
        <v>948</v>
      </c>
      <c r="E292" s="1990" t="s">
        <v>1054</v>
      </c>
      <c r="F292" s="1991">
        <v>28266</v>
      </c>
      <c r="G292" s="1991">
        <v>7349160</v>
      </c>
      <c r="H292" s="1991">
        <v>28266</v>
      </c>
      <c r="I292" s="1991">
        <v>28266</v>
      </c>
      <c r="J292" s="1991">
        <v>28266</v>
      </c>
      <c r="K292" s="1991">
        <v>500</v>
      </c>
      <c r="L292" s="1991">
        <v>310</v>
      </c>
      <c r="M292" s="1991">
        <v>260</v>
      </c>
      <c r="N292" s="1990" t="s">
        <v>1052</v>
      </c>
      <c r="O292" s="1990" t="s">
        <v>8287</v>
      </c>
      <c r="P292" s="1990" t="s">
        <v>948</v>
      </c>
      <c r="Q292" s="1990" t="s">
        <v>1209</v>
      </c>
      <c r="R292" s="1990" t="s">
        <v>1054</v>
      </c>
    </row>
    <row r="293" spans="1:18" ht="30">
      <c r="A293" s="1990" t="s">
        <v>1285</v>
      </c>
      <c r="B293" s="1990" t="s">
        <v>1296</v>
      </c>
      <c r="C293" s="1990" t="s">
        <v>1050</v>
      </c>
      <c r="D293" s="1990" t="s">
        <v>934</v>
      </c>
      <c r="E293" s="1990" t="s">
        <v>1054</v>
      </c>
      <c r="F293" s="1991">
        <v>41777</v>
      </c>
      <c r="G293" s="1991">
        <v>8355400</v>
      </c>
      <c r="H293" s="1991">
        <v>41777</v>
      </c>
      <c r="I293" s="1991">
        <v>41777</v>
      </c>
      <c r="J293" s="1991">
        <v>41777</v>
      </c>
      <c r="K293" s="1991">
        <v>200</v>
      </c>
      <c r="L293" s="1991">
        <v>200</v>
      </c>
      <c r="M293" s="1991">
        <v>200</v>
      </c>
      <c r="N293" s="1990" t="s">
        <v>1052</v>
      </c>
      <c r="O293" s="1990" t="s">
        <v>8287</v>
      </c>
      <c r="P293" s="1990" t="s">
        <v>934</v>
      </c>
      <c r="Q293" s="1990" t="s">
        <v>1292</v>
      </c>
      <c r="R293" s="1990" t="s">
        <v>1054</v>
      </c>
    </row>
    <row r="294" spans="1:18" ht="30">
      <c r="A294" s="1990" t="s">
        <v>1175</v>
      </c>
      <c r="B294" s="1990" t="s">
        <v>1200</v>
      </c>
      <c r="C294" s="1990" t="s">
        <v>1050</v>
      </c>
      <c r="D294" s="1990" t="s">
        <v>973</v>
      </c>
      <c r="E294" s="1990" t="s">
        <v>1054</v>
      </c>
      <c r="F294" s="1991">
        <v>72695</v>
      </c>
      <c r="G294" s="1991">
        <v>4361700</v>
      </c>
      <c r="H294" s="1991">
        <v>72695</v>
      </c>
      <c r="I294" s="1991">
        <v>72695</v>
      </c>
      <c r="J294" s="1991">
        <v>72695</v>
      </c>
      <c r="K294" s="1991">
        <v>100</v>
      </c>
      <c r="L294" s="1991">
        <v>110</v>
      </c>
      <c r="M294" s="1991">
        <v>60</v>
      </c>
      <c r="N294" s="1990" t="s">
        <v>1052</v>
      </c>
      <c r="O294" s="1990" t="s">
        <v>8287</v>
      </c>
      <c r="P294" s="1990" t="s">
        <v>1201</v>
      </c>
      <c r="Q294" s="1990" t="s">
        <v>1053</v>
      </c>
      <c r="R294" s="1990" t="s">
        <v>1054</v>
      </c>
    </row>
    <row r="295" spans="1:18">
      <c r="A295" s="1990" t="s">
        <v>1194</v>
      </c>
      <c r="B295" s="1990" t="s">
        <v>1281</v>
      </c>
      <c r="C295" s="1990" t="s">
        <v>1050</v>
      </c>
      <c r="D295" s="1990" t="s">
        <v>919</v>
      </c>
      <c r="E295" s="1990" t="s">
        <v>1054</v>
      </c>
      <c r="F295" s="1991">
        <v>39877</v>
      </c>
      <c r="G295" s="1991">
        <v>328187710</v>
      </c>
      <c r="H295" s="1991">
        <v>39877</v>
      </c>
      <c r="I295" s="1991">
        <v>39877</v>
      </c>
      <c r="J295" s="1991">
        <v>39877</v>
      </c>
      <c r="K295" s="1990">
        <v>11500</v>
      </c>
      <c r="L295" s="1990">
        <v>8230</v>
      </c>
      <c r="M295" s="1990">
        <v>8230</v>
      </c>
      <c r="N295" s="1990" t="s">
        <v>1052</v>
      </c>
      <c r="O295" s="1990" t="s">
        <v>8287</v>
      </c>
      <c r="P295" s="1990" t="s">
        <v>919</v>
      </c>
      <c r="Q295" s="1990" t="s">
        <v>1274</v>
      </c>
      <c r="R295" s="1990" t="s">
        <v>1054</v>
      </c>
    </row>
    <row r="296" spans="1:18" ht="30">
      <c r="A296" s="1990" t="s">
        <v>1144</v>
      </c>
      <c r="B296" s="1990" t="s">
        <v>1196</v>
      </c>
      <c r="C296" s="1990" t="s">
        <v>1050</v>
      </c>
      <c r="D296" s="1990" t="s">
        <v>914</v>
      </c>
      <c r="E296" s="1990" t="s">
        <v>1054</v>
      </c>
      <c r="F296" s="1991">
        <v>37366</v>
      </c>
      <c r="G296" s="1991">
        <v>14012250</v>
      </c>
      <c r="H296" s="1991">
        <v>37366</v>
      </c>
      <c r="I296" s="1991">
        <v>37366</v>
      </c>
      <c r="J296" s="1991">
        <v>37366</v>
      </c>
      <c r="K296" s="1991">
        <v>1000</v>
      </c>
      <c r="L296" s="1991">
        <v>575</v>
      </c>
      <c r="M296" s="1991">
        <v>375</v>
      </c>
      <c r="N296" s="1990" t="s">
        <v>1052</v>
      </c>
      <c r="O296" s="1990" t="s">
        <v>8287</v>
      </c>
      <c r="P296" s="1990" t="s">
        <v>1110</v>
      </c>
      <c r="Q296" s="1990" t="s">
        <v>1053</v>
      </c>
      <c r="R296" s="1990" t="s">
        <v>1054</v>
      </c>
    </row>
    <row r="297" spans="1:18" ht="30">
      <c r="A297" s="1990" t="s">
        <v>1177</v>
      </c>
      <c r="B297" s="1990" t="s">
        <v>1202</v>
      </c>
      <c r="C297" s="1990" t="s">
        <v>1050</v>
      </c>
      <c r="D297" s="1990" t="s">
        <v>973</v>
      </c>
      <c r="E297" s="1990" t="s">
        <v>1054</v>
      </c>
      <c r="F297" s="1991">
        <v>72691</v>
      </c>
      <c r="G297" s="1991">
        <v>6542190</v>
      </c>
      <c r="H297" s="1991">
        <v>72691</v>
      </c>
      <c r="I297" s="1991">
        <v>72691</v>
      </c>
      <c r="J297" s="1991">
        <v>72691</v>
      </c>
      <c r="K297" s="1991">
        <v>180</v>
      </c>
      <c r="L297" s="1991">
        <v>140</v>
      </c>
      <c r="M297" s="1991">
        <v>90</v>
      </c>
      <c r="N297" s="1990" t="s">
        <v>1052</v>
      </c>
      <c r="O297" s="1990" t="s">
        <v>8287</v>
      </c>
      <c r="P297" s="1990" t="s">
        <v>1201</v>
      </c>
      <c r="Q297" s="1990" t="s">
        <v>1053</v>
      </c>
      <c r="R297" s="1990" t="s">
        <v>1054</v>
      </c>
    </row>
    <row r="298" spans="1:18">
      <c r="A298" s="1990" t="s">
        <v>1219</v>
      </c>
      <c r="B298" s="1990" t="s">
        <v>1258</v>
      </c>
      <c r="C298" s="1990" t="s">
        <v>1050</v>
      </c>
      <c r="D298" s="1990" t="s">
        <v>921</v>
      </c>
      <c r="E298" s="1990" t="s">
        <v>1054</v>
      </c>
      <c r="F298" s="1991">
        <v>25045</v>
      </c>
      <c r="G298" s="1991">
        <v>48211625</v>
      </c>
      <c r="H298" s="1991">
        <v>25045</v>
      </c>
      <c r="I298" s="1991">
        <v>25045</v>
      </c>
      <c r="J298" s="1991">
        <v>25045</v>
      </c>
      <c r="K298" s="1990">
        <v>2500</v>
      </c>
      <c r="L298" s="1990">
        <v>1925</v>
      </c>
      <c r="M298" s="1990">
        <v>1925</v>
      </c>
      <c r="N298" s="1990" t="s">
        <v>1052</v>
      </c>
      <c r="O298" s="1990" t="s">
        <v>8287</v>
      </c>
      <c r="P298" s="1990" t="s">
        <v>921</v>
      </c>
      <c r="Q298" s="1990" t="s">
        <v>1114</v>
      </c>
      <c r="R298" s="1990" t="s">
        <v>1054</v>
      </c>
    </row>
    <row r="299" spans="1:18" ht="30">
      <c r="A299" s="1990" t="s">
        <v>1236</v>
      </c>
      <c r="B299" s="1990" t="s">
        <v>1249</v>
      </c>
      <c r="C299" s="1990" t="s">
        <v>1050</v>
      </c>
      <c r="D299" s="1990" t="s">
        <v>962</v>
      </c>
      <c r="E299" s="1990" t="s">
        <v>1054</v>
      </c>
      <c r="F299" s="1991">
        <v>24954</v>
      </c>
      <c r="G299" s="1991">
        <v>648804</v>
      </c>
      <c r="H299" s="1991">
        <v>24954</v>
      </c>
      <c r="I299" s="1991">
        <v>24954</v>
      </c>
      <c r="J299" s="1991">
        <v>24954</v>
      </c>
      <c r="K299" s="1991">
        <v>3016</v>
      </c>
      <c r="L299" s="1991">
        <v>26</v>
      </c>
      <c r="M299" s="1991">
        <v>26</v>
      </c>
      <c r="N299" s="1990" t="s">
        <v>1052</v>
      </c>
      <c r="O299" s="1990" t="s">
        <v>8287</v>
      </c>
      <c r="P299" s="1990" t="s">
        <v>962</v>
      </c>
      <c r="Q299" s="1990" t="s">
        <v>1080</v>
      </c>
      <c r="R299" s="1990" t="s">
        <v>1054</v>
      </c>
    </row>
    <row r="300" spans="1:18">
      <c r="A300" s="1990" t="s">
        <v>1159</v>
      </c>
      <c r="B300" s="1990" t="s">
        <v>1259</v>
      </c>
      <c r="C300" s="1990" t="s">
        <v>1050</v>
      </c>
      <c r="D300" s="1990" t="s">
        <v>921</v>
      </c>
      <c r="E300" s="1990" t="s">
        <v>1054</v>
      </c>
      <c r="F300" s="1991">
        <v>35589</v>
      </c>
      <c r="G300" s="1991">
        <v>10676700</v>
      </c>
      <c r="H300" s="1991">
        <v>35589</v>
      </c>
      <c r="I300" s="1991">
        <v>35589</v>
      </c>
      <c r="J300" s="1991">
        <v>35589</v>
      </c>
      <c r="K300" s="1990">
        <v>300</v>
      </c>
      <c r="L300" s="1990">
        <v>300</v>
      </c>
      <c r="M300" s="1990">
        <v>300</v>
      </c>
      <c r="N300" s="1990" t="s">
        <v>1052</v>
      </c>
      <c r="O300" s="1990" t="s">
        <v>8287</v>
      </c>
      <c r="P300" s="1990" t="s">
        <v>921</v>
      </c>
      <c r="Q300" s="1990" t="s">
        <v>1114</v>
      </c>
      <c r="R300" s="1990" t="s">
        <v>1054</v>
      </c>
    </row>
    <row r="301" spans="1:18" ht="30">
      <c r="A301" s="1990" t="s">
        <v>1204</v>
      </c>
      <c r="B301" s="1990" t="s">
        <v>1205</v>
      </c>
      <c r="C301" s="1990" t="s">
        <v>1050</v>
      </c>
      <c r="D301" s="1990" t="s">
        <v>973</v>
      </c>
      <c r="E301" s="1990" t="s">
        <v>1054</v>
      </c>
      <c r="F301" s="1991">
        <v>68131</v>
      </c>
      <c r="G301" s="1991">
        <v>40197290</v>
      </c>
      <c r="H301" s="1991">
        <v>68131</v>
      </c>
      <c r="I301" s="1991">
        <v>68131</v>
      </c>
      <c r="J301" s="1991">
        <v>68131</v>
      </c>
      <c r="K301" s="1991">
        <v>740</v>
      </c>
      <c r="L301" s="1991">
        <v>1380</v>
      </c>
      <c r="M301" s="1991">
        <v>590</v>
      </c>
      <c r="N301" s="1990" t="s">
        <v>1052</v>
      </c>
      <c r="O301" s="1990" t="s">
        <v>8287</v>
      </c>
      <c r="P301" s="1990" t="s">
        <v>1201</v>
      </c>
      <c r="Q301" s="1990" t="s">
        <v>1053</v>
      </c>
      <c r="R301" s="1990" t="s">
        <v>1054</v>
      </c>
    </row>
    <row r="302" spans="1:18">
      <c r="A302" s="1990" t="s">
        <v>1163</v>
      </c>
      <c r="B302" s="1990" t="s">
        <v>1164</v>
      </c>
      <c r="C302" s="1990" t="s">
        <v>1050</v>
      </c>
      <c r="D302" s="1990" t="s">
        <v>909</v>
      </c>
      <c r="E302" s="1990" t="s">
        <v>1054</v>
      </c>
      <c r="F302" s="1991">
        <v>35589</v>
      </c>
      <c r="G302" s="1991">
        <v>11744370</v>
      </c>
      <c r="H302" s="1991">
        <v>35589</v>
      </c>
      <c r="I302" s="1991">
        <v>35589</v>
      </c>
      <c r="J302" s="1991">
        <v>35589</v>
      </c>
      <c r="K302" s="1990">
        <v>600</v>
      </c>
      <c r="L302" s="1991">
        <v>330</v>
      </c>
      <c r="M302" s="1990">
        <v>330</v>
      </c>
      <c r="N302" s="1990" t="s">
        <v>1052</v>
      </c>
      <c r="O302" s="1990" t="s">
        <v>8287</v>
      </c>
      <c r="P302" s="1990" t="s">
        <v>909</v>
      </c>
      <c r="Q302" s="1990" t="s">
        <v>1053</v>
      </c>
      <c r="R302" s="1990" t="s">
        <v>1054</v>
      </c>
    </row>
    <row r="303" spans="1:18">
      <c r="A303" s="1990" t="s">
        <v>1159</v>
      </c>
      <c r="B303" s="1990" t="s">
        <v>1160</v>
      </c>
      <c r="C303" s="1990" t="s">
        <v>1050</v>
      </c>
      <c r="D303" s="1990" t="s">
        <v>898</v>
      </c>
      <c r="E303" s="1990" t="s">
        <v>1054</v>
      </c>
      <c r="F303" s="1991">
        <v>35589</v>
      </c>
      <c r="G303" s="1991">
        <v>96090300</v>
      </c>
      <c r="H303" s="1991">
        <v>35589</v>
      </c>
      <c r="I303" s="1991">
        <v>35589</v>
      </c>
      <c r="J303" s="1991">
        <v>35589</v>
      </c>
      <c r="K303" s="1991">
        <v>5000</v>
      </c>
      <c r="L303" s="1991">
        <v>12700</v>
      </c>
      <c r="M303" s="1991">
        <v>2700</v>
      </c>
      <c r="N303" s="1990" t="s">
        <v>1052</v>
      </c>
      <c r="O303" s="1990" t="s">
        <v>8287</v>
      </c>
      <c r="P303" s="1990" t="s">
        <v>898</v>
      </c>
      <c r="Q303" s="1990" t="s">
        <v>1053</v>
      </c>
      <c r="R303" s="1990" t="s">
        <v>1054</v>
      </c>
    </row>
    <row r="304" spans="1:18">
      <c r="A304" s="1990" t="s">
        <v>1072</v>
      </c>
      <c r="B304" s="1990" t="s">
        <v>1191</v>
      </c>
      <c r="C304" s="1990" t="s">
        <v>1050</v>
      </c>
      <c r="D304" s="1990" t="s">
        <v>908</v>
      </c>
      <c r="E304" s="1990" t="s">
        <v>1054</v>
      </c>
      <c r="F304" s="1991">
        <v>35589</v>
      </c>
      <c r="G304" s="1991">
        <v>53383500</v>
      </c>
      <c r="H304" s="1991">
        <v>35589</v>
      </c>
      <c r="I304" s="1991">
        <v>35589</v>
      </c>
      <c r="J304" s="1991">
        <v>35589</v>
      </c>
      <c r="K304" s="1990">
        <v>2000</v>
      </c>
      <c r="L304" s="1990">
        <v>1500</v>
      </c>
      <c r="M304" s="1990">
        <v>1500</v>
      </c>
      <c r="N304" s="1990" t="s">
        <v>1052</v>
      </c>
      <c r="O304" s="1990" t="s">
        <v>8287</v>
      </c>
      <c r="P304" s="1990" t="s">
        <v>908</v>
      </c>
      <c r="Q304" s="1990" t="s">
        <v>1053</v>
      </c>
      <c r="R304" s="1990" t="s">
        <v>1054</v>
      </c>
    </row>
    <row r="305" spans="1:18">
      <c r="A305" s="1990" t="s">
        <v>1194</v>
      </c>
      <c r="B305" s="1990" t="s">
        <v>1247</v>
      </c>
      <c r="C305" s="1990" t="s">
        <v>1050</v>
      </c>
      <c r="D305" s="1990" t="s">
        <v>955</v>
      </c>
      <c r="E305" s="1990" t="s">
        <v>1054</v>
      </c>
      <c r="F305" s="2366">
        <v>39877</v>
      </c>
      <c r="G305" s="1990">
        <v>4984625</v>
      </c>
      <c r="H305" s="2366">
        <v>39877</v>
      </c>
      <c r="I305" s="2366">
        <v>39877</v>
      </c>
      <c r="J305" s="1991">
        <v>39877</v>
      </c>
      <c r="K305" s="1990">
        <v>500</v>
      </c>
      <c r="L305" s="1990">
        <v>1875</v>
      </c>
      <c r="M305" s="1990">
        <v>125</v>
      </c>
      <c r="N305" s="1990" t="s">
        <v>1052</v>
      </c>
      <c r="O305" s="1990" t="s">
        <v>8287</v>
      </c>
      <c r="P305" s="1990" t="s">
        <v>955</v>
      </c>
      <c r="Q305" s="1990" t="s">
        <v>1080</v>
      </c>
      <c r="R305" s="1990" t="s">
        <v>1054</v>
      </c>
    </row>
    <row r="306" spans="1:18">
      <c r="A306" s="1990" t="s">
        <v>1157</v>
      </c>
      <c r="B306" s="1990" t="s">
        <v>1260</v>
      </c>
      <c r="C306" s="1990" t="s">
        <v>1050</v>
      </c>
      <c r="D306" s="1990" t="s">
        <v>921</v>
      </c>
      <c r="E306" s="1990" t="s">
        <v>1054</v>
      </c>
      <c r="F306" s="2366">
        <v>24954</v>
      </c>
      <c r="G306" s="1990">
        <v>1247700</v>
      </c>
      <c r="H306" s="2366">
        <v>24954</v>
      </c>
      <c r="I306" s="2366">
        <v>24954</v>
      </c>
      <c r="J306" s="1991">
        <v>24954</v>
      </c>
      <c r="K306" s="1991">
        <v>100</v>
      </c>
      <c r="L306" s="1990">
        <v>50</v>
      </c>
      <c r="M306" s="1990">
        <v>50</v>
      </c>
      <c r="N306" s="1990" t="s">
        <v>1052</v>
      </c>
      <c r="O306" s="1990" t="s">
        <v>8287</v>
      </c>
      <c r="P306" s="1990" t="s">
        <v>921</v>
      </c>
      <c r="Q306" s="1990" t="s">
        <v>1114</v>
      </c>
      <c r="R306" s="1990" t="s">
        <v>1054</v>
      </c>
    </row>
    <row r="307" spans="1:18">
      <c r="A307" s="1990" t="s">
        <v>1151</v>
      </c>
      <c r="B307" s="1990" t="s">
        <v>1255</v>
      </c>
      <c r="C307" s="1990" t="s">
        <v>1050</v>
      </c>
      <c r="D307" s="1990" t="s">
        <v>959</v>
      </c>
      <c r="E307" s="1990" t="s">
        <v>1424</v>
      </c>
      <c r="F307" s="2366">
        <v>27353</v>
      </c>
      <c r="G307" s="1990">
        <v>1367650</v>
      </c>
      <c r="H307" s="2366">
        <v>27353</v>
      </c>
      <c r="I307" s="2366">
        <v>27353</v>
      </c>
      <c r="J307" s="1991">
        <v>27353</v>
      </c>
      <c r="K307" s="1990">
        <v>100</v>
      </c>
      <c r="L307" s="1990">
        <v>50</v>
      </c>
      <c r="M307" s="1990">
        <v>50</v>
      </c>
      <c r="N307" s="1990" t="s">
        <v>1052</v>
      </c>
      <c r="O307" s="1990" t="s">
        <v>8287</v>
      </c>
      <c r="P307" s="1990" t="s">
        <v>959</v>
      </c>
      <c r="Q307" s="1990" t="s">
        <v>1083</v>
      </c>
      <c r="R307" s="1990" t="s">
        <v>1054</v>
      </c>
    </row>
    <row r="308" spans="1:18" ht="30">
      <c r="A308" s="1990" t="s">
        <v>1070</v>
      </c>
      <c r="B308" s="1990" t="s">
        <v>1302</v>
      </c>
      <c r="C308" s="1990" t="s">
        <v>1050</v>
      </c>
      <c r="D308" s="1990" t="s">
        <v>934</v>
      </c>
      <c r="E308" s="1990" t="s">
        <v>1054</v>
      </c>
      <c r="F308" s="2366">
        <v>24954</v>
      </c>
      <c r="G308" s="1990">
        <v>24954000</v>
      </c>
      <c r="H308" s="2366">
        <v>24954</v>
      </c>
      <c r="I308" s="2366">
        <v>24954</v>
      </c>
      <c r="J308" s="1991">
        <v>24954</v>
      </c>
      <c r="K308" s="1990">
        <v>1800</v>
      </c>
      <c r="L308" s="1990">
        <v>1000</v>
      </c>
      <c r="M308" s="1990">
        <v>1000</v>
      </c>
      <c r="N308" s="1990" t="s">
        <v>1052</v>
      </c>
      <c r="O308" s="1990" t="s">
        <v>8287</v>
      </c>
      <c r="P308" s="1990" t="s">
        <v>934</v>
      </c>
      <c r="Q308" s="1990" t="s">
        <v>1292</v>
      </c>
      <c r="R308" s="1990" t="s">
        <v>1054</v>
      </c>
    </row>
    <row r="309" spans="1:18">
      <c r="A309" s="1990" t="s">
        <v>1277</v>
      </c>
      <c r="B309" s="1990" t="s">
        <v>1278</v>
      </c>
      <c r="C309" s="1990" t="s">
        <v>1050</v>
      </c>
      <c r="D309" s="1990" t="s">
        <v>927</v>
      </c>
      <c r="E309" s="1990" t="s">
        <v>1054</v>
      </c>
      <c r="F309" s="2366">
        <v>26738</v>
      </c>
      <c r="G309" s="1990">
        <v>97593700</v>
      </c>
      <c r="H309" s="2366">
        <v>26738</v>
      </c>
      <c r="I309" s="2366">
        <v>26738</v>
      </c>
      <c r="J309" s="1991">
        <v>26738</v>
      </c>
      <c r="K309" s="1990">
        <v>5800</v>
      </c>
      <c r="L309" s="1990">
        <v>3650</v>
      </c>
      <c r="M309" s="1990">
        <v>3650</v>
      </c>
      <c r="N309" s="1990" t="s">
        <v>1052</v>
      </c>
      <c r="O309" s="1990" t="s">
        <v>8287</v>
      </c>
      <c r="P309" s="1990" t="s">
        <v>927</v>
      </c>
      <c r="Q309" s="1990" t="s">
        <v>1143</v>
      </c>
      <c r="R309" s="1990" t="s">
        <v>1054</v>
      </c>
    </row>
    <row r="310" spans="1:18">
      <c r="A310" s="1990" t="s">
        <v>1163</v>
      </c>
      <c r="B310" s="1990" t="s">
        <v>1261</v>
      </c>
      <c r="C310" s="1990" t="s">
        <v>1050</v>
      </c>
      <c r="D310" s="1990" t="s">
        <v>921</v>
      </c>
      <c r="E310" s="1990" t="s">
        <v>1054</v>
      </c>
      <c r="F310" s="2366">
        <v>35589</v>
      </c>
      <c r="G310" s="1990">
        <v>3558900</v>
      </c>
      <c r="H310" s="2366">
        <v>35589</v>
      </c>
      <c r="I310" s="2366">
        <v>35589</v>
      </c>
      <c r="J310" s="1991">
        <v>35589</v>
      </c>
      <c r="K310" s="1990">
        <v>100</v>
      </c>
      <c r="L310" s="1990">
        <v>100</v>
      </c>
      <c r="M310" s="1990">
        <v>100</v>
      </c>
      <c r="N310" s="1990" t="s">
        <v>1052</v>
      </c>
      <c r="O310" s="1990" t="s">
        <v>8287</v>
      </c>
      <c r="P310" s="1990" t="s">
        <v>921</v>
      </c>
      <c r="Q310" s="1990" t="s">
        <v>1114</v>
      </c>
      <c r="R310" s="1990" t="s">
        <v>1054</v>
      </c>
    </row>
    <row r="311" spans="1:18" ht="30">
      <c r="A311" s="1990" t="s">
        <v>1212</v>
      </c>
      <c r="B311" s="1990" t="s">
        <v>1213</v>
      </c>
      <c r="C311" s="1990" t="s">
        <v>1050</v>
      </c>
      <c r="D311" s="1990" t="s">
        <v>948</v>
      </c>
      <c r="E311" s="1990" t="s">
        <v>1054</v>
      </c>
      <c r="F311" s="2366">
        <v>40494</v>
      </c>
      <c r="G311" s="1990">
        <v>12553140</v>
      </c>
      <c r="H311" s="2366">
        <v>40494</v>
      </c>
      <c r="I311" s="2366">
        <v>40494</v>
      </c>
      <c r="J311" s="1991">
        <v>40494</v>
      </c>
      <c r="K311" s="1990">
        <v>500</v>
      </c>
      <c r="L311" s="1990">
        <v>310</v>
      </c>
      <c r="M311" s="1990">
        <v>310</v>
      </c>
      <c r="N311" s="1990" t="s">
        <v>1052</v>
      </c>
      <c r="O311" s="1990" t="s">
        <v>8287</v>
      </c>
      <c r="P311" s="1990" t="s">
        <v>948</v>
      </c>
      <c r="Q311" s="1990" t="s">
        <v>1209</v>
      </c>
      <c r="R311" s="1990" t="s">
        <v>1054</v>
      </c>
    </row>
    <row r="312" spans="1:18">
      <c r="A312" s="1990" t="s">
        <v>1157</v>
      </c>
      <c r="B312" s="1990" t="s">
        <v>1158</v>
      </c>
      <c r="C312" s="1990" t="s">
        <v>1050</v>
      </c>
      <c r="D312" s="1990" t="s">
        <v>898</v>
      </c>
      <c r="E312" s="1990" t="s">
        <v>1054</v>
      </c>
      <c r="F312" s="2366">
        <v>26235</v>
      </c>
      <c r="G312" s="1990">
        <v>15085125</v>
      </c>
      <c r="H312" s="2366">
        <v>26235</v>
      </c>
      <c r="I312" s="2366">
        <v>26235</v>
      </c>
      <c r="J312" s="1991">
        <v>26235</v>
      </c>
      <c r="K312" s="1990">
        <v>1000</v>
      </c>
      <c r="L312" s="1990">
        <v>575</v>
      </c>
      <c r="M312" s="1990">
        <v>575</v>
      </c>
      <c r="N312" s="1990" t="s">
        <v>1052</v>
      </c>
      <c r="O312" s="1990" t="s">
        <v>8287</v>
      </c>
      <c r="P312" s="1990" t="s">
        <v>898</v>
      </c>
      <c r="Q312" s="1990" t="s">
        <v>1053</v>
      </c>
      <c r="R312" s="1990" t="s">
        <v>1054</v>
      </c>
    </row>
    <row r="313" spans="1:18" ht="30">
      <c r="A313" s="1990" t="s">
        <v>1250</v>
      </c>
      <c r="B313" s="1990" t="s">
        <v>1251</v>
      </c>
      <c r="C313" s="1990" t="s">
        <v>1050</v>
      </c>
      <c r="D313" s="1990" t="s">
        <v>926</v>
      </c>
      <c r="E313" s="1990" t="s">
        <v>1054</v>
      </c>
      <c r="F313" s="2366">
        <v>43836</v>
      </c>
      <c r="G313" s="1990">
        <v>79343160</v>
      </c>
      <c r="H313" s="2366">
        <v>43836</v>
      </c>
      <c r="I313" s="2366">
        <v>43836</v>
      </c>
      <c r="J313" s="1991">
        <v>43836</v>
      </c>
      <c r="K313" s="1990">
        <v>2000</v>
      </c>
      <c r="L313" s="1990">
        <v>1810</v>
      </c>
      <c r="M313" s="1990">
        <v>1810</v>
      </c>
      <c r="N313" s="1990" t="s">
        <v>1052</v>
      </c>
      <c r="O313" s="1990" t="s">
        <v>8287</v>
      </c>
      <c r="P313" s="1990" t="s">
        <v>926</v>
      </c>
      <c r="Q313" s="1990" t="s">
        <v>1252</v>
      </c>
      <c r="R313" s="1990" t="s">
        <v>1054</v>
      </c>
    </row>
    <row r="314" spans="1:18">
      <c r="A314" s="1990" t="s">
        <v>1144</v>
      </c>
      <c r="B314" s="1990" t="s">
        <v>1150</v>
      </c>
      <c r="C314" s="1990" t="s">
        <v>1050</v>
      </c>
      <c r="D314" s="1990" t="s">
        <v>912</v>
      </c>
      <c r="E314" s="1990" t="s">
        <v>1054</v>
      </c>
      <c r="F314" s="2366">
        <v>37366</v>
      </c>
      <c r="G314" s="1990">
        <v>85007650</v>
      </c>
      <c r="H314" s="2366">
        <v>37366</v>
      </c>
      <c r="I314" s="2366">
        <v>37366</v>
      </c>
      <c r="J314" s="1991">
        <v>37366</v>
      </c>
      <c r="K314" s="1990">
        <v>2500</v>
      </c>
      <c r="L314" s="1990">
        <v>2825</v>
      </c>
      <c r="M314" s="1990">
        <v>2275</v>
      </c>
      <c r="N314" s="1990" t="s">
        <v>1052</v>
      </c>
      <c r="O314" s="1990" t="s">
        <v>8287</v>
      </c>
      <c r="P314" s="1990" t="s">
        <v>912</v>
      </c>
      <c r="Q314" s="1990" t="s">
        <v>1053</v>
      </c>
      <c r="R314" s="1990" t="s">
        <v>1054</v>
      </c>
    </row>
    <row r="315" spans="1:18">
      <c r="A315" s="1990" t="s">
        <v>1194</v>
      </c>
      <c r="B315" s="1990" t="s">
        <v>1226</v>
      </c>
      <c r="C315" s="1990" t="s">
        <v>1050</v>
      </c>
      <c r="D315" s="1990" t="s">
        <v>963</v>
      </c>
      <c r="E315" s="1990" t="s">
        <v>1054</v>
      </c>
      <c r="F315" s="2366">
        <v>39877</v>
      </c>
      <c r="G315" s="1990">
        <v>24923125</v>
      </c>
      <c r="H315" s="2366">
        <v>39877</v>
      </c>
      <c r="I315" s="2366">
        <v>39877</v>
      </c>
      <c r="J315" s="1991">
        <v>39877</v>
      </c>
      <c r="K315" s="1990">
        <v>1000</v>
      </c>
      <c r="L315" s="1990">
        <v>625</v>
      </c>
      <c r="M315" s="1990">
        <v>625</v>
      </c>
      <c r="N315" s="1990" t="s">
        <v>1052</v>
      </c>
      <c r="O315" s="1990" t="s">
        <v>8287</v>
      </c>
      <c r="P315" s="1990" t="s">
        <v>963</v>
      </c>
      <c r="Q315" s="1990" t="s">
        <v>1090</v>
      </c>
      <c r="R315" s="1990" t="s">
        <v>1054</v>
      </c>
    </row>
    <row r="316" spans="1:18" ht="30">
      <c r="A316" s="1990" t="s">
        <v>1048</v>
      </c>
      <c r="B316" s="1990" t="s">
        <v>1238</v>
      </c>
      <c r="C316" s="1990" t="s">
        <v>1050</v>
      </c>
      <c r="D316" s="1990" t="s">
        <v>957</v>
      </c>
      <c r="E316" s="1990" t="s">
        <v>1054</v>
      </c>
      <c r="F316" s="2366">
        <v>35589</v>
      </c>
      <c r="G316" s="1990">
        <v>26691750</v>
      </c>
      <c r="H316" s="2366">
        <v>35589</v>
      </c>
      <c r="I316" s="2366">
        <v>35589</v>
      </c>
      <c r="J316" s="1991">
        <v>35589</v>
      </c>
      <c r="K316" s="1990">
        <v>1000</v>
      </c>
      <c r="L316" s="1990">
        <v>750</v>
      </c>
      <c r="M316" s="1990">
        <v>750</v>
      </c>
      <c r="N316" s="1990" t="s">
        <v>1052</v>
      </c>
      <c r="O316" s="1990" t="s">
        <v>8287</v>
      </c>
      <c r="P316" s="1990" t="s">
        <v>957</v>
      </c>
      <c r="Q316" s="1990" t="s">
        <v>1090</v>
      </c>
      <c r="R316" s="1990" t="s">
        <v>1054</v>
      </c>
    </row>
    <row r="317" spans="1:18" ht="30">
      <c r="A317" s="1990" t="s">
        <v>1194</v>
      </c>
      <c r="B317" s="1990" t="s">
        <v>1282</v>
      </c>
      <c r="C317" s="1990" t="s">
        <v>1050</v>
      </c>
      <c r="D317" s="1990" t="s">
        <v>910</v>
      </c>
      <c r="E317" s="1990" t="s">
        <v>1054</v>
      </c>
      <c r="F317" s="2366">
        <v>39877</v>
      </c>
      <c r="G317" s="1990">
        <v>37883150</v>
      </c>
      <c r="H317" s="2366">
        <v>39877</v>
      </c>
      <c r="I317" s="2366">
        <v>39877</v>
      </c>
      <c r="J317" s="1991">
        <v>39877</v>
      </c>
      <c r="K317" s="1990">
        <v>1000</v>
      </c>
      <c r="L317" s="1990">
        <v>975</v>
      </c>
      <c r="M317" s="1990">
        <v>950</v>
      </c>
      <c r="N317" s="1990" t="s">
        <v>1052</v>
      </c>
      <c r="O317" s="1990" t="s">
        <v>8287</v>
      </c>
      <c r="P317" s="1990" t="s">
        <v>1283</v>
      </c>
      <c r="Q317" s="1990" t="s">
        <v>1274</v>
      </c>
      <c r="R317" s="1990" t="s">
        <v>1054</v>
      </c>
    </row>
    <row r="318" spans="1:18">
      <c r="A318" s="1990" t="s">
        <v>1157</v>
      </c>
      <c r="B318" s="1990" t="s">
        <v>1263</v>
      </c>
      <c r="C318" s="1990" t="s">
        <v>1050</v>
      </c>
      <c r="D318" s="1990" t="s">
        <v>947</v>
      </c>
      <c r="E318" s="1990" t="s">
        <v>1054</v>
      </c>
      <c r="F318" s="2366">
        <v>31642</v>
      </c>
      <c r="G318" s="1990">
        <v>113911200</v>
      </c>
      <c r="H318" s="2366">
        <v>31642</v>
      </c>
      <c r="I318" s="2366">
        <v>31642</v>
      </c>
      <c r="J318" s="1991">
        <v>31642</v>
      </c>
      <c r="K318" s="1990">
        <v>6000</v>
      </c>
      <c r="L318" s="1990">
        <v>17100</v>
      </c>
      <c r="M318" s="1990">
        <v>3600</v>
      </c>
      <c r="N318" s="1990" t="s">
        <v>1052</v>
      </c>
      <c r="O318" s="1990" t="s">
        <v>8287</v>
      </c>
      <c r="P318" s="1990" t="s">
        <v>1264</v>
      </c>
      <c r="Q318" s="1990" t="s">
        <v>1078</v>
      </c>
      <c r="R318" s="1990" t="s">
        <v>1054</v>
      </c>
    </row>
    <row r="319" spans="1:18">
      <c r="A319" s="1990" t="s">
        <v>1194</v>
      </c>
      <c r="B319" s="1990" t="s">
        <v>1310</v>
      </c>
      <c r="C319" s="1990" t="s">
        <v>1050</v>
      </c>
      <c r="D319" s="1990" t="s">
        <v>952</v>
      </c>
      <c r="E319" s="1990" t="s">
        <v>1054</v>
      </c>
      <c r="F319" s="1991">
        <v>39877</v>
      </c>
      <c r="G319" s="1991">
        <v>215335800</v>
      </c>
      <c r="H319" s="1991">
        <v>39877</v>
      </c>
      <c r="I319" s="1991">
        <v>39877</v>
      </c>
      <c r="J319" s="1991">
        <v>39877</v>
      </c>
      <c r="K319" s="1990">
        <v>9000</v>
      </c>
      <c r="L319" s="1990">
        <v>5400</v>
      </c>
      <c r="M319" s="1990">
        <v>5400</v>
      </c>
      <c r="N319" s="1990" t="s">
        <v>1052</v>
      </c>
      <c r="O319" s="1990" t="s">
        <v>8287</v>
      </c>
      <c r="P319" s="1990" t="s">
        <v>1311</v>
      </c>
      <c r="Q319" s="1990" t="s">
        <v>1312</v>
      </c>
      <c r="R319" s="1990" t="s">
        <v>1054</v>
      </c>
    </row>
    <row r="320" spans="1:18">
      <c r="A320" s="1990" t="s">
        <v>1194</v>
      </c>
      <c r="B320" s="1990" t="s">
        <v>1262</v>
      </c>
      <c r="C320" s="1990" t="s">
        <v>1050</v>
      </c>
      <c r="D320" s="1990" t="s">
        <v>921</v>
      </c>
      <c r="E320" s="1990" t="s">
        <v>1054</v>
      </c>
      <c r="F320" s="1991">
        <v>39877</v>
      </c>
      <c r="G320" s="1991">
        <v>5981550</v>
      </c>
      <c r="H320" s="1991">
        <v>39877</v>
      </c>
      <c r="I320" s="1991">
        <v>39877</v>
      </c>
      <c r="J320" s="1991">
        <v>39877</v>
      </c>
      <c r="K320" s="1990">
        <v>800</v>
      </c>
      <c r="L320" s="1991">
        <v>175</v>
      </c>
      <c r="M320" s="1991">
        <v>150</v>
      </c>
      <c r="N320" s="1990" t="s">
        <v>1052</v>
      </c>
      <c r="O320" s="1990" t="s">
        <v>8287</v>
      </c>
      <c r="P320" s="1990" t="s">
        <v>921</v>
      </c>
      <c r="Q320" s="1990" t="s">
        <v>1114</v>
      </c>
      <c r="R320" s="1990" t="s">
        <v>1054</v>
      </c>
    </row>
    <row r="321" spans="1:18">
      <c r="A321" s="1990" t="s">
        <v>1159</v>
      </c>
      <c r="B321" s="1990" t="s">
        <v>1266</v>
      </c>
      <c r="C321" s="1990" t="s">
        <v>1050</v>
      </c>
      <c r="D321" s="1990" t="s">
        <v>949</v>
      </c>
      <c r="E321" s="1990" t="s">
        <v>1054</v>
      </c>
      <c r="F321" s="1991">
        <v>35589</v>
      </c>
      <c r="G321" s="1991">
        <v>93421125</v>
      </c>
      <c r="H321" s="1991">
        <v>35589</v>
      </c>
      <c r="I321" s="1991">
        <v>35589</v>
      </c>
      <c r="J321" s="1991">
        <v>35589</v>
      </c>
      <c r="K321" s="1990">
        <v>3500</v>
      </c>
      <c r="L321" s="1991">
        <v>2725</v>
      </c>
      <c r="M321" s="1991">
        <v>2625</v>
      </c>
      <c r="N321" s="1990" t="s">
        <v>1052</v>
      </c>
      <c r="O321" s="1990" t="s">
        <v>8287</v>
      </c>
      <c r="P321" s="1990" t="s">
        <v>949</v>
      </c>
      <c r="Q321" s="1990" t="s">
        <v>1078</v>
      </c>
      <c r="R321" s="1990" t="s">
        <v>1054</v>
      </c>
    </row>
    <row r="322" spans="1:18" ht="30">
      <c r="A322" s="1990" t="s">
        <v>1173</v>
      </c>
      <c r="B322" s="1990" t="s">
        <v>7791</v>
      </c>
      <c r="C322" s="1990" t="s">
        <v>1050</v>
      </c>
      <c r="D322" s="1990" t="s">
        <v>973</v>
      </c>
      <c r="E322" s="1990" t="s">
        <v>1054</v>
      </c>
      <c r="F322" s="1991">
        <v>66499</v>
      </c>
      <c r="G322" s="1991">
        <v>1329980</v>
      </c>
      <c r="H322" s="1991">
        <v>66499</v>
      </c>
      <c r="I322" s="1991">
        <v>66499</v>
      </c>
      <c r="J322" s="1991">
        <v>66499</v>
      </c>
      <c r="K322" s="1990">
        <v>50</v>
      </c>
      <c r="L322" s="1990">
        <v>20</v>
      </c>
      <c r="M322" s="1990">
        <v>20</v>
      </c>
      <c r="N322" s="1990" t="s">
        <v>1052</v>
      </c>
      <c r="O322" s="1990" t="s">
        <v>8287</v>
      </c>
      <c r="P322" s="1990" t="s">
        <v>1201</v>
      </c>
      <c r="Q322" s="1990" t="s">
        <v>1053</v>
      </c>
      <c r="R322" s="1990" t="s">
        <v>1054</v>
      </c>
    </row>
    <row r="323" spans="1:18">
      <c r="A323" s="1990" t="s">
        <v>1192</v>
      </c>
      <c r="B323" s="1990" t="s">
        <v>1479</v>
      </c>
      <c r="C323" s="1990" t="s">
        <v>1050</v>
      </c>
      <c r="D323" s="1990" t="s">
        <v>918</v>
      </c>
      <c r="E323" s="1990" t="s">
        <v>1054</v>
      </c>
      <c r="F323" s="1991">
        <v>28121</v>
      </c>
      <c r="G323" s="1991">
        <v>7030250</v>
      </c>
      <c r="H323" s="1991">
        <v>28121</v>
      </c>
      <c r="I323" s="1991">
        <v>28121</v>
      </c>
      <c r="J323" s="1991">
        <v>28121</v>
      </c>
      <c r="K323" s="1990">
        <v>500</v>
      </c>
      <c r="L323" s="1990">
        <v>250</v>
      </c>
      <c r="M323" s="1990">
        <v>250</v>
      </c>
      <c r="N323" s="1990" t="s">
        <v>1052</v>
      </c>
      <c r="O323" s="1990" t="s">
        <v>8287</v>
      </c>
      <c r="P323" s="1990" t="s">
        <v>918</v>
      </c>
      <c r="Q323" s="1990" t="s">
        <v>1114</v>
      </c>
      <c r="R323" s="1990" t="s">
        <v>1054</v>
      </c>
    </row>
    <row r="324" spans="1:18" ht="30">
      <c r="A324" s="1990" t="s">
        <v>1179</v>
      </c>
      <c r="B324" s="1990" t="s">
        <v>1203</v>
      </c>
      <c r="C324" s="1990" t="s">
        <v>1050</v>
      </c>
      <c r="D324" s="1990" t="s">
        <v>973</v>
      </c>
      <c r="E324" s="1990" t="s">
        <v>1054</v>
      </c>
      <c r="F324" s="1991">
        <v>76061</v>
      </c>
      <c r="G324" s="1991">
        <v>10648540</v>
      </c>
      <c r="H324" s="1991">
        <v>76061</v>
      </c>
      <c r="I324" s="1991">
        <v>76061</v>
      </c>
      <c r="J324" s="1991">
        <v>76061</v>
      </c>
      <c r="K324" s="1990">
        <v>180</v>
      </c>
      <c r="L324" s="1991">
        <v>190</v>
      </c>
      <c r="M324" s="1991">
        <v>140</v>
      </c>
      <c r="N324" s="1990" t="s">
        <v>1052</v>
      </c>
      <c r="O324" s="1990" t="s">
        <v>8287</v>
      </c>
      <c r="P324" s="1990" t="s">
        <v>1201</v>
      </c>
      <c r="Q324" s="1990" t="s">
        <v>1053</v>
      </c>
      <c r="R324" s="1990" t="s">
        <v>1054</v>
      </c>
    </row>
    <row r="325" spans="1:18" ht="30">
      <c r="A325" s="1990" t="s">
        <v>1297</v>
      </c>
      <c r="B325" s="1990" t="s">
        <v>1298</v>
      </c>
      <c r="C325" s="1990" t="s">
        <v>1050</v>
      </c>
      <c r="D325" s="1990" t="s">
        <v>934</v>
      </c>
      <c r="E325" s="1990" t="s">
        <v>1054</v>
      </c>
      <c r="F325" s="1991">
        <v>39973</v>
      </c>
      <c r="G325" s="1991">
        <v>7994600</v>
      </c>
      <c r="H325" s="1991">
        <v>39973</v>
      </c>
      <c r="I325" s="1991">
        <v>39973</v>
      </c>
      <c r="J325" s="1991">
        <v>39973</v>
      </c>
      <c r="K325" s="1990">
        <v>200</v>
      </c>
      <c r="L325" s="1991">
        <v>200</v>
      </c>
      <c r="M325" s="1991">
        <v>200</v>
      </c>
      <c r="N325" s="1990" t="s">
        <v>1052</v>
      </c>
      <c r="O325" s="1990" t="s">
        <v>8287</v>
      </c>
      <c r="P325" s="1990" t="s">
        <v>934</v>
      </c>
      <c r="Q325" s="1990" t="s">
        <v>1292</v>
      </c>
      <c r="R325" s="1990" t="s">
        <v>1054</v>
      </c>
    </row>
    <row r="326" spans="1:18">
      <c r="A326" s="1990" t="s">
        <v>1192</v>
      </c>
      <c r="B326" s="1990" t="s">
        <v>1227</v>
      </c>
      <c r="C326" s="1990" t="s">
        <v>1050</v>
      </c>
      <c r="D326" s="1990" t="s">
        <v>963</v>
      </c>
      <c r="E326" s="1990" t="s">
        <v>1054</v>
      </c>
      <c r="F326" s="1991">
        <v>28121</v>
      </c>
      <c r="G326" s="1991">
        <v>9139325</v>
      </c>
      <c r="H326" s="1991">
        <v>28121</v>
      </c>
      <c r="I326" s="1991">
        <v>28121</v>
      </c>
      <c r="J326" s="1991">
        <v>28121</v>
      </c>
      <c r="K326" s="1990">
        <v>500</v>
      </c>
      <c r="L326" s="1990">
        <v>325</v>
      </c>
      <c r="M326" s="1990">
        <v>325</v>
      </c>
      <c r="N326" s="1990" t="s">
        <v>1052</v>
      </c>
      <c r="O326" s="1990" t="s">
        <v>8287</v>
      </c>
      <c r="P326" s="1990" t="s">
        <v>963</v>
      </c>
      <c r="Q326" s="1990" t="s">
        <v>1090</v>
      </c>
      <c r="R326" s="1990" t="s">
        <v>1054</v>
      </c>
    </row>
    <row r="327" spans="1:18">
      <c r="A327" s="1990" t="s">
        <v>1192</v>
      </c>
      <c r="B327" s="1990" t="s">
        <v>1313</v>
      </c>
      <c r="C327" s="1990" t="s">
        <v>1050</v>
      </c>
      <c r="D327" s="1990" t="s">
        <v>952</v>
      </c>
      <c r="E327" s="1990" t="s">
        <v>1054</v>
      </c>
      <c r="F327" s="1991">
        <v>28121</v>
      </c>
      <c r="G327" s="1991">
        <v>14763525</v>
      </c>
      <c r="H327" s="1991">
        <v>28121</v>
      </c>
      <c r="I327" s="1991">
        <v>28121</v>
      </c>
      <c r="J327" s="1991">
        <v>28121</v>
      </c>
      <c r="K327" s="1990">
        <v>1500</v>
      </c>
      <c r="L327" s="1990">
        <v>525</v>
      </c>
      <c r="M327" s="1990">
        <v>525</v>
      </c>
      <c r="N327" s="1990" t="s">
        <v>1052</v>
      </c>
      <c r="O327" s="1990" t="s">
        <v>8287</v>
      </c>
      <c r="P327" s="1990" t="s">
        <v>1311</v>
      </c>
      <c r="Q327" s="1990" t="s">
        <v>1312</v>
      </c>
      <c r="R327" s="1990" t="s">
        <v>1054</v>
      </c>
    </row>
    <row r="328" spans="1:18">
      <c r="A328" s="1990" t="s">
        <v>1192</v>
      </c>
      <c r="B328" s="1990" t="s">
        <v>1273</v>
      </c>
      <c r="C328" s="1990" t="s">
        <v>1050</v>
      </c>
      <c r="D328" s="1990" t="s">
        <v>919</v>
      </c>
      <c r="E328" s="1990" t="s">
        <v>1054</v>
      </c>
      <c r="F328" s="1991">
        <v>28121</v>
      </c>
      <c r="G328" s="1991">
        <v>84081790</v>
      </c>
      <c r="H328" s="1991">
        <v>28121</v>
      </c>
      <c r="I328" s="1991">
        <v>28121</v>
      </c>
      <c r="J328" s="1991">
        <v>28121</v>
      </c>
      <c r="K328" s="1990">
        <v>4000</v>
      </c>
      <c r="L328" s="1990">
        <v>2990</v>
      </c>
      <c r="M328" s="1990">
        <v>2990</v>
      </c>
      <c r="N328" s="1990" t="s">
        <v>1052</v>
      </c>
      <c r="O328" s="1990" t="s">
        <v>8287</v>
      </c>
      <c r="P328" s="1990" t="s">
        <v>919</v>
      </c>
      <c r="Q328" s="1990" t="s">
        <v>1274</v>
      </c>
      <c r="R328" s="1990" t="s">
        <v>1054</v>
      </c>
    </row>
    <row r="329" spans="1:18" ht="30">
      <c r="A329" s="1990" t="s">
        <v>1206</v>
      </c>
      <c r="B329" s="1990" t="s">
        <v>1207</v>
      </c>
      <c r="C329" s="1990" t="s">
        <v>1050</v>
      </c>
      <c r="D329" s="1990" t="s">
        <v>973</v>
      </c>
      <c r="E329" s="1990" t="s">
        <v>1054</v>
      </c>
      <c r="F329" s="1991">
        <v>68666</v>
      </c>
      <c r="G329" s="1991">
        <v>5493280</v>
      </c>
      <c r="H329" s="1991">
        <v>68666</v>
      </c>
      <c r="I329" s="1991">
        <v>68666</v>
      </c>
      <c r="J329" s="1991">
        <v>68666</v>
      </c>
      <c r="K329" s="1990">
        <v>90</v>
      </c>
      <c r="L329" s="1990">
        <v>80</v>
      </c>
      <c r="M329" s="1990">
        <v>80</v>
      </c>
      <c r="N329" s="1990" t="s">
        <v>1052</v>
      </c>
      <c r="O329" s="1990" t="s">
        <v>8287</v>
      </c>
      <c r="P329" s="1990" t="s">
        <v>1201</v>
      </c>
      <c r="Q329" s="1990" t="s">
        <v>1053</v>
      </c>
      <c r="R329" s="1990" t="s">
        <v>1054</v>
      </c>
    </row>
    <row r="330" spans="1:18" ht="30">
      <c r="A330" s="1990" t="s">
        <v>1144</v>
      </c>
      <c r="B330" s="1990" t="s">
        <v>1145</v>
      </c>
      <c r="C330" s="1990" t="s">
        <v>1050</v>
      </c>
      <c r="D330" s="1990" t="s">
        <v>922</v>
      </c>
      <c r="E330" s="1990" t="s">
        <v>1054</v>
      </c>
      <c r="F330" s="1991">
        <v>37366</v>
      </c>
      <c r="G330" s="1991">
        <v>23914240</v>
      </c>
      <c r="H330" s="1991">
        <v>37366</v>
      </c>
      <c r="I330" s="1991">
        <v>37366</v>
      </c>
      <c r="J330" s="1991">
        <v>37366</v>
      </c>
      <c r="K330" s="1990">
        <v>1900</v>
      </c>
      <c r="L330" s="1990">
        <v>640</v>
      </c>
      <c r="M330" s="1990">
        <v>640</v>
      </c>
      <c r="N330" s="1990" t="s">
        <v>1052</v>
      </c>
      <c r="O330" s="1990" t="s">
        <v>8287</v>
      </c>
      <c r="P330" s="1990" t="s">
        <v>922</v>
      </c>
      <c r="Q330" s="1990" t="s">
        <v>1087</v>
      </c>
      <c r="R330" s="1990" t="s">
        <v>1054</v>
      </c>
    </row>
    <row r="331" spans="1:18">
      <c r="A331" s="1990" t="s">
        <v>1070</v>
      </c>
      <c r="B331" s="1990" t="s">
        <v>1071</v>
      </c>
      <c r="C331" s="1990" t="s">
        <v>1050</v>
      </c>
      <c r="D331" s="1990" t="s">
        <v>906</v>
      </c>
      <c r="E331" s="1990" t="s">
        <v>1054</v>
      </c>
      <c r="F331" s="1991">
        <v>25895</v>
      </c>
      <c r="G331" s="1991">
        <v>10875900</v>
      </c>
      <c r="H331" s="1991">
        <v>25895</v>
      </c>
      <c r="I331" s="1991">
        <v>25895</v>
      </c>
      <c r="J331" s="1991">
        <v>25895</v>
      </c>
      <c r="K331" s="1990">
        <v>2000</v>
      </c>
      <c r="L331" s="1990">
        <v>420</v>
      </c>
      <c r="M331" s="1990">
        <v>420</v>
      </c>
      <c r="N331" s="1990" t="s">
        <v>1052</v>
      </c>
      <c r="O331" s="1990" t="s">
        <v>8287</v>
      </c>
      <c r="P331" s="1990" t="s">
        <v>906</v>
      </c>
      <c r="Q331" s="1990" t="s">
        <v>1063</v>
      </c>
      <c r="R331" s="1990" t="s">
        <v>1054</v>
      </c>
    </row>
    <row r="332" spans="1:18">
      <c r="A332" s="1990" t="s">
        <v>1048</v>
      </c>
      <c r="B332" s="1990" t="s">
        <v>1169</v>
      </c>
      <c r="C332" s="1990" t="s">
        <v>1050</v>
      </c>
      <c r="D332" s="1990" t="s">
        <v>928</v>
      </c>
      <c r="E332" s="1990" t="s">
        <v>1054</v>
      </c>
      <c r="F332" s="1991">
        <v>35589</v>
      </c>
      <c r="G332" s="1991">
        <v>3558900</v>
      </c>
      <c r="H332" s="1991">
        <v>35589</v>
      </c>
      <c r="I332" s="1991">
        <v>35589</v>
      </c>
      <c r="J332" s="1991">
        <v>35589</v>
      </c>
      <c r="K332" s="1990">
        <v>200</v>
      </c>
      <c r="L332" s="1990">
        <v>100</v>
      </c>
      <c r="M332" s="1990">
        <v>100</v>
      </c>
      <c r="N332" s="1990" t="s">
        <v>1052</v>
      </c>
      <c r="O332" s="1990" t="s">
        <v>8287</v>
      </c>
      <c r="P332" s="1990" t="s">
        <v>928</v>
      </c>
      <c r="Q332" s="1990" t="s">
        <v>1053</v>
      </c>
      <c r="R332" s="1990" t="s">
        <v>1054</v>
      </c>
    </row>
    <row r="333" spans="1:18" ht="30">
      <c r="A333" s="1990" t="s">
        <v>1294</v>
      </c>
      <c r="B333" s="1990" t="s">
        <v>1295</v>
      </c>
      <c r="C333" s="1990" t="s">
        <v>1050</v>
      </c>
      <c r="D333" s="1990" t="s">
        <v>934</v>
      </c>
      <c r="E333" s="1990" t="s">
        <v>1054</v>
      </c>
      <c r="F333" s="1991">
        <v>37489</v>
      </c>
      <c r="G333" s="1991">
        <v>7497800</v>
      </c>
      <c r="H333" s="1991">
        <v>37489</v>
      </c>
      <c r="I333" s="1991">
        <v>37489</v>
      </c>
      <c r="J333" s="1991">
        <v>37489</v>
      </c>
      <c r="K333" s="1990">
        <v>200</v>
      </c>
      <c r="L333" s="1990">
        <v>200</v>
      </c>
      <c r="M333" s="1990">
        <v>200</v>
      </c>
      <c r="N333" s="1990" t="s">
        <v>1052</v>
      </c>
      <c r="O333" s="1990" t="s">
        <v>8287</v>
      </c>
      <c r="P333" s="1990" t="s">
        <v>934</v>
      </c>
      <c r="Q333" s="1990" t="s">
        <v>1292</v>
      </c>
      <c r="R333" s="1990" t="s">
        <v>1054</v>
      </c>
    </row>
    <row r="334" spans="1:18">
      <c r="A334" s="1990" t="s">
        <v>1146</v>
      </c>
      <c r="B334" s="1990" t="s">
        <v>1257</v>
      </c>
      <c r="C334" s="1990" t="s">
        <v>1050</v>
      </c>
      <c r="D334" s="1990" t="s">
        <v>921</v>
      </c>
      <c r="E334" s="1990" t="s">
        <v>1054</v>
      </c>
      <c r="F334" s="1991">
        <v>35589</v>
      </c>
      <c r="G334" s="1991">
        <v>41817075</v>
      </c>
      <c r="H334" s="1991">
        <v>35589</v>
      </c>
      <c r="I334" s="1991">
        <v>35589</v>
      </c>
      <c r="J334" s="1991">
        <v>35589</v>
      </c>
      <c r="K334" s="1991">
        <v>1500</v>
      </c>
      <c r="L334" s="1991">
        <v>1175</v>
      </c>
      <c r="M334" s="1991">
        <v>1175</v>
      </c>
      <c r="N334" s="1990" t="s">
        <v>1052</v>
      </c>
      <c r="O334" s="1990" t="s">
        <v>8287</v>
      </c>
      <c r="P334" s="1990" t="s">
        <v>921</v>
      </c>
      <c r="Q334" s="1990" t="s">
        <v>1114</v>
      </c>
      <c r="R334" s="1990" t="s">
        <v>1054</v>
      </c>
    </row>
    <row r="335" spans="1:18">
      <c r="A335" s="1990" t="s">
        <v>1048</v>
      </c>
      <c r="B335" s="1990" t="s">
        <v>1228</v>
      </c>
      <c r="C335" s="1990" t="s">
        <v>1050</v>
      </c>
      <c r="D335" s="1990" t="s">
        <v>963</v>
      </c>
      <c r="E335" s="1990" t="s">
        <v>1054</v>
      </c>
      <c r="F335" s="1991">
        <v>35589</v>
      </c>
      <c r="G335" s="1991">
        <v>10676700</v>
      </c>
      <c r="H335" s="1991">
        <v>35589</v>
      </c>
      <c r="I335" s="1991">
        <v>35589</v>
      </c>
      <c r="J335" s="1991">
        <v>35589</v>
      </c>
      <c r="K335" s="1991">
        <v>500</v>
      </c>
      <c r="L335" s="1991">
        <v>300</v>
      </c>
      <c r="M335" s="1991">
        <v>300</v>
      </c>
      <c r="N335" s="1990" t="s">
        <v>1052</v>
      </c>
      <c r="O335" s="1990" t="s">
        <v>8287</v>
      </c>
      <c r="P335" s="1990" t="s">
        <v>963</v>
      </c>
      <c r="Q335" s="1990" t="s">
        <v>1090</v>
      </c>
      <c r="R335" s="1990" t="s">
        <v>1054</v>
      </c>
    </row>
    <row r="336" spans="1:18" ht="30">
      <c r="A336" s="1990" t="s">
        <v>1072</v>
      </c>
      <c r="B336" s="1990" t="s">
        <v>1199</v>
      </c>
      <c r="C336" s="1990" t="s">
        <v>1050</v>
      </c>
      <c r="D336" s="1990" t="s">
        <v>901</v>
      </c>
      <c r="E336" s="1990" t="s">
        <v>1054</v>
      </c>
      <c r="F336" s="1991">
        <v>35589</v>
      </c>
      <c r="G336" s="1991">
        <v>64771980</v>
      </c>
      <c r="H336" s="1991">
        <v>35589</v>
      </c>
      <c r="I336" s="1991">
        <v>35589</v>
      </c>
      <c r="J336" s="1991">
        <v>35589</v>
      </c>
      <c r="K336" s="1991">
        <v>2000</v>
      </c>
      <c r="L336" s="1991">
        <v>5520</v>
      </c>
      <c r="M336" s="1991">
        <v>1820</v>
      </c>
      <c r="N336" s="1990" t="s">
        <v>1052</v>
      </c>
      <c r="O336" s="1990" t="s">
        <v>8287</v>
      </c>
      <c r="P336" s="1990" t="s">
        <v>1198</v>
      </c>
      <c r="Q336" s="1990" t="s">
        <v>1053</v>
      </c>
      <c r="R336" s="1990" t="s">
        <v>1054</v>
      </c>
    </row>
    <row r="337" spans="1:18" ht="30">
      <c r="A337" s="1990" t="s">
        <v>1173</v>
      </c>
      <c r="B337" s="1990" t="s">
        <v>1290</v>
      </c>
      <c r="C337" s="1990" t="s">
        <v>1050</v>
      </c>
      <c r="D337" s="1990" t="s">
        <v>910</v>
      </c>
      <c r="E337" s="1990" t="s">
        <v>1054</v>
      </c>
      <c r="F337" s="1991">
        <v>39418</v>
      </c>
      <c r="G337" s="1991">
        <v>5124340</v>
      </c>
      <c r="H337" s="1991">
        <v>39418</v>
      </c>
      <c r="I337" s="1991">
        <v>39418</v>
      </c>
      <c r="J337" s="1991">
        <v>39418</v>
      </c>
      <c r="K337" s="1991">
        <v>200</v>
      </c>
      <c r="L337" s="1991">
        <v>130</v>
      </c>
      <c r="M337" s="1991">
        <v>130</v>
      </c>
      <c r="N337" s="1990" t="s">
        <v>1052</v>
      </c>
      <c r="O337" s="1990" t="s">
        <v>8287</v>
      </c>
      <c r="P337" s="1990" t="s">
        <v>1283</v>
      </c>
      <c r="Q337" s="1990" t="s">
        <v>1274</v>
      </c>
      <c r="R337" s="1990" t="s">
        <v>1054</v>
      </c>
    </row>
    <row r="338" spans="1:18">
      <c r="A338" s="1990" t="s">
        <v>1153</v>
      </c>
      <c r="B338" s="1990" t="s">
        <v>1256</v>
      </c>
      <c r="C338" s="1990" t="s">
        <v>1050</v>
      </c>
      <c r="D338" s="1990" t="s">
        <v>959</v>
      </c>
      <c r="E338" s="1990" t="s">
        <v>1424</v>
      </c>
      <c r="F338" s="1991">
        <v>38789</v>
      </c>
      <c r="G338" s="1991">
        <v>1939450</v>
      </c>
      <c r="H338" s="1991">
        <v>38789</v>
      </c>
      <c r="I338" s="1991">
        <v>38789</v>
      </c>
      <c r="J338" s="1991">
        <v>38789</v>
      </c>
      <c r="K338" s="1991">
        <v>100</v>
      </c>
      <c r="L338" s="1990">
        <v>50</v>
      </c>
      <c r="M338" s="1990">
        <v>50</v>
      </c>
      <c r="N338" s="1990" t="s">
        <v>1052</v>
      </c>
      <c r="O338" s="1990" t="s">
        <v>8287</v>
      </c>
      <c r="P338" s="1990" t="s">
        <v>959</v>
      </c>
      <c r="Q338" s="1990" t="s">
        <v>1083</v>
      </c>
      <c r="R338" s="1990" t="s">
        <v>1054</v>
      </c>
    </row>
    <row r="339" spans="1:18">
      <c r="A339" s="1990" t="s">
        <v>1146</v>
      </c>
      <c r="B339" s="1990" t="s">
        <v>1170</v>
      </c>
      <c r="C339" s="1990" t="s">
        <v>1050</v>
      </c>
      <c r="D339" s="1990" t="s">
        <v>928</v>
      </c>
      <c r="E339" s="1990" t="s">
        <v>1054</v>
      </c>
      <c r="F339" s="1991">
        <v>35589</v>
      </c>
      <c r="G339" s="1991">
        <v>3558900</v>
      </c>
      <c r="H339" s="1991">
        <v>35589</v>
      </c>
      <c r="I339" s="1991">
        <v>35589</v>
      </c>
      <c r="J339" s="1991">
        <v>35589</v>
      </c>
      <c r="K339" s="1991">
        <v>200</v>
      </c>
      <c r="L339" s="1991">
        <v>100</v>
      </c>
      <c r="M339" s="1991">
        <v>100</v>
      </c>
      <c r="N339" s="1990" t="s">
        <v>1052</v>
      </c>
      <c r="O339" s="1990" t="s">
        <v>8287</v>
      </c>
      <c r="P339" s="1990" t="s">
        <v>928</v>
      </c>
      <c r="Q339" s="1990" t="s">
        <v>1053</v>
      </c>
      <c r="R339" s="1990" t="s">
        <v>1054</v>
      </c>
    </row>
    <row r="340" spans="1:18" ht="30">
      <c r="A340" s="1990" t="s">
        <v>1070</v>
      </c>
      <c r="B340" s="1990" t="s">
        <v>1210</v>
      </c>
      <c r="C340" s="1990" t="s">
        <v>1050</v>
      </c>
      <c r="D340" s="1990" t="s">
        <v>948</v>
      </c>
      <c r="E340" s="1990" t="s">
        <v>1054</v>
      </c>
      <c r="F340" s="1991">
        <v>26886</v>
      </c>
      <c r="G340" s="1991">
        <v>7528080</v>
      </c>
      <c r="H340" s="1991">
        <v>26886</v>
      </c>
      <c r="I340" s="1991">
        <v>26886</v>
      </c>
      <c r="J340" s="1991">
        <v>26886</v>
      </c>
      <c r="K340" s="1991">
        <v>300</v>
      </c>
      <c r="L340" s="1991">
        <v>280</v>
      </c>
      <c r="M340" s="1991">
        <v>280</v>
      </c>
      <c r="N340" s="1990" t="s">
        <v>1052</v>
      </c>
      <c r="O340" s="1990" t="s">
        <v>8287</v>
      </c>
      <c r="P340" s="1990" t="s">
        <v>948</v>
      </c>
      <c r="Q340" s="1990" t="s">
        <v>1209</v>
      </c>
      <c r="R340" s="1990" t="s">
        <v>1054</v>
      </c>
    </row>
    <row r="341" spans="1:18">
      <c r="A341" s="1990" t="s">
        <v>1192</v>
      </c>
      <c r="B341" s="1990" t="s">
        <v>1241</v>
      </c>
      <c r="C341" s="1990" t="s">
        <v>1050</v>
      </c>
      <c r="D341" s="1990" t="s">
        <v>967</v>
      </c>
      <c r="E341" s="1990" t="s">
        <v>1054</v>
      </c>
      <c r="F341" s="1991">
        <v>28121</v>
      </c>
      <c r="G341" s="1991">
        <v>11529610</v>
      </c>
      <c r="H341" s="1991">
        <v>28121</v>
      </c>
      <c r="I341" s="1991">
        <v>28121</v>
      </c>
      <c r="J341" s="1991">
        <v>28121</v>
      </c>
      <c r="K341" s="1991">
        <v>1000</v>
      </c>
      <c r="L341" s="1991">
        <v>410</v>
      </c>
      <c r="M341" s="1991">
        <v>410</v>
      </c>
      <c r="N341" s="1990" t="s">
        <v>1052</v>
      </c>
      <c r="O341" s="1990" t="s">
        <v>8287</v>
      </c>
      <c r="P341" s="1990" t="s">
        <v>967</v>
      </c>
      <c r="Q341" s="1990" t="s">
        <v>1080</v>
      </c>
      <c r="R341" s="1990" t="s">
        <v>1067</v>
      </c>
    </row>
    <row r="342" spans="1:18" ht="30">
      <c r="A342" s="1990" t="s">
        <v>1151</v>
      </c>
      <c r="B342" s="1990" t="s">
        <v>1268</v>
      </c>
      <c r="C342" s="1990" t="s">
        <v>1050</v>
      </c>
      <c r="D342" s="1990" t="s">
        <v>950</v>
      </c>
      <c r="E342" s="1990" t="s">
        <v>1054</v>
      </c>
      <c r="F342" s="1991">
        <v>27353</v>
      </c>
      <c r="G342" s="1991">
        <v>683825</v>
      </c>
      <c r="H342" s="1991">
        <v>27353</v>
      </c>
      <c r="I342" s="1991">
        <v>27353</v>
      </c>
      <c r="J342" s="1991">
        <v>27353</v>
      </c>
      <c r="K342" s="1991">
        <v>500</v>
      </c>
      <c r="L342" s="1991">
        <v>25</v>
      </c>
      <c r="M342" s="1991">
        <v>25</v>
      </c>
      <c r="N342" s="1990" t="s">
        <v>1052</v>
      </c>
      <c r="O342" s="1990" t="s">
        <v>8287</v>
      </c>
      <c r="P342" s="1990" t="s">
        <v>1124</v>
      </c>
      <c r="Q342" s="1990" t="s">
        <v>1114</v>
      </c>
      <c r="R342" s="1990" t="s">
        <v>1067</v>
      </c>
    </row>
    <row r="343" spans="1:18" ht="30">
      <c r="A343" s="1990" t="s">
        <v>1070</v>
      </c>
      <c r="B343" s="1990" t="s">
        <v>1210</v>
      </c>
      <c r="C343" s="1990" t="s">
        <v>1050</v>
      </c>
      <c r="D343" s="1990" t="s">
        <v>948</v>
      </c>
      <c r="E343" s="1990" t="s">
        <v>1051</v>
      </c>
      <c r="F343" s="1991">
        <v>26886</v>
      </c>
      <c r="G343" s="1991">
        <v>537720</v>
      </c>
      <c r="H343" s="1991">
        <v>26886</v>
      </c>
      <c r="I343" s="1991">
        <v>26886</v>
      </c>
      <c r="J343" s="1991">
        <v>26886</v>
      </c>
      <c r="K343" s="1990">
        <v>0</v>
      </c>
      <c r="L343" s="1990">
        <v>20</v>
      </c>
      <c r="M343" s="1990">
        <v>20</v>
      </c>
      <c r="N343" s="1990" t="s">
        <v>1052</v>
      </c>
      <c r="O343" s="1990" t="s">
        <v>8287</v>
      </c>
      <c r="P343" s="1990" t="s">
        <v>948</v>
      </c>
      <c r="Q343" s="1990" t="s">
        <v>1209</v>
      </c>
      <c r="R343" s="1990" t="s">
        <v>1054</v>
      </c>
    </row>
    <row r="344" spans="1:18">
      <c r="A344" s="1990" t="s">
        <v>1157</v>
      </c>
      <c r="B344" s="1990" t="s">
        <v>1158</v>
      </c>
      <c r="C344" s="1990" t="s">
        <v>1050</v>
      </c>
      <c r="D344" s="1990" t="s">
        <v>898</v>
      </c>
      <c r="E344" s="1990" t="s">
        <v>1051</v>
      </c>
      <c r="F344" s="1991">
        <v>26235</v>
      </c>
      <c r="G344" s="1991">
        <v>1967625</v>
      </c>
      <c r="H344" s="1991">
        <v>26235</v>
      </c>
      <c r="I344" s="1991">
        <v>26235</v>
      </c>
      <c r="J344" s="1991">
        <v>26235</v>
      </c>
      <c r="K344" s="1990">
        <v>0</v>
      </c>
      <c r="L344" s="1990">
        <v>75</v>
      </c>
      <c r="M344" s="1990">
        <v>75</v>
      </c>
      <c r="N344" s="1990" t="s">
        <v>1052</v>
      </c>
      <c r="O344" s="1990" t="s">
        <v>8287</v>
      </c>
      <c r="P344" s="1990" t="s">
        <v>898</v>
      </c>
      <c r="Q344" s="1990" t="s">
        <v>1053</v>
      </c>
      <c r="R344" s="1990" t="s">
        <v>1054</v>
      </c>
    </row>
    <row r="345" spans="1:18">
      <c r="A345" s="1990" t="s">
        <v>1157</v>
      </c>
      <c r="B345" s="1990" t="s">
        <v>1263</v>
      </c>
      <c r="C345" s="1990" t="s">
        <v>1050</v>
      </c>
      <c r="D345" s="1990" t="s">
        <v>947</v>
      </c>
      <c r="E345" s="1990" t="s">
        <v>1051</v>
      </c>
      <c r="F345" s="1991">
        <v>31642</v>
      </c>
      <c r="G345" s="1991">
        <v>1582100</v>
      </c>
      <c r="H345" s="1991">
        <v>31642</v>
      </c>
      <c r="I345" s="1991">
        <v>31642</v>
      </c>
      <c r="J345" s="1991">
        <v>31642</v>
      </c>
      <c r="K345" s="1990">
        <v>0</v>
      </c>
      <c r="L345" s="1990">
        <v>50</v>
      </c>
      <c r="M345" s="1990">
        <v>50</v>
      </c>
      <c r="N345" s="1990" t="s">
        <v>1052</v>
      </c>
      <c r="O345" s="1990" t="s">
        <v>8287</v>
      </c>
      <c r="P345" s="1990" t="s">
        <v>1264</v>
      </c>
      <c r="Q345" s="1990" t="s">
        <v>1078</v>
      </c>
      <c r="R345" s="1990" t="s">
        <v>1054</v>
      </c>
    </row>
    <row r="346" spans="1:18" ht="30">
      <c r="A346" s="1990" t="s">
        <v>1072</v>
      </c>
      <c r="B346" s="1990" t="s">
        <v>1199</v>
      </c>
      <c r="C346" s="1990" t="s">
        <v>1050</v>
      </c>
      <c r="D346" s="1990" t="s">
        <v>901</v>
      </c>
      <c r="E346" s="1990" t="s">
        <v>1051</v>
      </c>
      <c r="F346" s="1991">
        <v>35589</v>
      </c>
      <c r="G346" s="1991">
        <v>6406020</v>
      </c>
      <c r="H346" s="1991">
        <v>35589</v>
      </c>
      <c r="I346" s="1991">
        <v>35589</v>
      </c>
      <c r="J346" s="1991">
        <v>35589</v>
      </c>
      <c r="K346" s="1991">
        <v>0</v>
      </c>
      <c r="L346" s="1991">
        <v>180</v>
      </c>
      <c r="M346" s="1991">
        <v>180</v>
      </c>
      <c r="N346" s="1990" t="s">
        <v>1052</v>
      </c>
      <c r="O346" s="1990" t="s">
        <v>8287</v>
      </c>
      <c r="P346" s="1990" t="s">
        <v>1198</v>
      </c>
      <c r="Q346" s="1990" t="s">
        <v>1053</v>
      </c>
      <c r="R346" s="1990" t="s">
        <v>1054</v>
      </c>
    </row>
    <row r="347" spans="1:18">
      <c r="A347" s="1990" t="s">
        <v>1072</v>
      </c>
      <c r="B347" s="1990" t="s">
        <v>1191</v>
      </c>
      <c r="C347" s="1990" t="s">
        <v>1050</v>
      </c>
      <c r="D347" s="1990" t="s">
        <v>908</v>
      </c>
      <c r="E347" s="1990" t="s">
        <v>1051</v>
      </c>
      <c r="F347" s="1991">
        <v>35589</v>
      </c>
      <c r="G347" s="1991">
        <v>13523820</v>
      </c>
      <c r="H347" s="1991">
        <v>35589</v>
      </c>
      <c r="I347" s="1991">
        <v>35589</v>
      </c>
      <c r="J347" s="1991">
        <v>35589</v>
      </c>
      <c r="K347" s="1991">
        <v>0</v>
      </c>
      <c r="L347" s="1991">
        <v>380</v>
      </c>
      <c r="M347" s="1991">
        <v>380</v>
      </c>
      <c r="N347" s="1990" t="s">
        <v>1052</v>
      </c>
      <c r="O347" s="1990" t="s">
        <v>8287</v>
      </c>
      <c r="P347" s="1990" t="s">
        <v>908</v>
      </c>
      <c r="Q347" s="1990" t="s">
        <v>1053</v>
      </c>
      <c r="R347" s="1990" t="s">
        <v>1054</v>
      </c>
    </row>
    <row r="348" spans="1:18">
      <c r="A348" s="1990" t="s">
        <v>1159</v>
      </c>
      <c r="B348" s="1990" t="s">
        <v>1266</v>
      </c>
      <c r="C348" s="1990" t="s">
        <v>1050</v>
      </c>
      <c r="D348" s="1990" t="s">
        <v>949</v>
      </c>
      <c r="E348" s="1990" t="s">
        <v>1051</v>
      </c>
      <c r="F348" s="1991">
        <v>35589</v>
      </c>
      <c r="G348" s="1991">
        <v>31140375</v>
      </c>
      <c r="H348" s="1991">
        <v>35589</v>
      </c>
      <c r="I348" s="1991">
        <v>35589</v>
      </c>
      <c r="J348" s="1991">
        <v>35589</v>
      </c>
      <c r="K348" s="1991">
        <v>0</v>
      </c>
      <c r="L348" s="1991">
        <v>875</v>
      </c>
      <c r="M348" s="1991">
        <v>875</v>
      </c>
      <c r="N348" s="1990" t="s">
        <v>1052</v>
      </c>
      <c r="O348" s="1990" t="s">
        <v>8287</v>
      </c>
      <c r="P348" s="1990" t="s">
        <v>949</v>
      </c>
      <c r="Q348" s="1990" t="s">
        <v>1078</v>
      </c>
      <c r="R348" s="1990" t="s">
        <v>1054</v>
      </c>
    </row>
    <row r="349" spans="1:18">
      <c r="A349" s="1990" t="s">
        <v>1159</v>
      </c>
      <c r="B349" s="1990" t="s">
        <v>1160</v>
      </c>
      <c r="C349" s="1990" t="s">
        <v>1050</v>
      </c>
      <c r="D349" s="1990" t="s">
        <v>898</v>
      </c>
      <c r="E349" s="1990" t="s">
        <v>1051</v>
      </c>
      <c r="F349" s="1991">
        <v>35589</v>
      </c>
      <c r="G349" s="1991">
        <v>8897250</v>
      </c>
      <c r="H349" s="1991">
        <v>35589</v>
      </c>
      <c r="I349" s="1991">
        <v>35589</v>
      </c>
      <c r="J349" s="1991">
        <v>35589</v>
      </c>
      <c r="K349" s="1991">
        <v>0</v>
      </c>
      <c r="L349" s="1991">
        <v>250</v>
      </c>
      <c r="M349" s="1991">
        <v>250</v>
      </c>
      <c r="N349" s="1990" t="s">
        <v>1052</v>
      </c>
      <c r="O349" s="1990" t="s">
        <v>8287</v>
      </c>
      <c r="P349" s="1990" t="s">
        <v>898</v>
      </c>
      <c r="Q349" s="1990" t="s">
        <v>1053</v>
      </c>
      <c r="R349" s="1990" t="s">
        <v>1054</v>
      </c>
    </row>
    <row r="350" spans="1:18">
      <c r="A350" s="1990" t="s">
        <v>1151</v>
      </c>
      <c r="B350" s="1990" t="s">
        <v>1255</v>
      </c>
      <c r="C350" s="1990" t="s">
        <v>1050</v>
      </c>
      <c r="D350" s="1990" t="s">
        <v>959</v>
      </c>
      <c r="E350" s="1990" t="s">
        <v>1484</v>
      </c>
      <c r="F350" s="1991">
        <v>27353</v>
      </c>
      <c r="G350" s="1991">
        <v>1367650</v>
      </c>
      <c r="H350" s="1991">
        <v>27353</v>
      </c>
      <c r="I350" s="1991">
        <v>27353</v>
      </c>
      <c r="J350" s="1991">
        <v>27353</v>
      </c>
      <c r="K350" s="1991">
        <v>0</v>
      </c>
      <c r="L350" s="1991">
        <v>50</v>
      </c>
      <c r="M350" s="1991">
        <v>50</v>
      </c>
      <c r="N350" s="1990" t="s">
        <v>1052</v>
      </c>
      <c r="O350" s="1990" t="s">
        <v>8287</v>
      </c>
      <c r="P350" s="1990" t="s">
        <v>959</v>
      </c>
      <c r="Q350" s="1990" t="s">
        <v>1083</v>
      </c>
      <c r="R350" s="1990" t="s">
        <v>1054</v>
      </c>
    </row>
    <row r="351" spans="1:18">
      <c r="A351" s="1990" t="s">
        <v>1192</v>
      </c>
      <c r="B351" s="1990" t="s">
        <v>1273</v>
      </c>
      <c r="C351" s="1990" t="s">
        <v>1050</v>
      </c>
      <c r="D351" s="1990" t="s">
        <v>919</v>
      </c>
      <c r="E351" s="1990" t="s">
        <v>1051</v>
      </c>
      <c r="F351" s="1991">
        <v>28121</v>
      </c>
      <c r="G351" s="1991">
        <v>23059220</v>
      </c>
      <c r="H351" s="1991">
        <v>28121</v>
      </c>
      <c r="I351" s="1991">
        <v>28121</v>
      </c>
      <c r="J351" s="1991">
        <v>28121</v>
      </c>
      <c r="K351" s="1991">
        <v>0</v>
      </c>
      <c r="L351" s="1991">
        <v>820</v>
      </c>
      <c r="M351" s="1991">
        <v>820</v>
      </c>
      <c r="N351" s="1990" t="s">
        <v>1052</v>
      </c>
      <c r="O351" s="1990" t="s">
        <v>8287</v>
      </c>
      <c r="P351" s="1990" t="s">
        <v>919</v>
      </c>
      <c r="Q351" s="1990" t="s">
        <v>1274</v>
      </c>
      <c r="R351" s="1990" t="s">
        <v>1054</v>
      </c>
    </row>
    <row r="352" spans="1:18">
      <c r="A352" s="1990" t="s">
        <v>1192</v>
      </c>
      <c r="B352" s="1990" t="s">
        <v>1479</v>
      </c>
      <c r="C352" s="1990" t="s">
        <v>1050</v>
      </c>
      <c r="D352" s="1990" t="s">
        <v>918</v>
      </c>
      <c r="E352" s="1990" t="s">
        <v>1051</v>
      </c>
      <c r="F352" s="1991">
        <v>28121</v>
      </c>
      <c r="G352" s="1991">
        <v>4218150</v>
      </c>
      <c r="H352" s="1991">
        <v>28121</v>
      </c>
      <c r="I352" s="1991">
        <v>28121</v>
      </c>
      <c r="J352" s="1991">
        <v>28121</v>
      </c>
      <c r="K352" s="1991">
        <v>0</v>
      </c>
      <c r="L352" s="1990">
        <v>150</v>
      </c>
      <c r="M352" s="1990">
        <v>150</v>
      </c>
      <c r="N352" s="1990" t="s">
        <v>1052</v>
      </c>
      <c r="O352" s="1990" t="s">
        <v>8287</v>
      </c>
      <c r="P352" s="1990" t="s">
        <v>918</v>
      </c>
      <c r="Q352" s="1990" t="s">
        <v>1114</v>
      </c>
      <c r="R352" s="1990" t="s">
        <v>1054</v>
      </c>
    </row>
    <row r="353" spans="1:18">
      <c r="A353" s="1990" t="s">
        <v>1192</v>
      </c>
      <c r="B353" s="1990" t="s">
        <v>1313</v>
      </c>
      <c r="C353" s="1990" t="s">
        <v>1050</v>
      </c>
      <c r="D353" s="1990" t="s">
        <v>952</v>
      </c>
      <c r="E353" s="1990" t="s">
        <v>1051</v>
      </c>
      <c r="F353" s="1991">
        <v>28121</v>
      </c>
      <c r="G353" s="1991">
        <v>703025</v>
      </c>
      <c r="H353" s="1991">
        <v>28121</v>
      </c>
      <c r="I353" s="1991">
        <v>28121</v>
      </c>
      <c r="J353" s="1991">
        <v>28121</v>
      </c>
      <c r="K353" s="1991">
        <v>0</v>
      </c>
      <c r="L353" s="1991">
        <v>25</v>
      </c>
      <c r="M353" s="1991">
        <v>25</v>
      </c>
      <c r="N353" s="1990" t="s">
        <v>1052</v>
      </c>
      <c r="O353" s="1990" t="s">
        <v>8287</v>
      </c>
      <c r="P353" s="1990" t="s">
        <v>1311</v>
      </c>
      <c r="Q353" s="1990" t="s">
        <v>1312</v>
      </c>
      <c r="R353" s="1990" t="s">
        <v>1054</v>
      </c>
    </row>
    <row r="354" spans="1:18">
      <c r="A354" s="1990" t="s">
        <v>1194</v>
      </c>
      <c r="B354" s="1990" t="s">
        <v>1310</v>
      </c>
      <c r="C354" s="1990" t="s">
        <v>1050</v>
      </c>
      <c r="D354" s="1990" t="s">
        <v>952</v>
      </c>
      <c r="E354" s="1990" t="s">
        <v>1051</v>
      </c>
      <c r="F354" s="1991">
        <v>39877</v>
      </c>
      <c r="G354" s="1991">
        <v>36886225</v>
      </c>
      <c r="H354" s="1991">
        <v>39877</v>
      </c>
      <c r="I354" s="1991">
        <v>39877</v>
      </c>
      <c r="J354" s="1991">
        <v>39877</v>
      </c>
      <c r="K354" s="1990">
        <v>0</v>
      </c>
      <c r="L354" s="1990">
        <v>925</v>
      </c>
      <c r="M354" s="1990">
        <v>925</v>
      </c>
      <c r="N354" s="1990" t="s">
        <v>1052</v>
      </c>
      <c r="O354" s="1990" t="s">
        <v>8287</v>
      </c>
      <c r="P354" s="1990" t="s">
        <v>1311</v>
      </c>
      <c r="Q354" s="1990" t="s">
        <v>1312</v>
      </c>
      <c r="R354" s="1990" t="s">
        <v>1054</v>
      </c>
    </row>
    <row r="355" spans="1:18" ht="30">
      <c r="A355" s="1990" t="s">
        <v>1194</v>
      </c>
      <c r="B355" s="1990" t="s">
        <v>1282</v>
      </c>
      <c r="C355" s="1990" t="s">
        <v>1050</v>
      </c>
      <c r="D355" s="1990" t="s">
        <v>910</v>
      </c>
      <c r="E355" s="1990" t="s">
        <v>1051</v>
      </c>
      <c r="F355" s="1991">
        <v>39877</v>
      </c>
      <c r="G355" s="1991">
        <v>1993850</v>
      </c>
      <c r="H355" s="1991">
        <v>39877</v>
      </c>
      <c r="I355" s="1991">
        <v>39877</v>
      </c>
      <c r="J355" s="1991">
        <v>39877</v>
      </c>
      <c r="K355" s="1991">
        <v>0</v>
      </c>
      <c r="L355" s="1991">
        <v>50</v>
      </c>
      <c r="M355" s="1991">
        <v>50</v>
      </c>
      <c r="N355" s="1990" t="s">
        <v>1052</v>
      </c>
      <c r="O355" s="1990" t="s">
        <v>8287</v>
      </c>
      <c r="P355" s="1990" t="s">
        <v>1283</v>
      </c>
      <c r="Q355" s="1990" t="s">
        <v>1274</v>
      </c>
      <c r="R355" s="1990" t="s">
        <v>1054</v>
      </c>
    </row>
    <row r="356" spans="1:18">
      <c r="A356" s="1990" t="s">
        <v>1194</v>
      </c>
      <c r="B356" s="1990" t="s">
        <v>1281</v>
      </c>
      <c r="C356" s="1990" t="s">
        <v>1050</v>
      </c>
      <c r="D356" s="1990" t="s">
        <v>919</v>
      </c>
      <c r="E356" s="1990" t="s">
        <v>1051</v>
      </c>
      <c r="F356" s="1991">
        <v>39877</v>
      </c>
      <c r="G356" s="1991">
        <v>18742190</v>
      </c>
      <c r="H356" s="1991">
        <v>39877</v>
      </c>
      <c r="I356" s="1991">
        <v>39877</v>
      </c>
      <c r="J356" s="1991">
        <v>39877</v>
      </c>
      <c r="K356" s="1991">
        <v>0</v>
      </c>
      <c r="L356" s="1991">
        <v>470</v>
      </c>
      <c r="M356" s="1991">
        <v>470</v>
      </c>
      <c r="N356" s="1990" t="s">
        <v>1052</v>
      </c>
      <c r="O356" s="1990" t="s">
        <v>8287</v>
      </c>
      <c r="P356" s="1990" t="s">
        <v>919</v>
      </c>
      <c r="Q356" s="1990" t="s">
        <v>1274</v>
      </c>
      <c r="R356" s="1990" t="s">
        <v>1054</v>
      </c>
    </row>
    <row r="357" spans="1:18" ht="30">
      <c r="A357" s="1990" t="s">
        <v>1250</v>
      </c>
      <c r="B357" s="1990" t="s">
        <v>1251</v>
      </c>
      <c r="C357" s="1990" t="s">
        <v>1050</v>
      </c>
      <c r="D357" s="1990" t="s">
        <v>926</v>
      </c>
      <c r="E357" s="1990" t="s">
        <v>1051</v>
      </c>
      <c r="F357" s="1991">
        <v>43836</v>
      </c>
      <c r="G357" s="1991">
        <v>3945240</v>
      </c>
      <c r="H357" s="1991">
        <v>43836</v>
      </c>
      <c r="I357" s="1991">
        <v>43836</v>
      </c>
      <c r="J357" s="1991">
        <v>43836</v>
      </c>
      <c r="K357" s="1991">
        <v>0</v>
      </c>
      <c r="L357" s="1991">
        <v>90</v>
      </c>
      <c r="M357" s="1991">
        <v>90</v>
      </c>
      <c r="N357" s="1990" t="s">
        <v>1052</v>
      </c>
      <c r="O357" s="1990" t="s">
        <v>8287</v>
      </c>
      <c r="P357" s="1990" t="s">
        <v>926</v>
      </c>
      <c r="Q357" s="1990" t="s">
        <v>1252</v>
      </c>
      <c r="R357" s="1990" t="s">
        <v>1054</v>
      </c>
    </row>
    <row r="358" spans="1:18">
      <c r="A358" s="1990" t="s">
        <v>1163</v>
      </c>
      <c r="B358" s="1990" t="s">
        <v>1164</v>
      </c>
      <c r="C358" s="1990" t="s">
        <v>1050</v>
      </c>
      <c r="D358" s="1990" t="s">
        <v>909</v>
      </c>
      <c r="E358" s="1990" t="s">
        <v>1051</v>
      </c>
      <c r="F358" s="1991">
        <v>35589</v>
      </c>
      <c r="G358" s="1991">
        <v>9609030</v>
      </c>
      <c r="H358" s="1991">
        <v>35589</v>
      </c>
      <c r="I358" s="1991">
        <v>35589</v>
      </c>
      <c r="J358" s="1991">
        <v>35589</v>
      </c>
      <c r="K358" s="1991">
        <v>0</v>
      </c>
      <c r="L358" s="1991">
        <v>270</v>
      </c>
      <c r="M358" s="1991">
        <v>270</v>
      </c>
      <c r="N358" s="1990" t="s">
        <v>1052</v>
      </c>
      <c r="O358" s="1990" t="s">
        <v>8287</v>
      </c>
      <c r="P358" s="1990" t="s">
        <v>909</v>
      </c>
      <c r="Q358" s="1990" t="s">
        <v>1053</v>
      </c>
      <c r="R358" s="1990" t="s">
        <v>1054</v>
      </c>
    </row>
    <row r="359" spans="1:18" ht="30">
      <c r="A359" s="1990" t="s">
        <v>1144</v>
      </c>
      <c r="B359" s="1990" t="s">
        <v>1196</v>
      </c>
      <c r="C359" s="1990" t="s">
        <v>1050</v>
      </c>
      <c r="D359" s="1990" t="s">
        <v>914</v>
      </c>
      <c r="E359" s="1990" t="s">
        <v>1051</v>
      </c>
      <c r="F359" s="1991">
        <v>37366</v>
      </c>
      <c r="G359" s="1991">
        <v>10275650</v>
      </c>
      <c r="H359" s="1991">
        <v>37366</v>
      </c>
      <c r="I359" s="1991">
        <v>37366</v>
      </c>
      <c r="J359" s="1991">
        <v>37366</v>
      </c>
      <c r="K359" s="1991">
        <v>0</v>
      </c>
      <c r="L359" s="1991">
        <v>275</v>
      </c>
      <c r="M359" s="1991">
        <v>275</v>
      </c>
      <c r="N359" s="1990" t="s">
        <v>1052</v>
      </c>
      <c r="O359" s="1990" t="s">
        <v>8287</v>
      </c>
      <c r="P359" s="1990" t="s">
        <v>1110</v>
      </c>
      <c r="Q359" s="1990" t="s">
        <v>1053</v>
      </c>
      <c r="R359" s="1990" t="s">
        <v>1054</v>
      </c>
    </row>
    <row r="360" spans="1:18">
      <c r="A360" s="1990" t="s">
        <v>1144</v>
      </c>
      <c r="B360" s="1990" t="s">
        <v>1150</v>
      </c>
      <c r="C360" s="1990" t="s">
        <v>1050</v>
      </c>
      <c r="D360" s="1990" t="s">
        <v>912</v>
      </c>
      <c r="E360" s="1990" t="s">
        <v>1051</v>
      </c>
      <c r="F360" s="1991">
        <v>37366</v>
      </c>
      <c r="G360" s="1991">
        <v>8407350</v>
      </c>
      <c r="H360" s="1991">
        <v>37366</v>
      </c>
      <c r="I360" s="1991">
        <v>37366</v>
      </c>
      <c r="J360" s="1991">
        <v>37366</v>
      </c>
      <c r="K360" s="1991">
        <v>0</v>
      </c>
      <c r="L360" s="1991">
        <v>225</v>
      </c>
      <c r="M360" s="1991">
        <v>225</v>
      </c>
      <c r="N360" s="1990" t="s">
        <v>1052</v>
      </c>
      <c r="O360" s="1990" t="s">
        <v>8287</v>
      </c>
      <c r="P360" s="1990" t="s">
        <v>912</v>
      </c>
      <c r="Q360" s="1990" t="s">
        <v>1053</v>
      </c>
      <c r="R360" s="1990" t="s">
        <v>1054</v>
      </c>
    </row>
    <row r="361" spans="1:18" ht="30">
      <c r="A361" s="1990" t="s">
        <v>1212</v>
      </c>
      <c r="B361" s="1990" t="s">
        <v>1213</v>
      </c>
      <c r="C361" s="1990" t="s">
        <v>1050</v>
      </c>
      <c r="D361" s="1990" t="s">
        <v>948</v>
      </c>
      <c r="E361" s="1990" t="s">
        <v>1051</v>
      </c>
      <c r="F361" s="1991">
        <v>40494</v>
      </c>
      <c r="G361" s="1991">
        <v>1619760</v>
      </c>
      <c r="H361" s="1991">
        <v>40494</v>
      </c>
      <c r="I361" s="1991">
        <v>40494</v>
      </c>
      <c r="J361" s="1991">
        <v>40494</v>
      </c>
      <c r="K361" s="1991">
        <v>0</v>
      </c>
      <c r="L361" s="1991">
        <v>40</v>
      </c>
      <c r="M361" s="1991">
        <v>40</v>
      </c>
      <c r="N361" s="1990" t="s">
        <v>1052</v>
      </c>
      <c r="O361" s="1990" t="s">
        <v>8287</v>
      </c>
      <c r="P361" s="1990" t="s">
        <v>948</v>
      </c>
      <c r="Q361" s="1990" t="s">
        <v>1209</v>
      </c>
      <c r="R361" s="1990" t="s">
        <v>1054</v>
      </c>
    </row>
    <row r="362" spans="1:18" ht="30">
      <c r="A362" s="1990" t="s">
        <v>1204</v>
      </c>
      <c r="B362" s="1990" t="s">
        <v>1205</v>
      </c>
      <c r="C362" s="1990" t="s">
        <v>1050</v>
      </c>
      <c r="D362" s="1990" t="s">
        <v>973</v>
      </c>
      <c r="E362" s="1990" t="s">
        <v>1051</v>
      </c>
      <c r="F362" s="1991">
        <v>68131</v>
      </c>
      <c r="G362" s="1991">
        <v>10219650</v>
      </c>
      <c r="H362" s="1991">
        <v>68131</v>
      </c>
      <c r="I362" s="1991">
        <v>68131</v>
      </c>
      <c r="J362" s="1991">
        <v>68131</v>
      </c>
      <c r="K362" s="1991">
        <v>0</v>
      </c>
      <c r="L362" s="1991">
        <v>150</v>
      </c>
      <c r="M362" s="1991">
        <v>150</v>
      </c>
      <c r="N362" s="1990" t="s">
        <v>1052</v>
      </c>
      <c r="O362" s="1990" t="s">
        <v>8287</v>
      </c>
      <c r="P362" s="1990" t="s">
        <v>1201</v>
      </c>
      <c r="Q362" s="1990" t="s">
        <v>1053</v>
      </c>
      <c r="R362" s="1990" t="s">
        <v>1054</v>
      </c>
    </row>
    <row r="363" spans="1:18" ht="30">
      <c r="A363" s="1990" t="s">
        <v>1177</v>
      </c>
      <c r="B363" s="1990" t="s">
        <v>1202</v>
      </c>
      <c r="C363" s="1990" t="s">
        <v>1050</v>
      </c>
      <c r="D363" s="1990" t="s">
        <v>973</v>
      </c>
      <c r="E363" s="1990" t="s">
        <v>1051</v>
      </c>
      <c r="F363" s="1991">
        <v>72691</v>
      </c>
      <c r="G363" s="1991">
        <v>1453820</v>
      </c>
      <c r="H363" s="1991">
        <v>72691</v>
      </c>
      <c r="I363" s="1991">
        <v>72691</v>
      </c>
      <c r="J363" s="1991">
        <v>72691</v>
      </c>
      <c r="K363" s="1991">
        <v>0</v>
      </c>
      <c r="L363" s="1991">
        <v>20</v>
      </c>
      <c r="M363" s="1991">
        <v>20</v>
      </c>
      <c r="N363" s="1990" t="s">
        <v>1052</v>
      </c>
      <c r="O363" s="1990" t="s">
        <v>8287</v>
      </c>
      <c r="P363" s="1990" t="s">
        <v>1201</v>
      </c>
      <c r="Q363" s="1990" t="s">
        <v>1053</v>
      </c>
      <c r="R363" s="1990" t="s">
        <v>1054</v>
      </c>
    </row>
    <row r="364" spans="1:18" ht="30">
      <c r="A364" s="1990" t="s">
        <v>1070</v>
      </c>
      <c r="B364" s="1990" t="s">
        <v>1302</v>
      </c>
      <c r="C364" s="1990" t="s">
        <v>1050</v>
      </c>
      <c r="D364" s="1990" t="s">
        <v>934</v>
      </c>
      <c r="E364" s="1990" t="s">
        <v>1051</v>
      </c>
      <c r="F364" s="1991">
        <v>24954</v>
      </c>
      <c r="G364" s="1991">
        <v>19963200</v>
      </c>
      <c r="H364" s="1991">
        <v>24954</v>
      </c>
      <c r="I364" s="1991">
        <v>24954</v>
      </c>
      <c r="J364" s="1991">
        <v>24954</v>
      </c>
      <c r="K364" s="1991">
        <v>0</v>
      </c>
      <c r="L364" s="1991">
        <v>800</v>
      </c>
      <c r="M364" s="1991">
        <v>800</v>
      </c>
      <c r="N364" s="1990" t="s">
        <v>1052</v>
      </c>
      <c r="O364" s="1990" t="s">
        <v>8287</v>
      </c>
      <c r="P364" s="1990" t="s">
        <v>934</v>
      </c>
      <c r="Q364" s="1990" t="s">
        <v>1292</v>
      </c>
      <c r="R364" s="1990" t="s">
        <v>1054</v>
      </c>
    </row>
    <row r="365" spans="1:18">
      <c r="A365" s="1990" t="s">
        <v>1219</v>
      </c>
      <c r="B365" s="1990" t="s">
        <v>1258</v>
      </c>
      <c r="C365" s="1990" t="s">
        <v>1050</v>
      </c>
      <c r="D365" s="1990" t="s">
        <v>921</v>
      </c>
      <c r="E365" s="1990" t="s">
        <v>1051</v>
      </c>
      <c r="F365" s="1991">
        <v>25045</v>
      </c>
      <c r="G365" s="1991">
        <v>626125</v>
      </c>
      <c r="H365" s="1991">
        <v>25045</v>
      </c>
      <c r="I365" s="1991">
        <v>25045</v>
      </c>
      <c r="J365" s="1991">
        <v>25045</v>
      </c>
      <c r="K365" s="1991">
        <v>0</v>
      </c>
      <c r="L365" s="1991">
        <v>25</v>
      </c>
      <c r="M365" s="1991">
        <v>25</v>
      </c>
      <c r="N365" s="1990" t="s">
        <v>1052</v>
      </c>
      <c r="O365" s="1990" t="s">
        <v>8287</v>
      </c>
      <c r="P365" s="1990" t="s">
        <v>921</v>
      </c>
      <c r="Q365" s="1990" t="s">
        <v>1114</v>
      </c>
      <c r="R365" s="1990" t="s">
        <v>1054</v>
      </c>
    </row>
    <row r="366" spans="1:18">
      <c r="A366" s="1990" t="s">
        <v>1146</v>
      </c>
      <c r="B366" s="1990" t="s">
        <v>1257</v>
      </c>
      <c r="C366" s="1990" t="s">
        <v>1050</v>
      </c>
      <c r="D366" s="1990" t="s">
        <v>921</v>
      </c>
      <c r="E366" s="1990" t="s">
        <v>1051</v>
      </c>
      <c r="F366" s="1991">
        <v>35589</v>
      </c>
      <c r="G366" s="1991">
        <v>3558900</v>
      </c>
      <c r="H366" s="1991">
        <v>35589</v>
      </c>
      <c r="I366" s="1991">
        <v>35589</v>
      </c>
      <c r="J366" s="1991">
        <v>35589</v>
      </c>
      <c r="K366" s="1991">
        <v>0</v>
      </c>
      <c r="L366" s="1991">
        <v>100</v>
      </c>
      <c r="M366" s="1991">
        <v>100</v>
      </c>
      <c r="N366" s="1990" t="s">
        <v>1052</v>
      </c>
      <c r="O366" s="1990" t="s">
        <v>8287</v>
      </c>
      <c r="P366" s="1990" t="s">
        <v>921</v>
      </c>
      <c r="Q366" s="1990" t="s">
        <v>1114</v>
      </c>
      <c r="R366" s="1990" t="s">
        <v>1054</v>
      </c>
    </row>
    <row r="367" spans="1:18">
      <c r="A367" s="1990" t="s">
        <v>1059</v>
      </c>
      <c r="B367" s="1990" t="s">
        <v>1391</v>
      </c>
      <c r="C367" s="1990" t="s">
        <v>1050</v>
      </c>
      <c r="D367" s="1990" t="s">
        <v>70</v>
      </c>
      <c r="E367" s="1990" t="s">
        <v>1051</v>
      </c>
      <c r="F367" s="1991">
        <v>28508</v>
      </c>
      <c r="G367" s="1991">
        <v>3563500</v>
      </c>
      <c r="H367" s="1991">
        <v>28508</v>
      </c>
      <c r="I367" s="1991">
        <v>28508</v>
      </c>
      <c r="J367" s="1991">
        <v>28508</v>
      </c>
      <c r="K367" s="1991">
        <v>0</v>
      </c>
      <c r="L367" s="1991">
        <v>125</v>
      </c>
      <c r="M367" s="1991">
        <v>125</v>
      </c>
      <c r="N367" s="1990" t="s">
        <v>1052</v>
      </c>
      <c r="O367" s="1990" t="s">
        <v>8287</v>
      </c>
      <c r="P367" s="1990" t="s">
        <v>70</v>
      </c>
      <c r="Q367" s="1990" t="s">
        <v>1090</v>
      </c>
      <c r="R367" s="1990" t="s">
        <v>1067</v>
      </c>
    </row>
    <row r="368" spans="1:18" ht="30">
      <c r="A368" s="1990" t="s">
        <v>1144</v>
      </c>
      <c r="B368" s="1990" t="s">
        <v>1145</v>
      </c>
      <c r="C368" s="1990" t="s">
        <v>1050</v>
      </c>
      <c r="D368" s="1990" t="s">
        <v>922</v>
      </c>
      <c r="E368" s="1990" t="s">
        <v>1051</v>
      </c>
      <c r="F368" s="1991">
        <v>37366</v>
      </c>
      <c r="G368" s="1991">
        <v>4483920</v>
      </c>
      <c r="H368" s="1991">
        <v>37366</v>
      </c>
      <c r="I368" s="1991">
        <v>37366</v>
      </c>
      <c r="J368" s="1991">
        <v>37366</v>
      </c>
      <c r="K368" s="1991">
        <v>0</v>
      </c>
      <c r="L368" s="1991">
        <v>120</v>
      </c>
      <c r="M368" s="1991">
        <v>120</v>
      </c>
      <c r="N368" s="1990" t="s">
        <v>1052</v>
      </c>
      <c r="O368" s="1990" t="s">
        <v>8287</v>
      </c>
      <c r="P368" s="1990" t="s">
        <v>922</v>
      </c>
      <c r="Q368" s="1990" t="s">
        <v>1087</v>
      </c>
      <c r="R368" s="1990" t="s">
        <v>1054</v>
      </c>
    </row>
    <row r="369" spans="1:18" ht="30">
      <c r="A369" s="1990" t="s">
        <v>1173</v>
      </c>
      <c r="B369" s="1990" t="s">
        <v>1290</v>
      </c>
      <c r="C369" s="1990" t="s">
        <v>1050</v>
      </c>
      <c r="D369" s="1990" t="s">
        <v>910</v>
      </c>
      <c r="E369" s="1990" t="s">
        <v>1051</v>
      </c>
      <c r="F369" s="1991">
        <v>39418</v>
      </c>
      <c r="G369" s="1991">
        <v>2759260</v>
      </c>
      <c r="H369" s="1991">
        <v>39418</v>
      </c>
      <c r="I369" s="1991">
        <v>39418</v>
      </c>
      <c r="J369" s="1991">
        <v>39418</v>
      </c>
      <c r="K369" s="1991">
        <v>0</v>
      </c>
      <c r="L369" s="1991">
        <v>70</v>
      </c>
      <c r="M369" s="1991">
        <v>70</v>
      </c>
      <c r="N369" s="1990" t="s">
        <v>1052</v>
      </c>
      <c r="O369" s="1990" t="s">
        <v>8287</v>
      </c>
      <c r="P369" s="1990" t="s">
        <v>1283</v>
      </c>
      <c r="Q369" s="1990" t="s">
        <v>1274</v>
      </c>
      <c r="R369" s="1990" t="s">
        <v>1054</v>
      </c>
    </row>
    <row r="370" spans="1:18">
      <c r="A370" s="1990" t="s">
        <v>1194</v>
      </c>
      <c r="B370" s="1990" t="s">
        <v>1226</v>
      </c>
      <c r="C370" s="1990" t="s">
        <v>1050</v>
      </c>
      <c r="D370" s="1990" t="s">
        <v>963</v>
      </c>
      <c r="E370" s="1990" t="s">
        <v>1051</v>
      </c>
      <c r="F370" s="1991">
        <v>39877</v>
      </c>
      <c r="G370" s="1991">
        <v>3987700</v>
      </c>
      <c r="H370" s="1991">
        <v>39877</v>
      </c>
      <c r="I370" s="1991">
        <v>39877</v>
      </c>
      <c r="J370" s="1991">
        <v>39877</v>
      </c>
      <c r="K370" s="1991">
        <v>0</v>
      </c>
      <c r="L370" s="1990">
        <v>100</v>
      </c>
      <c r="M370" s="1990">
        <v>100</v>
      </c>
      <c r="N370" s="1990" t="s">
        <v>1052</v>
      </c>
      <c r="O370" s="1990" t="s">
        <v>8287</v>
      </c>
      <c r="P370" s="1990" t="s">
        <v>963</v>
      </c>
      <c r="Q370" s="1990" t="s">
        <v>1090</v>
      </c>
      <c r="R370" s="1990" t="s">
        <v>1054</v>
      </c>
    </row>
    <row r="371" spans="1:18">
      <c r="A371" s="1990" t="s">
        <v>1179</v>
      </c>
      <c r="B371" s="1990" t="s">
        <v>1305</v>
      </c>
      <c r="C371" s="1990" t="s">
        <v>1050</v>
      </c>
      <c r="D371" s="1990" t="s">
        <v>970</v>
      </c>
      <c r="E371" s="1990" t="s">
        <v>1054</v>
      </c>
      <c r="F371" s="1991">
        <v>73153</v>
      </c>
      <c r="G371" s="1991">
        <v>7315300</v>
      </c>
      <c r="H371" s="1991">
        <v>72679</v>
      </c>
      <c r="I371" s="1991">
        <v>74099</v>
      </c>
      <c r="J371" s="1991">
        <v>61920</v>
      </c>
      <c r="K371" s="1991">
        <v>100</v>
      </c>
      <c r="L371" s="1990">
        <v>380</v>
      </c>
      <c r="M371" s="1990">
        <v>100</v>
      </c>
      <c r="N371" s="1990" t="s">
        <v>1052</v>
      </c>
      <c r="O371" s="1990" t="s">
        <v>8287</v>
      </c>
      <c r="P371" s="1990" t="s">
        <v>970</v>
      </c>
      <c r="Q371" s="1990" t="s">
        <v>1209</v>
      </c>
      <c r="R371" s="1990" t="s">
        <v>1054</v>
      </c>
    </row>
    <row r="372" spans="1:18">
      <c r="A372" s="1990" t="s">
        <v>1159</v>
      </c>
      <c r="B372" s="1990" t="s">
        <v>1172</v>
      </c>
      <c r="C372" s="1990" t="s">
        <v>1050</v>
      </c>
      <c r="D372" s="1990" t="s">
        <v>904</v>
      </c>
      <c r="E372" s="1990" t="s">
        <v>1054</v>
      </c>
      <c r="F372" s="1991">
        <v>38159</v>
      </c>
      <c r="G372" s="1991">
        <v>267109625</v>
      </c>
      <c r="H372" s="1991">
        <v>37869</v>
      </c>
      <c r="I372" s="1991">
        <v>38739</v>
      </c>
      <c r="J372" s="1991">
        <v>35589</v>
      </c>
      <c r="K372" s="1991">
        <v>7000</v>
      </c>
      <c r="L372" s="1991">
        <v>11100</v>
      </c>
      <c r="M372" s="1991">
        <v>7000</v>
      </c>
      <c r="N372" s="1990" t="s">
        <v>1052</v>
      </c>
      <c r="O372" s="1990" t="s">
        <v>8287</v>
      </c>
      <c r="P372" s="1990" t="s">
        <v>904</v>
      </c>
      <c r="Q372" s="1990" t="s">
        <v>1053</v>
      </c>
      <c r="R372" s="1990" t="s">
        <v>1054</v>
      </c>
    </row>
    <row r="373" spans="1:18">
      <c r="A373" s="1990" t="s">
        <v>1181</v>
      </c>
      <c r="B373" s="1990" t="s">
        <v>1182</v>
      </c>
      <c r="C373" s="1990" t="s">
        <v>1050</v>
      </c>
      <c r="D373" s="1990" t="s">
        <v>904</v>
      </c>
      <c r="E373" s="1990" t="s">
        <v>1054</v>
      </c>
      <c r="F373" s="1991">
        <v>60898</v>
      </c>
      <c r="G373" s="1991">
        <v>121796700</v>
      </c>
      <c r="H373" s="1991">
        <v>60589</v>
      </c>
      <c r="I373" s="1991">
        <v>62559</v>
      </c>
      <c r="J373" s="1991">
        <v>55647</v>
      </c>
      <c r="K373" s="1991">
        <v>2000</v>
      </c>
      <c r="L373" s="1991">
        <v>3050</v>
      </c>
      <c r="M373" s="1991">
        <v>2000</v>
      </c>
      <c r="N373" s="1990" t="s">
        <v>1052</v>
      </c>
      <c r="O373" s="1990" t="s">
        <v>8287</v>
      </c>
      <c r="P373" s="1990" t="s">
        <v>904</v>
      </c>
      <c r="Q373" s="1990" t="s">
        <v>1053</v>
      </c>
      <c r="R373" s="1990" t="s">
        <v>1054</v>
      </c>
    </row>
    <row r="374" spans="1:18">
      <c r="A374" s="1990" t="s">
        <v>1216</v>
      </c>
      <c r="B374" s="1990" t="s">
        <v>1217</v>
      </c>
      <c r="C374" s="1990" t="s">
        <v>1050</v>
      </c>
      <c r="D374" s="1990" t="s">
        <v>903</v>
      </c>
      <c r="E374" s="1990" t="s">
        <v>1054</v>
      </c>
      <c r="F374" s="1991">
        <v>29890</v>
      </c>
      <c r="G374" s="1991">
        <v>122548150</v>
      </c>
      <c r="H374" s="1991">
        <v>29639</v>
      </c>
      <c r="I374" s="1991">
        <v>30384</v>
      </c>
      <c r="J374" s="1991">
        <v>28137</v>
      </c>
      <c r="K374" s="1990">
        <v>4100</v>
      </c>
      <c r="L374" s="1991">
        <v>5575</v>
      </c>
      <c r="M374" s="1991">
        <v>4100</v>
      </c>
      <c r="N374" s="1990" t="s">
        <v>1052</v>
      </c>
      <c r="O374" s="1990" t="s">
        <v>8287</v>
      </c>
      <c r="P374" s="1990" t="s">
        <v>903</v>
      </c>
      <c r="Q374" s="1990" t="s">
        <v>1218</v>
      </c>
      <c r="R374" s="1990" t="s">
        <v>1054</v>
      </c>
    </row>
    <row r="375" spans="1:18">
      <c r="A375" s="1990" t="s">
        <v>1204</v>
      </c>
      <c r="B375" s="1990" t="s">
        <v>1306</v>
      </c>
      <c r="C375" s="1990" t="s">
        <v>1050</v>
      </c>
      <c r="D375" s="1990" t="s">
        <v>970</v>
      </c>
      <c r="E375" s="1990" t="s">
        <v>1054</v>
      </c>
      <c r="F375" s="1991">
        <v>71761</v>
      </c>
      <c r="G375" s="1991">
        <v>14352280</v>
      </c>
      <c r="H375" s="1991">
        <v>71679</v>
      </c>
      <c r="I375" s="1991">
        <v>72399</v>
      </c>
      <c r="J375" s="1991">
        <v>66834</v>
      </c>
      <c r="K375" s="1990">
        <v>200</v>
      </c>
      <c r="L375" s="1990">
        <v>400</v>
      </c>
      <c r="M375" s="1990">
        <v>200</v>
      </c>
      <c r="N375" s="1990" t="s">
        <v>1052</v>
      </c>
      <c r="O375" s="1990" t="s">
        <v>8287</v>
      </c>
      <c r="P375" s="1990" t="s">
        <v>970</v>
      </c>
      <c r="Q375" s="1990" t="s">
        <v>1209</v>
      </c>
      <c r="R375" s="1990" t="s">
        <v>1054</v>
      </c>
    </row>
    <row r="376" spans="1:18" ht="30">
      <c r="A376" s="1990" t="s">
        <v>1194</v>
      </c>
      <c r="B376" s="1990" t="s">
        <v>1195</v>
      </c>
      <c r="C376" s="1990" t="s">
        <v>1050</v>
      </c>
      <c r="D376" s="1990" t="s">
        <v>914</v>
      </c>
      <c r="E376" s="1990" t="s">
        <v>1054</v>
      </c>
      <c r="F376" s="1991">
        <v>40117</v>
      </c>
      <c r="G376" s="1991">
        <v>80234025</v>
      </c>
      <c r="H376" s="1991">
        <v>40059</v>
      </c>
      <c r="I376" s="1991">
        <v>40229</v>
      </c>
      <c r="J376" s="1991">
        <v>39877</v>
      </c>
      <c r="K376" s="1990">
        <v>2000</v>
      </c>
      <c r="L376" s="1991">
        <v>2225</v>
      </c>
      <c r="M376" s="1991">
        <v>2000</v>
      </c>
      <c r="N376" s="1990" t="s">
        <v>1052</v>
      </c>
      <c r="O376" s="1990" t="s">
        <v>8287</v>
      </c>
      <c r="P376" s="1990" t="s">
        <v>1110</v>
      </c>
      <c r="Q376" s="1990" t="s">
        <v>1053</v>
      </c>
      <c r="R376" s="1990" t="s">
        <v>1054</v>
      </c>
    </row>
    <row r="377" spans="1:18">
      <c r="A377" s="1990" t="s">
        <v>1187</v>
      </c>
      <c r="B377" s="1990" t="s">
        <v>1188</v>
      </c>
      <c r="C377" s="1990" t="s">
        <v>1050</v>
      </c>
      <c r="D377" s="1990" t="s">
        <v>897</v>
      </c>
      <c r="E377" s="1990" t="s">
        <v>1054</v>
      </c>
      <c r="F377" s="1991">
        <v>42492</v>
      </c>
      <c r="G377" s="1991">
        <v>31868750</v>
      </c>
      <c r="H377" s="1991">
        <v>42299</v>
      </c>
      <c r="I377" s="1991">
        <v>42889</v>
      </c>
      <c r="J377" s="1991">
        <v>38073</v>
      </c>
      <c r="K377" s="1990">
        <v>750</v>
      </c>
      <c r="L377" s="1990">
        <v>2175</v>
      </c>
      <c r="M377" s="1990">
        <v>750</v>
      </c>
      <c r="N377" s="1990" t="s">
        <v>1052</v>
      </c>
      <c r="O377" s="1990" t="s">
        <v>8287</v>
      </c>
      <c r="P377" s="1990" t="s">
        <v>897</v>
      </c>
      <c r="Q377" s="1990" t="s">
        <v>1053</v>
      </c>
      <c r="R377" s="1990" t="s">
        <v>1054</v>
      </c>
    </row>
    <row r="378" spans="1:18">
      <c r="A378" s="1990" t="s">
        <v>1179</v>
      </c>
      <c r="B378" s="1990" t="s">
        <v>1476</v>
      </c>
      <c r="C378" s="1990" t="s">
        <v>1050</v>
      </c>
      <c r="D378" s="1990" t="s">
        <v>976</v>
      </c>
      <c r="E378" s="1990" t="s">
        <v>1054</v>
      </c>
      <c r="F378" s="1991">
        <v>71983</v>
      </c>
      <c r="G378" s="1991">
        <v>43189625</v>
      </c>
      <c r="H378" s="1991">
        <v>71339</v>
      </c>
      <c r="I378" s="1991">
        <v>72929</v>
      </c>
      <c r="J378" s="1991">
        <v>63756</v>
      </c>
      <c r="K378" s="1990">
        <v>600</v>
      </c>
      <c r="L378" s="1990">
        <v>1325</v>
      </c>
      <c r="M378" s="1990">
        <v>600</v>
      </c>
      <c r="N378" s="1990" t="s">
        <v>1052</v>
      </c>
      <c r="O378" s="1990" t="s">
        <v>8287</v>
      </c>
      <c r="P378" s="1990" t="s">
        <v>976</v>
      </c>
      <c r="Q378" s="1990" t="s">
        <v>1132</v>
      </c>
      <c r="R378" s="1990" t="s">
        <v>1054</v>
      </c>
    </row>
    <row r="379" spans="1:18">
      <c r="A379" s="1990" t="s">
        <v>1159</v>
      </c>
      <c r="B379" s="1990" t="s">
        <v>1234</v>
      </c>
      <c r="C379" s="1990" t="s">
        <v>1050</v>
      </c>
      <c r="D379" s="1990" t="s">
        <v>913</v>
      </c>
      <c r="E379" s="1990" t="s">
        <v>1054</v>
      </c>
      <c r="F379" s="1991">
        <v>42524</v>
      </c>
      <c r="G379" s="1991">
        <v>21262000</v>
      </c>
      <c r="H379" s="1991">
        <v>42309</v>
      </c>
      <c r="I379" s="1991">
        <v>42599</v>
      </c>
      <c r="J379" s="1991">
        <v>35771</v>
      </c>
      <c r="K379" s="1991">
        <v>500</v>
      </c>
      <c r="L379" s="1991">
        <v>1270</v>
      </c>
      <c r="M379" s="1991">
        <v>500</v>
      </c>
      <c r="N379" s="1990" t="s">
        <v>1052</v>
      </c>
      <c r="O379" s="1990" t="s">
        <v>8287</v>
      </c>
      <c r="P379" s="1990" t="s">
        <v>913</v>
      </c>
      <c r="Q379" s="1990" t="s">
        <v>1090</v>
      </c>
      <c r="R379" s="1990" t="s">
        <v>1054</v>
      </c>
    </row>
    <row r="380" spans="1:18">
      <c r="A380" s="1990" t="s">
        <v>1153</v>
      </c>
      <c r="B380" s="1990" t="s">
        <v>1189</v>
      </c>
      <c r="C380" s="1990" t="s">
        <v>1050</v>
      </c>
      <c r="D380" s="1990" t="s">
        <v>931</v>
      </c>
      <c r="E380" s="1990" t="s">
        <v>1054</v>
      </c>
      <c r="F380" s="1991">
        <v>43745</v>
      </c>
      <c r="G380" s="1991">
        <v>43744600</v>
      </c>
      <c r="H380" s="1991">
        <v>43639</v>
      </c>
      <c r="I380" s="1991">
        <v>44059</v>
      </c>
      <c r="J380" s="1991">
        <v>39870</v>
      </c>
      <c r="K380" s="1990">
        <v>1000</v>
      </c>
      <c r="L380" s="1990">
        <v>2460</v>
      </c>
      <c r="M380" s="1990">
        <v>1000</v>
      </c>
      <c r="N380" s="1990" t="s">
        <v>1052</v>
      </c>
      <c r="O380" s="1990" t="s">
        <v>8287</v>
      </c>
      <c r="P380" s="1990" t="s">
        <v>931</v>
      </c>
      <c r="Q380" s="1990" t="s">
        <v>1053</v>
      </c>
      <c r="R380" s="1990" t="s">
        <v>1054</v>
      </c>
    </row>
    <row r="381" spans="1:18">
      <c r="A381" s="1990" t="s">
        <v>1175</v>
      </c>
      <c r="B381" s="1990" t="s">
        <v>1478</v>
      </c>
      <c r="C381" s="1990" t="s">
        <v>1050</v>
      </c>
      <c r="D381" s="1990" t="s">
        <v>976</v>
      </c>
      <c r="E381" s="1990" t="s">
        <v>1054</v>
      </c>
      <c r="F381" s="1991">
        <v>75909</v>
      </c>
      <c r="G381" s="1991">
        <v>7590880</v>
      </c>
      <c r="H381" s="1991">
        <v>74839</v>
      </c>
      <c r="I381" s="1991">
        <v>76622</v>
      </c>
      <c r="J381" s="1991">
        <v>62282</v>
      </c>
      <c r="K381" s="1990">
        <v>100</v>
      </c>
      <c r="L381" s="1990">
        <v>390</v>
      </c>
      <c r="M381" s="1990">
        <v>100</v>
      </c>
      <c r="N381" s="1990" t="s">
        <v>1052</v>
      </c>
      <c r="O381" s="1990" t="s">
        <v>8287</v>
      </c>
      <c r="P381" s="1990" t="s">
        <v>976</v>
      </c>
      <c r="Q381" s="1990" t="s">
        <v>1132</v>
      </c>
      <c r="R381" s="1990" t="s">
        <v>1054</v>
      </c>
    </row>
    <row r="382" spans="1:18" ht="30">
      <c r="A382" s="1990" t="s">
        <v>1157</v>
      </c>
      <c r="B382" s="1990" t="s">
        <v>8289</v>
      </c>
      <c r="C382" s="1990" t="s">
        <v>1050</v>
      </c>
      <c r="D382" s="1990" t="s">
        <v>972</v>
      </c>
      <c r="E382" s="1990" t="s">
        <v>1054</v>
      </c>
      <c r="F382" s="1991">
        <v>25464</v>
      </c>
      <c r="G382" s="1991">
        <v>2546400</v>
      </c>
      <c r="H382" s="1991">
        <v>25269</v>
      </c>
      <c r="I382" s="1991">
        <v>25659</v>
      </c>
      <c r="J382" s="1991">
        <v>24954</v>
      </c>
      <c r="K382" s="1990">
        <v>100</v>
      </c>
      <c r="L382" s="1990">
        <v>150</v>
      </c>
      <c r="M382" s="1990">
        <v>100</v>
      </c>
      <c r="N382" s="1990" t="s">
        <v>1052</v>
      </c>
      <c r="O382" s="1990" t="s">
        <v>8287</v>
      </c>
      <c r="P382" s="1990" t="s">
        <v>972</v>
      </c>
      <c r="Q382" s="1990" t="s">
        <v>1240</v>
      </c>
      <c r="R382" s="1990" t="s">
        <v>1054</v>
      </c>
    </row>
    <row r="383" spans="1:18">
      <c r="A383" s="1990" t="s">
        <v>1157</v>
      </c>
      <c r="B383" s="1990" t="s">
        <v>1171</v>
      </c>
      <c r="C383" s="1990" t="s">
        <v>1050</v>
      </c>
      <c r="D383" s="1990" t="s">
        <v>904</v>
      </c>
      <c r="E383" s="1990" t="s">
        <v>1054</v>
      </c>
      <c r="F383" s="1991">
        <v>28731</v>
      </c>
      <c r="G383" s="1991">
        <v>28730500</v>
      </c>
      <c r="H383" s="1991">
        <v>28119</v>
      </c>
      <c r="I383" s="1991">
        <v>29999</v>
      </c>
      <c r="J383" s="1991">
        <v>25045</v>
      </c>
      <c r="K383" s="1990">
        <v>1000</v>
      </c>
      <c r="L383" s="1990">
        <v>2175</v>
      </c>
      <c r="M383" s="1990">
        <v>1000</v>
      </c>
      <c r="N383" s="1990" t="s">
        <v>1052</v>
      </c>
      <c r="O383" s="1990" t="s">
        <v>8287</v>
      </c>
      <c r="P383" s="1990" t="s">
        <v>904</v>
      </c>
      <c r="Q383" s="1990" t="s">
        <v>1053</v>
      </c>
      <c r="R383" s="1990" t="s">
        <v>1054</v>
      </c>
    </row>
    <row r="384" spans="1:18">
      <c r="A384" s="1990" t="s">
        <v>1146</v>
      </c>
      <c r="B384" s="1990" t="s">
        <v>1246</v>
      </c>
      <c r="C384" s="1990" t="s">
        <v>1050</v>
      </c>
      <c r="D384" s="1990" t="s">
        <v>907</v>
      </c>
      <c r="E384" s="1990" t="s">
        <v>1054</v>
      </c>
      <c r="F384" s="1991">
        <v>36913</v>
      </c>
      <c r="G384" s="1991">
        <v>55369475</v>
      </c>
      <c r="H384" s="1991">
        <v>36529</v>
      </c>
      <c r="I384" s="1991">
        <v>38400</v>
      </c>
      <c r="J384" s="1991">
        <v>35740</v>
      </c>
      <c r="K384" s="1990">
        <v>1500</v>
      </c>
      <c r="L384" s="1990">
        <v>2300</v>
      </c>
      <c r="M384" s="1990">
        <v>1500</v>
      </c>
      <c r="N384" s="1990" t="s">
        <v>1052</v>
      </c>
      <c r="O384" s="1990" t="s">
        <v>8287</v>
      </c>
      <c r="P384" s="1990" t="s">
        <v>907</v>
      </c>
      <c r="Q384" s="1990" t="s">
        <v>1075</v>
      </c>
      <c r="R384" s="1990" t="s">
        <v>1054</v>
      </c>
    </row>
    <row r="385" spans="1:18">
      <c r="A385" s="1990" t="s">
        <v>1177</v>
      </c>
      <c r="B385" s="1990" t="s">
        <v>1304</v>
      </c>
      <c r="C385" s="1990" t="s">
        <v>1050</v>
      </c>
      <c r="D385" s="1990" t="s">
        <v>970</v>
      </c>
      <c r="E385" s="1990" t="s">
        <v>1054</v>
      </c>
      <c r="F385" s="1991">
        <v>70717</v>
      </c>
      <c r="G385" s="1991">
        <v>7071700</v>
      </c>
      <c r="H385" s="1991">
        <v>70679</v>
      </c>
      <c r="I385" s="1991">
        <v>71059</v>
      </c>
      <c r="J385" s="1991">
        <v>60020</v>
      </c>
      <c r="K385" s="1991">
        <v>100</v>
      </c>
      <c r="L385" s="1991">
        <v>320</v>
      </c>
      <c r="M385" s="1991">
        <v>100</v>
      </c>
      <c r="N385" s="1990" t="s">
        <v>1052</v>
      </c>
      <c r="O385" s="1990" t="s">
        <v>8287</v>
      </c>
      <c r="P385" s="1990" t="s">
        <v>970</v>
      </c>
      <c r="Q385" s="1990" t="s">
        <v>1209</v>
      </c>
      <c r="R385" s="1990" t="s">
        <v>1054</v>
      </c>
    </row>
    <row r="386" spans="1:18" ht="30">
      <c r="A386" s="1990" t="s">
        <v>1175</v>
      </c>
      <c r="B386" s="1990" t="s">
        <v>1474</v>
      </c>
      <c r="C386" s="1990" t="s">
        <v>1050</v>
      </c>
      <c r="D386" s="1990" t="s">
        <v>974</v>
      </c>
      <c r="E386" s="1990" t="s">
        <v>1054</v>
      </c>
      <c r="F386" s="1991">
        <v>85617</v>
      </c>
      <c r="G386" s="1991">
        <v>8561700</v>
      </c>
      <c r="H386" s="1991">
        <v>85059</v>
      </c>
      <c r="I386" s="1991">
        <v>86899</v>
      </c>
      <c r="J386" s="1991">
        <v>74526</v>
      </c>
      <c r="K386" s="1990">
        <v>100</v>
      </c>
      <c r="L386" s="1990">
        <v>260</v>
      </c>
      <c r="M386" s="1990">
        <v>100</v>
      </c>
      <c r="N386" s="1990" t="s">
        <v>1052</v>
      </c>
      <c r="O386" s="1990" t="s">
        <v>8287</v>
      </c>
      <c r="P386" s="1990" t="s">
        <v>974</v>
      </c>
      <c r="Q386" s="1990" t="s">
        <v>1223</v>
      </c>
      <c r="R386" s="1990" t="s">
        <v>1054</v>
      </c>
    </row>
    <row r="387" spans="1:18" ht="30">
      <c r="A387" s="1990" t="s">
        <v>1146</v>
      </c>
      <c r="B387" s="1990" t="s">
        <v>1287</v>
      </c>
      <c r="C387" s="1990" t="s">
        <v>1050</v>
      </c>
      <c r="D387" s="1990" t="s">
        <v>910</v>
      </c>
      <c r="E387" s="1990" t="s">
        <v>1054</v>
      </c>
      <c r="F387" s="1991">
        <v>38094</v>
      </c>
      <c r="G387" s="1991">
        <v>7618825</v>
      </c>
      <c r="H387" s="1991">
        <v>37889</v>
      </c>
      <c r="I387" s="1991">
        <v>38399</v>
      </c>
      <c r="J387" s="1991">
        <v>35589</v>
      </c>
      <c r="K387" s="1990">
        <v>200</v>
      </c>
      <c r="L387" s="1990">
        <v>475</v>
      </c>
      <c r="M387" s="1990">
        <v>200</v>
      </c>
      <c r="N387" s="1990" t="s">
        <v>1052</v>
      </c>
      <c r="O387" s="1990" t="s">
        <v>8287</v>
      </c>
      <c r="P387" s="1990" t="s">
        <v>1283</v>
      </c>
      <c r="Q387" s="1990" t="s">
        <v>1274</v>
      </c>
      <c r="R387" s="1990" t="s">
        <v>1054</v>
      </c>
    </row>
    <row r="388" spans="1:18" ht="30">
      <c r="A388" s="1990" t="s">
        <v>1275</v>
      </c>
      <c r="B388" s="1990" t="s">
        <v>1276</v>
      </c>
      <c r="C388" s="1990" t="s">
        <v>1050</v>
      </c>
      <c r="D388" s="1990" t="s">
        <v>927</v>
      </c>
      <c r="E388" s="1990" t="s">
        <v>1054</v>
      </c>
      <c r="F388" s="1991">
        <v>38086</v>
      </c>
      <c r="G388" s="1991">
        <v>79981350</v>
      </c>
      <c r="H388" s="1991">
        <v>38075</v>
      </c>
      <c r="I388" s="1991">
        <v>38129</v>
      </c>
      <c r="J388" s="1991">
        <v>38073</v>
      </c>
      <c r="K388" s="1990">
        <v>2100</v>
      </c>
      <c r="L388" s="1990">
        <v>2375</v>
      </c>
      <c r="M388" s="1990">
        <v>2100</v>
      </c>
      <c r="N388" s="1990" t="s">
        <v>1052</v>
      </c>
      <c r="O388" s="1990" t="s">
        <v>8287</v>
      </c>
      <c r="P388" s="1990" t="s">
        <v>927</v>
      </c>
      <c r="Q388" s="1990" t="s">
        <v>1143</v>
      </c>
      <c r="R388" s="1990" t="s">
        <v>1054</v>
      </c>
    </row>
    <row r="389" spans="1:18" ht="30">
      <c r="A389" s="1990" t="s">
        <v>1048</v>
      </c>
      <c r="B389" s="1990" t="s">
        <v>1239</v>
      </c>
      <c r="C389" s="1990" t="s">
        <v>1050</v>
      </c>
      <c r="D389" s="1990" t="s">
        <v>972</v>
      </c>
      <c r="E389" s="1990" t="s">
        <v>1054</v>
      </c>
      <c r="F389" s="1991">
        <v>36271</v>
      </c>
      <c r="G389" s="1991">
        <v>72542375</v>
      </c>
      <c r="H389" s="1991">
        <v>35899</v>
      </c>
      <c r="I389" s="1991">
        <v>36859</v>
      </c>
      <c r="J389" s="1991">
        <v>35589</v>
      </c>
      <c r="K389" s="1990">
        <v>2000</v>
      </c>
      <c r="L389" s="1990">
        <v>6800</v>
      </c>
      <c r="M389" s="1990">
        <v>2000</v>
      </c>
      <c r="N389" s="1990" t="s">
        <v>1052</v>
      </c>
      <c r="O389" s="1990" t="s">
        <v>8287</v>
      </c>
      <c r="P389" s="1990" t="s">
        <v>972</v>
      </c>
      <c r="Q389" s="1990" t="s">
        <v>1240</v>
      </c>
      <c r="R389" s="1990" t="s">
        <v>1054</v>
      </c>
    </row>
    <row r="390" spans="1:18">
      <c r="A390" s="1990" t="s">
        <v>1175</v>
      </c>
      <c r="B390" s="1990" t="s">
        <v>1303</v>
      </c>
      <c r="C390" s="1990" t="s">
        <v>1050</v>
      </c>
      <c r="D390" s="1990" t="s">
        <v>970</v>
      </c>
      <c r="E390" s="1990" t="s">
        <v>1054</v>
      </c>
      <c r="F390" s="1991">
        <v>72599</v>
      </c>
      <c r="G390" s="1991">
        <v>3629950</v>
      </c>
      <c r="H390" s="1991">
        <v>72599</v>
      </c>
      <c r="I390" s="1991">
        <v>72599</v>
      </c>
      <c r="J390" s="1991">
        <v>60020</v>
      </c>
      <c r="K390" s="1990">
        <v>50</v>
      </c>
      <c r="L390" s="1991">
        <v>140</v>
      </c>
      <c r="M390" s="1991">
        <v>50</v>
      </c>
      <c r="N390" s="1990" t="s">
        <v>1052</v>
      </c>
      <c r="O390" s="1990" t="s">
        <v>8287</v>
      </c>
      <c r="P390" s="1990" t="s">
        <v>970</v>
      </c>
      <c r="Q390" s="1990" t="s">
        <v>1209</v>
      </c>
      <c r="R390" s="1990" t="s">
        <v>1054</v>
      </c>
    </row>
    <row r="391" spans="1:18" ht="30">
      <c r="A391" s="1990" t="s">
        <v>1179</v>
      </c>
      <c r="B391" s="1990" t="s">
        <v>1224</v>
      </c>
      <c r="C391" s="1990" t="s">
        <v>1050</v>
      </c>
      <c r="D391" s="1990" t="s">
        <v>974</v>
      </c>
      <c r="E391" s="1990" t="s">
        <v>1054</v>
      </c>
      <c r="F391" s="1991">
        <v>84759</v>
      </c>
      <c r="G391" s="1991">
        <v>59331620</v>
      </c>
      <c r="H391" s="1991">
        <v>84339</v>
      </c>
      <c r="I391" s="1991">
        <v>85209</v>
      </c>
      <c r="J391" s="1991">
        <v>78418</v>
      </c>
      <c r="K391" s="1990">
        <v>700</v>
      </c>
      <c r="L391" s="1990">
        <v>1040</v>
      </c>
      <c r="M391" s="1990">
        <v>700</v>
      </c>
      <c r="N391" s="1990" t="s">
        <v>1052</v>
      </c>
      <c r="O391" s="1990" t="s">
        <v>8287</v>
      </c>
      <c r="P391" s="1990" t="s">
        <v>974</v>
      </c>
      <c r="Q391" s="1990" t="s">
        <v>1223</v>
      </c>
      <c r="R391" s="1990" t="s">
        <v>1054</v>
      </c>
    </row>
    <row r="392" spans="1:18">
      <c r="A392" s="1990" t="s">
        <v>1192</v>
      </c>
      <c r="B392" s="1990" t="s">
        <v>1231</v>
      </c>
      <c r="C392" s="1990" t="s">
        <v>1050</v>
      </c>
      <c r="D392" s="1990" t="s">
        <v>913</v>
      </c>
      <c r="E392" s="1990" t="s">
        <v>1054</v>
      </c>
      <c r="F392" s="1991">
        <v>35198</v>
      </c>
      <c r="G392" s="1991">
        <v>52797500</v>
      </c>
      <c r="H392" s="1991">
        <v>35079</v>
      </c>
      <c r="I392" s="1991">
        <v>35699</v>
      </c>
      <c r="J392" s="1991">
        <v>28627</v>
      </c>
      <c r="K392" s="1990">
        <v>1500</v>
      </c>
      <c r="L392" s="1990">
        <v>4050</v>
      </c>
      <c r="M392" s="1990">
        <v>1500</v>
      </c>
      <c r="N392" s="1990" t="s">
        <v>1052</v>
      </c>
      <c r="O392" s="1990" t="s">
        <v>8287</v>
      </c>
      <c r="P392" s="1990" t="s">
        <v>913</v>
      </c>
      <c r="Q392" s="1990" t="s">
        <v>1090</v>
      </c>
      <c r="R392" s="1990" t="s">
        <v>1054</v>
      </c>
    </row>
    <row r="393" spans="1:18">
      <c r="A393" s="1990" t="s">
        <v>1151</v>
      </c>
      <c r="B393" s="1990" t="s">
        <v>1152</v>
      </c>
      <c r="C393" s="1990" t="s">
        <v>1050</v>
      </c>
      <c r="D393" s="1990" t="s">
        <v>905</v>
      </c>
      <c r="E393" s="1990" t="s">
        <v>1054</v>
      </c>
      <c r="F393" s="1991">
        <v>29462</v>
      </c>
      <c r="G393" s="1991">
        <v>64816750</v>
      </c>
      <c r="H393" s="1991">
        <v>29319</v>
      </c>
      <c r="I393" s="1991">
        <v>30109</v>
      </c>
      <c r="J393" s="1991">
        <v>28997</v>
      </c>
      <c r="K393" s="1991">
        <v>2200</v>
      </c>
      <c r="L393" s="1991">
        <v>3575</v>
      </c>
      <c r="M393" s="1991">
        <v>2200</v>
      </c>
      <c r="N393" s="1990" t="s">
        <v>1052</v>
      </c>
      <c r="O393" s="1990" t="s">
        <v>8287</v>
      </c>
      <c r="P393" s="1990" t="s">
        <v>905</v>
      </c>
      <c r="Q393" s="1990" t="s">
        <v>1053</v>
      </c>
      <c r="R393" s="1990" t="s">
        <v>1054</v>
      </c>
    </row>
    <row r="394" spans="1:18">
      <c r="A394" s="1990" t="s">
        <v>1192</v>
      </c>
      <c r="B394" s="1990" t="s">
        <v>1473</v>
      </c>
      <c r="C394" s="1990" t="s">
        <v>1050</v>
      </c>
      <c r="D394" s="1990" t="s">
        <v>931</v>
      </c>
      <c r="E394" s="1990" t="s">
        <v>1054</v>
      </c>
      <c r="F394" s="1991">
        <v>29724</v>
      </c>
      <c r="G394" s="1991">
        <v>29723500</v>
      </c>
      <c r="H394" s="1991">
        <v>29599</v>
      </c>
      <c r="I394" s="1991">
        <v>29919</v>
      </c>
      <c r="J394" s="1991">
        <v>28376</v>
      </c>
      <c r="K394" s="1990">
        <v>1000</v>
      </c>
      <c r="L394" s="1990">
        <v>1950</v>
      </c>
      <c r="M394" s="1990">
        <v>1000</v>
      </c>
      <c r="N394" s="1990" t="s">
        <v>1052</v>
      </c>
      <c r="O394" s="1990" t="s">
        <v>8287</v>
      </c>
      <c r="P394" s="1990" t="s">
        <v>931</v>
      </c>
      <c r="Q394" s="1990" t="s">
        <v>1053</v>
      </c>
      <c r="R394" s="1990" t="s">
        <v>1054</v>
      </c>
    </row>
    <row r="395" spans="1:18">
      <c r="A395" s="1990" t="s">
        <v>1153</v>
      </c>
      <c r="B395" s="1990" t="s">
        <v>1483</v>
      </c>
      <c r="C395" s="1990" t="s">
        <v>1050</v>
      </c>
      <c r="D395" s="1990" t="s">
        <v>913</v>
      </c>
      <c r="E395" s="1990" t="s">
        <v>1054</v>
      </c>
      <c r="F395" s="1991">
        <v>47824</v>
      </c>
      <c r="G395" s="1991">
        <v>47824330</v>
      </c>
      <c r="H395" s="1991">
        <v>47679</v>
      </c>
      <c r="I395" s="1991">
        <v>48539</v>
      </c>
      <c r="J395" s="1991">
        <v>39225</v>
      </c>
      <c r="K395" s="1990">
        <v>1000</v>
      </c>
      <c r="L395" s="1990">
        <v>2420</v>
      </c>
      <c r="M395" s="1990">
        <v>1000</v>
      </c>
      <c r="N395" s="1990" t="s">
        <v>1052</v>
      </c>
      <c r="O395" s="1990" t="s">
        <v>8287</v>
      </c>
      <c r="P395" s="1990" t="s">
        <v>913</v>
      </c>
      <c r="Q395" s="1990" t="s">
        <v>1090</v>
      </c>
      <c r="R395" s="1990" t="s">
        <v>1054</v>
      </c>
    </row>
    <row r="396" spans="1:18">
      <c r="A396" s="1990" t="s">
        <v>1146</v>
      </c>
      <c r="B396" s="1990" t="s">
        <v>1232</v>
      </c>
      <c r="C396" s="1990" t="s">
        <v>1050</v>
      </c>
      <c r="D396" s="1990" t="s">
        <v>913</v>
      </c>
      <c r="E396" s="1990" t="s">
        <v>1054</v>
      </c>
      <c r="F396" s="1991">
        <v>44549</v>
      </c>
      <c r="G396" s="1991">
        <v>44548725</v>
      </c>
      <c r="H396" s="1991">
        <v>44100</v>
      </c>
      <c r="I396" s="1991">
        <v>45199</v>
      </c>
      <c r="J396" s="1991">
        <v>35785</v>
      </c>
      <c r="K396" s="1991">
        <v>1000</v>
      </c>
      <c r="L396" s="1990">
        <v>2775</v>
      </c>
      <c r="M396" s="1990">
        <v>1000</v>
      </c>
      <c r="N396" s="1990" t="s">
        <v>1052</v>
      </c>
      <c r="O396" s="1990" t="s">
        <v>8287</v>
      </c>
      <c r="P396" s="1990" t="s">
        <v>913</v>
      </c>
      <c r="Q396" s="1990" t="s">
        <v>1090</v>
      </c>
      <c r="R396" s="1990" t="s">
        <v>1054</v>
      </c>
    </row>
    <row r="397" spans="1:18">
      <c r="A397" s="1990" t="s">
        <v>1146</v>
      </c>
      <c r="B397" s="1990" t="s">
        <v>1147</v>
      </c>
      <c r="C397" s="1990" t="s">
        <v>1050</v>
      </c>
      <c r="D397" s="1990" t="s">
        <v>915</v>
      </c>
      <c r="E397" s="1990" t="s">
        <v>1054</v>
      </c>
      <c r="F397" s="1991">
        <v>38928</v>
      </c>
      <c r="G397" s="1991">
        <v>233570360</v>
      </c>
      <c r="H397" s="1991">
        <v>38600</v>
      </c>
      <c r="I397" s="1991">
        <v>40119</v>
      </c>
      <c r="J397" s="1991">
        <v>35589</v>
      </c>
      <c r="K397" s="1991">
        <v>6000</v>
      </c>
      <c r="L397" s="1991">
        <v>13670</v>
      </c>
      <c r="M397" s="1991">
        <v>6000</v>
      </c>
      <c r="N397" s="1990" t="s">
        <v>1052</v>
      </c>
      <c r="O397" s="1990" t="s">
        <v>8287</v>
      </c>
      <c r="P397" s="1990" t="s">
        <v>915</v>
      </c>
      <c r="Q397" s="1990" t="s">
        <v>1053</v>
      </c>
      <c r="R397" s="1990" t="s">
        <v>1054</v>
      </c>
    </row>
    <row r="398" spans="1:18" ht="30">
      <c r="A398" s="1990" t="s">
        <v>1146</v>
      </c>
      <c r="B398" s="1990" t="s">
        <v>1197</v>
      </c>
      <c r="C398" s="1990" t="s">
        <v>1050</v>
      </c>
      <c r="D398" s="1990" t="s">
        <v>901</v>
      </c>
      <c r="E398" s="1990" t="s">
        <v>1054</v>
      </c>
      <c r="F398" s="1991">
        <v>35874</v>
      </c>
      <c r="G398" s="1991">
        <v>107623420</v>
      </c>
      <c r="H398" s="1991">
        <v>35675</v>
      </c>
      <c r="I398" s="1991">
        <v>36999</v>
      </c>
      <c r="J398" s="1991">
        <v>35675</v>
      </c>
      <c r="K398" s="1990">
        <v>3000</v>
      </c>
      <c r="L398" s="1990">
        <v>6830</v>
      </c>
      <c r="M398" s="1990">
        <v>3000</v>
      </c>
      <c r="N398" s="1990" t="s">
        <v>1052</v>
      </c>
      <c r="O398" s="1990" t="s">
        <v>8287</v>
      </c>
      <c r="P398" s="1990" t="s">
        <v>1198</v>
      </c>
      <c r="Q398" s="1990" t="s">
        <v>1053</v>
      </c>
      <c r="R398" s="1990" t="s">
        <v>1054</v>
      </c>
    </row>
    <row r="399" spans="1:18" ht="30">
      <c r="A399" s="1990" t="s">
        <v>1048</v>
      </c>
      <c r="B399" s="1990" t="s">
        <v>1208</v>
      </c>
      <c r="C399" s="1990" t="s">
        <v>1050</v>
      </c>
      <c r="D399" s="1990" t="s">
        <v>948</v>
      </c>
      <c r="E399" s="1990" t="s">
        <v>1054</v>
      </c>
      <c r="F399" s="1991">
        <v>40663</v>
      </c>
      <c r="G399" s="1991">
        <v>44729230</v>
      </c>
      <c r="H399" s="1991">
        <v>40399</v>
      </c>
      <c r="I399" s="1991">
        <v>40999</v>
      </c>
      <c r="J399" s="1991">
        <v>38479</v>
      </c>
      <c r="K399" s="1990">
        <v>1100</v>
      </c>
      <c r="L399" s="1990">
        <v>2160</v>
      </c>
      <c r="M399" s="1990">
        <v>1100</v>
      </c>
      <c r="N399" s="1990" t="s">
        <v>1052</v>
      </c>
      <c r="O399" s="1990" t="s">
        <v>8287</v>
      </c>
      <c r="P399" s="1990" t="s">
        <v>948</v>
      </c>
      <c r="Q399" s="1990" t="s">
        <v>1209</v>
      </c>
      <c r="R399" s="1990" t="s">
        <v>1054</v>
      </c>
    </row>
    <row r="400" spans="1:18">
      <c r="A400" s="1990" t="s">
        <v>1165</v>
      </c>
      <c r="B400" s="1990" t="s">
        <v>1166</v>
      </c>
      <c r="C400" s="1990" t="s">
        <v>1050</v>
      </c>
      <c r="D400" s="1990" t="s">
        <v>928</v>
      </c>
      <c r="E400" s="1990" t="s">
        <v>1054</v>
      </c>
      <c r="F400" s="1991">
        <v>36302</v>
      </c>
      <c r="G400" s="1991">
        <v>18151050</v>
      </c>
      <c r="H400" s="1991">
        <v>36259</v>
      </c>
      <c r="I400" s="1991">
        <v>36399</v>
      </c>
      <c r="J400" s="1991">
        <v>36251</v>
      </c>
      <c r="K400" s="1991">
        <v>500</v>
      </c>
      <c r="L400" s="1991">
        <v>525</v>
      </c>
      <c r="M400" s="1991">
        <v>500</v>
      </c>
      <c r="N400" s="1990" t="s">
        <v>1052</v>
      </c>
      <c r="O400" s="1990" t="s">
        <v>8287</v>
      </c>
      <c r="P400" s="1990" t="s">
        <v>928</v>
      </c>
      <c r="Q400" s="1990" t="s">
        <v>1053</v>
      </c>
      <c r="R400" s="1990" t="s">
        <v>1054</v>
      </c>
    </row>
    <row r="401" spans="1:18" ht="30">
      <c r="A401" s="1990" t="s">
        <v>1048</v>
      </c>
      <c r="B401" s="1990" t="s">
        <v>1291</v>
      </c>
      <c r="C401" s="1990" t="s">
        <v>1050</v>
      </c>
      <c r="D401" s="1990" t="s">
        <v>934</v>
      </c>
      <c r="E401" s="1990" t="s">
        <v>1054</v>
      </c>
      <c r="F401" s="1991">
        <v>35815</v>
      </c>
      <c r="G401" s="1991">
        <v>35814800</v>
      </c>
      <c r="H401" s="1991">
        <v>35699</v>
      </c>
      <c r="I401" s="1991">
        <v>36110</v>
      </c>
      <c r="J401" s="1991">
        <v>35589</v>
      </c>
      <c r="K401" s="1990">
        <v>1000</v>
      </c>
      <c r="L401" s="1990">
        <v>2100</v>
      </c>
      <c r="M401" s="1990">
        <v>1000</v>
      </c>
      <c r="N401" s="1990" t="s">
        <v>1052</v>
      </c>
      <c r="O401" s="1990" t="s">
        <v>8287</v>
      </c>
      <c r="P401" s="1990" t="s">
        <v>934</v>
      </c>
      <c r="Q401" s="1990" t="s">
        <v>1292</v>
      </c>
      <c r="R401" s="1990" t="s">
        <v>1054</v>
      </c>
    </row>
    <row r="402" spans="1:18">
      <c r="A402" s="1990" t="s">
        <v>1177</v>
      </c>
      <c r="B402" s="1990" t="s">
        <v>1230</v>
      </c>
      <c r="C402" s="1990" t="s">
        <v>1050</v>
      </c>
      <c r="D402" s="1990" t="s">
        <v>913</v>
      </c>
      <c r="E402" s="1990" t="s">
        <v>1054</v>
      </c>
      <c r="F402" s="1991">
        <v>58911</v>
      </c>
      <c r="G402" s="1991">
        <v>58910950</v>
      </c>
      <c r="H402" s="1991">
        <v>58679</v>
      </c>
      <c r="I402" s="1991">
        <v>60059</v>
      </c>
      <c r="J402" s="1991">
        <v>51145</v>
      </c>
      <c r="K402" s="1990">
        <v>1000</v>
      </c>
      <c r="L402" s="1991">
        <v>2425</v>
      </c>
      <c r="M402" s="1991">
        <v>1000</v>
      </c>
      <c r="N402" s="1990" t="s">
        <v>1052</v>
      </c>
      <c r="O402" s="1990" t="s">
        <v>8287</v>
      </c>
      <c r="P402" s="1990" t="s">
        <v>913</v>
      </c>
      <c r="Q402" s="1990" t="s">
        <v>1090</v>
      </c>
      <c r="R402" s="1990" t="s">
        <v>1054</v>
      </c>
    </row>
    <row r="403" spans="1:18">
      <c r="A403" s="1990" t="s">
        <v>1219</v>
      </c>
      <c r="B403" s="1990" t="s">
        <v>1220</v>
      </c>
      <c r="C403" s="1990" t="s">
        <v>1050</v>
      </c>
      <c r="D403" s="1990" t="s">
        <v>903</v>
      </c>
      <c r="E403" s="1990" t="s">
        <v>1054</v>
      </c>
      <c r="F403" s="1991">
        <v>30324</v>
      </c>
      <c r="G403" s="1991">
        <v>83390500</v>
      </c>
      <c r="H403" s="1991">
        <v>29889</v>
      </c>
      <c r="I403" s="1991">
        <v>30777</v>
      </c>
      <c r="J403" s="1991">
        <v>26663</v>
      </c>
      <c r="K403" s="1991">
        <v>2750</v>
      </c>
      <c r="L403" s="1991">
        <v>5075</v>
      </c>
      <c r="M403" s="1991">
        <v>2750</v>
      </c>
      <c r="N403" s="1990" t="s">
        <v>1052</v>
      </c>
      <c r="O403" s="1990" t="s">
        <v>8287</v>
      </c>
      <c r="P403" s="1990" t="s">
        <v>903</v>
      </c>
      <c r="Q403" s="1990" t="s">
        <v>1218</v>
      </c>
      <c r="R403" s="1990" t="s">
        <v>1054</v>
      </c>
    </row>
    <row r="404" spans="1:18">
      <c r="A404" s="1990" t="s">
        <v>1159</v>
      </c>
      <c r="B404" s="1990" t="s">
        <v>1190</v>
      </c>
      <c r="C404" s="1990" t="s">
        <v>1050</v>
      </c>
      <c r="D404" s="1990" t="s">
        <v>930</v>
      </c>
      <c r="E404" s="1990" t="s">
        <v>1054</v>
      </c>
      <c r="F404" s="1991">
        <v>36199</v>
      </c>
      <c r="G404" s="1991">
        <v>10859800</v>
      </c>
      <c r="H404" s="1991">
        <v>36119</v>
      </c>
      <c r="I404" s="1991">
        <v>36450</v>
      </c>
      <c r="J404" s="1991">
        <v>35589</v>
      </c>
      <c r="K404" s="1990">
        <v>300</v>
      </c>
      <c r="L404" s="1990">
        <v>525</v>
      </c>
      <c r="M404" s="1990">
        <v>300</v>
      </c>
      <c r="N404" s="1990" t="s">
        <v>1052</v>
      </c>
      <c r="O404" s="1990" t="s">
        <v>8287</v>
      </c>
      <c r="P404" s="1990" t="s">
        <v>930</v>
      </c>
      <c r="Q404" s="1990" t="s">
        <v>1053</v>
      </c>
      <c r="R404" s="1990" t="s">
        <v>1054</v>
      </c>
    </row>
    <row r="405" spans="1:18">
      <c r="A405" s="1990" t="s">
        <v>1185</v>
      </c>
      <c r="B405" s="1990" t="s">
        <v>1186</v>
      </c>
      <c r="C405" s="1990" t="s">
        <v>1050</v>
      </c>
      <c r="D405" s="1990" t="s">
        <v>897</v>
      </c>
      <c r="E405" s="1990" t="s">
        <v>1054</v>
      </c>
      <c r="F405" s="1991">
        <v>28973</v>
      </c>
      <c r="G405" s="1991">
        <v>21729750</v>
      </c>
      <c r="H405" s="1991">
        <v>28899</v>
      </c>
      <c r="I405" s="1991">
        <v>29339</v>
      </c>
      <c r="J405" s="1991">
        <v>26798</v>
      </c>
      <c r="K405" s="1991">
        <v>750</v>
      </c>
      <c r="L405" s="1991">
        <v>1425</v>
      </c>
      <c r="M405" s="1991">
        <v>750</v>
      </c>
      <c r="N405" s="1990" t="s">
        <v>1052</v>
      </c>
      <c r="O405" s="1990" t="s">
        <v>8287</v>
      </c>
      <c r="P405" s="1990" t="s">
        <v>897</v>
      </c>
      <c r="Q405" s="1990" t="s">
        <v>1053</v>
      </c>
      <c r="R405" s="1990" t="s">
        <v>1054</v>
      </c>
    </row>
    <row r="406" spans="1:18" ht="30">
      <c r="A406" s="1990" t="s">
        <v>1173</v>
      </c>
      <c r="B406" s="1990" t="s">
        <v>1225</v>
      </c>
      <c r="C406" s="1990" t="s">
        <v>1050</v>
      </c>
      <c r="D406" s="1990" t="s">
        <v>974</v>
      </c>
      <c r="E406" s="1990" t="s">
        <v>1054</v>
      </c>
      <c r="F406" s="1991">
        <v>88331</v>
      </c>
      <c r="G406" s="1991">
        <v>22082750</v>
      </c>
      <c r="H406" s="1991">
        <v>87889</v>
      </c>
      <c r="I406" s="1991">
        <v>88799</v>
      </c>
      <c r="J406" s="1991">
        <v>82309</v>
      </c>
      <c r="K406" s="1991">
        <v>250</v>
      </c>
      <c r="L406" s="1990">
        <v>550</v>
      </c>
      <c r="M406" s="1990">
        <v>250</v>
      </c>
      <c r="N406" s="1990" t="s">
        <v>1052</v>
      </c>
      <c r="O406" s="1990" t="s">
        <v>8287</v>
      </c>
      <c r="P406" s="1990" t="s">
        <v>974</v>
      </c>
      <c r="Q406" s="1990" t="s">
        <v>1223</v>
      </c>
      <c r="R406" s="1990" t="s">
        <v>1054</v>
      </c>
    </row>
    <row r="407" spans="1:18">
      <c r="A407" s="1990" t="s">
        <v>1183</v>
      </c>
      <c r="B407" s="1990" t="s">
        <v>1184</v>
      </c>
      <c r="C407" s="1990" t="s">
        <v>1050</v>
      </c>
      <c r="D407" s="1990" t="s">
        <v>904</v>
      </c>
      <c r="E407" s="1990" t="s">
        <v>1054</v>
      </c>
      <c r="F407" s="1991">
        <v>68800</v>
      </c>
      <c r="G407" s="1991">
        <v>137600550</v>
      </c>
      <c r="H407" s="1991">
        <v>68299</v>
      </c>
      <c r="I407" s="1991">
        <v>69599</v>
      </c>
      <c r="J407" s="1991">
        <v>62884</v>
      </c>
      <c r="K407" s="1991">
        <v>2000</v>
      </c>
      <c r="L407" s="1991">
        <v>3825</v>
      </c>
      <c r="M407" s="1991">
        <v>2000</v>
      </c>
      <c r="N407" s="1990" t="s">
        <v>1052</v>
      </c>
      <c r="O407" s="1990" t="s">
        <v>8287</v>
      </c>
      <c r="P407" s="1990" t="s">
        <v>904</v>
      </c>
      <c r="Q407" s="1990" t="s">
        <v>1053</v>
      </c>
      <c r="R407" s="1990" t="s">
        <v>1054</v>
      </c>
    </row>
    <row r="408" spans="1:18">
      <c r="A408" s="1990" t="s">
        <v>1048</v>
      </c>
      <c r="B408" s="1990" t="s">
        <v>1233</v>
      </c>
      <c r="C408" s="1990" t="s">
        <v>1050</v>
      </c>
      <c r="D408" s="1990" t="s">
        <v>913</v>
      </c>
      <c r="E408" s="1990" t="s">
        <v>1054</v>
      </c>
      <c r="F408" s="1991">
        <v>43137</v>
      </c>
      <c r="G408" s="1991">
        <v>215686100</v>
      </c>
      <c r="H408" s="1991">
        <v>42809</v>
      </c>
      <c r="I408" s="1991">
        <v>44659</v>
      </c>
      <c r="J408" s="1991">
        <v>35873</v>
      </c>
      <c r="K408" s="1990">
        <v>5000</v>
      </c>
      <c r="L408" s="1990">
        <v>10575</v>
      </c>
      <c r="M408" s="1990">
        <v>5000</v>
      </c>
      <c r="N408" s="1990" t="s">
        <v>1052</v>
      </c>
      <c r="O408" s="1990" t="s">
        <v>8287</v>
      </c>
      <c r="P408" s="1990" t="s">
        <v>913</v>
      </c>
      <c r="Q408" s="1990" t="s">
        <v>1090</v>
      </c>
      <c r="R408" s="1990" t="s">
        <v>1054</v>
      </c>
    </row>
    <row r="409" spans="1:18" ht="30">
      <c r="A409" s="1990" t="s">
        <v>1192</v>
      </c>
      <c r="B409" s="1990" t="s">
        <v>1284</v>
      </c>
      <c r="C409" s="1990" t="s">
        <v>1050</v>
      </c>
      <c r="D409" s="1990" t="s">
        <v>910</v>
      </c>
      <c r="E409" s="1990" t="s">
        <v>1054</v>
      </c>
      <c r="F409" s="1991">
        <v>31134</v>
      </c>
      <c r="G409" s="1991">
        <v>6226825</v>
      </c>
      <c r="H409" s="1991">
        <v>30710</v>
      </c>
      <c r="I409" s="1991">
        <v>31719</v>
      </c>
      <c r="J409" s="1991">
        <v>28223</v>
      </c>
      <c r="K409" s="1990">
        <v>200</v>
      </c>
      <c r="L409" s="1990">
        <v>325</v>
      </c>
      <c r="M409" s="1990">
        <v>200</v>
      </c>
      <c r="N409" s="1990" t="s">
        <v>1052</v>
      </c>
      <c r="O409" s="1990" t="s">
        <v>8287</v>
      </c>
      <c r="P409" s="1990" t="s">
        <v>1283</v>
      </c>
      <c r="Q409" s="1990" t="s">
        <v>1274</v>
      </c>
      <c r="R409" s="1990" t="s">
        <v>1054</v>
      </c>
    </row>
    <row r="410" spans="1:18">
      <c r="A410" s="1990" t="s">
        <v>1048</v>
      </c>
      <c r="B410" s="1990" t="s">
        <v>1148</v>
      </c>
      <c r="C410" s="1990" t="s">
        <v>1050</v>
      </c>
      <c r="D410" s="1990" t="s">
        <v>915</v>
      </c>
      <c r="E410" s="1990" t="s">
        <v>1054</v>
      </c>
      <c r="F410" s="1991">
        <v>38096</v>
      </c>
      <c r="G410" s="1991">
        <v>76192720</v>
      </c>
      <c r="H410" s="1991">
        <v>37699</v>
      </c>
      <c r="I410" s="1991">
        <v>38200</v>
      </c>
      <c r="J410" s="1991">
        <v>35589</v>
      </c>
      <c r="K410" s="1990">
        <v>2000</v>
      </c>
      <c r="L410" s="1990">
        <v>5430</v>
      </c>
      <c r="M410" s="1990">
        <v>2000</v>
      </c>
      <c r="N410" s="1990" t="s">
        <v>1052</v>
      </c>
      <c r="O410" s="1990" t="s">
        <v>8287</v>
      </c>
      <c r="P410" s="1990" t="s">
        <v>915</v>
      </c>
      <c r="Q410" s="1990" t="s">
        <v>1053</v>
      </c>
      <c r="R410" s="1990" t="s">
        <v>1054</v>
      </c>
    </row>
    <row r="411" spans="1:18">
      <c r="A411" s="1990" t="s">
        <v>1177</v>
      </c>
      <c r="B411" s="1990" t="s">
        <v>1477</v>
      </c>
      <c r="C411" s="1990" t="s">
        <v>1050</v>
      </c>
      <c r="D411" s="1990" t="s">
        <v>976</v>
      </c>
      <c r="E411" s="1990" t="s">
        <v>1054</v>
      </c>
      <c r="F411" s="1991">
        <v>76339</v>
      </c>
      <c r="G411" s="1991">
        <v>7633900</v>
      </c>
      <c r="H411" s="1991">
        <v>76339</v>
      </c>
      <c r="I411" s="1991">
        <v>76339</v>
      </c>
      <c r="J411" s="1991">
        <v>63372</v>
      </c>
      <c r="K411" s="1990">
        <v>100</v>
      </c>
      <c r="L411" s="1990">
        <v>330</v>
      </c>
      <c r="M411" s="1990">
        <v>100</v>
      </c>
      <c r="N411" s="1990" t="s">
        <v>1052</v>
      </c>
      <c r="O411" s="1990" t="s">
        <v>8287</v>
      </c>
      <c r="P411" s="1990" t="s">
        <v>976</v>
      </c>
      <c r="Q411" s="1990" t="s">
        <v>1132</v>
      </c>
      <c r="R411" s="1990" t="s">
        <v>1054</v>
      </c>
    </row>
    <row r="412" spans="1:18">
      <c r="A412" s="1990" t="s">
        <v>1072</v>
      </c>
      <c r="B412" s="1990" t="s">
        <v>1149</v>
      </c>
      <c r="C412" s="1990" t="s">
        <v>1050</v>
      </c>
      <c r="D412" s="1990" t="s">
        <v>900</v>
      </c>
      <c r="E412" s="1990" t="s">
        <v>1054</v>
      </c>
      <c r="F412" s="1991">
        <v>41823</v>
      </c>
      <c r="G412" s="1991">
        <v>83645360</v>
      </c>
      <c r="H412" s="1991">
        <v>41149</v>
      </c>
      <c r="I412" s="1991">
        <v>42880</v>
      </c>
      <c r="J412" s="1991">
        <v>39805</v>
      </c>
      <c r="K412" s="1990">
        <v>2000</v>
      </c>
      <c r="L412" s="1990">
        <v>3540</v>
      </c>
      <c r="M412" s="1990">
        <v>2000</v>
      </c>
      <c r="N412" s="1990" t="s">
        <v>1052</v>
      </c>
      <c r="O412" s="1990" t="s">
        <v>8287</v>
      </c>
      <c r="P412" s="1990" t="s">
        <v>900</v>
      </c>
      <c r="Q412" s="1990" t="s">
        <v>1053</v>
      </c>
      <c r="R412" s="1990" t="s">
        <v>1054</v>
      </c>
    </row>
    <row r="413" spans="1:18">
      <c r="A413" s="1990" t="s">
        <v>1048</v>
      </c>
      <c r="B413" s="1990" t="s">
        <v>1049</v>
      </c>
      <c r="C413" s="1990" t="s">
        <v>1050</v>
      </c>
      <c r="D413" s="1990" t="s">
        <v>912</v>
      </c>
      <c r="E413" s="1990" t="s">
        <v>1054</v>
      </c>
      <c r="F413" s="1991">
        <v>37785</v>
      </c>
      <c r="G413" s="1991">
        <v>41563900</v>
      </c>
      <c r="H413" s="1991">
        <v>37599</v>
      </c>
      <c r="I413" s="1991">
        <v>38059</v>
      </c>
      <c r="J413" s="1991">
        <v>35589</v>
      </c>
      <c r="K413" s="1990">
        <v>1100</v>
      </c>
      <c r="L413" s="1991">
        <v>2100</v>
      </c>
      <c r="M413" s="1991">
        <v>1100</v>
      </c>
      <c r="N413" s="1990" t="s">
        <v>1052</v>
      </c>
      <c r="O413" s="1990" t="s">
        <v>8287</v>
      </c>
      <c r="P413" s="1990" t="s">
        <v>912</v>
      </c>
      <c r="Q413" s="1990" t="s">
        <v>1053</v>
      </c>
      <c r="R413" s="1990" t="s">
        <v>1054</v>
      </c>
    </row>
    <row r="414" spans="1:18" ht="30">
      <c r="A414" s="1990" t="s">
        <v>1204</v>
      </c>
      <c r="B414" s="1990" t="s">
        <v>1222</v>
      </c>
      <c r="C414" s="1990" t="s">
        <v>1050</v>
      </c>
      <c r="D414" s="1990" t="s">
        <v>974</v>
      </c>
      <c r="E414" s="1990" t="s">
        <v>1054</v>
      </c>
      <c r="F414" s="1991">
        <v>90986</v>
      </c>
      <c r="G414" s="1991">
        <v>54591750</v>
      </c>
      <c r="H414" s="1991">
        <v>90199</v>
      </c>
      <c r="I414" s="1991">
        <v>91855</v>
      </c>
      <c r="J414" s="1991">
        <v>81353</v>
      </c>
      <c r="K414" s="1990">
        <v>600</v>
      </c>
      <c r="L414" s="1990">
        <v>1110</v>
      </c>
      <c r="M414" s="1990">
        <v>600</v>
      </c>
      <c r="N414" s="1990" t="s">
        <v>1052</v>
      </c>
      <c r="O414" s="1990" t="s">
        <v>8287</v>
      </c>
      <c r="P414" s="1990" t="s">
        <v>974</v>
      </c>
      <c r="Q414" s="1990" t="s">
        <v>1223</v>
      </c>
      <c r="R414" s="1990" t="s">
        <v>1054</v>
      </c>
    </row>
    <row r="415" spans="1:18" ht="30">
      <c r="A415" s="1990" t="s">
        <v>1072</v>
      </c>
      <c r="B415" s="1990" t="s">
        <v>1211</v>
      </c>
      <c r="C415" s="1990" t="s">
        <v>1050</v>
      </c>
      <c r="D415" s="1990" t="s">
        <v>948</v>
      </c>
      <c r="E415" s="1990" t="s">
        <v>1054</v>
      </c>
      <c r="F415" s="1991">
        <v>39919</v>
      </c>
      <c r="G415" s="1991">
        <v>23951160</v>
      </c>
      <c r="H415" s="1991">
        <v>39699</v>
      </c>
      <c r="I415" s="1991">
        <v>40169</v>
      </c>
      <c r="J415" s="1991">
        <v>37762</v>
      </c>
      <c r="K415" s="1990">
        <v>600</v>
      </c>
      <c r="L415" s="1991">
        <v>1420</v>
      </c>
      <c r="M415" s="1991">
        <v>600</v>
      </c>
      <c r="N415" s="1990" t="s">
        <v>1052</v>
      </c>
      <c r="O415" s="1990" t="s">
        <v>8287</v>
      </c>
      <c r="P415" s="1990" t="s">
        <v>948</v>
      </c>
      <c r="Q415" s="1990" t="s">
        <v>1209</v>
      </c>
      <c r="R415" s="1990" t="s">
        <v>1054</v>
      </c>
    </row>
    <row r="416" spans="1:18" ht="30">
      <c r="A416" s="1990" t="s">
        <v>1144</v>
      </c>
      <c r="B416" s="1990" t="s">
        <v>1243</v>
      </c>
      <c r="C416" s="1990" t="s">
        <v>1050</v>
      </c>
      <c r="D416" s="1990" t="s">
        <v>940</v>
      </c>
      <c r="E416" s="1990" t="s">
        <v>1054</v>
      </c>
      <c r="F416" s="1991">
        <v>47058</v>
      </c>
      <c r="G416" s="1991">
        <v>94116150</v>
      </c>
      <c r="H416" s="1991">
        <v>46499</v>
      </c>
      <c r="I416" s="1991">
        <v>47869</v>
      </c>
      <c r="J416" s="1991">
        <v>37547</v>
      </c>
      <c r="K416" s="1990">
        <v>2000</v>
      </c>
      <c r="L416" s="1990">
        <v>3925</v>
      </c>
      <c r="M416" s="1990">
        <v>2000</v>
      </c>
      <c r="N416" s="1990" t="s">
        <v>1052</v>
      </c>
      <c r="O416" s="1990" t="s">
        <v>8287</v>
      </c>
      <c r="P416" s="1990" t="s">
        <v>1244</v>
      </c>
      <c r="Q416" s="1990" t="s">
        <v>1075</v>
      </c>
      <c r="R416" s="1990" t="s">
        <v>1054</v>
      </c>
    </row>
    <row r="417" spans="1:18" ht="30">
      <c r="A417" s="1990" t="s">
        <v>1048</v>
      </c>
      <c r="B417" s="1990" t="s">
        <v>1286</v>
      </c>
      <c r="C417" s="1990" t="s">
        <v>1050</v>
      </c>
      <c r="D417" s="1990" t="s">
        <v>910</v>
      </c>
      <c r="E417" s="1990" t="s">
        <v>1054</v>
      </c>
      <c r="F417" s="1991">
        <v>36026</v>
      </c>
      <c r="G417" s="1991">
        <v>54038525</v>
      </c>
      <c r="H417" s="1991">
        <v>35859</v>
      </c>
      <c r="I417" s="1991">
        <v>36599</v>
      </c>
      <c r="J417" s="1991">
        <v>35589</v>
      </c>
      <c r="K417" s="1990">
        <v>1500</v>
      </c>
      <c r="L417" s="1990">
        <v>1900</v>
      </c>
      <c r="M417" s="1990">
        <v>1500</v>
      </c>
      <c r="N417" s="1990" t="s">
        <v>1052</v>
      </c>
      <c r="O417" s="1990" t="s">
        <v>8287</v>
      </c>
      <c r="P417" s="1990" t="s">
        <v>1283</v>
      </c>
      <c r="Q417" s="1990" t="s">
        <v>1274</v>
      </c>
      <c r="R417" s="1990" t="s">
        <v>1054</v>
      </c>
    </row>
    <row r="418" spans="1:18">
      <c r="A418" s="1990" t="s">
        <v>1146</v>
      </c>
      <c r="B418" s="1990" t="s">
        <v>1221</v>
      </c>
      <c r="C418" s="1990" t="s">
        <v>1050</v>
      </c>
      <c r="D418" s="1990" t="s">
        <v>903</v>
      </c>
      <c r="E418" s="1990" t="s">
        <v>1054</v>
      </c>
      <c r="F418" s="1991">
        <v>40835</v>
      </c>
      <c r="G418" s="1991">
        <v>326681225</v>
      </c>
      <c r="H418" s="1991">
        <v>40709</v>
      </c>
      <c r="I418" s="1991">
        <v>41555</v>
      </c>
      <c r="J418" s="1991">
        <v>40342</v>
      </c>
      <c r="K418" s="1990">
        <v>8000</v>
      </c>
      <c r="L418" s="1990">
        <v>9900</v>
      </c>
      <c r="M418" s="1990">
        <v>8000</v>
      </c>
      <c r="N418" s="1990" t="s">
        <v>1052</v>
      </c>
      <c r="O418" s="1990" t="s">
        <v>8287</v>
      </c>
      <c r="P418" s="1990" t="s">
        <v>903</v>
      </c>
      <c r="Q418" s="1990" t="s">
        <v>1218</v>
      </c>
      <c r="R418" s="1990" t="s">
        <v>1054</v>
      </c>
    </row>
    <row r="419" spans="1:18">
      <c r="A419" s="1990" t="s">
        <v>1146</v>
      </c>
      <c r="B419" s="1990" t="s">
        <v>1293</v>
      </c>
      <c r="C419" s="1990" t="s">
        <v>1050</v>
      </c>
      <c r="D419" s="1990" t="s">
        <v>918</v>
      </c>
      <c r="E419" s="1990" t="s">
        <v>1054</v>
      </c>
      <c r="F419" s="1991">
        <v>37133</v>
      </c>
      <c r="G419" s="1991">
        <v>482730725</v>
      </c>
      <c r="H419" s="1991">
        <v>36900</v>
      </c>
      <c r="I419" s="1991">
        <v>37669</v>
      </c>
      <c r="J419" s="1991">
        <v>36176</v>
      </c>
      <c r="K419" s="1990">
        <v>13000</v>
      </c>
      <c r="L419" s="1990">
        <v>14425</v>
      </c>
      <c r="M419" s="1990">
        <v>13000</v>
      </c>
      <c r="N419" s="1990" t="s">
        <v>1052</v>
      </c>
      <c r="O419" s="1990" t="s">
        <v>8287</v>
      </c>
      <c r="P419" s="1990" t="s">
        <v>918</v>
      </c>
      <c r="Q419" s="1990" t="s">
        <v>1114</v>
      </c>
      <c r="R419" s="1990" t="s">
        <v>1054</v>
      </c>
    </row>
    <row r="420" spans="1:18">
      <c r="A420" s="1990" t="s">
        <v>1153</v>
      </c>
      <c r="B420" s="1990" t="s">
        <v>1154</v>
      </c>
      <c r="C420" s="1990" t="s">
        <v>1050</v>
      </c>
      <c r="D420" s="1990" t="s">
        <v>905</v>
      </c>
      <c r="E420" s="1990" t="s">
        <v>1054</v>
      </c>
      <c r="F420" s="1991">
        <v>40991</v>
      </c>
      <c r="G420" s="1991">
        <v>131172600</v>
      </c>
      <c r="H420" s="1991">
        <v>40909</v>
      </c>
      <c r="I420" s="1991">
        <v>41899</v>
      </c>
      <c r="J420" s="1991">
        <v>38789</v>
      </c>
      <c r="K420" s="1990">
        <v>3200</v>
      </c>
      <c r="L420" s="1990">
        <v>4190</v>
      </c>
      <c r="M420" s="1990">
        <v>3200</v>
      </c>
      <c r="N420" s="1990" t="s">
        <v>1052</v>
      </c>
      <c r="O420" s="1990" t="s">
        <v>8287</v>
      </c>
      <c r="P420" s="1990" t="s">
        <v>905</v>
      </c>
      <c r="Q420" s="1990" t="s">
        <v>1053</v>
      </c>
      <c r="R420" s="1990" t="s">
        <v>1054</v>
      </c>
    </row>
    <row r="421" spans="1:18">
      <c r="A421" s="1990" t="s">
        <v>1159</v>
      </c>
      <c r="B421" s="1990" t="s">
        <v>1265</v>
      </c>
      <c r="C421" s="1990" t="s">
        <v>1050</v>
      </c>
      <c r="D421" s="1990" t="s">
        <v>947</v>
      </c>
      <c r="E421" s="1990" t="s">
        <v>1054</v>
      </c>
      <c r="F421" s="1991">
        <v>48016</v>
      </c>
      <c r="G421" s="1991">
        <v>81627500</v>
      </c>
      <c r="H421" s="1991">
        <v>45200</v>
      </c>
      <c r="I421" s="1991">
        <v>49000</v>
      </c>
      <c r="J421" s="1991">
        <v>40692</v>
      </c>
      <c r="K421" s="1990">
        <v>1700</v>
      </c>
      <c r="L421" s="1991">
        <v>6000</v>
      </c>
      <c r="M421" s="1991">
        <v>1700</v>
      </c>
      <c r="N421" s="1990" t="s">
        <v>1052</v>
      </c>
      <c r="O421" s="1990" t="s">
        <v>8287</v>
      </c>
      <c r="P421" s="1990" t="s">
        <v>1264</v>
      </c>
      <c r="Q421" s="1990" t="s">
        <v>1078</v>
      </c>
      <c r="R421" s="1990" t="s">
        <v>1054</v>
      </c>
    </row>
    <row r="422" spans="1:18" ht="30">
      <c r="A422" s="1990" t="s">
        <v>1072</v>
      </c>
      <c r="B422" s="1990" t="s">
        <v>1309</v>
      </c>
      <c r="C422" s="1990" t="s">
        <v>1050</v>
      </c>
      <c r="D422" s="1990" t="s">
        <v>942</v>
      </c>
      <c r="E422" s="1990" t="s">
        <v>1054</v>
      </c>
      <c r="F422" s="1991">
        <v>40831</v>
      </c>
      <c r="G422" s="1991">
        <v>9391220</v>
      </c>
      <c r="H422" s="1991">
        <v>40444</v>
      </c>
      <c r="I422" s="1991">
        <v>41239</v>
      </c>
      <c r="J422" s="1991">
        <v>37821</v>
      </c>
      <c r="K422" s="1990">
        <v>230</v>
      </c>
      <c r="L422" s="1990">
        <v>1380</v>
      </c>
      <c r="M422" s="1990">
        <v>230</v>
      </c>
      <c r="N422" s="1990" t="s">
        <v>1052</v>
      </c>
      <c r="O422" s="1990" t="s">
        <v>8287</v>
      </c>
      <c r="P422" s="1990" t="s">
        <v>1117</v>
      </c>
      <c r="Q422" s="1990" t="s">
        <v>1118</v>
      </c>
      <c r="R422" s="1990" t="s">
        <v>1054</v>
      </c>
    </row>
    <row r="423" spans="1:18">
      <c r="A423" s="1990" t="s">
        <v>1204</v>
      </c>
      <c r="B423" s="1990" t="s">
        <v>1475</v>
      </c>
      <c r="C423" s="1990" t="s">
        <v>1050</v>
      </c>
      <c r="D423" s="1990" t="s">
        <v>976</v>
      </c>
      <c r="E423" s="1990" t="s">
        <v>1054</v>
      </c>
      <c r="F423" s="1991">
        <v>70201</v>
      </c>
      <c r="G423" s="1991">
        <v>35100475</v>
      </c>
      <c r="H423" s="1991">
        <v>69900</v>
      </c>
      <c r="I423" s="1991">
        <v>71339</v>
      </c>
      <c r="J423" s="1991">
        <v>65616</v>
      </c>
      <c r="K423" s="1990">
        <v>500</v>
      </c>
      <c r="L423" s="1990">
        <v>1100</v>
      </c>
      <c r="M423" s="1990">
        <v>500</v>
      </c>
      <c r="N423" s="1990" t="s">
        <v>1052</v>
      </c>
      <c r="O423" s="1990" t="s">
        <v>8287</v>
      </c>
      <c r="P423" s="1990" t="s">
        <v>976</v>
      </c>
      <c r="Q423" s="1990" t="s">
        <v>1132</v>
      </c>
      <c r="R423" s="1990" t="s">
        <v>1054</v>
      </c>
    </row>
    <row r="424" spans="1:18" ht="30">
      <c r="A424" s="1990" t="s">
        <v>1155</v>
      </c>
      <c r="B424" s="1990" t="s">
        <v>1156</v>
      </c>
      <c r="C424" s="1990" t="s">
        <v>1050</v>
      </c>
      <c r="D424" s="1990" t="s">
        <v>905</v>
      </c>
      <c r="E424" s="1990" t="s">
        <v>1054</v>
      </c>
      <c r="F424" s="1991">
        <v>37360</v>
      </c>
      <c r="G424" s="1991">
        <v>33624100</v>
      </c>
      <c r="H424" s="1991">
        <v>37319</v>
      </c>
      <c r="I424" s="1991">
        <v>37869</v>
      </c>
      <c r="J424" s="1991">
        <v>35589</v>
      </c>
      <c r="K424" s="1991">
        <v>900</v>
      </c>
      <c r="L424" s="1991">
        <v>1250</v>
      </c>
      <c r="M424" s="1991">
        <v>900</v>
      </c>
      <c r="N424" s="1990" t="s">
        <v>1052</v>
      </c>
      <c r="O424" s="1990" t="s">
        <v>8287</v>
      </c>
      <c r="P424" s="1990" t="s">
        <v>905</v>
      </c>
      <c r="Q424" s="1990" t="s">
        <v>1053</v>
      </c>
      <c r="R424" s="1990" t="s">
        <v>1054</v>
      </c>
    </row>
    <row r="425" spans="1:18">
      <c r="A425" s="1990" t="s">
        <v>1177</v>
      </c>
      <c r="B425" s="1990" t="s">
        <v>1301</v>
      </c>
      <c r="C425" s="1990" t="s">
        <v>1050</v>
      </c>
      <c r="D425" s="1990" t="s">
        <v>975</v>
      </c>
      <c r="E425" s="1990" t="s">
        <v>1054</v>
      </c>
      <c r="F425" s="1991">
        <v>65915</v>
      </c>
      <c r="G425" s="1991">
        <v>46140700</v>
      </c>
      <c r="H425" s="1991">
        <v>65599</v>
      </c>
      <c r="I425" s="1991">
        <v>66099</v>
      </c>
      <c r="J425" s="1991">
        <v>58627</v>
      </c>
      <c r="K425" s="1991">
        <v>700</v>
      </c>
      <c r="L425" s="1991">
        <v>1725</v>
      </c>
      <c r="M425" s="1991">
        <v>700</v>
      </c>
      <c r="N425" s="1990" t="s">
        <v>1052</v>
      </c>
      <c r="O425" s="1990" t="s">
        <v>8287</v>
      </c>
      <c r="P425" s="1990" t="s">
        <v>975</v>
      </c>
      <c r="Q425" s="1990" t="s">
        <v>1114</v>
      </c>
      <c r="R425" s="1990" t="s">
        <v>1067</v>
      </c>
    </row>
    <row r="426" spans="1:18" ht="30">
      <c r="A426" s="1990" t="s">
        <v>1279</v>
      </c>
      <c r="B426" s="1990" t="s">
        <v>1280</v>
      </c>
      <c r="C426" s="1990" t="s">
        <v>1050</v>
      </c>
      <c r="D426" s="1990" t="s">
        <v>926</v>
      </c>
      <c r="E426" s="1990" t="s">
        <v>1054</v>
      </c>
      <c r="F426" s="1991">
        <v>28465</v>
      </c>
      <c r="G426" s="1991">
        <v>56930000</v>
      </c>
      <c r="H426" s="1991">
        <v>28399</v>
      </c>
      <c r="I426" s="1991">
        <v>29059</v>
      </c>
      <c r="J426" s="1991">
        <v>26557</v>
      </c>
      <c r="K426" s="1991">
        <v>2000</v>
      </c>
      <c r="L426" s="1991">
        <v>3600</v>
      </c>
      <c r="M426" s="1991">
        <v>2000</v>
      </c>
      <c r="N426" s="1990" t="s">
        <v>1052</v>
      </c>
      <c r="O426" s="1990" t="s">
        <v>8287</v>
      </c>
      <c r="P426" s="1990" t="s">
        <v>926</v>
      </c>
      <c r="Q426" s="1990" t="s">
        <v>1252</v>
      </c>
      <c r="R426" s="1990" t="s">
        <v>1067</v>
      </c>
    </row>
    <row r="427" spans="1:18">
      <c r="A427" s="1990" t="s">
        <v>1179</v>
      </c>
      <c r="B427" s="1990" t="s">
        <v>1307</v>
      </c>
      <c r="C427" s="1990" t="s">
        <v>1050</v>
      </c>
      <c r="D427" s="1990" t="s">
        <v>975</v>
      </c>
      <c r="E427" s="1990" t="s">
        <v>1054</v>
      </c>
      <c r="F427" s="1991">
        <v>66124</v>
      </c>
      <c r="G427" s="1991">
        <v>46286675</v>
      </c>
      <c r="H427" s="1991">
        <v>65669</v>
      </c>
      <c r="I427" s="1991">
        <v>66599</v>
      </c>
      <c r="J427" s="1991">
        <v>59562</v>
      </c>
      <c r="K427" s="1991">
        <v>700</v>
      </c>
      <c r="L427" s="1991">
        <v>1850</v>
      </c>
      <c r="M427" s="1991">
        <v>700</v>
      </c>
      <c r="N427" s="1990" t="s">
        <v>1052</v>
      </c>
      <c r="O427" s="1990" t="s">
        <v>8287</v>
      </c>
      <c r="P427" s="1990" t="s">
        <v>975</v>
      </c>
      <c r="Q427" s="1990" t="s">
        <v>1114</v>
      </c>
      <c r="R427" s="1990" t="s">
        <v>1067</v>
      </c>
    </row>
    <row r="428" spans="1:18" ht="30">
      <c r="A428" s="1990" t="s">
        <v>1070</v>
      </c>
      <c r="B428" s="1990" t="s">
        <v>1237</v>
      </c>
      <c r="C428" s="1990" t="s">
        <v>1050</v>
      </c>
      <c r="D428" s="1990" t="s">
        <v>957</v>
      </c>
      <c r="E428" s="1990" t="s">
        <v>1054</v>
      </c>
      <c r="F428" s="1991">
        <v>27229</v>
      </c>
      <c r="G428" s="1991">
        <v>5445825</v>
      </c>
      <c r="H428" s="1991">
        <v>27199</v>
      </c>
      <c r="I428" s="1991">
        <v>27440</v>
      </c>
      <c r="J428" s="1991">
        <v>25160</v>
      </c>
      <c r="K428" s="1991">
        <v>200</v>
      </c>
      <c r="L428" s="1991">
        <v>525</v>
      </c>
      <c r="M428" s="1991">
        <v>200</v>
      </c>
      <c r="N428" s="1990" t="s">
        <v>1052</v>
      </c>
      <c r="O428" s="1990" t="s">
        <v>8287</v>
      </c>
      <c r="P428" s="1990" t="s">
        <v>957</v>
      </c>
      <c r="Q428" s="1990" t="s">
        <v>1090</v>
      </c>
      <c r="R428" s="1990" t="s">
        <v>1067</v>
      </c>
    </row>
    <row r="429" spans="1:18">
      <c r="A429" s="1990" t="s">
        <v>1204</v>
      </c>
      <c r="B429" s="1990" t="s">
        <v>1308</v>
      </c>
      <c r="C429" s="1990" t="s">
        <v>1050</v>
      </c>
      <c r="D429" s="1990" t="s">
        <v>975</v>
      </c>
      <c r="E429" s="1990" t="s">
        <v>1054</v>
      </c>
      <c r="F429" s="1991">
        <v>67218</v>
      </c>
      <c r="G429" s="1991">
        <v>87383250</v>
      </c>
      <c r="H429" s="1991">
        <v>66500</v>
      </c>
      <c r="I429" s="1991">
        <v>68000</v>
      </c>
      <c r="J429" s="1991">
        <v>60481</v>
      </c>
      <c r="K429" s="1991">
        <v>1300</v>
      </c>
      <c r="L429" s="1991">
        <v>5500</v>
      </c>
      <c r="M429" s="1991">
        <v>1300</v>
      </c>
      <c r="N429" s="1990" t="s">
        <v>1052</v>
      </c>
      <c r="O429" s="1990" t="s">
        <v>8287</v>
      </c>
      <c r="P429" s="1990" t="s">
        <v>975</v>
      </c>
      <c r="Q429" s="1990" t="s">
        <v>1114</v>
      </c>
      <c r="R429" s="1990" t="s">
        <v>1067</v>
      </c>
    </row>
    <row r="430" spans="1:18">
      <c r="A430" s="1990" t="s">
        <v>1173</v>
      </c>
      <c r="B430" s="1990" t="s">
        <v>1480</v>
      </c>
      <c r="C430" s="1990" t="s">
        <v>1050</v>
      </c>
      <c r="D430" s="1990" t="s">
        <v>975</v>
      </c>
      <c r="E430" s="1990" t="s">
        <v>1054</v>
      </c>
      <c r="F430" s="1991">
        <v>53205</v>
      </c>
      <c r="G430" s="1991">
        <v>13301225</v>
      </c>
      <c r="H430" s="1991">
        <v>52959</v>
      </c>
      <c r="I430" s="1991">
        <v>53888</v>
      </c>
      <c r="J430" s="1991">
        <v>47983</v>
      </c>
      <c r="K430" s="1991">
        <v>250</v>
      </c>
      <c r="L430" s="1991">
        <v>475</v>
      </c>
      <c r="M430" s="1991">
        <v>250</v>
      </c>
      <c r="N430" s="1990" t="s">
        <v>1052</v>
      </c>
      <c r="O430" s="1990" t="s">
        <v>8287</v>
      </c>
      <c r="P430" s="1990" t="s">
        <v>975</v>
      </c>
      <c r="Q430" s="1990" t="s">
        <v>1114</v>
      </c>
      <c r="R430" s="1990" t="s">
        <v>1067</v>
      </c>
    </row>
    <row r="431" spans="1:18">
      <c r="A431" s="1990" t="s">
        <v>1175</v>
      </c>
      <c r="B431" s="1990" t="s">
        <v>1299</v>
      </c>
      <c r="C431" s="1990" t="s">
        <v>1050</v>
      </c>
      <c r="D431" s="1990" t="s">
        <v>975</v>
      </c>
      <c r="E431" s="1990" t="s">
        <v>1054</v>
      </c>
      <c r="F431" s="1991">
        <v>72519</v>
      </c>
      <c r="G431" s="1991">
        <v>21755700</v>
      </c>
      <c r="H431" s="1991">
        <v>72519</v>
      </c>
      <c r="I431" s="1991">
        <v>72519</v>
      </c>
      <c r="J431" s="1991">
        <v>60746</v>
      </c>
      <c r="K431" s="1991">
        <v>300</v>
      </c>
      <c r="L431" s="1991">
        <v>1000</v>
      </c>
      <c r="M431" s="1991">
        <v>300</v>
      </c>
      <c r="N431" s="1990" t="s">
        <v>1052</v>
      </c>
      <c r="O431" s="1990" t="s">
        <v>8287</v>
      </c>
      <c r="P431" s="1990" t="s">
        <v>975</v>
      </c>
      <c r="Q431" s="1990" t="s">
        <v>1114</v>
      </c>
      <c r="R431" s="1990" t="s">
        <v>1067</v>
      </c>
    </row>
    <row r="432" spans="1:18">
      <c r="A432" s="1990" t="s">
        <v>1153</v>
      </c>
      <c r="B432" s="1990" t="s">
        <v>1242</v>
      </c>
      <c r="C432" s="1990" t="s">
        <v>1050</v>
      </c>
      <c r="D432" s="1990" t="s">
        <v>967</v>
      </c>
      <c r="E432" s="1990" t="s">
        <v>1054</v>
      </c>
      <c r="F432" s="1991">
        <v>38811</v>
      </c>
      <c r="G432" s="1991">
        <v>27167400</v>
      </c>
      <c r="H432" s="1991">
        <v>38799</v>
      </c>
      <c r="I432" s="1991">
        <v>38844</v>
      </c>
      <c r="J432" s="1991">
        <v>38789</v>
      </c>
      <c r="K432" s="1991">
        <v>700</v>
      </c>
      <c r="L432" s="1991">
        <v>970</v>
      </c>
      <c r="M432" s="1991">
        <v>700</v>
      </c>
      <c r="N432" s="1990" t="s">
        <v>1052</v>
      </c>
      <c r="O432" s="1990" t="s">
        <v>8287</v>
      </c>
      <c r="P432" s="1990" t="s">
        <v>967</v>
      </c>
      <c r="Q432" s="1990" t="s">
        <v>1080</v>
      </c>
      <c r="R432" s="1990" t="s">
        <v>1067</v>
      </c>
    </row>
    <row r="433" spans="1:18">
      <c r="A433" s="1990" t="s">
        <v>1070</v>
      </c>
      <c r="B433" s="1990" t="s">
        <v>1071</v>
      </c>
      <c r="C433" s="1990" t="s">
        <v>1050</v>
      </c>
      <c r="D433" s="1990" t="s">
        <v>906</v>
      </c>
      <c r="E433" s="1990" t="s">
        <v>1051</v>
      </c>
      <c r="F433" s="1991">
        <v>25895</v>
      </c>
      <c r="G433" s="1991">
        <v>1294750</v>
      </c>
      <c r="H433" s="1991">
        <v>25895</v>
      </c>
      <c r="I433" s="1991">
        <v>25895</v>
      </c>
      <c r="J433" s="1991">
        <v>25895</v>
      </c>
      <c r="K433" s="1991">
        <v>0</v>
      </c>
      <c r="L433" s="1991">
        <v>50</v>
      </c>
      <c r="M433" s="1991">
        <v>50</v>
      </c>
      <c r="N433" s="1990" t="s">
        <v>1052</v>
      </c>
      <c r="O433" s="1990" t="s">
        <v>8287</v>
      </c>
      <c r="P433" s="1990" t="s">
        <v>906</v>
      </c>
      <c r="Q433" s="1990" t="s">
        <v>1063</v>
      </c>
      <c r="R433" s="1990" t="s">
        <v>1054</v>
      </c>
    </row>
    <row r="434" spans="1:18" ht="30">
      <c r="A434" s="1990" t="s">
        <v>1214</v>
      </c>
      <c r="B434" s="1990" t="s">
        <v>1215</v>
      </c>
      <c r="C434" s="1990" t="s">
        <v>1050</v>
      </c>
      <c r="D434" s="1990" t="s">
        <v>948</v>
      </c>
      <c r="E434" s="1990" t="s">
        <v>1051</v>
      </c>
      <c r="F434" s="1991">
        <v>28266</v>
      </c>
      <c r="G434" s="1991">
        <v>847980</v>
      </c>
      <c r="H434" s="1991">
        <v>28266</v>
      </c>
      <c r="I434" s="1991">
        <v>28266</v>
      </c>
      <c r="J434" s="1991">
        <v>28266</v>
      </c>
      <c r="K434" s="1991">
        <v>0</v>
      </c>
      <c r="L434" s="1991">
        <v>30</v>
      </c>
      <c r="M434" s="1991">
        <v>30</v>
      </c>
      <c r="N434" s="1990" t="s">
        <v>1052</v>
      </c>
      <c r="O434" s="1990" t="s">
        <v>8287</v>
      </c>
      <c r="P434" s="1990" t="s">
        <v>948</v>
      </c>
      <c r="Q434" s="1990" t="s">
        <v>1209</v>
      </c>
      <c r="R434" s="1990" t="s">
        <v>1054</v>
      </c>
    </row>
    <row r="435" spans="1:18">
      <c r="A435" s="1990" t="s">
        <v>1179</v>
      </c>
      <c r="B435" s="1990" t="s">
        <v>1180</v>
      </c>
      <c r="C435" s="1990" t="s">
        <v>1050</v>
      </c>
      <c r="D435" s="1990" t="s">
        <v>904</v>
      </c>
      <c r="E435" s="1990" t="s">
        <v>1054</v>
      </c>
      <c r="F435" s="1991">
        <v>97004</v>
      </c>
      <c r="G435" s="1991">
        <v>19400875</v>
      </c>
      <c r="H435" s="1991">
        <v>96559</v>
      </c>
      <c r="I435" s="1991">
        <v>97579</v>
      </c>
      <c r="J435" s="1991">
        <v>86810</v>
      </c>
      <c r="K435" s="1991">
        <v>200</v>
      </c>
      <c r="L435" s="1991">
        <v>475</v>
      </c>
      <c r="M435" s="1991">
        <v>200</v>
      </c>
      <c r="N435" s="1990" t="s">
        <v>1052</v>
      </c>
      <c r="O435" s="1990" t="s">
        <v>8287</v>
      </c>
      <c r="P435" s="1990" t="s">
        <v>904</v>
      </c>
      <c r="Q435" s="1990" t="s">
        <v>1053</v>
      </c>
      <c r="R435" s="1990" t="s">
        <v>1054</v>
      </c>
    </row>
    <row r="436" spans="1:18">
      <c r="A436" s="1990" t="s">
        <v>1177</v>
      </c>
      <c r="B436" s="1990" t="s">
        <v>1178</v>
      </c>
      <c r="C436" s="1990" t="s">
        <v>1050</v>
      </c>
      <c r="D436" s="1990" t="s">
        <v>904</v>
      </c>
      <c r="E436" s="1990" t="s">
        <v>1054</v>
      </c>
      <c r="F436" s="1991">
        <v>101623</v>
      </c>
      <c r="G436" s="1991">
        <v>30486800</v>
      </c>
      <c r="H436" s="1991">
        <v>100200</v>
      </c>
      <c r="I436" s="1991">
        <v>102669</v>
      </c>
      <c r="J436" s="1991">
        <v>83478</v>
      </c>
      <c r="K436" s="1991">
        <v>300</v>
      </c>
      <c r="L436" s="1991">
        <v>950</v>
      </c>
      <c r="M436" s="1991">
        <v>300</v>
      </c>
      <c r="N436" s="1990" t="s">
        <v>1052</v>
      </c>
      <c r="O436" s="1990" t="s">
        <v>8287</v>
      </c>
      <c r="P436" s="1990" t="s">
        <v>904</v>
      </c>
      <c r="Q436" s="1990" t="s">
        <v>1053</v>
      </c>
      <c r="R436" s="1990" t="s">
        <v>1054</v>
      </c>
    </row>
    <row r="437" spans="1:18">
      <c r="A437" s="1990" t="s">
        <v>1175</v>
      </c>
      <c r="B437" s="1990" t="s">
        <v>1176</v>
      </c>
      <c r="C437" s="1990" t="s">
        <v>1050</v>
      </c>
      <c r="D437" s="1990" t="s">
        <v>904</v>
      </c>
      <c r="E437" s="1990" t="s">
        <v>1054</v>
      </c>
      <c r="F437" s="1991">
        <v>96197</v>
      </c>
      <c r="G437" s="1991">
        <v>19239350</v>
      </c>
      <c r="H437" s="1991">
        <v>95449</v>
      </c>
      <c r="I437" s="1991">
        <v>96669</v>
      </c>
      <c r="J437" s="1991">
        <v>83497</v>
      </c>
      <c r="K437" s="1990">
        <v>200</v>
      </c>
      <c r="L437" s="1991">
        <v>975</v>
      </c>
      <c r="M437" s="1990">
        <v>200</v>
      </c>
      <c r="N437" s="1990" t="s">
        <v>1052</v>
      </c>
      <c r="O437" s="1990" t="s">
        <v>8287</v>
      </c>
      <c r="P437" s="1990" t="s">
        <v>904</v>
      </c>
      <c r="Q437" s="1990" t="s">
        <v>1053</v>
      </c>
      <c r="R437" s="1990" t="s">
        <v>1054</v>
      </c>
    </row>
    <row r="438" spans="1:18">
      <c r="A438" s="1990" t="s">
        <v>1173</v>
      </c>
      <c r="B438" s="1990" t="s">
        <v>1174</v>
      </c>
      <c r="C438" s="1990" t="s">
        <v>1050</v>
      </c>
      <c r="D438" s="1990" t="s">
        <v>904</v>
      </c>
      <c r="E438" s="1990" t="s">
        <v>1054</v>
      </c>
      <c r="F438" s="1991">
        <v>104452</v>
      </c>
      <c r="G438" s="1991">
        <v>31335525</v>
      </c>
      <c r="H438" s="1991">
        <v>102189</v>
      </c>
      <c r="I438" s="1991">
        <v>105099</v>
      </c>
      <c r="J438" s="1991">
        <v>87289</v>
      </c>
      <c r="K438" s="1990">
        <v>300</v>
      </c>
      <c r="L438" s="1991">
        <v>1225</v>
      </c>
      <c r="M438" s="1990">
        <v>300</v>
      </c>
      <c r="N438" s="1990" t="s">
        <v>1052</v>
      </c>
      <c r="O438" s="1990" t="s">
        <v>8287</v>
      </c>
      <c r="P438" s="1990" t="s">
        <v>904</v>
      </c>
      <c r="Q438" s="1990" t="s">
        <v>1053</v>
      </c>
      <c r="R438" s="1990" t="s">
        <v>1054</v>
      </c>
    </row>
    <row r="439" spans="1:18" ht="30">
      <c r="A439" s="1990" t="s">
        <v>1275</v>
      </c>
      <c r="B439" s="1990" t="s">
        <v>1300</v>
      </c>
      <c r="C439" s="1990" t="s">
        <v>1050</v>
      </c>
      <c r="D439" s="1990" t="s">
        <v>959</v>
      </c>
      <c r="E439" s="1990" t="s">
        <v>1054</v>
      </c>
      <c r="F439" s="1991"/>
      <c r="G439" s="1991">
        <v>0</v>
      </c>
      <c r="H439" s="1991"/>
      <c r="I439" s="1991"/>
      <c r="J439" s="1991">
        <v>38073</v>
      </c>
      <c r="K439" s="1991">
        <v>500</v>
      </c>
      <c r="L439" s="1991">
        <v>100</v>
      </c>
      <c r="M439" s="1991">
        <v>0</v>
      </c>
      <c r="N439" s="1990" t="s">
        <v>1052</v>
      </c>
      <c r="O439" s="1990" t="s">
        <v>8287</v>
      </c>
      <c r="P439" s="1990" t="s">
        <v>959</v>
      </c>
      <c r="Q439" s="1990" t="s">
        <v>1083</v>
      </c>
      <c r="R439" s="1990" t="s">
        <v>1054</v>
      </c>
    </row>
    <row r="440" spans="1:18">
      <c r="A440" s="1990" t="s">
        <v>1192</v>
      </c>
      <c r="B440" s="1990" t="s">
        <v>1253</v>
      </c>
      <c r="C440" s="1990" t="s">
        <v>1050</v>
      </c>
      <c r="D440" s="1990" t="s">
        <v>959</v>
      </c>
      <c r="E440" s="1990" t="s">
        <v>1424</v>
      </c>
      <c r="F440" s="1991"/>
      <c r="G440" s="1991">
        <v>0</v>
      </c>
      <c r="H440" s="1991"/>
      <c r="I440" s="1991"/>
      <c r="J440" s="1991">
        <v>28121</v>
      </c>
      <c r="K440" s="1991">
        <v>100</v>
      </c>
      <c r="L440" s="1991">
        <v>100</v>
      </c>
      <c r="M440" s="1991">
        <v>0</v>
      </c>
      <c r="N440" s="1990" t="s">
        <v>1052</v>
      </c>
      <c r="O440" s="1990" t="s">
        <v>8287</v>
      </c>
      <c r="P440" s="1990" t="s">
        <v>959</v>
      </c>
      <c r="Q440" s="1990" t="s">
        <v>1083</v>
      </c>
      <c r="R440" s="1990" t="s">
        <v>1054</v>
      </c>
    </row>
    <row r="441" spans="1:18">
      <c r="A441" s="1990" t="s">
        <v>1192</v>
      </c>
      <c r="B441" s="1990" t="s">
        <v>1245</v>
      </c>
      <c r="C441" s="1990" t="s">
        <v>1050</v>
      </c>
      <c r="D441" s="1990" t="s">
        <v>955</v>
      </c>
      <c r="E441" s="1990" t="s">
        <v>1054</v>
      </c>
      <c r="F441" s="1991"/>
      <c r="G441" s="1991">
        <v>0</v>
      </c>
      <c r="H441" s="1991"/>
      <c r="I441" s="1991"/>
      <c r="J441" s="1991">
        <v>28218</v>
      </c>
      <c r="K441" s="1991">
        <v>250</v>
      </c>
      <c r="L441" s="1991">
        <v>450</v>
      </c>
      <c r="M441" s="1991">
        <v>0</v>
      </c>
      <c r="N441" s="1990" t="s">
        <v>1052</v>
      </c>
      <c r="O441" s="1990" t="s">
        <v>8287</v>
      </c>
      <c r="P441" s="1990" t="s">
        <v>955</v>
      </c>
      <c r="Q441" s="1990" t="s">
        <v>1080</v>
      </c>
      <c r="R441" s="1990" t="s">
        <v>1054</v>
      </c>
    </row>
    <row r="442" spans="1:18">
      <c r="A442" s="1990" t="s">
        <v>1161</v>
      </c>
      <c r="B442" s="1990" t="s">
        <v>1162</v>
      </c>
      <c r="C442" s="1990" t="s">
        <v>1050</v>
      </c>
      <c r="D442" s="1990" t="s">
        <v>898</v>
      </c>
      <c r="E442" s="1990" t="s">
        <v>1054</v>
      </c>
      <c r="F442" s="1991"/>
      <c r="G442" s="1991">
        <v>0</v>
      </c>
      <c r="H442" s="1991"/>
      <c r="I442" s="1991"/>
      <c r="J442" s="1991">
        <v>37489</v>
      </c>
      <c r="K442" s="1990">
        <v>200</v>
      </c>
      <c r="L442" s="1991">
        <v>0</v>
      </c>
      <c r="M442" s="1990">
        <v>0</v>
      </c>
      <c r="N442" s="1990" t="s">
        <v>1052</v>
      </c>
      <c r="O442" s="1990" t="s">
        <v>8287</v>
      </c>
      <c r="P442" s="1990" t="s">
        <v>898</v>
      </c>
      <c r="Q442" s="1990" t="s">
        <v>1053</v>
      </c>
      <c r="R442" s="1990" t="s">
        <v>1054</v>
      </c>
    </row>
    <row r="443" spans="1:18">
      <c r="A443" s="1990" t="s">
        <v>1167</v>
      </c>
      <c r="B443" s="1990" t="s">
        <v>1168</v>
      </c>
      <c r="C443" s="1990" t="s">
        <v>1050</v>
      </c>
      <c r="D443" s="1990" t="s">
        <v>928</v>
      </c>
      <c r="E443" s="1990" t="s">
        <v>1054</v>
      </c>
      <c r="F443" s="1991"/>
      <c r="G443" s="1991">
        <v>0</v>
      </c>
      <c r="H443" s="1991"/>
      <c r="I443" s="1991"/>
      <c r="J443" s="1991">
        <v>43501</v>
      </c>
      <c r="K443" s="1991">
        <v>500</v>
      </c>
      <c r="L443" s="1991">
        <v>0</v>
      </c>
      <c r="M443" s="1991">
        <v>0</v>
      </c>
      <c r="N443" s="1990" t="s">
        <v>1052</v>
      </c>
      <c r="O443" s="1990" t="s">
        <v>8287</v>
      </c>
      <c r="P443" s="1990" t="s">
        <v>928</v>
      </c>
      <c r="Q443" s="1990" t="s">
        <v>1053</v>
      </c>
      <c r="R443" s="1990" t="s">
        <v>1054</v>
      </c>
    </row>
    <row r="444" spans="1:18">
      <c r="A444" s="1990" t="s">
        <v>1185</v>
      </c>
      <c r="B444" s="1990" t="s">
        <v>8288</v>
      </c>
      <c r="C444" s="1990" t="s">
        <v>1050</v>
      </c>
      <c r="D444" s="1990" t="s">
        <v>906</v>
      </c>
      <c r="E444" s="1990" t="s">
        <v>1054</v>
      </c>
      <c r="F444" s="1991"/>
      <c r="G444" s="1991">
        <v>0</v>
      </c>
      <c r="H444" s="1991"/>
      <c r="I444" s="1991"/>
      <c r="J444" s="1991">
        <v>26700</v>
      </c>
      <c r="K444" s="1991">
        <v>2000</v>
      </c>
      <c r="L444" s="1991">
        <v>0</v>
      </c>
      <c r="M444" s="1991">
        <v>0</v>
      </c>
      <c r="N444" s="1990" t="s">
        <v>1052</v>
      </c>
      <c r="O444" s="1990" t="s">
        <v>8287</v>
      </c>
      <c r="P444" s="1990" t="s">
        <v>906</v>
      </c>
      <c r="Q444" s="1990" t="s">
        <v>1063</v>
      </c>
      <c r="R444" s="1990" t="s">
        <v>1054</v>
      </c>
    </row>
    <row r="445" spans="1:18" ht="30">
      <c r="A445" s="1990" t="s">
        <v>1192</v>
      </c>
      <c r="B445" s="1990" t="s">
        <v>1193</v>
      </c>
      <c r="C445" s="1990" t="s">
        <v>1050</v>
      </c>
      <c r="D445" s="1990" t="s">
        <v>914</v>
      </c>
      <c r="E445" s="1990" t="s">
        <v>1054</v>
      </c>
      <c r="F445" s="1991"/>
      <c r="G445" s="1991">
        <v>0</v>
      </c>
      <c r="H445" s="1991"/>
      <c r="I445" s="1991"/>
      <c r="J445" s="1991">
        <v>28121</v>
      </c>
      <c r="K445" s="1991">
        <v>1500</v>
      </c>
      <c r="L445" s="1991">
        <v>0</v>
      </c>
      <c r="M445" s="1991">
        <v>0</v>
      </c>
      <c r="N445" s="1990" t="s">
        <v>1052</v>
      </c>
      <c r="O445" s="1990" t="s">
        <v>8287</v>
      </c>
      <c r="P445" s="1990" t="s">
        <v>1110</v>
      </c>
      <c r="Q445" s="1990" t="s">
        <v>1053</v>
      </c>
      <c r="R445" s="1990" t="s">
        <v>1054</v>
      </c>
    </row>
    <row r="446" spans="1:18" ht="30">
      <c r="A446" s="1990" t="s">
        <v>1153</v>
      </c>
      <c r="B446" s="1990" t="s">
        <v>1267</v>
      </c>
      <c r="C446" s="1990" t="s">
        <v>1050</v>
      </c>
      <c r="D446" s="1990" t="s">
        <v>950</v>
      </c>
      <c r="E446" s="1990" t="s">
        <v>1054</v>
      </c>
      <c r="F446" s="1991"/>
      <c r="G446" s="1991">
        <v>0</v>
      </c>
      <c r="H446" s="1991"/>
      <c r="I446" s="1991"/>
      <c r="J446" s="1991">
        <v>38789</v>
      </c>
      <c r="K446" s="1991">
        <v>500</v>
      </c>
      <c r="L446" s="1991">
        <v>0</v>
      </c>
      <c r="M446" s="1991">
        <v>0</v>
      </c>
      <c r="N446" s="1990" t="s">
        <v>1052</v>
      </c>
      <c r="O446" s="1990" t="s">
        <v>8287</v>
      </c>
      <c r="P446" s="1990" t="s">
        <v>1124</v>
      </c>
      <c r="Q446" s="1990" t="s">
        <v>1114</v>
      </c>
      <c r="R446" s="1990" t="s">
        <v>1067</v>
      </c>
    </row>
    <row r="447" spans="1:18" ht="30">
      <c r="A447" s="1990" t="s">
        <v>1269</v>
      </c>
      <c r="B447" s="1990" t="s">
        <v>1270</v>
      </c>
      <c r="C447" s="1990" t="s">
        <v>1050</v>
      </c>
      <c r="D447" s="1990" t="s">
        <v>950</v>
      </c>
      <c r="E447" s="1990" t="s">
        <v>1054</v>
      </c>
      <c r="F447" s="1991"/>
      <c r="G447" s="1991">
        <v>0</v>
      </c>
      <c r="H447" s="1991"/>
      <c r="I447" s="1991"/>
      <c r="J447" s="1991">
        <v>32824</v>
      </c>
      <c r="K447" s="1991">
        <v>200</v>
      </c>
      <c r="L447" s="1991">
        <v>0</v>
      </c>
      <c r="M447" s="1991">
        <v>0</v>
      </c>
      <c r="N447" s="1990" t="s">
        <v>1052</v>
      </c>
      <c r="O447" s="1990" t="s">
        <v>8287</v>
      </c>
      <c r="P447" s="1990" t="s">
        <v>1124</v>
      </c>
      <c r="Q447" s="1990" t="s">
        <v>1114</v>
      </c>
      <c r="R447" s="1990" t="s">
        <v>1067</v>
      </c>
    </row>
    <row r="448" spans="1:18" ht="30">
      <c r="A448" s="1990" t="s">
        <v>1236</v>
      </c>
      <c r="B448" s="1990" t="s">
        <v>1248</v>
      </c>
      <c r="C448" s="1990" t="s">
        <v>1050</v>
      </c>
      <c r="D448" s="1990" t="s">
        <v>941</v>
      </c>
      <c r="E448" s="1990" t="s">
        <v>1054</v>
      </c>
      <c r="F448" s="1991"/>
      <c r="G448" s="1991">
        <v>0</v>
      </c>
      <c r="H448" s="1991"/>
      <c r="I448" s="1991"/>
      <c r="J448" s="1991">
        <v>24954</v>
      </c>
      <c r="K448" s="1991">
        <v>6500</v>
      </c>
      <c r="L448" s="1991">
        <v>0</v>
      </c>
      <c r="M448" s="1991">
        <v>0</v>
      </c>
      <c r="N448" s="1990" t="s">
        <v>1052</v>
      </c>
      <c r="O448" s="1990" t="s">
        <v>8287</v>
      </c>
      <c r="P448" s="1990" t="s">
        <v>941</v>
      </c>
      <c r="Q448" s="1990" t="s">
        <v>1075</v>
      </c>
      <c r="R448" s="1990" t="s">
        <v>1054</v>
      </c>
    </row>
    <row r="449" spans="1:18">
      <c r="A449" s="1990" t="s">
        <v>1072</v>
      </c>
      <c r="B449" s="1990" t="s">
        <v>1229</v>
      </c>
      <c r="C449" s="1990" t="s">
        <v>1050</v>
      </c>
      <c r="D449" s="1990" t="s">
        <v>963</v>
      </c>
      <c r="E449" s="1990" t="s">
        <v>1054</v>
      </c>
      <c r="F449" s="1991"/>
      <c r="G449" s="1991">
        <v>0</v>
      </c>
      <c r="H449" s="1991"/>
      <c r="I449" s="1991"/>
      <c r="J449" s="1991">
        <v>35589</v>
      </c>
      <c r="K449" s="1991">
        <v>500</v>
      </c>
      <c r="L449" s="1991">
        <v>0</v>
      </c>
      <c r="M449" s="1991">
        <v>0</v>
      </c>
      <c r="N449" s="1990" t="s">
        <v>1052</v>
      </c>
      <c r="O449" s="1990" t="s">
        <v>8287</v>
      </c>
      <c r="P449" s="1990" t="s">
        <v>963</v>
      </c>
      <c r="Q449" s="1990" t="s">
        <v>1090</v>
      </c>
      <c r="R449" s="1990" t="s">
        <v>1054</v>
      </c>
    </row>
    <row r="450" spans="1:18">
      <c r="A450" s="1990" t="s">
        <v>1173</v>
      </c>
      <c r="B450" s="1990" t="s">
        <v>1235</v>
      </c>
      <c r="C450" s="1990" t="s">
        <v>1050</v>
      </c>
      <c r="D450" s="1990" t="s">
        <v>913</v>
      </c>
      <c r="E450" s="1990" t="s">
        <v>1054</v>
      </c>
      <c r="F450" s="1991"/>
      <c r="G450" s="1991">
        <v>0</v>
      </c>
      <c r="H450" s="1991"/>
      <c r="I450" s="1991"/>
      <c r="J450" s="1991">
        <v>32580</v>
      </c>
      <c r="K450" s="1991">
        <v>50</v>
      </c>
      <c r="L450" s="1991">
        <v>0</v>
      </c>
      <c r="M450" s="1991">
        <v>0</v>
      </c>
      <c r="N450" s="1990" t="s">
        <v>1052</v>
      </c>
      <c r="O450" s="1990" t="s">
        <v>8287</v>
      </c>
      <c r="P450" s="1990" t="s">
        <v>913</v>
      </c>
      <c r="Q450" s="1990" t="s">
        <v>1090</v>
      </c>
      <c r="R450" s="1990" t="s">
        <v>1054</v>
      </c>
    </row>
    <row r="451" spans="1:18" ht="30">
      <c r="A451" s="1990" t="s">
        <v>1288</v>
      </c>
      <c r="B451" s="1990" t="s">
        <v>1289</v>
      </c>
      <c r="C451" s="1990" t="s">
        <v>1050</v>
      </c>
      <c r="D451" s="1990" t="s">
        <v>910</v>
      </c>
      <c r="E451" s="1990" t="s">
        <v>1054</v>
      </c>
      <c r="F451" s="1991"/>
      <c r="G451" s="1991">
        <v>0</v>
      </c>
      <c r="H451" s="1991"/>
      <c r="I451" s="1991"/>
      <c r="J451" s="1991">
        <v>28137</v>
      </c>
      <c r="K451" s="1991">
        <v>200</v>
      </c>
      <c r="L451" s="1991">
        <v>0</v>
      </c>
      <c r="M451" s="1991">
        <v>0</v>
      </c>
      <c r="N451" s="1990" t="s">
        <v>1052</v>
      </c>
      <c r="O451" s="1990" t="s">
        <v>8287</v>
      </c>
      <c r="P451" s="1990" t="s">
        <v>1283</v>
      </c>
      <c r="Q451" s="1990" t="s">
        <v>1274</v>
      </c>
      <c r="R451" s="1990" t="s">
        <v>1054</v>
      </c>
    </row>
    <row r="452" spans="1:18" ht="30">
      <c r="A452" s="1990" t="s">
        <v>1236</v>
      </c>
      <c r="B452" s="1990" t="s">
        <v>7790</v>
      </c>
      <c r="C452" s="1990" t="s">
        <v>1050</v>
      </c>
      <c r="D452" s="1990" t="s">
        <v>945</v>
      </c>
      <c r="E452" s="1990" t="s">
        <v>1054</v>
      </c>
      <c r="F452" s="1991"/>
      <c r="G452" s="1991">
        <v>0</v>
      </c>
      <c r="H452" s="1991"/>
      <c r="I452" s="1991"/>
      <c r="J452" s="1991">
        <v>24954</v>
      </c>
      <c r="K452" s="1991">
        <v>200</v>
      </c>
      <c r="L452" s="1991">
        <v>0</v>
      </c>
      <c r="M452" s="1991">
        <v>0</v>
      </c>
      <c r="N452" s="1990" t="s">
        <v>1052</v>
      </c>
      <c r="O452" s="1990" t="s">
        <v>8287</v>
      </c>
      <c r="P452" s="1990" t="s">
        <v>1142</v>
      </c>
      <c r="Q452" s="1990" t="s">
        <v>1143</v>
      </c>
      <c r="R452" s="1990" t="s">
        <v>1054</v>
      </c>
    </row>
    <row r="453" spans="1:18" ht="30">
      <c r="A453" s="1990" t="s">
        <v>1315</v>
      </c>
      <c r="B453" s="1990" t="s">
        <v>1316</v>
      </c>
      <c r="C453" s="1990" t="s">
        <v>1050</v>
      </c>
      <c r="D453" s="1990" t="s">
        <v>945</v>
      </c>
      <c r="E453" s="1990" t="s">
        <v>1054</v>
      </c>
      <c r="F453" s="1991"/>
      <c r="G453" s="1991">
        <v>0</v>
      </c>
      <c r="H453" s="1991"/>
      <c r="I453" s="1991"/>
      <c r="J453" s="1991">
        <v>40689</v>
      </c>
      <c r="K453" s="1990">
        <v>200</v>
      </c>
      <c r="L453" s="1990">
        <v>0</v>
      </c>
      <c r="M453" s="1990">
        <v>0</v>
      </c>
      <c r="N453" s="1990" t="s">
        <v>1052</v>
      </c>
      <c r="O453" s="1990" t="s">
        <v>8287</v>
      </c>
      <c r="P453" s="1990" t="s">
        <v>1142</v>
      </c>
      <c r="Q453" s="1990" t="s">
        <v>1143</v>
      </c>
      <c r="R453" s="1990" t="s">
        <v>1054</v>
      </c>
    </row>
    <row r="454" spans="1:18">
      <c r="A454" s="1990" t="s">
        <v>1057</v>
      </c>
      <c r="B454" s="1990" t="s">
        <v>1361</v>
      </c>
      <c r="C454" s="1990" t="s">
        <v>1050</v>
      </c>
      <c r="D454" s="1990" t="s">
        <v>938</v>
      </c>
      <c r="E454" s="1990" t="s">
        <v>1051</v>
      </c>
      <c r="F454" s="1991">
        <v>38566</v>
      </c>
      <c r="G454" s="1991">
        <v>3856600</v>
      </c>
      <c r="H454" s="1991">
        <v>38566</v>
      </c>
      <c r="I454" s="1991">
        <v>38566</v>
      </c>
      <c r="J454" s="1991">
        <v>38566</v>
      </c>
      <c r="K454" s="1991">
        <v>0</v>
      </c>
      <c r="L454" s="1991">
        <v>100</v>
      </c>
      <c r="M454" s="1991">
        <v>100</v>
      </c>
      <c r="N454" s="1990" t="s">
        <v>1052</v>
      </c>
      <c r="O454" s="1990" t="s">
        <v>8286</v>
      </c>
      <c r="P454" s="1990" t="s">
        <v>938</v>
      </c>
      <c r="Q454" s="1990" t="s">
        <v>1053</v>
      </c>
      <c r="R454" s="1990" t="s">
        <v>1054</v>
      </c>
    </row>
    <row r="455" spans="1:18">
      <c r="A455" s="1990" t="s">
        <v>1057</v>
      </c>
      <c r="B455" s="1990" t="s">
        <v>1472</v>
      </c>
      <c r="C455" s="1990" t="s">
        <v>1050</v>
      </c>
      <c r="D455" s="1990" t="s">
        <v>952</v>
      </c>
      <c r="E455" s="1990" t="s">
        <v>1051</v>
      </c>
      <c r="F455" s="1991">
        <v>38825</v>
      </c>
      <c r="G455" s="1991">
        <v>970625</v>
      </c>
      <c r="H455" s="1991">
        <v>38825</v>
      </c>
      <c r="I455" s="1991">
        <v>38825</v>
      </c>
      <c r="J455" s="1991">
        <v>38825</v>
      </c>
      <c r="K455" s="1991">
        <v>0</v>
      </c>
      <c r="L455" s="1991">
        <v>25</v>
      </c>
      <c r="M455" s="1991">
        <v>25</v>
      </c>
      <c r="N455" s="1990" t="s">
        <v>1052</v>
      </c>
      <c r="O455" s="1990" t="s">
        <v>8286</v>
      </c>
      <c r="P455" s="1990" t="s">
        <v>1311</v>
      </c>
      <c r="Q455" s="1990" t="s">
        <v>1312</v>
      </c>
      <c r="R455" s="1990" t="s">
        <v>1054</v>
      </c>
    </row>
    <row r="456" spans="1:18" ht="30">
      <c r="A456" s="1990" t="s">
        <v>1057</v>
      </c>
      <c r="B456" s="1990" t="s">
        <v>1395</v>
      </c>
      <c r="C456" s="1990" t="s">
        <v>1050</v>
      </c>
      <c r="D456" s="1990" t="s">
        <v>957</v>
      </c>
      <c r="E456" s="1990" t="s">
        <v>1051</v>
      </c>
      <c r="F456" s="1991">
        <v>37366</v>
      </c>
      <c r="G456" s="1991">
        <v>11209800</v>
      </c>
      <c r="H456" s="1991">
        <v>37366</v>
      </c>
      <c r="I456" s="1991">
        <v>37366</v>
      </c>
      <c r="J456" s="1991">
        <v>37366</v>
      </c>
      <c r="K456" s="1991">
        <v>0</v>
      </c>
      <c r="L456" s="1991">
        <v>300</v>
      </c>
      <c r="M456" s="1991">
        <v>300</v>
      </c>
      <c r="N456" s="1990" t="s">
        <v>1052</v>
      </c>
      <c r="O456" s="1990" t="s">
        <v>8286</v>
      </c>
      <c r="P456" s="1990" t="s">
        <v>957</v>
      </c>
      <c r="Q456" s="1990" t="s">
        <v>1090</v>
      </c>
      <c r="R456" s="1990" t="s">
        <v>1054</v>
      </c>
    </row>
    <row r="457" spans="1:18" ht="30">
      <c r="A457" s="1990" t="s">
        <v>1151</v>
      </c>
      <c r="B457" s="1990" t="s">
        <v>1268</v>
      </c>
      <c r="C457" s="1990" t="s">
        <v>1050</v>
      </c>
      <c r="D457" s="1990" t="s">
        <v>950</v>
      </c>
      <c r="E457" s="1990" t="s">
        <v>1051</v>
      </c>
      <c r="F457" s="1991">
        <v>27353</v>
      </c>
      <c r="G457" s="1991">
        <v>3419125</v>
      </c>
      <c r="H457" s="1991">
        <v>27353</v>
      </c>
      <c r="I457" s="1991">
        <v>27353</v>
      </c>
      <c r="J457" s="1991">
        <v>27353</v>
      </c>
      <c r="K457" s="1990">
        <v>0</v>
      </c>
      <c r="L457" s="1990">
        <v>125</v>
      </c>
      <c r="M457" s="1990">
        <v>125</v>
      </c>
      <c r="N457" s="1990" t="s">
        <v>1052</v>
      </c>
      <c r="O457" s="1990" t="s">
        <v>8286</v>
      </c>
      <c r="P457" s="1990" t="s">
        <v>1124</v>
      </c>
      <c r="Q457" s="1990" t="s">
        <v>1114</v>
      </c>
      <c r="R457" s="1990" t="s">
        <v>1067</v>
      </c>
    </row>
    <row r="458" spans="1:18">
      <c r="A458" s="1990" t="s">
        <v>1194</v>
      </c>
      <c r="B458" s="1990" t="s">
        <v>1310</v>
      </c>
      <c r="C458" s="1990" t="s">
        <v>1050</v>
      </c>
      <c r="D458" s="1990" t="s">
        <v>952</v>
      </c>
      <c r="E458" s="1990" t="s">
        <v>1051</v>
      </c>
      <c r="F458" s="1991">
        <v>39877</v>
      </c>
      <c r="G458" s="1991">
        <v>17944650</v>
      </c>
      <c r="H458" s="1991">
        <v>39877</v>
      </c>
      <c r="I458" s="1991">
        <v>39877</v>
      </c>
      <c r="J458" s="1991">
        <v>39877</v>
      </c>
      <c r="K458" s="1991">
        <v>0</v>
      </c>
      <c r="L458" s="1991">
        <v>450</v>
      </c>
      <c r="M458" s="1991">
        <v>450</v>
      </c>
      <c r="N458" s="1990" t="s">
        <v>1052</v>
      </c>
      <c r="O458" s="1990" t="s">
        <v>8286</v>
      </c>
      <c r="P458" s="1990" t="s">
        <v>1311</v>
      </c>
      <c r="Q458" s="1990" t="s">
        <v>1312</v>
      </c>
      <c r="R458" s="1990" t="s">
        <v>1054</v>
      </c>
    </row>
    <row r="459" spans="1:18">
      <c r="A459" s="1990" t="s">
        <v>1072</v>
      </c>
      <c r="B459" s="1990" t="s">
        <v>1191</v>
      </c>
      <c r="C459" s="1990" t="s">
        <v>1050</v>
      </c>
      <c r="D459" s="1990" t="s">
        <v>908</v>
      </c>
      <c r="E459" s="1990" t="s">
        <v>1051</v>
      </c>
      <c r="F459" s="1991">
        <v>35589</v>
      </c>
      <c r="G459" s="1991">
        <v>4270680</v>
      </c>
      <c r="H459" s="1991">
        <v>35589</v>
      </c>
      <c r="I459" s="1991">
        <v>35589</v>
      </c>
      <c r="J459" s="1991">
        <v>35589</v>
      </c>
      <c r="K459" s="1991">
        <v>0</v>
      </c>
      <c r="L459" s="1991">
        <v>120</v>
      </c>
      <c r="M459" s="1991">
        <v>120</v>
      </c>
      <c r="N459" s="1990" t="s">
        <v>1052</v>
      </c>
      <c r="O459" s="1990" t="s">
        <v>8286</v>
      </c>
      <c r="P459" s="1990" t="s">
        <v>908</v>
      </c>
      <c r="Q459" s="1990" t="s">
        <v>1053</v>
      </c>
      <c r="R459" s="1990" t="s">
        <v>1054</v>
      </c>
    </row>
    <row r="460" spans="1:18">
      <c r="A460" s="1990" t="s">
        <v>1219</v>
      </c>
      <c r="B460" s="1990" t="s">
        <v>1258</v>
      </c>
      <c r="C460" s="1990" t="s">
        <v>1050</v>
      </c>
      <c r="D460" s="1990" t="s">
        <v>921</v>
      </c>
      <c r="E460" s="1990" t="s">
        <v>1051</v>
      </c>
      <c r="F460" s="1991">
        <v>25045</v>
      </c>
      <c r="G460" s="1991">
        <v>2504500</v>
      </c>
      <c r="H460" s="1991">
        <v>25045</v>
      </c>
      <c r="I460" s="1991">
        <v>25045</v>
      </c>
      <c r="J460" s="1991">
        <v>25045</v>
      </c>
      <c r="K460" s="1991">
        <v>0</v>
      </c>
      <c r="L460" s="1991">
        <v>100</v>
      </c>
      <c r="M460" s="1991">
        <v>100</v>
      </c>
      <c r="N460" s="1990" t="s">
        <v>1052</v>
      </c>
      <c r="O460" s="1990" t="s">
        <v>8286</v>
      </c>
      <c r="P460" s="1990" t="s">
        <v>921</v>
      </c>
      <c r="Q460" s="1990" t="s">
        <v>1114</v>
      </c>
      <c r="R460" s="1990" t="s">
        <v>1054</v>
      </c>
    </row>
    <row r="461" spans="1:18" ht="30">
      <c r="A461" s="1990" t="s">
        <v>1206</v>
      </c>
      <c r="B461" s="1990" t="s">
        <v>1207</v>
      </c>
      <c r="C461" s="1990" t="s">
        <v>1050</v>
      </c>
      <c r="D461" s="1990" t="s">
        <v>973</v>
      </c>
      <c r="E461" s="1990" t="s">
        <v>1051</v>
      </c>
      <c r="F461" s="1991">
        <v>68666</v>
      </c>
      <c r="G461" s="1991">
        <v>686660</v>
      </c>
      <c r="H461" s="1991">
        <v>68666</v>
      </c>
      <c r="I461" s="1991">
        <v>68666</v>
      </c>
      <c r="J461" s="1991">
        <v>68666</v>
      </c>
      <c r="K461" s="1990">
        <v>0</v>
      </c>
      <c r="L461" s="1991">
        <v>10</v>
      </c>
      <c r="M461" s="1990">
        <v>10</v>
      </c>
      <c r="N461" s="1990" t="s">
        <v>1052</v>
      </c>
      <c r="O461" s="1990" t="s">
        <v>8286</v>
      </c>
      <c r="P461" s="1990" t="s">
        <v>1201</v>
      </c>
      <c r="Q461" s="1990" t="s">
        <v>1053</v>
      </c>
      <c r="R461" s="1990" t="s">
        <v>1054</v>
      </c>
    </row>
    <row r="462" spans="1:18" ht="30">
      <c r="A462" s="1990" t="s">
        <v>1048</v>
      </c>
      <c r="B462" s="1990" t="s">
        <v>1238</v>
      </c>
      <c r="C462" s="1990" t="s">
        <v>1050</v>
      </c>
      <c r="D462" s="1990" t="s">
        <v>957</v>
      </c>
      <c r="E462" s="1990" t="s">
        <v>1051</v>
      </c>
      <c r="F462" s="1991">
        <v>35589</v>
      </c>
      <c r="G462" s="1991">
        <v>7117800</v>
      </c>
      <c r="H462" s="1991">
        <v>35589</v>
      </c>
      <c r="I462" s="1991">
        <v>35589</v>
      </c>
      <c r="J462" s="1991">
        <v>35589</v>
      </c>
      <c r="K462" s="1991">
        <v>0</v>
      </c>
      <c r="L462" s="1991">
        <v>200</v>
      </c>
      <c r="M462" s="1991">
        <v>200</v>
      </c>
      <c r="N462" s="1990" t="s">
        <v>1052</v>
      </c>
      <c r="O462" s="1990" t="s">
        <v>8286</v>
      </c>
      <c r="P462" s="1990" t="s">
        <v>957</v>
      </c>
      <c r="Q462" s="1990" t="s">
        <v>1090</v>
      </c>
      <c r="R462" s="1990" t="s">
        <v>1054</v>
      </c>
    </row>
    <row r="463" spans="1:18" ht="30">
      <c r="A463" s="1990" t="s">
        <v>1068</v>
      </c>
      <c r="B463" s="1990" t="s">
        <v>1123</v>
      </c>
      <c r="C463" s="1990" t="s">
        <v>1050</v>
      </c>
      <c r="D463" s="1990" t="s">
        <v>950</v>
      </c>
      <c r="E463" s="1990" t="s">
        <v>1051</v>
      </c>
      <c r="F463" s="1991">
        <v>25207</v>
      </c>
      <c r="G463" s="1991">
        <v>32138925</v>
      </c>
      <c r="H463" s="1991">
        <v>25207</v>
      </c>
      <c r="I463" s="1991">
        <v>25207</v>
      </c>
      <c r="J463" s="1991">
        <v>25207</v>
      </c>
      <c r="K463" s="1991">
        <v>0</v>
      </c>
      <c r="L463" s="1991">
        <v>1275</v>
      </c>
      <c r="M463" s="1991">
        <v>1275</v>
      </c>
      <c r="N463" s="1990" t="s">
        <v>1052</v>
      </c>
      <c r="O463" s="1990" t="s">
        <v>8286</v>
      </c>
      <c r="P463" s="1990" t="s">
        <v>1124</v>
      </c>
      <c r="Q463" s="1990" t="s">
        <v>1114</v>
      </c>
      <c r="R463" s="1990" t="s">
        <v>1067</v>
      </c>
    </row>
    <row r="464" spans="1:18" ht="30">
      <c r="A464" s="1990" t="s">
        <v>1057</v>
      </c>
      <c r="B464" s="1990" t="s">
        <v>1370</v>
      </c>
      <c r="C464" s="1990" t="s">
        <v>1050</v>
      </c>
      <c r="D464" s="1990" t="s">
        <v>910</v>
      </c>
      <c r="E464" s="1990" t="s">
        <v>1051</v>
      </c>
      <c r="F464" s="1991">
        <v>43276</v>
      </c>
      <c r="G464" s="1991">
        <v>1081900</v>
      </c>
      <c r="H464" s="1991">
        <v>43276</v>
      </c>
      <c r="I464" s="1991">
        <v>43276</v>
      </c>
      <c r="J464" s="1991">
        <v>43276</v>
      </c>
      <c r="K464" s="1991">
        <v>0</v>
      </c>
      <c r="L464" s="1991">
        <v>25</v>
      </c>
      <c r="M464" s="1991">
        <v>25</v>
      </c>
      <c r="N464" s="1990" t="s">
        <v>1052</v>
      </c>
      <c r="O464" s="1990" t="s">
        <v>8286</v>
      </c>
      <c r="P464" s="1990" t="s">
        <v>1283</v>
      </c>
      <c r="Q464" s="1990" t="s">
        <v>1075</v>
      </c>
      <c r="R464" s="1990" t="s">
        <v>1054</v>
      </c>
    </row>
    <row r="465" spans="1:18" ht="30">
      <c r="A465" s="1990" t="s">
        <v>1177</v>
      </c>
      <c r="B465" s="1990" t="s">
        <v>1202</v>
      </c>
      <c r="C465" s="1990" t="s">
        <v>1050</v>
      </c>
      <c r="D465" s="1990" t="s">
        <v>973</v>
      </c>
      <c r="E465" s="1990" t="s">
        <v>1051</v>
      </c>
      <c r="F465" s="1991">
        <v>72691</v>
      </c>
      <c r="G465" s="1991">
        <v>2907640</v>
      </c>
      <c r="H465" s="1991">
        <v>72691</v>
      </c>
      <c r="I465" s="1991">
        <v>72691</v>
      </c>
      <c r="J465" s="1991">
        <v>72691</v>
      </c>
      <c r="K465" s="1991">
        <v>0</v>
      </c>
      <c r="L465" s="1991">
        <v>40</v>
      </c>
      <c r="M465" s="1991">
        <v>40</v>
      </c>
      <c r="N465" s="1990" t="s">
        <v>1052</v>
      </c>
      <c r="O465" s="1990" t="s">
        <v>8286</v>
      </c>
      <c r="P465" s="1990" t="s">
        <v>1201</v>
      </c>
      <c r="Q465" s="1990" t="s">
        <v>1053</v>
      </c>
      <c r="R465" s="1990" t="s">
        <v>1054</v>
      </c>
    </row>
    <row r="466" spans="1:18">
      <c r="A466" s="1990" t="s">
        <v>1070</v>
      </c>
      <c r="B466" s="1990" t="s">
        <v>1071</v>
      </c>
      <c r="C466" s="1990" t="s">
        <v>1050</v>
      </c>
      <c r="D466" s="1990" t="s">
        <v>906</v>
      </c>
      <c r="E466" s="1990" t="s">
        <v>1051</v>
      </c>
      <c r="F466" s="1991">
        <v>25895</v>
      </c>
      <c r="G466" s="1991">
        <v>2848450</v>
      </c>
      <c r="H466" s="1991">
        <v>25895</v>
      </c>
      <c r="I466" s="1991">
        <v>25895</v>
      </c>
      <c r="J466" s="1991">
        <v>25895</v>
      </c>
      <c r="K466" s="1991">
        <v>0</v>
      </c>
      <c r="L466" s="1991">
        <v>110</v>
      </c>
      <c r="M466" s="1991">
        <v>110</v>
      </c>
      <c r="N466" s="1990" t="s">
        <v>1052</v>
      </c>
      <c r="O466" s="1990" t="s">
        <v>8286</v>
      </c>
      <c r="P466" s="1990" t="s">
        <v>906</v>
      </c>
      <c r="Q466" s="1990" t="s">
        <v>1063</v>
      </c>
      <c r="R466" s="1990" t="s">
        <v>1054</v>
      </c>
    </row>
    <row r="467" spans="1:18" ht="30">
      <c r="A467" s="1990" t="s">
        <v>1061</v>
      </c>
      <c r="B467" s="1990" t="s">
        <v>1125</v>
      </c>
      <c r="C467" s="1990" t="s">
        <v>1050</v>
      </c>
      <c r="D467" s="1990" t="s">
        <v>950</v>
      </c>
      <c r="E467" s="1990" t="s">
        <v>1051</v>
      </c>
      <c r="F467" s="1991">
        <v>35589</v>
      </c>
      <c r="G467" s="1991">
        <v>22243125</v>
      </c>
      <c r="H467" s="1991">
        <v>35589</v>
      </c>
      <c r="I467" s="1991">
        <v>35589</v>
      </c>
      <c r="J467" s="1991">
        <v>35589</v>
      </c>
      <c r="K467" s="1991">
        <v>0</v>
      </c>
      <c r="L467" s="1991">
        <v>625</v>
      </c>
      <c r="M467" s="1991">
        <v>625</v>
      </c>
      <c r="N467" s="1990" t="s">
        <v>1052</v>
      </c>
      <c r="O467" s="1990" t="s">
        <v>8286</v>
      </c>
      <c r="P467" s="1990" t="s">
        <v>1124</v>
      </c>
      <c r="Q467" s="1990" t="s">
        <v>1114</v>
      </c>
      <c r="R467" s="1990" t="s">
        <v>1067</v>
      </c>
    </row>
    <row r="468" spans="1:18">
      <c r="A468" s="1990" t="s">
        <v>1059</v>
      </c>
      <c r="B468" s="1990" t="s">
        <v>1406</v>
      </c>
      <c r="C468" s="1990" t="s">
        <v>1050</v>
      </c>
      <c r="D468" s="1990" t="s">
        <v>966</v>
      </c>
      <c r="E468" s="1990" t="s">
        <v>1051</v>
      </c>
      <c r="F468" s="1991">
        <v>26236</v>
      </c>
      <c r="G468" s="1991">
        <v>2623600</v>
      </c>
      <c r="H468" s="1991">
        <v>26236</v>
      </c>
      <c r="I468" s="1991">
        <v>26236</v>
      </c>
      <c r="J468" s="1991">
        <v>26236</v>
      </c>
      <c r="K468" s="1991">
        <v>0</v>
      </c>
      <c r="L468" s="1991">
        <v>100</v>
      </c>
      <c r="M468" s="1991">
        <v>100</v>
      </c>
      <c r="N468" s="1990" t="s">
        <v>1052</v>
      </c>
      <c r="O468" s="1990" t="s">
        <v>8286</v>
      </c>
      <c r="P468" s="1990" t="s">
        <v>966</v>
      </c>
      <c r="Q468" s="1990" t="s">
        <v>1087</v>
      </c>
      <c r="R468" s="1990" t="s">
        <v>1067</v>
      </c>
    </row>
    <row r="469" spans="1:18" ht="30">
      <c r="A469" s="1990" t="s">
        <v>1055</v>
      </c>
      <c r="B469" s="1990" t="s">
        <v>1131</v>
      </c>
      <c r="C469" s="1990" t="s">
        <v>1050</v>
      </c>
      <c r="D469" s="1990" t="s">
        <v>923</v>
      </c>
      <c r="E469" s="1990" t="s">
        <v>1051</v>
      </c>
      <c r="F469" s="1991">
        <v>36947</v>
      </c>
      <c r="G469" s="1991">
        <v>1847350</v>
      </c>
      <c r="H469" s="1991">
        <v>36947</v>
      </c>
      <c r="I469" s="1991">
        <v>36947</v>
      </c>
      <c r="J469" s="1991">
        <v>36947</v>
      </c>
      <c r="K469" s="1991">
        <v>0</v>
      </c>
      <c r="L469" s="1991">
        <v>50</v>
      </c>
      <c r="M469" s="1991">
        <v>50</v>
      </c>
      <c r="N469" s="1990" t="s">
        <v>1052</v>
      </c>
      <c r="O469" s="1990" t="s">
        <v>8286</v>
      </c>
      <c r="P469" s="1990" t="s">
        <v>923</v>
      </c>
      <c r="Q469" s="1990" t="s">
        <v>1132</v>
      </c>
      <c r="R469" s="1990" t="s">
        <v>1054</v>
      </c>
    </row>
    <row r="470" spans="1:18">
      <c r="A470" s="1990" t="s">
        <v>1059</v>
      </c>
      <c r="B470" s="1990" t="s">
        <v>1470</v>
      </c>
      <c r="C470" s="1990" t="s">
        <v>1050</v>
      </c>
      <c r="D470" s="1990" t="s">
        <v>952</v>
      </c>
      <c r="E470" s="1990" t="s">
        <v>1051</v>
      </c>
      <c r="F470" s="1991">
        <v>26369</v>
      </c>
      <c r="G470" s="1991">
        <v>32302025</v>
      </c>
      <c r="H470" s="1991">
        <v>26369</v>
      </c>
      <c r="I470" s="1991">
        <v>26369</v>
      </c>
      <c r="J470" s="1991">
        <v>26369</v>
      </c>
      <c r="K470" s="1991">
        <v>0</v>
      </c>
      <c r="L470" s="1991">
        <v>1225</v>
      </c>
      <c r="M470" s="1991">
        <v>1225</v>
      </c>
      <c r="N470" s="1990" t="s">
        <v>1052</v>
      </c>
      <c r="O470" s="1990" t="s">
        <v>8286</v>
      </c>
      <c r="P470" s="1990" t="s">
        <v>1311</v>
      </c>
      <c r="Q470" s="1990" t="s">
        <v>1312</v>
      </c>
      <c r="R470" s="1990" t="s">
        <v>1054</v>
      </c>
    </row>
    <row r="471" spans="1:18">
      <c r="A471" s="1990" t="s">
        <v>1194</v>
      </c>
      <c r="B471" s="1990" t="s">
        <v>1262</v>
      </c>
      <c r="C471" s="1990" t="s">
        <v>1050</v>
      </c>
      <c r="D471" s="1990" t="s">
        <v>921</v>
      </c>
      <c r="E471" s="1990" t="s">
        <v>1051</v>
      </c>
      <c r="F471" s="1991">
        <v>39877</v>
      </c>
      <c r="G471" s="1991">
        <v>996925</v>
      </c>
      <c r="H471" s="1991">
        <v>39877</v>
      </c>
      <c r="I471" s="1991">
        <v>39877</v>
      </c>
      <c r="J471" s="1991">
        <v>39877</v>
      </c>
      <c r="K471" s="1991">
        <v>0</v>
      </c>
      <c r="L471" s="1991">
        <v>25</v>
      </c>
      <c r="M471" s="1991">
        <v>25</v>
      </c>
      <c r="N471" s="1990" t="s">
        <v>1052</v>
      </c>
      <c r="O471" s="1990" t="s">
        <v>8286</v>
      </c>
      <c r="P471" s="1990" t="s">
        <v>921</v>
      </c>
      <c r="Q471" s="1990" t="s">
        <v>1114</v>
      </c>
      <c r="R471" s="1990" t="s">
        <v>1054</v>
      </c>
    </row>
    <row r="472" spans="1:18" ht="30">
      <c r="A472" s="1990" t="s">
        <v>1179</v>
      </c>
      <c r="B472" s="1990" t="s">
        <v>1203</v>
      </c>
      <c r="C472" s="1990" t="s">
        <v>1050</v>
      </c>
      <c r="D472" s="1990" t="s">
        <v>973</v>
      </c>
      <c r="E472" s="1990" t="s">
        <v>1051</v>
      </c>
      <c r="F472" s="1991">
        <v>76061</v>
      </c>
      <c r="G472" s="1991">
        <v>760610</v>
      </c>
      <c r="H472" s="1991">
        <v>76061</v>
      </c>
      <c r="I472" s="1991">
        <v>76061</v>
      </c>
      <c r="J472" s="1991">
        <v>76061</v>
      </c>
      <c r="K472" s="1991">
        <v>0</v>
      </c>
      <c r="L472" s="1991">
        <v>10</v>
      </c>
      <c r="M472" s="1991">
        <v>10</v>
      </c>
      <c r="N472" s="1990" t="s">
        <v>1052</v>
      </c>
      <c r="O472" s="1990" t="s">
        <v>8286</v>
      </c>
      <c r="P472" s="1990" t="s">
        <v>1201</v>
      </c>
      <c r="Q472" s="1990" t="s">
        <v>1053</v>
      </c>
      <c r="R472" s="1990" t="s">
        <v>1054</v>
      </c>
    </row>
    <row r="473" spans="1:18" ht="30">
      <c r="A473" s="1990" t="s">
        <v>1144</v>
      </c>
      <c r="B473" s="1990" t="s">
        <v>1145</v>
      </c>
      <c r="C473" s="1990" t="s">
        <v>1050</v>
      </c>
      <c r="D473" s="1990" t="s">
        <v>922</v>
      </c>
      <c r="E473" s="1990" t="s">
        <v>1051</v>
      </c>
      <c r="F473" s="1991">
        <v>37366</v>
      </c>
      <c r="G473" s="1991">
        <v>1868300</v>
      </c>
      <c r="H473" s="1991">
        <v>37366</v>
      </c>
      <c r="I473" s="1991">
        <v>37366</v>
      </c>
      <c r="J473" s="1991">
        <v>37366</v>
      </c>
      <c r="K473" s="1991">
        <v>0</v>
      </c>
      <c r="L473" s="1991">
        <v>50</v>
      </c>
      <c r="M473" s="1991">
        <v>50</v>
      </c>
      <c r="N473" s="1990" t="s">
        <v>1052</v>
      </c>
      <c r="O473" s="1990" t="s">
        <v>8286</v>
      </c>
      <c r="P473" s="1990" t="s">
        <v>922</v>
      </c>
      <c r="Q473" s="1990" t="s">
        <v>1087</v>
      </c>
      <c r="R473" s="1990" t="s">
        <v>1054</v>
      </c>
    </row>
    <row r="474" spans="1:18">
      <c r="A474" s="1990" t="s">
        <v>1192</v>
      </c>
      <c r="B474" s="1990" t="s">
        <v>1313</v>
      </c>
      <c r="C474" s="1990" t="s">
        <v>1050</v>
      </c>
      <c r="D474" s="1990" t="s">
        <v>952</v>
      </c>
      <c r="E474" s="1990" t="s">
        <v>1051</v>
      </c>
      <c r="F474" s="1991">
        <v>28121</v>
      </c>
      <c r="G474" s="1991">
        <v>2109075</v>
      </c>
      <c r="H474" s="1991">
        <v>28121</v>
      </c>
      <c r="I474" s="1991">
        <v>28121</v>
      </c>
      <c r="J474" s="1991">
        <v>28121</v>
      </c>
      <c r="K474" s="1991">
        <v>0</v>
      </c>
      <c r="L474" s="1991">
        <v>75</v>
      </c>
      <c r="M474" s="1991">
        <v>75</v>
      </c>
      <c r="N474" s="1990" t="s">
        <v>1052</v>
      </c>
      <c r="O474" s="1990" t="s">
        <v>8286</v>
      </c>
      <c r="P474" s="1990" t="s">
        <v>1311</v>
      </c>
      <c r="Q474" s="1990" t="s">
        <v>1312</v>
      </c>
      <c r="R474" s="1990" t="s">
        <v>1054</v>
      </c>
    </row>
    <row r="475" spans="1:18">
      <c r="A475" s="1990" t="s">
        <v>1146</v>
      </c>
      <c r="B475" s="1990" t="s">
        <v>1257</v>
      </c>
      <c r="C475" s="1990" t="s">
        <v>1050</v>
      </c>
      <c r="D475" s="1990" t="s">
        <v>921</v>
      </c>
      <c r="E475" s="1990" t="s">
        <v>1051</v>
      </c>
      <c r="F475" s="1991">
        <v>35589</v>
      </c>
      <c r="G475" s="1991">
        <v>889725</v>
      </c>
      <c r="H475" s="1991">
        <v>35589</v>
      </c>
      <c r="I475" s="1991">
        <v>35589</v>
      </c>
      <c r="J475" s="1991">
        <v>35589</v>
      </c>
      <c r="K475" s="1991">
        <v>0</v>
      </c>
      <c r="L475" s="1991">
        <v>25</v>
      </c>
      <c r="M475" s="1991">
        <v>25</v>
      </c>
      <c r="N475" s="1990" t="s">
        <v>1052</v>
      </c>
      <c r="O475" s="1990" t="s">
        <v>8286</v>
      </c>
      <c r="P475" s="1990" t="s">
        <v>921</v>
      </c>
      <c r="Q475" s="1990" t="s">
        <v>1114</v>
      </c>
      <c r="R475" s="1990" t="s">
        <v>1054</v>
      </c>
    </row>
    <row r="476" spans="1:18" ht="30">
      <c r="A476" s="1990" t="s">
        <v>1068</v>
      </c>
      <c r="B476" s="1990" t="s">
        <v>1123</v>
      </c>
      <c r="C476" s="1990" t="s">
        <v>1050</v>
      </c>
      <c r="D476" s="1990" t="s">
        <v>950</v>
      </c>
      <c r="E476" s="1990" t="s">
        <v>1051</v>
      </c>
      <c r="F476" s="1991">
        <v>25207</v>
      </c>
      <c r="G476" s="1991">
        <v>10082800</v>
      </c>
      <c r="H476" s="1991">
        <v>25207</v>
      </c>
      <c r="I476" s="1991">
        <v>25207</v>
      </c>
      <c r="J476" s="1991">
        <v>25207</v>
      </c>
      <c r="K476" s="1991">
        <v>0</v>
      </c>
      <c r="L476" s="1991">
        <v>400</v>
      </c>
      <c r="M476" s="1991">
        <v>400</v>
      </c>
      <c r="N476" s="1990" t="s">
        <v>1052</v>
      </c>
      <c r="O476" s="1990" t="s">
        <v>8508</v>
      </c>
      <c r="P476" s="1990" t="s">
        <v>1124</v>
      </c>
      <c r="Q476" s="1990" t="s">
        <v>1114</v>
      </c>
      <c r="R476" s="1990" t="s">
        <v>1067</v>
      </c>
    </row>
    <row r="477" spans="1:18">
      <c r="A477" s="1990" t="s">
        <v>1194</v>
      </c>
      <c r="B477" s="1990" t="s">
        <v>1310</v>
      </c>
      <c r="C477" s="1990" t="s">
        <v>1050</v>
      </c>
      <c r="D477" s="1990" t="s">
        <v>952</v>
      </c>
      <c r="E477" s="1990" t="s">
        <v>1051</v>
      </c>
      <c r="F477" s="1991">
        <v>39877</v>
      </c>
      <c r="G477" s="1991">
        <v>25920050</v>
      </c>
      <c r="H477" s="1991">
        <v>39877</v>
      </c>
      <c r="I477" s="1991">
        <v>39877</v>
      </c>
      <c r="J477" s="1991">
        <v>39877</v>
      </c>
      <c r="K477" s="1991">
        <v>0</v>
      </c>
      <c r="L477" s="1991">
        <v>650</v>
      </c>
      <c r="M477" s="1991">
        <v>650</v>
      </c>
      <c r="N477" s="1990" t="s">
        <v>1052</v>
      </c>
      <c r="O477" s="1990" t="s">
        <v>8508</v>
      </c>
      <c r="P477" s="1990" t="s">
        <v>1311</v>
      </c>
      <c r="Q477" s="1990" t="s">
        <v>1312</v>
      </c>
      <c r="R477" s="1990" t="s">
        <v>1054</v>
      </c>
    </row>
    <row r="478" spans="1:18" ht="30">
      <c r="A478" s="1990" t="s">
        <v>1179</v>
      </c>
      <c r="B478" s="1990" t="s">
        <v>1203</v>
      </c>
      <c r="C478" s="1990" t="s">
        <v>1050</v>
      </c>
      <c r="D478" s="1990" t="s">
        <v>973</v>
      </c>
      <c r="E478" s="1990" t="s">
        <v>1051</v>
      </c>
      <c r="F478" s="1991">
        <v>76061</v>
      </c>
      <c r="G478" s="1991">
        <v>760610</v>
      </c>
      <c r="H478" s="1991">
        <v>76061</v>
      </c>
      <c r="I478" s="1991">
        <v>76061</v>
      </c>
      <c r="J478" s="1991">
        <v>76061</v>
      </c>
      <c r="K478" s="1991">
        <v>0</v>
      </c>
      <c r="L478" s="1991">
        <v>10</v>
      </c>
      <c r="M478" s="1991">
        <v>10</v>
      </c>
      <c r="N478" s="1990" t="s">
        <v>1052</v>
      </c>
      <c r="O478" s="1990" t="s">
        <v>8508</v>
      </c>
      <c r="P478" s="1990" t="s">
        <v>1201</v>
      </c>
      <c r="Q478" s="1990" t="s">
        <v>1053</v>
      </c>
      <c r="R478" s="1990" t="s">
        <v>1054</v>
      </c>
    </row>
    <row r="479" spans="1:18">
      <c r="A479" s="1990" t="s">
        <v>1192</v>
      </c>
      <c r="B479" s="1990" t="s">
        <v>1313</v>
      </c>
      <c r="C479" s="1990" t="s">
        <v>1050</v>
      </c>
      <c r="D479" s="1990" t="s">
        <v>952</v>
      </c>
      <c r="E479" s="1990" t="s">
        <v>1051</v>
      </c>
      <c r="F479" s="1991">
        <v>28121</v>
      </c>
      <c r="G479" s="1991">
        <v>703025</v>
      </c>
      <c r="H479" s="1991">
        <v>28121</v>
      </c>
      <c r="I479" s="1991">
        <v>28121</v>
      </c>
      <c r="J479" s="1991">
        <v>28121</v>
      </c>
      <c r="K479" s="1991">
        <v>0</v>
      </c>
      <c r="L479" s="1991">
        <v>25</v>
      </c>
      <c r="M479" s="1991">
        <v>25</v>
      </c>
      <c r="N479" s="1990" t="s">
        <v>1052</v>
      </c>
      <c r="O479" s="1990" t="s">
        <v>8508</v>
      </c>
      <c r="P479" s="1990" t="s">
        <v>1311</v>
      </c>
      <c r="Q479" s="1990" t="s">
        <v>1312</v>
      </c>
      <c r="R479" s="1990" t="s">
        <v>1054</v>
      </c>
    </row>
    <row r="480" spans="1:18" ht="30">
      <c r="A480" s="1990" t="s">
        <v>1144</v>
      </c>
      <c r="B480" s="1990" t="s">
        <v>1145</v>
      </c>
      <c r="C480" s="1990" t="s">
        <v>1050</v>
      </c>
      <c r="D480" s="1990" t="s">
        <v>922</v>
      </c>
      <c r="E480" s="1990" t="s">
        <v>1051</v>
      </c>
      <c r="F480" s="1991">
        <v>37366</v>
      </c>
      <c r="G480" s="1991">
        <v>2989280</v>
      </c>
      <c r="H480" s="1991">
        <v>37366</v>
      </c>
      <c r="I480" s="1991">
        <v>37366</v>
      </c>
      <c r="J480" s="1991">
        <v>37366</v>
      </c>
      <c r="K480" s="1991">
        <v>0</v>
      </c>
      <c r="L480" s="1991">
        <v>80</v>
      </c>
      <c r="M480" s="1991">
        <v>80</v>
      </c>
      <c r="N480" s="1990" t="s">
        <v>1052</v>
      </c>
      <c r="O480" s="1990" t="s">
        <v>8508</v>
      </c>
      <c r="P480" s="1990" t="s">
        <v>922</v>
      </c>
      <c r="Q480" s="1990" t="s">
        <v>1087</v>
      </c>
      <c r="R480" s="1990" t="s">
        <v>1054</v>
      </c>
    </row>
    <row r="481" spans="1:18">
      <c r="A481" s="1990" t="s">
        <v>1219</v>
      </c>
      <c r="B481" s="1990" t="s">
        <v>1258</v>
      </c>
      <c r="C481" s="1990" t="s">
        <v>1050</v>
      </c>
      <c r="D481" s="1990" t="s">
        <v>921</v>
      </c>
      <c r="E481" s="1990" t="s">
        <v>1051</v>
      </c>
      <c r="F481" s="1991">
        <v>25045</v>
      </c>
      <c r="G481" s="1991">
        <v>1252250</v>
      </c>
      <c r="H481" s="1991">
        <v>25045</v>
      </c>
      <c r="I481" s="1991">
        <v>25045</v>
      </c>
      <c r="J481" s="1991">
        <v>25045</v>
      </c>
      <c r="K481" s="1991">
        <v>0</v>
      </c>
      <c r="L481" s="1991">
        <v>50</v>
      </c>
      <c r="M481" s="1991">
        <v>50</v>
      </c>
      <c r="N481" s="1990" t="s">
        <v>1052</v>
      </c>
      <c r="O481" s="1990" t="s">
        <v>8508</v>
      </c>
      <c r="P481" s="1990" t="s">
        <v>921</v>
      </c>
      <c r="Q481" s="1990" t="s">
        <v>1114</v>
      </c>
      <c r="R481" s="1990" t="s">
        <v>1054</v>
      </c>
    </row>
    <row r="482" spans="1:18" ht="30">
      <c r="A482" s="1990" t="s">
        <v>1055</v>
      </c>
      <c r="B482" s="1990" t="s">
        <v>1131</v>
      </c>
      <c r="C482" s="1990" t="s">
        <v>1050</v>
      </c>
      <c r="D482" s="1990" t="s">
        <v>923</v>
      </c>
      <c r="E482" s="1990" t="s">
        <v>1051</v>
      </c>
      <c r="F482" s="1991">
        <v>36947</v>
      </c>
      <c r="G482" s="1991">
        <v>369470</v>
      </c>
      <c r="H482" s="1991">
        <v>36947</v>
      </c>
      <c r="I482" s="1991">
        <v>36947</v>
      </c>
      <c r="J482" s="1991">
        <v>36947</v>
      </c>
      <c r="K482" s="1991">
        <v>0</v>
      </c>
      <c r="L482" s="1991">
        <v>10</v>
      </c>
      <c r="M482" s="1991">
        <v>10</v>
      </c>
      <c r="N482" s="1990" t="s">
        <v>1052</v>
      </c>
      <c r="O482" s="1990" t="s">
        <v>8508</v>
      </c>
      <c r="P482" s="1990" t="s">
        <v>923</v>
      </c>
      <c r="Q482" s="1990" t="s">
        <v>1132</v>
      </c>
      <c r="R482" s="1990" t="s">
        <v>1054</v>
      </c>
    </row>
    <row r="483" spans="1:18" ht="30">
      <c r="A483" s="1990" t="s">
        <v>1061</v>
      </c>
      <c r="B483" s="1990" t="s">
        <v>1125</v>
      </c>
      <c r="C483" s="1990" t="s">
        <v>1050</v>
      </c>
      <c r="D483" s="1990" t="s">
        <v>950</v>
      </c>
      <c r="E483" s="1990" t="s">
        <v>1051</v>
      </c>
      <c r="F483" s="1991">
        <v>35589</v>
      </c>
      <c r="G483" s="1991">
        <v>1779450</v>
      </c>
      <c r="H483" s="1991">
        <v>35589</v>
      </c>
      <c r="I483" s="1991">
        <v>35589</v>
      </c>
      <c r="J483" s="1991">
        <v>35589</v>
      </c>
      <c r="K483" s="1990">
        <v>0</v>
      </c>
      <c r="L483" s="1991">
        <v>50</v>
      </c>
      <c r="M483" s="1990">
        <v>50</v>
      </c>
      <c r="N483" s="1990" t="s">
        <v>1052</v>
      </c>
      <c r="O483" s="1990" t="s">
        <v>8508</v>
      </c>
      <c r="P483" s="1990" t="s">
        <v>1124</v>
      </c>
      <c r="Q483" s="1990" t="s">
        <v>1114</v>
      </c>
      <c r="R483" s="1990" t="s">
        <v>1067</v>
      </c>
    </row>
    <row r="484" spans="1:18" ht="30">
      <c r="A484" s="1990" t="s">
        <v>1115</v>
      </c>
      <c r="B484" s="1990" t="s">
        <v>1116</v>
      </c>
      <c r="C484" s="1990" t="s">
        <v>1050</v>
      </c>
      <c r="D484" s="1990" t="s">
        <v>942</v>
      </c>
      <c r="E484" s="1990" t="s">
        <v>1051</v>
      </c>
      <c r="F484" s="1991">
        <v>45114</v>
      </c>
      <c r="G484" s="1991">
        <v>198276030</v>
      </c>
      <c r="H484" s="1991">
        <v>45114</v>
      </c>
      <c r="I484" s="1991">
        <v>45114</v>
      </c>
      <c r="J484" s="1991">
        <v>45114</v>
      </c>
      <c r="K484" s="1991">
        <v>0</v>
      </c>
      <c r="L484" s="1991">
        <v>4395</v>
      </c>
      <c r="M484" s="1991">
        <v>4395</v>
      </c>
      <c r="N484" s="1990" t="s">
        <v>1052</v>
      </c>
      <c r="O484" s="1990" t="s">
        <v>8508</v>
      </c>
      <c r="P484" s="1990" t="s">
        <v>1117</v>
      </c>
      <c r="Q484" s="1990" t="s">
        <v>1118</v>
      </c>
      <c r="R484" s="1990" t="s">
        <v>1054</v>
      </c>
    </row>
    <row r="485" spans="1:18" ht="30">
      <c r="A485" s="1990" t="s">
        <v>1119</v>
      </c>
      <c r="B485" s="1990" t="s">
        <v>1120</v>
      </c>
      <c r="C485" s="1990" t="s">
        <v>1050</v>
      </c>
      <c r="D485" s="1990" t="s">
        <v>942</v>
      </c>
      <c r="E485" s="1990" t="s">
        <v>1051</v>
      </c>
      <c r="F485" s="1991">
        <v>44070</v>
      </c>
      <c r="G485" s="1991">
        <v>79326000</v>
      </c>
      <c r="H485" s="1991">
        <v>44070</v>
      </c>
      <c r="I485" s="1991">
        <v>44070</v>
      </c>
      <c r="J485" s="1991">
        <v>44070</v>
      </c>
      <c r="K485" s="1991">
        <v>0</v>
      </c>
      <c r="L485" s="1991">
        <v>1800</v>
      </c>
      <c r="M485" s="1991">
        <v>1800</v>
      </c>
      <c r="N485" s="1990" t="s">
        <v>1052</v>
      </c>
      <c r="O485" s="1990" t="s">
        <v>8508</v>
      </c>
      <c r="P485" s="1990" t="s">
        <v>1117</v>
      </c>
      <c r="Q485" s="1990" t="s">
        <v>1118</v>
      </c>
      <c r="R485" s="1990" t="s">
        <v>1054</v>
      </c>
    </row>
    <row r="486" spans="1:18">
      <c r="A486" s="1990" t="s">
        <v>1059</v>
      </c>
      <c r="B486" s="1990" t="s">
        <v>1060</v>
      </c>
      <c r="C486" s="1990" t="s">
        <v>1050</v>
      </c>
      <c r="D486" s="1990" t="s">
        <v>930</v>
      </c>
      <c r="E486" s="1990" t="s">
        <v>1051</v>
      </c>
      <c r="F486" s="1991">
        <v>27718</v>
      </c>
      <c r="G486" s="1991">
        <v>1385900</v>
      </c>
      <c r="H486" s="1991">
        <v>27718</v>
      </c>
      <c r="I486" s="1991">
        <v>27718</v>
      </c>
      <c r="J486" s="1991">
        <v>27718</v>
      </c>
      <c r="K486" s="1990">
        <v>0</v>
      </c>
      <c r="L486" s="1991">
        <v>50</v>
      </c>
      <c r="M486" s="1990">
        <v>50</v>
      </c>
      <c r="N486" s="1990" t="s">
        <v>1052</v>
      </c>
      <c r="O486" s="1990" t="s">
        <v>8508</v>
      </c>
      <c r="P486" s="1990" t="s">
        <v>930</v>
      </c>
      <c r="Q486" s="1990" t="s">
        <v>1053</v>
      </c>
      <c r="R486" s="1990" t="s">
        <v>1054</v>
      </c>
    </row>
    <row r="487" spans="1:18">
      <c r="A487" s="1990" t="s">
        <v>1194</v>
      </c>
      <c r="B487" s="1990" t="s">
        <v>1310</v>
      </c>
      <c r="C487" s="1990" t="s">
        <v>1050</v>
      </c>
      <c r="D487" s="1990" t="s">
        <v>952</v>
      </c>
      <c r="E487" s="1990" t="s">
        <v>1051</v>
      </c>
      <c r="F487" s="1991">
        <v>39877</v>
      </c>
      <c r="G487" s="1991">
        <v>1993850</v>
      </c>
      <c r="H487" s="1991">
        <v>39877</v>
      </c>
      <c r="I487" s="1991">
        <v>39877</v>
      </c>
      <c r="J487" s="1991">
        <v>39877</v>
      </c>
      <c r="K487" s="1991">
        <v>0</v>
      </c>
      <c r="L487" s="1991">
        <v>50</v>
      </c>
      <c r="M487" s="1991">
        <v>50</v>
      </c>
      <c r="N487" s="1990" t="s">
        <v>1052</v>
      </c>
      <c r="O487" s="1990" t="s">
        <v>8509</v>
      </c>
      <c r="P487" s="1990" t="s">
        <v>1311</v>
      </c>
      <c r="Q487" s="1990" t="s">
        <v>1312</v>
      </c>
      <c r="R487" s="1990" t="s">
        <v>1054</v>
      </c>
    </row>
    <row r="488" spans="1:18">
      <c r="A488" s="1990" t="s">
        <v>1057</v>
      </c>
      <c r="B488" s="1990" t="s">
        <v>1399</v>
      </c>
      <c r="C488" s="1990" t="s">
        <v>1050</v>
      </c>
      <c r="D488" s="1990" t="s">
        <v>921</v>
      </c>
      <c r="E488" s="1990" t="s">
        <v>1054</v>
      </c>
      <c r="F488" s="1991">
        <v>37366</v>
      </c>
      <c r="G488" s="1991">
        <v>49509950</v>
      </c>
      <c r="H488" s="1991">
        <v>37366</v>
      </c>
      <c r="I488" s="1991">
        <v>37366</v>
      </c>
      <c r="J488" s="1991">
        <v>37366</v>
      </c>
      <c r="K488" s="1991">
        <v>1500</v>
      </c>
      <c r="L488" s="1991">
        <v>1325</v>
      </c>
      <c r="M488" s="1991">
        <v>1325</v>
      </c>
      <c r="N488" s="1990" t="s">
        <v>1052</v>
      </c>
      <c r="O488" s="1990" t="s">
        <v>8509</v>
      </c>
      <c r="P488" s="1990" t="s">
        <v>921</v>
      </c>
      <c r="Q488" s="1990" t="s">
        <v>1114</v>
      </c>
      <c r="R488" s="1990" t="s">
        <v>1054</v>
      </c>
    </row>
    <row r="489" spans="1:18" ht="30">
      <c r="A489" s="1990" t="s">
        <v>1057</v>
      </c>
      <c r="B489" s="1990" t="s">
        <v>1432</v>
      </c>
      <c r="C489" s="1990" t="s">
        <v>1050</v>
      </c>
      <c r="D489" s="1990" t="s">
        <v>926</v>
      </c>
      <c r="E489" s="1990" t="s">
        <v>1054</v>
      </c>
      <c r="F489" s="1991">
        <v>43836</v>
      </c>
      <c r="G489" s="1991">
        <v>172275480</v>
      </c>
      <c r="H489" s="1991">
        <v>43836</v>
      </c>
      <c r="I489" s="1991">
        <v>43836</v>
      </c>
      <c r="J489" s="1991">
        <v>43836</v>
      </c>
      <c r="K489" s="1991">
        <v>4000</v>
      </c>
      <c r="L489" s="1991">
        <v>3930</v>
      </c>
      <c r="M489" s="1991">
        <v>3930</v>
      </c>
      <c r="N489" s="1990" t="s">
        <v>1052</v>
      </c>
      <c r="O489" s="1990" t="s">
        <v>8509</v>
      </c>
      <c r="P489" s="1990" t="s">
        <v>926</v>
      </c>
      <c r="Q489" s="1990" t="s">
        <v>1252</v>
      </c>
      <c r="R489" s="1990" t="s">
        <v>1054</v>
      </c>
    </row>
    <row r="490" spans="1:18" ht="30">
      <c r="A490" s="1990" t="s">
        <v>1119</v>
      </c>
      <c r="B490" s="1990" t="s">
        <v>1465</v>
      </c>
      <c r="C490" s="1990" t="s">
        <v>1050</v>
      </c>
      <c r="D490" s="1990" t="s">
        <v>934</v>
      </c>
      <c r="E490" s="1990" t="s">
        <v>1054</v>
      </c>
      <c r="F490" s="1991">
        <v>42015</v>
      </c>
      <c r="G490" s="1991">
        <v>8403000</v>
      </c>
      <c r="H490" s="1991">
        <v>42015</v>
      </c>
      <c r="I490" s="1991">
        <v>42015</v>
      </c>
      <c r="J490" s="1991">
        <v>42015</v>
      </c>
      <c r="K490" s="1991">
        <v>200</v>
      </c>
      <c r="L490" s="1991">
        <v>200</v>
      </c>
      <c r="M490" s="1991">
        <v>200</v>
      </c>
      <c r="N490" s="1990" t="s">
        <v>1052</v>
      </c>
      <c r="O490" s="1990" t="s">
        <v>8509</v>
      </c>
      <c r="P490" s="1990" t="s">
        <v>934</v>
      </c>
      <c r="Q490" s="1990" t="s">
        <v>1292</v>
      </c>
      <c r="R490" s="1990" t="s">
        <v>1054</v>
      </c>
    </row>
    <row r="491" spans="1:18">
      <c r="A491" s="1990" t="s">
        <v>1057</v>
      </c>
      <c r="B491" s="1990" t="s">
        <v>1323</v>
      </c>
      <c r="C491" s="1990" t="s">
        <v>1050</v>
      </c>
      <c r="D491" s="1990" t="s">
        <v>915</v>
      </c>
      <c r="E491" s="1990" t="s">
        <v>1054</v>
      </c>
      <c r="F491" s="1991">
        <v>41322</v>
      </c>
      <c r="G491" s="1991">
        <v>923133480</v>
      </c>
      <c r="H491" s="1991">
        <v>41322</v>
      </c>
      <c r="I491" s="1991">
        <v>41322</v>
      </c>
      <c r="J491" s="1991">
        <v>41322</v>
      </c>
      <c r="K491" s="1991">
        <v>23000</v>
      </c>
      <c r="L491" s="1991">
        <v>22710</v>
      </c>
      <c r="M491" s="1991">
        <v>22340</v>
      </c>
      <c r="N491" s="1990" t="s">
        <v>1052</v>
      </c>
      <c r="O491" s="1990" t="s">
        <v>8509</v>
      </c>
      <c r="P491" s="1990" t="s">
        <v>915</v>
      </c>
      <c r="Q491" s="1990" t="s">
        <v>1053</v>
      </c>
      <c r="R491" s="1990" t="s">
        <v>1054</v>
      </c>
    </row>
    <row r="492" spans="1:18" ht="30">
      <c r="A492" s="1990" t="s">
        <v>1055</v>
      </c>
      <c r="B492" s="1990" t="s">
        <v>1131</v>
      </c>
      <c r="C492" s="1990" t="s">
        <v>1050</v>
      </c>
      <c r="D492" s="1990" t="s">
        <v>923</v>
      </c>
      <c r="E492" s="1990" t="s">
        <v>1054</v>
      </c>
      <c r="F492" s="1991">
        <v>36578</v>
      </c>
      <c r="G492" s="1991">
        <v>43527820</v>
      </c>
      <c r="H492" s="1991">
        <v>36578</v>
      </c>
      <c r="I492" s="1991">
        <v>36578</v>
      </c>
      <c r="J492" s="1991">
        <v>36578</v>
      </c>
      <c r="K492" s="1991">
        <v>2000</v>
      </c>
      <c r="L492" s="1991">
        <v>2920</v>
      </c>
      <c r="M492" s="1991">
        <v>1190</v>
      </c>
      <c r="N492" s="1990" t="s">
        <v>1052</v>
      </c>
      <c r="O492" s="1990" t="s">
        <v>8509</v>
      </c>
      <c r="P492" s="1990" t="s">
        <v>923</v>
      </c>
      <c r="Q492" s="1990" t="s">
        <v>1132</v>
      </c>
      <c r="R492" s="1990" t="s">
        <v>1054</v>
      </c>
    </row>
    <row r="493" spans="1:18">
      <c r="A493" s="1990" t="s">
        <v>1068</v>
      </c>
      <c r="B493" s="1990" t="s">
        <v>1094</v>
      </c>
      <c r="C493" s="1990" t="s">
        <v>1050</v>
      </c>
      <c r="D493" s="1990" t="s">
        <v>928</v>
      </c>
      <c r="E493" s="1990" t="s">
        <v>1054</v>
      </c>
      <c r="F493" s="1991">
        <v>25015</v>
      </c>
      <c r="G493" s="1991">
        <v>3752250</v>
      </c>
      <c r="H493" s="1991">
        <v>25015</v>
      </c>
      <c r="I493" s="1991">
        <v>25015</v>
      </c>
      <c r="J493" s="1991">
        <v>25015</v>
      </c>
      <c r="K493" s="1991">
        <v>2000</v>
      </c>
      <c r="L493" s="1991">
        <v>150</v>
      </c>
      <c r="M493" s="1991">
        <v>150</v>
      </c>
      <c r="N493" s="1990" t="s">
        <v>1052</v>
      </c>
      <c r="O493" s="1990" t="s">
        <v>8509</v>
      </c>
      <c r="P493" s="1990" t="s">
        <v>928</v>
      </c>
      <c r="Q493" s="1990" t="s">
        <v>1053</v>
      </c>
      <c r="R493" s="1990" t="s">
        <v>1054</v>
      </c>
    </row>
    <row r="494" spans="1:18" ht="30">
      <c r="A494" s="1990" t="s">
        <v>1057</v>
      </c>
      <c r="B494" s="1990" t="s">
        <v>1375</v>
      </c>
      <c r="C494" s="1990" t="s">
        <v>1050</v>
      </c>
      <c r="D494" s="1990" t="s">
        <v>899</v>
      </c>
      <c r="E494" s="1990" t="s">
        <v>1054</v>
      </c>
      <c r="F494" s="1991">
        <v>41713</v>
      </c>
      <c r="G494" s="1991">
        <v>369160050</v>
      </c>
      <c r="H494" s="1991">
        <v>41713</v>
      </c>
      <c r="I494" s="1991">
        <v>41713</v>
      </c>
      <c r="J494" s="1991">
        <v>41713</v>
      </c>
      <c r="K494" s="1991">
        <v>10000</v>
      </c>
      <c r="L494" s="1991">
        <v>8850</v>
      </c>
      <c r="M494" s="1991">
        <v>8850</v>
      </c>
      <c r="N494" s="1990" t="s">
        <v>1052</v>
      </c>
      <c r="O494" s="1990" t="s">
        <v>8509</v>
      </c>
      <c r="P494" s="1990" t="s">
        <v>899</v>
      </c>
      <c r="Q494" s="1990" t="s">
        <v>1075</v>
      </c>
      <c r="R494" s="1990" t="s">
        <v>1054</v>
      </c>
    </row>
    <row r="495" spans="1:18">
      <c r="A495" s="1990" t="s">
        <v>1085</v>
      </c>
      <c r="B495" s="1990" t="s">
        <v>1466</v>
      </c>
      <c r="C495" s="1990" t="s">
        <v>1050</v>
      </c>
      <c r="D495" s="1990" t="s">
        <v>952</v>
      </c>
      <c r="E495" s="1990" t="s">
        <v>1054</v>
      </c>
      <c r="F495" s="1991">
        <v>26268</v>
      </c>
      <c r="G495" s="1991">
        <v>48595800</v>
      </c>
      <c r="H495" s="1991">
        <v>26268</v>
      </c>
      <c r="I495" s="1991">
        <v>26268</v>
      </c>
      <c r="J495" s="1991">
        <v>26268</v>
      </c>
      <c r="K495" s="1991">
        <v>2000</v>
      </c>
      <c r="L495" s="1991">
        <v>2050</v>
      </c>
      <c r="M495" s="1991">
        <v>1850</v>
      </c>
      <c r="N495" s="1990" t="s">
        <v>1052</v>
      </c>
      <c r="O495" s="1990" t="s">
        <v>8509</v>
      </c>
      <c r="P495" s="1990" t="s">
        <v>1311</v>
      </c>
      <c r="Q495" s="1990" t="s">
        <v>1312</v>
      </c>
      <c r="R495" s="1990" t="s">
        <v>1054</v>
      </c>
    </row>
    <row r="496" spans="1:18">
      <c r="A496" s="1990" t="s">
        <v>1057</v>
      </c>
      <c r="B496" s="1990" t="s">
        <v>1436</v>
      </c>
      <c r="C496" s="1990" t="s">
        <v>1050</v>
      </c>
      <c r="D496" s="1990" t="s">
        <v>919</v>
      </c>
      <c r="E496" s="1990" t="s">
        <v>1054</v>
      </c>
      <c r="F496" s="1991">
        <v>37366</v>
      </c>
      <c r="G496" s="1991">
        <v>14012250</v>
      </c>
      <c r="H496" s="1991">
        <v>37366</v>
      </c>
      <c r="I496" s="1991">
        <v>37366</v>
      </c>
      <c r="J496" s="1991">
        <v>37366</v>
      </c>
      <c r="K496" s="1991">
        <v>500</v>
      </c>
      <c r="L496" s="1991">
        <v>375</v>
      </c>
      <c r="M496" s="1991">
        <v>375</v>
      </c>
      <c r="N496" s="1990" t="s">
        <v>1052</v>
      </c>
      <c r="O496" s="1990" t="s">
        <v>8509</v>
      </c>
      <c r="P496" s="1990" t="s">
        <v>919</v>
      </c>
      <c r="Q496" s="1990" t="s">
        <v>1053</v>
      </c>
      <c r="R496" s="1990" t="s">
        <v>1054</v>
      </c>
    </row>
    <row r="497" spans="1:18">
      <c r="A497" s="1990" t="s">
        <v>1059</v>
      </c>
      <c r="B497" s="1990" t="s">
        <v>1401</v>
      </c>
      <c r="C497" s="1990" t="s">
        <v>1050</v>
      </c>
      <c r="D497" s="1990" t="s">
        <v>921</v>
      </c>
      <c r="E497" s="1990" t="s">
        <v>1054</v>
      </c>
      <c r="F497" s="1991">
        <v>28060</v>
      </c>
      <c r="G497" s="1991">
        <v>43493000</v>
      </c>
      <c r="H497" s="1991">
        <v>28060</v>
      </c>
      <c r="I497" s="1991">
        <v>28060</v>
      </c>
      <c r="J497" s="1991">
        <v>28060</v>
      </c>
      <c r="K497" s="1991">
        <v>2200</v>
      </c>
      <c r="L497" s="1991">
        <v>1700</v>
      </c>
      <c r="M497" s="1991">
        <v>1550</v>
      </c>
      <c r="N497" s="1990" t="s">
        <v>1052</v>
      </c>
      <c r="O497" s="1990" t="s">
        <v>8509</v>
      </c>
      <c r="P497" s="1990" t="s">
        <v>921</v>
      </c>
      <c r="Q497" s="1990" t="s">
        <v>1114</v>
      </c>
      <c r="R497" s="1990" t="s">
        <v>1054</v>
      </c>
    </row>
    <row r="498" spans="1:18">
      <c r="A498" s="1990" t="s">
        <v>1057</v>
      </c>
      <c r="B498" s="1990" t="s">
        <v>1472</v>
      </c>
      <c r="C498" s="1990" t="s">
        <v>1050</v>
      </c>
      <c r="D498" s="1990" t="s">
        <v>952</v>
      </c>
      <c r="E498" s="1990" t="s">
        <v>1054</v>
      </c>
      <c r="F498" s="1991">
        <v>38437</v>
      </c>
      <c r="G498" s="1991">
        <v>283472875</v>
      </c>
      <c r="H498" s="1991">
        <v>38437</v>
      </c>
      <c r="I498" s="1991">
        <v>38437</v>
      </c>
      <c r="J498" s="1991">
        <v>38437</v>
      </c>
      <c r="K498" s="1991">
        <v>14000</v>
      </c>
      <c r="L498" s="1991">
        <v>7825</v>
      </c>
      <c r="M498" s="1991">
        <v>7375</v>
      </c>
      <c r="N498" s="1990" t="s">
        <v>1052</v>
      </c>
      <c r="O498" s="1990" t="s">
        <v>8509</v>
      </c>
      <c r="P498" s="1990" t="s">
        <v>1311</v>
      </c>
      <c r="Q498" s="1990" t="s">
        <v>1312</v>
      </c>
      <c r="R498" s="1990" t="s">
        <v>1054</v>
      </c>
    </row>
    <row r="499" spans="1:18">
      <c r="A499" s="1990" t="s">
        <v>1059</v>
      </c>
      <c r="B499" s="1990" t="s">
        <v>1460</v>
      </c>
      <c r="C499" s="1990" t="s">
        <v>1050</v>
      </c>
      <c r="D499" s="1990" t="s">
        <v>927</v>
      </c>
      <c r="E499" s="1990" t="s">
        <v>1054</v>
      </c>
      <c r="F499" s="1991">
        <v>27305</v>
      </c>
      <c r="G499" s="1991">
        <v>247792875</v>
      </c>
      <c r="H499" s="1991">
        <v>27305</v>
      </c>
      <c r="I499" s="1991">
        <v>27305</v>
      </c>
      <c r="J499" s="1991">
        <v>27305</v>
      </c>
      <c r="K499" s="1991">
        <v>11000</v>
      </c>
      <c r="L499" s="1991">
        <v>9075</v>
      </c>
      <c r="M499" s="1991">
        <v>9075</v>
      </c>
      <c r="N499" s="1990" t="s">
        <v>1052</v>
      </c>
      <c r="O499" s="1990" t="s">
        <v>8509</v>
      </c>
      <c r="P499" s="1990" t="s">
        <v>927</v>
      </c>
      <c r="Q499" s="1990" t="s">
        <v>1143</v>
      </c>
      <c r="R499" s="1990" t="s">
        <v>1054</v>
      </c>
    </row>
    <row r="500" spans="1:18">
      <c r="A500" s="1990" t="s">
        <v>1138</v>
      </c>
      <c r="B500" s="1990" t="s">
        <v>1471</v>
      </c>
      <c r="C500" s="1990" t="s">
        <v>1050</v>
      </c>
      <c r="D500" s="1990" t="s">
        <v>952</v>
      </c>
      <c r="E500" s="1990" t="s">
        <v>1054</v>
      </c>
      <c r="F500" s="1991">
        <v>26844</v>
      </c>
      <c r="G500" s="1991">
        <v>11408700</v>
      </c>
      <c r="H500" s="1991">
        <v>26844</v>
      </c>
      <c r="I500" s="1991">
        <v>26844</v>
      </c>
      <c r="J500" s="1991">
        <v>26844</v>
      </c>
      <c r="K500" s="1991">
        <v>1200</v>
      </c>
      <c r="L500" s="1991">
        <v>425</v>
      </c>
      <c r="M500" s="1991">
        <v>425</v>
      </c>
      <c r="N500" s="1990" t="s">
        <v>1052</v>
      </c>
      <c r="O500" s="1990" t="s">
        <v>8509</v>
      </c>
      <c r="P500" s="1990" t="s">
        <v>1311</v>
      </c>
      <c r="Q500" s="1990" t="s">
        <v>1312</v>
      </c>
      <c r="R500" s="1990" t="s">
        <v>1054</v>
      </c>
    </row>
    <row r="501" spans="1:18">
      <c r="A501" s="1990" t="s">
        <v>1076</v>
      </c>
      <c r="B501" s="1990" t="s">
        <v>1320</v>
      </c>
      <c r="C501" s="1990" t="s">
        <v>1050</v>
      </c>
      <c r="D501" s="1990" t="s">
        <v>906</v>
      </c>
      <c r="E501" s="1990" t="s">
        <v>1054</v>
      </c>
      <c r="F501" s="1991">
        <v>36504</v>
      </c>
      <c r="G501" s="1991">
        <v>155872080</v>
      </c>
      <c r="H501" s="1991">
        <v>36504</v>
      </c>
      <c r="I501" s="1991">
        <v>36504</v>
      </c>
      <c r="J501" s="1991">
        <v>36504</v>
      </c>
      <c r="K501" s="1990">
        <v>5000</v>
      </c>
      <c r="L501" s="1990">
        <v>4270</v>
      </c>
      <c r="M501" s="1990">
        <v>4270</v>
      </c>
      <c r="N501" s="1990" t="s">
        <v>1052</v>
      </c>
      <c r="O501" s="1990" t="s">
        <v>8509</v>
      </c>
      <c r="P501" s="1990" t="s">
        <v>906</v>
      </c>
      <c r="Q501" s="1990" t="s">
        <v>1063</v>
      </c>
      <c r="R501" s="1990" t="s">
        <v>1054</v>
      </c>
    </row>
    <row r="502" spans="1:18">
      <c r="A502" s="1990" t="s">
        <v>1059</v>
      </c>
      <c r="B502" s="1990" t="s">
        <v>1122</v>
      </c>
      <c r="C502" s="1990" t="s">
        <v>1050</v>
      </c>
      <c r="D502" s="1990" t="s">
        <v>920</v>
      </c>
      <c r="E502" s="1990" t="s">
        <v>1054</v>
      </c>
      <c r="F502" s="1991">
        <v>26295</v>
      </c>
      <c r="G502" s="1991">
        <v>88088250</v>
      </c>
      <c r="H502" s="1991">
        <v>26295</v>
      </c>
      <c r="I502" s="1991">
        <v>26295</v>
      </c>
      <c r="J502" s="1991">
        <v>26295</v>
      </c>
      <c r="K502" s="1991">
        <v>5000</v>
      </c>
      <c r="L502" s="1991">
        <v>4375</v>
      </c>
      <c r="M502" s="1991">
        <v>3350</v>
      </c>
      <c r="N502" s="1990" t="s">
        <v>1052</v>
      </c>
      <c r="O502" s="1990" t="s">
        <v>8509</v>
      </c>
      <c r="P502" s="1990" t="s">
        <v>920</v>
      </c>
      <c r="Q502" s="1990" t="s">
        <v>1114</v>
      </c>
      <c r="R502" s="1990" t="s">
        <v>1054</v>
      </c>
    </row>
    <row r="503" spans="1:18" ht="45">
      <c r="A503" s="1990" t="s">
        <v>1057</v>
      </c>
      <c r="B503" s="1990" t="s">
        <v>1390</v>
      </c>
      <c r="C503" s="1990" t="s">
        <v>1050</v>
      </c>
      <c r="D503" s="1990" t="s">
        <v>925</v>
      </c>
      <c r="E503" s="1990" t="s">
        <v>1054</v>
      </c>
      <c r="F503" s="1991">
        <v>39544</v>
      </c>
      <c r="G503" s="1991">
        <v>373295360</v>
      </c>
      <c r="H503" s="1991">
        <v>39544</v>
      </c>
      <c r="I503" s="1991">
        <v>39544</v>
      </c>
      <c r="J503" s="1991">
        <v>39544</v>
      </c>
      <c r="K503" s="1991">
        <v>10000</v>
      </c>
      <c r="L503" s="1991">
        <v>9440</v>
      </c>
      <c r="M503" s="1991">
        <v>9440</v>
      </c>
      <c r="N503" s="1990" t="s">
        <v>1052</v>
      </c>
      <c r="O503" s="1990" t="s">
        <v>8509</v>
      </c>
      <c r="P503" s="1990" t="s">
        <v>1388</v>
      </c>
      <c r="Q503" s="1990" t="s">
        <v>1389</v>
      </c>
      <c r="R503" s="1990" t="s">
        <v>1054</v>
      </c>
    </row>
    <row r="504" spans="1:18" ht="30">
      <c r="A504" s="1990" t="s">
        <v>1115</v>
      </c>
      <c r="B504" s="1990" t="s">
        <v>1116</v>
      </c>
      <c r="C504" s="1990" t="s">
        <v>1050</v>
      </c>
      <c r="D504" s="1990" t="s">
        <v>942</v>
      </c>
      <c r="E504" s="1990" t="s">
        <v>1054</v>
      </c>
      <c r="F504" s="1991">
        <v>45114</v>
      </c>
      <c r="G504" s="1991">
        <v>4736970</v>
      </c>
      <c r="H504" s="1991">
        <v>45114</v>
      </c>
      <c r="I504" s="1991">
        <v>45114</v>
      </c>
      <c r="J504" s="1991">
        <v>45114</v>
      </c>
      <c r="K504" s="1991">
        <v>4500</v>
      </c>
      <c r="L504" s="1991">
        <v>105</v>
      </c>
      <c r="M504" s="1991">
        <v>105</v>
      </c>
      <c r="N504" s="1990" t="s">
        <v>1052</v>
      </c>
      <c r="O504" s="1990" t="s">
        <v>8509</v>
      </c>
      <c r="P504" s="1990" t="s">
        <v>1117</v>
      </c>
      <c r="Q504" s="1990" t="s">
        <v>1118</v>
      </c>
      <c r="R504" s="1990" t="s">
        <v>1054</v>
      </c>
    </row>
    <row r="505" spans="1:18" ht="30">
      <c r="A505" s="1990" t="s">
        <v>1059</v>
      </c>
      <c r="B505" s="1990" t="s">
        <v>1104</v>
      </c>
      <c r="C505" s="1990" t="s">
        <v>1050</v>
      </c>
      <c r="D505" s="1990" t="s">
        <v>935</v>
      </c>
      <c r="E505" s="1990" t="s">
        <v>1054</v>
      </c>
      <c r="F505" s="1991">
        <v>26264</v>
      </c>
      <c r="G505" s="1991">
        <v>68286400</v>
      </c>
      <c r="H505" s="1991">
        <v>26264</v>
      </c>
      <c r="I505" s="1991">
        <v>26264</v>
      </c>
      <c r="J505" s="1991">
        <v>26264</v>
      </c>
      <c r="K505" s="1991">
        <v>3000</v>
      </c>
      <c r="L505" s="1991">
        <v>5600</v>
      </c>
      <c r="M505" s="1991">
        <v>2600</v>
      </c>
      <c r="N505" s="1990" t="s">
        <v>1052</v>
      </c>
      <c r="O505" s="1990" t="s">
        <v>8509</v>
      </c>
      <c r="P505" s="1990" t="s">
        <v>935</v>
      </c>
      <c r="Q505" s="1990" t="s">
        <v>1087</v>
      </c>
      <c r="R505" s="1990" t="s">
        <v>1054</v>
      </c>
    </row>
    <row r="506" spans="1:18">
      <c r="A506" s="1990" t="s">
        <v>1055</v>
      </c>
      <c r="B506" s="1990" t="s">
        <v>1407</v>
      </c>
      <c r="C506" s="1990" t="s">
        <v>1050</v>
      </c>
      <c r="D506" s="1990" t="s">
        <v>921</v>
      </c>
      <c r="E506" s="1990" t="s">
        <v>1054</v>
      </c>
      <c r="F506" s="1991">
        <v>35398</v>
      </c>
      <c r="G506" s="1991">
        <v>81415400</v>
      </c>
      <c r="H506" s="1991">
        <v>35398</v>
      </c>
      <c r="I506" s="1991">
        <v>35398</v>
      </c>
      <c r="J506" s="1991">
        <v>35398</v>
      </c>
      <c r="K506" s="1991">
        <v>2600</v>
      </c>
      <c r="L506" s="1991">
        <v>2300</v>
      </c>
      <c r="M506" s="1991">
        <v>2300</v>
      </c>
      <c r="N506" s="1990" t="s">
        <v>1052</v>
      </c>
      <c r="O506" s="1990" t="s">
        <v>8509</v>
      </c>
      <c r="P506" s="1990" t="s">
        <v>921</v>
      </c>
      <c r="Q506" s="1990" t="s">
        <v>1114</v>
      </c>
      <c r="R506" s="1990" t="s">
        <v>1054</v>
      </c>
    </row>
    <row r="507" spans="1:18" ht="45">
      <c r="A507" s="1990" t="s">
        <v>1057</v>
      </c>
      <c r="B507" s="1990" t="s">
        <v>1440</v>
      </c>
      <c r="C507" s="1990" t="s">
        <v>1050</v>
      </c>
      <c r="D507" s="1990" t="s">
        <v>936</v>
      </c>
      <c r="E507" s="1990" t="s">
        <v>1054</v>
      </c>
      <c r="F507" s="1991">
        <v>39689</v>
      </c>
      <c r="G507" s="1991">
        <v>127004800</v>
      </c>
      <c r="H507" s="1991">
        <v>39689</v>
      </c>
      <c r="I507" s="1991">
        <v>39689</v>
      </c>
      <c r="J507" s="1991">
        <v>39689</v>
      </c>
      <c r="K507" s="1991">
        <v>4600</v>
      </c>
      <c r="L507" s="1991">
        <v>3200</v>
      </c>
      <c r="M507" s="1991">
        <v>3200</v>
      </c>
      <c r="N507" s="1990" t="s">
        <v>1052</v>
      </c>
      <c r="O507" s="1990" t="s">
        <v>8509</v>
      </c>
      <c r="P507" s="1990" t="s">
        <v>1136</v>
      </c>
      <c r="Q507" s="1990" t="s">
        <v>8292</v>
      </c>
      <c r="R507" s="1990" t="s">
        <v>1054</v>
      </c>
    </row>
    <row r="508" spans="1:18">
      <c r="A508" s="1990" t="s">
        <v>1059</v>
      </c>
      <c r="B508" s="1990" t="s">
        <v>1345</v>
      </c>
      <c r="C508" s="1990" t="s">
        <v>1050</v>
      </c>
      <c r="D508" s="1990" t="s">
        <v>902</v>
      </c>
      <c r="E508" s="1990" t="s">
        <v>1054</v>
      </c>
      <c r="F508" s="1991">
        <v>31483</v>
      </c>
      <c r="G508" s="1991">
        <v>240057875</v>
      </c>
      <c r="H508" s="1991">
        <v>31483</v>
      </c>
      <c r="I508" s="1991">
        <v>31483</v>
      </c>
      <c r="J508" s="1991">
        <v>31483</v>
      </c>
      <c r="K508" s="1991">
        <v>8000</v>
      </c>
      <c r="L508" s="1991">
        <v>7625</v>
      </c>
      <c r="M508" s="1991">
        <v>7625</v>
      </c>
      <c r="N508" s="1990" t="s">
        <v>1052</v>
      </c>
      <c r="O508" s="1990" t="s">
        <v>8509</v>
      </c>
      <c r="P508" s="1990" t="s">
        <v>902</v>
      </c>
      <c r="Q508" s="1990" t="s">
        <v>1053</v>
      </c>
      <c r="R508" s="1990" t="s">
        <v>1054</v>
      </c>
    </row>
    <row r="509" spans="1:18">
      <c r="A509" s="1990" t="s">
        <v>1061</v>
      </c>
      <c r="B509" s="1990" t="s">
        <v>1332</v>
      </c>
      <c r="C509" s="1990" t="s">
        <v>1050</v>
      </c>
      <c r="D509" s="1990" t="s">
        <v>898</v>
      </c>
      <c r="E509" s="1990" t="s">
        <v>1054</v>
      </c>
      <c r="F509" s="1991">
        <v>42603</v>
      </c>
      <c r="G509" s="1991">
        <v>97986900</v>
      </c>
      <c r="H509" s="1991">
        <v>42603</v>
      </c>
      <c r="I509" s="1991">
        <v>42603</v>
      </c>
      <c r="J509" s="1991">
        <v>42603</v>
      </c>
      <c r="K509" s="1991">
        <v>2500</v>
      </c>
      <c r="L509" s="1991">
        <v>7300</v>
      </c>
      <c r="M509" s="1991">
        <v>2300</v>
      </c>
      <c r="N509" s="1990" t="s">
        <v>1052</v>
      </c>
      <c r="O509" s="1990" t="s">
        <v>8509</v>
      </c>
      <c r="P509" s="1990" t="s">
        <v>898</v>
      </c>
      <c r="Q509" s="1990" t="s">
        <v>1053</v>
      </c>
      <c r="R509" s="1990" t="s">
        <v>1054</v>
      </c>
    </row>
    <row r="510" spans="1:18">
      <c r="A510" s="1990" t="s">
        <v>1057</v>
      </c>
      <c r="B510" s="1990" t="s">
        <v>1458</v>
      </c>
      <c r="C510" s="1990" t="s">
        <v>1050</v>
      </c>
      <c r="D510" s="1990" t="s">
        <v>927</v>
      </c>
      <c r="E510" s="1990" t="s">
        <v>1054</v>
      </c>
      <c r="F510" s="1991">
        <v>39378</v>
      </c>
      <c r="G510" s="1991">
        <v>96476100</v>
      </c>
      <c r="H510" s="1991">
        <v>39378</v>
      </c>
      <c r="I510" s="1991">
        <v>39378</v>
      </c>
      <c r="J510" s="1991">
        <v>39378</v>
      </c>
      <c r="K510" s="1990">
        <v>3000</v>
      </c>
      <c r="L510" s="1990">
        <v>2550</v>
      </c>
      <c r="M510" s="1990">
        <v>2450</v>
      </c>
      <c r="N510" s="1990" t="s">
        <v>1052</v>
      </c>
      <c r="O510" s="1990" t="s">
        <v>8509</v>
      </c>
      <c r="P510" s="1990" t="s">
        <v>927</v>
      </c>
      <c r="Q510" s="1990" t="s">
        <v>1143</v>
      </c>
      <c r="R510" s="1990" t="s">
        <v>1054</v>
      </c>
    </row>
    <row r="511" spans="1:18">
      <c r="A511" s="1990" t="s">
        <v>1057</v>
      </c>
      <c r="B511" s="1990" t="s">
        <v>1093</v>
      </c>
      <c r="C511" s="1990" t="s">
        <v>1050</v>
      </c>
      <c r="D511" s="1990" t="s">
        <v>930</v>
      </c>
      <c r="E511" s="1990" t="s">
        <v>1054</v>
      </c>
      <c r="F511" s="1991">
        <v>37366</v>
      </c>
      <c r="G511" s="1991">
        <v>64456350</v>
      </c>
      <c r="H511" s="1991">
        <v>37366</v>
      </c>
      <c r="I511" s="1991">
        <v>37366</v>
      </c>
      <c r="J511" s="1991">
        <v>37366</v>
      </c>
      <c r="K511" s="1991">
        <v>3300</v>
      </c>
      <c r="L511" s="1991">
        <v>1750</v>
      </c>
      <c r="M511" s="1991">
        <v>1725</v>
      </c>
      <c r="N511" s="1990" t="s">
        <v>1052</v>
      </c>
      <c r="O511" s="1990" t="s">
        <v>8509</v>
      </c>
      <c r="P511" s="1990" t="s">
        <v>930</v>
      </c>
      <c r="Q511" s="1990" t="s">
        <v>1053</v>
      </c>
      <c r="R511" s="1990" t="s">
        <v>1054</v>
      </c>
    </row>
    <row r="512" spans="1:18">
      <c r="A512" s="1990" t="s">
        <v>1068</v>
      </c>
      <c r="B512" s="1990" t="s">
        <v>1318</v>
      </c>
      <c r="C512" s="1990" t="s">
        <v>1050</v>
      </c>
      <c r="D512" s="1990" t="s">
        <v>906</v>
      </c>
      <c r="E512" s="1990" t="s">
        <v>1054</v>
      </c>
      <c r="F512" s="1991">
        <v>31300</v>
      </c>
      <c r="G512" s="1991">
        <v>173715000</v>
      </c>
      <c r="H512" s="1991">
        <v>31300</v>
      </c>
      <c r="I512" s="1991">
        <v>31300</v>
      </c>
      <c r="J512" s="1991">
        <v>31300</v>
      </c>
      <c r="K512" s="1991">
        <v>10000</v>
      </c>
      <c r="L512" s="1991">
        <v>5650</v>
      </c>
      <c r="M512" s="1991">
        <v>5550</v>
      </c>
      <c r="N512" s="1990" t="s">
        <v>1052</v>
      </c>
      <c r="O512" s="1990" t="s">
        <v>8509</v>
      </c>
      <c r="P512" s="1990" t="s">
        <v>906</v>
      </c>
      <c r="Q512" s="1990" t="s">
        <v>1063</v>
      </c>
      <c r="R512" s="1990" t="s">
        <v>1054</v>
      </c>
    </row>
    <row r="513" spans="1:18">
      <c r="A513" s="1990" t="s">
        <v>1061</v>
      </c>
      <c r="B513" s="1990" t="s">
        <v>1317</v>
      </c>
      <c r="C513" s="1990" t="s">
        <v>1050</v>
      </c>
      <c r="D513" s="1990" t="s">
        <v>906</v>
      </c>
      <c r="E513" s="1990" t="s">
        <v>1054</v>
      </c>
      <c r="F513" s="1991">
        <v>39823</v>
      </c>
      <c r="G513" s="1991">
        <v>289712325</v>
      </c>
      <c r="H513" s="1991">
        <v>39823</v>
      </c>
      <c r="I513" s="1991">
        <v>39823</v>
      </c>
      <c r="J513" s="1991">
        <v>39823</v>
      </c>
      <c r="K513" s="1990">
        <v>11000</v>
      </c>
      <c r="L513" s="1991">
        <v>7625</v>
      </c>
      <c r="M513" s="1990">
        <v>7275</v>
      </c>
      <c r="N513" s="1990" t="s">
        <v>1052</v>
      </c>
      <c r="O513" s="1990" t="s">
        <v>8509</v>
      </c>
      <c r="P513" s="1990" t="s">
        <v>906</v>
      </c>
      <c r="Q513" s="1990" t="s">
        <v>1063</v>
      </c>
      <c r="R513" s="1990" t="s">
        <v>1054</v>
      </c>
    </row>
    <row r="514" spans="1:18">
      <c r="A514" s="1990" t="s">
        <v>1068</v>
      </c>
      <c r="B514" s="1990" t="s">
        <v>1437</v>
      </c>
      <c r="C514" s="1990" t="s">
        <v>1050</v>
      </c>
      <c r="D514" s="1990" t="s">
        <v>946</v>
      </c>
      <c r="E514" s="1990" t="s">
        <v>1054</v>
      </c>
      <c r="F514" s="1991">
        <v>27055</v>
      </c>
      <c r="G514" s="1991">
        <v>42611625</v>
      </c>
      <c r="H514" s="1991">
        <v>27055</v>
      </c>
      <c r="I514" s="1991">
        <v>27055</v>
      </c>
      <c r="J514" s="1991">
        <v>27055</v>
      </c>
      <c r="K514" s="1991">
        <v>1700</v>
      </c>
      <c r="L514" s="1991">
        <v>1575</v>
      </c>
      <c r="M514" s="1991">
        <v>1575</v>
      </c>
      <c r="N514" s="1990" t="s">
        <v>1052</v>
      </c>
      <c r="O514" s="1990" t="s">
        <v>8509</v>
      </c>
      <c r="P514" s="1990" t="s">
        <v>946</v>
      </c>
      <c r="Q514" s="1990" t="s">
        <v>1438</v>
      </c>
      <c r="R514" s="1990" t="s">
        <v>1054</v>
      </c>
    </row>
    <row r="515" spans="1:18">
      <c r="A515" s="1990" t="s">
        <v>1057</v>
      </c>
      <c r="B515" s="1990" t="s">
        <v>1392</v>
      </c>
      <c r="C515" s="1990" t="s">
        <v>1050</v>
      </c>
      <c r="D515" s="1990" t="s">
        <v>70</v>
      </c>
      <c r="E515" s="1990" t="s">
        <v>1054</v>
      </c>
      <c r="F515" s="1991">
        <v>38103</v>
      </c>
      <c r="G515" s="1991">
        <v>262910700</v>
      </c>
      <c r="H515" s="1991">
        <v>38103</v>
      </c>
      <c r="I515" s="1991">
        <v>38103</v>
      </c>
      <c r="J515" s="1991">
        <v>38103</v>
      </c>
      <c r="K515" s="1991">
        <v>9000</v>
      </c>
      <c r="L515" s="1991">
        <v>7752</v>
      </c>
      <c r="M515" s="1991">
        <v>6900</v>
      </c>
      <c r="N515" s="1990" t="s">
        <v>1052</v>
      </c>
      <c r="O515" s="1990" t="s">
        <v>8509</v>
      </c>
      <c r="P515" s="1990" t="s">
        <v>70</v>
      </c>
      <c r="Q515" s="1990" t="s">
        <v>1090</v>
      </c>
      <c r="R515" s="1990" t="s">
        <v>1054</v>
      </c>
    </row>
    <row r="516" spans="1:18">
      <c r="A516" s="1990" t="s">
        <v>1061</v>
      </c>
      <c r="B516" s="1990" t="s">
        <v>1439</v>
      </c>
      <c r="C516" s="1990" t="s">
        <v>1050</v>
      </c>
      <c r="D516" s="1990" t="s">
        <v>946</v>
      </c>
      <c r="E516" s="1990" t="s">
        <v>1054</v>
      </c>
      <c r="F516" s="1991">
        <v>37545</v>
      </c>
      <c r="G516" s="1991">
        <v>63826500</v>
      </c>
      <c r="H516" s="1991">
        <v>37545</v>
      </c>
      <c r="I516" s="1991">
        <v>37545</v>
      </c>
      <c r="J516" s="1991">
        <v>37545</v>
      </c>
      <c r="K516" s="1991">
        <v>1700</v>
      </c>
      <c r="L516" s="1991">
        <v>1700</v>
      </c>
      <c r="M516" s="1991">
        <v>1700</v>
      </c>
      <c r="N516" s="1990" t="s">
        <v>1052</v>
      </c>
      <c r="O516" s="1990" t="s">
        <v>8509</v>
      </c>
      <c r="P516" s="1990" t="s">
        <v>946</v>
      </c>
      <c r="Q516" s="1990" t="s">
        <v>1438</v>
      </c>
      <c r="R516" s="1990" t="s">
        <v>1054</v>
      </c>
    </row>
    <row r="517" spans="1:18" ht="30">
      <c r="A517" s="1990" t="s">
        <v>1076</v>
      </c>
      <c r="B517" s="1990" t="s">
        <v>1109</v>
      </c>
      <c r="C517" s="1990" t="s">
        <v>1050</v>
      </c>
      <c r="D517" s="1990" t="s">
        <v>914</v>
      </c>
      <c r="E517" s="1990" t="s">
        <v>1054</v>
      </c>
      <c r="F517" s="1991">
        <v>35980</v>
      </c>
      <c r="G517" s="1991">
        <v>64764000</v>
      </c>
      <c r="H517" s="1991">
        <v>35980</v>
      </c>
      <c r="I517" s="1991">
        <v>35980</v>
      </c>
      <c r="J517" s="1991">
        <v>35980</v>
      </c>
      <c r="K517" s="1991">
        <v>1800</v>
      </c>
      <c r="L517" s="1991">
        <v>1800</v>
      </c>
      <c r="M517" s="1991">
        <v>1800</v>
      </c>
      <c r="N517" s="1990" t="s">
        <v>1052</v>
      </c>
      <c r="O517" s="1990" t="s">
        <v>8509</v>
      </c>
      <c r="P517" s="1990" t="s">
        <v>1110</v>
      </c>
      <c r="Q517" s="1990" t="s">
        <v>1053</v>
      </c>
      <c r="R517" s="1990" t="s">
        <v>1054</v>
      </c>
    </row>
    <row r="518" spans="1:18" ht="30">
      <c r="A518" s="1990" t="s">
        <v>1119</v>
      </c>
      <c r="B518" s="1990" t="s">
        <v>1120</v>
      </c>
      <c r="C518" s="1990" t="s">
        <v>1050</v>
      </c>
      <c r="D518" s="1990" t="s">
        <v>942</v>
      </c>
      <c r="E518" s="1990" t="s">
        <v>1054</v>
      </c>
      <c r="F518" s="1991">
        <v>44070</v>
      </c>
      <c r="G518" s="1991">
        <v>5949450</v>
      </c>
      <c r="H518" s="1991">
        <v>44070</v>
      </c>
      <c r="I518" s="1991">
        <v>44070</v>
      </c>
      <c r="J518" s="1991">
        <v>44070</v>
      </c>
      <c r="K518" s="1991">
        <v>1920</v>
      </c>
      <c r="L518" s="1991">
        <v>135</v>
      </c>
      <c r="M518" s="1991">
        <v>135</v>
      </c>
      <c r="N518" s="1990" t="s">
        <v>1052</v>
      </c>
      <c r="O518" s="1990" t="s">
        <v>8509</v>
      </c>
      <c r="P518" s="1990" t="s">
        <v>1117</v>
      </c>
      <c r="Q518" s="1990" t="s">
        <v>1118</v>
      </c>
      <c r="R518" s="1990" t="s">
        <v>1054</v>
      </c>
    </row>
    <row r="519" spans="1:18" ht="30">
      <c r="A519" s="1990" t="s">
        <v>1112</v>
      </c>
      <c r="B519" s="1990" t="s">
        <v>1272</v>
      </c>
      <c r="C519" s="1990" t="s">
        <v>1050</v>
      </c>
      <c r="D519" s="1990" t="s">
        <v>922</v>
      </c>
      <c r="E519" s="1990" t="s">
        <v>1054</v>
      </c>
      <c r="F519" s="1991">
        <v>24512</v>
      </c>
      <c r="G519" s="1991">
        <v>68020800</v>
      </c>
      <c r="H519" s="1991">
        <v>24512</v>
      </c>
      <c r="I519" s="1991">
        <v>24512</v>
      </c>
      <c r="J519" s="1991">
        <v>24512</v>
      </c>
      <c r="K519" s="1991">
        <v>3000</v>
      </c>
      <c r="L519" s="1991">
        <v>2775</v>
      </c>
      <c r="M519" s="1991">
        <v>2775</v>
      </c>
      <c r="N519" s="1990" t="s">
        <v>1052</v>
      </c>
      <c r="O519" s="1990" t="s">
        <v>8509</v>
      </c>
      <c r="P519" s="1990" t="s">
        <v>922</v>
      </c>
      <c r="Q519" s="1990" t="s">
        <v>1087</v>
      </c>
      <c r="R519" s="1990" t="s">
        <v>1054</v>
      </c>
    </row>
    <row r="520" spans="1:18">
      <c r="A520" s="1990" t="s">
        <v>1061</v>
      </c>
      <c r="B520" s="1990" t="s">
        <v>1062</v>
      </c>
      <c r="C520" s="1990" t="s">
        <v>1050</v>
      </c>
      <c r="D520" s="1990" t="s">
        <v>911</v>
      </c>
      <c r="E520" s="1990" t="s">
        <v>1054</v>
      </c>
      <c r="F520" s="1991">
        <v>37794</v>
      </c>
      <c r="G520" s="1991">
        <v>338256300</v>
      </c>
      <c r="H520" s="1991">
        <v>37794</v>
      </c>
      <c r="I520" s="1991">
        <v>37794</v>
      </c>
      <c r="J520" s="1991">
        <v>37794</v>
      </c>
      <c r="K520" s="1991">
        <v>9000</v>
      </c>
      <c r="L520" s="1991">
        <v>8950</v>
      </c>
      <c r="M520" s="1991">
        <v>8950</v>
      </c>
      <c r="N520" s="1990" t="s">
        <v>1052</v>
      </c>
      <c r="O520" s="1990" t="s">
        <v>8509</v>
      </c>
      <c r="P520" s="1990" t="s">
        <v>911</v>
      </c>
      <c r="Q520" s="1990" t="s">
        <v>1063</v>
      </c>
      <c r="R520" s="1990" t="s">
        <v>1054</v>
      </c>
    </row>
    <row r="521" spans="1:18">
      <c r="A521" s="1990" t="s">
        <v>1076</v>
      </c>
      <c r="B521" s="1990" t="s">
        <v>1089</v>
      </c>
      <c r="C521" s="1990" t="s">
        <v>1050</v>
      </c>
      <c r="D521" s="1990" t="s">
        <v>963</v>
      </c>
      <c r="E521" s="1990" t="s">
        <v>1054</v>
      </c>
      <c r="F521" s="1991">
        <v>35980</v>
      </c>
      <c r="G521" s="1991">
        <v>16191000</v>
      </c>
      <c r="H521" s="1991">
        <v>35980</v>
      </c>
      <c r="I521" s="1991">
        <v>35980</v>
      </c>
      <c r="J521" s="1991">
        <v>35980</v>
      </c>
      <c r="K521" s="1991">
        <v>2000</v>
      </c>
      <c r="L521" s="1991">
        <v>450</v>
      </c>
      <c r="M521" s="1991">
        <v>450</v>
      </c>
      <c r="N521" s="1990" t="s">
        <v>1052</v>
      </c>
      <c r="O521" s="1990" t="s">
        <v>8509</v>
      </c>
      <c r="P521" s="1990" t="s">
        <v>963</v>
      </c>
      <c r="Q521" s="1990" t="s">
        <v>1090</v>
      </c>
      <c r="R521" s="1990" t="s">
        <v>1054</v>
      </c>
    </row>
    <row r="522" spans="1:18">
      <c r="A522" s="1990" t="s">
        <v>1059</v>
      </c>
      <c r="B522" s="1990" t="s">
        <v>1343</v>
      </c>
      <c r="C522" s="1990" t="s">
        <v>1050</v>
      </c>
      <c r="D522" s="1990" t="s">
        <v>931</v>
      </c>
      <c r="E522" s="1990" t="s">
        <v>1054</v>
      </c>
      <c r="F522" s="1991">
        <v>29491</v>
      </c>
      <c r="G522" s="1991">
        <v>136248420</v>
      </c>
      <c r="H522" s="1991">
        <v>29491</v>
      </c>
      <c r="I522" s="1991">
        <v>29491</v>
      </c>
      <c r="J522" s="1991">
        <v>29491</v>
      </c>
      <c r="K522" s="1991">
        <v>6900</v>
      </c>
      <c r="L522" s="1991">
        <v>4620</v>
      </c>
      <c r="M522" s="1991">
        <v>4620</v>
      </c>
      <c r="N522" s="1990" t="s">
        <v>1052</v>
      </c>
      <c r="O522" s="1990" t="s">
        <v>8509</v>
      </c>
      <c r="P522" s="1990" t="s">
        <v>931</v>
      </c>
      <c r="Q522" s="1990" t="s">
        <v>1053</v>
      </c>
      <c r="R522" s="1990" t="s">
        <v>1054</v>
      </c>
    </row>
    <row r="523" spans="1:18">
      <c r="A523" s="1990" t="s">
        <v>1085</v>
      </c>
      <c r="B523" s="1990" t="s">
        <v>1319</v>
      </c>
      <c r="C523" s="1990" t="s">
        <v>1050</v>
      </c>
      <c r="D523" s="1990" t="s">
        <v>906</v>
      </c>
      <c r="E523" s="1990" t="s">
        <v>1054</v>
      </c>
      <c r="F523" s="1991">
        <v>25562</v>
      </c>
      <c r="G523" s="1991">
        <v>61860040</v>
      </c>
      <c r="H523" s="1991">
        <v>25562</v>
      </c>
      <c r="I523" s="1991">
        <v>25562</v>
      </c>
      <c r="J523" s="1991">
        <v>25562</v>
      </c>
      <c r="K523" s="1991">
        <v>6000</v>
      </c>
      <c r="L523" s="1991">
        <v>2520</v>
      </c>
      <c r="M523" s="1991">
        <v>2420</v>
      </c>
      <c r="N523" s="1990" t="s">
        <v>1052</v>
      </c>
      <c r="O523" s="1990" t="s">
        <v>8509</v>
      </c>
      <c r="P523" s="1990" t="s">
        <v>906</v>
      </c>
      <c r="Q523" s="1990" t="s">
        <v>1063</v>
      </c>
      <c r="R523" s="1990" t="s">
        <v>1054</v>
      </c>
    </row>
    <row r="524" spans="1:18" ht="30">
      <c r="A524" s="1990" t="s">
        <v>1059</v>
      </c>
      <c r="B524" s="1990" t="s">
        <v>1352</v>
      </c>
      <c r="C524" s="1990" t="s">
        <v>1050</v>
      </c>
      <c r="D524" s="1990" t="s">
        <v>914</v>
      </c>
      <c r="E524" s="1990" t="s">
        <v>1054</v>
      </c>
      <c r="F524" s="1991">
        <v>26264</v>
      </c>
      <c r="G524" s="1991">
        <v>108995600</v>
      </c>
      <c r="H524" s="1991">
        <v>26264</v>
      </c>
      <c r="I524" s="1991">
        <v>26264</v>
      </c>
      <c r="J524" s="1991">
        <v>26264</v>
      </c>
      <c r="K524" s="1991">
        <v>5000</v>
      </c>
      <c r="L524" s="1991">
        <v>4250</v>
      </c>
      <c r="M524" s="1991">
        <v>4150</v>
      </c>
      <c r="N524" s="1990" t="s">
        <v>1052</v>
      </c>
      <c r="O524" s="1990" t="s">
        <v>8509</v>
      </c>
      <c r="P524" s="1990" t="s">
        <v>1110</v>
      </c>
      <c r="Q524" s="1990" t="s">
        <v>1053</v>
      </c>
      <c r="R524" s="1990" t="s">
        <v>1054</v>
      </c>
    </row>
    <row r="525" spans="1:18">
      <c r="A525" s="1990" t="s">
        <v>1055</v>
      </c>
      <c r="B525" s="1990" t="s">
        <v>1339</v>
      </c>
      <c r="C525" s="1990" t="s">
        <v>1050</v>
      </c>
      <c r="D525" s="1990" t="s">
        <v>928</v>
      </c>
      <c r="E525" s="1990" t="s">
        <v>1054</v>
      </c>
      <c r="F525" s="1991">
        <v>34876</v>
      </c>
      <c r="G525" s="1991">
        <v>4359500</v>
      </c>
      <c r="H525" s="1991">
        <v>34876</v>
      </c>
      <c r="I525" s="1991">
        <v>34876</v>
      </c>
      <c r="J525" s="1991">
        <v>34876</v>
      </c>
      <c r="K525" s="1991">
        <v>200</v>
      </c>
      <c r="L525" s="1991">
        <v>125</v>
      </c>
      <c r="M525" s="1991">
        <v>125</v>
      </c>
      <c r="N525" s="1990" t="s">
        <v>1052</v>
      </c>
      <c r="O525" s="1990" t="s">
        <v>8509</v>
      </c>
      <c r="P525" s="1990" t="s">
        <v>928</v>
      </c>
      <c r="Q525" s="1990" t="s">
        <v>1053</v>
      </c>
      <c r="R525" s="1990" t="s">
        <v>1054</v>
      </c>
    </row>
    <row r="526" spans="1:18">
      <c r="A526" s="1990" t="s">
        <v>1059</v>
      </c>
      <c r="B526" s="1990" t="s">
        <v>1082</v>
      </c>
      <c r="C526" s="1990" t="s">
        <v>1050</v>
      </c>
      <c r="D526" s="1990" t="s">
        <v>959</v>
      </c>
      <c r="E526" s="1990" t="s">
        <v>1054</v>
      </c>
      <c r="F526" s="1991">
        <v>26295</v>
      </c>
      <c r="G526" s="1991">
        <v>235471725</v>
      </c>
      <c r="H526" s="1991">
        <v>26295</v>
      </c>
      <c r="I526" s="1991">
        <v>26295</v>
      </c>
      <c r="J526" s="1991">
        <v>26295</v>
      </c>
      <c r="K526" s="1991">
        <v>10005</v>
      </c>
      <c r="L526" s="1991">
        <v>9135</v>
      </c>
      <c r="M526" s="1991">
        <v>8955</v>
      </c>
      <c r="N526" s="1990" t="s">
        <v>1052</v>
      </c>
      <c r="O526" s="1990" t="s">
        <v>8509</v>
      </c>
      <c r="P526" s="1990" t="s">
        <v>959</v>
      </c>
      <c r="Q526" s="1990" t="s">
        <v>1083</v>
      </c>
      <c r="R526" s="1990" t="s">
        <v>1054</v>
      </c>
    </row>
    <row r="527" spans="1:18" ht="30">
      <c r="A527" s="1990" t="s">
        <v>1057</v>
      </c>
      <c r="B527" s="1990" t="s">
        <v>1073</v>
      </c>
      <c r="C527" s="1990" t="s">
        <v>1050</v>
      </c>
      <c r="D527" s="1990" t="s">
        <v>917</v>
      </c>
      <c r="E527" s="1990" t="s">
        <v>1054</v>
      </c>
      <c r="F527" s="1991">
        <v>37366</v>
      </c>
      <c r="G527" s="1991">
        <v>143859100</v>
      </c>
      <c r="H527" s="1991">
        <v>37366</v>
      </c>
      <c r="I527" s="1991">
        <v>37366</v>
      </c>
      <c r="J527" s="1991">
        <v>37366</v>
      </c>
      <c r="K527" s="1991">
        <v>4500</v>
      </c>
      <c r="L527" s="1991">
        <v>3850</v>
      </c>
      <c r="M527" s="1991">
        <v>3850</v>
      </c>
      <c r="N527" s="1990" t="s">
        <v>1052</v>
      </c>
      <c r="O527" s="1990" t="s">
        <v>8509</v>
      </c>
      <c r="P527" s="1990" t="s">
        <v>1074</v>
      </c>
      <c r="Q527" s="1990" t="s">
        <v>1075</v>
      </c>
      <c r="R527" s="1990" t="s">
        <v>1054</v>
      </c>
    </row>
    <row r="528" spans="1:18" ht="45">
      <c r="A528" s="1990" t="s">
        <v>1059</v>
      </c>
      <c r="B528" s="1990" t="s">
        <v>1387</v>
      </c>
      <c r="C528" s="1990" t="s">
        <v>1050</v>
      </c>
      <c r="D528" s="1990" t="s">
        <v>925</v>
      </c>
      <c r="E528" s="1990" t="s">
        <v>1054</v>
      </c>
      <c r="F528" s="1991">
        <v>26435</v>
      </c>
      <c r="G528" s="1991">
        <v>237915000</v>
      </c>
      <c r="H528" s="1991">
        <v>26435</v>
      </c>
      <c r="I528" s="1991">
        <v>26435</v>
      </c>
      <c r="J528" s="1991">
        <v>26435</v>
      </c>
      <c r="K528" s="1991">
        <v>10000</v>
      </c>
      <c r="L528" s="1991">
        <v>10500</v>
      </c>
      <c r="M528" s="1991">
        <v>9000</v>
      </c>
      <c r="N528" s="1990" t="s">
        <v>1052</v>
      </c>
      <c r="O528" s="1990" t="s">
        <v>8509</v>
      </c>
      <c r="P528" s="1990" t="s">
        <v>1388</v>
      </c>
      <c r="Q528" s="1990" t="s">
        <v>1389</v>
      </c>
      <c r="R528" s="1990" t="s">
        <v>1054</v>
      </c>
    </row>
    <row r="529" spans="1:18">
      <c r="A529" s="1990" t="s">
        <v>1057</v>
      </c>
      <c r="B529" s="1990" t="s">
        <v>1413</v>
      </c>
      <c r="C529" s="1990" t="s">
        <v>1050</v>
      </c>
      <c r="D529" s="1990" t="s">
        <v>920</v>
      </c>
      <c r="E529" s="1990" t="s">
        <v>1054</v>
      </c>
      <c r="F529" s="1991">
        <v>37366</v>
      </c>
      <c r="G529" s="1991">
        <v>95283300</v>
      </c>
      <c r="H529" s="1991">
        <v>37366</v>
      </c>
      <c r="I529" s="1991">
        <v>37366</v>
      </c>
      <c r="J529" s="1991">
        <v>37366</v>
      </c>
      <c r="K529" s="1990">
        <v>5000</v>
      </c>
      <c r="L529" s="1991">
        <v>3575</v>
      </c>
      <c r="M529" s="1990">
        <v>2550</v>
      </c>
      <c r="N529" s="1990" t="s">
        <v>1052</v>
      </c>
      <c r="O529" s="1990" t="s">
        <v>8509</v>
      </c>
      <c r="P529" s="1990" t="s">
        <v>920</v>
      </c>
      <c r="Q529" s="1990" t="s">
        <v>1114</v>
      </c>
      <c r="R529" s="1990" t="s">
        <v>1054</v>
      </c>
    </row>
    <row r="530" spans="1:18" ht="30">
      <c r="A530" s="1990" t="s">
        <v>1059</v>
      </c>
      <c r="B530" s="1990" t="s">
        <v>1088</v>
      </c>
      <c r="C530" s="1990" t="s">
        <v>1050</v>
      </c>
      <c r="D530" s="1990" t="s">
        <v>922</v>
      </c>
      <c r="E530" s="1990" t="s">
        <v>1054</v>
      </c>
      <c r="F530" s="1991">
        <v>26415</v>
      </c>
      <c r="G530" s="1991">
        <v>72905400</v>
      </c>
      <c r="H530" s="1991">
        <v>26415</v>
      </c>
      <c r="I530" s="1991">
        <v>26415</v>
      </c>
      <c r="J530" s="1991">
        <v>26415</v>
      </c>
      <c r="K530" s="1991">
        <v>3000</v>
      </c>
      <c r="L530" s="1991">
        <v>2760</v>
      </c>
      <c r="M530" s="1991">
        <v>2760</v>
      </c>
      <c r="N530" s="1990" t="s">
        <v>1052</v>
      </c>
      <c r="O530" s="1990" t="s">
        <v>8509</v>
      </c>
      <c r="P530" s="1990" t="s">
        <v>922</v>
      </c>
      <c r="Q530" s="1990" t="s">
        <v>1087</v>
      </c>
      <c r="R530" s="1990" t="s">
        <v>1054</v>
      </c>
    </row>
    <row r="531" spans="1:18">
      <c r="A531" s="1990" t="s">
        <v>1085</v>
      </c>
      <c r="B531" s="1990" t="s">
        <v>1402</v>
      </c>
      <c r="C531" s="1990" t="s">
        <v>1050</v>
      </c>
      <c r="D531" s="1990" t="s">
        <v>921</v>
      </c>
      <c r="E531" s="1990" t="s">
        <v>1054</v>
      </c>
      <c r="F531" s="1991">
        <v>26769</v>
      </c>
      <c r="G531" s="1991">
        <v>50861100</v>
      </c>
      <c r="H531" s="1991">
        <v>26769</v>
      </c>
      <c r="I531" s="1991">
        <v>26769</v>
      </c>
      <c r="J531" s="1991">
        <v>26769</v>
      </c>
      <c r="K531" s="1990">
        <v>2500</v>
      </c>
      <c r="L531" s="1990">
        <v>1900</v>
      </c>
      <c r="M531" s="1990">
        <v>1900</v>
      </c>
      <c r="N531" s="1990" t="s">
        <v>1052</v>
      </c>
      <c r="O531" s="1990" t="s">
        <v>8509</v>
      </c>
      <c r="P531" s="1990" t="s">
        <v>921</v>
      </c>
      <c r="Q531" s="1990" t="s">
        <v>1114</v>
      </c>
      <c r="R531" s="1990" t="s">
        <v>1054</v>
      </c>
    </row>
    <row r="532" spans="1:18">
      <c r="A532" s="1990" t="s">
        <v>1059</v>
      </c>
      <c r="B532" s="1990" t="s">
        <v>1106</v>
      </c>
      <c r="C532" s="1990" t="s">
        <v>1050</v>
      </c>
      <c r="D532" s="1990" t="s">
        <v>897</v>
      </c>
      <c r="E532" s="1990" t="s">
        <v>1054</v>
      </c>
      <c r="F532" s="1991">
        <v>27091</v>
      </c>
      <c r="G532" s="1991">
        <v>209413430</v>
      </c>
      <c r="H532" s="1991">
        <v>27091</v>
      </c>
      <c r="I532" s="1991">
        <v>27091</v>
      </c>
      <c r="J532" s="1991">
        <v>27091</v>
      </c>
      <c r="K532" s="1991">
        <v>8000</v>
      </c>
      <c r="L532" s="1991">
        <v>8930</v>
      </c>
      <c r="M532" s="1991">
        <v>7730</v>
      </c>
      <c r="N532" s="1990" t="s">
        <v>1052</v>
      </c>
      <c r="O532" s="1990" t="s">
        <v>8509</v>
      </c>
      <c r="P532" s="1990" t="s">
        <v>897</v>
      </c>
      <c r="Q532" s="1990" t="s">
        <v>1053</v>
      </c>
      <c r="R532" s="1990" t="s">
        <v>1054</v>
      </c>
    </row>
    <row r="533" spans="1:18">
      <c r="A533" s="1990" t="s">
        <v>1085</v>
      </c>
      <c r="B533" s="1990" t="s">
        <v>1338</v>
      </c>
      <c r="C533" s="1990" t="s">
        <v>1050</v>
      </c>
      <c r="D533" s="1990" t="s">
        <v>930</v>
      </c>
      <c r="E533" s="1990" t="s">
        <v>1054</v>
      </c>
      <c r="F533" s="1991">
        <v>26585</v>
      </c>
      <c r="G533" s="1991">
        <v>21932625</v>
      </c>
      <c r="H533" s="1991">
        <v>26585</v>
      </c>
      <c r="I533" s="1991">
        <v>26585</v>
      </c>
      <c r="J533" s="1991">
        <v>26585</v>
      </c>
      <c r="K533" s="1991">
        <v>1500</v>
      </c>
      <c r="L533" s="1991">
        <v>825</v>
      </c>
      <c r="M533" s="1991">
        <v>825</v>
      </c>
      <c r="N533" s="1990" t="s">
        <v>1052</v>
      </c>
      <c r="O533" s="1990" t="s">
        <v>8509</v>
      </c>
      <c r="P533" s="1990" t="s">
        <v>930</v>
      </c>
      <c r="Q533" s="1990" t="s">
        <v>1053</v>
      </c>
      <c r="R533" s="1990" t="s">
        <v>1054</v>
      </c>
    </row>
    <row r="534" spans="1:18">
      <c r="A534" s="1990" t="s">
        <v>1059</v>
      </c>
      <c r="B534" s="1990" t="s">
        <v>1060</v>
      </c>
      <c r="C534" s="1990" t="s">
        <v>1050</v>
      </c>
      <c r="D534" s="1990" t="s">
        <v>930</v>
      </c>
      <c r="E534" s="1990" t="s">
        <v>1054</v>
      </c>
      <c r="F534" s="1991">
        <v>27441</v>
      </c>
      <c r="G534" s="1991">
        <v>30185100</v>
      </c>
      <c r="H534" s="1991">
        <v>27441</v>
      </c>
      <c r="I534" s="1991">
        <v>27441</v>
      </c>
      <c r="J534" s="1991">
        <v>27441</v>
      </c>
      <c r="K534" s="1991">
        <v>2300</v>
      </c>
      <c r="L534" s="1991">
        <v>1200</v>
      </c>
      <c r="M534" s="1991">
        <v>1100</v>
      </c>
      <c r="N534" s="1990" t="s">
        <v>1052</v>
      </c>
      <c r="O534" s="1990" t="s">
        <v>8509</v>
      </c>
      <c r="P534" s="1990" t="s">
        <v>930</v>
      </c>
      <c r="Q534" s="1990" t="s">
        <v>1053</v>
      </c>
      <c r="R534" s="1990" t="s">
        <v>1054</v>
      </c>
    </row>
    <row r="535" spans="1:18" ht="30">
      <c r="A535" s="1990" t="s">
        <v>1059</v>
      </c>
      <c r="B535" s="1990" t="s">
        <v>1374</v>
      </c>
      <c r="C535" s="1990" t="s">
        <v>1050</v>
      </c>
      <c r="D535" s="1990" t="s">
        <v>899</v>
      </c>
      <c r="E535" s="1990" t="s">
        <v>1054</v>
      </c>
      <c r="F535" s="1991">
        <v>26719</v>
      </c>
      <c r="G535" s="1991">
        <v>237131125</v>
      </c>
      <c r="H535" s="1991">
        <v>26719</v>
      </c>
      <c r="I535" s="1991">
        <v>26719</v>
      </c>
      <c r="J535" s="1991">
        <v>26719</v>
      </c>
      <c r="K535" s="1991">
        <v>10000</v>
      </c>
      <c r="L535" s="1991">
        <v>9725</v>
      </c>
      <c r="M535" s="1991">
        <v>8875</v>
      </c>
      <c r="N535" s="1990" t="s">
        <v>1052</v>
      </c>
      <c r="O535" s="1990" t="s">
        <v>8509</v>
      </c>
      <c r="P535" s="1990" t="s">
        <v>899</v>
      </c>
      <c r="Q535" s="1990" t="s">
        <v>1075</v>
      </c>
      <c r="R535" s="1990" t="s">
        <v>1054</v>
      </c>
    </row>
    <row r="536" spans="1:18">
      <c r="A536" s="1990" t="s">
        <v>1061</v>
      </c>
      <c r="B536" s="1990" t="s">
        <v>1332</v>
      </c>
      <c r="C536" s="1990" t="s">
        <v>1050</v>
      </c>
      <c r="D536" s="1990" t="s">
        <v>898</v>
      </c>
      <c r="E536" s="1990" t="s">
        <v>1051</v>
      </c>
      <c r="F536" s="1991">
        <v>42603</v>
      </c>
      <c r="G536" s="1991">
        <v>8520600</v>
      </c>
      <c r="H536" s="1991">
        <v>42603</v>
      </c>
      <c r="I536" s="1991">
        <v>42603</v>
      </c>
      <c r="J536" s="1991">
        <v>42603</v>
      </c>
      <c r="K536" s="1991">
        <v>0</v>
      </c>
      <c r="L536" s="1991">
        <v>200</v>
      </c>
      <c r="M536" s="1991">
        <v>200</v>
      </c>
      <c r="N536" s="1990" t="s">
        <v>1052</v>
      </c>
      <c r="O536" s="1990" t="s">
        <v>8509</v>
      </c>
      <c r="P536" s="1990" t="s">
        <v>898</v>
      </c>
      <c r="Q536" s="1990" t="s">
        <v>1053</v>
      </c>
      <c r="R536" s="1990" t="s">
        <v>1054</v>
      </c>
    </row>
    <row r="537" spans="1:18">
      <c r="A537" s="1990" t="s">
        <v>1068</v>
      </c>
      <c r="B537" s="1990" t="s">
        <v>1437</v>
      </c>
      <c r="C537" s="1990" t="s">
        <v>1050</v>
      </c>
      <c r="D537" s="1990" t="s">
        <v>946</v>
      </c>
      <c r="E537" s="1990" t="s">
        <v>1051</v>
      </c>
      <c r="F537" s="1991">
        <v>27055</v>
      </c>
      <c r="G537" s="1991">
        <v>3381875</v>
      </c>
      <c r="H537" s="1991">
        <v>27055</v>
      </c>
      <c r="I537" s="1991">
        <v>27055</v>
      </c>
      <c r="J537" s="1991">
        <v>27055</v>
      </c>
      <c r="K537" s="1991">
        <v>0</v>
      </c>
      <c r="L537" s="1991">
        <v>125</v>
      </c>
      <c r="M537" s="1991">
        <v>125</v>
      </c>
      <c r="N537" s="1990" t="s">
        <v>1052</v>
      </c>
      <c r="O537" s="1990" t="s">
        <v>8509</v>
      </c>
      <c r="P537" s="1990" t="s">
        <v>946</v>
      </c>
      <c r="Q537" s="1990" t="s">
        <v>1438</v>
      </c>
      <c r="R537" s="1990" t="s">
        <v>1054</v>
      </c>
    </row>
    <row r="538" spans="1:18">
      <c r="A538" s="1990" t="s">
        <v>1076</v>
      </c>
      <c r="B538" s="1990" t="s">
        <v>1320</v>
      </c>
      <c r="C538" s="1990" t="s">
        <v>1050</v>
      </c>
      <c r="D538" s="1990" t="s">
        <v>906</v>
      </c>
      <c r="E538" s="1990" t="s">
        <v>1051</v>
      </c>
      <c r="F538" s="1991">
        <v>36504</v>
      </c>
      <c r="G538" s="1991">
        <v>5475600</v>
      </c>
      <c r="H538" s="1991">
        <v>36504</v>
      </c>
      <c r="I538" s="1991">
        <v>36504</v>
      </c>
      <c r="J538" s="1991">
        <v>36504</v>
      </c>
      <c r="K538" s="1991">
        <v>0</v>
      </c>
      <c r="L538" s="1991">
        <v>150</v>
      </c>
      <c r="M538" s="1991">
        <v>150</v>
      </c>
      <c r="N538" s="1990" t="s">
        <v>1052</v>
      </c>
      <c r="O538" s="1990" t="s">
        <v>8509</v>
      </c>
      <c r="P538" s="1990" t="s">
        <v>906</v>
      </c>
      <c r="Q538" s="1990" t="s">
        <v>1063</v>
      </c>
      <c r="R538" s="1990" t="s">
        <v>1054</v>
      </c>
    </row>
    <row r="539" spans="1:18">
      <c r="A539" s="1990" t="s">
        <v>1059</v>
      </c>
      <c r="B539" s="1990" t="s">
        <v>1122</v>
      </c>
      <c r="C539" s="1990" t="s">
        <v>1050</v>
      </c>
      <c r="D539" s="1990" t="s">
        <v>920</v>
      </c>
      <c r="E539" s="1990" t="s">
        <v>1051</v>
      </c>
      <c r="F539" s="1991">
        <v>26295</v>
      </c>
      <c r="G539" s="1991">
        <v>10518000</v>
      </c>
      <c r="H539" s="1991">
        <v>26295</v>
      </c>
      <c r="I539" s="1991">
        <v>26295</v>
      </c>
      <c r="J539" s="1991">
        <v>26295</v>
      </c>
      <c r="K539" s="1991">
        <v>0</v>
      </c>
      <c r="L539" s="1991">
        <v>400</v>
      </c>
      <c r="M539" s="1991">
        <v>400</v>
      </c>
      <c r="N539" s="1990" t="s">
        <v>1052</v>
      </c>
      <c r="O539" s="1990" t="s">
        <v>8509</v>
      </c>
      <c r="P539" s="1990" t="s">
        <v>920</v>
      </c>
      <c r="Q539" s="1990" t="s">
        <v>1114</v>
      </c>
      <c r="R539" s="1990" t="s">
        <v>1054</v>
      </c>
    </row>
    <row r="540" spans="1:18">
      <c r="A540" s="1990" t="s">
        <v>1057</v>
      </c>
      <c r="B540" s="1990" t="s">
        <v>1472</v>
      </c>
      <c r="C540" s="1990" t="s">
        <v>1050</v>
      </c>
      <c r="D540" s="1990" t="s">
        <v>952</v>
      </c>
      <c r="E540" s="1990" t="s">
        <v>1051</v>
      </c>
      <c r="F540" s="1991">
        <v>38437</v>
      </c>
      <c r="G540" s="1991">
        <v>6726475</v>
      </c>
      <c r="H540" s="1991">
        <v>38437</v>
      </c>
      <c r="I540" s="1991">
        <v>38437</v>
      </c>
      <c r="J540" s="1991">
        <v>38437</v>
      </c>
      <c r="K540" s="1991">
        <v>0</v>
      </c>
      <c r="L540" s="1991">
        <v>175</v>
      </c>
      <c r="M540" s="1991">
        <v>175</v>
      </c>
      <c r="N540" s="1990" t="s">
        <v>1052</v>
      </c>
      <c r="O540" s="1990" t="s">
        <v>8509</v>
      </c>
      <c r="P540" s="1990" t="s">
        <v>1311</v>
      </c>
      <c r="Q540" s="1990" t="s">
        <v>1312</v>
      </c>
      <c r="R540" s="1990" t="s">
        <v>1054</v>
      </c>
    </row>
    <row r="541" spans="1:18">
      <c r="A541" s="1990" t="s">
        <v>1061</v>
      </c>
      <c r="B541" s="1990" t="s">
        <v>1317</v>
      </c>
      <c r="C541" s="1990" t="s">
        <v>1050</v>
      </c>
      <c r="D541" s="1990" t="s">
        <v>906</v>
      </c>
      <c r="E541" s="1990" t="s">
        <v>1051</v>
      </c>
      <c r="F541" s="1991">
        <v>39823</v>
      </c>
      <c r="G541" s="1991">
        <v>19911500</v>
      </c>
      <c r="H541" s="1991">
        <v>39823</v>
      </c>
      <c r="I541" s="1991">
        <v>39823</v>
      </c>
      <c r="J541" s="1991">
        <v>39823</v>
      </c>
      <c r="K541" s="1991">
        <v>0</v>
      </c>
      <c r="L541" s="1991">
        <v>500</v>
      </c>
      <c r="M541" s="1991">
        <v>500</v>
      </c>
      <c r="N541" s="1990" t="s">
        <v>1052</v>
      </c>
      <c r="O541" s="1990" t="s">
        <v>8509</v>
      </c>
      <c r="P541" s="1990" t="s">
        <v>906</v>
      </c>
      <c r="Q541" s="1990" t="s">
        <v>1063</v>
      </c>
      <c r="R541" s="1990" t="s">
        <v>1054</v>
      </c>
    </row>
    <row r="542" spans="1:18">
      <c r="A542" s="1990" t="s">
        <v>1068</v>
      </c>
      <c r="B542" s="1990" t="s">
        <v>1094</v>
      </c>
      <c r="C542" s="1990" t="s">
        <v>1050</v>
      </c>
      <c r="D542" s="1990" t="s">
        <v>928</v>
      </c>
      <c r="E542" s="1990" t="s">
        <v>1051</v>
      </c>
      <c r="F542" s="1991">
        <v>25015</v>
      </c>
      <c r="G542" s="1991">
        <v>7504500</v>
      </c>
      <c r="H542" s="1991">
        <v>25015</v>
      </c>
      <c r="I542" s="1991">
        <v>25015</v>
      </c>
      <c r="J542" s="1991">
        <v>25015</v>
      </c>
      <c r="K542" s="1991">
        <v>0</v>
      </c>
      <c r="L542" s="1991">
        <v>300</v>
      </c>
      <c r="M542" s="1991">
        <v>300</v>
      </c>
      <c r="N542" s="1990" t="s">
        <v>1052</v>
      </c>
      <c r="O542" s="1990" t="s">
        <v>8509</v>
      </c>
      <c r="P542" s="1990" t="s">
        <v>928</v>
      </c>
      <c r="Q542" s="1990" t="s">
        <v>1053</v>
      </c>
      <c r="R542" s="1990" t="s">
        <v>1054</v>
      </c>
    </row>
    <row r="543" spans="1:18">
      <c r="A543" s="1990" t="s">
        <v>1068</v>
      </c>
      <c r="B543" s="1990" t="s">
        <v>1318</v>
      </c>
      <c r="C543" s="1990" t="s">
        <v>1050</v>
      </c>
      <c r="D543" s="1990" t="s">
        <v>906</v>
      </c>
      <c r="E543" s="1990" t="s">
        <v>1051</v>
      </c>
      <c r="F543" s="1991">
        <v>31300</v>
      </c>
      <c r="G543" s="1991">
        <v>61035000</v>
      </c>
      <c r="H543" s="1991">
        <v>31300</v>
      </c>
      <c r="I543" s="1991">
        <v>31300</v>
      </c>
      <c r="J543" s="1991">
        <v>31300</v>
      </c>
      <c r="K543" s="1991">
        <v>0</v>
      </c>
      <c r="L543" s="1991">
        <v>1950</v>
      </c>
      <c r="M543" s="1991">
        <v>1950</v>
      </c>
      <c r="N543" s="1990" t="s">
        <v>1052</v>
      </c>
      <c r="O543" s="1990" t="s">
        <v>8509</v>
      </c>
      <c r="P543" s="1990" t="s">
        <v>906</v>
      </c>
      <c r="Q543" s="1990" t="s">
        <v>1063</v>
      </c>
      <c r="R543" s="1990" t="s">
        <v>1054</v>
      </c>
    </row>
    <row r="544" spans="1:18">
      <c r="A544" s="1990" t="s">
        <v>1055</v>
      </c>
      <c r="B544" s="1990" t="s">
        <v>1407</v>
      </c>
      <c r="C544" s="1990" t="s">
        <v>1050</v>
      </c>
      <c r="D544" s="1990" t="s">
        <v>921</v>
      </c>
      <c r="E544" s="1990" t="s">
        <v>1051</v>
      </c>
      <c r="F544" s="1991">
        <v>35398</v>
      </c>
      <c r="G544" s="1991">
        <v>10619400</v>
      </c>
      <c r="H544" s="1991">
        <v>35398</v>
      </c>
      <c r="I544" s="1991">
        <v>35398</v>
      </c>
      <c r="J544" s="1991">
        <v>35398</v>
      </c>
      <c r="K544" s="1991">
        <v>0</v>
      </c>
      <c r="L544" s="1991">
        <v>300</v>
      </c>
      <c r="M544" s="1991">
        <v>300</v>
      </c>
      <c r="N544" s="1990" t="s">
        <v>1052</v>
      </c>
      <c r="O544" s="1990" t="s">
        <v>8509</v>
      </c>
      <c r="P544" s="1990" t="s">
        <v>921</v>
      </c>
      <c r="Q544" s="1990" t="s">
        <v>1114</v>
      </c>
      <c r="R544" s="1990" t="s">
        <v>1054</v>
      </c>
    </row>
    <row r="545" spans="1:18">
      <c r="A545" s="1990" t="s">
        <v>1059</v>
      </c>
      <c r="B545" s="1990" t="s">
        <v>1460</v>
      </c>
      <c r="C545" s="1990" t="s">
        <v>1050</v>
      </c>
      <c r="D545" s="1990" t="s">
        <v>927</v>
      </c>
      <c r="E545" s="1990" t="s">
        <v>1051</v>
      </c>
      <c r="F545" s="1991">
        <v>27305</v>
      </c>
      <c r="G545" s="1991">
        <v>38227000</v>
      </c>
      <c r="H545" s="1991">
        <v>27305</v>
      </c>
      <c r="I545" s="1991">
        <v>27305</v>
      </c>
      <c r="J545" s="1991">
        <v>27305</v>
      </c>
      <c r="K545" s="1991">
        <v>0</v>
      </c>
      <c r="L545" s="1991">
        <v>1400</v>
      </c>
      <c r="M545" s="1991">
        <v>1400</v>
      </c>
      <c r="N545" s="1990" t="s">
        <v>1052</v>
      </c>
      <c r="O545" s="1990" t="s">
        <v>8509</v>
      </c>
      <c r="P545" s="1990" t="s">
        <v>927</v>
      </c>
      <c r="Q545" s="1990" t="s">
        <v>1143</v>
      </c>
      <c r="R545" s="1990" t="s">
        <v>1054</v>
      </c>
    </row>
    <row r="546" spans="1:18">
      <c r="A546" s="1990" t="s">
        <v>1059</v>
      </c>
      <c r="B546" s="1990" t="s">
        <v>1401</v>
      </c>
      <c r="C546" s="1990" t="s">
        <v>1050</v>
      </c>
      <c r="D546" s="1990" t="s">
        <v>921</v>
      </c>
      <c r="E546" s="1990" t="s">
        <v>1051</v>
      </c>
      <c r="F546" s="1991">
        <v>28060</v>
      </c>
      <c r="G546" s="1991">
        <v>1403000</v>
      </c>
      <c r="H546" s="1991">
        <v>28060</v>
      </c>
      <c r="I546" s="1991">
        <v>28060</v>
      </c>
      <c r="J546" s="1991">
        <v>28060</v>
      </c>
      <c r="K546" s="1991">
        <v>0</v>
      </c>
      <c r="L546" s="1991">
        <v>50</v>
      </c>
      <c r="M546" s="1991">
        <v>50</v>
      </c>
      <c r="N546" s="1990" t="s">
        <v>1052</v>
      </c>
      <c r="O546" s="1990" t="s">
        <v>8509</v>
      </c>
      <c r="P546" s="1990" t="s">
        <v>921</v>
      </c>
      <c r="Q546" s="1990" t="s">
        <v>1114</v>
      </c>
      <c r="R546" s="1990" t="s">
        <v>1054</v>
      </c>
    </row>
    <row r="547" spans="1:18">
      <c r="A547" s="1990" t="s">
        <v>1059</v>
      </c>
      <c r="B547" s="1990" t="s">
        <v>1345</v>
      </c>
      <c r="C547" s="1990" t="s">
        <v>1050</v>
      </c>
      <c r="D547" s="1990" t="s">
        <v>902</v>
      </c>
      <c r="E547" s="1990" t="s">
        <v>1051</v>
      </c>
      <c r="F547" s="1991">
        <v>31483</v>
      </c>
      <c r="G547" s="1991">
        <v>11806125</v>
      </c>
      <c r="H547" s="1991">
        <v>31483</v>
      </c>
      <c r="I547" s="1991">
        <v>31483</v>
      </c>
      <c r="J547" s="1991">
        <v>31483</v>
      </c>
      <c r="K547" s="1991">
        <v>0</v>
      </c>
      <c r="L547" s="1991">
        <v>375</v>
      </c>
      <c r="M547" s="1991">
        <v>375</v>
      </c>
      <c r="N547" s="1990" t="s">
        <v>1052</v>
      </c>
      <c r="O547" s="1990" t="s">
        <v>8509</v>
      </c>
      <c r="P547" s="1990" t="s">
        <v>902</v>
      </c>
      <c r="Q547" s="1990" t="s">
        <v>1053</v>
      </c>
      <c r="R547" s="1990" t="s">
        <v>1054</v>
      </c>
    </row>
    <row r="548" spans="1:18">
      <c r="A548" s="1990" t="s">
        <v>1057</v>
      </c>
      <c r="B548" s="1990" t="s">
        <v>1323</v>
      </c>
      <c r="C548" s="1990" t="s">
        <v>1050</v>
      </c>
      <c r="D548" s="1990" t="s">
        <v>915</v>
      </c>
      <c r="E548" s="1990" t="s">
        <v>1051</v>
      </c>
      <c r="F548" s="1991">
        <v>41322</v>
      </c>
      <c r="G548" s="1991">
        <v>27272520</v>
      </c>
      <c r="H548" s="1991">
        <v>41322</v>
      </c>
      <c r="I548" s="1991">
        <v>41322</v>
      </c>
      <c r="J548" s="1991">
        <v>41322</v>
      </c>
      <c r="K548" s="1991">
        <v>0</v>
      </c>
      <c r="L548" s="1991">
        <v>660</v>
      </c>
      <c r="M548" s="1991">
        <v>660</v>
      </c>
      <c r="N548" s="1990" t="s">
        <v>1052</v>
      </c>
      <c r="O548" s="1990" t="s">
        <v>8509</v>
      </c>
      <c r="P548" s="1990" t="s">
        <v>915</v>
      </c>
      <c r="Q548" s="1990" t="s">
        <v>1053</v>
      </c>
      <c r="R548" s="1990" t="s">
        <v>1054</v>
      </c>
    </row>
    <row r="549" spans="1:18" ht="30">
      <c r="A549" s="1990" t="s">
        <v>1059</v>
      </c>
      <c r="B549" s="1990" t="s">
        <v>1369</v>
      </c>
      <c r="C549" s="1990" t="s">
        <v>1050</v>
      </c>
      <c r="D549" s="1990" t="s">
        <v>910</v>
      </c>
      <c r="E549" s="1990" t="s">
        <v>1054</v>
      </c>
      <c r="F549" s="1991">
        <v>26505</v>
      </c>
      <c r="G549" s="1991">
        <v>283603500</v>
      </c>
      <c r="H549" s="1991">
        <v>26505</v>
      </c>
      <c r="I549" s="1991">
        <v>26505</v>
      </c>
      <c r="J549" s="1991">
        <v>26505</v>
      </c>
      <c r="K549" s="1991">
        <v>11000</v>
      </c>
      <c r="L549" s="1991">
        <v>10900</v>
      </c>
      <c r="M549" s="1991">
        <v>10700</v>
      </c>
      <c r="N549" s="1990" t="s">
        <v>1052</v>
      </c>
      <c r="O549" s="1990" t="s">
        <v>8509</v>
      </c>
      <c r="P549" s="1990" t="s">
        <v>1283</v>
      </c>
      <c r="Q549" s="1990" t="s">
        <v>1075</v>
      </c>
      <c r="R549" s="1990" t="s">
        <v>1054</v>
      </c>
    </row>
    <row r="550" spans="1:18" ht="30">
      <c r="A550" s="1990" t="s">
        <v>1057</v>
      </c>
      <c r="B550" s="1990" t="s">
        <v>1375</v>
      </c>
      <c r="C550" s="1990" t="s">
        <v>1050</v>
      </c>
      <c r="D550" s="1990" t="s">
        <v>899</v>
      </c>
      <c r="E550" s="1990" t="s">
        <v>1051</v>
      </c>
      <c r="F550" s="1991">
        <v>41713</v>
      </c>
      <c r="G550" s="1991">
        <v>21899325</v>
      </c>
      <c r="H550" s="1991">
        <v>41713</v>
      </c>
      <c r="I550" s="1991">
        <v>41713</v>
      </c>
      <c r="J550" s="1991">
        <v>41713</v>
      </c>
      <c r="K550" s="1991">
        <v>0</v>
      </c>
      <c r="L550" s="1991">
        <v>525</v>
      </c>
      <c r="M550" s="1991">
        <v>525</v>
      </c>
      <c r="N550" s="1990" t="s">
        <v>1052</v>
      </c>
      <c r="O550" s="1990" t="s">
        <v>8509</v>
      </c>
      <c r="P550" s="1990" t="s">
        <v>899</v>
      </c>
      <c r="Q550" s="1990" t="s">
        <v>1075</v>
      </c>
      <c r="R550" s="1990" t="s">
        <v>1054</v>
      </c>
    </row>
    <row r="551" spans="1:18" ht="30">
      <c r="A551" s="1990" t="s">
        <v>1057</v>
      </c>
      <c r="B551" s="1990" t="s">
        <v>1432</v>
      </c>
      <c r="C551" s="1990" t="s">
        <v>1050</v>
      </c>
      <c r="D551" s="1990" t="s">
        <v>926</v>
      </c>
      <c r="E551" s="1990" t="s">
        <v>1051</v>
      </c>
      <c r="F551" s="1991">
        <v>43836</v>
      </c>
      <c r="G551" s="1991">
        <v>3068520</v>
      </c>
      <c r="H551" s="1991">
        <v>43836</v>
      </c>
      <c r="I551" s="1991">
        <v>43836</v>
      </c>
      <c r="J551" s="1991">
        <v>43836</v>
      </c>
      <c r="K551" s="1991">
        <v>0</v>
      </c>
      <c r="L551" s="1991">
        <v>70</v>
      </c>
      <c r="M551" s="1991">
        <v>70</v>
      </c>
      <c r="N551" s="1990" t="s">
        <v>1052</v>
      </c>
      <c r="O551" s="1990" t="s">
        <v>8509</v>
      </c>
      <c r="P551" s="1990" t="s">
        <v>926</v>
      </c>
      <c r="Q551" s="1990" t="s">
        <v>1252</v>
      </c>
      <c r="R551" s="1990" t="s">
        <v>1054</v>
      </c>
    </row>
    <row r="552" spans="1:18">
      <c r="A552" s="1990" t="s">
        <v>1057</v>
      </c>
      <c r="B552" s="1990" t="s">
        <v>1458</v>
      </c>
      <c r="C552" s="1990" t="s">
        <v>1050</v>
      </c>
      <c r="D552" s="1990" t="s">
        <v>927</v>
      </c>
      <c r="E552" s="1990" t="s">
        <v>1051</v>
      </c>
      <c r="F552" s="1991">
        <v>39378</v>
      </c>
      <c r="G552" s="1991">
        <v>21657900</v>
      </c>
      <c r="H552" s="1991">
        <v>39378</v>
      </c>
      <c r="I552" s="1991">
        <v>39378</v>
      </c>
      <c r="J552" s="1991">
        <v>39378</v>
      </c>
      <c r="K552" s="1991">
        <v>0</v>
      </c>
      <c r="L552" s="1991">
        <v>550</v>
      </c>
      <c r="M552" s="1991">
        <v>550</v>
      </c>
      <c r="N552" s="1990" t="s">
        <v>1052</v>
      </c>
      <c r="O552" s="1990" t="s">
        <v>8509</v>
      </c>
      <c r="P552" s="1990" t="s">
        <v>927</v>
      </c>
      <c r="Q552" s="1990" t="s">
        <v>1143</v>
      </c>
      <c r="R552" s="1990" t="s">
        <v>1054</v>
      </c>
    </row>
    <row r="553" spans="1:18" ht="45">
      <c r="A553" s="1990" t="s">
        <v>1057</v>
      </c>
      <c r="B553" s="1990" t="s">
        <v>1390</v>
      </c>
      <c r="C553" s="1990" t="s">
        <v>1050</v>
      </c>
      <c r="D553" s="1990" t="s">
        <v>925</v>
      </c>
      <c r="E553" s="1990" t="s">
        <v>1051</v>
      </c>
      <c r="F553" s="1991">
        <v>39544</v>
      </c>
      <c r="G553" s="1991">
        <v>22144640</v>
      </c>
      <c r="H553" s="1991">
        <v>39544</v>
      </c>
      <c r="I553" s="1991">
        <v>39544</v>
      </c>
      <c r="J553" s="1991">
        <v>39544</v>
      </c>
      <c r="K553" s="1991">
        <v>0</v>
      </c>
      <c r="L553" s="1991">
        <v>560</v>
      </c>
      <c r="M553" s="1991">
        <v>560</v>
      </c>
      <c r="N553" s="1990" t="s">
        <v>1052</v>
      </c>
      <c r="O553" s="1990" t="s">
        <v>8509</v>
      </c>
      <c r="P553" s="1990" t="s">
        <v>1388</v>
      </c>
      <c r="Q553" s="1990" t="s">
        <v>1389</v>
      </c>
      <c r="R553" s="1990" t="s">
        <v>1054</v>
      </c>
    </row>
    <row r="554" spans="1:18">
      <c r="A554" s="1990" t="s">
        <v>1057</v>
      </c>
      <c r="B554" s="1990" t="s">
        <v>1399</v>
      </c>
      <c r="C554" s="1990" t="s">
        <v>1050</v>
      </c>
      <c r="D554" s="1990" t="s">
        <v>921</v>
      </c>
      <c r="E554" s="1990" t="s">
        <v>1051</v>
      </c>
      <c r="F554" s="1991">
        <v>37366</v>
      </c>
      <c r="G554" s="1991">
        <v>6539050</v>
      </c>
      <c r="H554" s="1991">
        <v>37366</v>
      </c>
      <c r="I554" s="1991">
        <v>37366</v>
      </c>
      <c r="J554" s="1991">
        <v>37366</v>
      </c>
      <c r="K554" s="1991">
        <v>0</v>
      </c>
      <c r="L554" s="1991">
        <v>175</v>
      </c>
      <c r="M554" s="1991">
        <v>175</v>
      </c>
      <c r="N554" s="1990" t="s">
        <v>1052</v>
      </c>
      <c r="O554" s="1990" t="s">
        <v>8509</v>
      </c>
      <c r="P554" s="1990" t="s">
        <v>921</v>
      </c>
      <c r="Q554" s="1990" t="s">
        <v>1114</v>
      </c>
      <c r="R554" s="1990" t="s">
        <v>1054</v>
      </c>
    </row>
    <row r="555" spans="1:18">
      <c r="A555" s="1990" t="s">
        <v>1057</v>
      </c>
      <c r="B555" s="1990" t="s">
        <v>1093</v>
      </c>
      <c r="C555" s="1990" t="s">
        <v>1050</v>
      </c>
      <c r="D555" s="1990" t="s">
        <v>930</v>
      </c>
      <c r="E555" s="1990" t="s">
        <v>1051</v>
      </c>
      <c r="F555" s="1991">
        <v>37366</v>
      </c>
      <c r="G555" s="1991">
        <v>3736600</v>
      </c>
      <c r="H555" s="1991">
        <v>37366</v>
      </c>
      <c r="I555" s="1991">
        <v>37366</v>
      </c>
      <c r="J555" s="1991">
        <v>37366</v>
      </c>
      <c r="K555" s="1991">
        <v>0</v>
      </c>
      <c r="L555" s="1991">
        <v>100</v>
      </c>
      <c r="M555" s="1991">
        <v>100</v>
      </c>
      <c r="N555" s="1990" t="s">
        <v>1052</v>
      </c>
      <c r="O555" s="1990" t="s">
        <v>8509</v>
      </c>
      <c r="P555" s="1990" t="s">
        <v>930</v>
      </c>
      <c r="Q555" s="1990" t="s">
        <v>1053</v>
      </c>
      <c r="R555" s="1990" t="s">
        <v>1054</v>
      </c>
    </row>
    <row r="556" spans="1:18">
      <c r="A556" s="1990" t="s">
        <v>1057</v>
      </c>
      <c r="B556" s="1990" t="s">
        <v>1436</v>
      </c>
      <c r="C556" s="1990" t="s">
        <v>1050</v>
      </c>
      <c r="D556" s="1990" t="s">
        <v>919</v>
      </c>
      <c r="E556" s="1990" t="s">
        <v>1051</v>
      </c>
      <c r="F556" s="1991">
        <v>37366</v>
      </c>
      <c r="G556" s="1991">
        <v>1868300</v>
      </c>
      <c r="H556" s="1991">
        <v>37366</v>
      </c>
      <c r="I556" s="1991">
        <v>37366</v>
      </c>
      <c r="J556" s="1991">
        <v>37366</v>
      </c>
      <c r="K556" s="1991">
        <v>0</v>
      </c>
      <c r="L556" s="1991">
        <v>50</v>
      </c>
      <c r="M556" s="1991">
        <v>50</v>
      </c>
      <c r="N556" s="1990" t="s">
        <v>1052</v>
      </c>
      <c r="O556" s="1990" t="s">
        <v>8509</v>
      </c>
      <c r="P556" s="1990" t="s">
        <v>919</v>
      </c>
      <c r="Q556" s="1990" t="s">
        <v>1053</v>
      </c>
      <c r="R556" s="1990" t="s">
        <v>1054</v>
      </c>
    </row>
    <row r="557" spans="1:18">
      <c r="A557" s="1990" t="s">
        <v>1057</v>
      </c>
      <c r="B557" s="1990" t="s">
        <v>1392</v>
      </c>
      <c r="C557" s="1990" t="s">
        <v>1050</v>
      </c>
      <c r="D557" s="1990" t="s">
        <v>70</v>
      </c>
      <c r="E557" s="1990" t="s">
        <v>1051</v>
      </c>
      <c r="F557" s="1991">
        <v>38103</v>
      </c>
      <c r="G557" s="1991">
        <v>80016300</v>
      </c>
      <c r="H557" s="1991">
        <v>38103</v>
      </c>
      <c r="I557" s="1991">
        <v>38103</v>
      </c>
      <c r="J557" s="1991">
        <v>38103</v>
      </c>
      <c r="K557" s="1991">
        <v>0</v>
      </c>
      <c r="L557" s="1991">
        <v>2100</v>
      </c>
      <c r="M557" s="1991">
        <v>2100</v>
      </c>
      <c r="N557" s="1990" t="s">
        <v>1052</v>
      </c>
      <c r="O557" s="1990" t="s">
        <v>8509</v>
      </c>
      <c r="P557" s="1990" t="s">
        <v>70</v>
      </c>
      <c r="Q557" s="1990" t="s">
        <v>1090</v>
      </c>
      <c r="R557" s="1990" t="s">
        <v>1054</v>
      </c>
    </row>
    <row r="558" spans="1:18">
      <c r="A558" s="1990" t="s">
        <v>1059</v>
      </c>
      <c r="B558" s="1990" t="s">
        <v>1064</v>
      </c>
      <c r="C558" s="1990" t="s">
        <v>1050</v>
      </c>
      <c r="D558" s="1990" t="s">
        <v>911</v>
      </c>
      <c r="E558" s="1990" t="s">
        <v>1054</v>
      </c>
      <c r="F558" s="1991">
        <v>26264</v>
      </c>
      <c r="G558" s="1991">
        <v>139199200</v>
      </c>
      <c r="H558" s="1991">
        <v>26264</v>
      </c>
      <c r="I558" s="1991">
        <v>26264</v>
      </c>
      <c r="J558" s="1991">
        <v>26264</v>
      </c>
      <c r="K558" s="1991">
        <v>9000</v>
      </c>
      <c r="L558" s="1991">
        <v>5300</v>
      </c>
      <c r="M558" s="1991">
        <v>5300</v>
      </c>
      <c r="N558" s="1990" t="s">
        <v>1052</v>
      </c>
      <c r="O558" s="1990" t="s">
        <v>8509</v>
      </c>
      <c r="P558" s="1990" t="s">
        <v>911</v>
      </c>
      <c r="Q558" s="1990" t="s">
        <v>1063</v>
      </c>
      <c r="R558" s="1990" t="s">
        <v>1054</v>
      </c>
    </row>
    <row r="559" spans="1:18" ht="30">
      <c r="A559" s="1990" t="s">
        <v>1057</v>
      </c>
      <c r="B559" s="1990" t="s">
        <v>1370</v>
      </c>
      <c r="C559" s="1990" t="s">
        <v>1050</v>
      </c>
      <c r="D559" s="1990" t="s">
        <v>910</v>
      </c>
      <c r="E559" s="1990" t="s">
        <v>1054</v>
      </c>
      <c r="F559" s="1991">
        <v>42843</v>
      </c>
      <c r="G559" s="1991">
        <v>269910900</v>
      </c>
      <c r="H559" s="1991">
        <v>42843</v>
      </c>
      <c r="I559" s="1991">
        <v>42843</v>
      </c>
      <c r="J559" s="1991">
        <v>42843</v>
      </c>
      <c r="K559" s="1991">
        <v>11000</v>
      </c>
      <c r="L559" s="1991">
        <v>6325</v>
      </c>
      <c r="M559" s="1991">
        <v>6300</v>
      </c>
      <c r="N559" s="1990" t="s">
        <v>1052</v>
      </c>
      <c r="O559" s="1990" t="s">
        <v>8509</v>
      </c>
      <c r="P559" s="1990" t="s">
        <v>1283</v>
      </c>
      <c r="Q559" s="1990" t="s">
        <v>1075</v>
      </c>
      <c r="R559" s="1990" t="s">
        <v>1054</v>
      </c>
    </row>
    <row r="560" spans="1:18" ht="30">
      <c r="A560" s="1990" t="s">
        <v>1085</v>
      </c>
      <c r="B560" s="1990" t="s">
        <v>1086</v>
      </c>
      <c r="C560" s="1990" t="s">
        <v>1050</v>
      </c>
      <c r="D560" s="1990" t="s">
        <v>922</v>
      </c>
      <c r="E560" s="1990" t="s">
        <v>1054</v>
      </c>
      <c r="F560" s="1991">
        <v>25406</v>
      </c>
      <c r="G560" s="1991">
        <v>22103220</v>
      </c>
      <c r="H560" s="1991">
        <v>25406</v>
      </c>
      <c r="I560" s="1991">
        <v>25406</v>
      </c>
      <c r="J560" s="1991">
        <v>25406</v>
      </c>
      <c r="K560" s="1990">
        <v>1000</v>
      </c>
      <c r="L560" s="1991">
        <v>870</v>
      </c>
      <c r="M560" s="1990">
        <v>870</v>
      </c>
      <c r="N560" s="1990" t="s">
        <v>1052</v>
      </c>
      <c r="O560" s="1990" t="s">
        <v>8509</v>
      </c>
      <c r="P560" s="1990" t="s">
        <v>922</v>
      </c>
      <c r="Q560" s="1990" t="s">
        <v>1087</v>
      </c>
      <c r="R560" s="1990" t="s">
        <v>1054</v>
      </c>
    </row>
    <row r="561" spans="1:18" ht="30">
      <c r="A561" s="1990" t="s">
        <v>1059</v>
      </c>
      <c r="B561" s="1990" t="s">
        <v>1362</v>
      </c>
      <c r="C561" s="1990" t="s">
        <v>1050</v>
      </c>
      <c r="D561" s="1990" t="s">
        <v>917</v>
      </c>
      <c r="E561" s="1990" t="s">
        <v>1054</v>
      </c>
      <c r="F561" s="1991">
        <v>27038</v>
      </c>
      <c r="G561" s="1991">
        <v>133162150</v>
      </c>
      <c r="H561" s="1991">
        <v>27038</v>
      </c>
      <c r="I561" s="1991">
        <v>27038</v>
      </c>
      <c r="J561" s="1991">
        <v>27038</v>
      </c>
      <c r="K561" s="1991">
        <v>9000</v>
      </c>
      <c r="L561" s="1991">
        <v>4925</v>
      </c>
      <c r="M561" s="1991">
        <v>4925</v>
      </c>
      <c r="N561" s="1990" t="s">
        <v>1052</v>
      </c>
      <c r="O561" s="1990" t="s">
        <v>8509</v>
      </c>
      <c r="P561" s="1990" t="s">
        <v>1074</v>
      </c>
      <c r="Q561" s="1990" t="s">
        <v>1075</v>
      </c>
      <c r="R561" s="1990" t="s">
        <v>1054</v>
      </c>
    </row>
    <row r="562" spans="1:18">
      <c r="A562" s="1990" t="s">
        <v>1076</v>
      </c>
      <c r="B562" s="1990" t="s">
        <v>1077</v>
      </c>
      <c r="C562" s="1990" t="s">
        <v>1050</v>
      </c>
      <c r="D562" s="1990" t="s">
        <v>949</v>
      </c>
      <c r="E562" s="1990" t="s">
        <v>1054</v>
      </c>
      <c r="F562" s="1991">
        <v>36629</v>
      </c>
      <c r="G562" s="1991">
        <v>25640300</v>
      </c>
      <c r="H562" s="1991">
        <v>36629</v>
      </c>
      <c r="I562" s="1991">
        <v>36629</v>
      </c>
      <c r="J562" s="1991">
        <v>36629</v>
      </c>
      <c r="K562" s="1991">
        <v>750</v>
      </c>
      <c r="L562" s="1991">
        <v>700</v>
      </c>
      <c r="M562" s="1991">
        <v>700</v>
      </c>
      <c r="N562" s="1990" t="s">
        <v>1052</v>
      </c>
      <c r="O562" s="1990" t="s">
        <v>8509</v>
      </c>
      <c r="P562" s="1990" t="s">
        <v>949</v>
      </c>
      <c r="Q562" s="1990" t="s">
        <v>1078</v>
      </c>
      <c r="R562" s="1990" t="s">
        <v>1054</v>
      </c>
    </row>
    <row r="563" spans="1:18">
      <c r="A563" s="1990" t="s">
        <v>1059</v>
      </c>
      <c r="B563" s="1990" t="s">
        <v>1360</v>
      </c>
      <c r="C563" s="1990" t="s">
        <v>1050</v>
      </c>
      <c r="D563" s="1990" t="s">
        <v>938</v>
      </c>
      <c r="E563" s="1990" t="s">
        <v>1054</v>
      </c>
      <c r="F563" s="2366">
        <v>26264</v>
      </c>
      <c r="G563" s="1990">
        <v>34799800</v>
      </c>
      <c r="H563" s="2366">
        <v>26264</v>
      </c>
      <c r="I563" s="2366">
        <v>26264</v>
      </c>
      <c r="J563" s="1991">
        <v>26264</v>
      </c>
      <c r="K563" s="1990">
        <v>2500</v>
      </c>
      <c r="L563" s="1990">
        <v>1325</v>
      </c>
      <c r="M563" s="1990">
        <v>1325</v>
      </c>
      <c r="N563" s="1990" t="s">
        <v>1052</v>
      </c>
      <c r="O563" s="1990" t="s">
        <v>8509</v>
      </c>
      <c r="P563" s="1990" t="s">
        <v>938</v>
      </c>
      <c r="Q563" s="1990" t="s">
        <v>1053</v>
      </c>
      <c r="R563" s="1990" t="s">
        <v>1054</v>
      </c>
    </row>
    <row r="564" spans="1:18" ht="30">
      <c r="A564" s="1990" t="s">
        <v>1057</v>
      </c>
      <c r="B564" s="1990" t="s">
        <v>1395</v>
      </c>
      <c r="C564" s="1990" t="s">
        <v>1050</v>
      </c>
      <c r="D564" s="1990" t="s">
        <v>957</v>
      </c>
      <c r="E564" s="1990" t="s">
        <v>1054</v>
      </c>
      <c r="F564" s="2366">
        <v>37366</v>
      </c>
      <c r="G564" s="1990">
        <v>26156200</v>
      </c>
      <c r="H564" s="2366">
        <v>37366</v>
      </c>
      <c r="I564" s="2366">
        <v>37366</v>
      </c>
      <c r="J564" s="1991">
        <v>37366</v>
      </c>
      <c r="K564" s="1990">
        <v>2000</v>
      </c>
      <c r="L564" s="1990">
        <v>1500</v>
      </c>
      <c r="M564" s="1990">
        <v>700</v>
      </c>
      <c r="N564" s="1990" t="s">
        <v>1052</v>
      </c>
      <c r="O564" s="1990" t="s">
        <v>8509</v>
      </c>
      <c r="P564" s="1990" t="s">
        <v>957</v>
      </c>
      <c r="Q564" s="1990" t="s">
        <v>1090</v>
      </c>
      <c r="R564" s="1990" t="s">
        <v>1054</v>
      </c>
    </row>
    <row r="565" spans="1:18">
      <c r="A565" s="1990" t="s">
        <v>1112</v>
      </c>
      <c r="B565" s="1990" t="s">
        <v>1482</v>
      </c>
      <c r="C565" s="1990" t="s">
        <v>1050</v>
      </c>
      <c r="D565" s="1990" t="s">
        <v>930</v>
      </c>
      <c r="E565" s="1990" t="s">
        <v>1054</v>
      </c>
      <c r="F565" s="2366">
        <v>24371</v>
      </c>
      <c r="G565" s="1990">
        <v>95656175</v>
      </c>
      <c r="H565" s="2366">
        <v>24371</v>
      </c>
      <c r="I565" s="2366">
        <v>24371</v>
      </c>
      <c r="J565" s="1991">
        <v>24371</v>
      </c>
      <c r="K565" s="1990">
        <v>5000</v>
      </c>
      <c r="L565" s="1990">
        <v>3925</v>
      </c>
      <c r="M565" s="1990">
        <v>3925</v>
      </c>
      <c r="N565" s="1990" t="s">
        <v>1052</v>
      </c>
      <c r="O565" s="1990" t="s">
        <v>8509</v>
      </c>
      <c r="P565" s="1990" t="s">
        <v>930</v>
      </c>
      <c r="Q565" s="1990" t="s">
        <v>1053</v>
      </c>
      <c r="R565" s="1990" t="s">
        <v>1054</v>
      </c>
    </row>
    <row r="566" spans="1:18">
      <c r="A566" s="1990" t="s">
        <v>1057</v>
      </c>
      <c r="B566" s="1990" t="s">
        <v>1361</v>
      </c>
      <c r="C566" s="1990" t="s">
        <v>1050</v>
      </c>
      <c r="D566" s="1990" t="s">
        <v>938</v>
      </c>
      <c r="E566" s="1990" t="s">
        <v>1054</v>
      </c>
      <c r="F566" s="2366">
        <v>38566</v>
      </c>
      <c r="G566" s="1990">
        <v>10605650</v>
      </c>
      <c r="H566" s="2366">
        <v>38566</v>
      </c>
      <c r="I566" s="2366">
        <v>38566</v>
      </c>
      <c r="J566" s="1991">
        <v>38566</v>
      </c>
      <c r="K566" s="1990">
        <v>500</v>
      </c>
      <c r="L566" s="1990">
        <v>400</v>
      </c>
      <c r="M566" s="1990">
        <v>275</v>
      </c>
      <c r="N566" s="1990" t="s">
        <v>1052</v>
      </c>
      <c r="O566" s="1990" t="s">
        <v>8509</v>
      </c>
      <c r="P566" s="1990" t="s">
        <v>938</v>
      </c>
      <c r="Q566" s="1990" t="s">
        <v>1053</v>
      </c>
      <c r="R566" s="1990" t="s">
        <v>1054</v>
      </c>
    </row>
    <row r="567" spans="1:18">
      <c r="A567" s="1990" t="s">
        <v>1059</v>
      </c>
      <c r="B567" s="1990" t="s">
        <v>1470</v>
      </c>
      <c r="C567" s="1990" t="s">
        <v>1050</v>
      </c>
      <c r="D567" s="1990" t="s">
        <v>952</v>
      </c>
      <c r="E567" s="1990" t="s">
        <v>1054</v>
      </c>
      <c r="F567" s="2366">
        <v>26369</v>
      </c>
      <c r="G567" s="1990">
        <v>379713600</v>
      </c>
      <c r="H567" s="2366">
        <v>26369</v>
      </c>
      <c r="I567" s="2366">
        <v>26369</v>
      </c>
      <c r="J567" s="1991">
        <v>26369</v>
      </c>
      <c r="K567" s="1990">
        <v>19000</v>
      </c>
      <c r="L567" s="1990">
        <v>14400</v>
      </c>
      <c r="M567" s="1990">
        <v>14400</v>
      </c>
      <c r="N567" s="1990" t="s">
        <v>1052</v>
      </c>
      <c r="O567" s="1990" t="s">
        <v>8509</v>
      </c>
      <c r="P567" s="1990" t="s">
        <v>1311</v>
      </c>
      <c r="Q567" s="1990" t="s">
        <v>1312</v>
      </c>
      <c r="R567" s="1990" t="s">
        <v>1054</v>
      </c>
    </row>
    <row r="568" spans="1:18">
      <c r="A568" s="1990" t="s">
        <v>1057</v>
      </c>
      <c r="B568" s="1990" t="s">
        <v>1385</v>
      </c>
      <c r="C568" s="1990" t="s">
        <v>1050</v>
      </c>
      <c r="D568" s="1990" t="s">
        <v>949</v>
      </c>
      <c r="E568" s="1990" t="s">
        <v>1054</v>
      </c>
      <c r="F568" s="2366">
        <v>37366</v>
      </c>
      <c r="G568" s="1990">
        <v>384869800</v>
      </c>
      <c r="H568" s="2366">
        <v>37366</v>
      </c>
      <c r="I568" s="2366">
        <v>37366</v>
      </c>
      <c r="J568" s="1991">
        <v>37366</v>
      </c>
      <c r="K568" s="1991">
        <v>11000</v>
      </c>
      <c r="L568" s="1990">
        <v>10550</v>
      </c>
      <c r="M568" s="1990">
        <v>10300</v>
      </c>
      <c r="N568" s="1990" t="s">
        <v>1052</v>
      </c>
      <c r="O568" s="1990" t="s">
        <v>8509</v>
      </c>
      <c r="P568" s="1990" t="s">
        <v>949</v>
      </c>
      <c r="Q568" s="1990" t="s">
        <v>1078</v>
      </c>
      <c r="R568" s="1990" t="s">
        <v>1054</v>
      </c>
    </row>
    <row r="569" spans="1:18">
      <c r="A569" s="1990" t="s">
        <v>1059</v>
      </c>
      <c r="B569" s="1990" t="s">
        <v>1400</v>
      </c>
      <c r="C569" s="1990" t="s">
        <v>1050</v>
      </c>
      <c r="D569" s="1990" t="s">
        <v>967</v>
      </c>
      <c r="E569" s="1990" t="s">
        <v>1054</v>
      </c>
      <c r="F569" s="2366">
        <v>26264</v>
      </c>
      <c r="G569" s="1990">
        <v>57518160</v>
      </c>
      <c r="H569" s="2366">
        <v>26264</v>
      </c>
      <c r="I569" s="2366">
        <v>26264</v>
      </c>
      <c r="J569" s="1991">
        <v>26264</v>
      </c>
      <c r="K569" s="1990">
        <v>3000</v>
      </c>
      <c r="L569" s="1990">
        <v>2190</v>
      </c>
      <c r="M569" s="1990">
        <v>2190</v>
      </c>
      <c r="N569" s="1990" t="s">
        <v>1052</v>
      </c>
      <c r="O569" s="1990" t="s">
        <v>8509</v>
      </c>
      <c r="P569" s="1990" t="s">
        <v>967</v>
      </c>
      <c r="Q569" s="1990" t="s">
        <v>1080</v>
      </c>
      <c r="R569" s="1990" t="s">
        <v>1067</v>
      </c>
    </row>
    <row r="570" spans="1:18">
      <c r="A570" s="1990" t="s">
        <v>1057</v>
      </c>
      <c r="B570" s="1990" t="s">
        <v>1405</v>
      </c>
      <c r="C570" s="1990" t="s">
        <v>1050</v>
      </c>
      <c r="D570" s="1990" t="s">
        <v>966</v>
      </c>
      <c r="E570" s="1990" t="s">
        <v>1054</v>
      </c>
      <c r="F570" s="2366">
        <v>37366</v>
      </c>
      <c r="G570" s="1990">
        <v>9341500</v>
      </c>
      <c r="H570" s="2366">
        <v>37366</v>
      </c>
      <c r="I570" s="2366">
        <v>37366</v>
      </c>
      <c r="J570" s="1991">
        <v>37366</v>
      </c>
      <c r="K570" s="1990">
        <v>2000</v>
      </c>
      <c r="L570" s="1990">
        <v>250</v>
      </c>
      <c r="M570" s="1990">
        <v>250</v>
      </c>
      <c r="N570" s="1990" t="s">
        <v>1052</v>
      </c>
      <c r="O570" s="1990" t="s">
        <v>8509</v>
      </c>
      <c r="P570" s="1990" t="s">
        <v>966</v>
      </c>
      <c r="Q570" s="1990" t="s">
        <v>1087</v>
      </c>
      <c r="R570" s="1990" t="s">
        <v>1067</v>
      </c>
    </row>
    <row r="571" spans="1:18">
      <c r="A571" s="1990" t="s">
        <v>1059</v>
      </c>
      <c r="B571" s="1990" t="s">
        <v>1391</v>
      </c>
      <c r="C571" s="1990" t="s">
        <v>1050</v>
      </c>
      <c r="D571" s="1990" t="s">
        <v>70</v>
      </c>
      <c r="E571" s="1990" t="s">
        <v>1054</v>
      </c>
      <c r="F571" s="1991">
        <v>28223</v>
      </c>
      <c r="G571" s="1991">
        <v>282230000</v>
      </c>
      <c r="H571" s="1991">
        <v>28223</v>
      </c>
      <c r="I571" s="1991">
        <v>28223</v>
      </c>
      <c r="J571" s="1991">
        <v>28223</v>
      </c>
      <c r="K571" s="1990">
        <v>27800</v>
      </c>
      <c r="L571" s="1990">
        <v>13000</v>
      </c>
      <c r="M571" s="1990">
        <v>10000</v>
      </c>
      <c r="N571" s="1990" t="s">
        <v>1052</v>
      </c>
      <c r="O571" s="1990" t="s">
        <v>8509</v>
      </c>
      <c r="P571" s="1990" t="s">
        <v>70</v>
      </c>
      <c r="Q571" s="1990" t="s">
        <v>1090</v>
      </c>
      <c r="R571" s="1990" t="s">
        <v>1067</v>
      </c>
    </row>
    <row r="572" spans="1:18" ht="30">
      <c r="A572" s="1990" t="s">
        <v>1059</v>
      </c>
      <c r="B572" s="1990" t="s">
        <v>1098</v>
      </c>
      <c r="C572" s="1990" t="s">
        <v>1050</v>
      </c>
      <c r="D572" s="1990" t="s">
        <v>957</v>
      </c>
      <c r="E572" s="1990" t="s">
        <v>1054</v>
      </c>
      <c r="F572" s="1991">
        <v>26295</v>
      </c>
      <c r="G572" s="1991">
        <v>117012750</v>
      </c>
      <c r="H572" s="1991">
        <v>26295</v>
      </c>
      <c r="I572" s="1991">
        <v>26295</v>
      </c>
      <c r="J572" s="1991">
        <v>26295</v>
      </c>
      <c r="K572" s="1990">
        <v>4500</v>
      </c>
      <c r="L572" s="1990">
        <v>5000</v>
      </c>
      <c r="M572" s="1990">
        <v>4450</v>
      </c>
      <c r="N572" s="1990" t="s">
        <v>1052</v>
      </c>
      <c r="O572" s="1990" t="s">
        <v>8509</v>
      </c>
      <c r="P572" s="1990" t="s">
        <v>957</v>
      </c>
      <c r="Q572" s="1990" t="s">
        <v>1090</v>
      </c>
      <c r="R572" s="1990" t="s">
        <v>1067</v>
      </c>
    </row>
    <row r="573" spans="1:18" ht="30">
      <c r="A573" s="1990" t="s">
        <v>1068</v>
      </c>
      <c r="B573" s="1990" t="s">
        <v>1107</v>
      </c>
      <c r="C573" s="1990" t="s">
        <v>1050</v>
      </c>
      <c r="D573" s="1990" t="s">
        <v>941</v>
      </c>
      <c r="E573" s="1990" t="s">
        <v>1054</v>
      </c>
      <c r="F573" s="1991">
        <v>25015</v>
      </c>
      <c r="G573" s="1991">
        <v>145087000</v>
      </c>
      <c r="H573" s="1991">
        <v>25015</v>
      </c>
      <c r="I573" s="1991">
        <v>25015</v>
      </c>
      <c r="J573" s="1991">
        <v>25015</v>
      </c>
      <c r="K573" s="1990">
        <v>11000</v>
      </c>
      <c r="L573" s="1990">
        <v>6000</v>
      </c>
      <c r="M573" s="1990">
        <v>5800</v>
      </c>
      <c r="N573" s="1990" t="s">
        <v>1052</v>
      </c>
      <c r="O573" s="1990" t="s">
        <v>8509</v>
      </c>
      <c r="P573" s="1990" t="s">
        <v>941</v>
      </c>
      <c r="Q573" s="1990" t="s">
        <v>1075</v>
      </c>
      <c r="R573" s="1990" t="s">
        <v>1067</v>
      </c>
    </row>
    <row r="574" spans="1:18">
      <c r="A574" s="1990" t="s">
        <v>1068</v>
      </c>
      <c r="B574" s="1990" t="s">
        <v>1126</v>
      </c>
      <c r="C574" s="1990" t="s">
        <v>1050</v>
      </c>
      <c r="D574" s="1990" t="s">
        <v>943</v>
      </c>
      <c r="E574" s="1990" t="s">
        <v>1054</v>
      </c>
      <c r="F574" s="1991">
        <v>25045</v>
      </c>
      <c r="G574" s="1991">
        <v>67621500</v>
      </c>
      <c r="H574" s="1991">
        <v>25045</v>
      </c>
      <c r="I574" s="1991">
        <v>25045</v>
      </c>
      <c r="J574" s="1991">
        <v>25045</v>
      </c>
      <c r="K574" s="1990">
        <v>7000</v>
      </c>
      <c r="L574" s="1990">
        <v>2750</v>
      </c>
      <c r="M574" s="1990">
        <v>2700</v>
      </c>
      <c r="N574" s="1990" t="s">
        <v>1052</v>
      </c>
      <c r="O574" s="1990" t="s">
        <v>8509</v>
      </c>
      <c r="P574" s="1990" t="s">
        <v>1127</v>
      </c>
      <c r="Q574" s="1990" t="s">
        <v>1114</v>
      </c>
      <c r="R574" s="1990" t="s">
        <v>1067</v>
      </c>
    </row>
    <row r="575" spans="1:18" ht="30">
      <c r="A575" s="1990" t="s">
        <v>1068</v>
      </c>
      <c r="B575" s="1990" t="s">
        <v>1410</v>
      </c>
      <c r="C575" s="1990" t="s">
        <v>1050</v>
      </c>
      <c r="D575" s="1990" t="s">
        <v>962</v>
      </c>
      <c r="E575" s="1990" t="s">
        <v>1054</v>
      </c>
      <c r="F575" s="1991">
        <v>25015</v>
      </c>
      <c r="G575" s="1991">
        <v>178206860</v>
      </c>
      <c r="H575" s="1991">
        <v>25015</v>
      </c>
      <c r="I575" s="1991">
        <v>25015</v>
      </c>
      <c r="J575" s="1991">
        <v>25015</v>
      </c>
      <c r="K575" s="1990">
        <v>7514</v>
      </c>
      <c r="L575" s="1990">
        <v>7124</v>
      </c>
      <c r="M575" s="1990">
        <v>7124</v>
      </c>
      <c r="N575" s="1990" t="s">
        <v>1052</v>
      </c>
      <c r="O575" s="1990" t="s">
        <v>8509</v>
      </c>
      <c r="P575" s="1990" t="s">
        <v>962</v>
      </c>
      <c r="Q575" s="1990" t="s">
        <v>1080</v>
      </c>
      <c r="R575" s="1990" t="s">
        <v>1067</v>
      </c>
    </row>
    <row r="576" spans="1:18">
      <c r="A576" s="1990" t="s">
        <v>1061</v>
      </c>
      <c r="B576" s="1990" t="s">
        <v>1128</v>
      </c>
      <c r="C576" s="1990" t="s">
        <v>1050</v>
      </c>
      <c r="D576" s="1990" t="s">
        <v>943</v>
      </c>
      <c r="E576" s="1990" t="s">
        <v>1054</v>
      </c>
      <c r="F576" s="1991">
        <v>35589</v>
      </c>
      <c r="G576" s="1991">
        <v>80075250</v>
      </c>
      <c r="H576" s="1991">
        <v>35589</v>
      </c>
      <c r="I576" s="1991">
        <v>35589</v>
      </c>
      <c r="J576" s="1991">
        <v>35589</v>
      </c>
      <c r="K576" s="1990">
        <v>2500</v>
      </c>
      <c r="L576" s="1990">
        <v>2250</v>
      </c>
      <c r="M576" s="1990">
        <v>2250</v>
      </c>
      <c r="N576" s="1990" t="s">
        <v>1052</v>
      </c>
      <c r="O576" s="1990" t="s">
        <v>8509</v>
      </c>
      <c r="P576" s="1990" t="s">
        <v>1127</v>
      </c>
      <c r="Q576" s="1990" t="s">
        <v>1114</v>
      </c>
      <c r="R576" s="1990" t="s">
        <v>1067</v>
      </c>
    </row>
    <row r="577" spans="1:18" ht="30">
      <c r="A577" s="1990" t="s">
        <v>1068</v>
      </c>
      <c r="B577" s="1990" t="s">
        <v>1123</v>
      </c>
      <c r="C577" s="1990" t="s">
        <v>1050</v>
      </c>
      <c r="D577" s="1990" t="s">
        <v>950</v>
      </c>
      <c r="E577" s="1990" t="s">
        <v>1054</v>
      </c>
      <c r="F577" s="1991">
        <v>25207</v>
      </c>
      <c r="G577" s="1991">
        <v>69319250</v>
      </c>
      <c r="H577" s="1991">
        <v>25207</v>
      </c>
      <c r="I577" s="1991">
        <v>25207</v>
      </c>
      <c r="J577" s="1991">
        <v>25207</v>
      </c>
      <c r="K577" s="1990">
        <v>12000</v>
      </c>
      <c r="L577" s="1991">
        <v>2750</v>
      </c>
      <c r="M577" s="1991">
        <v>2750</v>
      </c>
      <c r="N577" s="1990" t="s">
        <v>1052</v>
      </c>
      <c r="O577" s="1990" t="s">
        <v>8509</v>
      </c>
      <c r="P577" s="1990" t="s">
        <v>1124</v>
      </c>
      <c r="Q577" s="1990" t="s">
        <v>1114</v>
      </c>
      <c r="R577" s="1990" t="s">
        <v>1067</v>
      </c>
    </row>
    <row r="578" spans="1:18">
      <c r="A578" s="1990" t="s">
        <v>1057</v>
      </c>
      <c r="B578" s="1990" t="s">
        <v>1426</v>
      </c>
      <c r="C578" s="1990" t="s">
        <v>1050</v>
      </c>
      <c r="D578" s="1990" t="s">
        <v>958</v>
      </c>
      <c r="E578" s="1990" t="s">
        <v>1427</v>
      </c>
      <c r="F578" s="1991">
        <v>37366</v>
      </c>
      <c r="G578" s="1991">
        <v>81271050</v>
      </c>
      <c r="H578" s="1991">
        <v>37366</v>
      </c>
      <c r="I578" s="1991">
        <v>37366</v>
      </c>
      <c r="J578" s="1991">
        <v>37366</v>
      </c>
      <c r="K578" s="1991">
        <v>3000</v>
      </c>
      <c r="L578" s="1990">
        <v>2175</v>
      </c>
      <c r="M578" s="1990">
        <v>2175</v>
      </c>
      <c r="N578" s="1990" t="s">
        <v>1052</v>
      </c>
      <c r="O578" s="1990" t="s">
        <v>8509</v>
      </c>
      <c r="P578" s="1990" t="s">
        <v>958</v>
      </c>
      <c r="Q578" s="1990" t="s">
        <v>1312</v>
      </c>
      <c r="R578" s="1990" t="s">
        <v>1067</v>
      </c>
    </row>
    <row r="579" spans="1:18" ht="30">
      <c r="A579" s="1990" t="s">
        <v>1061</v>
      </c>
      <c r="B579" s="1990" t="s">
        <v>1125</v>
      </c>
      <c r="C579" s="1990" t="s">
        <v>1050</v>
      </c>
      <c r="D579" s="1990" t="s">
        <v>950</v>
      </c>
      <c r="E579" s="1990" t="s">
        <v>1054</v>
      </c>
      <c r="F579" s="1991">
        <v>35589</v>
      </c>
      <c r="G579" s="1991">
        <v>48934875</v>
      </c>
      <c r="H579" s="1991">
        <v>35589</v>
      </c>
      <c r="I579" s="1991">
        <v>35589</v>
      </c>
      <c r="J579" s="1991">
        <v>35589</v>
      </c>
      <c r="K579" s="1991">
        <v>4000</v>
      </c>
      <c r="L579" s="1991">
        <v>1375</v>
      </c>
      <c r="M579" s="1991">
        <v>1375</v>
      </c>
      <c r="N579" s="1990" t="s">
        <v>1052</v>
      </c>
      <c r="O579" s="1990" t="s">
        <v>8509</v>
      </c>
      <c r="P579" s="1990" t="s">
        <v>1124</v>
      </c>
      <c r="Q579" s="1990" t="s">
        <v>1114</v>
      </c>
      <c r="R579" s="1990" t="s">
        <v>1067</v>
      </c>
    </row>
    <row r="580" spans="1:18">
      <c r="A580" s="1990" t="s">
        <v>1057</v>
      </c>
      <c r="B580" s="1990" t="s">
        <v>1079</v>
      </c>
      <c r="C580" s="1990" t="s">
        <v>1050</v>
      </c>
      <c r="D580" s="1990" t="s">
        <v>967</v>
      </c>
      <c r="E580" s="1990" t="s">
        <v>1054</v>
      </c>
      <c r="F580" s="1991">
        <v>37366</v>
      </c>
      <c r="G580" s="1991">
        <v>22045940</v>
      </c>
      <c r="H580" s="1991">
        <v>37366</v>
      </c>
      <c r="I580" s="1991">
        <v>37366</v>
      </c>
      <c r="J580" s="1991">
        <v>37366</v>
      </c>
      <c r="K580" s="1990">
        <v>600</v>
      </c>
      <c r="L580" s="1990">
        <v>590</v>
      </c>
      <c r="M580" s="1990">
        <v>590</v>
      </c>
      <c r="N580" s="1990" t="s">
        <v>1052</v>
      </c>
      <c r="O580" s="1990" t="s">
        <v>8509</v>
      </c>
      <c r="P580" s="1990" t="s">
        <v>967</v>
      </c>
      <c r="Q580" s="1990" t="s">
        <v>1080</v>
      </c>
      <c r="R580" s="1990" t="s">
        <v>1067</v>
      </c>
    </row>
    <row r="581" spans="1:18">
      <c r="A581" s="1990" t="s">
        <v>1059</v>
      </c>
      <c r="B581" s="1990" t="s">
        <v>1091</v>
      </c>
      <c r="C581" s="1990" t="s">
        <v>1050</v>
      </c>
      <c r="D581" s="1990" t="s">
        <v>963</v>
      </c>
      <c r="E581" s="1990" t="s">
        <v>1054</v>
      </c>
      <c r="F581" s="1991">
        <v>26264</v>
      </c>
      <c r="G581" s="1991">
        <v>15758400</v>
      </c>
      <c r="H581" s="1991">
        <v>26264</v>
      </c>
      <c r="I581" s="1991">
        <v>26264</v>
      </c>
      <c r="J581" s="1991">
        <v>26264</v>
      </c>
      <c r="K581" s="1990">
        <v>3000</v>
      </c>
      <c r="L581" s="1990">
        <v>600</v>
      </c>
      <c r="M581" s="1990">
        <v>600</v>
      </c>
      <c r="N581" s="1990" t="s">
        <v>1052</v>
      </c>
      <c r="O581" s="1990" t="s">
        <v>8509</v>
      </c>
      <c r="P581" s="1990" t="s">
        <v>963</v>
      </c>
      <c r="Q581" s="1990" t="s">
        <v>1090</v>
      </c>
      <c r="R581" s="1990" t="s">
        <v>1067</v>
      </c>
    </row>
    <row r="582" spans="1:18" ht="30">
      <c r="A582" s="1990" t="s">
        <v>1059</v>
      </c>
      <c r="B582" s="1990" t="s">
        <v>1431</v>
      </c>
      <c r="C582" s="1990" t="s">
        <v>1050</v>
      </c>
      <c r="D582" s="1990" t="s">
        <v>926</v>
      </c>
      <c r="E582" s="1990" t="s">
        <v>1054</v>
      </c>
      <c r="F582" s="1991">
        <v>28068</v>
      </c>
      <c r="G582" s="1991">
        <v>331904100</v>
      </c>
      <c r="H582" s="1991">
        <v>28068</v>
      </c>
      <c r="I582" s="1991">
        <v>28068</v>
      </c>
      <c r="J582" s="1991">
        <v>28068</v>
      </c>
      <c r="K582" s="1991">
        <v>12000</v>
      </c>
      <c r="L582" s="1991">
        <v>12025</v>
      </c>
      <c r="M582" s="1991">
        <v>11825</v>
      </c>
      <c r="N582" s="1990" t="s">
        <v>1052</v>
      </c>
      <c r="O582" s="1990" t="s">
        <v>8509</v>
      </c>
      <c r="P582" s="1990" t="s">
        <v>926</v>
      </c>
      <c r="Q582" s="1990" t="s">
        <v>1252</v>
      </c>
      <c r="R582" s="1990" t="s">
        <v>1067</v>
      </c>
    </row>
    <row r="583" spans="1:18" ht="30">
      <c r="A583" s="1990" t="s">
        <v>1068</v>
      </c>
      <c r="B583" s="1990" t="s">
        <v>1454</v>
      </c>
      <c r="C583" s="1990" t="s">
        <v>1050</v>
      </c>
      <c r="D583" s="1990" t="s">
        <v>923</v>
      </c>
      <c r="E583" s="1990" t="s">
        <v>1054</v>
      </c>
      <c r="F583" s="1991">
        <v>26713</v>
      </c>
      <c r="G583" s="1991">
        <v>60371380</v>
      </c>
      <c r="H583" s="1991">
        <v>26713</v>
      </c>
      <c r="I583" s="1991">
        <v>26713</v>
      </c>
      <c r="J583" s="1991">
        <v>26713</v>
      </c>
      <c r="K583" s="1990">
        <v>3700</v>
      </c>
      <c r="L583" s="1990">
        <v>2260</v>
      </c>
      <c r="M583" s="1990">
        <v>2260</v>
      </c>
      <c r="N583" s="1990" t="s">
        <v>1052</v>
      </c>
      <c r="O583" s="1990" t="s">
        <v>8509</v>
      </c>
      <c r="P583" s="1990" t="s">
        <v>923</v>
      </c>
      <c r="Q583" s="1990" t="s">
        <v>1132</v>
      </c>
      <c r="R583" s="1990" t="s">
        <v>1067</v>
      </c>
    </row>
    <row r="584" spans="1:18">
      <c r="A584" s="1990" t="s">
        <v>1059</v>
      </c>
      <c r="B584" s="1990" t="s">
        <v>1406</v>
      </c>
      <c r="C584" s="1990" t="s">
        <v>1050</v>
      </c>
      <c r="D584" s="1990" t="s">
        <v>966</v>
      </c>
      <c r="E584" s="1990" t="s">
        <v>1054</v>
      </c>
      <c r="F584" s="1991">
        <v>26264</v>
      </c>
      <c r="G584" s="1991">
        <v>20223280</v>
      </c>
      <c r="H584" s="1991">
        <v>26264</v>
      </c>
      <c r="I584" s="1991">
        <v>26264</v>
      </c>
      <c r="J584" s="1991">
        <v>26264</v>
      </c>
      <c r="K584" s="1991">
        <v>3000</v>
      </c>
      <c r="L584" s="1991">
        <v>770</v>
      </c>
      <c r="M584" s="1991">
        <v>770</v>
      </c>
      <c r="N584" s="1990" t="s">
        <v>1052</v>
      </c>
      <c r="O584" s="1990" t="s">
        <v>8509</v>
      </c>
      <c r="P584" s="1990" t="s">
        <v>966</v>
      </c>
      <c r="Q584" s="1990" t="s">
        <v>1087</v>
      </c>
      <c r="R584" s="1990" t="s">
        <v>1067</v>
      </c>
    </row>
    <row r="585" spans="1:18">
      <c r="A585" s="1990" t="s">
        <v>1085</v>
      </c>
      <c r="B585" s="1990" t="s">
        <v>1430</v>
      </c>
      <c r="C585" s="1990" t="s">
        <v>1050</v>
      </c>
      <c r="D585" s="1990" t="s">
        <v>958</v>
      </c>
      <c r="E585" s="1990" t="s">
        <v>1427</v>
      </c>
      <c r="F585" s="1991">
        <v>25376</v>
      </c>
      <c r="G585" s="1991">
        <v>2537600</v>
      </c>
      <c r="H585" s="1991">
        <v>25376</v>
      </c>
      <c r="I585" s="1991">
        <v>25376</v>
      </c>
      <c r="J585" s="1991">
        <v>25376</v>
      </c>
      <c r="K585" s="1990">
        <v>1000</v>
      </c>
      <c r="L585" s="1990">
        <v>100</v>
      </c>
      <c r="M585" s="1990">
        <v>100</v>
      </c>
      <c r="N585" s="1990" t="s">
        <v>1052</v>
      </c>
      <c r="O585" s="1990" t="s">
        <v>8509</v>
      </c>
      <c r="P585" s="1990" t="s">
        <v>958</v>
      </c>
      <c r="Q585" s="1990" t="s">
        <v>1312</v>
      </c>
      <c r="R585" s="1990" t="s">
        <v>1067</v>
      </c>
    </row>
    <row r="586" spans="1:18" ht="30">
      <c r="A586" s="1990" t="s">
        <v>1059</v>
      </c>
      <c r="B586" s="1990" t="s">
        <v>1065</v>
      </c>
      <c r="C586" s="1990" t="s">
        <v>1050</v>
      </c>
      <c r="D586" s="1990" t="s">
        <v>953</v>
      </c>
      <c r="E586" s="1990" t="s">
        <v>1054</v>
      </c>
      <c r="F586" s="1991">
        <v>27993</v>
      </c>
      <c r="G586" s="1991">
        <v>191752050</v>
      </c>
      <c r="H586" s="1991">
        <v>27993</v>
      </c>
      <c r="I586" s="1991">
        <v>27993</v>
      </c>
      <c r="J586" s="1991">
        <v>27993</v>
      </c>
      <c r="K586" s="1990">
        <v>7500</v>
      </c>
      <c r="L586" s="1990">
        <v>6850</v>
      </c>
      <c r="M586" s="1990">
        <v>6850</v>
      </c>
      <c r="N586" s="1990" t="s">
        <v>1052</v>
      </c>
      <c r="O586" s="1990" t="s">
        <v>8509</v>
      </c>
      <c r="P586" s="1990" t="s">
        <v>1066</v>
      </c>
      <c r="Q586" s="1990" t="s">
        <v>1063</v>
      </c>
      <c r="R586" s="1990" t="s">
        <v>1067</v>
      </c>
    </row>
    <row r="587" spans="1:18">
      <c r="A587" s="1990" t="s">
        <v>1059</v>
      </c>
      <c r="B587" s="1990" t="s">
        <v>1428</v>
      </c>
      <c r="C587" s="1990" t="s">
        <v>1050</v>
      </c>
      <c r="D587" s="1990" t="s">
        <v>958</v>
      </c>
      <c r="E587" s="1990" t="s">
        <v>1427</v>
      </c>
      <c r="F587" s="1991">
        <v>26264</v>
      </c>
      <c r="G587" s="1991">
        <v>26264000</v>
      </c>
      <c r="H587" s="1991">
        <v>26264</v>
      </c>
      <c r="I587" s="1991">
        <v>26264</v>
      </c>
      <c r="J587" s="1991">
        <v>26264</v>
      </c>
      <c r="K587" s="1990">
        <v>7000</v>
      </c>
      <c r="L587" s="1990">
        <v>1000</v>
      </c>
      <c r="M587" s="1990">
        <v>1000</v>
      </c>
      <c r="N587" s="1990" t="s">
        <v>1052</v>
      </c>
      <c r="O587" s="1990" t="s">
        <v>8509</v>
      </c>
      <c r="P587" s="1990" t="s">
        <v>958</v>
      </c>
      <c r="Q587" s="1990" t="s">
        <v>1312</v>
      </c>
      <c r="R587" s="1990" t="s">
        <v>1067</v>
      </c>
    </row>
    <row r="588" spans="1:18">
      <c r="A588" s="1990" t="s">
        <v>1057</v>
      </c>
      <c r="B588" s="1990" t="s">
        <v>1092</v>
      </c>
      <c r="C588" s="1990" t="s">
        <v>1050</v>
      </c>
      <c r="D588" s="1990" t="s">
        <v>963</v>
      </c>
      <c r="E588" s="1990" t="s">
        <v>1054</v>
      </c>
      <c r="F588" s="1991">
        <v>37366</v>
      </c>
      <c r="G588" s="1991">
        <v>65390500</v>
      </c>
      <c r="H588" s="1991">
        <v>37366</v>
      </c>
      <c r="I588" s="1991">
        <v>37366</v>
      </c>
      <c r="J588" s="1991">
        <v>37366</v>
      </c>
      <c r="K588" s="1991">
        <v>4000</v>
      </c>
      <c r="L588" s="1991">
        <v>1750</v>
      </c>
      <c r="M588" s="1990">
        <v>1750</v>
      </c>
      <c r="N588" s="1990" t="s">
        <v>1052</v>
      </c>
      <c r="O588" s="1990" t="s">
        <v>8509</v>
      </c>
      <c r="P588" s="1990" t="s">
        <v>963</v>
      </c>
      <c r="Q588" s="1990" t="s">
        <v>1090</v>
      </c>
      <c r="R588" s="1990" t="s">
        <v>1067</v>
      </c>
    </row>
    <row r="589" spans="1:18">
      <c r="A589" s="1990" t="s">
        <v>1076</v>
      </c>
      <c r="B589" s="1990" t="s">
        <v>1077</v>
      </c>
      <c r="C589" s="1990" t="s">
        <v>1050</v>
      </c>
      <c r="D589" s="1990" t="s">
        <v>949</v>
      </c>
      <c r="E589" s="1990" t="s">
        <v>1051</v>
      </c>
      <c r="F589" s="1991">
        <v>36629</v>
      </c>
      <c r="G589" s="1991">
        <v>1831450</v>
      </c>
      <c r="H589" s="1991">
        <v>36629</v>
      </c>
      <c r="I589" s="1991">
        <v>36629</v>
      </c>
      <c r="J589" s="1991">
        <v>36629</v>
      </c>
      <c r="K589" s="1990">
        <v>0</v>
      </c>
      <c r="L589" s="1990">
        <v>50</v>
      </c>
      <c r="M589" s="1990">
        <v>50</v>
      </c>
      <c r="N589" s="1990" t="s">
        <v>1052</v>
      </c>
      <c r="O589" s="1990" t="s">
        <v>8509</v>
      </c>
      <c r="P589" s="1990" t="s">
        <v>949</v>
      </c>
      <c r="Q589" s="1990" t="s">
        <v>1078</v>
      </c>
      <c r="R589" s="1990" t="s">
        <v>1054</v>
      </c>
    </row>
    <row r="590" spans="1:18">
      <c r="A590" s="1990" t="s">
        <v>1085</v>
      </c>
      <c r="B590" s="1990" t="s">
        <v>1402</v>
      </c>
      <c r="C590" s="1990" t="s">
        <v>1050</v>
      </c>
      <c r="D590" s="1990" t="s">
        <v>921</v>
      </c>
      <c r="E590" s="1990" t="s">
        <v>1051</v>
      </c>
      <c r="F590" s="1991">
        <v>26769</v>
      </c>
      <c r="G590" s="1991">
        <v>14053725</v>
      </c>
      <c r="H590" s="1991">
        <v>26769</v>
      </c>
      <c r="I590" s="1991">
        <v>26769</v>
      </c>
      <c r="J590" s="1991">
        <v>26769</v>
      </c>
      <c r="K590" s="1990">
        <v>0</v>
      </c>
      <c r="L590" s="1990">
        <v>525</v>
      </c>
      <c r="M590" s="1990">
        <v>525</v>
      </c>
      <c r="N590" s="1990" t="s">
        <v>1052</v>
      </c>
      <c r="O590" s="1990" t="s">
        <v>8509</v>
      </c>
      <c r="P590" s="1990" t="s">
        <v>921</v>
      </c>
      <c r="Q590" s="1990" t="s">
        <v>1114</v>
      </c>
      <c r="R590" s="1990" t="s">
        <v>1054</v>
      </c>
    </row>
    <row r="591" spans="1:18">
      <c r="A591" s="1990" t="s">
        <v>1055</v>
      </c>
      <c r="B591" s="1990" t="s">
        <v>1339</v>
      </c>
      <c r="C591" s="1990" t="s">
        <v>1050</v>
      </c>
      <c r="D591" s="1990" t="s">
        <v>928</v>
      </c>
      <c r="E591" s="1990" t="s">
        <v>1051</v>
      </c>
      <c r="F591" s="1991">
        <v>34876</v>
      </c>
      <c r="G591" s="1991">
        <v>871900</v>
      </c>
      <c r="H591" s="1991">
        <v>34876</v>
      </c>
      <c r="I591" s="1991">
        <v>34876</v>
      </c>
      <c r="J591" s="1991">
        <v>34876</v>
      </c>
      <c r="K591" s="1990">
        <v>0</v>
      </c>
      <c r="L591" s="1990">
        <v>25</v>
      </c>
      <c r="M591" s="1990">
        <v>25</v>
      </c>
      <c r="N591" s="1990" t="s">
        <v>1052</v>
      </c>
      <c r="O591" s="1990" t="s">
        <v>8509</v>
      </c>
      <c r="P591" s="1990" t="s">
        <v>928</v>
      </c>
      <c r="Q591" s="1990" t="s">
        <v>1053</v>
      </c>
      <c r="R591" s="1990" t="s">
        <v>1054</v>
      </c>
    </row>
    <row r="592" spans="1:18">
      <c r="A592" s="1990" t="s">
        <v>1059</v>
      </c>
      <c r="B592" s="1990" t="s">
        <v>1360</v>
      </c>
      <c r="C592" s="1990" t="s">
        <v>1050</v>
      </c>
      <c r="D592" s="1990" t="s">
        <v>938</v>
      </c>
      <c r="E592" s="1990" t="s">
        <v>1051</v>
      </c>
      <c r="F592" s="1991">
        <v>26264</v>
      </c>
      <c r="G592" s="1991">
        <v>26264000</v>
      </c>
      <c r="H592" s="1991">
        <v>26264</v>
      </c>
      <c r="I592" s="1991">
        <v>26264</v>
      </c>
      <c r="J592" s="1991">
        <v>26264</v>
      </c>
      <c r="K592" s="1991">
        <v>0</v>
      </c>
      <c r="L592" s="1991">
        <v>1000</v>
      </c>
      <c r="M592" s="1991">
        <v>1000</v>
      </c>
      <c r="N592" s="1990" t="s">
        <v>1052</v>
      </c>
      <c r="O592" s="1990" t="s">
        <v>8509</v>
      </c>
      <c r="P592" s="1990" t="s">
        <v>938</v>
      </c>
      <c r="Q592" s="1990" t="s">
        <v>1053</v>
      </c>
      <c r="R592" s="1990" t="s">
        <v>1054</v>
      </c>
    </row>
    <row r="593" spans="1:18">
      <c r="A593" s="1990" t="s">
        <v>1061</v>
      </c>
      <c r="B593" s="1990" t="s">
        <v>1062</v>
      </c>
      <c r="C593" s="1990" t="s">
        <v>1050</v>
      </c>
      <c r="D593" s="1990" t="s">
        <v>911</v>
      </c>
      <c r="E593" s="1990" t="s">
        <v>1051</v>
      </c>
      <c r="F593" s="1991">
        <v>37794</v>
      </c>
      <c r="G593" s="1991">
        <v>1889700</v>
      </c>
      <c r="H593" s="1991">
        <v>37794</v>
      </c>
      <c r="I593" s="1991">
        <v>37794</v>
      </c>
      <c r="J593" s="1991">
        <v>37794</v>
      </c>
      <c r="K593" s="1990">
        <v>0</v>
      </c>
      <c r="L593" s="1990">
        <v>50</v>
      </c>
      <c r="M593" s="1990">
        <v>50</v>
      </c>
      <c r="N593" s="1990" t="s">
        <v>1052</v>
      </c>
      <c r="O593" s="1990" t="s">
        <v>8509</v>
      </c>
      <c r="P593" s="1990" t="s">
        <v>911</v>
      </c>
      <c r="Q593" s="1990" t="s">
        <v>1063</v>
      </c>
      <c r="R593" s="1990" t="s">
        <v>1054</v>
      </c>
    </row>
    <row r="594" spans="1:18">
      <c r="A594" s="1990" t="s">
        <v>1076</v>
      </c>
      <c r="B594" s="1990" t="s">
        <v>1089</v>
      </c>
      <c r="C594" s="1990" t="s">
        <v>1050</v>
      </c>
      <c r="D594" s="1990" t="s">
        <v>963</v>
      </c>
      <c r="E594" s="1990" t="s">
        <v>1051</v>
      </c>
      <c r="F594" s="1991">
        <v>35980</v>
      </c>
      <c r="G594" s="1991">
        <v>2698500</v>
      </c>
      <c r="H594" s="1991">
        <v>35980</v>
      </c>
      <c r="I594" s="1991">
        <v>35980</v>
      </c>
      <c r="J594" s="1991">
        <v>35980</v>
      </c>
      <c r="K594" s="1991">
        <v>0</v>
      </c>
      <c r="L594" s="1990">
        <v>75</v>
      </c>
      <c r="M594" s="1990">
        <v>75</v>
      </c>
      <c r="N594" s="1990" t="s">
        <v>1052</v>
      </c>
      <c r="O594" s="1990" t="s">
        <v>8509</v>
      </c>
      <c r="P594" s="1990" t="s">
        <v>963</v>
      </c>
      <c r="Q594" s="1990" t="s">
        <v>1090</v>
      </c>
      <c r="R594" s="1990" t="s">
        <v>1054</v>
      </c>
    </row>
    <row r="595" spans="1:18">
      <c r="A595" s="1990" t="s">
        <v>1085</v>
      </c>
      <c r="B595" s="1990" t="s">
        <v>1466</v>
      </c>
      <c r="C595" s="1990" t="s">
        <v>1050</v>
      </c>
      <c r="D595" s="1990" t="s">
        <v>952</v>
      </c>
      <c r="E595" s="1990" t="s">
        <v>1051</v>
      </c>
      <c r="F595" s="1991">
        <v>26268</v>
      </c>
      <c r="G595" s="1991">
        <v>3940200</v>
      </c>
      <c r="H595" s="1991">
        <v>26268</v>
      </c>
      <c r="I595" s="1991">
        <v>26268</v>
      </c>
      <c r="J595" s="1991">
        <v>26268</v>
      </c>
      <c r="K595" s="1991">
        <v>0</v>
      </c>
      <c r="L595" s="1991">
        <v>150</v>
      </c>
      <c r="M595" s="1991">
        <v>150</v>
      </c>
      <c r="N595" s="1990" t="s">
        <v>1052</v>
      </c>
      <c r="O595" s="1990" t="s">
        <v>8509</v>
      </c>
      <c r="P595" s="1990" t="s">
        <v>1311</v>
      </c>
      <c r="Q595" s="1990" t="s">
        <v>1312</v>
      </c>
      <c r="R595" s="1990" t="s">
        <v>1054</v>
      </c>
    </row>
    <row r="596" spans="1:18" ht="30">
      <c r="A596" s="1990" t="s">
        <v>1085</v>
      </c>
      <c r="B596" s="1990" t="s">
        <v>1086</v>
      </c>
      <c r="C596" s="1990" t="s">
        <v>1050</v>
      </c>
      <c r="D596" s="1990" t="s">
        <v>922</v>
      </c>
      <c r="E596" s="1990" t="s">
        <v>1051</v>
      </c>
      <c r="F596" s="1991">
        <v>25406</v>
      </c>
      <c r="G596" s="1991">
        <v>3302780</v>
      </c>
      <c r="H596" s="1991">
        <v>25406</v>
      </c>
      <c r="I596" s="1991">
        <v>25406</v>
      </c>
      <c r="J596" s="1991">
        <v>25406</v>
      </c>
      <c r="K596" s="1990">
        <v>0</v>
      </c>
      <c r="L596" s="1990">
        <v>130</v>
      </c>
      <c r="M596" s="1990">
        <v>130</v>
      </c>
      <c r="N596" s="1990" t="s">
        <v>1052</v>
      </c>
      <c r="O596" s="1990" t="s">
        <v>8509</v>
      </c>
      <c r="P596" s="1990" t="s">
        <v>922</v>
      </c>
      <c r="Q596" s="1990" t="s">
        <v>1087</v>
      </c>
      <c r="R596" s="1990" t="s">
        <v>1054</v>
      </c>
    </row>
    <row r="597" spans="1:18">
      <c r="A597" s="1990" t="s">
        <v>1085</v>
      </c>
      <c r="B597" s="1990" t="s">
        <v>1338</v>
      </c>
      <c r="C597" s="1990" t="s">
        <v>1050</v>
      </c>
      <c r="D597" s="1990" t="s">
        <v>930</v>
      </c>
      <c r="E597" s="1990" t="s">
        <v>1051</v>
      </c>
      <c r="F597" s="1991">
        <v>26585</v>
      </c>
      <c r="G597" s="1991">
        <v>17944875</v>
      </c>
      <c r="H597" s="1991">
        <v>26585</v>
      </c>
      <c r="I597" s="1991">
        <v>26585</v>
      </c>
      <c r="J597" s="1991">
        <v>26585</v>
      </c>
      <c r="K597" s="1991">
        <v>0</v>
      </c>
      <c r="L597" s="1990">
        <v>675</v>
      </c>
      <c r="M597" s="1990">
        <v>675</v>
      </c>
      <c r="N597" s="1990" t="s">
        <v>1052</v>
      </c>
      <c r="O597" s="1990" t="s">
        <v>8509</v>
      </c>
      <c r="P597" s="1990" t="s">
        <v>930</v>
      </c>
      <c r="Q597" s="1990" t="s">
        <v>1053</v>
      </c>
      <c r="R597" s="1990" t="s">
        <v>1054</v>
      </c>
    </row>
    <row r="598" spans="1:18" ht="30">
      <c r="A598" s="1990" t="s">
        <v>1055</v>
      </c>
      <c r="B598" s="1990" t="s">
        <v>1131</v>
      </c>
      <c r="C598" s="1990" t="s">
        <v>1050</v>
      </c>
      <c r="D598" s="1990" t="s">
        <v>923</v>
      </c>
      <c r="E598" s="1990" t="s">
        <v>1051</v>
      </c>
      <c r="F598" s="1991">
        <v>36578</v>
      </c>
      <c r="G598" s="1991">
        <v>15728540</v>
      </c>
      <c r="H598" s="1991">
        <v>36578</v>
      </c>
      <c r="I598" s="1991">
        <v>36578</v>
      </c>
      <c r="J598" s="1991">
        <v>36578</v>
      </c>
      <c r="K598" s="1991">
        <v>0</v>
      </c>
      <c r="L598" s="1990">
        <v>430</v>
      </c>
      <c r="M598" s="1990">
        <v>430</v>
      </c>
      <c r="N598" s="1990" t="s">
        <v>1052</v>
      </c>
      <c r="O598" s="1990" t="s">
        <v>8509</v>
      </c>
      <c r="P598" s="1990" t="s">
        <v>923</v>
      </c>
      <c r="Q598" s="1990" t="s">
        <v>1132</v>
      </c>
      <c r="R598" s="1990" t="s">
        <v>1054</v>
      </c>
    </row>
    <row r="599" spans="1:18" ht="30">
      <c r="A599" s="1990" t="s">
        <v>1112</v>
      </c>
      <c r="B599" s="1990" t="s">
        <v>1272</v>
      </c>
      <c r="C599" s="1990" t="s">
        <v>1050</v>
      </c>
      <c r="D599" s="1990" t="s">
        <v>922</v>
      </c>
      <c r="E599" s="1990" t="s">
        <v>1051</v>
      </c>
      <c r="F599" s="1991">
        <v>24512</v>
      </c>
      <c r="G599" s="1991">
        <v>5515200</v>
      </c>
      <c r="H599" s="1991">
        <v>24512</v>
      </c>
      <c r="I599" s="1991">
        <v>24512</v>
      </c>
      <c r="J599" s="1991">
        <v>24512</v>
      </c>
      <c r="K599" s="1990">
        <v>0</v>
      </c>
      <c r="L599" s="1990">
        <v>225</v>
      </c>
      <c r="M599" s="1990">
        <v>225</v>
      </c>
      <c r="N599" s="1990" t="s">
        <v>1052</v>
      </c>
      <c r="O599" s="1990" t="s">
        <v>8509</v>
      </c>
      <c r="P599" s="1990" t="s">
        <v>922</v>
      </c>
      <c r="Q599" s="1990" t="s">
        <v>1087</v>
      </c>
      <c r="R599" s="1990" t="s">
        <v>1054</v>
      </c>
    </row>
    <row r="600" spans="1:18" ht="30">
      <c r="A600" s="1990" t="s">
        <v>1059</v>
      </c>
      <c r="B600" s="1990" t="s">
        <v>1352</v>
      </c>
      <c r="C600" s="1990" t="s">
        <v>1050</v>
      </c>
      <c r="D600" s="1990" t="s">
        <v>914</v>
      </c>
      <c r="E600" s="1990" t="s">
        <v>1051</v>
      </c>
      <c r="F600" s="1991">
        <v>26264</v>
      </c>
      <c r="G600" s="1991">
        <v>22324400</v>
      </c>
      <c r="H600" s="1991">
        <v>26264</v>
      </c>
      <c r="I600" s="1991">
        <v>26264</v>
      </c>
      <c r="J600" s="1991">
        <v>26264</v>
      </c>
      <c r="K600" s="1991">
        <v>0</v>
      </c>
      <c r="L600" s="1991">
        <v>850</v>
      </c>
      <c r="M600" s="1991">
        <v>850</v>
      </c>
      <c r="N600" s="1990" t="s">
        <v>1052</v>
      </c>
      <c r="O600" s="1990" t="s">
        <v>8509</v>
      </c>
      <c r="P600" s="1990" t="s">
        <v>1110</v>
      </c>
      <c r="Q600" s="1990" t="s">
        <v>1053</v>
      </c>
      <c r="R600" s="1990" t="s">
        <v>1054</v>
      </c>
    </row>
    <row r="601" spans="1:18" ht="30">
      <c r="A601" s="1990" t="s">
        <v>1059</v>
      </c>
      <c r="B601" s="1990" t="s">
        <v>1374</v>
      </c>
      <c r="C601" s="1990" t="s">
        <v>1050</v>
      </c>
      <c r="D601" s="1990" t="s">
        <v>899</v>
      </c>
      <c r="E601" s="1990" t="s">
        <v>1051</v>
      </c>
      <c r="F601" s="1991">
        <v>26719</v>
      </c>
      <c r="G601" s="1991">
        <v>20707225</v>
      </c>
      <c r="H601" s="1991">
        <v>26719</v>
      </c>
      <c r="I601" s="1991">
        <v>26719</v>
      </c>
      <c r="J601" s="1991">
        <v>26719</v>
      </c>
      <c r="K601" s="1990">
        <v>0</v>
      </c>
      <c r="L601" s="1990">
        <v>775</v>
      </c>
      <c r="M601" s="1990">
        <v>775</v>
      </c>
      <c r="N601" s="1990" t="s">
        <v>1052</v>
      </c>
      <c r="O601" s="1990" t="s">
        <v>8509</v>
      </c>
      <c r="P601" s="1990" t="s">
        <v>899</v>
      </c>
      <c r="Q601" s="1990" t="s">
        <v>1075</v>
      </c>
      <c r="R601" s="1990" t="s">
        <v>1054</v>
      </c>
    </row>
    <row r="602" spans="1:18" ht="45">
      <c r="A602" s="1990" t="s">
        <v>1059</v>
      </c>
      <c r="B602" s="1990" t="s">
        <v>1387</v>
      </c>
      <c r="C602" s="1990" t="s">
        <v>1050</v>
      </c>
      <c r="D602" s="1990" t="s">
        <v>925</v>
      </c>
      <c r="E602" s="1990" t="s">
        <v>1051</v>
      </c>
      <c r="F602" s="1991">
        <v>26435</v>
      </c>
      <c r="G602" s="1991">
        <v>11895750</v>
      </c>
      <c r="H602" s="1991">
        <v>26435</v>
      </c>
      <c r="I602" s="1991">
        <v>26435</v>
      </c>
      <c r="J602" s="1991">
        <v>26435</v>
      </c>
      <c r="K602" s="1990">
        <v>0</v>
      </c>
      <c r="L602" s="1990">
        <v>450</v>
      </c>
      <c r="M602" s="1990">
        <v>450</v>
      </c>
      <c r="N602" s="1990" t="s">
        <v>1052</v>
      </c>
      <c r="O602" s="1990" t="s">
        <v>8509</v>
      </c>
      <c r="P602" s="1990" t="s">
        <v>1388</v>
      </c>
      <c r="Q602" s="1990" t="s">
        <v>1389</v>
      </c>
      <c r="R602" s="1990" t="s">
        <v>1054</v>
      </c>
    </row>
    <row r="603" spans="1:18">
      <c r="A603" s="1990" t="s">
        <v>1059</v>
      </c>
      <c r="B603" s="1990" t="s">
        <v>1106</v>
      </c>
      <c r="C603" s="1990" t="s">
        <v>1050</v>
      </c>
      <c r="D603" s="1990" t="s">
        <v>897</v>
      </c>
      <c r="E603" s="1990" t="s">
        <v>1051</v>
      </c>
      <c r="F603" s="1991">
        <v>27091</v>
      </c>
      <c r="G603" s="1991">
        <v>7314570</v>
      </c>
      <c r="H603" s="1991">
        <v>27091</v>
      </c>
      <c r="I603" s="1991">
        <v>27091</v>
      </c>
      <c r="J603" s="1991">
        <v>27091</v>
      </c>
      <c r="K603" s="1990">
        <v>0</v>
      </c>
      <c r="L603" s="1990">
        <v>270</v>
      </c>
      <c r="M603" s="1990">
        <v>270</v>
      </c>
      <c r="N603" s="1990" t="s">
        <v>1052</v>
      </c>
      <c r="O603" s="1990" t="s">
        <v>8509</v>
      </c>
      <c r="P603" s="1990" t="s">
        <v>897</v>
      </c>
      <c r="Q603" s="1990" t="s">
        <v>1053</v>
      </c>
      <c r="R603" s="1990" t="s">
        <v>1054</v>
      </c>
    </row>
    <row r="604" spans="1:18" ht="30">
      <c r="A604" s="1990" t="s">
        <v>1059</v>
      </c>
      <c r="B604" s="1990" t="s">
        <v>1088</v>
      </c>
      <c r="C604" s="1990" t="s">
        <v>1050</v>
      </c>
      <c r="D604" s="1990" t="s">
        <v>922</v>
      </c>
      <c r="E604" s="1990" t="s">
        <v>1051</v>
      </c>
      <c r="F604" s="1991">
        <v>26415</v>
      </c>
      <c r="G604" s="1991">
        <v>6339600</v>
      </c>
      <c r="H604" s="1991">
        <v>26415</v>
      </c>
      <c r="I604" s="1991">
        <v>26415</v>
      </c>
      <c r="J604" s="1991">
        <v>26415</v>
      </c>
      <c r="K604" s="1990">
        <v>0</v>
      </c>
      <c r="L604" s="1990">
        <v>240</v>
      </c>
      <c r="M604" s="1990">
        <v>240</v>
      </c>
      <c r="N604" s="1990" t="s">
        <v>1052</v>
      </c>
      <c r="O604" s="1990" t="s">
        <v>8509</v>
      </c>
      <c r="P604" s="1990" t="s">
        <v>922</v>
      </c>
      <c r="Q604" s="1990" t="s">
        <v>1087</v>
      </c>
      <c r="R604" s="1990" t="s">
        <v>1054</v>
      </c>
    </row>
    <row r="605" spans="1:18">
      <c r="A605" s="1990" t="s">
        <v>1059</v>
      </c>
      <c r="B605" s="1990" t="s">
        <v>1470</v>
      </c>
      <c r="C605" s="1990" t="s">
        <v>1050</v>
      </c>
      <c r="D605" s="1990" t="s">
        <v>952</v>
      </c>
      <c r="E605" s="1990" t="s">
        <v>1051</v>
      </c>
      <c r="F605" s="1991">
        <v>26369</v>
      </c>
      <c r="G605" s="1991">
        <v>57352575</v>
      </c>
      <c r="H605" s="1991">
        <v>26369</v>
      </c>
      <c r="I605" s="1991">
        <v>26369</v>
      </c>
      <c r="J605" s="1991">
        <v>26369</v>
      </c>
      <c r="K605" s="1991">
        <v>0</v>
      </c>
      <c r="L605" s="1991">
        <v>2175</v>
      </c>
      <c r="M605" s="1991">
        <v>2175</v>
      </c>
      <c r="N605" s="1990" t="s">
        <v>1052</v>
      </c>
      <c r="O605" s="1990" t="s">
        <v>8509</v>
      </c>
      <c r="P605" s="1990" t="s">
        <v>1311</v>
      </c>
      <c r="Q605" s="1990" t="s">
        <v>1312</v>
      </c>
      <c r="R605" s="1990" t="s">
        <v>1054</v>
      </c>
    </row>
    <row r="606" spans="1:18">
      <c r="A606" s="1990" t="s">
        <v>1059</v>
      </c>
      <c r="B606" s="1990" t="s">
        <v>1082</v>
      </c>
      <c r="C606" s="1990" t="s">
        <v>1050</v>
      </c>
      <c r="D606" s="1990" t="s">
        <v>959</v>
      </c>
      <c r="E606" s="1990" t="s">
        <v>1051</v>
      </c>
      <c r="F606" s="1991">
        <v>26295</v>
      </c>
      <c r="G606" s="1991">
        <v>11438325</v>
      </c>
      <c r="H606" s="1991">
        <v>26295</v>
      </c>
      <c r="I606" s="1991">
        <v>26295</v>
      </c>
      <c r="J606" s="1991">
        <v>26295</v>
      </c>
      <c r="K606" s="1991">
        <v>0</v>
      </c>
      <c r="L606" s="1991">
        <v>435</v>
      </c>
      <c r="M606" s="1991">
        <v>435</v>
      </c>
      <c r="N606" s="1990" t="s">
        <v>1052</v>
      </c>
      <c r="O606" s="1990" t="s">
        <v>8509</v>
      </c>
      <c r="P606" s="1990" t="s">
        <v>959</v>
      </c>
      <c r="Q606" s="1990" t="s">
        <v>1083</v>
      </c>
      <c r="R606" s="1990" t="s">
        <v>1054</v>
      </c>
    </row>
    <row r="607" spans="1:18" ht="30">
      <c r="A607" s="1990" t="s">
        <v>1059</v>
      </c>
      <c r="B607" s="1990" t="s">
        <v>1369</v>
      </c>
      <c r="C607" s="1990" t="s">
        <v>1050</v>
      </c>
      <c r="D607" s="1990" t="s">
        <v>910</v>
      </c>
      <c r="E607" s="1990" t="s">
        <v>1051</v>
      </c>
      <c r="F607" s="1991">
        <v>26505</v>
      </c>
      <c r="G607" s="1991">
        <v>7951500</v>
      </c>
      <c r="H607" s="1991">
        <v>26505</v>
      </c>
      <c r="I607" s="1991">
        <v>26505</v>
      </c>
      <c r="J607" s="1991">
        <v>26505</v>
      </c>
      <c r="K607" s="1990">
        <v>0</v>
      </c>
      <c r="L607" s="1990">
        <v>300</v>
      </c>
      <c r="M607" s="1990">
        <v>300</v>
      </c>
      <c r="N607" s="1990" t="s">
        <v>1052</v>
      </c>
      <c r="O607" s="1990" t="s">
        <v>8509</v>
      </c>
      <c r="P607" s="1990" t="s">
        <v>1283</v>
      </c>
      <c r="Q607" s="1990" t="s">
        <v>1075</v>
      </c>
      <c r="R607" s="1990" t="s">
        <v>1054</v>
      </c>
    </row>
    <row r="608" spans="1:18">
      <c r="A608" s="1990" t="s">
        <v>1059</v>
      </c>
      <c r="B608" s="1990" t="s">
        <v>1343</v>
      </c>
      <c r="C608" s="1990" t="s">
        <v>1050</v>
      </c>
      <c r="D608" s="1990" t="s">
        <v>931</v>
      </c>
      <c r="E608" s="1990" t="s">
        <v>1051</v>
      </c>
      <c r="F608" s="1991">
        <v>29491</v>
      </c>
      <c r="G608" s="1991">
        <v>8847300</v>
      </c>
      <c r="H608" s="1991">
        <v>29491</v>
      </c>
      <c r="I608" s="1991">
        <v>29491</v>
      </c>
      <c r="J608" s="1991">
        <v>29491</v>
      </c>
      <c r="K608" s="1990">
        <v>0</v>
      </c>
      <c r="L608" s="1990">
        <v>300</v>
      </c>
      <c r="M608" s="1990">
        <v>300</v>
      </c>
      <c r="N608" s="1990" t="s">
        <v>1052</v>
      </c>
      <c r="O608" s="1990" t="s">
        <v>8509</v>
      </c>
      <c r="P608" s="1990" t="s">
        <v>931</v>
      </c>
      <c r="Q608" s="1990" t="s">
        <v>1053</v>
      </c>
      <c r="R608" s="1990" t="s">
        <v>1054</v>
      </c>
    </row>
    <row r="609" spans="1:18">
      <c r="A609" s="1990" t="s">
        <v>1059</v>
      </c>
      <c r="B609" s="1990" t="s">
        <v>1064</v>
      </c>
      <c r="C609" s="1990" t="s">
        <v>1050</v>
      </c>
      <c r="D609" s="1990" t="s">
        <v>911</v>
      </c>
      <c r="E609" s="1990" t="s">
        <v>1051</v>
      </c>
      <c r="F609" s="1991">
        <v>26264</v>
      </c>
      <c r="G609" s="1991">
        <v>5909400</v>
      </c>
      <c r="H609" s="1991">
        <v>26264</v>
      </c>
      <c r="I609" s="1991">
        <v>26264</v>
      </c>
      <c r="J609" s="1991">
        <v>26264</v>
      </c>
      <c r="K609" s="1990">
        <v>0</v>
      </c>
      <c r="L609" s="1990">
        <v>225</v>
      </c>
      <c r="M609" s="1990">
        <v>225</v>
      </c>
      <c r="N609" s="1990" t="s">
        <v>1052</v>
      </c>
      <c r="O609" s="1990" t="s">
        <v>8509</v>
      </c>
      <c r="P609" s="1990" t="s">
        <v>911</v>
      </c>
      <c r="Q609" s="1990" t="s">
        <v>1063</v>
      </c>
      <c r="R609" s="1990" t="s">
        <v>1054</v>
      </c>
    </row>
    <row r="610" spans="1:18" ht="30">
      <c r="A610" s="1990" t="s">
        <v>1059</v>
      </c>
      <c r="B610" s="1990" t="s">
        <v>1362</v>
      </c>
      <c r="C610" s="1990" t="s">
        <v>1050</v>
      </c>
      <c r="D610" s="1990" t="s">
        <v>917</v>
      </c>
      <c r="E610" s="1990" t="s">
        <v>1051</v>
      </c>
      <c r="F610" s="1991">
        <v>27038</v>
      </c>
      <c r="G610" s="1991">
        <v>14870900</v>
      </c>
      <c r="H610" s="1991">
        <v>27038</v>
      </c>
      <c r="I610" s="1991">
        <v>27038</v>
      </c>
      <c r="J610" s="1991">
        <v>27038</v>
      </c>
      <c r="K610" s="1991">
        <v>0</v>
      </c>
      <c r="L610" s="1991">
        <v>550</v>
      </c>
      <c r="M610" s="1991">
        <v>550</v>
      </c>
      <c r="N610" s="1990" t="s">
        <v>1052</v>
      </c>
      <c r="O610" s="1990" t="s">
        <v>8509</v>
      </c>
      <c r="P610" s="1990" t="s">
        <v>1074</v>
      </c>
      <c r="Q610" s="1990" t="s">
        <v>1075</v>
      </c>
      <c r="R610" s="1990" t="s">
        <v>1054</v>
      </c>
    </row>
    <row r="611" spans="1:18">
      <c r="A611" s="1990" t="s">
        <v>1059</v>
      </c>
      <c r="B611" s="1990" t="s">
        <v>1060</v>
      </c>
      <c r="C611" s="1990" t="s">
        <v>1050</v>
      </c>
      <c r="D611" s="1990" t="s">
        <v>930</v>
      </c>
      <c r="E611" s="1990" t="s">
        <v>1051</v>
      </c>
      <c r="F611" s="1991">
        <v>27441</v>
      </c>
      <c r="G611" s="1991">
        <v>5488200</v>
      </c>
      <c r="H611" s="1991">
        <v>27441</v>
      </c>
      <c r="I611" s="1991">
        <v>27441</v>
      </c>
      <c r="J611" s="1991">
        <v>27441</v>
      </c>
      <c r="K611" s="1991">
        <v>0</v>
      </c>
      <c r="L611" s="1991">
        <v>200</v>
      </c>
      <c r="M611" s="1991">
        <v>200</v>
      </c>
      <c r="N611" s="1990" t="s">
        <v>1052</v>
      </c>
      <c r="O611" s="1990" t="s">
        <v>8509</v>
      </c>
      <c r="P611" s="1990" t="s">
        <v>930</v>
      </c>
      <c r="Q611" s="1990" t="s">
        <v>1053</v>
      </c>
      <c r="R611" s="1990" t="s">
        <v>1054</v>
      </c>
    </row>
    <row r="612" spans="1:18" ht="30">
      <c r="A612" s="1990" t="s">
        <v>1057</v>
      </c>
      <c r="B612" s="1990" t="s">
        <v>1395</v>
      </c>
      <c r="C612" s="1990" t="s">
        <v>1050</v>
      </c>
      <c r="D612" s="1990" t="s">
        <v>957</v>
      </c>
      <c r="E612" s="1990" t="s">
        <v>1051</v>
      </c>
      <c r="F612" s="1991">
        <v>37366</v>
      </c>
      <c r="G612" s="1991">
        <v>18683000</v>
      </c>
      <c r="H612" s="1991">
        <v>37366</v>
      </c>
      <c r="I612" s="1991">
        <v>37366</v>
      </c>
      <c r="J612" s="1991">
        <v>37366</v>
      </c>
      <c r="K612" s="1991">
        <v>0</v>
      </c>
      <c r="L612" s="1990">
        <v>500</v>
      </c>
      <c r="M612" s="1990">
        <v>500</v>
      </c>
      <c r="N612" s="1990" t="s">
        <v>1052</v>
      </c>
      <c r="O612" s="1990" t="s">
        <v>8509</v>
      </c>
      <c r="P612" s="1990" t="s">
        <v>957</v>
      </c>
      <c r="Q612" s="1990" t="s">
        <v>1090</v>
      </c>
      <c r="R612" s="1990" t="s">
        <v>1054</v>
      </c>
    </row>
    <row r="613" spans="1:18" ht="30">
      <c r="A613" s="1990" t="s">
        <v>1057</v>
      </c>
      <c r="B613" s="1990" t="s">
        <v>1073</v>
      </c>
      <c r="C613" s="1990" t="s">
        <v>1050</v>
      </c>
      <c r="D613" s="1990" t="s">
        <v>917</v>
      </c>
      <c r="E613" s="1990" t="s">
        <v>1051</v>
      </c>
      <c r="F613" s="1991">
        <v>37366</v>
      </c>
      <c r="G613" s="1991">
        <v>12143950</v>
      </c>
      <c r="H613" s="1991">
        <v>37366</v>
      </c>
      <c r="I613" s="1991">
        <v>37366</v>
      </c>
      <c r="J613" s="1991">
        <v>37366</v>
      </c>
      <c r="K613" s="1991">
        <v>0</v>
      </c>
      <c r="L613" s="1990">
        <v>325</v>
      </c>
      <c r="M613" s="1990">
        <v>325</v>
      </c>
      <c r="N613" s="1990" t="s">
        <v>1052</v>
      </c>
      <c r="O613" s="1990" t="s">
        <v>8509</v>
      </c>
      <c r="P613" s="1990" t="s">
        <v>1074</v>
      </c>
      <c r="Q613" s="1990" t="s">
        <v>1075</v>
      </c>
      <c r="R613" s="1990" t="s">
        <v>1054</v>
      </c>
    </row>
    <row r="614" spans="1:18" ht="45">
      <c r="A614" s="1990" t="s">
        <v>1057</v>
      </c>
      <c r="B614" s="1990" t="s">
        <v>1440</v>
      </c>
      <c r="C614" s="1990" t="s">
        <v>1050</v>
      </c>
      <c r="D614" s="1990" t="s">
        <v>936</v>
      </c>
      <c r="E614" s="1990" t="s">
        <v>1051</v>
      </c>
      <c r="F614" s="1991">
        <v>39689</v>
      </c>
      <c r="G614" s="1991">
        <v>2976675</v>
      </c>
      <c r="H614" s="1991">
        <v>39689</v>
      </c>
      <c r="I614" s="1991">
        <v>39689</v>
      </c>
      <c r="J614" s="1991">
        <v>39689</v>
      </c>
      <c r="K614" s="1991">
        <v>0</v>
      </c>
      <c r="L614" s="1990">
        <v>75</v>
      </c>
      <c r="M614" s="1990">
        <v>75</v>
      </c>
      <c r="N614" s="1990" t="s">
        <v>1052</v>
      </c>
      <c r="O614" s="1990" t="s">
        <v>8509</v>
      </c>
      <c r="P614" s="1990" t="s">
        <v>1136</v>
      </c>
      <c r="Q614" s="1990" t="s">
        <v>8292</v>
      </c>
      <c r="R614" s="1990" t="s">
        <v>1054</v>
      </c>
    </row>
    <row r="615" spans="1:18">
      <c r="A615" s="1990" t="s">
        <v>1057</v>
      </c>
      <c r="B615" s="1990" t="s">
        <v>1413</v>
      </c>
      <c r="C615" s="1990" t="s">
        <v>1050</v>
      </c>
      <c r="D615" s="1990" t="s">
        <v>920</v>
      </c>
      <c r="E615" s="1990" t="s">
        <v>1051</v>
      </c>
      <c r="F615" s="1991">
        <v>37366</v>
      </c>
      <c r="G615" s="1991">
        <v>14012250</v>
      </c>
      <c r="H615" s="1991">
        <v>37366</v>
      </c>
      <c r="I615" s="1991">
        <v>37366</v>
      </c>
      <c r="J615" s="1991">
        <v>37366</v>
      </c>
      <c r="K615" s="1991">
        <v>0</v>
      </c>
      <c r="L615" s="1990">
        <v>375</v>
      </c>
      <c r="M615" s="1990">
        <v>375</v>
      </c>
      <c r="N615" s="1990" t="s">
        <v>1052</v>
      </c>
      <c r="O615" s="1990" t="s">
        <v>8509</v>
      </c>
      <c r="P615" s="1990" t="s">
        <v>920</v>
      </c>
      <c r="Q615" s="1990" t="s">
        <v>1114</v>
      </c>
      <c r="R615" s="1990" t="s">
        <v>1054</v>
      </c>
    </row>
    <row r="616" spans="1:18" ht="30">
      <c r="A616" s="1990" t="s">
        <v>1057</v>
      </c>
      <c r="B616" s="1990" t="s">
        <v>1370</v>
      </c>
      <c r="C616" s="1990" t="s">
        <v>1050</v>
      </c>
      <c r="D616" s="1990" t="s">
        <v>910</v>
      </c>
      <c r="E616" s="1990" t="s">
        <v>1051</v>
      </c>
      <c r="F616" s="1991">
        <v>42843</v>
      </c>
      <c r="G616" s="1991">
        <v>11781825</v>
      </c>
      <c r="H616" s="1991">
        <v>42843</v>
      </c>
      <c r="I616" s="1991">
        <v>42843</v>
      </c>
      <c r="J616" s="1991">
        <v>42843</v>
      </c>
      <c r="K616" s="1991">
        <v>0</v>
      </c>
      <c r="L616" s="1990">
        <v>275</v>
      </c>
      <c r="M616" s="1990">
        <v>275</v>
      </c>
      <c r="N616" s="1990" t="s">
        <v>1052</v>
      </c>
      <c r="O616" s="1990" t="s">
        <v>8509</v>
      </c>
      <c r="P616" s="1990" t="s">
        <v>1283</v>
      </c>
      <c r="Q616" s="1990" t="s">
        <v>1075</v>
      </c>
      <c r="R616" s="1990" t="s">
        <v>1054</v>
      </c>
    </row>
    <row r="617" spans="1:18">
      <c r="A617" s="1990" t="s">
        <v>1061</v>
      </c>
      <c r="B617" s="1990" t="s">
        <v>1128</v>
      </c>
      <c r="C617" s="1990" t="s">
        <v>1050</v>
      </c>
      <c r="D617" s="1990" t="s">
        <v>943</v>
      </c>
      <c r="E617" s="1990" t="s">
        <v>1051</v>
      </c>
      <c r="F617" s="1991">
        <v>35589</v>
      </c>
      <c r="G617" s="1991">
        <v>8007525</v>
      </c>
      <c r="H617" s="1991">
        <v>35589</v>
      </c>
      <c r="I617" s="1991">
        <v>35589</v>
      </c>
      <c r="J617" s="1991">
        <v>35589</v>
      </c>
      <c r="K617" s="1990">
        <v>0</v>
      </c>
      <c r="L617" s="1990">
        <v>225</v>
      </c>
      <c r="M617" s="1990">
        <v>225</v>
      </c>
      <c r="N617" s="1990" t="s">
        <v>1052</v>
      </c>
      <c r="O617" s="1990" t="s">
        <v>8509</v>
      </c>
      <c r="P617" s="1990" t="s">
        <v>1127</v>
      </c>
      <c r="Q617" s="1990" t="s">
        <v>1114</v>
      </c>
      <c r="R617" s="1990" t="s">
        <v>1067</v>
      </c>
    </row>
    <row r="618" spans="1:18">
      <c r="A618" s="1990" t="s">
        <v>1068</v>
      </c>
      <c r="B618" s="1990" t="s">
        <v>1126</v>
      </c>
      <c r="C618" s="1990" t="s">
        <v>1050</v>
      </c>
      <c r="D618" s="1990" t="s">
        <v>943</v>
      </c>
      <c r="E618" s="1990" t="s">
        <v>1051</v>
      </c>
      <c r="F618" s="1991">
        <v>25045</v>
      </c>
      <c r="G618" s="1991">
        <v>52594500</v>
      </c>
      <c r="H618" s="1991">
        <v>25045</v>
      </c>
      <c r="I618" s="1991">
        <v>25045</v>
      </c>
      <c r="J618" s="1991">
        <v>25045</v>
      </c>
      <c r="K618" s="1991">
        <v>0</v>
      </c>
      <c r="L618" s="1991">
        <v>2100</v>
      </c>
      <c r="M618" s="1991">
        <v>2100</v>
      </c>
      <c r="N618" s="1990" t="s">
        <v>1052</v>
      </c>
      <c r="O618" s="1990" t="s">
        <v>8509</v>
      </c>
      <c r="P618" s="1990" t="s">
        <v>1127</v>
      </c>
      <c r="Q618" s="1990" t="s">
        <v>1114</v>
      </c>
      <c r="R618" s="1990" t="s">
        <v>1067</v>
      </c>
    </row>
    <row r="619" spans="1:18" ht="30">
      <c r="A619" s="1990" t="s">
        <v>1059</v>
      </c>
      <c r="B619" s="1990" t="s">
        <v>1098</v>
      </c>
      <c r="C619" s="1990" t="s">
        <v>1050</v>
      </c>
      <c r="D619" s="1990" t="s">
        <v>957</v>
      </c>
      <c r="E619" s="1990" t="s">
        <v>1051</v>
      </c>
      <c r="F619" s="1991">
        <v>26295</v>
      </c>
      <c r="G619" s="1991">
        <v>657375</v>
      </c>
      <c r="H619" s="1991">
        <v>26295</v>
      </c>
      <c r="I619" s="1991">
        <v>26295</v>
      </c>
      <c r="J619" s="1991">
        <v>26295</v>
      </c>
      <c r="K619" s="1990">
        <v>0</v>
      </c>
      <c r="L619" s="1990">
        <v>25</v>
      </c>
      <c r="M619" s="1990">
        <v>25</v>
      </c>
      <c r="N619" s="1990" t="s">
        <v>1052</v>
      </c>
      <c r="O619" s="1990" t="s">
        <v>8509</v>
      </c>
      <c r="P619" s="1990" t="s">
        <v>957</v>
      </c>
      <c r="Q619" s="1990" t="s">
        <v>1090</v>
      </c>
      <c r="R619" s="1990" t="s">
        <v>1067</v>
      </c>
    </row>
    <row r="620" spans="1:18" ht="30">
      <c r="A620" s="1990" t="s">
        <v>1061</v>
      </c>
      <c r="B620" s="1990" t="s">
        <v>1125</v>
      </c>
      <c r="C620" s="1990" t="s">
        <v>1050</v>
      </c>
      <c r="D620" s="1990" t="s">
        <v>950</v>
      </c>
      <c r="E620" s="1990" t="s">
        <v>1051</v>
      </c>
      <c r="F620" s="1991">
        <v>35589</v>
      </c>
      <c r="G620" s="1991">
        <v>6228075</v>
      </c>
      <c r="H620" s="1991">
        <v>35589</v>
      </c>
      <c r="I620" s="1991">
        <v>35589</v>
      </c>
      <c r="J620" s="1991">
        <v>35589</v>
      </c>
      <c r="K620" s="1990">
        <v>0</v>
      </c>
      <c r="L620" s="1990">
        <v>175</v>
      </c>
      <c r="M620" s="1990">
        <v>175</v>
      </c>
      <c r="N620" s="1990" t="s">
        <v>1052</v>
      </c>
      <c r="O620" s="1990" t="s">
        <v>8509</v>
      </c>
      <c r="P620" s="1990" t="s">
        <v>1124</v>
      </c>
      <c r="Q620" s="1990" t="s">
        <v>1114</v>
      </c>
      <c r="R620" s="1990" t="s">
        <v>1067</v>
      </c>
    </row>
    <row r="621" spans="1:18" ht="30">
      <c r="A621" s="1990" t="s">
        <v>1068</v>
      </c>
      <c r="B621" s="1990" t="s">
        <v>1454</v>
      </c>
      <c r="C621" s="1990" t="s">
        <v>1050</v>
      </c>
      <c r="D621" s="1990" t="s">
        <v>923</v>
      </c>
      <c r="E621" s="1990" t="s">
        <v>1051</v>
      </c>
      <c r="F621" s="1991">
        <v>26713</v>
      </c>
      <c r="G621" s="1991">
        <v>6945380</v>
      </c>
      <c r="H621" s="1991">
        <v>26713</v>
      </c>
      <c r="I621" s="1991">
        <v>26713</v>
      </c>
      <c r="J621" s="1991">
        <v>26713</v>
      </c>
      <c r="K621" s="1990">
        <v>0</v>
      </c>
      <c r="L621" s="1990">
        <v>260</v>
      </c>
      <c r="M621" s="1990">
        <v>260</v>
      </c>
      <c r="N621" s="1990" t="s">
        <v>1052</v>
      </c>
      <c r="O621" s="1990" t="s">
        <v>8509</v>
      </c>
      <c r="P621" s="1990" t="s">
        <v>923</v>
      </c>
      <c r="Q621" s="1990" t="s">
        <v>1132</v>
      </c>
      <c r="R621" s="1990" t="s">
        <v>1067</v>
      </c>
    </row>
    <row r="622" spans="1:18" ht="30">
      <c r="A622" s="1990" t="s">
        <v>1068</v>
      </c>
      <c r="B622" s="1990" t="s">
        <v>1107</v>
      </c>
      <c r="C622" s="1990" t="s">
        <v>1050</v>
      </c>
      <c r="D622" s="1990" t="s">
        <v>941</v>
      </c>
      <c r="E622" s="1990" t="s">
        <v>1051</v>
      </c>
      <c r="F622" s="1991">
        <v>25015</v>
      </c>
      <c r="G622" s="1991">
        <v>53156875</v>
      </c>
      <c r="H622" s="1991">
        <v>25015</v>
      </c>
      <c r="I622" s="1991">
        <v>25015</v>
      </c>
      <c r="J622" s="1991">
        <v>25015</v>
      </c>
      <c r="K622" s="1990">
        <v>0</v>
      </c>
      <c r="L622" s="1990">
        <v>2125</v>
      </c>
      <c r="M622" s="1990">
        <v>2125</v>
      </c>
      <c r="N622" s="1990" t="s">
        <v>1052</v>
      </c>
      <c r="O622" s="1990" t="s">
        <v>8509</v>
      </c>
      <c r="P622" s="1990" t="s">
        <v>941</v>
      </c>
      <c r="Q622" s="1990" t="s">
        <v>1075</v>
      </c>
      <c r="R622" s="1990" t="s">
        <v>1067</v>
      </c>
    </row>
    <row r="623" spans="1:18" ht="30">
      <c r="A623" s="1990" t="s">
        <v>1068</v>
      </c>
      <c r="B623" s="1990" t="s">
        <v>1123</v>
      </c>
      <c r="C623" s="1990" t="s">
        <v>1050</v>
      </c>
      <c r="D623" s="1990" t="s">
        <v>950</v>
      </c>
      <c r="E623" s="1990" t="s">
        <v>1051</v>
      </c>
      <c r="F623" s="1991">
        <v>25207</v>
      </c>
      <c r="G623" s="1991">
        <v>4411225</v>
      </c>
      <c r="H623" s="1991">
        <v>25207</v>
      </c>
      <c r="I623" s="1991">
        <v>25207</v>
      </c>
      <c r="J623" s="1991">
        <v>25207</v>
      </c>
      <c r="K623" s="1990">
        <v>0</v>
      </c>
      <c r="L623" s="1990">
        <v>175</v>
      </c>
      <c r="M623" s="1990">
        <v>175</v>
      </c>
      <c r="N623" s="1990" t="s">
        <v>1052</v>
      </c>
      <c r="O623" s="1990" t="s">
        <v>8509</v>
      </c>
      <c r="P623" s="1990" t="s">
        <v>1124</v>
      </c>
      <c r="Q623" s="1990" t="s">
        <v>1114</v>
      </c>
      <c r="R623" s="1990" t="s">
        <v>1067</v>
      </c>
    </row>
    <row r="624" spans="1:18">
      <c r="A624" s="1990" t="s">
        <v>1085</v>
      </c>
      <c r="B624" s="1990" t="s">
        <v>1430</v>
      </c>
      <c r="C624" s="1990" t="s">
        <v>1050</v>
      </c>
      <c r="D624" s="1990" t="s">
        <v>958</v>
      </c>
      <c r="E624" s="1990" t="s">
        <v>8293</v>
      </c>
      <c r="F624" s="1991">
        <v>25376</v>
      </c>
      <c r="G624" s="1991">
        <v>12688000</v>
      </c>
      <c r="H624" s="1991">
        <v>25376</v>
      </c>
      <c r="I624" s="1991">
        <v>25376</v>
      </c>
      <c r="J624" s="1991">
        <v>25376</v>
      </c>
      <c r="K624" s="1990">
        <v>0</v>
      </c>
      <c r="L624" s="1990">
        <v>500</v>
      </c>
      <c r="M624" s="1990">
        <v>500</v>
      </c>
      <c r="N624" s="1990" t="s">
        <v>1052</v>
      </c>
      <c r="O624" s="1990" t="s">
        <v>8509</v>
      </c>
      <c r="P624" s="1990" t="s">
        <v>958</v>
      </c>
      <c r="Q624" s="1990" t="s">
        <v>1312</v>
      </c>
      <c r="R624" s="1990" t="s">
        <v>1067</v>
      </c>
    </row>
    <row r="625" spans="1:18" ht="30">
      <c r="A625" s="1990" t="s">
        <v>1059</v>
      </c>
      <c r="B625" s="1990" t="s">
        <v>1431</v>
      </c>
      <c r="C625" s="1990" t="s">
        <v>1050</v>
      </c>
      <c r="D625" s="1990" t="s">
        <v>926</v>
      </c>
      <c r="E625" s="1990" t="s">
        <v>1051</v>
      </c>
      <c r="F625" s="1991">
        <v>28068</v>
      </c>
      <c r="G625" s="1991">
        <v>4210200</v>
      </c>
      <c r="H625" s="1991">
        <v>28068</v>
      </c>
      <c r="I625" s="1991">
        <v>28068</v>
      </c>
      <c r="J625" s="1991">
        <v>28068</v>
      </c>
      <c r="K625" s="1990">
        <v>0</v>
      </c>
      <c r="L625" s="1990">
        <v>150</v>
      </c>
      <c r="M625" s="1990">
        <v>150</v>
      </c>
      <c r="N625" s="1990" t="s">
        <v>1052</v>
      </c>
      <c r="O625" s="1990" t="s">
        <v>8509</v>
      </c>
      <c r="P625" s="1990" t="s">
        <v>926</v>
      </c>
      <c r="Q625" s="1990" t="s">
        <v>1252</v>
      </c>
      <c r="R625" s="1990" t="s">
        <v>1067</v>
      </c>
    </row>
    <row r="626" spans="1:18">
      <c r="A626" s="1990" t="s">
        <v>1059</v>
      </c>
      <c r="B626" s="1990" t="s">
        <v>1400</v>
      </c>
      <c r="C626" s="1990" t="s">
        <v>1050</v>
      </c>
      <c r="D626" s="1990" t="s">
        <v>967</v>
      </c>
      <c r="E626" s="1990" t="s">
        <v>1051</v>
      </c>
      <c r="F626" s="1991">
        <v>26264</v>
      </c>
      <c r="G626" s="1991">
        <v>9192400</v>
      </c>
      <c r="H626" s="1991">
        <v>26264</v>
      </c>
      <c r="I626" s="1991">
        <v>26264</v>
      </c>
      <c r="J626" s="1991">
        <v>26264</v>
      </c>
      <c r="K626" s="1990">
        <v>0</v>
      </c>
      <c r="L626" s="1990">
        <v>350</v>
      </c>
      <c r="M626" s="1990">
        <v>350</v>
      </c>
      <c r="N626" s="1990" t="s">
        <v>1052</v>
      </c>
      <c r="O626" s="1990" t="s">
        <v>8509</v>
      </c>
      <c r="P626" s="1990" t="s">
        <v>967</v>
      </c>
      <c r="Q626" s="1990" t="s">
        <v>1080</v>
      </c>
      <c r="R626" s="1990" t="s">
        <v>1067</v>
      </c>
    </row>
    <row r="627" spans="1:18">
      <c r="A627" s="1990" t="s">
        <v>1059</v>
      </c>
      <c r="B627" s="1990" t="s">
        <v>1406</v>
      </c>
      <c r="C627" s="1990" t="s">
        <v>1050</v>
      </c>
      <c r="D627" s="1990" t="s">
        <v>966</v>
      </c>
      <c r="E627" s="1990" t="s">
        <v>1051</v>
      </c>
      <c r="F627" s="1991">
        <v>26264</v>
      </c>
      <c r="G627" s="1991">
        <v>44648800</v>
      </c>
      <c r="H627" s="1991">
        <v>26264</v>
      </c>
      <c r="I627" s="1991">
        <v>26264</v>
      </c>
      <c r="J627" s="1991">
        <v>26264</v>
      </c>
      <c r="K627" s="1990">
        <v>0</v>
      </c>
      <c r="L627" s="1990">
        <v>1700</v>
      </c>
      <c r="M627" s="1990">
        <v>1700</v>
      </c>
      <c r="N627" s="1990" t="s">
        <v>1052</v>
      </c>
      <c r="O627" s="1990" t="s">
        <v>8509</v>
      </c>
      <c r="P627" s="1990" t="s">
        <v>966</v>
      </c>
      <c r="Q627" s="1990" t="s">
        <v>1087</v>
      </c>
      <c r="R627" s="1990" t="s">
        <v>1067</v>
      </c>
    </row>
    <row r="628" spans="1:18">
      <c r="A628" s="1990" t="s">
        <v>1059</v>
      </c>
      <c r="B628" s="1990" t="s">
        <v>1091</v>
      </c>
      <c r="C628" s="1990" t="s">
        <v>1050</v>
      </c>
      <c r="D628" s="1990" t="s">
        <v>963</v>
      </c>
      <c r="E628" s="1990" t="s">
        <v>1051</v>
      </c>
      <c r="F628" s="1991">
        <v>26264</v>
      </c>
      <c r="G628" s="1991">
        <v>7222600</v>
      </c>
      <c r="H628" s="1991">
        <v>26264</v>
      </c>
      <c r="I628" s="1991">
        <v>26264</v>
      </c>
      <c r="J628" s="1991">
        <v>26264</v>
      </c>
      <c r="K628" s="1990">
        <v>0</v>
      </c>
      <c r="L628" s="1990">
        <v>275</v>
      </c>
      <c r="M628" s="1990">
        <v>275</v>
      </c>
      <c r="N628" s="1990" t="s">
        <v>1052</v>
      </c>
      <c r="O628" s="1990" t="s">
        <v>8509</v>
      </c>
      <c r="P628" s="1990" t="s">
        <v>963</v>
      </c>
      <c r="Q628" s="1990" t="s">
        <v>1090</v>
      </c>
      <c r="R628" s="1990" t="s">
        <v>1067</v>
      </c>
    </row>
    <row r="629" spans="1:18">
      <c r="A629" s="1990" t="s">
        <v>1059</v>
      </c>
      <c r="B629" s="1990" t="s">
        <v>1391</v>
      </c>
      <c r="C629" s="1990" t="s">
        <v>1050</v>
      </c>
      <c r="D629" s="1990" t="s">
        <v>70</v>
      </c>
      <c r="E629" s="1990" t="s">
        <v>1051</v>
      </c>
      <c r="F629" s="1991">
        <v>28223</v>
      </c>
      <c r="G629" s="1991">
        <v>7761325</v>
      </c>
      <c r="H629" s="1991">
        <v>28223</v>
      </c>
      <c r="I629" s="1991">
        <v>28223</v>
      </c>
      <c r="J629" s="1991">
        <v>28223</v>
      </c>
      <c r="K629" s="1990">
        <v>0</v>
      </c>
      <c r="L629" s="1990">
        <v>275</v>
      </c>
      <c r="M629" s="1990">
        <v>275</v>
      </c>
      <c r="N629" s="1990" t="s">
        <v>1052</v>
      </c>
      <c r="O629" s="1990" t="s">
        <v>8509</v>
      </c>
      <c r="P629" s="1990" t="s">
        <v>70</v>
      </c>
      <c r="Q629" s="1990" t="s">
        <v>1090</v>
      </c>
      <c r="R629" s="1990" t="s">
        <v>1067</v>
      </c>
    </row>
    <row r="630" spans="1:18" ht="30">
      <c r="A630" s="1990" t="s">
        <v>1059</v>
      </c>
      <c r="B630" s="1990" t="s">
        <v>1065</v>
      </c>
      <c r="C630" s="1990" t="s">
        <v>1050</v>
      </c>
      <c r="D630" s="1990" t="s">
        <v>953</v>
      </c>
      <c r="E630" s="1990" t="s">
        <v>1051</v>
      </c>
      <c r="F630" s="1991">
        <v>27993</v>
      </c>
      <c r="G630" s="1991">
        <v>18195450</v>
      </c>
      <c r="H630" s="1991">
        <v>27993</v>
      </c>
      <c r="I630" s="1991">
        <v>27993</v>
      </c>
      <c r="J630" s="1991">
        <v>27993</v>
      </c>
      <c r="K630" s="1990">
        <v>0</v>
      </c>
      <c r="L630" s="1990">
        <v>650</v>
      </c>
      <c r="M630" s="1990">
        <v>650</v>
      </c>
      <c r="N630" s="1990" t="s">
        <v>1052</v>
      </c>
      <c r="O630" s="1990" t="s">
        <v>8509</v>
      </c>
      <c r="P630" s="1990" t="s">
        <v>1066</v>
      </c>
      <c r="Q630" s="1990" t="s">
        <v>1063</v>
      </c>
      <c r="R630" s="1990" t="s">
        <v>1067</v>
      </c>
    </row>
    <row r="631" spans="1:18">
      <c r="A631" s="1990" t="s">
        <v>1057</v>
      </c>
      <c r="B631" s="1990" t="s">
        <v>1079</v>
      </c>
      <c r="C631" s="1990" t="s">
        <v>1050</v>
      </c>
      <c r="D631" s="1990" t="s">
        <v>967</v>
      </c>
      <c r="E631" s="1990" t="s">
        <v>1051</v>
      </c>
      <c r="F631" s="1991">
        <v>37366</v>
      </c>
      <c r="G631" s="1991">
        <v>373660</v>
      </c>
      <c r="H631" s="1991">
        <v>37366</v>
      </c>
      <c r="I631" s="1991">
        <v>37366</v>
      </c>
      <c r="J631" s="1991">
        <v>37366</v>
      </c>
      <c r="K631" s="1990">
        <v>0</v>
      </c>
      <c r="L631" s="1991">
        <v>10</v>
      </c>
      <c r="M631" s="1991">
        <v>10</v>
      </c>
      <c r="N631" s="1990" t="s">
        <v>1052</v>
      </c>
      <c r="O631" s="1990" t="s">
        <v>8509</v>
      </c>
      <c r="P631" s="1990" t="s">
        <v>967</v>
      </c>
      <c r="Q631" s="1990" t="s">
        <v>1080</v>
      </c>
      <c r="R631" s="1990" t="s">
        <v>1067</v>
      </c>
    </row>
    <row r="632" spans="1:18">
      <c r="A632" s="1990" t="s">
        <v>1057</v>
      </c>
      <c r="B632" s="1990" t="s">
        <v>1405</v>
      </c>
      <c r="C632" s="1990" t="s">
        <v>1050</v>
      </c>
      <c r="D632" s="1990" t="s">
        <v>966</v>
      </c>
      <c r="E632" s="1990" t="s">
        <v>1051</v>
      </c>
      <c r="F632" s="1991">
        <v>37366</v>
      </c>
      <c r="G632" s="1991">
        <v>26156200</v>
      </c>
      <c r="H632" s="1991">
        <v>37366</v>
      </c>
      <c r="I632" s="1991">
        <v>37366</v>
      </c>
      <c r="J632" s="1991">
        <v>37366</v>
      </c>
      <c r="K632" s="1990">
        <v>0</v>
      </c>
      <c r="L632" s="1990">
        <v>700</v>
      </c>
      <c r="M632" s="1990">
        <v>700</v>
      </c>
      <c r="N632" s="1990" t="s">
        <v>1052</v>
      </c>
      <c r="O632" s="1990" t="s">
        <v>8509</v>
      </c>
      <c r="P632" s="1990" t="s">
        <v>966</v>
      </c>
      <c r="Q632" s="1990" t="s">
        <v>1087</v>
      </c>
      <c r="R632" s="1990" t="s">
        <v>1067</v>
      </c>
    </row>
    <row r="633" spans="1:18">
      <c r="A633" s="1990" t="s">
        <v>1057</v>
      </c>
      <c r="B633" s="1990" t="s">
        <v>1385</v>
      </c>
      <c r="C633" s="1990" t="s">
        <v>1050</v>
      </c>
      <c r="D633" s="1990" t="s">
        <v>949</v>
      </c>
      <c r="E633" s="1990" t="s">
        <v>1051</v>
      </c>
      <c r="F633" s="1991">
        <v>37366</v>
      </c>
      <c r="G633" s="1991">
        <v>26156200</v>
      </c>
      <c r="H633" s="1991">
        <v>37366</v>
      </c>
      <c r="I633" s="1991">
        <v>37366</v>
      </c>
      <c r="J633" s="1991">
        <v>37366</v>
      </c>
      <c r="K633" s="1990">
        <v>0</v>
      </c>
      <c r="L633" s="1990">
        <v>700</v>
      </c>
      <c r="M633" s="1990">
        <v>700</v>
      </c>
      <c r="N633" s="1990" t="s">
        <v>1052</v>
      </c>
      <c r="O633" s="1990" t="s">
        <v>8509</v>
      </c>
      <c r="P633" s="1990" t="s">
        <v>949</v>
      </c>
      <c r="Q633" s="1990" t="s">
        <v>1078</v>
      </c>
      <c r="R633" s="1990" t="s">
        <v>1054</v>
      </c>
    </row>
    <row r="634" spans="1:18">
      <c r="A634" s="1990" t="s">
        <v>1057</v>
      </c>
      <c r="B634" s="1990" t="s">
        <v>1426</v>
      </c>
      <c r="C634" s="1990" t="s">
        <v>1050</v>
      </c>
      <c r="D634" s="1990" t="s">
        <v>958</v>
      </c>
      <c r="E634" s="1990" t="s">
        <v>8293</v>
      </c>
      <c r="F634" s="1991">
        <v>37366</v>
      </c>
      <c r="G634" s="1991">
        <v>29892800</v>
      </c>
      <c r="H634" s="1991">
        <v>37366</v>
      </c>
      <c r="I634" s="1991">
        <v>37366</v>
      </c>
      <c r="J634" s="1991">
        <v>37366</v>
      </c>
      <c r="K634" s="1990">
        <v>0</v>
      </c>
      <c r="L634" s="1990">
        <v>800</v>
      </c>
      <c r="M634" s="1990">
        <v>800</v>
      </c>
      <c r="N634" s="1990" t="s">
        <v>1052</v>
      </c>
      <c r="O634" s="1990" t="s">
        <v>8509</v>
      </c>
      <c r="P634" s="1990" t="s">
        <v>958</v>
      </c>
      <c r="Q634" s="1990" t="s">
        <v>1312</v>
      </c>
      <c r="R634" s="1990" t="s">
        <v>1067</v>
      </c>
    </row>
    <row r="635" spans="1:18">
      <c r="A635" s="1990" t="s">
        <v>1059</v>
      </c>
      <c r="B635" s="1990" t="s">
        <v>1335</v>
      </c>
      <c r="C635" s="1990" t="s">
        <v>1050</v>
      </c>
      <c r="D635" s="1990" t="s">
        <v>909</v>
      </c>
      <c r="E635" s="1990" t="s">
        <v>1054</v>
      </c>
      <c r="F635" s="1991">
        <v>32920</v>
      </c>
      <c r="G635" s="1991">
        <v>395038700</v>
      </c>
      <c r="H635" s="1991">
        <v>32588</v>
      </c>
      <c r="I635" s="1991">
        <v>33669</v>
      </c>
      <c r="J635" s="1991">
        <v>29246</v>
      </c>
      <c r="K635" s="1990">
        <v>12000</v>
      </c>
      <c r="L635" s="1990">
        <v>13680</v>
      </c>
      <c r="M635" s="1990">
        <v>12000</v>
      </c>
      <c r="N635" s="1990" t="s">
        <v>1052</v>
      </c>
      <c r="O635" s="1990" t="s">
        <v>8509</v>
      </c>
      <c r="P635" s="1990" t="s">
        <v>909</v>
      </c>
      <c r="Q635" s="1990" t="s">
        <v>1053</v>
      </c>
      <c r="R635" s="1990" t="s">
        <v>1054</v>
      </c>
    </row>
    <row r="636" spans="1:18">
      <c r="A636" s="1990" t="s">
        <v>1055</v>
      </c>
      <c r="B636" s="1990" t="s">
        <v>1084</v>
      </c>
      <c r="C636" s="1990" t="s">
        <v>1050</v>
      </c>
      <c r="D636" s="1990" t="s">
        <v>955</v>
      </c>
      <c r="E636" s="1990" t="s">
        <v>1054</v>
      </c>
      <c r="F636" s="1991">
        <v>36004</v>
      </c>
      <c r="G636" s="1991">
        <v>144017500</v>
      </c>
      <c r="H636" s="1991">
        <v>35988</v>
      </c>
      <c r="I636" s="1991">
        <v>36510</v>
      </c>
      <c r="J636" s="1991">
        <v>34876</v>
      </c>
      <c r="K636" s="1990">
        <v>4000</v>
      </c>
      <c r="L636" s="1990">
        <v>13575</v>
      </c>
      <c r="M636" s="1990">
        <v>4000</v>
      </c>
      <c r="N636" s="1990" t="s">
        <v>1052</v>
      </c>
      <c r="O636" s="1990" t="s">
        <v>8509</v>
      </c>
      <c r="P636" s="1990" t="s">
        <v>955</v>
      </c>
      <c r="Q636" s="1990" t="s">
        <v>1080</v>
      </c>
      <c r="R636" s="1990" t="s">
        <v>1054</v>
      </c>
    </row>
    <row r="637" spans="1:18">
      <c r="A637" s="1990" t="s">
        <v>1055</v>
      </c>
      <c r="B637" s="1990" t="s">
        <v>1452</v>
      </c>
      <c r="C637" s="1990" t="s">
        <v>1050</v>
      </c>
      <c r="D637" s="1990" t="s">
        <v>933</v>
      </c>
      <c r="E637" s="1990" t="s">
        <v>1054</v>
      </c>
      <c r="F637" s="1991">
        <v>42700</v>
      </c>
      <c r="G637" s="1991">
        <v>42700250</v>
      </c>
      <c r="H637" s="1991">
        <v>42599</v>
      </c>
      <c r="I637" s="1991">
        <v>42900</v>
      </c>
      <c r="J637" s="1991">
        <v>39144</v>
      </c>
      <c r="K637" s="1990">
        <v>1000</v>
      </c>
      <c r="L637" s="1990">
        <v>2800</v>
      </c>
      <c r="M637" s="1990">
        <v>1000</v>
      </c>
      <c r="N637" s="1990" t="s">
        <v>1052</v>
      </c>
      <c r="O637" s="1990" t="s">
        <v>8509</v>
      </c>
      <c r="P637" s="1990" t="s">
        <v>933</v>
      </c>
      <c r="Q637" s="1990" t="s">
        <v>1446</v>
      </c>
      <c r="R637" s="1990" t="s">
        <v>1054</v>
      </c>
    </row>
    <row r="638" spans="1:18" ht="30">
      <c r="A638" s="1990" t="s">
        <v>1059</v>
      </c>
      <c r="B638" s="1990" t="s">
        <v>1449</v>
      </c>
      <c r="C638" s="1990" t="s">
        <v>1050</v>
      </c>
      <c r="D638" s="1990" t="s">
        <v>942</v>
      </c>
      <c r="E638" s="1990" t="s">
        <v>1054</v>
      </c>
      <c r="F638" s="1991">
        <v>40719</v>
      </c>
      <c r="G638" s="1991">
        <v>77365600</v>
      </c>
      <c r="H638" s="1991">
        <v>40059</v>
      </c>
      <c r="I638" s="1991">
        <v>40999</v>
      </c>
      <c r="J638" s="1991">
        <v>31896</v>
      </c>
      <c r="K638" s="1990">
        <v>1900</v>
      </c>
      <c r="L638" s="1990">
        <v>6740</v>
      </c>
      <c r="M638" s="1990">
        <v>1900</v>
      </c>
      <c r="N638" s="1990" t="s">
        <v>1052</v>
      </c>
      <c r="O638" s="1990" t="s">
        <v>8509</v>
      </c>
      <c r="P638" s="1990" t="s">
        <v>1117</v>
      </c>
      <c r="Q638" s="1990" t="s">
        <v>1118</v>
      </c>
      <c r="R638" s="1990" t="s">
        <v>1054</v>
      </c>
    </row>
    <row r="639" spans="1:18">
      <c r="A639" s="1990" t="s">
        <v>1059</v>
      </c>
      <c r="B639" s="1990" t="s">
        <v>1435</v>
      </c>
      <c r="C639" s="1990" t="s">
        <v>1050</v>
      </c>
      <c r="D639" s="1990" t="s">
        <v>919</v>
      </c>
      <c r="E639" s="1990" t="s">
        <v>1054</v>
      </c>
      <c r="F639" s="1991">
        <v>27850</v>
      </c>
      <c r="G639" s="1991">
        <v>167099600</v>
      </c>
      <c r="H639" s="1991">
        <v>27619</v>
      </c>
      <c r="I639" s="1991">
        <v>28119</v>
      </c>
      <c r="J639" s="1991">
        <v>26440</v>
      </c>
      <c r="K639" s="1990">
        <v>6000</v>
      </c>
      <c r="L639" s="1990">
        <v>8700</v>
      </c>
      <c r="M639" s="1990">
        <v>6000</v>
      </c>
      <c r="N639" s="1990" t="s">
        <v>1052</v>
      </c>
      <c r="O639" s="1990" t="s">
        <v>8509</v>
      </c>
      <c r="P639" s="1990" t="s">
        <v>919</v>
      </c>
      <c r="Q639" s="1990" t="s">
        <v>1053</v>
      </c>
      <c r="R639" s="1990" t="s">
        <v>1054</v>
      </c>
    </row>
    <row r="640" spans="1:18">
      <c r="A640" s="1990" t="s">
        <v>1068</v>
      </c>
      <c r="B640" s="1990" t="s">
        <v>1382</v>
      </c>
      <c r="C640" s="1990" t="s">
        <v>1050</v>
      </c>
      <c r="D640" s="1990" t="s">
        <v>947</v>
      </c>
      <c r="E640" s="1990" t="s">
        <v>1054</v>
      </c>
      <c r="F640" s="1991">
        <v>38432</v>
      </c>
      <c r="G640" s="1991">
        <v>115295575</v>
      </c>
      <c r="H640" s="1991">
        <v>38000</v>
      </c>
      <c r="I640" s="1991">
        <v>39888</v>
      </c>
      <c r="J640" s="1991">
        <v>32600</v>
      </c>
      <c r="K640" s="1990">
        <v>3000</v>
      </c>
      <c r="L640" s="1990">
        <v>15475</v>
      </c>
      <c r="M640" s="1990">
        <v>3000</v>
      </c>
      <c r="N640" s="1990" t="s">
        <v>1052</v>
      </c>
      <c r="O640" s="1990" t="s">
        <v>8509</v>
      </c>
      <c r="P640" s="1990" t="s">
        <v>1264</v>
      </c>
      <c r="Q640" s="1990" t="s">
        <v>1078</v>
      </c>
      <c r="R640" s="1990" t="s">
        <v>1054</v>
      </c>
    </row>
    <row r="641" spans="1:18">
      <c r="A641" s="1990" t="s">
        <v>1061</v>
      </c>
      <c r="B641" s="1990" t="s">
        <v>1383</v>
      </c>
      <c r="C641" s="1990" t="s">
        <v>1050</v>
      </c>
      <c r="D641" s="1990" t="s">
        <v>947</v>
      </c>
      <c r="E641" s="1990" t="s">
        <v>1054</v>
      </c>
      <c r="F641" s="1991">
        <v>51333</v>
      </c>
      <c r="G641" s="1991">
        <v>179664725</v>
      </c>
      <c r="H641" s="1991">
        <v>50100</v>
      </c>
      <c r="I641" s="1991">
        <v>53500</v>
      </c>
      <c r="J641" s="1991">
        <v>44527</v>
      </c>
      <c r="K641" s="1990">
        <v>3500</v>
      </c>
      <c r="L641" s="1990">
        <v>12450</v>
      </c>
      <c r="M641" s="1990">
        <v>3500</v>
      </c>
      <c r="N641" s="1990" t="s">
        <v>1052</v>
      </c>
      <c r="O641" s="1990" t="s">
        <v>8509</v>
      </c>
      <c r="P641" s="1990" t="s">
        <v>1264</v>
      </c>
      <c r="Q641" s="1990" t="s">
        <v>1078</v>
      </c>
      <c r="R641" s="1990" t="s">
        <v>1054</v>
      </c>
    </row>
    <row r="642" spans="1:18" ht="30">
      <c r="A642" s="1990" t="s">
        <v>1057</v>
      </c>
      <c r="B642" s="1990" t="s">
        <v>1394</v>
      </c>
      <c r="C642" s="1990" t="s">
        <v>1050</v>
      </c>
      <c r="D642" s="1990" t="s">
        <v>937</v>
      </c>
      <c r="E642" s="1990" t="s">
        <v>1054</v>
      </c>
      <c r="F642" s="1991">
        <v>42340</v>
      </c>
      <c r="G642" s="1991">
        <v>423395250</v>
      </c>
      <c r="H642" s="1991">
        <v>41929</v>
      </c>
      <c r="I642" s="1991">
        <v>43259</v>
      </c>
      <c r="J642" s="1991">
        <v>38103</v>
      </c>
      <c r="K642" s="1991">
        <v>10000</v>
      </c>
      <c r="L642" s="1991">
        <v>15800</v>
      </c>
      <c r="M642" s="1991">
        <v>10000</v>
      </c>
      <c r="N642" s="1990" t="s">
        <v>1052</v>
      </c>
      <c r="O642" s="1990" t="s">
        <v>8509</v>
      </c>
      <c r="P642" s="1990" t="s">
        <v>937</v>
      </c>
      <c r="Q642" s="1990" t="s">
        <v>1090</v>
      </c>
      <c r="R642" s="1990" t="s">
        <v>1054</v>
      </c>
    </row>
    <row r="643" spans="1:18">
      <c r="A643" s="1990" t="s">
        <v>1059</v>
      </c>
      <c r="B643" s="1990" t="s">
        <v>1140</v>
      </c>
      <c r="C643" s="1990" t="s">
        <v>1050</v>
      </c>
      <c r="D643" s="1990" t="s">
        <v>918</v>
      </c>
      <c r="E643" s="1990" t="s">
        <v>1054</v>
      </c>
      <c r="F643" s="1991">
        <v>26827</v>
      </c>
      <c r="G643" s="1991">
        <v>321927850</v>
      </c>
      <c r="H643" s="1991">
        <v>26769</v>
      </c>
      <c r="I643" s="1991">
        <v>27099</v>
      </c>
      <c r="J643" s="1991">
        <v>26768</v>
      </c>
      <c r="K643" s="1990">
        <v>12000</v>
      </c>
      <c r="L643" s="1991">
        <v>12850</v>
      </c>
      <c r="M643" s="1990">
        <v>12000</v>
      </c>
      <c r="N643" s="1990" t="s">
        <v>1052</v>
      </c>
      <c r="O643" s="1990" t="s">
        <v>8509</v>
      </c>
      <c r="P643" s="1990" t="s">
        <v>918</v>
      </c>
      <c r="Q643" s="1990" t="s">
        <v>1114</v>
      </c>
      <c r="R643" s="1990" t="s">
        <v>1054</v>
      </c>
    </row>
    <row r="644" spans="1:18" ht="30">
      <c r="A644" s="1990" t="s">
        <v>1061</v>
      </c>
      <c r="B644" s="1990" t="s">
        <v>1409</v>
      </c>
      <c r="C644" s="1990" t="s">
        <v>1050</v>
      </c>
      <c r="D644" s="1990" t="s">
        <v>962</v>
      </c>
      <c r="E644" s="1990" t="s">
        <v>1054</v>
      </c>
      <c r="F644" s="1991">
        <v>36712</v>
      </c>
      <c r="G644" s="1991">
        <v>19089980</v>
      </c>
      <c r="H644" s="1991">
        <v>36569</v>
      </c>
      <c r="I644" s="1991">
        <v>37077</v>
      </c>
      <c r="J644" s="1991">
        <v>36056</v>
      </c>
      <c r="K644" s="1990">
        <v>520</v>
      </c>
      <c r="L644" s="1990">
        <v>650</v>
      </c>
      <c r="M644" s="1990">
        <v>520</v>
      </c>
      <c r="N644" s="1990" t="s">
        <v>1052</v>
      </c>
      <c r="O644" s="1990" t="s">
        <v>8509</v>
      </c>
      <c r="P644" s="1990" t="s">
        <v>962</v>
      </c>
      <c r="Q644" s="1990" t="s">
        <v>1080</v>
      </c>
      <c r="R644" s="1990" t="s">
        <v>1054</v>
      </c>
    </row>
    <row r="645" spans="1:18">
      <c r="A645" s="1990" t="s">
        <v>1057</v>
      </c>
      <c r="B645" s="1990" t="s">
        <v>1329</v>
      </c>
      <c r="C645" s="1990" t="s">
        <v>1050</v>
      </c>
      <c r="D645" s="1990" t="s">
        <v>912</v>
      </c>
      <c r="E645" s="1990" t="s">
        <v>1054</v>
      </c>
      <c r="F645" s="1991">
        <v>42577</v>
      </c>
      <c r="G645" s="1991">
        <v>340615700</v>
      </c>
      <c r="H645" s="1991">
        <v>42119</v>
      </c>
      <c r="I645" s="1991">
        <v>43009</v>
      </c>
      <c r="J645" s="1991">
        <v>39286</v>
      </c>
      <c r="K645" s="1990">
        <v>8000</v>
      </c>
      <c r="L645" s="1990">
        <v>9750</v>
      </c>
      <c r="M645" s="1990">
        <v>8000</v>
      </c>
      <c r="N645" s="1990" t="s">
        <v>1052</v>
      </c>
      <c r="O645" s="1990" t="s">
        <v>8509</v>
      </c>
      <c r="P645" s="1990" t="s">
        <v>912</v>
      </c>
      <c r="Q645" s="1990" t="s">
        <v>1053</v>
      </c>
      <c r="R645" s="1990" t="s">
        <v>1054</v>
      </c>
    </row>
    <row r="646" spans="1:18">
      <c r="A646" s="1990" t="s">
        <v>1085</v>
      </c>
      <c r="B646" s="1990" t="s">
        <v>1445</v>
      </c>
      <c r="C646" s="1990" t="s">
        <v>1050</v>
      </c>
      <c r="D646" s="1990" t="s">
        <v>933</v>
      </c>
      <c r="E646" s="1990" t="s">
        <v>1054</v>
      </c>
      <c r="F646" s="1991">
        <v>29504</v>
      </c>
      <c r="G646" s="1991">
        <v>118016050</v>
      </c>
      <c r="H646" s="1991">
        <v>29219</v>
      </c>
      <c r="I646" s="1991">
        <v>30059</v>
      </c>
      <c r="J646" s="1991">
        <v>26821</v>
      </c>
      <c r="K646" s="1991">
        <v>4000</v>
      </c>
      <c r="L646" s="1991">
        <v>7300</v>
      </c>
      <c r="M646" s="1991">
        <v>4000</v>
      </c>
      <c r="N646" s="1990" t="s">
        <v>1052</v>
      </c>
      <c r="O646" s="1990" t="s">
        <v>8509</v>
      </c>
      <c r="P646" s="1990" t="s">
        <v>933</v>
      </c>
      <c r="Q646" s="1990" t="s">
        <v>1446</v>
      </c>
      <c r="R646" s="1990" t="s">
        <v>1054</v>
      </c>
    </row>
    <row r="647" spans="1:18">
      <c r="A647" s="1990" t="s">
        <v>1057</v>
      </c>
      <c r="B647" s="1990" t="s">
        <v>1081</v>
      </c>
      <c r="C647" s="1990" t="s">
        <v>1050</v>
      </c>
      <c r="D647" s="1990" t="s">
        <v>955</v>
      </c>
      <c r="E647" s="1990" t="s">
        <v>1054</v>
      </c>
      <c r="F647" s="1991">
        <v>37492</v>
      </c>
      <c r="G647" s="1991">
        <v>37492000</v>
      </c>
      <c r="H647" s="1991">
        <v>37384</v>
      </c>
      <c r="I647" s="1991">
        <v>37599</v>
      </c>
      <c r="J647" s="1991">
        <v>37366</v>
      </c>
      <c r="K647" s="1990">
        <v>1000</v>
      </c>
      <c r="L647" s="1990">
        <v>2850</v>
      </c>
      <c r="M647" s="1990">
        <v>1000</v>
      </c>
      <c r="N647" s="1990" t="s">
        <v>1052</v>
      </c>
      <c r="O647" s="1990" t="s">
        <v>8509</v>
      </c>
      <c r="P647" s="1990" t="s">
        <v>955</v>
      </c>
      <c r="Q647" s="1990" t="s">
        <v>1080</v>
      </c>
      <c r="R647" s="1990" t="s">
        <v>1054</v>
      </c>
    </row>
    <row r="648" spans="1:18" ht="30">
      <c r="A648" s="1990" t="s">
        <v>1061</v>
      </c>
      <c r="B648" s="1990" t="s">
        <v>1357</v>
      </c>
      <c r="C648" s="1990" t="s">
        <v>1050</v>
      </c>
      <c r="D648" s="1990" t="s">
        <v>901</v>
      </c>
      <c r="E648" s="1990" t="s">
        <v>1054</v>
      </c>
      <c r="F648" s="1991">
        <v>50603</v>
      </c>
      <c r="G648" s="1991">
        <v>303619540</v>
      </c>
      <c r="H648" s="1991">
        <v>50050</v>
      </c>
      <c r="I648" s="1991">
        <v>52289</v>
      </c>
      <c r="J648" s="1991">
        <v>46242</v>
      </c>
      <c r="K648" s="1990">
        <v>6000</v>
      </c>
      <c r="L648" s="1991">
        <v>10120</v>
      </c>
      <c r="M648" s="1990">
        <v>6000</v>
      </c>
      <c r="N648" s="1990" t="s">
        <v>1052</v>
      </c>
      <c r="O648" s="1990" t="s">
        <v>8509</v>
      </c>
      <c r="P648" s="1990" t="s">
        <v>1198</v>
      </c>
      <c r="Q648" s="1990" t="s">
        <v>1053</v>
      </c>
      <c r="R648" s="1990" t="s">
        <v>1054</v>
      </c>
    </row>
    <row r="649" spans="1:18" ht="30">
      <c r="A649" s="1990" t="s">
        <v>1068</v>
      </c>
      <c r="B649" s="1990" t="s">
        <v>1356</v>
      </c>
      <c r="C649" s="1990" t="s">
        <v>1050</v>
      </c>
      <c r="D649" s="1990" t="s">
        <v>901</v>
      </c>
      <c r="E649" s="1990" t="s">
        <v>1054</v>
      </c>
      <c r="F649" s="1991">
        <v>37186</v>
      </c>
      <c r="G649" s="1991">
        <v>223117075</v>
      </c>
      <c r="H649" s="1991">
        <v>36559</v>
      </c>
      <c r="I649" s="1991">
        <v>38099</v>
      </c>
      <c r="J649" s="1991">
        <v>33961</v>
      </c>
      <c r="K649" s="1991">
        <v>6000</v>
      </c>
      <c r="L649" s="1991">
        <v>12300</v>
      </c>
      <c r="M649" s="1991">
        <v>6000</v>
      </c>
      <c r="N649" s="1990" t="s">
        <v>1052</v>
      </c>
      <c r="O649" s="1990" t="s">
        <v>8509</v>
      </c>
      <c r="P649" s="1990" t="s">
        <v>1198</v>
      </c>
      <c r="Q649" s="1990" t="s">
        <v>1053</v>
      </c>
      <c r="R649" s="1990" t="s">
        <v>1054</v>
      </c>
    </row>
    <row r="650" spans="1:18" ht="30">
      <c r="A650" s="1990" t="s">
        <v>1057</v>
      </c>
      <c r="B650" s="1990" t="s">
        <v>1408</v>
      </c>
      <c r="C650" s="1990" t="s">
        <v>1050</v>
      </c>
      <c r="D650" s="1990" t="s">
        <v>922</v>
      </c>
      <c r="E650" s="1990" t="s">
        <v>1054</v>
      </c>
      <c r="F650" s="1991">
        <v>38138</v>
      </c>
      <c r="G650" s="1991">
        <v>95345230</v>
      </c>
      <c r="H650" s="1991">
        <v>38039</v>
      </c>
      <c r="I650" s="1991">
        <v>39009</v>
      </c>
      <c r="J650" s="1991">
        <v>37366</v>
      </c>
      <c r="K650" s="1991">
        <v>2500</v>
      </c>
      <c r="L650" s="1991">
        <v>3410</v>
      </c>
      <c r="M650" s="1991">
        <v>2500</v>
      </c>
      <c r="N650" s="1990" t="s">
        <v>1052</v>
      </c>
      <c r="O650" s="1990" t="s">
        <v>8509</v>
      </c>
      <c r="P650" s="1990" t="s">
        <v>922</v>
      </c>
      <c r="Q650" s="1990" t="s">
        <v>1087</v>
      </c>
      <c r="R650" s="1990" t="s">
        <v>1054</v>
      </c>
    </row>
    <row r="651" spans="1:18">
      <c r="A651" s="1990" t="s">
        <v>1085</v>
      </c>
      <c r="B651" s="1990" t="s">
        <v>1457</v>
      </c>
      <c r="C651" s="1990" t="s">
        <v>1050</v>
      </c>
      <c r="D651" s="1990" t="s">
        <v>48</v>
      </c>
      <c r="E651" s="1990" t="s">
        <v>1054</v>
      </c>
      <c r="F651" s="1991">
        <v>26295</v>
      </c>
      <c r="G651" s="1991">
        <v>157770950</v>
      </c>
      <c r="H651" s="1991">
        <v>25989</v>
      </c>
      <c r="I651" s="1991">
        <v>26759</v>
      </c>
      <c r="J651" s="1991">
        <v>25869</v>
      </c>
      <c r="K651" s="1991">
        <v>6000</v>
      </c>
      <c r="L651" s="1991">
        <v>10025</v>
      </c>
      <c r="M651" s="1991">
        <v>6000</v>
      </c>
      <c r="N651" s="1990" t="s">
        <v>1052</v>
      </c>
      <c r="O651" s="1990" t="s">
        <v>8509</v>
      </c>
      <c r="P651" s="1990" t="s">
        <v>48</v>
      </c>
      <c r="Q651" s="1990" t="s">
        <v>1083</v>
      </c>
      <c r="R651" s="1990" t="s">
        <v>1054</v>
      </c>
    </row>
    <row r="652" spans="1:18">
      <c r="A652" s="1990" t="s">
        <v>1057</v>
      </c>
      <c r="B652" s="1990" t="s">
        <v>1058</v>
      </c>
      <c r="C652" s="1990" t="s">
        <v>1050</v>
      </c>
      <c r="D652" s="1990" t="s">
        <v>909</v>
      </c>
      <c r="E652" s="1990" t="s">
        <v>1054</v>
      </c>
      <c r="F652" s="1991">
        <v>41819</v>
      </c>
      <c r="G652" s="1991">
        <v>397282640</v>
      </c>
      <c r="H652" s="1991">
        <v>41299</v>
      </c>
      <c r="I652" s="1991">
        <v>42200</v>
      </c>
      <c r="J652" s="1991">
        <v>37731</v>
      </c>
      <c r="K652" s="1991">
        <v>9500</v>
      </c>
      <c r="L652" s="1991">
        <v>13480</v>
      </c>
      <c r="M652" s="1991">
        <v>9500</v>
      </c>
      <c r="N652" s="1990" t="s">
        <v>1052</v>
      </c>
      <c r="O652" s="1990" t="s">
        <v>8509</v>
      </c>
      <c r="P652" s="1990" t="s">
        <v>909</v>
      </c>
      <c r="Q652" s="1990" t="s">
        <v>1053</v>
      </c>
      <c r="R652" s="1990" t="s">
        <v>1054</v>
      </c>
    </row>
    <row r="653" spans="1:18">
      <c r="A653" s="1990" t="s">
        <v>1061</v>
      </c>
      <c r="B653" s="1990" t="s">
        <v>1418</v>
      </c>
      <c r="C653" s="1990" t="s">
        <v>1050</v>
      </c>
      <c r="D653" s="1990" t="s">
        <v>959</v>
      </c>
      <c r="E653" s="1990" t="s">
        <v>1054</v>
      </c>
      <c r="F653" s="1991">
        <v>36835</v>
      </c>
      <c r="G653" s="1991">
        <v>73669320</v>
      </c>
      <c r="H653" s="1991">
        <v>36739</v>
      </c>
      <c r="I653" s="1991">
        <v>37159</v>
      </c>
      <c r="J653" s="1991">
        <v>35589</v>
      </c>
      <c r="K653" s="1991">
        <v>2000</v>
      </c>
      <c r="L653" s="1991">
        <v>2870</v>
      </c>
      <c r="M653" s="1991">
        <v>2000</v>
      </c>
      <c r="N653" s="1990" t="s">
        <v>1052</v>
      </c>
      <c r="O653" s="1990" t="s">
        <v>8509</v>
      </c>
      <c r="P653" s="1990" t="s">
        <v>959</v>
      </c>
      <c r="Q653" s="1990" t="s">
        <v>1083</v>
      </c>
      <c r="R653" s="1990" t="s">
        <v>1054</v>
      </c>
    </row>
    <row r="654" spans="1:18">
      <c r="A654" s="1990" t="s">
        <v>1059</v>
      </c>
      <c r="B654" s="1990" t="s">
        <v>1371</v>
      </c>
      <c r="C654" s="1990" t="s">
        <v>1050</v>
      </c>
      <c r="D654" s="1990" t="s">
        <v>907</v>
      </c>
      <c r="E654" s="1990" t="s">
        <v>1054</v>
      </c>
      <c r="F654" s="1991">
        <v>31960</v>
      </c>
      <c r="G654" s="1991">
        <v>575279975</v>
      </c>
      <c r="H654" s="1991">
        <v>31509</v>
      </c>
      <c r="I654" s="1991">
        <v>33999</v>
      </c>
      <c r="J654" s="1991">
        <v>29667</v>
      </c>
      <c r="K654" s="1991">
        <v>18000</v>
      </c>
      <c r="L654" s="1991">
        <v>26700</v>
      </c>
      <c r="M654" s="1991">
        <v>18000</v>
      </c>
      <c r="N654" s="1990" t="s">
        <v>1052</v>
      </c>
      <c r="O654" s="1990" t="s">
        <v>8509</v>
      </c>
      <c r="P654" s="1990" t="s">
        <v>907</v>
      </c>
      <c r="Q654" s="1990" t="s">
        <v>1075</v>
      </c>
      <c r="R654" s="1990" t="s">
        <v>1054</v>
      </c>
    </row>
    <row r="655" spans="1:18" ht="30">
      <c r="A655" s="1990" t="s">
        <v>1059</v>
      </c>
      <c r="B655" s="1990" t="s">
        <v>1393</v>
      </c>
      <c r="C655" s="1990" t="s">
        <v>1050</v>
      </c>
      <c r="D655" s="1990" t="s">
        <v>937</v>
      </c>
      <c r="E655" s="1990" t="s">
        <v>1054</v>
      </c>
      <c r="F655" s="1991">
        <v>27062</v>
      </c>
      <c r="G655" s="1991">
        <v>216494600</v>
      </c>
      <c r="H655" s="1991">
        <v>27005</v>
      </c>
      <c r="I655" s="1991">
        <v>27780</v>
      </c>
      <c r="J655" s="1991">
        <v>26929</v>
      </c>
      <c r="K655" s="1990">
        <v>8000</v>
      </c>
      <c r="L655" s="1990">
        <v>10175</v>
      </c>
      <c r="M655" s="1990">
        <v>8000</v>
      </c>
      <c r="N655" s="1990" t="s">
        <v>1052</v>
      </c>
      <c r="O655" s="1990" t="s">
        <v>8509</v>
      </c>
      <c r="P655" s="1990" t="s">
        <v>937</v>
      </c>
      <c r="Q655" s="1990" t="s">
        <v>1090</v>
      </c>
      <c r="R655" s="1990" t="s">
        <v>1054</v>
      </c>
    </row>
    <row r="656" spans="1:18" ht="45">
      <c r="A656" s="1990" t="s">
        <v>1059</v>
      </c>
      <c r="B656" s="1990" t="s">
        <v>1441</v>
      </c>
      <c r="C656" s="1990" t="s">
        <v>1050</v>
      </c>
      <c r="D656" s="1990" t="s">
        <v>936</v>
      </c>
      <c r="E656" s="1990" t="s">
        <v>1054</v>
      </c>
      <c r="F656" s="1991">
        <v>27229</v>
      </c>
      <c r="G656" s="1991">
        <v>119807200</v>
      </c>
      <c r="H656" s="1991">
        <v>27143</v>
      </c>
      <c r="I656" s="1991">
        <v>27449</v>
      </c>
      <c r="J656" s="1991">
        <v>26291</v>
      </c>
      <c r="K656" s="1991">
        <v>4400</v>
      </c>
      <c r="L656" s="1991">
        <v>7625</v>
      </c>
      <c r="M656" s="1991">
        <v>4400</v>
      </c>
      <c r="N656" s="1990" t="s">
        <v>1052</v>
      </c>
      <c r="O656" s="1990" t="s">
        <v>8509</v>
      </c>
      <c r="P656" s="1990" t="s">
        <v>1136</v>
      </c>
      <c r="Q656" s="1990" t="s">
        <v>8292</v>
      </c>
      <c r="R656" s="1990" t="s">
        <v>1054</v>
      </c>
    </row>
    <row r="657" spans="1:18">
      <c r="A657" s="1990" t="s">
        <v>1061</v>
      </c>
      <c r="B657" s="1990" t="s">
        <v>1344</v>
      </c>
      <c r="C657" s="1990" t="s">
        <v>1050</v>
      </c>
      <c r="D657" s="1990" t="s">
        <v>931</v>
      </c>
      <c r="E657" s="1990" t="s">
        <v>1054</v>
      </c>
      <c r="F657" s="1991">
        <v>41383</v>
      </c>
      <c r="G657" s="1991">
        <v>182087275</v>
      </c>
      <c r="H657" s="1991">
        <v>40109</v>
      </c>
      <c r="I657" s="1991">
        <v>42259</v>
      </c>
      <c r="J657" s="1991">
        <v>39990</v>
      </c>
      <c r="K657" s="1991">
        <v>4400</v>
      </c>
      <c r="L657" s="1991">
        <v>6600</v>
      </c>
      <c r="M657" s="1991">
        <v>4400</v>
      </c>
      <c r="N657" s="1990" t="s">
        <v>1052</v>
      </c>
      <c r="O657" s="1990" t="s">
        <v>8509</v>
      </c>
      <c r="P657" s="1990" t="s">
        <v>931</v>
      </c>
      <c r="Q657" s="1990" t="s">
        <v>1053</v>
      </c>
      <c r="R657" s="1990" t="s">
        <v>1054</v>
      </c>
    </row>
    <row r="658" spans="1:18">
      <c r="A658" s="1990" t="s">
        <v>1057</v>
      </c>
      <c r="B658" s="1990" t="s">
        <v>1372</v>
      </c>
      <c r="C658" s="1990" t="s">
        <v>1050</v>
      </c>
      <c r="D658" s="1990" t="s">
        <v>907</v>
      </c>
      <c r="E658" s="1990" t="s">
        <v>1054</v>
      </c>
      <c r="F658" s="1991">
        <v>42832</v>
      </c>
      <c r="G658" s="1991">
        <v>728138825</v>
      </c>
      <c r="H658" s="1991">
        <v>42650</v>
      </c>
      <c r="I658" s="1991">
        <v>43588</v>
      </c>
      <c r="J658" s="1991">
        <v>38760</v>
      </c>
      <c r="K658" s="1990">
        <v>17000</v>
      </c>
      <c r="L658" s="1990">
        <v>25425</v>
      </c>
      <c r="M658" s="1990">
        <v>17000</v>
      </c>
      <c r="N658" s="1990" t="s">
        <v>1052</v>
      </c>
      <c r="O658" s="1990" t="s">
        <v>8509</v>
      </c>
      <c r="P658" s="1990" t="s">
        <v>907</v>
      </c>
      <c r="Q658" s="1990" t="s">
        <v>1075</v>
      </c>
      <c r="R658" s="1990" t="s">
        <v>1054</v>
      </c>
    </row>
    <row r="659" spans="1:18">
      <c r="A659" s="1990" t="s">
        <v>1057</v>
      </c>
      <c r="B659" s="1990" t="s">
        <v>1434</v>
      </c>
      <c r="C659" s="1990" t="s">
        <v>1050</v>
      </c>
      <c r="D659" s="1990" t="s">
        <v>900</v>
      </c>
      <c r="E659" s="1990" t="s">
        <v>1054</v>
      </c>
      <c r="F659" s="1991">
        <v>46960</v>
      </c>
      <c r="G659" s="1991">
        <v>46960225</v>
      </c>
      <c r="H659" s="1991">
        <v>46599</v>
      </c>
      <c r="I659" s="1991">
        <v>47300</v>
      </c>
      <c r="J659" s="1991">
        <v>43943</v>
      </c>
      <c r="K659" s="1991">
        <v>1000</v>
      </c>
      <c r="L659" s="1991">
        <v>1525</v>
      </c>
      <c r="M659" s="1991">
        <v>1000</v>
      </c>
      <c r="N659" s="1990" t="s">
        <v>1052</v>
      </c>
      <c r="O659" s="1990" t="s">
        <v>8509</v>
      </c>
      <c r="P659" s="1990" t="s">
        <v>900</v>
      </c>
      <c r="Q659" s="1990" t="s">
        <v>1274</v>
      </c>
      <c r="R659" s="1990" t="s">
        <v>1054</v>
      </c>
    </row>
    <row r="660" spans="1:18" ht="30">
      <c r="A660" s="1990" t="s">
        <v>1085</v>
      </c>
      <c r="B660" s="1990" t="s">
        <v>1354</v>
      </c>
      <c r="C660" s="1990" t="s">
        <v>1050</v>
      </c>
      <c r="D660" s="1990" t="s">
        <v>901</v>
      </c>
      <c r="E660" s="1990" t="s">
        <v>1054</v>
      </c>
      <c r="F660" s="1991">
        <v>30312</v>
      </c>
      <c r="G660" s="1991">
        <v>303119475</v>
      </c>
      <c r="H660" s="1991">
        <v>30050</v>
      </c>
      <c r="I660" s="1991">
        <v>30939</v>
      </c>
      <c r="J660" s="1991">
        <v>30030</v>
      </c>
      <c r="K660" s="1991">
        <v>10000</v>
      </c>
      <c r="L660" s="1991">
        <v>13575</v>
      </c>
      <c r="M660" s="1991">
        <v>10000</v>
      </c>
      <c r="N660" s="1990" t="s">
        <v>1052</v>
      </c>
      <c r="O660" s="1990" t="s">
        <v>8509</v>
      </c>
      <c r="P660" s="1990" t="s">
        <v>1198</v>
      </c>
      <c r="Q660" s="1990" t="s">
        <v>1053</v>
      </c>
      <c r="R660" s="1990" t="s">
        <v>1054</v>
      </c>
    </row>
    <row r="661" spans="1:18">
      <c r="A661" s="1990" t="s">
        <v>1076</v>
      </c>
      <c r="B661" s="1990" t="s">
        <v>1325</v>
      </c>
      <c r="C661" s="1990" t="s">
        <v>1050</v>
      </c>
      <c r="D661" s="1990" t="s">
        <v>900</v>
      </c>
      <c r="E661" s="1990" t="s">
        <v>1054</v>
      </c>
      <c r="F661" s="1991">
        <v>49035</v>
      </c>
      <c r="G661" s="1991">
        <v>318729960</v>
      </c>
      <c r="H661" s="1991">
        <v>48689</v>
      </c>
      <c r="I661" s="1991">
        <v>49799</v>
      </c>
      <c r="J661" s="1991">
        <v>46584</v>
      </c>
      <c r="K661" s="1990">
        <v>6500</v>
      </c>
      <c r="L661" s="1990">
        <v>9210</v>
      </c>
      <c r="M661" s="1990">
        <v>6500</v>
      </c>
      <c r="N661" s="1990" t="s">
        <v>1052</v>
      </c>
      <c r="O661" s="1990" t="s">
        <v>8509</v>
      </c>
      <c r="P661" s="1990" t="s">
        <v>900</v>
      </c>
      <c r="Q661" s="1990" t="s">
        <v>1053</v>
      </c>
      <c r="R661" s="1990" t="s">
        <v>1054</v>
      </c>
    </row>
    <row r="662" spans="1:18" ht="30">
      <c r="A662" s="1990" t="s">
        <v>1085</v>
      </c>
      <c r="B662" s="1990" t="s">
        <v>1351</v>
      </c>
      <c r="C662" s="1990" t="s">
        <v>1050</v>
      </c>
      <c r="D662" s="1990" t="s">
        <v>914</v>
      </c>
      <c r="E662" s="1990" t="s">
        <v>1054</v>
      </c>
      <c r="F662" s="1991">
        <v>25901</v>
      </c>
      <c r="G662" s="1991">
        <v>59573300</v>
      </c>
      <c r="H662" s="1991">
        <v>25855</v>
      </c>
      <c r="I662" s="1991">
        <v>25959</v>
      </c>
      <c r="J662" s="1991">
        <v>25568</v>
      </c>
      <c r="K662" s="1991">
        <v>2300</v>
      </c>
      <c r="L662" s="1991">
        <v>2625</v>
      </c>
      <c r="M662" s="1991">
        <v>2300</v>
      </c>
      <c r="N662" s="1990" t="s">
        <v>1052</v>
      </c>
      <c r="O662" s="1990" t="s">
        <v>8509</v>
      </c>
      <c r="P662" s="1990" t="s">
        <v>1110</v>
      </c>
      <c r="Q662" s="1990" t="s">
        <v>1053</v>
      </c>
      <c r="R662" s="1990" t="s">
        <v>1054</v>
      </c>
    </row>
    <row r="663" spans="1:18" ht="30">
      <c r="A663" s="1990" t="s">
        <v>1112</v>
      </c>
      <c r="B663" s="1990" t="s">
        <v>1453</v>
      </c>
      <c r="C663" s="1990" t="s">
        <v>1050</v>
      </c>
      <c r="D663" s="1990" t="s">
        <v>923</v>
      </c>
      <c r="E663" s="1990" t="s">
        <v>1054</v>
      </c>
      <c r="F663" s="1991">
        <v>25594</v>
      </c>
      <c r="G663" s="1991">
        <v>12797000</v>
      </c>
      <c r="H663" s="1991">
        <v>25499</v>
      </c>
      <c r="I663" s="1991">
        <v>25899</v>
      </c>
      <c r="J663" s="1991">
        <v>24747</v>
      </c>
      <c r="K663" s="1991">
        <v>500</v>
      </c>
      <c r="L663" s="1991">
        <v>1040</v>
      </c>
      <c r="M663" s="1991">
        <v>500</v>
      </c>
      <c r="N663" s="1990" t="s">
        <v>1052</v>
      </c>
      <c r="O663" s="1990" t="s">
        <v>8509</v>
      </c>
      <c r="P663" s="1990" t="s">
        <v>923</v>
      </c>
      <c r="Q663" s="1990" t="s">
        <v>1132</v>
      </c>
      <c r="R663" s="1990" t="s">
        <v>1054</v>
      </c>
    </row>
    <row r="664" spans="1:18">
      <c r="A664" s="1990" t="s">
        <v>1055</v>
      </c>
      <c r="B664" s="1990" t="s">
        <v>1056</v>
      </c>
      <c r="C664" s="1990" t="s">
        <v>1050</v>
      </c>
      <c r="D664" s="1990" t="s">
        <v>912</v>
      </c>
      <c r="E664" s="1990" t="s">
        <v>1054</v>
      </c>
      <c r="F664" s="1991">
        <v>38920</v>
      </c>
      <c r="G664" s="1991">
        <v>155681925</v>
      </c>
      <c r="H664" s="1991">
        <v>38739</v>
      </c>
      <c r="I664" s="1991">
        <v>39629</v>
      </c>
      <c r="J664" s="1991">
        <v>38435</v>
      </c>
      <c r="K664" s="1990">
        <v>4000</v>
      </c>
      <c r="L664" s="1990">
        <v>4275</v>
      </c>
      <c r="M664" s="1990">
        <v>4000</v>
      </c>
      <c r="N664" s="1990" t="s">
        <v>1052</v>
      </c>
      <c r="O664" s="1990" t="s">
        <v>8509</v>
      </c>
      <c r="P664" s="1990" t="s">
        <v>912</v>
      </c>
      <c r="Q664" s="1990" t="s">
        <v>1053</v>
      </c>
      <c r="R664" s="1990" t="s">
        <v>1054</v>
      </c>
    </row>
    <row r="665" spans="1:18">
      <c r="A665" s="1990" t="s">
        <v>1061</v>
      </c>
      <c r="B665" s="1990" t="s">
        <v>1398</v>
      </c>
      <c r="C665" s="1990" t="s">
        <v>1050</v>
      </c>
      <c r="D665" s="1990" t="s">
        <v>913</v>
      </c>
      <c r="E665" s="1990" t="s">
        <v>1054</v>
      </c>
      <c r="F665" s="1991">
        <v>47645</v>
      </c>
      <c r="G665" s="1991">
        <v>714669700</v>
      </c>
      <c r="H665" s="1991">
        <v>47429</v>
      </c>
      <c r="I665" s="1991">
        <v>48919</v>
      </c>
      <c r="J665" s="1991">
        <v>42266</v>
      </c>
      <c r="K665" s="1990">
        <v>15000</v>
      </c>
      <c r="L665" s="1991">
        <v>20625</v>
      </c>
      <c r="M665" s="1990">
        <v>15000</v>
      </c>
      <c r="N665" s="1990" t="s">
        <v>1052</v>
      </c>
      <c r="O665" s="1990" t="s">
        <v>8509</v>
      </c>
      <c r="P665" s="1990" t="s">
        <v>913</v>
      </c>
      <c r="Q665" s="1990" t="s">
        <v>1090</v>
      </c>
      <c r="R665" s="1990" t="s">
        <v>1054</v>
      </c>
    </row>
    <row r="666" spans="1:18" ht="30">
      <c r="A666" s="1990" t="s">
        <v>1085</v>
      </c>
      <c r="B666" s="1990" t="s">
        <v>1447</v>
      </c>
      <c r="C666" s="1990" t="s">
        <v>1050</v>
      </c>
      <c r="D666" s="1990" t="s">
        <v>942</v>
      </c>
      <c r="E666" s="1990" t="s">
        <v>1054</v>
      </c>
      <c r="F666" s="1991">
        <v>36695</v>
      </c>
      <c r="G666" s="1991">
        <v>25686610</v>
      </c>
      <c r="H666" s="1991">
        <v>36370</v>
      </c>
      <c r="I666" s="1991">
        <v>37177</v>
      </c>
      <c r="J666" s="1991">
        <v>32406</v>
      </c>
      <c r="K666" s="1991">
        <v>700</v>
      </c>
      <c r="L666" s="1991">
        <v>3040</v>
      </c>
      <c r="M666" s="1991">
        <v>700</v>
      </c>
      <c r="N666" s="1990" t="s">
        <v>1052</v>
      </c>
      <c r="O666" s="1990" t="s">
        <v>8509</v>
      </c>
      <c r="P666" s="1990" t="s">
        <v>1117</v>
      </c>
      <c r="Q666" s="1990" t="s">
        <v>1118</v>
      </c>
      <c r="R666" s="1990" t="s">
        <v>1054</v>
      </c>
    </row>
    <row r="667" spans="1:18" ht="30">
      <c r="A667" s="1990" t="s">
        <v>1057</v>
      </c>
      <c r="B667" s="1990" t="s">
        <v>1069</v>
      </c>
      <c r="C667" s="1990" t="s">
        <v>1050</v>
      </c>
      <c r="D667" s="1990" t="s">
        <v>953</v>
      </c>
      <c r="E667" s="1990" t="s">
        <v>1054</v>
      </c>
      <c r="F667" s="1991">
        <v>37704</v>
      </c>
      <c r="G667" s="1991">
        <v>131965170</v>
      </c>
      <c r="H667" s="1991">
        <v>37366</v>
      </c>
      <c r="I667" s="1991">
        <v>40229</v>
      </c>
      <c r="J667" s="1991">
        <v>37366</v>
      </c>
      <c r="K667" s="1990">
        <v>3500</v>
      </c>
      <c r="L667" s="1991">
        <v>5740</v>
      </c>
      <c r="M667" s="1990">
        <v>3500</v>
      </c>
      <c r="N667" s="1990" t="s">
        <v>1052</v>
      </c>
      <c r="O667" s="1990" t="s">
        <v>8509</v>
      </c>
      <c r="P667" s="1990" t="s">
        <v>1066</v>
      </c>
      <c r="Q667" s="1990" t="s">
        <v>1063</v>
      </c>
      <c r="R667" s="1990" t="s">
        <v>1054</v>
      </c>
    </row>
    <row r="668" spans="1:18">
      <c r="A668" s="1990" t="s">
        <v>1059</v>
      </c>
      <c r="B668" s="1990" t="s">
        <v>1137</v>
      </c>
      <c r="C668" s="1990" t="s">
        <v>1050</v>
      </c>
      <c r="D668" s="1990" t="s">
        <v>48</v>
      </c>
      <c r="E668" s="1990" t="s">
        <v>1054</v>
      </c>
      <c r="F668" s="1991">
        <v>28838</v>
      </c>
      <c r="G668" s="1991">
        <v>144191225</v>
      </c>
      <c r="H668" s="1991">
        <v>28039</v>
      </c>
      <c r="I668" s="1991">
        <v>32888</v>
      </c>
      <c r="J668" s="1991">
        <v>26768</v>
      </c>
      <c r="K668" s="1990">
        <v>5000</v>
      </c>
      <c r="L668" s="1990">
        <v>11125</v>
      </c>
      <c r="M668" s="1990">
        <v>5000</v>
      </c>
      <c r="N668" s="1990" t="s">
        <v>1052</v>
      </c>
      <c r="O668" s="1990" t="s">
        <v>8509</v>
      </c>
      <c r="P668" s="1990" t="s">
        <v>48</v>
      </c>
      <c r="Q668" s="1990" t="s">
        <v>1083</v>
      </c>
      <c r="R668" s="1990" t="s">
        <v>1054</v>
      </c>
    </row>
    <row r="669" spans="1:18">
      <c r="A669" s="1990" t="s">
        <v>1061</v>
      </c>
      <c r="B669" s="1990" t="s">
        <v>1330</v>
      </c>
      <c r="C669" s="1990" t="s">
        <v>1050</v>
      </c>
      <c r="D669" s="1990" t="s">
        <v>905</v>
      </c>
      <c r="E669" s="1990" t="s">
        <v>1054</v>
      </c>
      <c r="F669" s="1991">
        <v>38005</v>
      </c>
      <c r="G669" s="1991">
        <v>26603800</v>
      </c>
      <c r="H669" s="1991">
        <v>37959</v>
      </c>
      <c r="I669" s="1991">
        <v>38359</v>
      </c>
      <c r="J669" s="1991">
        <v>35862</v>
      </c>
      <c r="K669" s="1991">
        <v>700</v>
      </c>
      <c r="L669" s="1991">
        <v>1150</v>
      </c>
      <c r="M669" s="1991">
        <v>700</v>
      </c>
      <c r="N669" s="1990" t="s">
        <v>1052</v>
      </c>
      <c r="O669" s="1990" t="s">
        <v>8509</v>
      </c>
      <c r="P669" s="1990" t="s">
        <v>905</v>
      </c>
      <c r="Q669" s="1990" t="s">
        <v>1053</v>
      </c>
      <c r="R669" s="1990" t="s">
        <v>1054</v>
      </c>
    </row>
    <row r="670" spans="1:18">
      <c r="A670" s="1990" t="s">
        <v>1068</v>
      </c>
      <c r="B670" s="1990" t="s">
        <v>1396</v>
      </c>
      <c r="C670" s="1990" t="s">
        <v>1050</v>
      </c>
      <c r="D670" s="1990" t="s">
        <v>913</v>
      </c>
      <c r="E670" s="1990" t="s">
        <v>1054</v>
      </c>
      <c r="F670" s="1991">
        <v>31227</v>
      </c>
      <c r="G670" s="1991">
        <v>874368450</v>
      </c>
      <c r="H670" s="1991">
        <v>30959</v>
      </c>
      <c r="I670" s="1991">
        <v>32599</v>
      </c>
      <c r="J670" s="1991">
        <v>29463</v>
      </c>
      <c r="K670" s="1991">
        <v>28000</v>
      </c>
      <c r="L670" s="1991">
        <v>31000</v>
      </c>
      <c r="M670" s="1991">
        <v>28000</v>
      </c>
      <c r="N670" s="1990" t="s">
        <v>1052</v>
      </c>
      <c r="O670" s="1990" t="s">
        <v>8509</v>
      </c>
      <c r="P670" s="1990" t="s">
        <v>913</v>
      </c>
      <c r="Q670" s="1990" t="s">
        <v>1090</v>
      </c>
      <c r="R670" s="1990" t="s">
        <v>1054</v>
      </c>
    </row>
    <row r="671" spans="1:18">
      <c r="A671" s="1990" t="s">
        <v>1076</v>
      </c>
      <c r="B671" s="1990" t="s">
        <v>1469</v>
      </c>
      <c r="C671" s="1990" t="s">
        <v>1050</v>
      </c>
      <c r="D671" s="1990" t="s">
        <v>952</v>
      </c>
      <c r="E671" s="1990" t="s">
        <v>1054</v>
      </c>
      <c r="F671" s="1991">
        <v>37347</v>
      </c>
      <c r="G671" s="1991">
        <v>18673250</v>
      </c>
      <c r="H671" s="1991">
        <v>37289</v>
      </c>
      <c r="I671" s="1991">
        <v>37419</v>
      </c>
      <c r="J671" s="1991">
        <v>36425</v>
      </c>
      <c r="K671" s="1991">
        <v>500</v>
      </c>
      <c r="L671" s="1991">
        <v>850</v>
      </c>
      <c r="M671" s="1991">
        <v>500</v>
      </c>
      <c r="N671" s="1990" t="s">
        <v>1052</v>
      </c>
      <c r="O671" s="1990" t="s">
        <v>8509</v>
      </c>
      <c r="P671" s="1990" t="s">
        <v>1311</v>
      </c>
      <c r="Q671" s="1990" t="s">
        <v>1312</v>
      </c>
      <c r="R671" s="1990" t="s">
        <v>1054</v>
      </c>
    </row>
    <row r="672" spans="1:18">
      <c r="A672" s="1990" t="s">
        <v>1112</v>
      </c>
      <c r="B672" s="1990" t="s">
        <v>1321</v>
      </c>
      <c r="C672" s="1990" t="s">
        <v>1050</v>
      </c>
      <c r="D672" s="1990" t="s">
        <v>915</v>
      </c>
      <c r="E672" s="1990" t="s">
        <v>1054</v>
      </c>
      <c r="F672" s="1991">
        <v>30848</v>
      </c>
      <c r="G672" s="1991">
        <v>31094352</v>
      </c>
      <c r="H672" s="1991">
        <v>30699</v>
      </c>
      <c r="I672" s="1991">
        <v>31179</v>
      </c>
      <c r="J672" s="1991">
        <v>27395</v>
      </c>
      <c r="K672" s="1991">
        <v>1008</v>
      </c>
      <c r="L672" s="1991">
        <v>2232</v>
      </c>
      <c r="M672" s="1991">
        <v>1008</v>
      </c>
      <c r="N672" s="1990" t="s">
        <v>1052</v>
      </c>
      <c r="O672" s="1990" t="s">
        <v>8509</v>
      </c>
      <c r="P672" s="1990" t="s">
        <v>915</v>
      </c>
      <c r="Q672" s="1990" t="s">
        <v>1053</v>
      </c>
      <c r="R672" s="1990" t="s">
        <v>1054</v>
      </c>
    </row>
    <row r="673" spans="1:18" ht="30">
      <c r="A673" s="1990" t="s">
        <v>1057</v>
      </c>
      <c r="B673" s="1990" t="s">
        <v>1378</v>
      </c>
      <c r="C673" s="1990" t="s">
        <v>1050</v>
      </c>
      <c r="D673" s="1990" t="s">
        <v>948</v>
      </c>
      <c r="E673" s="1990" t="s">
        <v>1054</v>
      </c>
      <c r="F673" s="1991">
        <v>48762</v>
      </c>
      <c r="G673" s="1991">
        <v>82896150</v>
      </c>
      <c r="H673" s="1991">
        <v>48559</v>
      </c>
      <c r="I673" s="1991">
        <v>49199</v>
      </c>
      <c r="J673" s="1991">
        <v>47108</v>
      </c>
      <c r="K673" s="1990">
        <v>1700</v>
      </c>
      <c r="L673" s="1990">
        <v>2520</v>
      </c>
      <c r="M673" s="1990">
        <v>1700</v>
      </c>
      <c r="N673" s="1990" t="s">
        <v>1052</v>
      </c>
      <c r="O673" s="1990" t="s">
        <v>8509</v>
      </c>
      <c r="P673" s="1990" t="s">
        <v>948</v>
      </c>
      <c r="Q673" s="1990" t="s">
        <v>1209</v>
      </c>
      <c r="R673" s="1990" t="s">
        <v>1054</v>
      </c>
    </row>
    <row r="674" spans="1:18">
      <c r="A674" s="1990" t="s">
        <v>1057</v>
      </c>
      <c r="B674" s="1990" t="s">
        <v>1350</v>
      </c>
      <c r="C674" s="1990" t="s">
        <v>1050</v>
      </c>
      <c r="D674" s="1990" t="s">
        <v>908</v>
      </c>
      <c r="E674" s="1990" t="s">
        <v>1054</v>
      </c>
      <c r="F674" s="1991">
        <v>39522</v>
      </c>
      <c r="G674" s="1991">
        <v>118567100</v>
      </c>
      <c r="H674" s="1991">
        <v>39389</v>
      </c>
      <c r="I674" s="1991">
        <v>39888</v>
      </c>
      <c r="J674" s="1991">
        <v>37366</v>
      </c>
      <c r="K674" s="1991">
        <v>3000</v>
      </c>
      <c r="L674" s="1991">
        <v>10375</v>
      </c>
      <c r="M674" s="1991">
        <v>3000</v>
      </c>
      <c r="N674" s="1990" t="s">
        <v>1052</v>
      </c>
      <c r="O674" s="1990" t="s">
        <v>8509</v>
      </c>
      <c r="P674" s="1990" t="s">
        <v>908</v>
      </c>
      <c r="Q674" s="1990" t="s">
        <v>1053</v>
      </c>
      <c r="R674" s="1990" t="s">
        <v>1054</v>
      </c>
    </row>
    <row r="675" spans="1:18">
      <c r="A675" s="1990" t="s">
        <v>1061</v>
      </c>
      <c r="B675" s="1990" t="s">
        <v>1342</v>
      </c>
      <c r="C675" s="1990" t="s">
        <v>1050</v>
      </c>
      <c r="D675" s="1990" t="s">
        <v>897</v>
      </c>
      <c r="E675" s="1990" t="s">
        <v>1054</v>
      </c>
      <c r="F675" s="1991">
        <v>37560</v>
      </c>
      <c r="G675" s="1991">
        <v>450716150</v>
      </c>
      <c r="H675" s="1991">
        <v>37421</v>
      </c>
      <c r="I675" s="1991">
        <v>38589</v>
      </c>
      <c r="J675" s="1991">
        <v>37418</v>
      </c>
      <c r="K675" s="1990">
        <v>12000</v>
      </c>
      <c r="L675" s="1990">
        <v>12875</v>
      </c>
      <c r="M675" s="1990">
        <v>12000</v>
      </c>
      <c r="N675" s="1990" t="s">
        <v>1052</v>
      </c>
      <c r="O675" s="1990" t="s">
        <v>8509</v>
      </c>
      <c r="P675" s="1990" t="s">
        <v>897</v>
      </c>
      <c r="Q675" s="1990" t="s">
        <v>1053</v>
      </c>
      <c r="R675" s="1990" t="s">
        <v>1054</v>
      </c>
    </row>
    <row r="676" spans="1:18" ht="30">
      <c r="A676" s="1990" t="s">
        <v>1055</v>
      </c>
      <c r="B676" s="1990" t="s">
        <v>8510</v>
      </c>
      <c r="C676" s="1990" t="s">
        <v>1050</v>
      </c>
      <c r="D676" s="1990" t="s">
        <v>937</v>
      </c>
      <c r="E676" s="1990" t="s">
        <v>1054</v>
      </c>
      <c r="F676" s="1991">
        <v>38988</v>
      </c>
      <c r="G676" s="1991">
        <v>11696375</v>
      </c>
      <c r="H676" s="1991">
        <v>38800</v>
      </c>
      <c r="I676" s="1991">
        <v>39599</v>
      </c>
      <c r="J676" s="1991">
        <v>34876</v>
      </c>
      <c r="K676" s="1991">
        <v>300</v>
      </c>
      <c r="L676" s="1991">
        <v>1700</v>
      </c>
      <c r="M676" s="1991">
        <v>300</v>
      </c>
      <c r="N676" s="1990" t="s">
        <v>1052</v>
      </c>
      <c r="O676" s="1990" t="s">
        <v>8509</v>
      </c>
      <c r="P676" s="1990" t="s">
        <v>937</v>
      </c>
      <c r="Q676" s="1990" t="s">
        <v>1090</v>
      </c>
      <c r="R676" s="1990" t="s">
        <v>1054</v>
      </c>
    </row>
    <row r="677" spans="1:18">
      <c r="A677" s="1990" t="s">
        <v>1057</v>
      </c>
      <c r="B677" s="1990" t="s">
        <v>1364</v>
      </c>
      <c r="C677" s="1990" t="s">
        <v>1050</v>
      </c>
      <c r="D677" s="1990" t="s">
        <v>896</v>
      </c>
      <c r="E677" s="1990" t="s">
        <v>1054</v>
      </c>
      <c r="F677" s="1991">
        <v>39006</v>
      </c>
      <c r="G677" s="1991">
        <v>136520275</v>
      </c>
      <c r="H677" s="1991">
        <v>38956</v>
      </c>
      <c r="I677" s="1991">
        <v>39616</v>
      </c>
      <c r="J677" s="1991">
        <v>38956</v>
      </c>
      <c r="K677" s="1991">
        <v>3500</v>
      </c>
      <c r="L677" s="1991">
        <v>11850</v>
      </c>
      <c r="M677" s="1991">
        <v>3500</v>
      </c>
      <c r="N677" s="1990" t="s">
        <v>1052</v>
      </c>
      <c r="O677" s="1990" t="s">
        <v>8509</v>
      </c>
      <c r="P677" s="1990" t="s">
        <v>896</v>
      </c>
      <c r="Q677" s="1990" t="s">
        <v>1075</v>
      </c>
      <c r="R677" s="1990" t="s">
        <v>1054</v>
      </c>
    </row>
    <row r="678" spans="1:18">
      <c r="A678" s="1990" t="s">
        <v>1057</v>
      </c>
      <c r="B678" s="1990" t="s">
        <v>1341</v>
      </c>
      <c r="C678" s="1990" t="s">
        <v>1050</v>
      </c>
      <c r="D678" s="1990" t="s">
        <v>904</v>
      </c>
      <c r="E678" s="1990" t="s">
        <v>1054</v>
      </c>
      <c r="F678" s="1991">
        <v>43335</v>
      </c>
      <c r="G678" s="1991">
        <v>346681650</v>
      </c>
      <c r="H678" s="1991">
        <v>43099</v>
      </c>
      <c r="I678" s="1991">
        <v>44119</v>
      </c>
      <c r="J678" s="1991">
        <v>41182</v>
      </c>
      <c r="K678" s="1991">
        <v>8000</v>
      </c>
      <c r="L678" s="1991">
        <v>9375</v>
      </c>
      <c r="M678" s="1991">
        <v>8000</v>
      </c>
      <c r="N678" s="1990" t="s">
        <v>1052</v>
      </c>
      <c r="O678" s="1990" t="s">
        <v>8509</v>
      </c>
      <c r="P678" s="1990" t="s">
        <v>904</v>
      </c>
      <c r="Q678" s="1990" t="s">
        <v>1053</v>
      </c>
      <c r="R678" s="1990" t="s">
        <v>1054</v>
      </c>
    </row>
    <row r="679" spans="1:18" ht="30">
      <c r="A679" s="1990" t="s">
        <v>1112</v>
      </c>
      <c r="B679" s="1990" t="s">
        <v>1353</v>
      </c>
      <c r="C679" s="1990" t="s">
        <v>1050</v>
      </c>
      <c r="D679" s="1990" t="s">
        <v>901</v>
      </c>
      <c r="E679" s="1990" t="s">
        <v>1054</v>
      </c>
      <c r="F679" s="1991">
        <v>29464</v>
      </c>
      <c r="G679" s="1991">
        <v>88392825</v>
      </c>
      <c r="H679" s="1991">
        <v>29229</v>
      </c>
      <c r="I679" s="1991">
        <v>29888</v>
      </c>
      <c r="J679" s="1991">
        <v>28733</v>
      </c>
      <c r="K679" s="1991">
        <v>3000</v>
      </c>
      <c r="L679" s="1991">
        <v>6150</v>
      </c>
      <c r="M679" s="1991">
        <v>3000</v>
      </c>
      <c r="N679" s="1990" t="s">
        <v>1052</v>
      </c>
      <c r="O679" s="1990" t="s">
        <v>8509</v>
      </c>
      <c r="P679" s="1990" t="s">
        <v>1198</v>
      </c>
      <c r="Q679" s="1990" t="s">
        <v>1053</v>
      </c>
      <c r="R679" s="1990" t="s">
        <v>1054</v>
      </c>
    </row>
    <row r="680" spans="1:18" ht="30">
      <c r="A680" s="1990" t="s">
        <v>1057</v>
      </c>
      <c r="B680" s="1990" t="s">
        <v>1419</v>
      </c>
      <c r="C680" s="1990" t="s">
        <v>1050</v>
      </c>
      <c r="D680" s="1990" t="s">
        <v>972</v>
      </c>
      <c r="E680" s="1990" t="s">
        <v>1054</v>
      </c>
      <c r="F680" s="1991">
        <v>38809</v>
      </c>
      <c r="G680" s="1991">
        <v>97021950</v>
      </c>
      <c r="H680" s="1991">
        <v>38579</v>
      </c>
      <c r="I680" s="1991">
        <v>39119</v>
      </c>
      <c r="J680" s="1991">
        <v>37446</v>
      </c>
      <c r="K680" s="1991">
        <v>2500</v>
      </c>
      <c r="L680" s="1991">
        <v>8600</v>
      </c>
      <c r="M680" s="1991">
        <v>2500</v>
      </c>
      <c r="N680" s="1990" t="s">
        <v>1052</v>
      </c>
      <c r="O680" s="1990" t="s">
        <v>8509</v>
      </c>
      <c r="P680" s="1990" t="s">
        <v>972</v>
      </c>
      <c r="Q680" s="1990" t="s">
        <v>1240</v>
      </c>
      <c r="R680" s="1990" t="s">
        <v>1054</v>
      </c>
    </row>
    <row r="681" spans="1:18">
      <c r="A681" s="1990" t="s">
        <v>1059</v>
      </c>
      <c r="B681" s="1990" t="s">
        <v>1349</v>
      </c>
      <c r="C681" s="1990" t="s">
        <v>1050</v>
      </c>
      <c r="D681" s="1990" t="s">
        <v>908</v>
      </c>
      <c r="E681" s="1990" t="s">
        <v>1054</v>
      </c>
      <c r="F681" s="1991">
        <v>27556</v>
      </c>
      <c r="G681" s="1991">
        <v>165333230</v>
      </c>
      <c r="H681" s="1991">
        <v>27512</v>
      </c>
      <c r="I681" s="1991">
        <v>27799</v>
      </c>
      <c r="J681" s="1991">
        <v>27497</v>
      </c>
      <c r="K681" s="1990">
        <v>6000</v>
      </c>
      <c r="L681" s="1990">
        <v>6270</v>
      </c>
      <c r="M681" s="1990">
        <v>6000</v>
      </c>
      <c r="N681" s="1990" t="s">
        <v>1052</v>
      </c>
      <c r="O681" s="1990" t="s">
        <v>8509</v>
      </c>
      <c r="P681" s="1990" t="s">
        <v>908</v>
      </c>
      <c r="Q681" s="1990" t="s">
        <v>1053</v>
      </c>
      <c r="R681" s="1990" t="s">
        <v>1054</v>
      </c>
    </row>
    <row r="682" spans="1:18">
      <c r="A682" s="1990" t="s">
        <v>1059</v>
      </c>
      <c r="B682" s="1990" t="s">
        <v>1322</v>
      </c>
      <c r="C682" s="1990" t="s">
        <v>1050</v>
      </c>
      <c r="D682" s="1990" t="s">
        <v>915</v>
      </c>
      <c r="E682" s="1990" t="s">
        <v>1054</v>
      </c>
      <c r="F682" s="1991">
        <v>30241</v>
      </c>
      <c r="G682" s="1991">
        <v>846980616</v>
      </c>
      <c r="H682" s="1991">
        <v>29999</v>
      </c>
      <c r="I682" s="1991">
        <v>30963</v>
      </c>
      <c r="J682" s="1991">
        <v>29663</v>
      </c>
      <c r="K682" s="1991">
        <v>28008</v>
      </c>
      <c r="L682" s="1991">
        <v>30432</v>
      </c>
      <c r="M682" s="1991">
        <v>28008</v>
      </c>
      <c r="N682" s="1990" t="s">
        <v>1052</v>
      </c>
      <c r="O682" s="1990" t="s">
        <v>8509</v>
      </c>
      <c r="P682" s="1990" t="s">
        <v>915</v>
      </c>
      <c r="Q682" s="1990" t="s">
        <v>1053</v>
      </c>
      <c r="R682" s="1990" t="s">
        <v>1054</v>
      </c>
    </row>
    <row r="683" spans="1:18" ht="30">
      <c r="A683" s="1990" t="s">
        <v>1336</v>
      </c>
      <c r="B683" s="1990" t="s">
        <v>1348</v>
      </c>
      <c r="C683" s="1990" t="s">
        <v>1050</v>
      </c>
      <c r="D683" s="1990" t="s">
        <v>939</v>
      </c>
      <c r="E683" s="1990" t="s">
        <v>1054</v>
      </c>
      <c r="F683" s="1991">
        <v>47641</v>
      </c>
      <c r="G683" s="1991">
        <v>28584650</v>
      </c>
      <c r="H683" s="1991">
        <v>47049</v>
      </c>
      <c r="I683" s="1991">
        <v>47999</v>
      </c>
      <c r="J683" s="1991">
        <v>39894</v>
      </c>
      <c r="K683" s="1991">
        <v>600</v>
      </c>
      <c r="L683" s="1991">
        <v>1175</v>
      </c>
      <c r="M683" s="1991">
        <v>600</v>
      </c>
      <c r="N683" s="1990" t="s">
        <v>1052</v>
      </c>
      <c r="O683" s="1990" t="s">
        <v>8509</v>
      </c>
      <c r="P683" s="1990" t="s">
        <v>939</v>
      </c>
      <c r="Q683" s="1990" t="s">
        <v>1053</v>
      </c>
      <c r="R683" s="1990" t="s">
        <v>1054</v>
      </c>
    </row>
    <row r="684" spans="1:18">
      <c r="A684" s="1990" t="s">
        <v>1112</v>
      </c>
      <c r="B684" s="1990" t="s">
        <v>1113</v>
      </c>
      <c r="C684" s="1990" t="s">
        <v>1050</v>
      </c>
      <c r="D684" s="1990" t="s">
        <v>920</v>
      </c>
      <c r="E684" s="1990" t="s">
        <v>1054</v>
      </c>
      <c r="F684" s="1991">
        <v>24700</v>
      </c>
      <c r="G684" s="1991">
        <v>74100250</v>
      </c>
      <c r="H684" s="1991">
        <v>24619</v>
      </c>
      <c r="I684" s="1991">
        <v>24859</v>
      </c>
      <c r="J684" s="1991">
        <v>24400</v>
      </c>
      <c r="K684" s="1991">
        <v>3000</v>
      </c>
      <c r="L684" s="1991">
        <v>3550</v>
      </c>
      <c r="M684" s="1991">
        <v>3000</v>
      </c>
      <c r="N684" s="1990" t="s">
        <v>1052</v>
      </c>
      <c r="O684" s="1990" t="s">
        <v>8509</v>
      </c>
      <c r="P684" s="1990" t="s">
        <v>920</v>
      </c>
      <c r="Q684" s="1990" t="s">
        <v>1114</v>
      </c>
      <c r="R684" s="1990" t="s">
        <v>1054</v>
      </c>
    </row>
    <row r="685" spans="1:18">
      <c r="A685" s="1990" t="s">
        <v>1059</v>
      </c>
      <c r="B685" s="1990" t="s">
        <v>1363</v>
      </c>
      <c r="C685" s="1990" t="s">
        <v>1050</v>
      </c>
      <c r="D685" s="1990" t="s">
        <v>896</v>
      </c>
      <c r="E685" s="1990" t="s">
        <v>1054</v>
      </c>
      <c r="F685" s="1991">
        <v>29301</v>
      </c>
      <c r="G685" s="1991">
        <v>108414450</v>
      </c>
      <c r="H685" s="1991">
        <v>29288</v>
      </c>
      <c r="I685" s="1991">
        <v>29399</v>
      </c>
      <c r="J685" s="1991">
        <v>29288</v>
      </c>
      <c r="K685" s="1990">
        <v>3700</v>
      </c>
      <c r="L685" s="1990">
        <v>4100</v>
      </c>
      <c r="M685" s="1990">
        <v>3700</v>
      </c>
      <c r="N685" s="1990" t="s">
        <v>1052</v>
      </c>
      <c r="O685" s="1990" t="s">
        <v>8509</v>
      </c>
      <c r="P685" s="1990" t="s">
        <v>896</v>
      </c>
      <c r="Q685" s="1990" t="s">
        <v>1075</v>
      </c>
      <c r="R685" s="1990" t="s">
        <v>1054</v>
      </c>
    </row>
    <row r="686" spans="1:18" ht="30">
      <c r="A686" s="1990" t="s">
        <v>1059</v>
      </c>
      <c r="B686" s="1990" t="s">
        <v>1464</v>
      </c>
      <c r="C686" s="1990" t="s">
        <v>1050</v>
      </c>
      <c r="D686" s="1990" t="s">
        <v>934</v>
      </c>
      <c r="E686" s="1990" t="s">
        <v>1054</v>
      </c>
      <c r="F686" s="1991">
        <v>28555</v>
      </c>
      <c r="G686" s="1991">
        <v>17132800</v>
      </c>
      <c r="H686" s="1991">
        <v>28537</v>
      </c>
      <c r="I686" s="1991">
        <v>28619</v>
      </c>
      <c r="J686" s="1991">
        <v>28537</v>
      </c>
      <c r="K686" s="1991">
        <v>600</v>
      </c>
      <c r="L686" s="1991">
        <v>900</v>
      </c>
      <c r="M686" s="1991">
        <v>600</v>
      </c>
      <c r="N686" s="1990" t="s">
        <v>1052</v>
      </c>
      <c r="O686" s="1990" t="s">
        <v>8509</v>
      </c>
      <c r="P686" s="1990" t="s">
        <v>934</v>
      </c>
      <c r="Q686" s="1990" t="s">
        <v>1292</v>
      </c>
      <c r="R686" s="1990" t="s">
        <v>1054</v>
      </c>
    </row>
    <row r="687" spans="1:18">
      <c r="A687" s="1990" t="s">
        <v>1336</v>
      </c>
      <c r="B687" s="1990" t="s">
        <v>1386</v>
      </c>
      <c r="C687" s="1990" t="s">
        <v>1050</v>
      </c>
      <c r="D687" s="1990" t="s">
        <v>949</v>
      </c>
      <c r="E687" s="1990" t="s">
        <v>1054</v>
      </c>
      <c r="F687" s="1991">
        <v>38741</v>
      </c>
      <c r="G687" s="1991">
        <v>9685175</v>
      </c>
      <c r="H687" s="1991">
        <v>38518</v>
      </c>
      <c r="I687" s="1991">
        <v>39199</v>
      </c>
      <c r="J687" s="1991">
        <v>38166</v>
      </c>
      <c r="K687" s="1990">
        <v>250</v>
      </c>
      <c r="L687" s="1990">
        <v>525</v>
      </c>
      <c r="M687" s="1990">
        <v>250</v>
      </c>
      <c r="N687" s="1990" t="s">
        <v>1052</v>
      </c>
      <c r="O687" s="1990" t="s">
        <v>8509</v>
      </c>
      <c r="P687" s="1990" t="s">
        <v>949</v>
      </c>
      <c r="Q687" s="1990" t="s">
        <v>1078</v>
      </c>
      <c r="R687" s="1990" t="s">
        <v>1054</v>
      </c>
    </row>
    <row r="688" spans="1:18">
      <c r="A688" s="1990" t="s">
        <v>1085</v>
      </c>
      <c r="B688" s="1990" t="s">
        <v>1324</v>
      </c>
      <c r="C688" s="1990" t="s">
        <v>1050</v>
      </c>
      <c r="D688" s="1990" t="s">
        <v>900</v>
      </c>
      <c r="E688" s="1990" t="s">
        <v>1054</v>
      </c>
      <c r="F688" s="1991">
        <v>32839</v>
      </c>
      <c r="G688" s="1991">
        <v>262713260</v>
      </c>
      <c r="H688" s="1991">
        <v>32699</v>
      </c>
      <c r="I688" s="1991">
        <v>33099</v>
      </c>
      <c r="J688" s="1991">
        <v>31849</v>
      </c>
      <c r="K688" s="1991">
        <v>8000</v>
      </c>
      <c r="L688" s="1991">
        <v>10740</v>
      </c>
      <c r="M688" s="1991">
        <v>8000</v>
      </c>
      <c r="N688" s="1990" t="s">
        <v>1052</v>
      </c>
      <c r="O688" s="1990" t="s">
        <v>8509</v>
      </c>
      <c r="P688" s="1990" t="s">
        <v>900</v>
      </c>
      <c r="Q688" s="1990" t="s">
        <v>1053</v>
      </c>
      <c r="R688" s="1990" t="s">
        <v>1054</v>
      </c>
    </row>
    <row r="689" spans="1:18" ht="30">
      <c r="A689" s="1990" t="s">
        <v>1076</v>
      </c>
      <c r="B689" s="1990" t="s">
        <v>1448</v>
      </c>
      <c r="C689" s="1990" t="s">
        <v>1050</v>
      </c>
      <c r="D689" s="1990" t="s">
        <v>942</v>
      </c>
      <c r="E689" s="1990" t="s">
        <v>1054</v>
      </c>
      <c r="F689" s="1991">
        <v>44529</v>
      </c>
      <c r="G689" s="1991">
        <v>84605260</v>
      </c>
      <c r="H689" s="1991">
        <v>44333</v>
      </c>
      <c r="I689" s="1991">
        <v>44699</v>
      </c>
      <c r="J689" s="1991">
        <v>43214</v>
      </c>
      <c r="K689" s="1990">
        <v>1900</v>
      </c>
      <c r="L689" s="1990">
        <v>5220</v>
      </c>
      <c r="M689" s="1990">
        <v>1900</v>
      </c>
      <c r="N689" s="1990" t="s">
        <v>1052</v>
      </c>
      <c r="O689" s="1990" t="s">
        <v>8509</v>
      </c>
      <c r="P689" s="1990" t="s">
        <v>1117</v>
      </c>
      <c r="Q689" s="1990" t="s">
        <v>1118</v>
      </c>
      <c r="R689" s="1990" t="s">
        <v>1054</v>
      </c>
    </row>
    <row r="690" spans="1:18">
      <c r="A690" s="1990" t="s">
        <v>1055</v>
      </c>
      <c r="B690" s="1990" t="s">
        <v>1373</v>
      </c>
      <c r="C690" s="1990" t="s">
        <v>1050</v>
      </c>
      <c r="D690" s="1990" t="s">
        <v>907</v>
      </c>
      <c r="E690" s="1990" t="s">
        <v>1054</v>
      </c>
      <c r="F690" s="1991">
        <v>38890</v>
      </c>
      <c r="G690" s="1991">
        <v>31111975</v>
      </c>
      <c r="H690" s="1991">
        <v>38250</v>
      </c>
      <c r="I690" s="1991">
        <v>39859</v>
      </c>
      <c r="J690" s="1991">
        <v>35529</v>
      </c>
      <c r="K690" s="1990">
        <v>800</v>
      </c>
      <c r="L690" s="1990">
        <v>2525</v>
      </c>
      <c r="M690" s="1990">
        <v>800</v>
      </c>
      <c r="N690" s="1990" t="s">
        <v>1052</v>
      </c>
      <c r="O690" s="1990" t="s">
        <v>8509</v>
      </c>
      <c r="P690" s="1990" t="s">
        <v>907</v>
      </c>
      <c r="Q690" s="1990" t="s">
        <v>1075</v>
      </c>
      <c r="R690" s="1990" t="s">
        <v>1054</v>
      </c>
    </row>
    <row r="691" spans="1:18" ht="30">
      <c r="A691" s="1990" t="s">
        <v>1059</v>
      </c>
      <c r="B691" s="1990" t="s">
        <v>1379</v>
      </c>
      <c r="C691" s="1990" t="s">
        <v>1050</v>
      </c>
      <c r="D691" s="1990" t="s">
        <v>948</v>
      </c>
      <c r="E691" s="1990" t="s">
        <v>1054</v>
      </c>
      <c r="F691" s="1991">
        <v>33128</v>
      </c>
      <c r="G691" s="1991">
        <v>182205520</v>
      </c>
      <c r="H691" s="1991">
        <v>32732</v>
      </c>
      <c r="I691" s="1991">
        <v>33999</v>
      </c>
      <c r="J691" s="1991">
        <v>30766</v>
      </c>
      <c r="K691" s="1991">
        <v>5500</v>
      </c>
      <c r="L691" s="1991">
        <v>8170</v>
      </c>
      <c r="M691" s="1991">
        <v>5500</v>
      </c>
      <c r="N691" s="1990" t="s">
        <v>1052</v>
      </c>
      <c r="O691" s="1990" t="s">
        <v>8509</v>
      </c>
      <c r="P691" s="1990" t="s">
        <v>948</v>
      </c>
      <c r="Q691" s="1990" t="s">
        <v>1209</v>
      </c>
      <c r="R691" s="1990" t="s">
        <v>1054</v>
      </c>
    </row>
    <row r="692" spans="1:18" ht="30">
      <c r="A692" s="1990" t="s">
        <v>1059</v>
      </c>
      <c r="B692" s="1990" t="s">
        <v>1420</v>
      </c>
      <c r="C692" s="1990" t="s">
        <v>1050</v>
      </c>
      <c r="D692" s="1990" t="s">
        <v>972</v>
      </c>
      <c r="E692" s="1990" t="s">
        <v>1054</v>
      </c>
      <c r="F692" s="1991">
        <v>31405</v>
      </c>
      <c r="G692" s="1991">
        <v>31405000</v>
      </c>
      <c r="H692" s="1991">
        <v>29389</v>
      </c>
      <c r="I692" s="1991">
        <v>33929</v>
      </c>
      <c r="J692" s="1991">
        <v>28206</v>
      </c>
      <c r="K692" s="1990">
        <v>1000</v>
      </c>
      <c r="L692" s="1990">
        <v>1700</v>
      </c>
      <c r="M692" s="1990">
        <v>1000</v>
      </c>
      <c r="N692" s="1990" t="s">
        <v>1052</v>
      </c>
      <c r="O692" s="1990" t="s">
        <v>8509</v>
      </c>
      <c r="P692" s="1990" t="s">
        <v>972</v>
      </c>
      <c r="Q692" s="1990" t="s">
        <v>1240</v>
      </c>
      <c r="R692" s="1990" t="s">
        <v>1054</v>
      </c>
    </row>
    <row r="693" spans="1:18" ht="30">
      <c r="A693" s="1990" t="s">
        <v>1057</v>
      </c>
      <c r="B693" s="1990" t="s">
        <v>1111</v>
      </c>
      <c r="C693" s="1990" t="s">
        <v>1050</v>
      </c>
      <c r="D693" s="1990" t="s">
        <v>914</v>
      </c>
      <c r="E693" s="1990" t="s">
        <v>1054</v>
      </c>
      <c r="F693" s="1991">
        <v>38477</v>
      </c>
      <c r="G693" s="1991">
        <v>103888100</v>
      </c>
      <c r="H693" s="1991">
        <v>38309</v>
      </c>
      <c r="I693" s="1991">
        <v>38799</v>
      </c>
      <c r="J693" s="1991">
        <v>38201</v>
      </c>
      <c r="K693" s="1990">
        <v>2700</v>
      </c>
      <c r="L693" s="1990">
        <v>3150</v>
      </c>
      <c r="M693" s="1990">
        <v>2700</v>
      </c>
      <c r="N693" s="1990" t="s">
        <v>1052</v>
      </c>
      <c r="O693" s="1990" t="s">
        <v>8509</v>
      </c>
      <c r="P693" s="1990" t="s">
        <v>1110</v>
      </c>
      <c r="Q693" s="1990" t="s">
        <v>1053</v>
      </c>
      <c r="R693" s="1990" t="s">
        <v>1054</v>
      </c>
    </row>
    <row r="694" spans="1:18">
      <c r="A694" s="1990" t="s">
        <v>1057</v>
      </c>
      <c r="B694" s="1990" t="s">
        <v>1417</v>
      </c>
      <c r="C694" s="1990" t="s">
        <v>1050</v>
      </c>
      <c r="D694" s="1990" t="s">
        <v>959</v>
      </c>
      <c r="E694" s="1990" t="s">
        <v>1054</v>
      </c>
      <c r="F694" s="1991">
        <v>37438</v>
      </c>
      <c r="G694" s="1991">
        <v>93593850</v>
      </c>
      <c r="H694" s="1991">
        <v>37367</v>
      </c>
      <c r="I694" s="1991">
        <v>37659</v>
      </c>
      <c r="J694" s="1991">
        <v>37366</v>
      </c>
      <c r="K694" s="1990">
        <v>2500</v>
      </c>
      <c r="L694" s="1990">
        <v>3400</v>
      </c>
      <c r="M694" s="1990">
        <v>2500</v>
      </c>
      <c r="N694" s="1990" t="s">
        <v>1052</v>
      </c>
      <c r="O694" s="1990" t="s">
        <v>8509</v>
      </c>
      <c r="P694" s="1990" t="s">
        <v>959</v>
      </c>
      <c r="Q694" s="1990" t="s">
        <v>1083</v>
      </c>
      <c r="R694" s="1990" t="s">
        <v>1054</v>
      </c>
    </row>
    <row r="695" spans="1:18" ht="30">
      <c r="A695" s="1990" t="s">
        <v>1358</v>
      </c>
      <c r="B695" s="1990" t="s">
        <v>1359</v>
      </c>
      <c r="C695" s="1990" t="s">
        <v>1050</v>
      </c>
      <c r="D695" s="1990" t="s">
        <v>901</v>
      </c>
      <c r="E695" s="1990" t="s">
        <v>1054</v>
      </c>
      <c r="F695" s="1991">
        <v>54549</v>
      </c>
      <c r="G695" s="1991">
        <v>5454900</v>
      </c>
      <c r="H695" s="1991">
        <v>54059</v>
      </c>
      <c r="I695" s="1991">
        <v>55133</v>
      </c>
      <c r="J695" s="1991">
        <v>47042</v>
      </c>
      <c r="K695" s="1990">
        <v>100</v>
      </c>
      <c r="L695" s="1990">
        <v>290</v>
      </c>
      <c r="M695" s="1990">
        <v>100</v>
      </c>
      <c r="N695" s="1990" t="s">
        <v>1052</v>
      </c>
      <c r="O695" s="1990" t="s">
        <v>8509</v>
      </c>
      <c r="P695" s="1990" t="s">
        <v>1198</v>
      </c>
      <c r="Q695" s="1990" t="s">
        <v>1053</v>
      </c>
      <c r="R695" s="1990" t="s">
        <v>1054</v>
      </c>
    </row>
    <row r="696" spans="1:18" ht="30">
      <c r="A696" s="1990" t="s">
        <v>1085</v>
      </c>
      <c r="B696" s="1990" t="s">
        <v>1381</v>
      </c>
      <c r="C696" s="1990" t="s">
        <v>1050</v>
      </c>
      <c r="D696" s="1990" t="s">
        <v>948</v>
      </c>
      <c r="E696" s="1990" t="s">
        <v>1054</v>
      </c>
      <c r="F696" s="1991">
        <v>34177</v>
      </c>
      <c r="G696" s="1991">
        <v>170885950</v>
      </c>
      <c r="H696" s="1991">
        <v>33899</v>
      </c>
      <c r="I696" s="1991">
        <v>34559</v>
      </c>
      <c r="J696" s="1991">
        <v>30216</v>
      </c>
      <c r="K696" s="1991">
        <v>5000</v>
      </c>
      <c r="L696" s="1991">
        <v>8910</v>
      </c>
      <c r="M696" s="1991">
        <v>5000</v>
      </c>
      <c r="N696" s="1990" t="s">
        <v>1052</v>
      </c>
      <c r="O696" s="1990" t="s">
        <v>8509</v>
      </c>
      <c r="P696" s="1990" t="s">
        <v>948</v>
      </c>
      <c r="Q696" s="1990" t="s">
        <v>1209</v>
      </c>
      <c r="R696" s="1990" t="s">
        <v>1054</v>
      </c>
    </row>
    <row r="697" spans="1:18" ht="30">
      <c r="A697" s="1990" t="s">
        <v>1076</v>
      </c>
      <c r="B697" s="1990" t="s">
        <v>1102</v>
      </c>
      <c r="C697" s="1990" t="s">
        <v>1050</v>
      </c>
      <c r="D697" s="1990" t="s">
        <v>935</v>
      </c>
      <c r="E697" s="1990" t="s">
        <v>1054</v>
      </c>
      <c r="F697" s="1991">
        <v>39306</v>
      </c>
      <c r="G697" s="1991">
        <v>27514500</v>
      </c>
      <c r="H697" s="1991">
        <v>39189</v>
      </c>
      <c r="I697" s="1991">
        <v>39569</v>
      </c>
      <c r="J697" s="1991">
        <v>38737</v>
      </c>
      <c r="K697" s="1990">
        <v>700</v>
      </c>
      <c r="L697" s="1990">
        <v>1000</v>
      </c>
      <c r="M697" s="1990">
        <v>700</v>
      </c>
      <c r="N697" s="1990" t="s">
        <v>1052</v>
      </c>
      <c r="O697" s="1990" t="s">
        <v>8509</v>
      </c>
      <c r="P697" s="1990" t="s">
        <v>935</v>
      </c>
      <c r="Q697" s="1990" t="s">
        <v>1087</v>
      </c>
      <c r="R697" s="1990" t="s">
        <v>1054</v>
      </c>
    </row>
    <row r="698" spans="1:18" ht="45">
      <c r="A698" s="1990" t="s">
        <v>1134</v>
      </c>
      <c r="B698" s="1990" t="s">
        <v>1135</v>
      </c>
      <c r="C698" s="1990" t="s">
        <v>1050</v>
      </c>
      <c r="D698" s="1990" t="s">
        <v>936</v>
      </c>
      <c r="E698" s="1990" t="s">
        <v>1054</v>
      </c>
      <c r="F698" s="1991">
        <v>39597</v>
      </c>
      <c r="G698" s="1991">
        <v>75235050</v>
      </c>
      <c r="H698" s="1991">
        <v>39575</v>
      </c>
      <c r="I698" s="1991">
        <v>39899</v>
      </c>
      <c r="J698" s="1991">
        <v>39574</v>
      </c>
      <c r="K698" s="1991">
        <v>1900</v>
      </c>
      <c r="L698" s="1991">
        <v>2700</v>
      </c>
      <c r="M698" s="1991">
        <v>1900</v>
      </c>
      <c r="N698" s="1990" t="s">
        <v>1052</v>
      </c>
      <c r="O698" s="1990" t="s">
        <v>8509</v>
      </c>
      <c r="P698" s="1990" t="s">
        <v>1136</v>
      </c>
      <c r="Q698" s="1990" t="s">
        <v>8292</v>
      </c>
      <c r="R698" s="1990" t="s">
        <v>1054</v>
      </c>
    </row>
    <row r="699" spans="1:18">
      <c r="A699" s="1990" t="s">
        <v>1057</v>
      </c>
      <c r="B699" s="1990" t="s">
        <v>1425</v>
      </c>
      <c r="C699" s="1990" t="s">
        <v>1050</v>
      </c>
      <c r="D699" s="1990" t="s">
        <v>918</v>
      </c>
      <c r="E699" s="1990" t="s">
        <v>1054</v>
      </c>
      <c r="F699" s="1991">
        <v>43414</v>
      </c>
      <c r="G699" s="1991">
        <v>43414125</v>
      </c>
      <c r="H699" s="1991">
        <v>43159</v>
      </c>
      <c r="I699" s="1991">
        <v>44009</v>
      </c>
      <c r="J699" s="1991">
        <v>40141</v>
      </c>
      <c r="K699" s="1991">
        <v>1000</v>
      </c>
      <c r="L699" s="1991">
        <v>2300</v>
      </c>
      <c r="M699" s="1991">
        <v>1000</v>
      </c>
      <c r="N699" s="1990" t="s">
        <v>1052</v>
      </c>
      <c r="O699" s="1990" t="s">
        <v>8509</v>
      </c>
      <c r="P699" s="1990" t="s">
        <v>918</v>
      </c>
      <c r="Q699" s="1990" t="s">
        <v>1114</v>
      </c>
      <c r="R699" s="1990" t="s">
        <v>1054</v>
      </c>
    </row>
    <row r="700" spans="1:18">
      <c r="A700" s="1990" t="s">
        <v>1061</v>
      </c>
      <c r="B700" s="1990" t="s">
        <v>1129</v>
      </c>
      <c r="C700" s="1990" t="s">
        <v>1050</v>
      </c>
      <c r="D700" s="1990" t="s">
        <v>960</v>
      </c>
      <c r="E700" s="1990" t="s">
        <v>1054</v>
      </c>
      <c r="F700" s="1991">
        <v>35622</v>
      </c>
      <c r="G700" s="1991">
        <v>270726900</v>
      </c>
      <c r="H700" s="1991">
        <v>35589</v>
      </c>
      <c r="I700" s="1991">
        <v>35799</v>
      </c>
      <c r="J700" s="1991">
        <v>35589</v>
      </c>
      <c r="K700" s="1991">
        <v>7600</v>
      </c>
      <c r="L700" s="1991">
        <v>7900</v>
      </c>
      <c r="M700" s="1991">
        <v>7600</v>
      </c>
      <c r="N700" s="1990" t="s">
        <v>1052</v>
      </c>
      <c r="O700" s="1990" t="s">
        <v>8509</v>
      </c>
      <c r="P700" s="1990" t="s">
        <v>960</v>
      </c>
      <c r="Q700" s="1990" t="s">
        <v>1130</v>
      </c>
      <c r="R700" s="1990" t="s">
        <v>1054</v>
      </c>
    </row>
    <row r="701" spans="1:18">
      <c r="A701" s="1990" t="s">
        <v>1076</v>
      </c>
      <c r="B701" s="1990" t="s">
        <v>1327</v>
      </c>
      <c r="C701" s="1990" t="s">
        <v>1050</v>
      </c>
      <c r="D701" s="1990" t="s">
        <v>912</v>
      </c>
      <c r="E701" s="1990" t="s">
        <v>1054</v>
      </c>
      <c r="F701" s="1991">
        <v>40443</v>
      </c>
      <c r="G701" s="1991">
        <v>60664975</v>
      </c>
      <c r="H701" s="1991">
        <v>40229</v>
      </c>
      <c r="I701" s="1991">
        <v>41099</v>
      </c>
      <c r="J701" s="1991">
        <v>37358</v>
      </c>
      <c r="K701" s="1990">
        <v>1500</v>
      </c>
      <c r="L701" s="1990">
        <v>2625</v>
      </c>
      <c r="M701" s="1990">
        <v>1500</v>
      </c>
      <c r="N701" s="1990" t="s">
        <v>1052</v>
      </c>
      <c r="O701" s="1990" t="s">
        <v>8509</v>
      </c>
      <c r="P701" s="1990" t="s">
        <v>912</v>
      </c>
      <c r="Q701" s="1990" t="s">
        <v>1053</v>
      </c>
      <c r="R701" s="1990" t="s">
        <v>1054</v>
      </c>
    </row>
    <row r="702" spans="1:18">
      <c r="A702" s="1990" t="s">
        <v>1415</v>
      </c>
      <c r="B702" s="1990" t="s">
        <v>1416</v>
      </c>
      <c r="C702" s="1990" t="s">
        <v>1050</v>
      </c>
      <c r="D702" s="1990" t="s">
        <v>920</v>
      </c>
      <c r="E702" s="1990" t="s">
        <v>1054</v>
      </c>
      <c r="F702" s="1991">
        <v>35678</v>
      </c>
      <c r="G702" s="1991">
        <v>35678250</v>
      </c>
      <c r="H702" s="1991">
        <v>35676</v>
      </c>
      <c r="I702" s="1991">
        <v>35700</v>
      </c>
      <c r="J702" s="1991">
        <v>35676</v>
      </c>
      <c r="K702" s="1990">
        <v>1000</v>
      </c>
      <c r="L702" s="1990">
        <v>1025</v>
      </c>
      <c r="M702" s="1990">
        <v>1000</v>
      </c>
      <c r="N702" s="1990" t="s">
        <v>1052</v>
      </c>
      <c r="O702" s="1990" t="s">
        <v>8509</v>
      </c>
      <c r="P702" s="1990" t="s">
        <v>920</v>
      </c>
      <c r="Q702" s="1990" t="s">
        <v>1114</v>
      </c>
      <c r="R702" s="1990" t="s">
        <v>1054</v>
      </c>
    </row>
    <row r="703" spans="1:18">
      <c r="A703" s="1990" t="s">
        <v>1059</v>
      </c>
      <c r="B703" s="1990" t="s">
        <v>1384</v>
      </c>
      <c r="C703" s="1990" t="s">
        <v>1050</v>
      </c>
      <c r="D703" s="1990" t="s">
        <v>949</v>
      </c>
      <c r="E703" s="1990" t="s">
        <v>1054</v>
      </c>
      <c r="F703" s="1991">
        <v>28979</v>
      </c>
      <c r="G703" s="1991">
        <v>231831400</v>
      </c>
      <c r="H703" s="1991">
        <v>28841</v>
      </c>
      <c r="I703" s="1991">
        <v>29509</v>
      </c>
      <c r="J703" s="1991">
        <v>28491</v>
      </c>
      <c r="K703" s="1991">
        <v>8000</v>
      </c>
      <c r="L703" s="1991">
        <v>8625</v>
      </c>
      <c r="M703" s="1991">
        <v>8000</v>
      </c>
      <c r="N703" s="1990" t="s">
        <v>1052</v>
      </c>
      <c r="O703" s="1990" t="s">
        <v>8509</v>
      </c>
      <c r="P703" s="1990" t="s">
        <v>949</v>
      </c>
      <c r="Q703" s="1990" t="s">
        <v>1078</v>
      </c>
      <c r="R703" s="1990" t="s">
        <v>1054</v>
      </c>
    </row>
    <row r="704" spans="1:18">
      <c r="A704" s="1990" t="s">
        <v>1068</v>
      </c>
      <c r="B704" s="1990" t="s">
        <v>1331</v>
      </c>
      <c r="C704" s="1990" t="s">
        <v>1050</v>
      </c>
      <c r="D704" s="1990" t="s">
        <v>898</v>
      </c>
      <c r="E704" s="1990" t="s">
        <v>1054</v>
      </c>
      <c r="F704" s="1991">
        <v>33452</v>
      </c>
      <c r="G704" s="1991">
        <v>50178700</v>
      </c>
      <c r="H704" s="1991">
        <v>33129</v>
      </c>
      <c r="I704" s="1991">
        <v>34599</v>
      </c>
      <c r="J704" s="1991">
        <v>31796</v>
      </c>
      <c r="K704" s="1990">
        <v>1500</v>
      </c>
      <c r="L704" s="1990">
        <v>1750</v>
      </c>
      <c r="M704" s="1990">
        <v>1500</v>
      </c>
      <c r="N704" s="1990" t="s">
        <v>1052</v>
      </c>
      <c r="O704" s="1990" t="s">
        <v>8509</v>
      </c>
      <c r="P704" s="1990" t="s">
        <v>898</v>
      </c>
      <c r="Q704" s="1990" t="s">
        <v>1053</v>
      </c>
      <c r="R704" s="1990" t="s">
        <v>1054</v>
      </c>
    </row>
    <row r="705" spans="1:18">
      <c r="A705" s="1990" t="s">
        <v>1057</v>
      </c>
      <c r="B705" s="1990" t="s">
        <v>1108</v>
      </c>
      <c r="C705" s="1990" t="s">
        <v>1050</v>
      </c>
      <c r="D705" s="1990" t="s">
        <v>902</v>
      </c>
      <c r="E705" s="1990" t="s">
        <v>1054</v>
      </c>
      <c r="F705" s="1991">
        <v>39627</v>
      </c>
      <c r="G705" s="1991">
        <v>475526925</v>
      </c>
      <c r="H705" s="1991">
        <v>39449</v>
      </c>
      <c r="I705" s="1991">
        <v>40999</v>
      </c>
      <c r="J705" s="1991">
        <v>38956</v>
      </c>
      <c r="K705" s="1991">
        <v>12000</v>
      </c>
      <c r="L705" s="1991">
        <v>17025</v>
      </c>
      <c r="M705" s="1991">
        <v>12000</v>
      </c>
      <c r="N705" s="1990" t="s">
        <v>1052</v>
      </c>
      <c r="O705" s="1990" t="s">
        <v>8509</v>
      </c>
      <c r="P705" s="1990" t="s">
        <v>902</v>
      </c>
      <c r="Q705" s="1990" t="s">
        <v>1053</v>
      </c>
      <c r="R705" s="1990" t="s">
        <v>1054</v>
      </c>
    </row>
    <row r="706" spans="1:18">
      <c r="A706" s="1990" t="s">
        <v>1336</v>
      </c>
      <c r="B706" s="1990" t="s">
        <v>1337</v>
      </c>
      <c r="C706" s="1990" t="s">
        <v>1050</v>
      </c>
      <c r="D706" s="1990" t="s">
        <v>909</v>
      </c>
      <c r="E706" s="1990" t="s">
        <v>1054</v>
      </c>
      <c r="F706" s="1991">
        <v>47930</v>
      </c>
      <c r="G706" s="1991">
        <v>23965100</v>
      </c>
      <c r="H706" s="1991">
        <v>47099</v>
      </c>
      <c r="I706" s="1991">
        <v>49999</v>
      </c>
      <c r="J706" s="1991">
        <v>38531</v>
      </c>
      <c r="K706" s="1991">
        <v>500</v>
      </c>
      <c r="L706" s="1991">
        <v>1530</v>
      </c>
      <c r="M706" s="1991">
        <v>500</v>
      </c>
      <c r="N706" s="1990" t="s">
        <v>1052</v>
      </c>
      <c r="O706" s="1990" t="s">
        <v>8509</v>
      </c>
      <c r="P706" s="1990" t="s">
        <v>909</v>
      </c>
      <c r="Q706" s="1990" t="s">
        <v>1053</v>
      </c>
      <c r="R706" s="1990" t="s">
        <v>1054</v>
      </c>
    </row>
    <row r="707" spans="1:18">
      <c r="A707" s="1990" t="s">
        <v>1059</v>
      </c>
      <c r="B707" s="1990" t="s">
        <v>1340</v>
      </c>
      <c r="C707" s="1990" t="s">
        <v>1050</v>
      </c>
      <c r="D707" s="1990" t="s">
        <v>904</v>
      </c>
      <c r="E707" s="1990" t="s">
        <v>1054</v>
      </c>
      <c r="F707" s="1991">
        <v>28346</v>
      </c>
      <c r="G707" s="1991">
        <v>680311950</v>
      </c>
      <c r="H707" s="1991">
        <v>28301</v>
      </c>
      <c r="I707" s="1991">
        <v>28699</v>
      </c>
      <c r="J707" s="1991">
        <v>28301</v>
      </c>
      <c r="K707" s="1991">
        <v>24000</v>
      </c>
      <c r="L707" s="1991">
        <v>25875</v>
      </c>
      <c r="M707" s="1991">
        <v>24000</v>
      </c>
      <c r="N707" s="1990" t="s">
        <v>1052</v>
      </c>
      <c r="O707" s="1990" t="s">
        <v>8509</v>
      </c>
      <c r="P707" s="1990" t="s">
        <v>904</v>
      </c>
      <c r="Q707" s="1990" t="s">
        <v>1053</v>
      </c>
      <c r="R707" s="1990" t="s">
        <v>1054</v>
      </c>
    </row>
    <row r="708" spans="1:18" ht="30">
      <c r="A708" s="1990" t="s">
        <v>1057</v>
      </c>
      <c r="B708" s="1990" t="s">
        <v>1101</v>
      </c>
      <c r="C708" s="1990" t="s">
        <v>1050</v>
      </c>
      <c r="D708" s="1990" t="s">
        <v>954</v>
      </c>
      <c r="E708" s="1990" t="s">
        <v>1054</v>
      </c>
      <c r="F708" s="1991">
        <v>37378</v>
      </c>
      <c r="G708" s="1991">
        <v>261642775</v>
      </c>
      <c r="H708" s="1991">
        <v>37367</v>
      </c>
      <c r="I708" s="1991">
        <v>37499</v>
      </c>
      <c r="J708" s="1991">
        <v>37366</v>
      </c>
      <c r="K708" s="1990">
        <v>7000</v>
      </c>
      <c r="L708" s="1990">
        <v>7075</v>
      </c>
      <c r="M708" s="1990">
        <v>7000</v>
      </c>
      <c r="N708" s="1990" t="s">
        <v>1052</v>
      </c>
      <c r="O708" s="1990" t="s">
        <v>8509</v>
      </c>
      <c r="P708" s="1990" t="s">
        <v>954</v>
      </c>
      <c r="Q708" s="1990" t="s">
        <v>1090</v>
      </c>
      <c r="R708" s="1990" t="s">
        <v>1054</v>
      </c>
    </row>
    <row r="709" spans="1:18">
      <c r="A709" s="1990" t="s">
        <v>1059</v>
      </c>
      <c r="B709" s="1990" t="s">
        <v>1433</v>
      </c>
      <c r="C709" s="1990" t="s">
        <v>1050</v>
      </c>
      <c r="D709" s="1990" t="s">
        <v>903</v>
      </c>
      <c r="E709" s="1990" t="s">
        <v>1054</v>
      </c>
      <c r="F709" s="1991">
        <v>41135</v>
      </c>
      <c r="G709" s="1991">
        <v>244750725</v>
      </c>
      <c r="H709" s="1991">
        <v>40679</v>
      </c>
      <c r="I709" s="1991">
        <v>41869</v>
      </c>
      <c r="J709" s="1991">
        <v>31963</v>
      </c>
      <c r="K709" s="1990">
        <v>5950</v>
      </c>
      <c r="L709" s="1990">
        <v>12875</v>
      </c>
      <c r="M709" s="1990">
        <v>5950</v>
      </c>
      <c r="N709" s="1990" t="s">
        <v>1052</v>
      </c>
      <c r="O709" s="1990" t="s">
        <v>8509</v>
      </c>
      <c r="P709" s="1990" t="s">
        <v>903</v>
      </c>
      <c r="Q709" s="1990" t="s">
        <v>1218</v>
      </c>
      <c r="R709" s="1990" t="s">
        <v>1054</v>
      </c>
    </row>
    <row r="710" spans="1:18" ht="30">
      <c r="A710" s="1990" t="s">
        <v>1061</v>
      </c>
      <c r="B710" s="1990" t="s">
        <v>1097</v>
      </c>
      <c r="C710" s="1990" t="s">
        <v>1050</v>
      </c>
      <c r="D710" s="1990" t="s">
        <v>957</v>
      </c>
      <c r="E710" s="1990" t="s">
        <v>1054</v>
      </c>
      <c r="F710" s="1991">
        <v>37310</v>
      </c>
      <c r="G710" s="1991">
        <v>167896975</v>
      </c>
      <c r="H710" s="1991">
        <v>37150</v>
      </c>
      <c r="I710" s="1991">
        <v>37599</v>
      </c>
      <c r="J710" s="1991">
        <v>36331</v>
      </c>
      <c r="K710" s="1990">
        <v>4500</v>
      </c>
      <c r="L710" s="1991">
        <v>5975</v>
      </c>
      <c r="M710" s="1990">
        <v>4500</v>
      </c>
      <c r="N710" s="1990" t="s">
        <v>1052</v>
      </c>
      <c r="O710" s="1990" t="s">
        <v>8509</v>
      </c>
      <c r="P710" s="1990" t="s">
        <v>957</v>
      </c>
      <c r="Q710" s="1990" t="s">
        <v>1090</v>
      </c>
      <c r="R710" s="1990" t="s">
        <v>1054</v>
      </c>
    </row>
    <row r="711" spans="1:18" ht="30">
      <c r="A711" s="1990" t="s">
        <v>1055</v>
      </c>
      <c r="B711" s="1990" t="s">
        <v>1271</v>
      </c>
      <c r="C711" s="1990" t="s">
        <v>1050</v>
      </c>
      <c r="D711" s="1990" t="s">
        <v>922</v>
      </c>
      <c r="E711" s="1990" t="s">
        <v>1054</v>
      </c>
      <c r="F711" s="1991">
        <v>36472</v>
      </c>
      <c r="G711" s="1991">
        <v>109415425</v>
      </c>
      <c r="H711" s="1991">
        <v>36279</v>
      </c>
      <c r="I711" s="1991">
        <v>37009</v>
      </c>
      <c r="J711" s="1991">
        <v>34876</v>
      </c>
      <c r="K711" s="1991">
        <v>3000</v>
      </c>
      <c r="L711" s="1991">
        <v>4000</v>
      </c>
      <c r="M711" s="1991">
        <v>3000</v>
      </c>
      <c r="N711" s="1990" t="s">
        <v>1052</v>
      </c>
      <c r="O711" s="1990" t="s">
        <v>8509</v>
      </c>
      <c r="P711" s="1990" t="s">
        <v>922</v>
      </c>
      <c r="Q711" s="1990" t="s">
        <v>1087</v>
      </c>
      <c r="R711" s="1990" t="s">
        <v>1054</v>
      </c>
    </row>
    <row r="712" spans="1:18">
      <c r="A712" s="1990" t="s">
        <v>1057</v>
      </c>
      <c r="B712" s="1990" t="s">
        <v>1456</v>
      </c>
      <c r="C712" s="1990" t="s">
        <v>1050</v>
      </c>
      <c r="D712" s="1990" t="s">
        <v>48</v>
      </c>
      <c r="E712" s="1990" t="s">
        <v>1054</v>
      </c>
      <c r="F712" s="1991">
        <v>38472</v>
      </c>
      <c r="G712" s="1991">
        <v>230834900</v>
      </c>
      <c r="H712" s="1991">
        <v>38010</v>
      </c>
      <c r="I712" s="1991">
        <v>39215</v>
      </c>
      <c r="J712" s="1991">
        <v>37996</v>
      </c>
      <c r="K712" s="1991">
        <v>6000</v>
      </c>
      <c r="L712" s="1991">
        <v>12050</v>
      </c>
      <c r="M712" s="1991">
        <v>6000</v>
      </c>
      <c r="N712" s="1990" t="s">
        <v>1052</v>
      </c>
      <c r="O712" s="1990" t="s">
        <v>8509</v>
      </c>
      <c r="P712" s="1990" t="s">
        <v>48</v>
      </c>
      <c r="Q712" s="1990" t="s">
        <v>1083</v>
      </c>
      <c r="R712" s="1990" t="s">
        <v>1054</v>
      </c>
    </row>
    <row r="713" spans="1:18" ht="30">
      <c r="A713" s="1990" t="s">
        <v>1057</v>
      </c>
      <c r="B713" s="1990" t="s">
        <v>1463</v>
      </c>
      <c r="C713" s="1990" t="s">
        <v>1050</v>
      </c>
      <c r="D713" s="1990" t="s">
        <v>934</v>
      </c>
      <c r="E713" s="1990" t="s">
        <v>1054</v>
      </c>
      <c r="F713" s="1991">
        <v>40154</v>
      </c>
      <c r="G713" s="1991">
        <v>40154150</v>
      </c>
      <c r="H713" s="1991">
        <v>40115</v>
      </c>
      <c r="I713" s="1991">
        <v>40269</v>
      </c>
      <c r="J713" s="1991">
        <v>40115</v>
      </c>
      <c r="K713" s="1991">
        <v>1000</v>
      </c>
      <c r="L713" s="1991">
        <v>1525</v>
      </c>
      <c r="M713" s="1991">
        <v>1000</v>
      </c>
      <c r="N713" s="1990" t="s">
        <v>1052</v>
      </c>
      <c r="O713" s="1990" t="s">
        <v>8509</v>
      </c>
      <c r="P713" s="1990" t="s">
        <v>934</v>
      </c>
      <c r="Q713" s="1990" t="s">
        <v>1292</v>
      </c>
      <c r="R713" s="1990" t="s">
        <v>1054</v>
      </c>
    </row>
    <row r="714" spans="1:18">
      <c r="A714" s="1990" t="s">
        <v>1068</v>
      </c>
      <c r="B714" s="1990" t="s">
        <v>1365</v>
      </c>
      <c r="C714" s="1990" t="s">
        <v>1050</v>
      </c>
      <c r="D714" s="1990" t="s">
        <v>916</v>
      </c>
      <c r="E714" s="1990" t="s">
        <v>1054</v>
      </c>
      <c r="F714" s="1991">
        <v>34464</v>
      </c>
      <c r="G714" s="1991">
        <v>516966600</v>
      </c>
      <c r="H714" s="1991">
        <v>34100</v>
      </c>
      <c r="I714" s="1991">
        <v>34899</v>
      </c>
      <c r="J714" s="1991">
        <v>29881</v>
      </c>
      <c r="K714" s="1990">
        <v>15000</v>
      </c>
      <c r="L714" s="1990">
        <v>19150</v>
      </c>
      <c r="M714" s="1990">
        <v>15000</v>
      </c>
      <c r="N714" s="1990" t="s">
        <v>1052</v>
      </c>
      <c r="O714" s="1990" t="s">
        <v>8509</v>
      </c>
      <c r="P714" s="1990" t="s">
        <v>916</v>
      </c>
      <c r="Q714" s="1990" t="s">
        <v>1075</v>
      </c>
      <c r="R714" s="1990" t="s">
        <v>1054</v>
      </c>
    </row>
    <row r="715" spans="1:18" ht="30">
      <c r="A715" s="1990" t="s">
        <v>1059</v>
      </c>
      <c r="B715" s="1990" t="s">
        <v>1367</v>
      </c>
      <c r="C715" s="1990" t="s">
        <v>1050</v>
      </c>
      <c r="D715" s="1990" t="s">
        <v>940</v>
      </c>
      <c r="E715" s="1990" t="s">
        <v>1054</v>
      </c>
      <c r="F715" s="1991">
        <v>29697</v>
      </c>
      <c r="G715" s="1991">
        <v>356365225</v>
      </c>
      <c r="H715" s="1991">
        <v>29500</v>
      </c>
      <c r="I715" s="1991">
        <v>30299</v>
      </c>
      <c r="J715" s="1991">
        <v>28089</v>
      </c>
      <c r="K715" s="1991">
        <v>12000</v>
      </c>
      <c r="L715" s="1991">
        <v>13750</v>
      </c>
      <c r="M715" s="1991">
        <v>12000</v>
      </c>
      <c r="N715" s="1990" t="s">
        <v>1052</v>
      </c>
      <c r="O715" s="1990" t="s">
        <v>8509</v>
      </c>
      <c r="P715" s="1990" t="s">
        <v>1244</v>
      </c>
      <c r="Q715" s="1990" t="s">
        <v>1075</v>
      </c>
      <c r="R715" s="1990" t="s">
        <v>1054</v>
      </c>
    </row>
    <row r="716" spans="1:18" ht="30">
      <c r="A716" s="1990" t="s">
        <v>1076</v>
      </c>
      <c r="B716" s="1990" t="s">
        <v>1380</v>
      </c>
      <c r="C716" s="1990" t="s">
        <v>1050</v>
      </c>
      <c r="D716" s="1990" t="s">
        <v>948</v>
      </c>
      <c r="E716" s="1990" t="s">
        <v>1054</v>
      </c>
      <c r="F716" s="1991">
        <v>48547</v>
      </c>
      <c r="G716" s="1991">
        <v>82529640</v>
      </c>
      <c r="H716" s="1991">
        <v>48059</v>
      </c>
      <c r="I716" s="1991">
        <v>49000</v>
      </c>
      <c r="J716" s="1991">
        <v>46584</v>
      </c>
      <c r="K716" s="1990">
        <v>1700</v>
      </c>
      <c r="L716" s="1990">
        <v>2930</v>
      </c>
      <c r="M716" s="1990">
        <v>1700</v>
      </c>
      <c r="N716" s="1990" t="s">
        <v>1052</v>
      </c>
      <c r="O716" s="1990" t="s">
        <v>8509</v>
      </c>
      <c r="P716" s="1990" t="s">
        <v>948</v>
      </c>
      <c r="Q716" s="1990" t="s">
        <v>1209</v>
      </c>
      <c r="R716" s="1990" t="s">
        <v>1054</v>
      </c>
    </row>
    <row r="717" spans="1:18" ht="30">
      <c r="A717" s="1990" t="s">
        <v>1061</v>
      </c>
      <c r="B717" s="1990" t="s">
        <v>1141</v>
      </c>
      <c r="C717" s="1990" t="s">
        <v>1050</v>
      </c>
      <c r="D717" s="1990" t="s">
        <v>945</v>
      </c>
      <c r="E717" s="1990" t="s">
        <v>1054</v>
      </c>
      <c r="F717" s="1991">
        <v>35895</v>
      </c>
      <c r="G717" s="1991">
        <v>14358025</v>
      </c>
      <c r="H717" s="1991">
        <v>35719</v>
      </c>
      <c r="I717" s="1991">
        <v>36189</v>
      </c>
      <c r="J717" s="1991">
        <v>35589</v>
      </c>
      <c r="K717" s="1991">
        <v>400</v>
      </c>
      <c r="L717" s="1991">
        <v>675</v>
      </c>
      <c r="M717" s="1991">
        <v>400</v>
      </c>
      <c r="N717" s="1990" t="s">
        <v>1052</v>
      </c>
      <c r="O717" s="1990" t="s">
        <v>8509</v>
      </c>
      <c r="P717" s="1990" t="s">
        <v>1142</v>
      </c>
      <c r="Q717" s="1990" t="s">
        <v>1143</v>
      </c>
      <c r="R717" s="1990" t="s">
        <v>1054</v>
      </c>
    </row>
    <row r="718" spans="1:18" ht="30">
      <c r="A718" s="1990" t="s">
        <v>1059</v>
      </c>
      <c r="B718" s="1990" t="s">
        <v>1100</v>
      </c>
      <c r="C718" s="1990" t="s">
        <v>1050</v>
      </c>
      <c r="D718" s="1990" t="s">
        <v>954</v>
      </c>
      <c r="E718" s="1990" t="s">
        <v>1054</v>
      </c>
      <c r="F718" s="1991">
        <v>29431</v>
      </c>
      <c r="G718" s="1991">
        <v>294311300</v>
      </c>
      <c r="H718" s="1991">
        <v>28929</v>
      </c>
      <c r="I718" s="1991">
        <v>29899</v>
      </c>
      <c r="J718" s="1991">
        <v>27570</v>
      </c>
      <c r="K718" s="1990">
        <v>10000</v>
      </c>
      <c r="L718" s="1991">
        <v>11325</v>
      </c>
      <c r="M718" s="1990">
        <v>10000</v>
      </c>
      <c r="N718" s="1990" t="s">
        <v>1052</v>
      </c>
      <c r="O718" s="1990" t="s">
        <v>8509</v>
      </c>
      <c r="P718" s="1990" t="s">
        <v>954</v>
      </c>
      <c r="Q718" s="1990" t="s">
        <v>1090</v>
      </c>
      <c r="R718" s="1990" t="s">
        <v>1054</v>
      </c>
    </row>
    <row r="719" spans="1:18" ht="30">
      <c r="A719" s="1990" t="s">
        <v>1057</v>
      </c>
      <c r="B719" s="1990" t="s">
        <v>1368</v>
      </c>
      <c r="C719" s="1990" t="s">
        <v>1050</v>
      </c>
      <c r="D719" s="1990" t="s">
        <v>940</v>
      </c>
      <c r="E719" s="1990" t="s">
        <v>1054</v>
      </c>
      <c r="F719" s="1991">
        <v>48056</v>
      </c>
      <c r="G719" s="1991">
        <v>144166600</v>
      </c>
      <c r="H719" s="1991">
        <v>47800</v>
      </c>
      <c r="I719" s="1991">
        <v>49069</v>
      </c>
      <c r="J719" s="1991">
        <v>38585</v>
      </c>
      <c r="K719" s="1990">
        <v>3000</v>
      </c>
      <c r="L719" s="1990">
        <v>5650</v>
      </c>
      <c r="M719" s="1990">
        <v>3000</v>
      </c>
      <c r="N719" s="1990" t="s">
        <v>1052</v>
      </c>
      <c r="O719" s="1990" t="s">
        <v>8509</v>
      </c>
      <c r="P719" s="1990" t="s">
        <v>1244</v>
      </c>
      <c r="Q719" s="1990" t="s">
        <v>1075</v>
      </c>
      <c r="R719" s="1990" t="s">
        <v>1054</v>
      </c>
    </row>
    <row r="720" spans="1:18" ht="30">
      <c r="A720" s="1990" t="s">
        <v>1061</v>
      </c>
      <c r="B720" s="1990" t="s">
        <v>1133</v>
      </c>
      <c r="C720" s="1990" t="s">
        <v>1050</v>
      </c>
      <c r="D720" s="1990" t="s">
        <v>923</v>
      </c>
      <c r="E720" s="1990" t="s">
        <v>1054</v>
      </c>
      <c r="F720" s="1991">
        <v>37449</v>
      </c>
      <c r="G720" s="1991">
        <v>48684225</v>
      </c>
      <c r="H720" s="1991">
        <v>37350</v>
      </c>
      <c r="I720" s="1991">
        <v>37589</v>
      </c>
      <c r="J720" s="1991">
        <v>37281</v>
      </c>
      <c r="K720" s="1991">
        <v>1300</v>
      </c>
      <c r="L720" s="1991">
        <v>2575</v>
      </c>
      <c r="M720" s="1991">
        <v>1300</v>
      </c>
      <c r="N720" s="1990" t="s">
        <v>1052</v>
      </c>
      <c r="O720" s="1990" t="s">
        <v>8509</v>
      </c>
      <c r="P720" s="1990" t="s">
        <v>923</v>
      </c>
      <c r="Q720" s="1990" t="s">
        <v>1132</v>
      </c>
      <c r="R720" s="1990" t="s">
        <v>1054</v>
      </c>
    </row>
    <row r="721" spans="1:18">
      <c r="A721" s="1990" t="s">
        <v>1061</v>
      </c>
      <c r="B721" s="1990" t="s">
        <v>1366</v>
      </c>
      <c r="C721" s="1990" t="s">
        <v>1050</v>
      </c>
      <c r="D721" s="1990" t="s">
        <v>916</v>
      </c>
      <c r="E721" s="1990" t="s">
        <v>1054</v>
      </c>
      <c r="F721" s="1991">
        <v>50915</v>
      </c>
      <c r="G721" s="1991">
        <v>152744780</v>
      </c>
      <c r="H721" s="1991">
        <v>50399</v>
      </c>
      <c r="I721" s="1991">
        <v>52079</v>
      </c>
      <c r="J721" s="1991">
        <v>41837</v>
      </c>
      <c r="K721" s="1990">
        <v>3000</v>
      </c>
      <c r="L721" s="1990">
        <v>5730</v>
      </c>
      <c r="M721" s="1990">
        <v>3000</v>
      </c>
      <c r="N721" s="1990" t="s">
        <v>1052</v>
      </c>
      <c r="O721" s="1990" t="s">
        <v>8509</v>
      </c>
      <c r="P721" s="1990" t="s">
        <v>916</v>
      </c>
      <c r="Q721" s="1990" t="s">
        <v>1075</v>
      </c>
      <c r="R721" s="1990" t="s">
        <v>1054</v>
      </c>
    </row>
    <row r="722" spans="1:18">
      <c r="A722" s="1990" t="s">
        <v>1059</v>
      </c>
      <c r="B722" s="1990" t="s">
        <v>1326</v>
      </c>
      <c r="C722" s="1990" t="s">
        <v>1050</v>
      </c>
      <c r="D722" s="1990" t="s">
        <v>900</v>
      </c>
      <c r="E722" s="1990" t="s">
        <v>1054</v>
      </c>
      <c r="F722" s="1991">
        <v>33353</v>
      </c>
      <c r="G722" s="1991">
        <v>200119250</v>
      </c>
      <c r="H722" s="1991">
        <v>33099</v>
      </c>
      <c r="I722" s="1991">
        <v>33899</v>
      </c>
      <c r="J722" s="1991">
        <v>31248</v>
      </c>
      <c r="K722" s="1991">
        <v>6000</v>
      </c>
      <c r="L722" s="1991">
        <v>9820</v>
      </c>
      <c r="M722" s="1991">
        <v>6000</v>
      </c>
      <c r="N722" s="1990" t="s">
        <v>1052</v>
      </c>
      <c r="O722" s="1990" t="s">
        <v>8509</v>
      </c>
      <c r="P722" s="1990" t="s">
        <v>900</v>
      </c>
      <c r="Q722" s="1990" t="s">
        <v>1053</v>
      </c>
      <c r="R722" s="1990" t="s">
        <v>1054</v>
      </c>
    </row>
    <row r="723" spans="1:18" ht="30">
      <c r="A723" s="1990" t="s">
        <v>1085</v>
      </c>
      <c r="B723" s="1990" t="s">
        <v>1099</v>
      </c>
      <c r="C723" s="1990" t="s">
        <v>1050</v>
      </c>
      <c r="D723" s="1990" t="s">
        <v>954</v>
      </c>
      <c r="E723" s="1990" t="s">
        <v>1054</v>
      </c>
      <c r="F723" s="1991">
        <v>27784</v>
      </c>
      <c r="G723" s="1991">
        <v>27783600</v>
      </c>
      <c r="H723" s="1991">
        <v>27585</v>
      </c>
      <c r="I723" s="1991">
        <v>27859</v>
      </c>
      <c r="J723" s="1991">
        <v>27212</v>
      </c>
      <c r="K723" s="1991">
        <v>1000</v>
      </c>
      <c r="L723" s="1991">
        <v>1150</v>
      </c>
      <c r="M723" s="1991">
        <v>1000</v>
      </c>
      <c r="N723" s="1990" t="s">
        <v>1052</v>
      </c>
      <c r="O723" s="1990" t="s">
        <v>8509</v>
      </c>
      <c r="P723" s="1990" t="s">
        <v>954</v>
      </c>
      <c r="Q723" s="1990" t="s">
        <v>1090</v>
      </c>
      <c r="R723" s="1990" t="s">
        <v>1054</v>
      </c>
    </row>
    <row r="724" spans="1:18" ht="30">
      <c r="A724" s="1990" t="s">
        <v>1057</v>
      </c>
      <c r="B724" s="1990" t="s">
        <v>1450</v>
      </c>
      <c r="C724" s="1990" t="s">
        <v>1050</v>
      </c>
      <c r="D724" s="1990" t="s">
        <v>942</v>
      </c>
      <c r="E724" s="1990" t="s">
        <v>1054</v>
      </c>
      <c r="F724" s="1991">
        <v>44098</v>
      </c>
      <c r="G724" s="1991">
        <v>105835970</v>
      </c>
      <c r="H724" s="1991">
        <v>43770</v>
      </c>
      <c r="I724" s="1991">
        <v>44679</v>
      </c>
      <c r="J724" s="1991">
        <v>42170</v>
      </c>
      <c r="K724" s="1991">
        <v>2400</v>
      </c>
      <c r="L724" s="1991">
        <v>5600</v>
      </c>
      <c r="M724" s="1991">
        <v>2400</v>
      </c>
      <c r="N724" s="1990" t="s">
        <v>1052</v>
      </c>
      <c r="O724" s="1990" t="s">
        <v>8509</v>
      </c>
      <c r="P724" s="1990" t="s">
        <v>1117</v>
      </c>
      <c r="Q724" s="1990" t="s">
        <v>1118</v>
      </c>
      <c r="R724" s="1990" t="s">
        <v>1054</v>
      </c>
    </row>
    <row r="725" spans="1:18">
      <c r="A725" s="1990" t="s">
        <v>1068</v>
      </c>
      <c r="B725" s="1990" t="s">
        <v>1121</v>
      </c>
      <c r="C725" s="1990" t="s">
        <v>1050</v>
      </c>
      <c r="D725" s="1990" t="s">
        <v>920</v>
      </c>
      <c r="E725" s="1990" t="s">
        <v>1054</v>
      </c>
      <c r="F725" s="1991">
        <v>25047</v>
      </c>
      <c r="G725" s="1991">
        <v>75139650</v>
      </c>
      <c r="H725" s="1991">
        <v>25045</v>
      </c>
      <c r="I725" s="1991">
        <v>25065</v>
      </c>
      <c r="J725" s="1991">
        <v>25045</v>
      </c>
      <c r="K725" s="1990">
        <v>3000</v>
      </c>
      <c r="L725" s="1990">
        <v>4025</v>
      </c>
      <c r="M725" s="1990">
        <v>3000</v>
      </c>
      <c r="N725" s="1990" t="s">
        <v>1052</v>
      </c>
      <c r="O725" s="1990" t="s">
        <v>8509</v>
      </c>
      <c r="P725" s="1990" t="s">
        <v>920</v>
      </c>
      <c r="Q725" s="1990" t="s">
        <v>1114</v>
      </c>
      <c r="R725" s="1990" t="s">
        <v>1054</v>
      </c>
    </row>
    <row r="726" spans="1:18" ht="30">
      <c r="A726" s="1990" t="s">
        <v>1057</v>
      </c>
      <c r="B726" s="1990" t="s">
        <v>1347</v>
      </c>
      <c r="C726" s="1990" t="s">
        <v>1050</v>
      </c>
      <c r="D726" s="1990" t="s">
        <v>939</v>
      </c>
      <c r="E726" s="1990" t="s">
        <v>1054</v>
      </c>
      <c r="F726" s="1991">
        <v>47441</v>
      </c>
      <c r="G726" s="1991">
        <v>177904450</v>
      </c>
      <c r="H726" s="1991">
        <v>46999</v>
      </c>
      <c r="I726" s="1991">
        <v>47869</v>
      </c>
      <c r="J726" s="1991">
        <v>39094</v>
      </c>
      <c r="K726" s="1990">
        <v>3750</v>
      </c>
      <c r="L726" s="1991">
        <v>5700</v>
      </c>
      <c r="M726" s="1990">
        <v>3750</v>
      </c>
      <c r="N726" s="1990" t="s">
        <v>1052</v>
      </c>
      <c r="O726" s="1990" t="s">
        <v>8509</v>
      </c>
      <c r="P726" s="1990" t="s">
        <v>939</v>
      </c>
      <c r="Q726" s="1990" t="s">
        <v>1053</v>
      </c>
      <c r="R726" s="1990" t="s">
        <v>1054</v>
      </c>
    </row>
    <row r="727" spans="1:18" ht="30">
      <c r="A727" s="1990" t="s">
        <v>1059</v>
      </c>
      <c r="B727" s="1990" t="s">
        <v>1346</v>
      </c>
      <c r="C727" s="1990" t="s">
        <v>1050</v>
      </c>
      <c r="D727" s="1990" t="s">
        <v>939</v>
      </c>
      <c r="E727" s="1990" t="s">
        <v>1054</v>
      </c>
      <c r="F727" s="1991">
        <v>28337</v>
      </c>
      <c r="G727" s="1991">
        <v>283368125</v>
      </c>
      <c r="H727" s="1991">
        <v>28189</v>
      </c>
      <c r="I727" s="1991">
        <v>28739</v>
      </c>
      <c r="J727" s="1991">
        <v>27626</v>
      </c>
      <c r="K727" s="1991">
        <v>10000</v>
      </c>
      <c r="L727" s="1991">
        <v>11475</v>
      </c>
      <c r="M727" s="1991">
        <v>10000</v>
      </c>
      <c r="N727" s="1990" t="s">
        <v>1052</v>
      </c>
      <c r="O727" s="1990" t="s">
        <v>8509</v>
      </c>
      <c r="P727" s="1990" t="s">
        <v>939</v>
      </c>
      <c r="Q727" s="1990" t="s">
        <v>1053</v>
      </c>
      <c r="R727" s="1990" t="s">
        <v>1054</v>
      </c>
    </row>
    <row r="728" spans="1:18">
      <c r="A728" s="1990" t="s">
        <v>1358</v>
      </c>
      <c r="B728" s="1990" t="s">
        <v>1397</v>
      </c>
      <c r="C728" s="1990" t="s">
        <v>1050</v>
      </c>
      <c r="D728" s="1990" t="s">
        <v>913</v>
      </c>
      <c r="E728" s="1990" t="s">
        <v>1054</v>
      </c>
      <c r="F728" s="1991">
        <v>51525</v>
      </c>
      <c r="G728" s="1991">
        <v>25762500</v>
      </c>
      <c r="H728" s="1991">
        <v>51099</v>
      </c>
      <c r="I728" s="1991">
        <v>51899</v>
      </c>
      <c r="J728" s="1991">
        <v>43066</v>
      </c>
      <c r="K728" s="1990">
        <v>500</v>
      </c>
      <c r="L728" s="1991">
        <v>2000</v>
      </c>
      <c r="M728" s="1990">
        <v>500</v>
      </c>
      <c r="N728" s="1990" t="s">
        <v>1052</v>
      </c>
      <c r="O728" s="1990" t="s">
        <v>8509</v>
      </c>
      <c r="P728" s="1990" t="s">
        <v>913</v>
      </c>
      <c r="Q728" s="1990" t="s">
        <v>1090</v>
      </c>
      <c r="R728" s="1990" t="s">
        <v>1054</v>
      </c>
    </row>
    <row r="729" spans="1:18" ht="45">
      <c r="A729" s="1990" t="s">
        <v>1138</v>
      </c>
      <c r="B729" s="1990" t="s">
        <v>1139</v>
      </c>
      <c r="C729" s="1990" t="s">
        <v>1050</v>
      </c>
      <c r="D729" s="1990" t="s">
        <v>936</v>
      </c>
      <c r="E729" s="1990" t="s">
        <v>1054</v>
      </c>
      <c r="F729" s="1991">
        <v>26138</v>
      </c>
      <c r="G729" s="1991">
        <v>39206500</v>
      </c>
      <c r="H729" s="1991">
        <v>26109</v>
      </c>
      <c r="I729" s="1991">
        <v>26239</v>
      </c>
      <c r="J729" s="1991">
        <v>26018</v>
      </c>
      <c r="K729" s="1991">
        <v>1500</v>
      </c>
      <c r="L729" s="1991">
        <v>3475</v>
      </c>
      <c r="M729" s="1991">
        <v>1500</v>
      </c>
      <c r="N729" s="1990" t="s">
        <v>1052</v>
      </c>
      <c r="O729" s="1990" t="s">
        <v>8509</v>
      </c>
      <c r="P729" s="1990" t="s">
        <v>1136</v>
      </c>
      <c r="Q729" s="1990" t="s">
        <v>8292</v>
      </c>
      <c r="R729" s="1990" t="s">
        <v>1054</v>
      </c>
    </row>
    <row r="730" spans="1:18" ht="30">
      <c r="A730" s="1990" t="s">
        <v>1076</v>
      </c>
      <c r="B730" s="1990" t="s">
        <v>1355</v>
      </c>
      <c r="C730" s="1990" t="s">
        <v>1050</v>
      </c>
      <c r="D730" s="1990" t="s">
        <v>901</v>
      </c>
      <c r="E730" s="1990" t="s">
        <v>1054</v>
      </c>
      <c r="F730" s="1991">
        <v>47165</v>
      </c>
      <c r="G730" s="1991">
        <v>141495200</v>
      </c>
      <c r="H730" s="1991">
        <v>46799</v>
      </c>
      <c r="I730" s="1991">
        <v>48089</v>
      </c>
      <c r="J730" s="1991">
        <v>44545</v>
      </c>
      <c r="K730" s="1991">
        <v>3000</v>
      </c>
      <c r="L730" s="1991">
        <v>5610</v>
      </c>
      <c r="M730" s="1991">
        <v>3000</v>
      </c>
      <c r="N730" s="1990" t="s">
        <v>1052</v>
      </c>
      <c r="O730" s="1990" t="s">
        <v>8509</v>
      </c>
      <c r="P730" s="1990" t="s">
        <v>1198</v>
      </c>
      <c r="Q730" s="1990" t="s">
        <v>1053</v>
      </c>
      <c r="R730" s="1990" t="s">
        <v>1054</v>
      </c>
    </row>
    <row r="731" spans="1:18">
      <c r="A731" s="1990" t="s">
        <v>1061</v>
      </c>
      <c r="B731" s="1990" t="s">
        <v>1095</v>
      </c>
      <c r="C731" s="1990" t="s">
        <v>1050</v>
      </c>
      <c r="D731" s="1990" t="s">
        <v>928</v>
      </c>
      <c r="E731" s="1990" t="s">
        <v>1054</v>
      </c>
      <c r="F731" s="1991">
        <v>36404</v>
      </c>
      <c r="G731" s="1991">
        <v>145617050</v>
      </c>
      <c r="H731" s="1991">
        <v>36288</v>
      </c>
      <c r="I731" s="1991">
        <v>36669</v>
      </c>
      <c r="J731" s="1991">
        <v>36107</v>
      </c>
      <c r="K731" s="1990">
        <v>4000</v>
      </c>
      <c r="L731" s="1991">
        <v>4525</v>
      </c>
      <c r="M731" s="1990">
        <v>4000</v>
      </c>
      <c r="N731" s="1990" t="s">
        <v>1052</v>
      </c>
      <c r="O731" s="1990" t="s">
        <v>8509</v>
      </c>
      <c r="P731" s="1990" t="s">
        <v>928</v>
      </c>
      <c r="Q731" s="1990" t="s">
        <v>1053</v>
      </c>
      <c r="R731" s="1990" t="s">
        <v>1054</v>
      </c>
    </row>
    <row r="732" spans="1:18">
      <c r="A732" s="1990" t="s">
        <v>1085</v>
      </c>
      <c r="B732" s="1990" t="s">
        <v>1411</v>
      </c>
      <c r="C732" s="1990" t="s">
        <v>1050</v>
      </c>
      <c r="D732" s="1990" t="s">
        <v>920</v>
      </c>
      <c r="E732" s="1990" t="s">
        <v>1054</v>
      </c>
      <c r="F732" s="1991">
        <v>26110</v>
      </c>
      <c r="G732" s="1991">
        <v>548301350</v>
      </c>
      <c r="H732" s="1991">
        <v>26029</v>
      </c>
      <c r="I732" s="1991">
        <v>26689</v>
      </c>
      <c r="J732" s="1991">
        <v>25523</v>
      </c>
      <c r="K732" s="1991">
        <v>21000</v>
      </c>
      <c r="L732" s="1991">
        <v>25325</v>
      </c>
      <c r="M732" s="1991">
        <v>21000</v>
      </c>
      <c r="N732" s="1990" t="s">
        <v>1052</v>
      </c>
      <c r="O732" s="1990" t="s">
        <v>8509</v>
      </c>
      <c r="P732" s="1990" t="s">
        <v>920</v>
      </c>
      <c r="Q732" s="1990" t="s">
        <v>1114</v>
      </c>
      <c r="R732" s="1990" t="s">
        <v>1067</v>
      </c>
    </row>
    <row r="733" spans="1:18">
      <c r="A733" s="1990" t="s">
        <v>1085</v>
      </c>
      <c r="B733" s="1990" t="s">
        <v>1404</v>
      </c>
      <c r="C733" s="1990" t="s">
        <v>1050</v>
      </c>
      <c r="D733" s="1990" t="s">
        <v>955</v>
      </c>
      <c r="E733" s="1990" t="s">
        <v>1054</v>
      </c>
      <c r="F733" s="1991">
        <v>26136</v>
      </c>
      <c r="G733" s="1991">
        <v>39203250</v>
      </c>
      <c r="H733" s="1991">
        <v>26039</v>
      </c>
      <c r="I733" s="1991">
        <v>26509</v>
      </c>
      <c r="J733" s="1991">
        <v>25649</v>
      </c>
      <c r="K733" s="1991">
        <v>1500</v>
      </c>
      <c r="L733" s="1991">
        <v>3125</v>
      </c>
      <c r="M733" s="1991">
        <v>1500</v>
      </c>
      <c r="N733" s="1990" t="s">
        <v>1052</v>
      </c>
      <c r="O733" s="1990" t="s">
        <v>8509</v>
      </c>
      <c r="P733" s="1990" t="s">
        <v>955</v>
      </c>
      <c r="Q733" s="1990" t="s">
        <v>1080</v>
      </c>
      <c r="R733" s="1990" t="s">
        <v>1067</v>
      </c>
    </row>
    <row r="734" spans="1:18">
      <c r="A734" s="1990" t="s">
        <v>1055</v>
      </c>
      <c r="B734" s="1990" t="s">
        <v>1412</v>
      </c>
      <c r="C734" s="1990" t="s">
        <v>1050</v>
      </c>
      <c r="D734" s="1990" t="s">
        <v>920</v>
      </c>
      <c r="E734" s="1990" t="s">
        <v>1054</v>
      </c>
      <c r="F734" s="2366">
        <v>35076</v>
      </c>
      <c r="G734" s="1990">
        <v>245530700</v>
      </c>
      <c r="H734" s="2366">
        <v>35026</v>
      </c>
      <c r="I734" s="2366">
        <v>35333</v>
      </c>
      <c r="J734" s="1991">
        <v>34876</v>
      </c>
      <c r="K734" s="1990">
        <v>7000</v>
      </c>
      <c r="L734" s="1990">
        <v>8425</v>
      </c>
      <c r="M734" s="1990">
        <v>7000</v>
      </c>
      <c r="N734" s="1990" t="s">
        <v>1052</v>
      </c>
      <c r="O734" s="1990" t="s">
        <v>8509</v>
      </c>
      <c r="P734" s="1990" t="s">
        <v>920</v>
      </c>
      <c r="Q734" s="1990" t="s">
        <v>1114</v>
      </c>
      <c r="R734" s="1990" t="s">
        <v>1067</v>
      </c>
    </row>
    <row r="735" spans="1:18" ht="30">
      <c r="A735" s="1990" t="s">
        <v>1068</v>
      </c>
      <c r="B735" s="1990" t="s">
        <v>1467</v>
      </c>
      <c r="C735" s="1990" t="s">
        <v>1050</v>
      </c>
      <c r="D735" s="1990" t="s">
        <v>945</v>
      </c>
      <c r="E735" s="1990" t="s">
        <v>1054</v>
      </c>
      <c r="F735" s="2366">
        <v>25198</v>
      </c>
      <c r="G735" s="1990">
        <v>17638750</v>
      </c>
      <c r="H735" s="2366">
        <v>25140</v>
      </c>
      <c r="I735" s="2366">
        <v>25239</v>
      </c>
      <c r="J735" s="1991">
        <v>25045</v>
      </c>
      <c r="K735" s="1990">
        <v>700</v>
      </c>
      <c r="L735" s="1990">
        <v>850</v>
      </c>
      <c r="M735" s="1990">
        <v>700</v>
      </c>
      <c r="N735" s="1990" t="s">
        <v>1052</v>
      </c>
      <c r="O735" s="1990" t="s">
        <v>8509</v>
      </c>
      <c r="P735" s="1990" t="s">
        <v>1142</v>
      </c>
      <c r="Q735" s="1990" t="s">
        <v>1143</v>
      </c>
      <c r="R735" s="1990" t="s">
        <v>1067</v>
      </c>
    </row>
    <row r="736" spans="1:18">
      <c r="A736" s="1990" t="s">
        <v>1059</v>
      </c>
      <c r="B736" s="1990" t="s">
        <v>1328</v>
      </c>
      <c r="C736" s="1990" t="s">
        <v>1050</v>
      </c>
      <c r="D736" s="1990" t="s">
        <v>912</v>
      </c>
      <c r="E736" s="1990" t="s">
        <v>1054</v>
      </c>
      <c r="F736" s="2366">
        <v>30822</v>
      </c>
      <c r="G736" s="1990">
        <v>261983150</v>
      </c>
      <c r="H736" s="2366">
        <v>30500</v>
      </c>
      <c r="I736" s="2366">
        <v>31299</v>
      </c>
      <c r="J736" s="1991">
        <v>26768</v>
      </c>
      <c r="K736" s="1990">
        <v>8500</v>
      </c>
      <c r="L736" s="1990">
        <v>12075</v>
      </c>
      <c r="M736" s="1990">
        <v>8500</v>
      </c>
      <c r="N736" s="1990" t="s">
        <v>1052</v>
      </c>
      <c r="O736" s="1990" t="s">
        <v>8509</v>
      </c>
      <c r="P736" s="1990" t="s">
        <v>912</v>
      </c>
      <c r="Q736" s="1990" t="s">
        <v>1053</v>
      </c>
      <c r="R736" s="1990" t="s">
        <v>1067</v>
      </c>
    </row>
    <row r="737" spans="1:18">
      <c r="A737" s="1990" t="s">
        <v>1112</v>
      </c>
      <c r="B737" s="1990" t="s">
        <v>1459</v>
      </c>
      <c r="C737" s="1990" t="s">
        <v>1050</v>
      </c>
      <c r="D737" s="1990" t="s">
        <v>955</v>
      </c>
      <c r="E737" s="1990" t="s">
        <v>1054</v>
      </c>
      <c r="F737" s="2366">
        <v>25063</v>
      </c>
      <c r="G737" s="1990">
        <v>50125850</v>
      </c>
      <c r="H737" s="2366">
        <v>24889</v>
      </c>
      <c r="I737" s="2366">
        <v>25799</v>
      </c>
      <c r="J737" s="1991">
        <v>24371</v>
      </c>
      <c r="K737" s="1990">
        <v>2000</v>
      </c>
      <c r="L737" s="1990">
        <v>3675</v>
      </c>
      <c r="M737" s="1990">
        <v>2000</v>
      </c>
      <c r="N737" s="1990" t="s">
        <v>1052</v>
      </c>
      <c r="O737" s="1990" t="s">
        <v>8509</v>
      </c>
      <c r="P737" s="1990" t="s">
        <v>955</v>
      </c>
      <c r="Q737" s="1990" t="s">
        <v>1080</v>
      </c>
      <c r="R737" s="1990" t="s">
        <v>1067</v>
      </c>
    </row>
    <row r="738" spans="1:18" ht="30">
      <c r="A738" s="1990" t="s">
        <v>1057</v>
      </c>
      <c r="B738" s="1990" t="s">
        <v>1105</v>
      </c>
      <c r="C738" s="1990" t="s">
        <v>1050</v>
      </c>
      <c r="D738" s="1990" t="s">
        <v>935</v>
      </c>
      <c r="E738" s="1990" t="s">
        <v>1054</v>
      </c>
      <c r="F738" s="2366">
        <v>39322</v>
      </c>
      <c r="G738" s="1990">
        <v>432545600</v>
      </c>
      <c r="H738" s="2366">
        <v>39029</v>
      </c>
      <c r="I738" s="2366">
        <v>40009</v>
      </c>
      <c r="J738" s="1991">
        <v>38645</v>
      </c>
      <c r="K738" s="1991">
        <v>11000</v>
      </c>
      <c r="L738" s="1990">
        <v>15100</v>
      </c>
      <c r="M738" s="1990">
        <v>11000</v>
      </c>
      <c r="N738" s="1990" t="s">
        <v>1052</v>
      </c>
      <c r="O738" s="1990" t="s">
        <v>8509</v>
      </c>
      <c r="P738" s="1990" t="s">
        <v>935</v>
      </c>
      <c r="Q738" s="1990" t="s">
        <v>1087</v>
      </c>
      <c r="R738" s="1990" t="s">
        <v>1067</v>
      </c>
    </row>
    <row r="739" spans="1:18">
      <c r="A739" s="1990" t="s">
        <v>1059</v>
      </c>
      <c r="B739" s="1990" t="s">
        <v>1455</v>
      </c>
      <c r="C739" s="1990" t="s">
        <v>1050</v>
      </c>
      <c r="D739" s="1990" t="s">
        <v>960</v>
      </c>
      <c r="E739" s="1990" t="s">
        <v>1054</v>
      </c>
      <c r="F739" s="2366">
        <v>26821</v>
      </c>
      <c r="G739" s="1990">
        <v>40231500</v>
      </c>
      <c r="H739" s="2366">
        <v>26821</v>
      </c>
      <c r="I739" s="2366">
        <v>26821</v>
      </c>
      <c r="J739" s="1991">
        <v>26264</v>
      </c>
      <c r="K739" s="1990">
        <v>1500</v>
      </c>
      <c r="L739" s="1990">
        <v>2560</v>
      </c>
      <c r="M739" s="1990">
        <v>1500</v>
      </c>
      <c r="N739" s="1990" t="s">
        <v>1052</v>
      </c>
      <c r="O739" s="1990" t="s">
        <v>8509</v>
      </c>
      <c r="P739" s="1990" t="s">
        <v>960</v>
      </c>
      <c r="Q739" s="1990" t="s">
        <v>1130</v>
      </c>
      <c r="R739" s="1990" t="s">
        <v>1067</v>
      </c>
    </row>
    <row r="740" spans="1:18" ht="30">
      <c r="A740" s="1990" t="s">
        <v>1085</v>
      </c>
      <c r="B740" s="1990" t="s">
        <v>1096</v>
      </c>
      <c r="C740" s="1990" t="s">
        <v>1050</v>
      </c>
      <c r="D740" s="1990" t="s">
        <v>957</v>
      </c>
      <c r="E740" s="1990" t="s">
        <v>1054</v>
      </c>
      <c r="F740" s="1991">
        <v>25995</v>
      </c>
      <c r="G740" s="1991">
        <v>116975600</v>
      </c>
      <c r="H740" s="1991">
        <v>25873</v>
      </c>
      <c r="I740" s="1991">
        <v>26099</v>
      </c>
      <c r="J740" s="1991">
        <v>25523</v>
      </c>
      <c r="K740" s="1990">
        <v>4500</v>
      </c>
      <c r="L740" s="1990">
        <v>5450</v>
      </c>
      <c r="M740" s="1990">
        <v>4500</v>
      </c>
      <c r="N740" s="1990" t="s">
        <v>1052</v>
      </c>
      <c r="O740" s="1990" t="s">
        <v>8509</v>
      </c>
      <c r="P740" s="1990" t="s">
        <v>957</v>
      </c>
      <c r="Q740" s="1990" t="s">
        <v>1090</v>
      </c>
      <c r="R740" s="1990" t="s">
        <v>1067</v>
      </c>
    </row>
    <row r="741" spans="1:18">
      <c r="A741" s="1990" t="s">
        <v>1059</v>
      </c>
      <c r="B741" s="1990" t="s">
        <v>1403</v>
      </c>
      <c r="C741" s="1990" t="s">
        <v>1050</v>
      </c>
      <c r="D741" s="1990" t="s">
        <v>955</v>
      </c>
      <c r="E741" s="1990" t="s">
        <v>1054</v>
      </c>
      <c r="F741" s="1991">
        <v>28289</v>
      </c>
      <c r="G741" s="1991">
        <v>42433500</v>
      </c>
      <c r="H741" s="1991">
        <v>27699</v>
      </c>
      <c r="I741" s="1991">
        <v>28369</v>
      </c>
      <c r="J741" s="1991">
        <v>26264</v>
      </c>
      <c r="K741" s="1990">
        <v>1500</v>
      </c>
      <c r="L741" s="1990">
        <v>4075</v>
      </c>
      <c r="M741" s="1990">
        <v>1500</v>
      </c>
      <c r="N741" s="1990" t="s">
        <v>1052</v>
      </c>
      <c r="O741" s="1990" t="s">
        <v>8509</v>
      </c>
      <c r="P741" s="1990" t="s">
        <v>955</v>
      </c>
      <c r="Q741" s="1990" t="s">
        <v>1080</v>
      </c>
      <c r="R741" s="1990" t="s">
        <v>1067</v>
      </c>
    </row>
    <row r="742" spans="1:18">
      <c r="A742" s="1990" t="s">
        <v>1333</v>
      </c>
      <c r="B742" s="1990" t="s">
        <v>1334</v>
      </c>
      <c r="C742" s="1990" t="s">
        <v>1050</v>
      </c>
      <c r="D742" s="1990" t="s">
        <v>898</v>
      </c>
      <c r="E742" s="1990" t="s">
        <v>1054</v>
      </c>
      <c r="F742" s="1991"/>
      <c r="G742" s="1991">
        <v>0</v>
      </c>
      <c r="H742" s="1991"/>
      <c r="I742" s="1991"/>
      <c r="J742" s="1991">
        <v>44503</v>
      </c>
      <c r="K742" s="1990">
        <v>200</v>
      </c>
      <c r="L742" s="1991">
        <v>0</v>
      </c>
      <c r="M742" s="1991">
        <v>0</v>
      </c>
      <c r="N742" s="1990" t="s">
        <v>1052</v>
      </c>
      <c r="O742" s="1990" t="s">
        <v>8509</v>
      </c>
      <c r="P742" s="1990" t="s">
        <v>898</v>
      </c>
      <c r="Q742" s="1990" t="s">
        <v>1053</v>
      </c>
      <c r="R742" s="1990" t="s">
        <v>1054</v>
      </c>
    </row>
    <row r="743" spans="1:18" ht="30">
      <c r="A743" s="1990" t="s">
        <v>1059</v>
      </c>
      <c r="B743" s="1990" t="s">
        <v>1377</v>
      </c>
      <c r="C743" s="1990" t="s">
        <v>1050</v>
      </c>
      <c r="D743" s="1990" t="s">
        <v>941</v>
      </c>
      <c r="E743" s="1990" t="s">
        <v>1054</v>
      </c>
      <c r="F743" s="1991"/>
      <c r="G743" s="1991">
        <v>0</v>
      </c>
      <c r="H743" s="1991"/>
      <c r="I743" s="1991"/>
      <c r="J743" s="1991">
        <v>27094</v>
      </c>
      <c r="K743" s="1990">
        <v>500</v>
      </c>
      <c r="L743" s="1991">
        <v>0</v>
      </c>
      <c r="M743" s="1991">
        <v>0</v>
      </c>
      <c r="N743" s="1990" t="s">
        <v>1052</v>
      </c>
      <c r="O743" s="1990" t="s">
        <v>8509</v>
      </c>
      <c r="P743" s="1990" t="s">
        <v>941</v>
      </c>
      <c r="Q743" s="1990" t="s">
        <v>1075</v>
      </c>
      <c r="R743" s="1990" t="s">
        <v>1054</v>
      </c>
    </row>
    <row r="744" spans="1:18" ht="30">
      <c r="A744" s="1990" t="s">
        <v>1085</v>
      </c>
      <c r="B744" s="1990" t="s">
        <v>1421</v>
      </c>
      <c r="C744" s="1990" t="s">
        <v>1050</v>
      </c>
      <c r="D744" s="1990" t="s">
        <v>950</v>
      </c>
      <c r="E744" s="1990" t="s">
        <v>1054</v>
      </c>
      <c r="F744" s="1991"/>
      <c r="G744" s="1991">
        <v>0</v>
      </c>
      <c r="H744" s="1991"/>
      <c r="I744" s="1991"/>
      <c r="J744" s="1991">
        <v>25376</v>
      </c>
      <c r="K744" s="1990">
        <v>4000</v>
      </c>
      <c r="L744" s="1990">
        <v>0</v>
      </c>
      <c r="M744" s="1990">
        <v>0</v>
      </c>
      <c r="N744" s="1990" t="s">
        <v>1052</v>
      </c>
      <c r="O744" s="1990" t="s">
        <v>8509</v>
      </c>
      <c r="P744" s="1990" t="s">
        <v>1124</v>
      </c>
      <c r="Q744" s="1990" t="s">
        <v>1114</v>
      </c>
      <c r="R744" s="1990" t="s">
        <v>1067</v>
      </c>
    </row>
    <row r="745" spans="1:18" ht="30">
      <c r="A745" s="1990" t="s">
        <v>1422</v>
      </c>
      <c r="B745" s="1990" t="s">
        <v>1423</v>
      </c>
      <c r="C745" s="1990" t="s">
        <v>1050</v>
      </c>
      <c r="D745" s="1990" t="s">
        <v>950</v>
      </c>
      <c r="E745" s="1990" t="s">
        <v>1054</v>
      </c>
      <c r="F745" s="1991"/>
      <c r="G745" s="1991">
        <v>0</v>
      </c>
      <c r="H745" s="1991"/>
      <c r="I745" s="1991"/>
      <c r="J745" s="1991">
        <v>30248</v>
      </c>
      <c r="K745" s="1991">
        <v>200</v>
      </c>
      <c r="L745" s="1991">
        <v>0</v>
      </c>
      <c r="M745" s="1991">
        <v>0</v>
      </c>
      <c r="N745" s="1990" t="s">
        <v>1052</v>
      </c>
      <c r="O745" s="1990" t="s">
        <v>8509</v>
      </c>
      <c r="P745" s="1990" t="s">
        <v>1124</v>
      </c>
      <c r="Q745" s="1990" t="s">
        <v>1114</v>
      </c>
      <c r="R745" s="1990" t="s">
        <v>1067</v>
      </c>
    </row>
    <row r="746" spans="1:18" ht="30">
      <c r="A746" s="1990" t="s">
        <v>1061</v>
      </c>
      <c r="B746" s="1990" t="s">
        <v>1414</v>
      </c>
      <c r="C746" s="1990" t="s">
        <v>1050</v>
      </c>
      <c r="D746" s="1990" t="s">
        <v>965</v>
      </c>
      <c r="E746" s="1990" t="s">
        <v>1054</v>
      </c>
      <c r="F746" s="1991"/>
      <c r="G746" s="1991">
        <v>0</v>
      </c>
      <c r="H746" s="1991"/>
      <c r="I746" s="1991"/>
      <c r="J746" s="1991">
        <v>35589</v>
      </c>
      <c r="K746" s="1991">
        <v>300</v>
      </c>
      <c r="L746" s="1991">
        <v>0</v>
      </c>
      <c r="M746" s="1991">
        <v>0</v>
      </c>
      <c r="N746" s="1990" t="s">
        <v>1052</v>
      </c>
      <c r="O746" s="1990" t="s">
        <v>8509</v>
      </c>
      <c r="P746" s="1990" t="s">
        <v>965</v>
      </c>
      <c r="Q746" s="1990" t="s">
        <v>1083</v>
      </c>
      <c r="R746" s="1990" t="s">
        <v>1067</v>
      </c>
    </row>
    <row r="747" spans="1:18">
      <c r="A747" s="1990" t="s">
        <v>1112</v>
      </c>
      <c r="B747" s="1990" t="s">
        <v>1429</v>
      </c>
      <c r="C747" s="1990" t="s">
        <v>1050</v>
      </c>
      <c r="D747" s="1990" t="s">
        <v>958</v>
      </c>
      <c r="E747" s="1990" t="s">
        <v>1427</v>
      </c>
      <c r="F747" s="1991"/>
      <c r="G747" s="1991">
        <v>0</v>
      </c>
      <c r="H747" s="1991"/>
      <c r="I747" s="1991"/>
      <c r="J747" s="1991">
        <v>24371</v>
      </c>
      <c r="K747" s="1991">
        <v>1000</v>
      </c>
      <c r="L747" s="1991">
        <v>0</v>
      </c>
      <c r="M747" s="1991">
        <v>0</v>
      </c>
      <c r="N747" s="1990" t="s">
        <v>1052</v>
      </c>
      <c r="O747" s="1990" t="s">
        <v>8509</v>
      </c>
      <c r="P747" s="1990" t="s">
        <v>958</v>
      </c>
      <c r="Q747" s="1990" t="s">
        <v>1312</v>
      </c>
      <c r="R747" s="1990" t="s">
        <v>1067</v>
      </c>
    </row>
    <row r="748" spans="1:18" ht="45">
      <c r="A748" s="1990" t="s">
        <v>1442</v>
      </c>
      <c r="B748" s="1990" t="s">
        <v>1443</v>
      </c>
      <c r="C748" s="1990" t="s">
        <v>1050</v>
      </c>
      <c r="D748" s="1990" t="s">
        <v>936</v>
      </c>
      <c r="E748" s="1990" t="s">
        <v>1054</v>
      </c>
      <c r="F748" s="1991"/>
      <c r="G748" s="1991">
        <v>0</v>
      </c>
      <c r="H748" s="1991"/>
      <c r="I748" s="1991"/>
      <c r="J748" s="1991">
        <v>41474</v>
      </c>
      <c r="K748" s="1991">
        <v>200</v>
      </c>
      <c r="L748" s="1991">
        <v>0</v>
      </c>
      <c r="M748" s="1991">
        <v>0</v>
      </c>
      <c r="N748" s="1990" t="s">
        <v>1052</v>
      </c>
      <c r="O748" s="1990" t="s">
        <v>8509</v>
      </c>
      <c r="P748" s="1990" t="s">
        <v>1136</v>
      </c>
      <c r="Q748" s="1990" t="s">
        <v>8292</v>
      </c>
      <c r="R748" s="1990" t="s">
        <v>1054</v>
      </c>
    </row>
    <row r="749" spans="1:18" ht="45">
      <c r="A749" s="1990" t="s">
        <v>1119</v>
      </c>
      <c r="B749" s="1990" t="s">
        <v>1444</v>
      </c>
      <c r="C749" s="1990" t="s">
        <v>1050</v>
      </c>
      <c r="D749" s="1990" t="s">
        <v>936</v>
      </c>
      <c r="E749" s="1990" t="s">
        <v>1054</v>
      </c>
      <c r="F749" s="1991"/>
      <c r="G749" s="1991">
        <v>0</v>
      </c>
      <c r="H749" s="1991"/>
      <c r="I749" s="1991"/>
      <c r="J749" s="1991">
        <v>41589</v>
      </c>
      <c r="K749" s="1990">
        <v>200</v>
      </c>
      <c r="L749" s="1990">
        <v>0</v>
      </c>
      <c r="M749" s="1990">
        <v>0</v>
      </c>
      <c r="N749" s="1990" t="s">
        <v>1052</v>
      </c>
      <c r="O749" s="1990" t="s">
        <v>8509</v>
      </c>
      <c r="P749" s="1990" t="s">
        <v>1136</v>
      </c>
      <c r="Q749" s="1990" t="s">
        <v>8292</v>
      </c>
      <c r="R749" s="1990" t="s">
        <v>1054</v>
      </c>
    </row>
    <row r="750" spans="1:18" ht="30">
      <c r="A750" s="1990" t="s">
        <v>1119</v>
      </c>
      <c r="B750" s="1990" t="s">
        <v>1481</v>
      </c>
      <c r="C750" s="1990" t="s">
        <v>1050</v>
      </c>
      <c r="D750" s="1990" t="s">
        <v>948</v>
      </c>
      <c r="E750" s="1990" t="s">
        <v>1054</v>
      </c>
      <c r="F750" s="1991"/>
      <c r="G750" s="1991">
        <v>0</v>
      </c>
      <c r="H750" s="1991"/>
      <c r="I750" s="1991"/>
      <c r="J750" s="1991">
        <v>49008</v>
      </c>
      <c r="K750" s="1991">
        <v>200</v>
      </c>
      <c r="L750" s="1990">
        <v>0</v>
      </c>
      <c r="M750" s="1990">
        <v>0</v>
      </c>
      <c r="N750" s="1990" t="s">
        <v>1052</v>
      </c>
      <c r="O750" s="1990" t="s">
        <v>8509</v>
      </c>
      <c r="P750" s="1990" t="s">
        <v>948</v>
      </c>
      <c r="Q750" s="1990" t="s">
        <v>1209</v>
      </c>
      <c r="R750" s="1990" t="s">
        <v>1054</v>
      </c>
    </row>
    <row r="751" spans="1:18" ht="30">
      <c r="A751" s="1990" t="s">
        <v>1059</v>
      </c>
      <c r="B751" s="1990" t="s">
        <v>1104</v>
      </c>
      <c r="C751" s="1990" t="s">
        <v>1050</v>
      </c>
      <c r="D751" s="1990" t="s">
        <v>935</v>
      </c>
      <c r="E751" s="1990" t="s">
        <v>1051</v>
      </c>
      <c r="F751" s="1991">
        <v>26264</v>
      </c>
      <c r="G751" s="1991">
        <v>656600</v>
      </c>
      <c r="H751" s="1991">
        <v>26264</v>
      </c>
      <c r="I751" s="1991">
        <v>26264</v>
      </c>
      <c r="J751" s="1991">
        <v>26264</v>
      </c>
      <c r="K751" s="1991">
        <v>0</v>
      </c>
      <c r="L751" s="1991">
        <v>25</v>
      </c>
      <c r="M751" s="1991">
        <v>25</v>
      </c>
      <c r="N751" s="1990" t="s">
        <v>1052</v>
      </c>
      <c r="O751" s="1990" t="s">
        <v>8509</v>
      </c>
      <c r="P751" s="1990" t="s">
        <v>935</v>
      </c>
      <c r="Q751" s="1990" t="s">
        <v>1087</v>
      </c>
      <c r="R751" s="1990" t="s">
        <v>1054</v>
      </c>
    </row>
    <row r="752" spans="1:18">
      <c r="A752" s="1990" t="s">
        <v>1192</v>
      </c>
      <c r="B752" s="1990" t="s">
        <v>1313</v>
      </c>
      <c r="C752" s="1990" t="s">
        <v>1050</v>
      </c>
      <c r="D752" s="1990" t="s">
        <v>952</v>
      </c>
      <c r="E752" s="1990" t="s">
        <v>1051</v>
      </c>
      <c r="F752" s="1991">
        <v>28121</v>
      </c>
      <c r="G752" s="1991">
        <v>703025</v>
      </c>
      <c r="H752" s="1991">
        <v>28121</v>
      </c>
      <c r="I752" s="1991">
        <v>28121</v>
      </c>
      <c r="J752" s="1991">
        <v>28121</v>
      </c>
      <c r="K752" s="1991">
        <v>0</v>
      </c>
      <c r="L752" s="1991">
        <v>25</v>
      </c>
      <c r="M752" s="1991">
        <v>25</v>
      </c>
      <c r="N752" s="1990" t="s">
        <v>1052</v>
      </c>
      <c r="O752" s="1990" t="s">
        <v>8509</v>
      </c>
      <c r="P752" s="1990" t="s">
        <v>1311</v>
      </c>
      <c r="Q752" s="1990" t="s">
        <v>1312</v>
      </c>
      <c r="R752" s="1990" t="s">
        <v>1054</v>
      </c>
    </row>
    <row r="753" spans="1:18" ht="30">
      <c r="A753" s="1990" t="s">
        <v>1179</v>
      </c>
      <c r="B753" s="1990" t="s">
        <v>1203</v>
      </c>
      <c r="C753" s="1990" t="s">
        <v>1050</v>
      </c>
      <c r="D753" s="1990" t="s">
        <v>973</v>
      </c>
      <c r="E753" s="1990" t="s">
        <v>1051</v>
      </c>
      <c r="F753" s="1991">
        <v>76061</v>
      </c>
      <c r="G753" s="1991">
        <v>1521220</v>
      </c>
      <c r="H753" s="1991">
        <v>76061</v>
      </c>
      <c r="I753" s="1991">
        <v>76061</v>
      </c>
      <c r="J753" s="1991">
        <v>76061</v>
      </c>
      <c r="K753" s="1991">
        <v>0</v>
      </c>
      <c r="L753" s="1991">
        <v>20</v>
      </c>
      <c r="M753" s="1991">
        <v>20</v>
      </c>
      <c r="N753" s="1990" t="s">
        <v>1052</v>
      </c>
      <c r="O753" s="1990" t="s">
        <v>8509</v>
      </c>
      <c r="P753" s="1990" t="s">
        <v>1201</v>
      </c>
      <c r="Q753" s="1990" t="s">
        <v>1053</v>
      </c>
      <c r="R753" s="1990" t="s">
        <v>1054</v>
      </c>
    </row>
    <row r="754" spans="1:18">
      <c r="A754" s="1990"/>
      <c r="B754" s="1990"/>
      <c r="C754" s="1990"/>
      <c r="D754" s="1990"/>
      <c r="E754" s="1990"/>
      <c r="F754" s="1991"/>
      <c r="G754" s="1991"/>
      <c r="H754" s="1991"/>
      <c r="I754" s="1991"/>
      <c r="J754" s="1991"/>
      <c r="K754" s="1991"/>
      <c r="L754" s="1990"/>
      <c r="M754" s="1990"/>
      <c r="N754" s="1990"/>
      <c r="O754" s="1990"/>
      <c r="P754" s="1990"/>
      <c r="Q754" s="1990"/>
      <c r="R754" s="1990"/>
    </row>
    <row r="755" spans="1:18">
      <c r="A755" s="1990"/>
      <c r="B755" s="1990"/>
      <c r="C755" s="1990"/>
      <c r="D755" s="1990"/>
      <c r="E755" s="1990"/>
      <c r="F755" s="1991"/>
      <c r="G755" s="1991"/>
      <c r="H755" s="1991"/>
      <c r="I755" s="1991"/>
      <c r="J755" s="1991"/>
      <c r="K755" s="1991"/>
      <c r="L755" s="1990"/>
      <c r="M755" s="1990"/>
      <c r="N755" s="1990"/>
      <c r="O755" s="1990"/>
      <c r="P755" s="1990"/>
      <c r="Q755" s="1990"/>
      <c r="R755" s="1990"/>
    </row>
    <row r="756" spans="1:18">
      <c r="A756" s="1990"/>
      <c r="B756" s="1990"/>
      <c r="C756" s="1990"/>
      <c r="D756" s="1990"/>
      <c r="E756" s="1990"/>
      <c r="F756" s="1991"/>
      <c r="G756" s="1991"/>
      <c r="H756" s="1991"/>
      <c r="I756" s="1991"/>
      <c r="J756" s="1991"/>
      <c r="K756" s="1991"/>
      <c r="L756" s="1991"/>
      <c r="M756" s="1991"/>
      <c r="N756" s="1990"/>
      <c r="O756" s="1990"/>
      <c r="P756" s="1990"/>
      <c r="Q756" s="1990"/>
      <c r="R756" s="1990"/>
    </row>
    <row r="757" spans="1:18">
      <c r="A757" s="1990"/>
      <c r="B757" s="1990"/>
      <c r="C757" s="1990"/>
      <c r="D757" s="1990"/>
      <c r="E757" s="1990"/>
      <c r="F757" s="1991"/>
      <c r="G757" s="1991"/>
      <c r="H757" s="1991"/>
      <c r="I757" s="1991"/>
      <c r="J757" s="1991"/>
      <c r="K757" s="1991"/>
      <c r="L757" s="1991"/>
      <c r="M757" s="1991"/>
      <c r="N757" s="1990"/>
      <c r="O757" s="1990"/>
      <c r="P757" s="1990"/>
      <c r="Q757" s="1990"/>
      <c r="R757" s="1990"/>
    </row>
    <row r="758" spans="1:18">
      <c r="A758" s="1990"/>
      <c r="B758" s="1990"/>
      <c r="C758" s="1990"/>
      <c r="D758" s="1990"/>
      <c r="E758" s="1990"/>
      <c r="F758" s="1991"/>
      <c r="G758" s="1991"/>
      <c r="H758" s="1991"/>
      <c r="I758" s="1991"/>
      <c r="J758" s="1991"/>
      <c r="K758" s="1991"/>
      <c r="L758" s="1990"/>
      <c r="M758" s="1990"/>
      <c r="N758" s="1990"/>
      <c r="O758" s="1990"/>
      <c r="P758" s="1990"/>
      <c r="Q758" s="1990"/>
      <c r="R758" s="1990"/>
    </row>
    <row r="759" spans="1:18">
      <c r="A759" s="1990"/>
      <c r="B759" s="1990"/>
      <c r="C759" s="1990"/>
      <c r="D759" s="1990"/>
      <c r="E759" s="1990"/>
      <c r="F759" s="1991"/>
      <c r="G759" s="1991"/>
      <c r="H759" s="1991"/>
      <c r="I759" s="1991"/>
      <c r="J759" s="1991"/>
      <c r="K759" s="1991"/>
      <c r="L759" s="1991"/>
      <c r="M759" s="1991"/>
      <c r="N759" s="1990"/>
      <c r="O759" s="1990"/>
      <c r="P759" s="1990"/>
      <c r="Q759" s="1990"/>
      <c r="R759" s="1990"/>
    </row>
    <row r="760" spans="1:18">
      <c r="A760" s="1990"/>
      <c r="B760" s="1990"/>
      <c r="C760" s="1990"/>
      <c r="D760" s="1990"/>
      <c r="E760" s="1990"/>
      <c r="F760" s="1991"/>
      <c r="G760" s="1991"/>
      <c r="H760" s="1991"/>
      <c r="I760" s="1991"/>
      <c r="J760" s="1991"/>
      <c r="K760" s="1990"/>
      <c r="L760" s="1991"/>
      <c r="M760" s="1991"/>
      <c r="N760" s="1990"/>
      <c r="O760" s="1990"/>
      <c r="P760" s="1990"/>
      <c r="Q760" s="1990"/>
      <c r="R760" s="1990"/>
    </row>
    <row r="761" spans="1:18">
      <c r="A761" s="1990"/>
      <c r="B761" s="1990"/>
      <c r="C761" s="1990"/>
      <c r="D761" s="1990"/>
      <c r="E761" s="1990"/>
      <c r="F761" s="1991"/>
      <c r="G761" s="1991"/>
      <c r="H761" s="1991"/>
      <c r="I761" s="1991"/>
      <c r="J761" s="1991"/>
      <c r="K761" s="1990"/>
      <c r="L761" s="1991"/>
      <c r="M761" s="1991"/>
      <c r="N761" s="1990"/>
      <c r="O761" s="1990"/>
      <c r="P761" s="1990"/>
      <c r="Q761" s="1990"/>
      <c r="R761" s="1990"/>
    </row>
    <row r="762" spans="1:18">
      <c r="A762" s="1990"/>
      <c r="B762" s="1990"/>
      <c r="C762" s="1990"/>
      <c r="D762" s="1990"/>
      <c r="E762" s="1990"/>
      <c r="F762" s="1991"/>
      <c r="G762" s="1991"/>
      <c r="H762" s="1991"/>
      <c r="I762" s="1991"/>
      <c r="J762" s="1991"/>
      <c r="K762" s="1990"/>
      <c r="L762" s="1990"/>
      <c r="M762" s="1990"/>
      <c r="N762" s="1990"/>
      <c r="O762" s="1990"/>
      <c r="P762" s="1990"/>
      <c r="Q762" s="1990"/>
      <c r="R762" s="1990"/>
    </row>
    <row r="763" spans="1:18">
      <c r="A763" s="1990"/>
      <c r="B763" s="1990"/>
      <c r="C763" s="1990"/>
      <c r="D763" s="1990"/>
      <c r="E763" s="1990"/>
      <c r="F763" s="1991"/>
      <c r="G763" s="1991"/>
      <c r="H763" s="1991"/>
      <c r="I763" s="1991"/>
      <c r="J763" s="1991"/>
      <c r="K763" s="1990"/>
      <c r="L763" s="1990"/>
      <c r="M763" s="1990"/>
      <c r="N763" s="1990"/>
      <c r="O763" s="1990"/>
      <c r="P763" s="1990"/>
      <c r="Q763" s="1990"/>
      <c r="R763" s="1990"/>
    </row>
    <row r="764" spans="1:18">
      <c r="A764" s="1990"/>
      <c r="B764" s="1990"/>
      <c r="C764" s="1990"/>
      <c r="D764" s="1990"/>
      <c r="E764" s="1990"/>
      <c r="F764" s="1991"/>
      <c r="G764" s="1991"/>
      <c r="H764" s="1991"/>
      <c r="I764" s="1991"/>
      <c r="J764" s="1991"/>
      <c r="K764" s="1990"/>
      <c r="L764" s="1990"/>
      <c r="M764" s="1990"/>
      <c r="N764" s="1990"/>
      <c r="O764" s="1990"/>
      <c r="P764" s="1990"/>
      <c r="Q764" s="1990"/>
      <c r="R764" s="1990"/>
    </row>
    <row r="765" spans="1:18">
      <c r="A765" s="1990"/>
      <c r="B765" s="1990"/>
      <c r="C765" s="1990"/>
      <c r="D765" s="1990"/>
      <c r="E765" s="1990"/>
      <c r="F765" s="1991"/>
      <c r="G765" s="1991"/>
      <c r="H765" s="1991"/>
      <c r="I765" s="1991"/>
      <c r="J765" s="1991"/>
      <c r="K765" s="1990"/>
      <c r="L765" s="1990"/>
      <c r="M765" s="1990"/>
      <c r="N765" s="1990"/>
      <c r="O765" s="1990"/>
      <c r="P765" s="1990"/>
      <c r="Q765" s="1990"/>
      <c r="R765" s="1990"/>
    </row>
    <row r="766" spans="1:18">
      <c r="A766" s="1990"/>
      <c r="B766" s="1990"/>
      <c r="C766" s="1990"/>
      <c r="D766" s="1990"/>
      <c r="E766" s="1990"/>
      <c r="F766" s="1991"/>
      <c r="G766" s="1991"/>
      <c r="H766" s="1991"/>
      <c r="I766" s="1991"/>
      <c r="J766" s="1991"/>
      <c r="K766" s="1990"/>
      <c r="L766" s="1990"/>
      <c r="M766" s="1990"/>
      <c r="N766" s="1990"/>
      <c r="O766" s="1990"/>
      <c r="P766" s="1990"/>
      <c r="Q766" s="1990"/>
      <c r="R766" s="1990"/>
    </row>
    <row r="767" spans="1:18">
      <c r="A767" s="1990"/>
      <c r="B767" s="1990"/>
      <c r="C767" s="1990"/>
      <c r="D767" s="1990"/>
      <c r="E767" s="1990"/>
      <c r="F767" s="1991"/>
      <c r="G767" s="1991"/>
      <c r="H767" s="1991"/>
      <c r="I767" s="1991"/>
      <c r="J767" s="1991"/>
      <c r="K767" s="1990"/>
      <c r="L767" s="1990"/>
      <c r="M767" s="1990"/>
      <c r="N767" s="1990"/>
      <c r="O767" s="1990"/>
      <c r="P767" s="1990"/>
      <c r="Q767" s="1990"/>
      <c r="R767" s="1990"/>
    </row>
    <row r="768" spans="1:18">
      <c r="A768" s="1990"/>
      <c r="B768" s="1990"/>
      <c r="C768" s="1990"/>
      <c r="D768" s="1990"/>
      <c r="E768" s="1990"/>
      <c r="F768" s="1991"/>
      <c r="G768" s="1991"/>
      <c r="H768" s="1991"/>
      <c r="I768" s="1991"/>
      <c r="J768" s="1991"/>
      <c r="K768" s="1990"/>
      <c r="L768" s="1990"/>
      <c r="M768" s="1990"/>
      <c r="N768" s="1990"/>
      <c r="O768" s="1990"/>
      <c r="P768" s="1990"/>
      <c r="Q768" s="1990"/>
      <c r="R768" s="1990"/>
    </row>
    <row r="769" spans="1:18">
      <c r="A769" s="1990"/>
      <c r="B769" s="1990"/>
      <c r="C769" s="1990"/>
      <c r="D769" s="1990"/>
      <c r="E769" s="1990"/>
      <c r="F769" s="1991"/>
      <c r="G769" s="1991"/>
      <c r="H769" s="1991"/>
      <c r="I769" s="1991"/>
      <c r="J769" s="1991"/>
      <c r="K769" s="1990"/>
      <c r="L769" s="1990"/>
      <c r="M769" s="1990"/>
      <c r="N769" s="1990"/>
      <c r="O769" s="1990"/>
      <c r="P769" s="1990"/>
      <c r="Q769" s="1990"/>
      <c r="R769" s="1990"/>
    </row>
    <row r="770" spans="1:18">
      <c r="A770" s="1990"/>
      <c r="B770" s="1990"/>
      <c r="C770" s="1990"/>
      <c r="D770" s="1990"/>
      <c r="E770" s="1990"/>
      <c r="F770" s="1991"/>
      <c r="G770" s="1991"/>
      <c r="H770" s="1991"/>
      <c r="I770" s="1991"/>
      <c r="J770" s="1991"/>
      <c r="K770" s="1990"/>
      <c r="L770" s="1990"/>
      <c r="M770" s="1990"/>
      <c r="N770" s="1990"/>
      <c r="O770" s="1990"/>
      <c r="P770" s="1990"/>
      <c r="Q770" s="1990"/>
      <c r="R770" s="1990"/>
    </row>
    <row r="771" spans="1:18">
      <c r="A771" s="1990"/>
      <c r="B771" s="1990"/>
      <c r="C771" s="1990"/>
      <c r="D771" s="1990"/>
      <c r="E771" s="1990"/>
      <c r="F771" s="1991"/>
      <c r="G771" s="1991"/>
      <c r="H771" s="1991"/>
      <c r="I771" s="1991"/>
      <c r="J771" s="1991"/>
      <c r="K771" s="1991"/>
      <c r="L771" s="1991"/>
      <c r="M771" s="1991"/>
      <c r="N771" s="1990"/>
      <c r="O771" s="1990"/>
      <c r="P771" s="1990"/>
      <c r="Q771" s="1990"/>
      <c r="R771" s="1990"/>
    </row>
    <row r="772" spans="1:18">
      <c r="A772" s="1990"/>
      <c r="B772" s="1990"/>
      <c r="C772" s="1990"/>
      <c r="D772" s="1990"/>
      <c r="E772" s="1990"/>
      <c r="F772" s="1991"/>
      <c r="G772" s="1991"/>
      <c r="H772" s="1991"/>
      <c r="I772" s="1991"/>
      <c r="J772" s="1991"/>
      <c r="K772" s="1991"/>
      <c r="L772" s="1991"/>
      <c r="M772" s="1991"/>
      <c r="N772" s="1990"/>
      <c r="O772" s="1990"/>
      <c r="P772" s="1990"/>
      <c r="Q772" s="1990"/>
      <c r="R772" s="1990"/>
    </row>
    <row r="773" spans="1:18">
      <c r="A773" s="1990"/>
      <c r="B773" s="1990"/>
      <c r="C773" s="1990"/>
      <c r="D773" s="1990"/>
      <c r="E773" s="1990"/>
      <c r="F773" s="1991"/>
      <c r="G773" s="1991"/>
      <c r="H773" s="1991"/>
      <c r="I773" s="1991"/>
      <c r="J773" s="1991"/>
      <c r="K773" s="1991"/>
      <c r="L773" s="1991"/>
      <c r="M773" s="1991"/>
      <c r="N773" s="1990"/>
      <c r="O773" s="1990"/>
      <c r="P773" s="1990"/>
      <c r="Q773" s="1990"/>
      <c r="R773" s="1990"/>
    </row>
    <row r="774" spans="1:18">
      <c r="A774" s="1990"/>
      <c r="B774" s="1990"/>
      <c r="C774" s="1990"/>
      <c r="D774" s="1990"/>
      <c r="E774" s="1990"/>
      <c r="F774" s="1991"/>
      <c r="G774" s="1991"/>
      <c r="H774" s="1991"/>
      <c r="I774" s="1991"/>
      <c r="J774" s="1991"/>
      <c r="K774" s="1990"/>
      <c r="L774" s="1991"/>
      <c r="M774" s="1990"/>
      <c r="N774" s="1990"/>
      <c r="O774" s="1990"/>
      <c r="P774" s="1990"/>
      <c r="Q774" s="1990"/>
      <c r="R774" s="1990"/>
    </row>
    <row r="775" spans="1:18">
      <c r="A775" s="1990"/>
      <c r="B775" s="1990"/>
      <c r="C775" s="1990"/>
      <c r="D775" s="1990"/>
      <c r="E775" s="1990"/>
      <c r="F775" s="1991"/>
      <c r="G775" s="1991"/>
      <c r="H775" s="1991"/>
      <c r="I775" s="1991"/>
      <c r="J775" s="1991"/>
      <c r="K775" s="1990"/>
      <c r="L775" s="1990"/>
      <c r="M775" s="1990"/>
      <c r="N775" s="1990"/>
      <c r="O775" s="1990"/>
      <c r="P775" s="1990"/>
      <c r="Q775" s="1990"/>
      <c r="R775" s="1990"/>
    </row>
    <row r="776" spans="1:18">
      <c r="A776" s="1990"/>
      <c r="B776" s="1990"/>
      <c r="C776" s="1990"/>
      <c r="D776" s="1990"/>
      <c r="E776" s="1990"/>
      <c r="F776" s="1991"/>
      <c r="G776" s="1991"/>
      <c r="H776" s="1991"/>
      <c r="I776" s="1991"/>
      <c r="J776" s="1991"/>
      <c r="K776" s="1991"/>
      <c r="L776" s="1991"/>
      <c r="M776" s="1991"/>
      <c r="N776" s="1990"/>
      <c r="O776" s="1990"/>
      <c r="P776" s="1990"/>
      <c r="Q776" s="1990"/>
      <c r="R776" s="1990"/>
    </row>
    <row r="777" spans="1:18">
      <c r="A777" s="1990"/>
      <c r="B777" s="1990"/>
      <c r="C777" s="1990"/>
      <c r="D777" s="1990"/>
      <c r="E777" s="1990"/>
      <c r="F777" s="1991"/>
      <c r="G777" s="1991"/>
      <c r="H777" s="1991"/>
      <c r="I777" s="1991"/>
      <c r="J777" s="1991"/>
      <c r="K777" s="1990"/>
      <c r="L777" s="1991"/>
      <c r="M777" s="1990"/>
      <c r="N777" s="1990"/>
      <c r="O777" s="1990"/>
      <c r="P777" s="1990"/>
      <c r="Q777" s="1990"/>
      <c r="R777" s="1990"/>
    </row>
    <row r="778" spans="1:18">
      <c r="A778" s="1990"/>
      <c r="B778" s="1990"/>
      <c r="C778" s="1990"/>
      <c r="D778" s="1990"/>
      <c r="E778" s="1990"/>
      <c r="F778" s="1991"/>
      <c r="G778" s="1991"/>
      <c r="H778" s="1991"/>
      <c r="I778" s="1991"/>
      <c r="J778" s="1991"/>
      <c r="K778" s="1991"/>
      <c r="L778" s="1991"/>
      <c r="M778" s="1991"/>
      <c r="N778" s="1990"/>
      <c r="O778" s="1990"/>
      <c r="P778" s="1990"/>
      <c r="Q778" s="1990"/>
      <c r="R778" s="1990"/>
    </row>
    <row r="779" spans="1:18">
      <c r="A779" s="1990"/>
      <c r="B779" s="1990"/>
      <c r="C779" s="1990"/>
      <c r="D779" s="1990"/>
      <c r="E779" s="1990"/>
      <c r="F779" s="1991"/>
      <c r="G779" s="1991"/>
      <c r="H779" s="1991"/>
      <c r="I779" s="1991"/>
      <c r="J779" s="1991"/>
      <c r="K779" s="1991"/>
      <c r="L779" s="1991"/>
      <c r="M779" s="1991"/>
      <c r="N779" s="1990"/>
      <c r="O779" s="1990"/>
      <c r="P779" s="1990"/>
      <c r="Q779" s="1990"/>
      <c r="R779" s="1990"/>
    </row>
    <row r="780" spans="1:18">
      <c r="A780" s="1990"/>
      <c r="B780" s="1990"/>
      <c r="C780" s="1990"/>
      <c r="D780" s="1990"/>
      <c r="E780" s="1990"/>
      <c r="F780" s="1991"/>
      <c r="G780" s="1991"/>
      <c r="H780" s="1991"/>
      <c r="I780" s="1991"/>
      <c r="J780" s="1991"/>
      <c r="K780" s="1991"/>
      <c r="L780" s="1991"/>
      <c r="M780" s="1991"/>
      <c r="N780" s="1990"/>
      <c r="O780" s="1990"/>
      <c r="P780" s="1990"/>
      <c r="Q780" s="1990"/>
      <c r="R780" s="1990"/>
    </row>
    <row r="781" spans="1:18">
      <c r="A781" s="1990"/>
      <c r="B781" s="1990"/>
      <c r="C781" s="1990"/>
      <c r="D781" s="1990"/>
      <c r="E781" s="1990"/>
      <c r="F781" s="1991"/>
      <c r="G781" s="1991"/>
      <c r="H781" s="1991"/>
      <c r="I781" s="1991"/>
      <c r="J781" s="1991"/>
      <c r="K781" s="1991"/>
      <c r="L781" s="1991"/>
      <c r="M781" s="1991"/>
      <c r="N781" s="1990"/>
      <c r="O781" s="1990"/>
      <c r="P781" s="1990"/>
      <c r="Q781" s="1990"/>
      <c r="R781" s="1990"/>
    </row>
    <row r="782" spans="1:18">
      <c r="A782" s="1990"/>
      <c r="B782" s="1990"/>
      <c r="C782" s="1990"/>
      <c r="D782" s="1990"/>
      <c r="E782" s="1990"/>
      <c r="F782" s="1991"/>
      <c r="G782" s="1991"/>
      <c r="H782" s="1991"/>
      <c r="I782" s="1991"/>
      <c r="J782" s="1991"/>
      <c r="K782" s="1991"/>
      <c r="L782" s="1991"/>
      <c r="M782" s="1991"/>
      <c r="N782" s="1990"/>
      <c r="O782" s="1990"/>
      <c r="P782" s="1990"/>
      <c r="Q782" s="1990"/>
      <c r="R782" s="1990"/>
    </row>
    <row r="783" spans="1:18">
      <c r="A783" s="1990"/>
      <c r="B783" s="1990"/>
      <c r="C783" s="1990"/>
      <c r="D783" s="1990"/>
      <c r="E783" s="1990"/>
      <c r="F783" s="1991"/>
      <c r="G783" s="1991"/>
      <c r="H783" s="1991"/>
      <c r="I783" s="1991"/>
      <c r="J783" s="1991"/>
      <c r="K783" s="1991"/>
      <c r="L783" s="1991"/>
      <c r="M783" s="1991"/>
      <c r="N783" s="1990"/>
      <c r="O783" s="1990"/>
      <c r="P783" s="1990"/>
      <c r="Q783" s="1990"/>
      <c r="R783" s="1990"/>
    </row>
    <row r="784" spans="1:18">
      <c r="A784" s="1990"/>
      <c r="B784" s="1990"/>
      <c r="C784" s="1990"/>
      <c r="D784" s="1990"/>
      <c r="E784" s="1990"/>
      <c r="F784" s="1991"/>
      <c r="G784" s="1991"/>
      <c r="H784" s="1991"/>
      <c r="I784" s="1991"/>
      <c r="J784" s="1991"/>
      <c r="K784" s="1991"/>
      <c r="L784" s="1991"/>
      <c r="M784" s="1991"/>
      <c r="N784" s="1990"/>
      <c r="O784" s="1990"/>
      <c r="P784" s="1990"/>
      <c r="Q784" s="1990"/>
      <c r="R784" s="1990"/>
    </row>
    <row r="785" spans="1:18">
      <c r="A785" s="1990"/>
      <c r="B785" s="1990"/>
      <c r="C785" s="1990"/>
      <c r="D785" s="1990"/>
      <c r="E785" s="1990"/>
      <c r="F785" s="1991"/>
      <c r="G785" s="1991"/>
      <c r="H785" s="1991"/>
      <c r="I785" s="1991"/>
      <c r="J785" s="1991"/>
      <c r="K785" s="1991"/>
      <c r="L785" s="1991"/>
      <c r="M785" s="1991"/>
      <c r="N785" s="1990"/>
      <c r="O785" s="1990"/>
      <c r="P785" s="1990"/>
      <c r="Q785" s="1990"/>
      <c r="R785" s="1990"/>
    </row>
    <row r="786" spans="1:18">
      <c r="A786" s="1990"/>
      <c r="B786" s="1990"/>
      <c r="C786" s="1990"/>
      <c r="D786" s="1990"/>
      <c r="E786" s="1990"/>
      <c r="F786" s="1991"/>
      <c r="G786" s="1991"/>
      <c r="H786" s="1991"/>
      <c r="I786" s="1991"/>
      <c r="J786" s="1991"/>
      <c r="K786" s="1991"/>
      <c r="L786" s="1991"/>
      <c r="M786" s="1991"/>
      <c r="N786" s="1990"/>
      <c r="O786" s="1990"/>
      <c r="P786" s="1990"/>
      <c r="Q786" s="1990"/>
      <c r="R786" s="1990"/>
    </row>
    <row r="787" spans="1:18">
      <c r="A787" s="1990"/>
      <c r="B787" s="1990"/>
      <c r="C787" s="1990"/>
      <c r="D787" s="1990"/>
      <c r="E787" s="1990"/>
      <c r="F787" s="1991"/>
      <c r="G787" s="1991"/>
      <c r="H787" s="1991"/>
      <c r="I787" s="1991"/>
      <c r="J787" s="1991"/>
      <c r="K787" s="1991"/>
      <c r="L787" s="1991"/>
      <c r="M787" s="1991"/>
      <c r="N787" s="1990"/>
      <c r="O787" s="1990"/>
      <c r="P787" s="1990"/>
      <c r="Q787" s="1990"/>
      <c r="R787" s="1990"/>
    </row>
    <row r="788" spans="1:18">
      <c r="A788" s="1990"/>
      <c r="B788" s="1990"/>
      <c r="C788" s="1990"/>
      <c r="D788" s="1990"/>
      <c r="E788" s="1990"/>
      <c r="F788" s="1991"/>
      <c r="G788" s="1991"/>
      <c r="H788" s="1991"/>
      <c r="I788" s="1991"/>
      <c r="J788" s="1991"/>
      <c r="K788" s="1991"/>
      <c r="L788" s="1991"/>
      <c r="M788" s="1991"/>
      <c r="N788" s="1990"/>
      <c r="O788" s="1990"/>
      <c r="P788" s="1990"/>
      <c r="Q788" s="1990"/>
      <c r="R788" s="1990"/>
    </row>
    <row r="789" spans="1:18">
      <c r="A789" s="1990"/>
      <c r="B789" s="1990"/>
      <c r="C789" s="1990"/>
      <c r="D789" s="1990"/>
      <c r="E789" s="1990"/>
      <c r="F789" s="1991"/>
      <c r="G789" s="1991"/>
      <c r="H789" s="1991"/>
      <c r="I789" s="1991"/>
      <c r="J789" s="1991"/>
      <c r="K789" s="1991"/>
      <c r="L789" s="1991"/>
      <c r="M789" s="1991"/>
      <c r="N789" s="1990"/>
      <c r="O789" s="1990"/>
      <c r="P789" s="1990"/>
      <c r="Q789" s="1990"/>
      <c r="R789" s="1990"/>
    </row>
    <row r="790" spans="1:18">
      <c r="A790" s="1990"/>
      <c r="B790" s="1990"/>
      <c r="C790" s="1990"/>
      <c r="D790" s="1990"/>
      <c r="E790" s="1990"/>
      <c r="F790" s="1991"/>
      <c r="G790" s="1991"/>
      <c r="H790" s="1991"/>
      <c r="I790" s="1991"/>
      <c r="J790" s="1991"/>
      <c r="K790" s="1991"/>
      <c r="L790" s="1991"/>
      <c r="M790" s="1991"/>
      <c r="N790" s="1990"/>
      <c r="O790" s="1990"/>
      <c r="P790" s="1990"/>
      <c r="Q790" s="1990"/>
      <c r="R790" s="1990"/>
    </row>
    <row r="791" spans="1:18">
      <c r="A791" s="1990"/>
      <c r="B791" s="1990"/>
      <c r="C791" s="1990"/>
      <c r="D791" s="1990"/>
      <c r="E791" s="1990"/>
      <c r="F791" s="1991"/>
      <c r="G791" s="1991"/>
      <c r="H791" s="1991"/>
      <c r="I791" s="1991"/>
      <c r="J791" s="1991"/>
      <c r="K791" s="1991"/>
      <c r="L791" s="1991"/>
      <c r="M791" s="1991"/>
      <c r="N791" s="1990"/>
      <c r="O791" s="1990"/>
      <c r="P791" s="1990"/>
      <c r="Q791" s="1990"/>
      <c r="R791" s="1990"/>
    </row>
    <row r="792" spans="1:18">
      <c r="A792" s="1990"/>
      <c r="B792" s="1990"/>
      <c r="C792" s="1990"/>
      <c r="D792" s="1990"/>
      <c r="E792" s="1990"/>
      <c r="F792" s="1991"/>
      <c r="G792" s="1991"/>
      <c r="H792" s="1991"/>
      <c r="I792" s="1991"/>
      <c r="J792" s="1991"/>
      <c r="K792" s="1991"/>
      <c r="L792" s="1991"/>
      <c r="M792" s="1991"/>
      <c r="N792" s="1990"/>
      <c r="O792" s="1990"/>
      <c r="P792" s="1990"/>
      <c r="Q792" s="1990"/>
      <c r="R792" s="1990"/>
    </row>
    <row r="793" spans="1:18">
      <c r="A793" s="1990"/>
      <c r="B793" s="1990"/>
      <c r="C793" s="1990"/>
      <c r="D793" s="1990"/>
      <c r="E793" s="1990"/>
      <c r="F793" s="1991"/>
      <c r="G793" s="1991"/>
      <c r="H793" s="1991"/>
      <c r="I793" s="1991"/>
      <c r="J793" s="1991"/>
      <c r="K793" s="1991"/>
      <c r="L793" s="1991"/>
      <c r="M793" s="1991"/>
      <c r="N793" s="1990"/>
      <c r="O793" s="1990"/>
      <c r="P793" s="1990"/>
      <c r="Q793" s="1990"/>
      <c r="R793" s="1990"/>
    </row>
    <row r="794" spans="1:18">
      <c r="A794" s="1990"/>
      <c r="B794" s="1990"/>
      <c r="C794" s="1990"/>
      <c r="D794" s="1990"/>
      <c r="E794" s="1990"/>
      <c r="F794" s="1991"/>
      <c r="G794" s="1991"/>
      <c r="H794" s="1991"/>
      <c r="I794" s="1991"/>
      <c r="J794" s="1991"/>
      <c r="K794" s="1991"/>
      <c r="L794" s="1991"/>
      <c r="M794" s="1991"/>
      <c r="N794" s="1990"/>
      <c r="O794" s="1990"/>
      <c r="P794" s="1990"/>
      <c r="Q794" s="1990"/>
      <c r="R794" s="1990"/>
    </row>
    <row r="795" spans="1:18">
      <c r="A795" s="1990"/>
      <c r="B795" s="1990"/>
      <c r="C795" s="1990"/>
      <c r="D795" s="1990"/>
      <c r="E795" s="1990"/>
      <c r="F795" s="1991"/>
      <c r="G795" s="1991"/>
      <c r="H795" s="1991"/>
      <c r="I795" s="1991"/>
      <c r="J795" s="1991"/>
      <c r="K795" s="1990"/>
      <c r="L795" s="1991"/>
      <c r="M795" s="1990"/>
      <c r="N795" s="1990"/>
      <c r="O795" s="1990"/>
      <c r="P795" s="1990"/>
      <c r="Q795" s="1990"/>
      <c r="R795" s="1990"/>
    </row>
    <row r="796" spans="1:18">
      <c r="A796" s="1990"/>
      <c r="B796" s="1990"/>
      <c r="C796" s="1990"/>
      <c r="D796" s="1990"/>
      <c r="E796" s="1990"/>
      <c r="F796" s="1991"/>
      <c r="G796" s="1991"/>
      <c r="H796" s="1991"/>
      <c r="I796" s="1991"/>
      <c r="J796" s="1991"/>
      <c r="K796" s="1991"/>
      <c r="L796" s="1991"/>
      <c r="M796" s="1991"/>
      <c r="N796" s="1990"/>
      <c r="O796" s="1990"/>
      <c r="P796" s="1990"/>
      <c r="Q796" s="1990"/>
      <c r="R796" s="1990"/>
    </row>
    <row r="797" spans="1:18">
      <c r="A797" s="1990"/>
      <c r="B797" s="1990"/>
      <c r="C797" s="1990"/>
      <c r="D797" s="1990"/>
      <c r="E797" s="1990"/>
      <c r="F797" s="1991"/>
      <c r="G797" s="1991"/>
      <c r="H797" s="1991"/>
      <c r="I797" s="1991"/>
      <c r="J797" s="1991"/>
      <c r="K797" s="1991"/>
      <c r="L797" s="1991"/>
      <c r="M797" s="1991"/>
      <c r="N797" s="1990"/>
      <c r="O797" s="1990"/>
      <c r="P797" s="1990"/>
      <c r="Q797" s="1990"/>
      <c r="R797" s="1990"/>
    </row>
    <row r="798" spans="1:18">
      <c r="A798" s="1990"/>
      <c r="B798" s="1990"/>
      <c r="C798" s="1990"/>
      <c r="D798" s="1990"/>
      <c r="E798" s="1990"/>
      <c r="F798" s="1991"/>
      <c r="G798" s="1991"/>
      <c r="H798" s="1991"/>
      <c r="I798" s="1991"/>
      <c r="J798" s="1991"/>
      <c r="K798" s="1991"/>
      <c r="L798" s="1991"/>
      <c r="M798" s="1991"/>
      <c r="N798" s="1990"/>
      <c r="O798" s="1990"/>
      <c r="P798" s="1990"/>
      <c r="Q798" s="1990"/>
      <c r="R798" s="1990"/>
    </row>
    <row r="799" spans="1:18">
      <c r="A799" s="1990"/>
      <c r="B799" s="1990"/>
      <c r="C799" s="1990"/>
      <c r="D799" s="1990"/>
      <c r="E799" s="1990"/>
      <c r="F799" s="1991"/>
      <c r="G799" s="1991"/>
      <c r="H799" s="1991"/>
      <c r="I799" s="1991"/>
      <c r="J799" s="1991"/>
      <c r="K799" s="1991"/>
      <c r="L799" s="1991"/>
      <c r="M799" s="1991"/>
      <c r="N799" s="1990"/>
      <c r="O799" s="1990"/>
      <c r="P799" s="1990"/>
      <c r="Q799" s="1990"/>
      <c r="R799" s="1990"/>
    </row>
    <row r="800" spans="1:18">
      <c r="A800" s="1990"/>
      <c r="B800" s="1990"/>
      <c r="C800" s="1990"/>
      <c r="D800" s="1990"/>
      <c r="E800" s="1990"/>
      <c r="F800" s="1991"/>
      <c r="G800" s="1991"/>
      <c r="H800" s="1991"/>
      <c r="I800" s="1991"/>
      <c r="J800" s="1991"/>
      <c r="K800" s="1991"/>
      <c r="L800" s="1991"/>
      <c r="M800" s="1991"/>
      <c r="N800" s="1990"/>
      <c r="O800" s="1990"/>
      <c r="P800" s="1990"/>
      <c r="Q800" s="1990"/>
      <c r="R800" s="1990"/>
    </row>
    <row r="801" spans="1:18">
      <c r="A801" s="1990"/>
      <c r="B801" s="1990"/>
      <c r="C801" s="1990"/>
      <c r="D801" s="1990"/>
      <c r="E801" s="1990"/>
      <c r="F801" s="1991"/>
      <c r="G801" s="1991"/>
      <c r="H801" s="1991"/>
      <c r="I801" s="1991"/>
      <c r="J801" s="1991"/>
      <c r="K801" s="1991"/>
      <c r="L801" s="1991"/>
      <c r="M801" s="1991"/>
      <c r="N801" s="1990"/>
      <c r="O801" s="1990"/>
      <c r="P801" s="1990"/>
      <c r="Q801" s="1990"/>
      <c r="R801" s="1990"/>
    </row>
    <row r="802" spans="1:18">
      <c r="A802" s="1990"/>
      <c r="B802" s="1990"/>
      <c r="C802" s="1990"/>
      <c r="D802" s="1990"/>
      <c r="E802" s="1990"/>
      <c r="F802" s="1991"/>
      <c r="G802" s="1991"/>
      <c r="H802" s="1991"/>
      <c r="I802" s="1991"/>
      <c r="J802" s="1991"/>
      <c r="K802" s="1991"/>
      <c r="L802" s="1991"/>
      <c r="M802" s="1991"/>
      <c r="N802" s="1990"/>
      <c r="O802" s="1990"/>
      <c r="P802" s="1990"/>
      <c r="Q802" s="1990"/>
      <c r="R802" s="1990"/>
    </row>
    <row r="803" spans="1:18">
      <c r="A803" s="1990"/>
      <c r="B803" s="1990"/>
      <c r="C803" s="1990"/>
      <c r="D803" s="1990"/>
      <c r="E803" s="1990"/>
      <c r="F803" s="1991"/>
      <c r="G803" s="1991"/>
      <c r="H803" s="1991"/>
      <c r="I803" s="1991"/>
      <c r="J803" s="1991"/>
      <c r="K803" s="1991"/>
      <c r="L803" s="1991"/>
      <c r="M803" s="1991"/>
      <c r="N803" s="1990"/>
      <c r="O803" s="1990"/>
      <c r="P803" s="1990"/>
      <c r="Q803" s="1990"/>
      <c r="R803" s="1990"/>
    </row>
    <row r="804" spans="1:18">
      <c r="A804" s="1990"/>
      <c r="B804" s="1990"/>
      <c r="C804" s="1990"/>
      <c r="D804" s="1990"/>
      <c r="E804" s="1990"/>
      <c r="F804" s="1991"/>
      <c r="G804" s="1991"/>
      <c r="H804" s="1991"/>
      <c r="I804" s="1991"/>
      <c r="J804" s="1991"/>
      <c r="K804" s="1991"/>
      <c r="L804" s="1991"/>
      <c r="M804" s="1991"/>
      <c r="N804" s="1990"/>
      <c r="O804" s="1990"/>
      <c r="P804" s="1990"/>
      <c r="Q804" s="1990"/>
      <c r="R804" s="1990"/>
    </row>
    <row r="805" spans="1:18">
      <c r="A805" s="1990"/>
      <c r="B805" s="1990"/>
      <c r="C805" s="1990"/>
      <c r="D805" s="1990"/>
      <c r="E805" s="1990"/>
      <c r="F805" s="1991"/>
      <c r="G805" s="1991"/>
      <c r="H805" s="1991"/>
      <c r="I805" s="1991"/>
      <c r="J805" s="1991"/>
      <c r="K805" s="1991"/>
      <c r="L805" s="1991"/>
      <c r="M805" s="1991"/>
      <c r="N805" s="1990"/>
      <c r="O805" s="1990"/>
      <c r="P805" s="1990"/>
      <c r="Q805" s="1990"/>
      <c r="R805" s="1990"/>
    </row>
    <row r="806" spans="1:18">
      <c r="A806" s="1990"/>
      <c r="B806" s="1990"/>
      <c r="C806" s="1990"/>
      <c r="D806" s="1990"/>
      <c r="E806" s="1990"/>
      <c r="F806" s="1991"/>
      <c r="G806" s="1991"/>
      <c r="H806" s="1991"/>
      <c r="I806" s="1991"/>
      <c r="J806" s="1991"/>
      <c r="K806" s="1991"/>
      <c r="L806" s="1991"/>
      <c r="M806" s="1991"/>
      <c r="N806" s="1990"/>
      <c r="O806" s="1990"/>
      <c r="P806" s="1990"/>
      <c r="Q806" s="1990"/>
      <c r="R806" s="1990"/>
    </row>
    <row r="807" spans="1:18">
      <c r="A807" s="1990"/>
      <c r="B807" s="1990"/>
      <c r="C807" s="1990"/>
      <c r="D807" s="1990"/>
      <c r="E807" s="1990"/>
      <c r="F807" s="1991"/>
      <c r="G807" s="1991"/>
      <c r="H807" s="1991"/>
      <c r="I807" s="1991"/>
      <c r="J807" s="1991"/>
      <c r="K807" s="1991"/>
      <c r="L807" s="1991"/>
      <c r="M807" s="1991"/>
      <c r="N807" s="1990"/>
      <c r="O807" s="1990"/>
      <c r="P807" s="1990"/>
      <c r="Q807" s="1990"/>
      <c r="R807" s="1990"/>
    </row>
    <row r="808" spans="1:18">
      <c r="A808" s="1990"/>
      <c r="B808" s="1990"/>
      <c r="C808" s="1990"/>
      <c r="D808" s="1990"/>
      <c r="E808" s="1990"/>
      <c r="F808" s="1991"/>
      <c r="G808" s="1991"/>
      <c r="H808" s="1991"/>
      <c r="I808" s="1991"/>
      <c r="J808" s="1991"/>
      <c r="K808" s="1991"/>
      <c r="L808" s="1991"/>
      <c r="M808" s="1991"/>
      <c r="N808" s="1990"/>
      <c r="O808" s="1990"/>
      <c r="P808" s="1990"/>
      <c r="Q808" s="1990"/>
      <c r="R808" s="1990"/>
    </row>
    <row r="809" spans="1:18">
      <c r="A809" s="1990"/>
      <c r="B809" s="1990"/>
      <c r="C809" s="1990"/>
      <c r="D809" s="1990"/>
      <c r="E809" s="1990"/>
      <c r="F809" s="1991"/>
      <c r="G809" s="1991"/>
      <c r="H809" s="1991"/>
      <c r="I809" s="1991"/>
      <c r="J809" s="1991"/>
      <c r="K809" s="1991"/>
      <c r="L809" s="1991"/>
      <c r="M809" s="1991"/>
      <c r="N809" s="1990"/>
      <c r="O809" s="1990"/>
      <c r="P809" s="1990"/>
      <c r="Q809" s="1990"/>
      <c r="R809" s="1990"/>
    </row>
    <row r="810" spans="1:18">
      <c r="A810" s="1990"/>
      <c r="B810" s="1990"/>
      <c r="C810" s="1990"/>
      <c r="D810" s="1990"/>
      <c r="E810" s="1990"/>
      <c r="F810" s="1991"/>
      <c r="G810" s="1991"/>
      <c r="H810" s="1991"/>
      <c r="I810" s="1991"/>
      <c r="J810" s="1991"/>
      <c r="K810" s="1991"/>
      <c r="L810" s="1991"/>
      <c r="M810" s="1991"/>
      <c r="N810" s="1990"/>
      <c r="O810" s="1990"/>
      <c r="P810" s="1990"/>
      <c r="Q810" s="1990"/>
      <c r="R810" s="1990"/>
    </row>
    <row r="811" spans="1:18">
      <c r="A811" s="1990"/>
      <c r="B811" s="1990"/>
      <c r="C811" s="1990"/>
      <c r="D811" s="1990"/>
      <c r="E811" s="1990"/>
      <c r="F811" s="1991"/>
      <c r="G811" s="1991"/>
      <c r="H811" s="1991"/>
      <c r="I811" s="1991"/>
      <c r="J811" s="1991"/>
      <c r="K811" s="1991"/>
      <c r="L811" s="1991"/>
      <c r="M811" s="1991"/>
      <c r="N811" s="1990"/>
      <c r="O811" s="1990"/>
      <c r="P811" s="1990"/>
      <c r="Q811" s="1990"/>
      <c r="R811" s="1990"/>
    </row>
    <row r="812" spans="1:18">
      <c r="A812" s="1990"/>
      <c r="B812" s="1990"/>
      <c r="C812" s="1990"/>
      <c r="D812" s="1990"/>
      <c r="E812" s="1990"/>
      <c r="F812" s="1991"/>
      <c r="G812" s="1991"/>
      <c r="H812" s="1991"/>
      <c r="I812" s="1991"/>
      <c r="J812" s="1991"/>
      <c r="K812" s="1991"/>
      <c r="L812" s="1991"/>
      <c r="M812" s="1991"/>
      <c r="N812" s="1990"/>
      <c r="O812" s="1990"/>
      <c r="P812" s="1990"/>
      <c r="Q812" s="1990"/>
      <c r="R812" s="1990"/>
    </row>
    <row r="813" spans="1:18">
      <c r="A813" s="1990"/>
      <c r="B813" s="1990"/>
      <c r="C813" s="1990"/>
      <c r="D813" s="1990"/>
      <c r="E813" s="1990"/>
      <c r="F813" s="1991"/>
      <c r="G813" s="1991"/>
      <c r="H813" s="1991"/>
      <c r="I813" s="1991"/>
      <c r="J813" s="1991"/>
      <c r="K813" s="1991"/>
      <c r="L813" s="1991"/>
      <c r="M813" s="1991"/>
      <c r="N813" s="1990"/>
      <c r="O813" s="1990"/>
      <c r="P813" s="1990"/>
      <c r="Q813" s="1990"/>
      <c r="R813" s="1990"/>
    </row>
    <row r="814" spans="1:18">
      <c r="A814" s="1990"/>
      <c r="B814" s="1990"/>
      <c r="C814" s="1990"/>
      <c r="D814" s="1990"/>
      <c r="E814" s="1990"/>
      <c r="F814" s="1991"/>
      <c r="G814" s="1991"/>
      <c r="H814" s="1991"/>
      <c r="I814" s="1991"/>
      <c r="J814" s="1991"/>
      <c r="K814" s="1991"/>
      <c r="L814" s="1991"/>
      <c r="M814" s="1991"/>
      <c r="N814" s="1990"/>
      <c r="O814" s="1990"/>
      <c r="P814" s="1990"/>
      <c r="Q814" s="1990"/>
      <c r="R814" s="1990"/>
    </row>
    <row r="815" spans="1:18">
      <c r="A815" s="1990"/>
      <c r="B815" s="1990"/>
      <c r="C815" s="1990"/>
      <c r="D815" s="1990"/>
      <c r="E815" s="1990"/>
      <c r="F815" s="1991"/>
      <c r="G815" s="1991"/>
      <c r="H815" s="1991"/>
      <c r="I815" s="1991"/>
      <c r="J815" s="1991"/>
      <c r="K815" s="1991"/>
      <c r="L815" s="1991"/>
      <c r="M815" s="1991"/>
      <c r="N815" s="1990"/>
      <c r="O815" s="1990"/>
      <c r="P815" s="1990"/>
      <c r="Q815" s="1990"/>
      <c r="R815" s="1990"/>
    </row>
    <row r="816" spans="1:18">
      <c r="A816" s="1990"/>
      <c r="B816" s="1990"/>
      <c r="C816" s="1990"/>
      <c r="D816" s="1990"/>
      <c r="E816" s="1990"/>
      <c r="F816" s="1991"/>
      <c r="G816" s="1991"/>
      <c r="H816" s="1991"/>
      <c r="I816" s="1991"/>
      <c r="J816" s="1991"/>
      <c r="K816" s="1991"/>
      <c r="L816" s="1991"/>
      <c r="M816" s="1991"/>
      <c r="N816" s="1990"/>
      <c r="O816" s="1990"/>
      <c r="P816" s="1990"/>
      <c r="Q816" s="1990"/>
      <c r="R816" s="1990"/>
    </row>
    <row r="817" spans="1:18">
      <c r="A817" s="1990"/>
      <c r="B817" s="1990"/>
      <c r="C817" s="1990"/>
      <c r="D817" s="1990"/>
      <c r="E817" s="1990"/>
      <c r="F817" s="1991"/>
      <c r="G817" s="1991"/>
      <c r="H817" s="1991"/>
      <c r="I817" s="1991"/>
      <c r="J817" s="1991"/>
      <c r="K817" s="1991"/>
      <c r="L817" s="1991"/>
      <c r="M817" s="1991"/>
      <c r="N817" s="1990"/>
      <c r="O817" s="1990"/>
      <c r="P817" s="1990"/>
      <c r="Q817" s="1990"/>
      <c r="R817" s="1990"/>
    </row>
    <row r="818" spans="1:18">
      <c r="A818" s="1990"/>
      <c r="B818" s="1990"/>
      <c r="C818" s="1990"/>
      <c r="D818" s="1990"/>
      <c r="E818" s="1990"/>
      <c r="F818" s="1991"/>
      <c r="G818" s="1991"/>
      <c r="H818" s="1991"/>
      <c r="I818" s="1991"/>
      <c r="J818" s="1991"/>
      <c r="K818" s="1991"/>
      <c r="L818" s="1991"/>
      <c r="M818" s="1991"/>
      <c r="N818" s="1990"/>
      <c r="O818" s="1990"/>
      <c r="P818" s="1990"/>
      <c r="Q818" s="1990"/>
      <c r="R818" s="1990"/>
    </row>
    <row r="819" spans="1:18">
      <c r="A819" s="1990"/>
      <c r="B819" s="1990"/>
      <c r="C819" s="1990"/>
      <c r="D819" s="1990"/>
      <c r="E819" s="1990"/>
      <c r="F819" s="1991"/>
      <c r="G819" s="1991"/>
      <c r="H819" s="1991"/>
      <c r="I819" s="1991"/>
      <c r="J819" s="1991"/>
      <c r="K819" s="1991"/>
      <c r="L819" s="1991"/>
      <c r="M819" s="1991"/>
      <c r="N819" s="1990"/>
      <c r="O819" s="1990"/>
      <c r="P819" s="1990"/>
      <c r="Q819" s="1990"/>
      <c r="R819" s="1990"/>
    </row>
    <row r="820" spans="1:18">
      <c r="A820" s="1990"/>
      <c r="B820" s="1990"/>
      <c r="C820" s="1990"/>
      <c r="D820" s="1990"/>
      <c r="E820" s="1990"/>
      <c r="F820" s="1991"/>
      <c r="G820" s="1991"/>
      <c r="H820" s="1991"/>
      <c r="I820" s="1991"/>
      <c r="J820" s="1991"/>
      <c r="K820" s="1990"/>
      <c r="L820" s="1991"/>
      <c r="M820" s="1990"/>
      <c r="N820" s="1990"/>
      <c r="O820" s="1990"/>
      <c r="P820" s="1990"/>
      <c r="Q820" s="1990"/>
      <c r="R820" s="1990"/>
    </row>
    <row r="821" spans="1:18">
      <c r="A821" s="1990"/>
      <c r="B821" s="1990"/>
      <c r="C821" s="1990"/>
      <c r="D821" s="1990"/>
      <c r="E821" s="1990"/>
      <c r="F821" s="1991"/>
      <c r="G821" s="1991"/>
      <c r="H821" s="1991"/>
      <c r="I821" s="1991"/>
      <c r="J821" s="1991"/>
      <c r="K821" s="1990"/>
      <c r="L821" s="1991"/>
      <c r="M821" s="1990"/>
      <c r="N821" s="1990"/>
      <c r="O821" s="1990"/>
      <c r="P821" s="1990"/>
      <c r="Q821" s="1990"/>
      <c r="R821" s="1990"/>
    </row>
    <row r="822" spans="1:18">
      <c r="A822" s="1990"/>
      <c r="B822" s="1990"/>
      <c r="C822" s="1990"/>
      <c r="D822" s="1990"/>
      <c r="E822" s="1990"/>
      <c r="F822" s="1991"/>
      <c r="G822" s="1991"/>
      <c r="H822" s="1991"/>
      <c r="I822" s="1991"/>
      <c r="J822" s="1991"/>
      <c r="K822" s="1991"/>
      <c r="L822" s="1991"/>
      <c r="M822" s="1991"/>
      <c r="N822" s="1990"/>
      <c r="O822" s="1990"/>
      <c r="P822" s="1990"/>
      <c r="Q822" s="1990"/>
      <c r="R822" s="1990"/>
    </row>
    <row r="823" spans="1:18">
      <c r="A823" s="1990"/>
      <c r="B823" s="1990"/>
      <c r="C823" s="1990"/>
      <c r="D823" s="1990"/>
      <c r="E823" s="1990"/>
      <c r="F823" s="1991"/>
      <c r="G823" s="1991"/>
      <c r="H823" s="1991"/>
      <c r="I823" s="1991"/>
      <c r="J823" s="1991"/>
      <c r="K823" s="1991"/>
      <c r="L823" s="1991"/>
      <c r="M823" s="1991"/>
      <c r="N823" s="1990"/>
      <c r="O823" s="1990"/>
      <c r="P823" s="1990"/>
      <c r="Q823" s="1990"/>
      <c r="R823" s="1990"/>
    </row>
    <row r="824" spans="1:18">
      <c r="A824" s="1990"/>
      <c r="B824" s="1990"/>
      <c r="C824" s="1990"/>
      <c r="D824" s="1990"/>
      <c r="E824" s="1990"/>
      <c r="F824" s="1991"/>
      <c r="G824" s="1991"/>
      <c r="H824" s="1991"/>
      <c r="I824" s="1991"/>
      <c r="J824" s="1991"/>
      <c r="K824" s="1991"/>
      <c r="L824" s="1991"/>
      <c r="M824" s="1991"/>
      <c r="N824" s="1990"/>
      <c r="O824" s="1990"/>
      <c r="P824" s="1990"/>
      <c r="Q824" s="1990"/>
      <c r="R824" s="1990"/>
    </row>
    <row r="825" spans="1:18">
      <c r="A825" s="1990"/>
      <c r="B825" s="1990"/>
      <c r="C825" s="1990"/>
      <c r="D825" s="1990"/>
      <c r="E825" s="1990"/>
      <c r="F825" s="1991"/>
      <c r="G825" s="1991"/>
      <c r="H825" s="1991"/>
      <c r="I825" s="1991"/>
      <c r="J825" s="1991"/>
      <c r="K825" s="1991"/>
      <c r="L825" s="1991"/>
      <c r="M825" s="1991"/>
      <c r="N825" s="1990"/>
      <c r="O825" s="1990"/>
      <c r="P825" s="1990"/>
      <c r="Q825" s="1990"/>
      <c r="R825" s="1990"/>
    </row>
    <row r="826" spans="1:18">
      <c r="A826" s="1990"/>
      <c r="B826" s="1990"/>
      <c r="C826" s="1990"/>
      <c r="D826" s="1990"/>
      <c r="E826" s="1990"/>
      <c r="F826" s="1991"/>
      <c r="G826" s="1991"/>
      <c r="H826" s="1991"/>
      <c r="I826" s="1991"/>
      <c r="J826" s="1991"/>
      <c r="K826" s="1991"/>
      <c r="L826" s="1991"/>
      <c r="M826" s="1991"/>
      <c r="N826" s="1990"/>
      <c r="O826" s="1990"/>
      <c r="P826" s="1990"/>
      <c r="Q826" s="1990"/>
      <c r="R826" s="1990"/>
    </row>
    <row r="827" spans="1:18">
      <c r="A827" s="1990"/>
      <c r="B827" s="1990"/>
      <c r="C827" s="1990"/>
      <c r="D827" s="1990"/>
      <c r="E827" s="1990"/>
      <c r="F827" s="1991"/>
      <c r="G827" s="1991"/>
      <c r="H827" s="1991"/>
      <c r="I827" s="1991"/>
      <c r="J827" s="1991"/>
      <c r="K827" s="1991"/>
      <c r="L827" s="1991"/>
      <c r="M827" s="1991"/>
      <c r="N827" s="1990"/>
      <c r="O827" s="1990"/>
      <c r="P827" s="1990"/>
      <c r="Q827" s="1990"/>
      <c r="R827" s="1990"/>
    </row>
    <row r="828" spans="1:18">
      <c r="A828" s="1990"/>
      <c r="B828" s="1990"/>
      <c r="C828" s="1990"/>
      <c r="D828" s="1990"/>
      <c r="E828" s="1990"/>
      <c r="F828" s="1991"/>
      <c r="G828" s="1991"/>
      <c r="H828" s="1991"/>
      <c r="I828" s="1991"/>
      <c r="J828" s="1991"/>
      <c r="K828" s="1991"/>
      <c r="L828" s="1991"/>
      <c r="M828" s="1991"/>
      <c r="N828" s="1990"/>
      <c r="O828" s="1990"/>
      <c r="P828" s="1990"/>
      <c r="Q828" s="1990"/>
      <c r="R828" s="1990"/>
    </row>
    <row r="829" spans="1:18">
      <c r="A829" s="1990"/>
      <c r="B829" s="1990"/>
      <c r="C829" s="1990"/>
      <c r="D829" s="1990"/>
      <c r="E829" s="1990"/>
      <c r="F829" s="1991"/>
      <c r="G829" s="1991"/>
      <c r="H829" s="1991"/>
      <c r="I829" s="1991"/>
      <c r="J829" s="1991"/>
      <c r="K829" s="1991"/>
      <c r="L829" s="1991"/>
      <c r="M829" s="1991"/>
      <c r="N829" s="1990"/>
      <c r="O829" s="1990"/>
      <c r="P829" s="1990"/>
      <c r="Q829" s="1990"/>
      <c r="R829" s="1990"/>
    </row>
    <row r="830" spans="1:18">
      <c r="A830" s="1990"/>
      <c r="B830" s="1990"/>
      <c r="C830" s="1990"/>
      <c r="D830" s="1990"/>
      <c r="E830" s="1990"/>
      <c r="F830" s="1991"/>
      <c r="G830" s="1991"/>
      <c r="H830" s="1991"/>
      <c r="I830" s="1991"/>
      <c r="J830" s="1991"/>
      <c r="K830" s="1991"/>
      <c r="L830" s="1991"/>
      <c r="M830" s="1991"/>
      <c r="N830" s="1990"/>
      <c r="O830" s="1990"/>
      <c r="P830" s="1990"/>
      <c r="Q830" s="1990"/>
      <c r="R830" s="1990"/>
    </row>
    <row r="831" spans="1:18">
      <c r="A831" s="1990"/>
      <c r="B831" s="1990"/>
      <c r="C831" s="1990"/>
      <c r="D831" s="1990"/>
      <c r="E831" s="1990"/>
      <c r="F831" s="1991"/>
      <c r="G831" s="1991"/>
      <c r="H831" s="1991"/>
      <c r="I831" s="1991"/>
      <c r="J831" s="1991"/>
      <c r="K831" s="1991"/>
      <c r="L831" s="1991"/>
      <c r="M831" s="1991"/>
      <c r="N831" s="1990"/>
      <c r="O831" s="1990"/>
      <c r="P831" s="1990"/>
      <c r="Q831" s="1990"/>
      <c r="R831" s="1990"/>
    </row>
    <row r="832" spans="1:18">
      <c r="A832" s="1990"/>
      <c r="B832" s="1990"/>
      <c r="C832" s="1990"/>
      <c r="D832" s="1990"/>
      <c r="E832" s="1990"/>
      <c r="F832" s="1991"/>
      <c r="G832" s="1991"/>
      <c r="H832" s="1991"/>
      <c r="I832" s="1991"/>
      <c r="J832" s="1991"/>
      <c r="K832" s="1991"/>
      <c r="L832" s="1991"/>
      <c r="M832" s="1991"/>
      <c r="N832" s="1990"/>
      <c r="O832" s="1990"/>
      <c r="P832" s="1990"/>
      <c r="Q832" s="1990"/>
      <c r="R832" s="1990"/>
    </row>
    <row r="833" spans="1:18">
      <c r="A833" s="1990"/>
      <c r="B833" s="1990"/>
      <c r="C833" s="1990"/>
      <c r="D833" s="1990"/>
      <c r="E833" s="1990"/>
      <c r="F833" s="1991"/>
      <c r="G833" s="1991"/>
      <c r="H833" s="1991"/>
      <c r="I833" s="1991"/>
      <c r="J833" s="1991"/>
      <c r="K833" s="1991"/>
      <c r="L833" s="1991"/>
      <c r="M833" s="1991"/>
      <c r="N833" s="1990"/>
      <c r="O833" s="1990"/>
      <c r="P833" s="1990"/>
      <c r="Q833" s="1990"/>
      <c r="R833" s="1990"/>
    </row>
    <row r="834" spans="1:18">
      <c r="A834" s="1990"/>
      <c r="B834" s="1990"/>
      <c r="C834" s="1990"/>
      <c r="D834" s="1990"/>
      <c r="E834" s="1990"/>
      <c r="F834" s="1991"/>
      <c r="G834" s="1991"/>
      <c r="H834" s="1991"/>
      <c r="I834" s="1991"/>
      <c r="J834" s="1991"/>
      <c r="K834" s="1991"/>
      <c r="L834" s="1991"/>
      <c r="M834" s="1991"/>
      <c r="N834" s="1990"/>
      <c r="O834" s="1990"/>
      <c r="P834" s="1990"/>
      <c r="Q834" s="1990"/>
      <c r="R834" s="1990"/>
    </row>
    <row r="835" spans="1:18">
      <c r="A835" s="1990"/>
      <c r="B835" s="1990"/>
      <c r="C835" s="1990"/>
      <c r="D835" s="1990"/>
      <c r="E835" s="1990"/>
      <c r="F835" s="1991"/>
      <c r="G835" s="1991"/>
      <c r="H835" s="1991"/>
      <c r="I835" s="1991"/>
      <c r="J835" s="1991"/>
      <c r="K835" s="1991"/>
      <c r="L835" s="1991"/>
      <c r="M835" s="1991"/>
      <c r="N835" s="1990"/>
      <c r="O835" s="1990"/>
      <c r="P835" s="1990"/>
      <c r="Q835" s="1990"/>
      <c r="R835" s="1990"/>
    </row>
    <row r="836" spans="1:18">
      <c r="A836" s="1990"/>
      <c r="B836" s="1990"/>
      <c r="C836" s="1990"/>
      <c r="D836" s="1990"/>
      <c r="E836" s="1990"/>
      <c r="F836" s="1991"/>
      <c r="G836" s="1991"/>
      <c r="H836" s="1991"/>
      <c r="I836" s="1991"/>
      <c r="J836" s="1991"/>
      <c r="K836" s="1991"/>
      <c r="L836" s="1991"/>
      <c r="M836" s="1991"/>
      <c r="N836" s="1990"/>
      <c r="O836" s="1990"/>
      <c r="P836" s="1990"/>
      <c r="Q836" s="1990"/>
      <c r="R836" s="1990"/>
    </row>
    <row r="837" spans="1:18">
      <c r="A837" s="1990"/>
      <c r="B837" s="1990"/>
      <c r="C837" s="1990"/>
      <c r="D837" s="1990"/>
      <c r="E837" s="1990"/>
      <c r="F837" s="1991"/>
      <c r="G837" s="1991"/>
      <c r="H837" s="1991"/>
      <c r="I837" s="1991"/>
      <c r="J837" s="1991"/>
      <c r="K837" s="1991"/>
      <c r="L837" s="1991"/>
      <c r="M837" s="1991"/>
      <c r="N837" s="1990"/>
      <c r="O837" s="1990"/>
      <c r="P837" s="1990"/>
      <c r="Q837" s="1990"/>
      <c r="R837" s="1990"/>
    </row>
    <row r="838" spans="1:18">
      <c r="A838" s="1990"/>
      <c r="B838" s="1990"/>
      <c r="C838" s="1990"/>
      <c r="D838" s="1990"/>
      <c r="E838" s="1990"/>
      <c r="F838" s="1991"/>
      <c r="G838" s="1991"/>
      <c r="H838" s="1991"/>
      <c r="I838" s="1991"/>
      <c r="J838" s="1991"/>
      <c r="K838" s="1991"/>
      <c r="L838" s="1991"/>
      <c r="M838" s="1991"/>
      <c r="N838" s="1990"/>
      <c r="O838" s="1990"/>
      <c r="P838" s="1990"/>
      <c r="Q838" s="1990"/>
      <c r="R838" s="1990"/>
    </row>
    <row r="839" spans="1:18">
      <c r="A839" s="1990"/>
      <c r="B839" s="1990"/>
      <c r="C839" s="1990"/>
      <c r="D839" s="1990"/>
      <c r="E839" s="1990"/>
      <c r="F839" s="1991"/>
      <c r="G839" s="1991"/>
      <c r="H839" s="1991"/>
      <c r="I839" s="1991"/>
      <c r="J839" s="1991"/>
      <c r="K839" s="1991"/>
      <c r="L839" s="1991"/>
      <c r="M839" s="1991"/>
      <c r="N839" s="1990"/>
      <c r="O839" s="1990"/>
      <c r="P839" s="1990"/>
      <c r="Q839" s="1990"/>
      <c r="R839" s="1990"/>
    </row>
    <row r="840" spans="1:18">
      <c r="A840" s="1990"/>
      <c r="B840" s="1990"/>
      <c r="C840" s="1990"/>
      <c r="D840" s="1990"/>
      <c r="E840" s="1990"/>
      <c r="F840" s="1991"/>
      <c r="G840" s="1991"/>
      <c r="H840" s="1991"/>
      <c r="I840" s="1991"/>
      <c r="J840" s="1991"/>
      <c r="K840" s="1991"/>
      <c r="L840" s="1991"/>
      <c r="M840" s="1991"/>
      <c r="N840" s="1990"/>
      <c r="O840" s="1990"/>
      <c r="P840" s="1990"/>
      <c r="Q840" s="1990"/>
      <c r="R840" s="1990"/>
    </row>
    <row r="841" spans="1:18">
      <c r="A841" s="1990"/>
      <c r="B841" s="1990"/>
      <c r="C841" s="1990"/>
      <c r="D841" s="1990"/>
      <c r="E841" s="1990"/>
      <c r="F841" s="1991"/>
      <c r="G841" s="1991"/>
      <c r="H841" s="1991"/>
      <c r="I841" s="1991"/>
      <c r="J841" s="1991"/>
      <c r="K841" s="1991"/>
      <c r="L841" s="1991"/>
      <c r="M841" s="1991"/>
      <c r="N841" s="1990"/>
      <c r="O841" s="1990"/>
      <c r="P841" s="1990"/>
      <c r="Q841" s="1990"/>
      <c r="R841" s="1990"/>
    </row>
    <row r="842" spans="1:18">
      <c r="A842" s="1990"/>
      <c r="B842" s="1990"/>
      <c r="C842" s="1990"/>
      <c r="D842" s="1990"/>
      <c r="E842" s="1990"/>
      <c r="F842" s="1991"/>
      <c r="G842" s="1991"/>
      <c r="H842" s="1991"/>
      <c r="I842" s="1991"/>
      <c r="J842" s="1991"/>
      <c r="K842" s="1991"/>
      <c r="L842" s="1991"/>
      <c r="M842" s="1991"/>
      <c r="N842" s="1990"/>
      <c r="O842" s="1990"/>
      <c r="P842" s="1990"/>
      <c r="Q842" s="1990"/>
      <c r="R842" s="1990"/>
    </row>
    <row r="843" spans="1:18">
      <c r="A843" s="1990"/>
      <c r="B843" s="1990"/>
      <c r="C843" s="1990"/>
      <c r="D843" s="1990"/>
      <c r="E843" s="1990"/>
      <c r="F843" s="1991"/>
      <c r="G843" s="1991"/>
      <c r="H843" s="1991"/>
      <c r="I843" s="1991"/>
      <c r="J843" s="1991"/>
      <c r="K843" s="1991"/>
      <c r="L843" s="1991"/>
      <c r="M843" s="1991"/>
      <c r="N843" s="1990"/>
      <c r="O843" s="1990"/>
      <c r="P843" s="1990"/>
      <c r="Q843" s="1990"/>
      <c r="R843" s="1990"/>
    </row>
    <row r="844" spans="1:18">
      <c r="A844" s="1990"/>
      <c r="B844" s="1990"/>
      <c r="C844" s="1990"/>
      <c r="D844" s="1990"/>
      <c r="E844" s="1990"/>
      <c r="F844" s="1991"/>
      <c r="G844" s="1991"/>
      <c r="H844" s="1991"/>
      <c r="I844" s="1991"/>
      <c r="J844" s="1991"/>
      <c r="K844" s="1991"/>
      <c r="L844" s="1991"/>
      <c r="M844" s="1991"/>
      <c r="N844" s="1990"/>
      <c r="O844" s="1990"/>
      <c r="P844" s="1990"/>
      <c r="Q844" s="1990"/>
      <c r="R844" s="1990"/>
    </row>
    <row r="845" spans="1:18">
      <c r="A845" s="1990"/>
      <c r="B845" s="1990"/>
      <c r="C845" s="1990"/>
      <c r="D845" s="1990"/>
      <c r="E845" s="1990"/>
      <c r="F845" s="1991"/>
      <c r="G845" s="1991"/>
      <c r="H845" s="1991"/>
      <c r="I845" s="1991"/>
      <c r="J845" s="1991"/>
      <c r="K845" s="1990"/>
      <c r="L845" s="1991"/>
      <c r="M845" s="1990"/>
      <c r="N845" s="1990"/>
      <c r="O845" s="1990"/>
      <c r="P845" s="1990"/>
      <c r="Q845" s="1990"/>
      <c r="R845" s="1990"/>
    </row>
    <row r="846" spans="1:18">
      <c r="A846" s="1990"/>
      <c r="B846" s="1990"/>
      <c r="C846" s="1990"/>
      <c r="D846" s="1990"/>
      <c r="E846" s="1990"/>
      <c r="F846" s="1991"/>
      <c r="G846" s="1991"/>
      <c r="H846" s="1991"/>
      <c r="I846" s="1991"/>
      <c r="J846" s="1991"/>
      <c r="K846" s="1991"/>
      <c r="L846" s="1991"/>
      <c r="M846" s="1991"/>
      <c r="N846" s="1990"/>
      <c r="O846" s="1990"/>
      <c r="P846" s="1990"/>
      <c r="Q846" s="1990"/>
      <c r="R846" s="1990"/>
    </row>
    <row r="847" spans="1:18">
      <c r="A847" s="1990"/>
      <c r="B847" s="1990"/>
      <c r="C847" s="1990"/>
      <c r="D847" s="1990"/>
      <c r="E847" s="1990"/>
      <c r="F847" s="1991"/>
      <c r="G847" s="1991"/>
      <c r="H847" s="1991"/>
      <c r="I847" s="1991"/>
      <c r="J847" s="1991"/>
      <c r="K847" s="1991"/>
      <c r="L847" s="1991"/>
      <c r="M847" s="1991"/>
      <c r="N847" s="1990"/>
      <c r="O847" s="1990"/>
      <c r="P847" s="1990"/>
      <c r="Q847" s="1990"/>
      <c r="R847" s="1990"/>
    </row>
    <row r="848" spans="1:18">
      <c r="A848" s="1990"/>
      <c r="B848" s="1990"/>
      <c r="C848" s="1990"/>
      <c r="D848" s="1990"/>
      <c r="E848" s="1990"/>
      <c r="F848" s="1991"/>
      <c r="G848" s="1991"/>
      <c r="H848" s="1991"/>
      <c r="I848" s="1991"/>
      <c r="J848" s="1991"/>
      <c r="K848" s="1991"/>
      <c r="L848" s="1991"/>
      <c r="M848" s="1991"/>
      <c r="N848" s="1990"/>
      <c r="O848" s="1990"/>
      <c r="P848" s="1990"/>
      <c r="Q848" s="1990"/>
      <c r="R848" s="1990"/>
    </row>
    <row r="849" spans="1:18">
      <c r="A849" s="1990"/>
      <c r="B849" s="1990"/>
      <c r="C849" s="1990"/>
      <c r="D849" s="1990"/>
      <c r="E849" s="1990"/>
      <c r="F849" s="1991"/>
      <c r="G849" s="1991"/>
      <c r="H849" s="1991"/>
      <c r="I849" s="1991"/>
      <c r="J849" s="1991"/>
      <c r="K849" s="1990"/>
      <c r="L849" s="1990"/>
      <c r="M849" s="1990"/>
      <c r="N849" s="1990"/>
      <c r="O849" s="1990"/>
      <c r="P849" s="1990"/>
      <c r="Q849" s="1990"/>
      <c r="R849" s="1990"/>
    </row>
    <row r="850" spans="1:18">
      <c r="A850" s="1990"/>
      <c r="B850" s="1990"/>
      <c r="C850" s="1990"/>
      <c r="D850" s="1990"/>
      <c r="E850" s="1990"/>
      <c r="F850" s="1991"/>
      <c r="G850" s="1991"/>
      <c r="H850" s="1991"/>
      <c r="I850" s="1991"/>
      <c r="J850" s="1991"/>
      <c r="K850" s="1991"/>
      <c r="L850" s="1991"/>
      <c r="M850" s="1991"/>
      <c r="N850" s="1990"/>
      <c r="O850" s="1990"/>
      <c r="P850" s="1990"/>
      <c r="Q850" s="1990"/>
      <c r="R850" s="1990"/>
    </row>
    <row r="851" spans="1:18">
      <c r="A851" s="1990"/>
      <c r="B851" s="1990"/>
      <c r="C851" s="1990"/>
      <c r="D851" s="1990"/>
      <c r="E851" s="1990"/>
      <c r="F851" s="1991"/>
      <c r="G851" s="1991"/>
      <c r="H851" s="1991"/>
      <c r="I851" s="1991"/>
      <c r="J851" s="1991"/>
      <c r="K851" s="1991"/>
      <c r="L851" s="1991"/>
      <c r="M851" s="1991"/>
      <c r="N851" s="1990"/>
      <c r="O851" s="1990"/>
      <c r="P851" s="1990"/>
      <c r="Q851" s="1990"/>
      <c r="R851" s="1990"/>
    </row>
    <row r="852" spans="1:18">
      <c r="A852" s="1990"/>
      <c r="B852" s="1990"/>
      <c r="C852" s="1990"/>
      <c r="D852" s="1990"/>
      <c r="E852" s="1990"/>
      <c r="F852" s="1991"/>
      <c r="G852" s="1991"/>
      <c r="H852" s="1991"/>
      <c r="I852" s="1991"/>
      <c r="J852" s="1991"/>
      <c r="K852" s="1991"/>
      <c r="L852" s="1991"/>
      <c r="M852" s="1991"/>
      <c r="N852" s="1990"/>
      <c r="O852" s="1990"/>
      <c r="P852" s="1990"/>
      <c r="Q852" s="1990"/>
      <c r="R852" s="1990"/>
    </row>
    <row r="853" spans="1:18">
      <c r="A853" s="1990"/>
      <c r="B853" s="1990"/>
      <c r="C853" s="1990"/>
      <c r="D853" s="1990"/>
      <c r="E853" s="1990"/>
      <c r="F853" s="1991"/>
      <c r="G853" s="1991"/>
      <c r="H853" s="1991"/>
      <c r="I853" s="1991"/>
      <c r="J853" s="1991"/>
      <c r="K853" s="1991"/>
      <c r="L853" s="1991"/>
      <c r="M853" s="1991"/>
      <c r="N853" s="1990"/>
      <c r="O853" s="1990"/>
      <c r="P853" s="1990"/>
      <c r="Q853" s="1990"/>
      <c r="R853" s="1990"/>
    </row>
    <row r="854" spans="1:18">
      <c r="A854" s="1990"/>
      <c r="B854" s="1990"/>
      <c r="C854" s="1990"/>
      <c r="D854" s="1990"/>
      <c r="E854" s="1990"/>
      <c r="F854" s="1991"/>
      <c r="G854" s="1991"/>
      <c r="H854" s="1991"/>
      <c r="I854" s="1991"/>
      <c r="J854" s="1991"/>
      <c r="K854" s="1991"/>
      <c r="L854" s="1991"/>
      <c r="M854" s="1991"/>
      <c r="N854" s="1990"/>
      <c r="O854" s="1990"/>
      <c r="P854" s="1990"/>
      <c r="Q854" s="1990"/>
      <c r="R854" s="1990"/>
    </row>
    <row r="855" spans="1:18">
      <c r="A855" s="1990"/>
      <c r="B855" s="1990"/>
      <c r="C855" s="1990"/>
      <c r="D855" s="1990"/>
      <c r="E855" s="1990"/>
      <c r="F855" s="1991"/>
      <c r="G855" s="1991"/>
      <c r="H855" s="1991"/>
      <c r="I855" s="1991"/>
      <c r="J855" s="1991"/>
      <c r="K855" s="1991"/>
      <c r="L855" s="1991"/>
      <c r="M855" s="1991"/>
      <c r="N855" s="1990"/>
      <c r="O855" s="1990"/>
      <c r="P855" s="1990"/>
      <c r="Q855" s="1990"/>
      <c r="R855" s="1990"/>
    </row>
    <row r="856" spans="1:18">
      <c r="A856" s="1990"/>
      <c r="B856" s="1990"/>
      <c r="C856" s="1990"/>
      <c r="D856" s="1990"/>
      <c r="E856" s="1990"/>
      <c r="F856" s="1991"/>
      <c r="G856" s="1991"/>
      <c r="H856" s="1991"/>
      <c r="I856" s="1991"/>
      <c r="J856" s="1991"/>
      <c r="K856" s="1991"/>
      <c r="L856" s="1991"/>
      <c r="M856" s="1991"/>
      <c r="N856" s="1990"/>
      <c r="O856" s="1990"/>
      <c r="P856" s="1990"/>
      <c r="Q856" s="1990"/>
      <c r="R856" s="1990"/>
    </row>
    <row r="857" spans="1:18">
      <c r="A857" s="1990"/>
      <c r="B857" s="1990"/>
      <c r="C857" s="1990"/>
      <c r="D857" s="1990"/>
      <c r="E857" s="1990"/>
      <c r="F857" s="1991"/>
      <c r="G857" s="1991"/>
      <c r="H857" s="1991"/>
      <c r="I857" s="1991"/>
      <c r="J857" s="1991"/>
      <c r="K857" s="1991"/>
      <c r="L857" s="1991"/>
      <c r="M857" s="1991"/>
      <c r="N857" s="1990"/>
      <c r="O857" s="1990"/>
      <c r="P857" s="1990"/>
      <c r="Q857" s="1990"/>
      <c r="R857" s="1990"/>
    </row>
    <row r="858" spans="1:18">
      <c r="A858" s="1990"/>
      <c r="B858" s="1990"/>
      <c r="C858" s="1990"/>
      <c r="D858" s="1990"/>
      <c r="E858" s="1990"/>
      <c r="F858" s="1991"/>
      <c r="G858" s="1991"/>
      <c r="H858" s="1991"/>
      <c r="I858" s="1991"/>
      <c r="J858" s="1991"/>
      <c r="K858" s="1991"/>
      <c r="L858" s="1991"/>
      <c r="M858" s="1991"/>
      <c r="N858" s="1990"/>
      <c r="O858" s="1990"/>
      <c r="P858" s="1990"/>
      <c r="Q858" s="1990"/>
      <c r="R858" s="1990"/>
    </row>
    <row r="859" spans="1:18">
      <c r="A859" s="1990"/>
      <c r="B859" s="1990"/>
      <c r="C859" s="1990"/>
      <c r="D859" s="1990"/>
      <c r="E859" s="1990"/>
      <c r="F859" s="1991"/>
      <c r="G859" s="1991"/>
      <c r="H859" s="1991"/>
      <c r="I859" s="1991"/>
      <c r="J859" s="1991"/>
      <c r="K859" s="1991"/>
      <c r="L859" s="1991"/>
      <c r="M859" s="1991"/>
      <c r="N859" s="1990"/>
      <c r="O859" s="1990"/>
      <c r="P859" s="1990"/>
      <c r="Q859" s="1990"/>
      <c r="R859" s="1990"/>
    </row>
    <row r="860" spans="1:18">
      <c r="A860" s="1990"/>
      <c r="B860" s="1990"/>
      <c r="C860" s="1990"/>
      <c r="D860" s="1990"/>
      <c r="E860" s="1990"/>
      <c r="F860" s="1991"/>
      <c r="G860" s="1991"/>
      <c r="H860" s="1991"/>
      <c r="I860" s="1991"/>
      <c r="J860" s="1991"/>
      <c r="K860" s="1991"/>
      <c r="L860" s="1991"/>
      <c r="M860" s="1991"/>
      <c r="N860" s="1990"/>
      <c r="O860" s="1990"/>
      <c r="P860" s="1990"/>
      <c r="Q860" s="1990"/>
      <c r="R860" s="1990"/>
    </row>
    <row r="861" spans="1:18">
      <c r="A861" s="1990"/>
      <c r="B861" s="1990"/>
      <c r="C861" s="1990"/>
      <c r="D861" s="1990"/>
      <c r="E861" s="1990"/>
      <c r="F861" s="1991"/>
      <c r="G861" s="1991"/>
      <c r="H861" s="1991"/>
      <c r="I861" s="1991"/>
      <c r="J861" s="1991"/>
      <c r="K861" s="1991"/>
      <c r="L861" s="1991"/>
      <c r="M861" s="1991"/>
      <c r="N861" s="1990"/>
      <c r="O861" s="1990"/>
      <c r="P861" s="1990"/>
      <c r="Q861" s="1990"/>
      <c r="R861" s="1990"/>
    </row>
    <row r="862" spans="1:18">
      <c r="A862" s="1990"/>
      <c r="B862" s="1990"/>
      <c r="C862" s="1990"/>
      <c r="D862" s="1990"/>
      <c r="E862" s="1990"/>
      <c r="F862" s="1991"/>
      <c r="G862" s="1991"/>
      <c r="H862" s="1991"/>
      <c r="I862" s="1991"/>
      <c r="J862" s="1991"/>
      <c r="K862" s="1991"/>
      <c r="L862" s="1991"/>
      <c r="M862" s="1991"/>
      <c r="N862" s="1990"/>
      <c r="O862" s="1990"/>
      <c r="P862" s="1990"/>
      <c r="Q862" s="1990"/>
      <c r="R862" s="1990"/>
    </row>
    <row r="863" spans="1:18">
      <c r="A863" s="1990"/>
      <c r="B863" s="1990"/>
      <c r="C863" s="1990"/>
      <c r="D863" s="1990"/>
      <c r="E863" s="1990"/>
      <c r="F863" s="1991"/>
      <c r="G863" s="1991"/>
      <c r="H863" s="1991"/>
      <c r="I863" s="1991"/>
      <c r="J863" s="1991"/>
      <c r="K863" s="1991"/>
      <c r="L863" s="1991"/>
      <c r="M863" s="1991"/>
      <c r="N863" s="1990"/>
      <c r="O863" s="1990"/>
      <c r="P863" s="1990"/>
      <c r="Q863" s="1990"/>
      <c r="R863" s="1990"/>
    </row>
    <row r="864" spans="1:18">
      <c r="A864" s="1990"/>
      <c r="B864" s="1990"/>
      <c r="C864" s="1990"/>
      <c r="D864" s="1990"/>
      <c r="E864" s="1990"/>
      <c r="F864" s="1991"/>
      <c r="G864" s="1991"/>
      <c r="H864" s="1991"/>
      <c r="I864" s="1991"/>
      <c r="J864" s="1991"/>
      <c r="K864" s="1991"/>
      <c r="L864" s="1991"/>
      <c r="M864" s="1991"/>
      <c r="N864" s="1990"/>
      <c r="O864" s="1990"/>
      <c r="P864" s="1990"/>
      <c r="Q864" s="1990"/>
      <c r="R864" s="1990"/>
    </row>
    <row r="865" spans="1:18">
      <c r="A865" s="1990"/>
      <c r="B865" s="1990"/>
      <c r="C865" s="1990"/>
      <c r="D865" s="1990"/>
      <c r="E865" s="1990"/>
      <c r="F865" s="1991"/>
      <c r="G865" s="1991"/>
      <c r="H865" s="1991"/>
      <c r="I865" s="1991"/>
      <c r="J865" s="1991"/>
      <c r="K865" s="1991"/>
      <c r="L865" s="1991"/>
      <c r="M865" s="1991"/>
      <c r="N865" s="1990"/>
      <c r="O865" s="1990"/>
      <c r="P865" s="1990"/>
      <c r="Q865" s="1990"/>
      <c r="R865" s="1990"/>
    </row>
    <row r="866" spans="1:18">
      <c r="A866" s="1990"/>
      <c r="B866" s="1990"/>
      <c r="C866" s="1990"/>
      <c r="D866" s="1990"/>
      <c r="E866" s="1990"/>
      <c r="F866" s="1991"/>
      <c r="G866" s="1991"/>
      <c r="H866" s="1991"/>
      <c r="I866" s="1991"/>
      <c r="J866" s="1991"/>
      <c r="K866" s="1991"/>
      <c r="L866" s="1991"/>
      <c r="M866" s="1991"/>
      <c r="N866" s="1990"/>
      <c r="O866" s="1990"/>
      <c r="P866" s="1990"/>
      <c r="Q866" s="1990"/>
      <c r="R866" s="1990"/>
    </row>
    <row r="867" spans="1:18">
      <c r="A867" s="1990"/>
      <c r="B867" s="1990"/>
      <c r="C867" s="1990"/>
      <c r="D867" s="1990"/>
      <c r="E867" s="1990"/>
      <c r="F867" s="1991"/>
      <c r="G867" s="1991"/>
      <c r="H867" s="1991"/>
      <c r="I867" s="1991"/>
      <c r="J867" s="1991"/>
      <c r="K867" s="1991"/>
      <c r="L867" s="1991"/>
      <c r="M867" s="1991"/>
      <c r="N867" s="1990"/>
      <c r="O867" s="1990"/>
      <c r="P867" s="1990"/>
      <c r="Q867" s="1990"/>
      <c r="R867" s="1990"/>
    </row>
    <row r="868" spans="1:18">
      <c r="A868" s="1990"/>
      <c r="B868" s="1990"/>
      <c r="C868" s="1990"/>
      <c r="D868" s="1990"/>
      <c r="E868" s="1990"/>
      <c r="F868" s="1991"/>
      <c r="G868" s="1991"/>
      <c r="H868" s="1991"/>
      <c r="I868" s="1991"/>
      <c r="J868" s="1991"/>
      <c r="K868" s="1990"/>
      <c r="L868" s="1991"/>
      <c r="M868" s="1990"/>
      <c r="N868" s="1990"/>
      <c r="O868" s="1990"/>
      <c r="P868" s="1990"/>
      <c r="Q868" s="1990"/>
      <c r="R868" s="1990"/>
    </row>
    <row r="869" spans="1:18">
      <c r="A869" s="1990"/>
      <c r="B869" s="1990"/>
      <c r="C869" s="1990"/>
      <c r="D869" s="1990"/>
      <c r="E869" s="1990"/>
      <c r="F869" s="1991"/>
      <c r="G869" s="1991"/>
      <c r="H869" s="1991"/>
      <c r="I869" s="1991"/>
      <c r="J869" s="1991"/>
      <c r="K869" s="1990"/>
      <c r="L869" s="1991"/>
      <c r="M869" s="1990"/>
      <c r="N869" s="1990"/>
      <c r="O869" s="1990"/>
      <c r="P869" s="1990"/>
      <c r="Q869" s="1990"/>
      <c r="R869" s="1990"/>
    </row>
    <row r="870" spans="1:18">
      <c r="A870" s="1990"/>
      <c r="B870" s="1990"/>
      <c r="C870" s="1990"/>
      <c r="D870" s="1990"/>
      <c r="E870" s="1990"/>
      <c r="F870" s="1991"/>
      <c r="G870" s="1991"/>
      <c r="H870" s="1991"/>
      <c r="I870" s="1991"/>
      <c r="J870" s="1991"/>
      <c r="K870" s="1991"/>
      <c r="L870" s="1991"/>
      <c r="M870" s="1991"/>
      <c r="N870" s="1990"/>
      <c r="O870" s="1990"/>
      <c r="P870" s="1990"/>
      <c r="Q870" s="1990"/>
      <c r="R870" s="1990"/>
    </row>
    <row r="871" spans="1:18">
      <c r="A871" s="1990"/>
      <c r="B871" s="1990"/>
      <c r="C871" s="1990"/>
      <c r="D871" s="1990"/>
      <c r="E871" s="1990"/>
      <c r="F871" s="1991"/>
      <c r="G871" s="1991"/>
      <c r="H871" s="1991"/>
      <c r="I871" s="1991"/>
      <c r="J871" s="1991"/>
      <c r="K871" s="1991"/>
      <c r="L871" s="1991"/>
      <c r="M871" s="1991"/>
      <c r="N871" s="1990"/>
      <c r="O871" s="1990"/>
      <c r="P871" s="1990"/>
      <c r="Q871" s="1990"/>
      <c r="R871" s="1990"/>
    </row>
    <row r="872" spans="1:18">
      <c r="A872" s="1990"/>
      <c r="B872" s="1990"/>
      <c r="C872" s="1990"/>
      <c r="D872" s="1990"/>
      <c r="E872" s="1990"/>
      <c r="F872" s="1991"/>
      <c r="G872" s="1991"/>
      <c r="H872" s="1991"/>
      <c r="I872" s="1991"/>
      <c r="J872" s="1991"/>
      <c r="K872" s="1991"/>
      <c r="L872" s="1991"/>
      <c r="M872" s="1991"/>
      <c r="N872" s="1990"/>
      <c r="O872" s="1990"/>
      <c r="P872" s="1990"/>
      <c r="Q872" s="1990"/>
      <c r="R872" s="1990"/>
    </row>
    <row r="873" spans="1:18">
      <c r="A873" s="1990"/>
      <c r="B873" s="1990"/>
      <c r="C873" s="1990"/>
      <c r="D873" s="1990"/>
      <c r="E873" s="1990"/>
      <c r="F873" s="1991"/>
      <c r="G873" s="1991"/>
      <c r="H873" s="1991"/>
      <c r="I873" s="1991"/>
      <c r="J873" s="1991"/>
      <c r="K873" s="1991"/>
      <c r="L873" s="1991"/>
      <c r="M873" s="1991"/>
      <c r="N873" s="1990"/>
      <c r="O873" s="1990"/>
      <c r="P873" s="1990"/>
      <c r="Q873" s="1990"/>
      <c r="R873" s="1990"/>
    </row>
    <row r="874" spans="1:18">
      <c r="A874" s="1990"/>
      <c r="B874" s="1990"/>
      <c r="C874" s="1990"/>
      <c r="D874" s="1990"/>
      <c r="E874" s="1990"/>
      <c r="F874" s="1991"/>
      <c r="G874" s="1991"/>
      <c r="H874" s="1991"/>
      <c r="I874" s="1991"/>
      <c r="J874" s="1991"/>
      <c r="K874" s="1990"/>
      <c r="L874" s="1991"/>
      <c r="M874" s="1990"/>
      <c r="N874" s="1990"/>
      <c r="O874" s="1990"/>
      <c r="P874" s="1990"/>
      <c r="Q874" s="1990"/>
      <c r="R874" s="1990"/>
    </row>
    <row r="875" spans="1:18">
      <c r="A875" s="1990"/>
      <c r="B875" s="1990"/>
      <c r="C875" s="1990"/>
      <c r="D875" s="1990"/>
      <c r="E875" s="1990"/>
      <c r="F875" s="1991"/>
      <c r="G875" s="1991"/>
      <c r="H875" s="1991"/>
      <c r="I875" s="1991"/>
      <c r="J875" s="1991"/>
      <c r="K875" s="1991"/>
      <c r="L875" s="1991"/>
      <c r="M875" s="1991"/>
      <c r="N875" s="1990"/>
      <c r="O875" s="1990"/>
      <c r="P875" s="1990"/>
      <c r="Q875" s="1990"/>
      <c r="R875" s="1990"/>
    </row>
    <row r="876" spans="1:18">
      <c r="A876" s="1990"/>
      <c r="B876" s="1990"/>
      <c r="C876" s="1990"/>
      <c r="D876" s="1990"/>
      <c r="E876" s="1990"/>
      <c r="F876" s="1991"/>
      <c r="G876" s="1991"/>
      <c r="H876" s="1991"/>
      <c r="I876" s="1991"/>
      <c r="J876" s="1991"/>
      <c r="K876" s="1991"/>
      <c r="L876" s="1991"/>
      <c r="M876" s="1991"/>
      <c r="N876" s="1990"/>
      <c r="O876" s="1990"/>
      <c r="P876" s="1990"/>
      <c r="Q876" s="1990"/>
      <c r="R876" s="1990"/>
    </row>
    <row r="877" spans="1:18">
      <c r="A877" s="1990"/>
      <c r="B877" s="1990"/>
      <c r="C877" s="1990"/>
      <c r="D877" s="1990"/>
      <c r="E877" s="1990"/>
      <c r="F877" s="1991"/>
      <c r="G877" s="1991"/>
      <c r="H877" s="1991"/>
      <c r="I877" s="1991"/>
      <c r="J877" s="1991"/>
      <c r="K877" s="1990"/>
      <c r="L877" s="1990"/>
      <c r="M877" s="1990"/>
      <c r="N877" s="1990"/>
      <c r="O877" s="1990"/>
      <c r="P877" s="1990"/>
      <c r="Q877" s="1990"/>
      <c r="R877" s="1990"/>
    </row>
    <row r="878" spans="1:18">
      <c r="A878" s="1990"/>
      <c r="B878" s="1990"/>
      <c r="C878" s="1990"/>
      <c r="D878" s="1990"/>
      <c r="E878" s="1990"/>
      <c r="F878" s="1991"/>
      <c r="G878" s="1991"/>
      <c r="H878" s="1991"/>
      <c r="I878" s="1991"/>
      <c r="J878" s="1991"/>
      <c r="K878" s="1991"/>
      <c r="L878" s="1991"/>
      <c r="M878" s="1991"/>
      <c r="N878" s="1990"/>
      <c r="O878" s="1990"/>
      <c r="P878" s="1990"/>
      <c r="Q878" s="1990"/>
      <c r="R878" s="1990"/>
    </row>
    <row r="879" spans="1:18">
      <c r="A879" s="1990"/>
      <c r="B879" s="1990"/>
      <c r="C879" s="1990"/>
      <c r="D879" s="1990"/>
      <c r="E879" s="1990"/>
      <c r="F879" s="1991"/>
      <c r="G879" s="1991"/>
      <c r="H879" s="1991"/>
      <c r="I879" s="1991"/>
      <c r="J879" s="1991"/>
      <c r="K879" s="1991"/>
      <c r="L879" s="1991"/>
      <c r="M879" s="1991"/>
      <c r="N879" s="1990"/>
      <c r="O879" s="1990"/>
      <c r="P879" s="1990"/>
      <c r="Q879" s="1990"/>
      <c r="R879" s="1990"/>
    </row>
    <row r="880" spans="1:18">
      <c r="A880" s="1990"/>
      <c r="B880" s="1990"/>
      <c r="C880" s="1990"/>
      <c r="D880" s="1990"/>
      <c r="E880" s="1990"/>
      <c r="F880" s="1991"/>
      <c r="G880" s="1991"/>
      <c r="H880" s="1991"/>
      <c r="I880" s="1991"/>
      <c r="J880" s="1991"/>
      <c r="K880" s="1991"/>
      <c r="L880" s="1991"/>
      <c r="M880" s="1991"/>
      <c r="N880" s="1990"/>
      <c r="O880" s="1990"/>
      <c r="P880" s="1990"/>
      <c r="Q880" s="1990"/>
      <c r="R880" s="1990"/>
    </row>
    <row r="881" spans="1:18">
      <c r="A881" s="1990"/>
      <c r="B881" s="1990"/>
      <c r="C881" s="1990"/>
      <c r="D881" s="1990"/>
      <c r="E881" s="1990"/>
      <c r="F881" s="1991"/>
      <c r="G881" s="1991"/>
      <c r="H881" s="1991"/>
      <c r="I881" s="1991"/>
      <c r="J881" s="1991"/>
      <c r="K881" s="1990"/>
      <c r="L881" s="1990"/>
      <c r="M881" s="1990"/>
      <c r="N881" s="1990"/>
      <c r="O881" s="1990"/>
      <c r="P881" s="1990"/>
      <c r="Q881" s="1990"/>
      <c r="R881" s="1990"/>
    </row>
    <row r="882" spans="1:18">
      <c r="A882" s="1990"/>
      <c r="B882" s="1990"/>
      <c r="C882" s="1990"/>
      <c r="D882" s="1990"/>
      <c r="E882" s="1990"/>
      <c r="F882" s="1991"/>
      <c r="G882" s="1991"/>
      <c r="H882" s="1991"/>
      <c r="I882" s="1991"/>
      <c r="J882" s="1991"/>
      <c r="K882" s="1991"/>
      <c r="L882" s="1991"/>
      <c r="M882" s="1991"/>
      <c r="N882" s="1990"/>
      <c r="O882" s="1990"/>
      <c r="P882" s="1990"/>
      <c r="Q882" s="1990"/>
      <c r="R882" s="1990"/>
    </row>
    <row r="883" spans="1:18">
      <c r="A883" s="1990"/>
      <c r="B883" s="1990"/>
      <c r="C883" s="1990"/>
      <c r="D883" s="1990"/>
      <c r="E883" s="1990"/>
      <c r="F883" s="1991"/>
      <c r="G883" s="1991"/>
      <c r="H883" s="1991"/>
      <c r="I883" s="1991"/>
      <c r="J883" s="1991"/>
      <c r="K883" s="1991"/>
      <c r="L883" s="1991"/>
      <c r="M883" s="1991"/>
      <c r="N883" s="1990"/>
      <c r="O883" s="1990"/>
      <c r="P883" s="1990"/>
      <c r="Q883" s="1990"/>
      <c r="R883" s="1990"/>
    </row>
    <row r="884" spans="1:18">
      <c r="A884" s="1990"/>
      <c r="B884" s="1990"/>
      <c r="C884" s="1990"/>
      <c r="D884" s="1990"/>
      <c r="E884" s="1990"/>
      <c r="F884" s="1991"/>
      <c r="G884" s="1991"/>
      <c r="H884" s="1991"/>
      <c r="I884" s="1991"/>
      <c r="J884" s="1991"/>
      <c r="K884" s="1991"/>
      <c r="L884" s="1991"/>
      <c r="M884" s="1991"/>
      <c r="N884" s="1990"/>
      <c r="O884" s="1990"/>
      <c r="P884" s="1990"/>
      <c r="Q884" s="1990"/>
      <c r="R884" s="1990"/>
    </row>
    <row r="885" spans="1:18">
      <c r="A885" s="1990"/>
      <c r="B885" s="1990"/>
      <c r="C885" s="1990"/>
      <c r="D885" s="1990"/>
      <c r="E885" s="1990"/>
      <c r="F885" s="1991"/>
      <c r="G885" s="1991"/>
      <c r="H885" s="1991"/>
      <c r="I885" s="1991"/>
      <c r="J885" s="1991"/>
      <c r="K885" s="1990"/>
      <c r="L885" s="1990"/>
      <c r="M885" s="1990"/>
      <c r="N885" s="1990"/>
      <c r="O885" s="1990"/>
      <c r="P885" s="1990"/>
      <c r="Q885" s="1990"/>
      <c r="R885" s="1990"/>
    </row>
    <row r="886" spans="1:18">
      <c r="A886" s="1990"/>
      <c r="B886" s="1990"/>
      <c r="C886" s="1990"/>
      <c r="D886" s="1990"/>
      <c r="E886" s="1990"/>
      <c r="F886" s="1991"/>
      <c r="G886" s="1991"/>
      <c r="H886" s="1991"/>
      <c r="I886" s="1991"/>
      <c r="J886" s="1991"/>
      <c r="K886" s="1991"/>
      <c r="L886" s="1991"/>
      <c r="M886" s="1991"/>
      <c r="N886" s="1990"/>
      <c r="O886" s="1990"/>
      <c r="P886" s="1990"/>
      <c r="Q886" s="1990"/>
      <c r="R886" s="1990"/>
    </row>
    <row r="887" spans="1:18">
      <c r="A887" s="1990"/>
      <c r="B887" s="1990"/>
      <c r="C887" s="1990"/>
      <c r="D887" s="1990"/>
      <c r="E887" s="1990"/>
      <c r="F887" s="1991"/>
      <c r="G887" s="1991"/>
      <c r="H887" s="1991"/>
      <c r="I887" s="1991"/>
      <c r="J887" s="1991"/>
      <c r="K887" s="1991"/>
      <c r="L887" s="1991"/>
      <c r="M887" s="1991"/>
      <c r="N887" s="1990"/>
      <c r="O887" s="1990"/>
      <c r="P887" s="1990"/>
      <c r="Q887" s="1990"/>
      <c r="R887" s="1990"/>
    </row>
    <row r="888" spans="1:18">
      <c r="A888" s="1990"/>
      <c r="B888" s="1990"/>
      <c r="C888" s="1990"/>
      <c r="D888" s="1990"/>
      <c r="E888" s="1990"/>
      <c r="F888" s="1991"/>
      <c r="G888" s="1991"/>
      <c r="H888" s="1991"/>
      <c r="I888" s="1991"/>
      <c r="J888" s="1991"/>
      <c r="K888" s="1990"/>
      <c r="L888" s="1990"/>
      <c r="M888" s="1990"/>
      <c r="N888" s="1990"/>
      <c r="O888" s="1990"/>
      <c r="P888" s="1990"/>
      <c r="Q888" s="1990"/>
      <c r="R888" s="1990"/>
    </row>
    <row r="889" spans="1:18">
      <c r="A889" s="1990"/>
      <c r="B889" s="1990"/>
      <c r="C889" s="1990"/>
      <c r="D889" s="1990"/>
      <c r="E889" s="1990"/>
      <c r="F889" s="1991"/>
      <c r="G889" s="1991"/>
      <c r="H889" s="1991"/>
      <c r="I889" s="1991"/>
      <c r="J889" s="1991"/>
      <c r="K889" s="1991"/>
      <c r="L889" s="1991"/>
      <c r="M889" s="1991"/>
      <c r="N889" s="1990"/>
      <c r="O889" s="1990"/>
      <c r="P889" s="1990"/>
      <c r="Q889" s="1990"/>
      <c r="R889" s="1990"/>
    </row>
    <row r="890" spans="1:18">
      <c r="A890" s="1990"/>
      <c r="B890" s="1990"/>
      <c r="C890" s="1990"/>
      <c r="D890" s="1990"/>
      <c r="E890" s="1990"/>
      <c r="F890" s="1991"/>
      <c r="G890" s="1991"/>
      <c r="H890" s="1991"/>
      <c r="I890" s="1991"/>
      <c r="J890" s="1991"/>
      <c r="K890" s="1991"/>
      <c r="L890" s="1991"/>
      <c r="M890" s="1991"/>
      <c r="N890" s="1990"/>
      <c r="O890" s="1990"/>
      <c r="P890" s="1990"/>
      <c r="Q890" s="1990"/>
      <c r="R890" s="1990"/>
    </row>
    <row r="891" spans="1:18">
      <c r="A891" s="1990"/>
      <c r="B891" s="1990"/>
      <c r="C891" s="1990"/>
      <c r="D891" s="1990"/>
      <c r="E891" s="1990"/>
      <c r="F891" s="1991"/>
      <c r="G891" s="1991"/>
      <c r="H891" s="1991"/>
      <c r="I891" s="1991"/>
      <c r="J891" s="1991"/>
      <c r="K891" s="1991"/>
      <c r="L891" s="1991"/>
      <c r="M891" s="1991"/>
      <c r="N891" s="1990"/>
      <c r="O891" s="1990"/>
      <c r="P891" s="1990"/>
      <c r="Q891" s="1990"/>
      <c r="R891" s="1990"/>
    </row>
    <row r="892" spans="1:18">
      <c r="A892" s="1990"/>
      <c r="B892" s="1990"/>
      <c r="C892" s="1990"/>
      <c r="D892" s="1990"/>
      <c r="E892" s="1990"/>
      <c r="F892" s="1991"/>
      <c r="G892" s="1991"/>
      <c r="H892" s="1991"/>
      <c r="I892" s="1991"/>
      <c r="J892" s="1991"/>
      <c r="K892" s="1991"/>
      <c r="L892" s="1991"/>
      <c r="M892" s="1991"/>
      <c r="N892" s="1990"/>
      <c r="O892" s="1990"/>
      <c r="P892" s="1990"/>
      <c r="Q892" s="1990"/>
      <c r="R892" s="1990"/>
    </row>
    <row r="893" spans="1:18">
      <c r="A893" s="1990"/>
      <c r="B893" s="1990"/>
      <c r="C893" s="1990"/>
      <c r="D893" s="1990"/>
      <c r="E893" s="1990"/>
      <c r="F893" s="1991"/>
      <c r="G893" s="1991"/>
      <c r="H893" s="1991"/>
      <c r="I893" s="1991"/>
      <c r="J893" s="1991"/>
      <c r="K893" s="1991"/>
      <c r="L893" s="1991"/>
      <c r="M893" s="1991"/>
      <c r="N893" s="1990"/>
      <c r="O893" s="1990"/>
      <c r="P893" s="1990"/>
      <c r="Q893" s="1990"/>
      <c r="R893" s="1990"/>
    </row>
    <row r="894" spans="1:18">
      <c r="A894" s="1990"/>
      <c r="B894" s="1990"/>
      <c r="C894" s="1990"/>
      <c r="D894" s="1990"/>
      <c r="E894" s="1990"/>
      <c r="F894" s="1991"/>
      <c r="G894" s="1991"/>
      <c r="H894" s="1991"/>
      <c r="I894" s="1991"/>
      <c r="J894" s="1991"/>
      <c r="K894" s="1991"/>
      <c r="L894" s="1991"/>
      <c r="M894" s="1991"/>
      <c r="N894" s="1990"/>
      <c r="O894" s="1990"/>
      <c r="P894" s="1990"/>
      <c r="Q894" s="1990"/>
      <c r="R894" s="1990"/>
    </row>
    <row r="895" spans="1:18">
      <c r="A895" s="1990"/>
      <c r="B895" s="1990"/>
      <c r="C895" s="1990"/>
      <c r="D895" s="1990"/>
      <c r="E895" s="1990"/>
      <c r="F895" s="1991"/>
      <c r="G895" s="1991"/>
      <c r="H895" s="1991"/>
      <c r="I895" s="1991"/>
      <c r="J895" s="1991"/>
      <c r="K895" s="1991"/>
      <c r="L895" s="1991"/>
      <c r="M895" s="1991"/>
      <c r="N895" s="1990"/>
      <c r="O895" s="1990"/>
      <c r="P895" s="1990"/>
      <c r="Q895" s="1990"/>
      <c r="R895" s="1990"/>
    </row>
    <row r="896" spans="1:18">
      <c r="A896" s="1990"/>
      <c r="B896" s="1990"/>
      <c r="C896" s="1990"/>
      <c r="D896" s="1990"/>
      <c r="E896" s="1990"/>
      <c r="F896" s="1991"/>
      <c r="G896" s="1991"/>
      <c r="H896" s="1991"/>
      <c r="I896" s="1991"/>
      <c r="J896" s="1991"/>
      <c r="K896" s="1991"/>
      <c r="L896" s="1991"/>
      <c r="M896" s="1991"/>
      <c r="N896" s="1990"/>
      <c r="O896" s="1990"/>
      <c r="P896" s="1990"/>
      <c r="Q896" s="1990"/>
      <c r="R896" s="1990"/>
    </row>
    <row r="897" spans="1:18">
      <c r="A897" s="1990"/>
      <c r="B897" s="1990"/>
      <c r="C897" s="1990"/>
      <c r="D897" s="1990"/>
      <c r="E897" s="1990"/>
      <c r="F897" s="1991"/>
      <c r="G897" s="1991"/>
      <c r="H897" s="1991"/>
      <c r="I897" s="1991"/>
      <c r="J897" s="1991"/>
      <c r="K897" s="1991"/>
      <c r="L897" s="1991"/>
      <c r="M897" s="1991"/>
      <c r="N897" s="1990"/>
      <c r="O897" s="1990"/>
      <c r="P897" s="1990"/>
      <c r="Q897" s="1990"/>
      <c r="R897" s="1990"/>
    </row>
    <row r="898" spans="1:18">
      <c r="A898" s="1990"/>
      <c r="B898" s="1990"/>
      <c r="C898" s="1990"/>
      <c r="D898" s="1990"/>
      <c r="E898" s="1990"/>
      <c r="F898" s="1991"/>
      <c r="G898" s="1991"/>
      <c r="H898" s="1991"/>
      <c r="I898" s="1991"/>
      <c r="J898" s="1991"/>
      <c r="K898" s="1991"/>
      <c r="L898" s="1991"/>
      <c r="M898" s="1991"/>
      <c r="N898" s="1990"/>
      <c r="O898" s="1990"/>
      <c r="P898" s="1990"/>
      <c r="Q898" s="1990"/>
      <c r="R898" s="1990"/>
    </row>
    <row r="899" spans="1:18">
      <c r="A899" s="1990"/>
      <c r="B899" s="1990"/>
      <c r="C899" s="1990"/>
      <c r="D899" s="1990"/>
      <c r="E899" s="1990"/>
      <c r="F899" s="1991"/>
      <c r="G899" s="1991"/>
      <c r="H899" s="1991"/>
      <c r="I899" s="1991"/>
      <c r="J899" s="1991"/>
      <c r="K899" s="1991"/>
      <c r="L899" s="1991"/>
      <c r="M899" s="1991"/>
      <c r="N899" s="1990"/>
      <c r="O899" s="1990"/>
      <c r="P899" s="1990"/>
      <c r="Q899" s="1990"/>
      <c r="R899" s="1990"/>
    </row>
    <row r="900" spans="1:18">
      <c r="A900" s="1990"/>
      <c r="B900" s="1990"/>
      <c r="C900" s="1990"/>
      <c r="D900" s="1990"/>
      <c r="E900" s="1990"/>
      <c r="F900" s="1991"/>
      <c r="G900" s="1991"/>
      <c r="H900" s="1991"/>
      <c r="I900" s="1991"/>
      <c r="J900" s="1991"/>
      <c r="K900" s="1991"/>
      <c r="L900" s="1991"/>
      <c r="M900" s="1991"/>
      <c r="N900" s="1990"/>
      <c r="O900" s="1990"/>
      <c r="P900" s="1990"/>
      <c r="Q900" s="1990"/>
      <c r="R900" s="1990"/>
    </row>
    <row r="901" spans="1:18">
      <c r="A901" s="1990"/>
      <c r="B901" s="1990"/>
      <c r="C901" s="1990"/>
      <c r="D901" s="1990"/>
      <c r="E901" s="1990"/>
      <c r="F901" s="1991"/>
      <c r="G901" s="1991"/>
      <c r="H901" s="1991"/>
      <c r="I901" s="1991"/>
      <c r="J901" s="1991"/>
      <c r="K901" s="1991"/>
      <c r="L901" s="1991"/>
      <c r="M901" s="1991"/>
      <c r="N901" s="1990"/>
      <c r="O901" s="1990"/>
      <c r="P901" s="1990"/>
      <c r="Q901" s="1990"/>
      <c r="R901" s="1990"/>
    </row>
    <row r="902" spans="1:18">
      <c r="A902" s="1990"/>
      <c r="B902" s="1990"/>
      <c r="C902" s="1990"/>
      <c r="D902" s="1990"/>
      <c r="E902" s="1990"/>
      <c r="F902" s="1991"/>
      <c r="G902" s="1991"/>
      <c r="H902" s="1991"/>
      <c r="I902" s="1991"/>
      <c r="J902" s="1991"/>
      <c r="K902" s="1990"/>
      <c r="L902" s="1991"/>
      <c r="M902" s="1990"/>
      <c r="N902" s="1990"/>
      <c r="O902" s="1990"/>
      <c r="P902" s="1990"/>
      <c r="Q902" s="1990"/>
      <c r="R902" s="1990"/>
    </row>
    <row r="903" spans="1:18">
      <c r="A903" s="1990"/>
      <c r="B903" s="1990"/>
      <c r="C903" s="1990"/>
      <c r="D903" s="1990"/>
      <c r="E903" s="1990"/>
      <c r="F903" s="1991"/>
      <c r="G903" s="1991"/>
      <c r="H903" s="1991"/>
      <c r="I903" s="1991"/>
      <c r="J903" s="1991"/>
      <c r="K903" s="1991"/>
      <c r="L903" s="1991"/>
      <c r="M903" s="1991"/>
      <c r="N903" s="1990"/>
      <c r="O903" s="1990"/>
      <c r="P903" s="1990"/>
      <c r="Q903" s="1990"/>
      <c r="R903" s="1990"/>
    </row>
    <row r="904" spans="1:18">
      <c r="A904" s="1990"/>
      <c r="B904" s="1990"/>
      <c r="C904" s="1990"/>
      <c r="D904" s="1990"/>
      <c r="E904" s="1990"/>
      <c r="F904" s="1991"/>
      <c r="G904" s="1991"/>
      <c r="H904" s="1991"/>
      <c r="I904" s="1991"/>
      <c r="J904" s="1991"/>
      <c r="K904" s="1991"/>
      <c r="L904" s="1991"/>
      <c r="M904" s="1991"/>
      <c r="N904" s="1990"/>
      <c r="O904" s="1990"/>
      <c r="P904" s="1990"/>
      <c r="Q904" s="1990"/>
      <c r="R904" s="1990"/>
    </row>
    <row r="905" spans="1:18">
      <c r="A905" s="1990"/>
      <c r="B905" s="1990"/>
      <c r="C905" s="1990"/>
      <c r="D905" s="1990"/>
      <c r="E905" s="1990"/>
      <c r="F905" s="1991"/>
      <c r="G905" s="1991"/>
      <c r="H905" s="1991"/>
      <c r="I905" s="1991"/>
      <c r="J905" s="1991"/>
      <c r="K905" s="1991"/>
      <c r="L905" s="1991"/>
      <c r="M905" s="1991"/>
      <c r="N905" s="1990"/>
      <c r="O905" s="1990"/>
      <c r="P905" s="1990"/>
      <c r="Q905" s="1990"/>
      <c r="R905" s="1990"/>
    </row>
    <row r="906" spans="1:18">
      <c r="A906" s="1990"/>
      <c r="B906" s="1990"/>
      <c r="C906" s="1990"/>
      <c r="D906" s="1990"/>
      <c r="E906" s="1990"/>
      <c r="F906" s="1991"/>
      <c r="G906" s="1991"/>
      <c r="H906" s="1991"/>
      <c r="I906" s="1991"/>
      <c r="J906" s="1991"/>
      <c r="K906" s="1991"/>
      <c r="L906" s="1991"/>
      <c r="M906" s="1991"/>
      <c r="N906" s="1990"/>
      <c r="O906" s="1990"/>
      <c r="P906" s="1990"/>
      <c r="Q906" s="1990"/>
      <c r="R906" s="1990"/>
    </row>
    <row r="907" spans="1:18">
      <c r="A907" s="1990"/>
      <c r="B907" s="1990"/>
      <c r="C907" s="1990"/>
      <c r="D907" s="1990"/>
      <c r="E907" s="1990"/>
      <c r="F907" s="1991"/>
      <c r="G907" s="1991"/>
      <c r="H907" s="1991"/>
      <c r="I907" s="1991"/>
      <c r="J907" s="1991"/>
      <c r="K907" s="1991"/>
      <c r="L907" s="1991"/>
      <c r="M907" s="1991"/>
      <c r="N907" s="1990"/>
      <c r="O907" s="1990"/>
      <c r="P907" s="1990"/>
      <c r="Q907" s="1990"/>
      <c r="R907" s="1990"/>
    </row>
    <row r="908" spans="1:18">
      <c r="A908" s="1990"/>
      <c r="B908" s="1990"/>
      <c r="C908" s="1990"/>
      <c r="D908" s="1990"/>
      <c r="E908" s="1990"/>
      <c r="F908" s="1991"/>
      <c r="G908" s="1991"/>
      <c r="H908" s="1991"/>
      <c r="I908" s="1991"/>
      <c r="J908" s="1991"/>
      <c r="K908" s="1991"/>
      <c r="L908" s="1991"/>
      <c r="M908" s="1991"/>
      <c r="N908" s="1990"/>
      <c r="O908" s="1990"/>
      <c r="P908" s="1990"/>
      <c r="Q908" s="1990"/>
      <c r="R908" s="1990"/>
    </row>
    <row r="909" spans="1:18">
      <c r="A909" s="1990"/>
      <c r="B909" s="1990"/>
      <c r="C909" s="1990"/>
      <c r="D909" s="1990"/>
      <c r="E909" s="1990"/>
      <c r="F909" s="1991"/>
      <c r="G909" s="1991"/>
      <c r="H909" s="1991"/>
      <c r="I909" s="1991"/>
      <c r="J909" s="1991"/>
      <c r="K909" s="1991"/>
      <c r="L909" s="1991"/>
      <c r="M909" s="1991"/>
      <c r="N909" s="1990"/>
      <c r="O909" s="1990"/>
      <c r="P909" s="1990"/>
      <c r="Q909" s="1990"/>
      <c r="R909" s="1990"/>
    </row>
    <row r="910" spans="1:18">
      <c r="A910" s="1990"/>
      <c r="B910" s="1990"/>
      <c r="C910" s="1990"/>
      <c r="D910" s="1990"/>
      <c r="E910" s="1990"/>
      <c r="F910" s="1991"/>
      <c r="G910" s="1991"/>
      <c r="H910" s="1991"/>
      <c r="I910" s="1991"/>
      <c r="J910" s="1991"/>
      <c r="K910" s="1991"/>
      <c r="L910" s="1991"/>
      <c r="M910" s="1991"/>
      <c r="N910" s="1990"/>
      <c r="O910" s="1990"/>
      <c r="P910" s="1990"/>
      <c r="Q910" s="1990"/>
      <c r="R910" s="1990"/>
    </row>
    <row r="911" spans="1:18">
      <c r="A911" s="1990"/>
      <c r="B911" s="1990"/>
      <c r="C911" s="1990"/>
      <c r="D911" s="1990"/>
      <c r="E911" s="1990"/>
      <c r="F911" s="1991"/>
      <c r="G911" s="1991"/>
      <c r="H911" s="1991"/>
      <c r="I911" s="1991"/>
      <c r="J911" s="1991"/>
      <c r="K911" s="1991"/>
      <c r="L911" s="1991"/>
      <c r="M911" s="1991"/>
      <c r="N911" s="1990"/>
      <c r="O911" s="1990"/>
      <c r="P911" s="1990"/>
      <c r="Q911" s="1990"/>
      <c r="R911" s="1990"/>
    </row>
    <row r="912" spans="1:18">
      <c r="A912" s="1990"/>
      <c r="B912" s="1990"/>
      <c r="C912" s="1990"/>
      <c r="D912" s="1990"/>
      <c r="E912" s="1990"/>
      <c r="F912" s="1991"/>
      <c r="G912" s="1991"/>
      <c r="H912" s="1991"/>
      <c r="I912" s="1991"/>
      <c r="J912" s="1991"/>
      <c r="K912" s="1991"/>
      <c r="L912" s="1991"/>
      <c r="M912" s="1991"/>
      <c r="N912" s="1990"/>
      <c r="O912" s="1990"/>
      <c r="P912" s="1990"/>
      <c r="Q912" s="1990"/>
      <c r="R912" s="1990"/>
    </row>
    <row r="913" spans="1:18">
      <c r="A913" s="1990"/>
      <c r="B913" s="1990"/>
      <c r="C913" s="1990"/>
      <c r="D913" s="1990"/>
      <c r="E913" s="1990"/>
      <c r="F913" s="1991"/>
      <c r="G913" s="1991"/>
      <c r="H913" s="1991"/>
      <c r="I913" s="1991"/>
      <c r="J913" s="1991"/>
      <c r="K913" s="1991"/>
      <c r="L913" s="1991"/>
      <c r="M913" s="1991"/>
      <c r="N913" s="1990"/>
      <c r="O913" s="1990"/>
      <c r="P913" s="1990"/>
      <c r="Q913" s="1990"/>
      <c r="R913" s="1990"/>
    </row>
    <row r="914" spans="1:18">
      <c r="A914" s="1990"/>
      <c r="B914" s="1990"/>
      <c r="C914" s="1990"/>
      <c r="D914" s="1990"/>
      <c r="E914" s="1990"/>
      <c r="F914" s="1991"/>
      <c r="G914" s="1991"/>
      <c r="H914" s="1991"/>
      <c r="I914" s="1991"/>
      <c r="J914" s="1991"/>
      <c r="K914" s="1991"/>
      <c r="L914" s="1991"/>
      <c r="M914" s="1991"/>
      <c r="N914" s="1990"/>
      <c r="O914" s="1990"/>
      <c r="P914" s="1990"/>
      <c r="Q914" s="1990"/>
      <c r="R914" s="1990"/>
    </row>
    <row r="915" spans="1:18">
      <c r="A915" s="1990"/>
      <c r="B915" s="1990"/>
      <c r="C915" s="1990"/>
      <c r="D915" s="1990"/>
      <c r="E915" s="1990"/>
      <c r="F915" s="1991"/>
      <c r="G915" s="1991"/>
      <c r="H915" s="1991"/>
      <c r="I915" s="1991"/>
      <c r="J915" s="1991"/>
      <c r="K915" s="1990"/>
      <c r="L915" s="1990"/>
      <c r="M915" s="1990"/>
      <c r="N915" s="1990"/>
      <c r="O915" s="1990"/>
      <c r="P915" s="1990"/>
      <c r="Q915" s="1990"/>
      <c r="R915" s="1990"/>
    </row>
    <row r="916" spans="1:18">
      <c r="A916" s="1990"/>
      <c r="B916" s="1990"/>
      <c r="C916" s="1990"/>
      <c r="D916" s="1990"/>
      <c r="E916" s="1990"/>
      <c r="F916" s="1991"/>
      <c r="G916" s="1991"/>
      <c r="H916" s="1991"/>
      <c r="I916" s="1991"/>
      <c r="J916" s="1991"/>
      <c r="K916" s="1991"/>
      <c r="L916" s="1991"/>
      <c r="M916" s="1991"/>
      <c r="N916" s="1990"/>
      <c r="O916" s="1990"/>
      <c r="P916" s="1990"/>
      <c r="Q916" s="1990"/>
      <c r="R916" s="1990"/>
    </row>
    <row r="917" spans="1:18">
      <c r="A917" s="1990"/>
      <c r="B917" s="1990"/>
      <c r="C917" s="1990"/>
      <c r="D917" s="1990"/>
      <c r="E917" s="1990"/>
      <c r="F917" s="1991"/>
      <c r="G917" s="1991"/>
      <c r="H917" s="1991"/>
      <c r="I917" s="1991"/>
      <c r="J917" s="1991"/>
      <c r="K917" s="1991"/>
      <c r="L917" s="1991"/>
      <c r="M917" s="1991"/>
      <c r="N917" s="1990"/>
      <c r="O917" s="1990"/>
      <c r="P917" s="1990"/>
      <c r="Q917" s="1990"/>
      <c r="R917" s="1990"/>
    </row>
    <row r="918" spans="1:18">
      <c r="A918" s="1990"/>
      <c r="B918" s="1990"/>
      <c r="C918" s="1990"/>
      <c r="D918" s="1990"/>
      <c r="E918" s="1990"/>
      <c r="F918" s="1991"/>
      <c r="G918" s="1991"/>
      <c r="H918" s="1991"/>
      <c r="I918" s="1991"/>
      <c r="J918" s="1991"/>
      <c r="K918" s="1991"/>
      <c r="L918" s="1991"/>
      <c r="M918" s="1991"/>
      <c r="N918" s="1990"/>
      <c r="O918" s="1990"/>
      <c r="P918" s="1990"/>
      <c r="Q918" s="1990"/>
      <c r="R918" s="1990"/>
    </row>
    <row r="919" spans="1:18">
      <c r="A919" s="1990"/>
      <c r="B919" s="1990"/>
      <c r="C919" s="1990"/>
      <c r="D919" s="1990"/>
      <c r="E919" s="1990"/>
      <c r="F919" s="1991"/>
      <c r="G919" s="1991"/>
      <c r="H919" s="1991"/>
      <c r="I919" s="1991"/>
      <c r="J919" s="1991"/>
      <c r="K919" s="1991"/>
      <c r="L919" s="1991"/>
      <c r="M919" s="1991"/>
      <c r="N919" s="1990"/>
      <c r="O919" s="1990"/>
      <c r="P919" s="1990"/>
      <c r="Q919" s="1990"/>
      <c r="R919" s="1990"/>
    </row>
    <row r="920" spans="1:18">
      <c r="A920" s="1990"/>
      <c r="B920" s="1990"/>
      <c r="C920" s="1990"/>
      <c r="D920" s="1990"/>
      <c r="E920" s="1990"/>
      <c r="F920" s="1991"/>
      <c r="G920" s="1991"/>
      <c r="H920" s="1991"/>
      <c r="I920" s="1991"/>
      <c r="J920" s="1991"/>
      <c r="K920" s="1991"/>
      <c r="L920" s="1991"/>
      <c r="M920" s="1991"/>
      <c r="N920" s="1990"/>
      <c r="O920" s="1990"/>
      <c r="P920" s="1990"/>
      <c r="Q920" s="1990"/>
      <c r="R920" s="1990"/>
    </row>
    <row r="921" spans="1:18">
      <c r="A921" s="1990"/>
      <c r="B921" s="1990"/>
      <c r="C921" s="1990"/>
      <c r="D921" s="1990"/>
      <c r="E921" s="1990"/>
      <c r="F921" s="1991"/>
      <c r="G921" s="1991"/>
      <c r="H921" s="1991"/>
      <c r="I921" s="1991"/>
      <c r="J921" s="1991"/>
      <c r="K921" s="1991"/>
      <c r="L921" s="1991"/>
      <c r="M921" s="1991"/>
      <c r="N921" s="1990"/>
      <c r="O921" s="1990"/>
      <c r="P921" s="1990"/>
      <c r="Q921" s="1990"/>
      <c r="R921" s="1990"/>
    </row>
    <row r="922" spans="1:18">
      <c r="A922" s="1990"/>
      <c r="B922" s="1990"/>
      <c r="C922" s="1990"/>
      <c r="D922" s="1990"/>
      <c r="E922" s="1990"/>
      <c r="F922" s="1991"/>
      <c r="G922" s="1991"/>
      <c r="H922" s="1991"/>
      <c r="I922" s="1991"/>
      <c r="J922" s="1991"/>
      <c r="K922" s="1991"/>
      <c r="L922" s="1991"/>
      <c r="M922" s="1991"/>
      <c r="N922" s="1990"/>
      <c r="O922" s="1990"/>
      <c r="P922" s="1990"/>
      <c r="Q922" s="1990"/>
      <c r="R922" s="1990"/>
    </row>
    <row r="923" spans="1:18">
      <c r="A923" s="1990"/>
      <c r="B923" s="1990"/>
      <c r="C923" s="1990"/>
      <c r="D923" s="1990"/>
      <c r="E923" s="1990"/>
      <c r="F923" s="1991"/>
      <c r="G923" s="1991"/>
      <c r="H923" s="1991"/>
      <c r="I923" s="1991"/>
      <c r="J923" s="1991"/>
      <c r="K923" s="1991"/>
      <c r="L923" s="1991"/>
      <c r="M923" s="1991"/>
      <c r="N923" s="1990"/>
      <c r="O923" s="1990"/>
      <c r="P923" s="1990"/>
      <c r="Q923" s="1990"/>
      <c r="R923" s="1990"/>
    </row>
    <row r="924" spans="1:18">
      <c r="A924" s="1990"/>
      <c r="B924" s="1990"/>
      <c r="C924" s="1990"/>
      <c r="D924" s="1990"/>
      <c r="E924" s="1990"/>
      <c r="F924" s="1991"/>
      <c r="G924" s="1991"/>
      <c r="H924" s="1991"/>
      <c r="I924" s="1991"/>
      <c r="J924" s="1991"/>
      <c r="K924" s="1991"/>
      <c r="L924" s="1991"/>
      <c r="M924" s="1991"/>
      <c r="N924" s="1990"/>
      <c r="O924" s="1990"/>
      <c r="P924" s="1990"/>
      <c r="Q924" s="1990"/>
      <c r="R924" s="1990"/>
    </row>
    <row r="925" spans="1:18">
      <c r="A925" s="1990"/>
      <c r="B925" s="1990"/>
      <c r="C925" s="1990"/>
      <c r="D925" s="1990"/>
      <c r="E925" s="1990"/>
      <c r="F925" s="1991"/>
      <c r="G925" s="1991"/>
      <c r="H925" s="1991"/>
      <c r="I925" s="1991"/>
      <c r="J925" s="1991"/>
      <c r="K925" s="1991"/>
      <c r="L925" s="1991"/>
      <c r="M925" s="1991"/>
      <c r="N925" s="1990"/>
      <c r="O925" s="1990"/>
      <c r="P925" s="1990"/>
      <c r="Q925" s="1990"/>
      <c r="R925" s="1990"/>
    </row>
    <row r="926" spans="1:18">
      <c r="A926" s="1990"/>
      <c r="B926" s="1990"/>
      <c r="C926" s="1990"/>
      <c r="D926" s="1990"/>
      <c r="E926" s="1990"/>
      <c r="F926" s="1991"/>
      <c r="G926" s="1991"/>
      <c r="H926" s="1991"/>
      <c r="I926" s="1991"/>
      <c r="J926" s="1991"/>
      <c r="K926" s="1991"/>
      <c r="L926" s="1991"/>
      <c r="M926" s="1991"/>
      <c r="N926" s="1990"/>
      <c r="O926" s="1990"/>
      <c r="P926" s="1990"/>
      <c r="Q926" s="1990"/>
      <c r="R926" s="1990"/>
    </row>
    <row r="927" spans="1:18">
      <c r="A927" s="1990"/>
      <c r="B927" s="1990"/>
      <c r="C927" s="1990"/>
      <c r="D927" s="1990"/>
      <c r="E927" s="1990"/>
      <c r="F927" s="1991"/>
      <c r="G927" s="1991"/>
      <c r="H927" s="1991"/>
      <c r="I927" s="1991"/>
      <c r="J927" s="1991"/>
      <c r="K927" s="1991"/>
      <c r="L927" s="1991"/>
      <c r="M927" s="1991"/>
      <c r="N927" s="1990"/>
      <c r="O927" s="1990"/>
      <c r="P927" s="1990"/>
      <c r="Q927" s="1990"/>
      <c r="R927" s="1990"/>
    </row>
    <row r="928" spans="1:18">
      <c r="A928" s="1990"/>
      <c r="B928" s="1990"/>
      <c r="C928" s="1990"/>
      <c r="D928" s="1990"/>
      <c r="E928" s="1990"/>
      <c r="F928" s="1991"/>
      <c r="G928" s="1991"/>
      <c r="H928" s="1991"/>
      <c r="I928" s="1991"/>
      <c r="J928" s="1991"/>
      <c r="K928" s="1991"/>
      <c r="L928" s="1991"/>
      <c r="M928" s="1991"/>
      <c r="N928" s="1990"/>
      <c r="O928" s="1990"/>
      <c r="P928" s="1990"/>
      <c r="Q928" s="1990"/>
      <c r="R928" s="1990"/>
    </row>
    <row r="929" spans="1:18">
      <c r="A929" s="1990"/>
      <c r="B929" s="1990"/>
      <c r="C929" s="1990"/>
      <c r="D929" s="1990"/>
      <c r="E929" s="1990"/>
      <c r="F929" s="1991"/>
      <c r="G929" s="1991"/>
      <c r="H929" s="1991"/>
      <c r="I929" s="1991"/>
      <c r="J929" s="1991"/>
      <c r="K929" s="1991"/>
      <c r="L929" s="1991"/>
      <c r="M929" s="1991"/>
      <c r="N929" s="1990"/>
      <c r="O929" s="1990"/>
      <c r="P929" s="1990"/>
      <c r="Q929" s="1990"/>
      <c r="R929" s="1990"/>
    </row>
    <row r="930" spans="1:18">
      <c r="A930" s="1990"/>
      <c r="B930" s="1990"/>
      <c r="C930" s="1990"/>
      <c r="D930" s="1990"/>
      <c r="E930" s="1990"/>
      <c r="F930" s="1991"/>
      <c r="G930" s="1991"/>
      <c r="H930" s="1991"/>
      <c r="I930" s="1991"/>
      <c r="J930" s="1991"/>
      <c r="K930" s="1991"/>
      <c r="L930" s="1991"/>
      <c r="M930" s="1991"/>
      <c r="N930" s="1990"/>
      <c r="O930" s="1990"/>
      <c r="P930" s="1990"/>
      <c r="Q930" s="1990"/>
      <c r="R930" s="1990"/>
    </row>
    <row r="931" spans="1:18">
      <c r="A931" s="1990"/>
      <c r="B931" s="1990"/>
      <c r="C931" s="1990"/>
      <c r="D931" s="1990"/>
      <c r="E931" s="1990"/>
      <c r="F931" s="1991"/>
      <c r="G931" s="1991"/>
      <c r="H931" s="1991"/>
      <c r="I931" s="1991"/>
      <c r="J931" s="1991"/>
      <c r="K931" s="1991"/>
      <c r="L931" s="1991"/>
      <c r="M931" s="1991"/>
      <c r="N931" s="1990"/>
      <c r="O931" s="1990"/>
      <c r="P931" s="1990"/>
      <c r="Q931" s="1990"/>
      <c r="R931" s="1990"/>
    </row>
    <row r="932" spans="1:18">
      <c r="A932" s="1990"/>
      <c r="B932" s="1990"/>
      <c r="C932" s="1990"/>
      <c r="D932" s="1990"/>
      <c r="E932" s="1990"/>
      <c r="F932" s="1991"/>
      <c r="G932" s="1991"/>
      <c r="H932" s="1991"/>
      <c r="I932" s="1991"/>
      <c r="J932" s="1991"/>
      <c r="K932" s="1991"/>
      <c r="L932" s="1991"/>
      <c r="M932" s="1991"/>
      <c r="N932" s="1990"/>
      <c r="O932" s="1990"/>
      <c r="P932" s="1990"/>
      <c r="Q932" s="1990"/>
      <c r="R932" s="1990"/>
    </row>
    <row r="933" spans="1:18">
      <c r="A933" s="1990"/>
      <c r="B933" s="1990"/>
      <c r="C933" s="1990"/>
      <c r="D933" s="1990"/>
      <c r="E933" s="1990"/>
      <c r="F933" s="1991"/>
      <c r="G933" s="1991"/>
      <c r="H933" s="1991"/>
      <c r="I933" s="1991"/>
      <c r="J933" s="1991"/>
      <c r="K933" s="1991"/>
      <c r="L933" s="1991"/>
      <c r="M933" s="1991"/>
      <c r="N933" s="1990"/>
      <c r="O933" s="1990"/>
      <c r="P933" s="1990"/>
      <c r="Q933" s="1990"/>
      <c r="R933" s="1990"/>
    </row>
    <row r="934" spans="1:18">
      <c r="A934" s="1990"/>
      <c r="B934" s="1990"/>
      <c r="C934" s="1990"/>
      <c r="D934" s="1990"/>
      <c r="E934" s="1990"/>
      <c r="F934" s="1991"/>
      <c r="G934" s="1991"/>
      <c r="H934" s="1991"/>
      <c r="I934" s="1991"/>
      <c r="J934" s="1991"/>
      <c r="K934" s="1991"/>
      <c r="L934" s="1991"/>
      <c r="M934" s="1991"/>
      <c r="N934" s="1990"/>
      <c r="O934" s="1990"/>
      <c r="P934" s="1990"/>
      <c r="Q934" s="1990"/>
      <c r="R934" s="1990"/>
    </row>
    <row r="935" spans="1:18">
      <c r="A935" s="1990"/>
      <c r="B935" s="1990"/>
      <c r="C935" s="1990"/>
      <c r="D935" s="1990"/>
      <c r="E935" s="1990"/>
      <c r="F935" s="1991"/>
      <c r="G935" s="1991"/>
      <c r="H935" s="1991"/>
      <c r="I935" s="1991"/>
      <c r="J935" s="1991"/>
      <c r="K935" s="1991"/>
      <c r="L935" s="1991"/>
      <c r="M935" s="1991"/>
      <c r="N935" s="1990"/>
      <c r="O935" s="1990"/>
      <c r="P935" s="1990"/>
      <c r="Q935" s="1990"/>
      <c r="R935" s="1990"/>
    </row>
    <row r="936" spans="1:18">
      <c r="A936" s="1990"/>
      <c r="B936" s="1990"/>
      <c r="C936" s="1990"/>
      <c r="D936" s="1990"/>
      <c r="E936" s="1990"/>
      <c r="F936" s="1991"/>
      <c r="G936" s="1991"/>
      <c r="H936" s="1991"/>
      <c r="I936" s="1991"/>
      <c r="J936" s="1991"/>
      <c r="K936" s="1991"/>
      <c r="L936" s="1991"/>
      <c r="M936" s="1991"/>
      <c r="N936" s="1990"/>
      <c r="O936" s="1990"/>
      <c r="P936" s="1990"/>
      <c r="Q936" s="1990"/>
      <c r="R936" s="1990"/>
    </row>
    <row r="937" spans="1:18">
      <c r="A937" s="1990"/>
      <c r="B937" s="1990"/>
      <c r="C937" s="1990"/>
      <c r="D937" s="1990"/>
      <c r="E937" s="1990"/>
      <c r="F937" s="1991"/>
      <c r="G937" s="1991"/>
      <c r="H937" s="1991"/>
      <c r="I937" s="1991"/>
      <c r="J937" s="1991"/>
      <c r="K937" s="1991"/>
      <c r="L937" s="1991"/>
      <c r="M937" s="1991"/>
      <c r="N937" s="1990"/>
      <c r="O937" s="1990"/>
      <c r="P937" s="1990"/>
      <c r="Q937" s="1990"/>
      <c r="R937" s="1990"/>
    </row>
    <row r="938" spans="1:18">
      <c r="A938" s="1990"/>
      <c r="B938" s="1990"/>
      <c r="C938" s="1990"/>
      <c r="D938" s="1990"/>
      <c r="E938" s="1990"/>
      <c r="F938" s="1991"/>
      <c r="G938" s="1991"/>
      <c r="H938" s="1991"/>
      <c r="I938" s="1991"/>
      <c r="J938" s="1991"/>
      <c r="K938" s="1990"/>
      <c r="L938" s="1990"/>
      <c r="M938" s="1990"/>
      <c r="N938" s="1990"/>
      <c r="O938" s="1990"/>
      <c r="P938" s="1990"/>
      <c r="Q938" s="1990"/>
      <c r="R938" s="1990"/>
    </row>
    <row r="939" spans="1:18">
      <c r="A939" s="1990"/>
      <c r="B939" s="1990"/>
      <c r="C939" s="1990"/>
      <c r="D939" s="1990"/>
      <c r="E939" s="1990"/>
      <c r="F939" s="1991"/>
      <c r="G939" s="1991"/>
      <c r="H939" s="1991"/>
      <c r="I939" s="1991"/>
      <c r="J939" s="1991"/>
      <c r="K939" s="1991"/>
      <c r="L939" s="1991"/>
      <c r="M939" s="1991"/>
      <c r="N939" s="1990"/>
      <c r="O939" s="1990"/>
      <c r="P939" s="1990"/>
      <c r="Q939" s="1990"/>
      <c r="R939" s="1990"/>
    </row>
    <row r="940" spans="1:18">
      <c r="A940" s="1990"/>
      <c r="B940" s="1990"/>
      <c r="C940" s="1990"/>
      <c r="D940" s="1990"/>
      <c r="E940" s="1990"/>
      <c r="F940" s="1991"/>
      <c r="G940" s="1991"/>
      <c r="H940" s="1991"/>
      <c r="I940" s="1991"/>
      <c r="J940" s="1991"/>
      <c r="K940" s="1991"/>
      <c r="L940" s="1991"/>
      <c r="M940" s="1991"/>
      <c r="N940" s="1990"/>
      <c r="O940" s="1990"/>
      <c r="P940" s="1990"/>
      <c r="Q940" s="1990"/>
      <c r="R940" s="1990"/>
    </row>
    <row r="941" spans="1:18">
      <c r="A941" s="1990"/>
      <c r="B941" s="1990"/>
      <c r="C941" s="1990"/>
      <c r="D941" s="1990"/>
      <c r="E941" s="1990"/>
      <c r="F941" s="1991"/>
      <c r="G941" s="1991"/>
      <c r="H941" s="1991"/>
      <c r="I941" s="1991"/>
      <c r="J941" s="1991"/>
      <c r="K941" s="1991"/>
      <c r="L941" s="1991"/>
      <c r="M941" s="1991"/>
      <c r="N941" s="1990"/>
      <c r="O941" s="1990"/>
      <c r="P941" s="1990"/>
      <c r="Q941" s="1990"/>
      <c r="R941" s="1990"/>
    </row>
    <row r="942" spans="1:18">
      <c r="A942" s="1990"/>
      <c r="B942" s="1990"/>
      <c r="C942" s="1990"/>
      <c r="D942" s="1990"/>
      <c r="E942" s="1990"/>
      <c r="F942" s="1991"/>
      <c r="G942" s="1991"/>
      <c r="H942" s="1991"/>
      <c r="I942" s="1991"/>
      <c r="J942" s="1991"/>
      <c r="K942" s="1991"/>
      <c r="L942" s="1991"/>
      <c r="M942" s="1991"/>
      <c r="N942" s="1990"/>
      <c r="O942" s="1990"/>
      <c r="P942" s="1990"/>
      <c r="Q942" s="1990"/>
      <c r="R942" s="1990"/>
    </row>
    <row r="943" spans="1:18">
      <c r="A943" s="1990"/>
      <c r="B943" s="1990"/>
      <c r="C943" s="1990"/>
      <c r="D943" s="1990"/>
      <c r="E943" s="1990"/>
      <c r="F943" s="1991"/>
      <c r="G943" s="1991"/>
      <c r="H943" s="1991"/>
      <c r="I943" s="1991"/>
      <c r="J943" s="1991"/>
      <c r="K943" s="1991"/>
      <c r="L943" s="1991"/>
      <c r="M943" s="1991"/>
      <c r="N943" s="1990"/>
      <c r="O943" s="1990"/>
      <c r="P943" s="1990"/>
      <c r="Q943" s="1990"/>
      <c r="R943" s="1990"/>
    </row>
    <row r="944" spans="1:18">
      <c r="A944" s="1990"/>
      <c r="B944" s="1990"/>
      <c r="C944" s="1990"/>
      <c r="D944" s="1990"/>
      <c r="E944" s="1990"/>
      <c r="F944" s="1991"/>
      <c r="G944" s="1991"/>
      <c r="H944" s="1991"/>
      <c r="I944" s="1991"/>
      <c r="J944" s="1991"/>
      <c r="K944" s="1991"/>
      <c r="L944" s="1991"/>
      <c r="M944" s="1991"/>
      <c r="N944" s="1990"/>
      <c r="O944" s="1990"/>
      <c r="P944" s="1990"/>
      <c r="Q944" s="1990"/>
      <c r="R944" s="1990"/>
    </row>
    <row r="945" spans="1:18">
      <c r="A945" s="1990"/>
      <c r="B945" s="1990"/>
      <c r="C945" s="1990"/>
      <c r="D945" s="1990"/>
      <c r="E945" s="1990"/>
      <c r="F945" s="1991"/>
      <c r="G945" s="1991"/>
      <c r="H945" s="1991"/>
      <c r="I945" s="1991"/>
      <c r="J945" s="1991"/>
      <c r="K945" s="1991"/>
      <c r="L945" s="1991"/>
      <c r="M945" s="1991"/>
      <c r="N945" s="1990"/>
      <c r="O945" s="1990"/>
      <c r="P945" s="1990"/>
      <c r="Q945" s="1990"/>
      <c r="R945" s="1990"/>
    </row>
    <row r="946" spans="1:18">
      <c r="A946" s="1990"/>
      <c r="B946" s="1990"/>
      <c r="C946" s="1990"/>
      <c r="D946" s="1990"/>
      <c r="E946" s="1990"/>
      <c r="F946" s="1991"/>
      <c r="G946" s="1991"/>
      <c r="H946" s="1991"/>
      <c r="I946" s="1991"/>
      <c r="J946" s="1991"/>
      <c r="K946" s="1990"/>
      <c r="L946" s="1990"/>
      <c r="M946" s="1990"/>
      <c r="N946" s="1990"/>
      <c r="O946" s="1990"/>
      <c r="P946" s="1990"/>
      <c r="Q946" s="1990"/>
      <c r="R946" s="1990"/>
    </row>
    <row r="947" spans="1:18">
      <c r="A947" s="1990"/>
      <c r="B947" s="1990"/>
      <c r="C947" s="1990"/>
      <c r="D947" s="1990"/>
      <c r="E947" s="1990"/>
      <c r="F947" s="2366"/>
      <c r="G947" s="1990"/>
      <c r="H947" s="2366"/>
      <c r="I947" s="2366"/>
      <c r="J947" s="1991"/>
      <c r="K947" s="1990"/>
      <c r="L947" s="1990"/>
      <c r="M947" s="1990"/>
      <c r="N947" s="1990"/>
      <c r="O947" s="1990"/>
      <c r="P947" s="1990"/>
      <c r="Q947" s="1990"/>
      <c r="R947" s="1990"/>
    </row>
    <row r="948" spans="1:18">
      <c r="A948" s="1990"/>
      <c r="B948" s="1990"/>
      <c r="C948" s="1990"/>
      <c r="D948" s="1990"/>
      <c r="E948" s="1990"/>
      <c r="F948" s="2366"/>
      <c r="G948" s="1990"/>
      <c r="H948" s="2366"/>
      <c r="I948" s="2366"/>
      <c r="J948" s="1991"/>
      <c r="K948" s="1990"/>
      <c r="L948" s="1990"/>
      <c r="M948" s="1990"/>
      <c r="N948" s="1990"/>
      <c r="O948" s="1990"/>
      <c r="P948" s="1990"/>
      <c r="Q948" s="1990"/>
      <c r="R948" s="1990"/>
    </row>
    <row r="949" spans="1:18">
      <c r="A949" s="1990"/>
      <c r="B949" s="1990"/>
      <c r="C949" s="1990"/>
      <c r="D949" s="1990"/>
      <c r="E949" s="1990"/>
      <c r="F949" s="2366"/>
      <c r="G949" s="1990"/>
      <c r="H949" s="2366"/>
      <c r="I949" s="2366"/>
      <c r="J949" s="1991"/>
      <c r="K949" s="1990"/>
      <c r="L949" s="1990"/>
      <c r="M949" s="1990"/>
      <c r="N949" s="1990"/>
      <c r="O949" s="1990"/>
      <c r="P949" s="1990"/>
      <c r="Q949" s="1990"/>
      <c r="R949" s="1990"/>
    </row>
    <row r="950" spans="1:18">
      <c r="A950" s="1990"/>
      <c r="B950" s="1990"/>
      <c r="C950" s="1990"/>
      <c r="D950" s="1990"/>
      <c r="E950" s="1990"/>
      <c r="F950" s="2366"/>
      <c r="G950" s="1990"/>
      <c r="H950" s="2366"/>
      <c r="I950" s="2366"/>
      <c r="J950" s="1991"/>
      <c r="K950" s="1990"/>
      <c r="L950" s="1990"/>
      <c r="M950" s="1990"/>
      <c r="N950" s="1990"/>
      <c r="O950" s="1990"/>
      <c r="P950" s="1990"/>
      <c r="Q950" s="1990"/>
      <c r="R950" s="1990"/>
    </row>
    <row r="951" spans="1:18">
      <c r="A951" s="1990"/>
      <c r="B951" s="1990"/>
      <c r="C951" s="1990"/>
      <c r="D951" s="1990"/>
      <c r="E951" s="1990"/>
      <c r="F951" s="2366"/>
      <c r="G951" s="1990"/>
      <c r="H951" s="2366"/>
      <c r="I951" s="2366"/>
      <c r="J951" s="1991"/>
      <c r="K951" s="1990"/>
      <c r="L951" s="1990"/>
      <c r="M951" s="1990"/>
      <c r="N951" s="1990"/>
      <c r="O951" s="1990"/>
      <c r="P951" s="1990"/>
      <c r="Q951" s="1990"/>
      <c r="R951" s="1990"/>
    </row>
    <row r="952" spans="1:18">
      <c r="A952" s="1990"/>
      <c r="B952" s="1990"/>
      <c r="C952" s="1990"/>
      <c r="D952" s="1990"/>
      <c r="E952" s="1990"/>
      <c r="F952" s="2366"/>
      <c r="G952" s="1990"/>
      <c r="H952" s="2366"/>
      <c r="I952" s="2366"/>
      <c r="J952" s="1991"/>
      <c r="K952" s="1990"/>
      <c r="L952" s="1990"/>
      <c r="M952" s="1990"/>
      <c r="N952" s="1990"/>
      <c r="O952" s="1990"/>
      <c r="P952" s="1990"/>
      <c r="Q952" s="1990"/>
      <c r="R952" s="1990"/>
    </row>
    <row r="953" spans="1:18">
      <c r="A953" s="1990"/>
      <c r="B953" s="1990"/>
      <c r="C953" s="1990"/>
      <c r="D953" s="1990"/>
      <c r="E953" s="1990"/>
      <c r="F953" s="1991"/>
      <c r="G953" s="1991"/>
      <c r="H953" s="1991"/>
      <c r="I953" s="1991"/>
      <c r="J953" s="1991"/>
      <c r="K953" s="1990"/>
      <c r="L953" s="1990"/>
      <c r="M953" s="1990"/>
      <c r="N953" s="1990"/>
      <c r="O953" s="1990"/>
      <c r="P953" s="1990"/>
      <c r="Q953" s="1990"/>
      <c r="R953" s="1990"/>
    </row>
    <row r="954" spans="1:18">
      <c r="A954" s="2367"/>
      <c r="B954" s="2367"/>
      <c r="C954" s="2367"/>
      <c r="D954" s="2367"/>
      <c r="E954" s="2367"/>
      <c r="F954" s="2367"/>
      <c r="G954" s="2367"/>
      <c r="H954" s="2367"/>
      <c r="I954" s="2367"/>
      <c r="J954" s="2367"/>
      <c r="K954" s="2367"/>
      <c r="L954" s="2367"/>
      <c r="M954" s="2367"/>
      <c r="N954" s="2367"/>
      <c r="O954" s="2367"/>
      <c r="P954" s="2367"/>
      <c r="Q954" s="2367"/>
      <c r="R954" s="2367"/>
    </row>
    <row r="955" spans="1:18">
      <c r="A955" s="2367"/>
      <c r="B955" s="2367"/>
      <c r="C955" s="2367"/>
      <c r="D955" s="2367"/>
      <c r="E955" s="2367"/>
      <c r="F955" s="2367"/>
      <c r="G955" s="2367"/>
      <c r="H955" s="2367"/>
      <c r="I955" s="2367"/>
      <c r="J955" s="2367"/>
      <c r="K955" s="2367"/>
      <c r="L955" s="2367"/>
      <c r="M955" s="2367"/>
      <c r="N955" s="2367"/>
      <c r="O955" s="2367"/>
      <c r="P955" s="2367"/>
      <c r="Q955" s="2367"/>
      <c r="R955" s="2367"/>
    </row>
    <row r="956" spans="1:18">
      <c r="A956" s="2367"/>
      <c r="B956" s="2367"/>
      <c r="C956" s="2367"/>
      <c r="D956" s="2367"/>
      <c r="E956" s="2367"/>
      <c r="F956" s="2367"/>
      <c r="G956" s="2367"/>
      <c r="H956" s="2367"/>
      <c r="I956" s="2367"/>
      <c r="J956" s="2367"/>
      <c r="K956" s="2367"/>
      <c r="L956" s="2367"/>
      <c r="M956" s="2367"/>
      <c r="N956" s="2367"/>
      <c r="O956" s="2367"/>
      <c r="P956" s="2367"/>
      <c r="Q956" s="2367"/>
      <c r="R956" s="2367"/>
    </row>
    <row r="957" spans="1:18">
      <c r="A957" s="2367"/>
      <c r="B957" s="2367"/>
      <c r="C957" s="2367"/>
      <c r="D957" s="2367"/>
      <c r="E957" s="2367"/>
      <c r="F957" s="2367"/>
      <c r="G957" s="2367"/>
      <c r="H957" s="2367"/>
      <c r="I957" s="2367"/>
      <c r="J957" s="2367"/>
      <c r="K957" s="2367"/>
      <c r="L957" s="2367"/>
      <c r="M957" s="2367"/>
      <c r="N957" s="2367"/>
      <c r="O957" s="2367"/>
      <c r="P957" s="2367"/>
      <c r="Q957" s="2367"/>
      <c r="R957" s="2367"/>
    </row>
    <row r="958" spans="1:18">
      <c r="A958" s="2367"/>
      <c r="B958" s="2367"/>
      <c r="C958" s="2367"/>
      <c r="D958" s="2367"/>
      <c r="E958" s="2367"/>
      <c r="F958" s="2367"/>
      <c r="G958" s="2367"/>
      <c r="H958" s="2367"/>
      <c r="I958" s="2367"/>
      <c r="J958" s="2367"/>
      <c r="K958" s="2367"/>
      <c r="L958" s="2367"/>
      <c r="M958" s="2367"/>
      <c r="N958" s="2367"/>
      <c r="O958" s="2367"/>
      <c r="P958" s="2367"/>
      <c r="Q958" s="2367"/>
      <c r="R958" s="2367"/>
    </row>
    <row r="959" spans="1:18">
      <c r="A959" s="2367"/>
      <c r="B959" s="2367"/>
      <c r="C959" s="2367"/>
      <c r="D959" s="2367"/>
      <c r="E959" s="2367"/>
      <c r="F959" s="2367"/>
      <c r="G959" s="2367"/>
      <c r="H959" s="2367"/>
      <c r="I959" s="2367"/>
      <c r="J959" s="2367"/>
      <c r="K959" s="2367"/>
      <c r="L959" s="2367"/>
      <c r="M959" s="2367"/>
      <c r="N959" s="2367"/>
      <c r="O959" s="2367"/>
      <c r="P959" s="2367"/>
      <c r="Q959" s="2367"/>
      <c r="R959" s="2367"/>
    </row>
    <row r="960" spans="1:18">
      <c r="A960" s="2367"/>
      <c r="B960" s="2367"/>
      <c r="C960" s="2367"/>
      <c r="D960" s="2367"/>
      <c r="E960" s="2367"/>
      <c r="F960" s="2367"/>
      <c r="G960" s="2367"/>
      <c r="H960" s="2367"/>
      <c r="I960" s="2367"/>
      <c r="J960" s="2367"/>
      <c r="K960" s="2367"/>
      <c r="L960" s="2367"/>
      <c r="M960" s="2367"/>
      <c r="N960" s="2367"/>
      <c r="O960" s="2367"/>
      <c r="P960" s="2367"/>
      <c r="Q960" s="2367"/>
      <c r="R960" s="2367"/>
    </row>
    <row r="961" spans="1:18">
      <c r="A961" s="2367"/>
      <c r="B961" s="2367"/>
      <c r="C961" s="2367"/>
      <c r="D961" s="2367"/>
      <c r="E961" s="2367"/>
      <c r="F961" s="2367"/>
      <c r="G961" s="2367"/>
      <c r="H961" s="2367"/>
      <c r="I961" s="2367"/>
      <c r="J961" s="2367"/>
      <c r="K961" s="2367"/>
      <c r="L961" s="2367"/>
      <c r="M961" s="2367"/>
      <c r="N961" s="2367"/>
      <c r="O961" s="2367"/>
      <c r="P961" s="2367"/>
      <c r="Q961" s="2367"/>
      <c r="R961" s="2367"/>
    </row>
    <row r="962" spans="1:18">
      <c r="A962" s="2367"/>
      <c r="B962" s="2367"/>
      <c r="C962" s="2367"/>
      <c r="D962" s="2367"/>
      <c r="E962" s="2367"/>
      <c r="F962" s="2367"/>
      <c r="G962" s="2367"/>
      <c r="H962" s="2367"/>
      <c r="I962" s="2367"/>
      <c r="J962" s="2367"/>
      <c r="K962" s="2367"/>
      <c r="L962" s="2367"/>
      <c r="M962" s="2367"/>
      <c r="N962" s="2367"/>
      <c r="O962" s="2367"/>
      <c r="P962" s="2367"/>
      <c r="Q962" s="2367"/>
      <c r="R962" s="2367"/>
    </row>
    <row r="963" spans="1:18">
      <c r="A963" s="2367"/>
      <c r="B963" s="2367"/>
      <c r="C963" s="2367"/>
      <c r="D963" s="2367"/>
      <c r="E963" s="2367"/>
      <c r="F963" s="2367"/>
      <c r="G963" s="2367"/>
      <c r="H963" s="2367"/>
      <c r="I963" s="2367"/>
      <c r="J963" s="2367"/>
      <c r="K963" s="2367"/>
      <c r="L963" s="2367"/>
      <c r="M963" s="2367"/>
      <c r="N963" s="2367"/>
      <c r="O963" s="2367"/>
      <c r="P963" s="2367"/>
      <c r="Q963" s="2367"/>
      <c r="R963" s="2367"/>
    </row>
    <row r="964" spans="1:18">
      <c r="A964" s="2367"/>
      <c r="B964" s="2367"/>
      <c r="C964" s="2367"/>
      <c r="D964" s="2367"/>
      <c r="E964" s="2367"/>
      <c r="F964" s="2367"/>
      <c r="G964" s="2367"/>
      <c r="H964" s="2367"/>
      <c r="I964" s="2367"/>
      <c r="J964" s="2367"/>
      <c r="K964" s="2367"/>
      <c r="L964" s="2367"/>
      <c r="M964" s="2367"/>
      <c r="N964" s="2367"/>
      <c r="O964" s="2367"/>
      <c r="P964" s="2367"/>
      <c r="Q964" s="2367"/>
      <c r="R964" s="2367"/>
    </row>
    <row r="965" spans="1:18">
      <c r="A965" s="2367"/>
      <c r="B965" s="2367"/>
      <c r="C965" s="2367"/>
      <c r="D965" s="2367"/>
      <c r="E965" s="2367"/>
      <c r="F965" s="2367"/>
      <c r="G965" s="2367"/>
      <c r="H965" s="2367"/>
      <c r="I965" s="2367"/>
      <c r="J965" s="2367"/>
      <c r="K965" s="2367"/>
      <c r="L965" s="2367"/>
      <c r="M965" s="2367"/>
      <c r="N965" s="2367"/>
      <c r="O965" s="2367"/>
      <c r="P965" s="2367"/>
      <c r="Q965" s="2367"/>
      <c r="R965" s="2367"/>
    </row>
    <row r="966" spans="1:18">
      <c r="A966" s="2367"/>
      <c r="B966" s="2367"/>
      <c r="C966" s="2367"/>
      <c r="D966" s="2367"/>
      <c r="E966" s="2367"/>
      <c r="F966" s="2367"/>
      <c r="G966" s="2367"/>
      <c r="H966" s="2367"/>
      <c r="I966" s="2367"/>
      <c r="J966" s="2367"/>
      <c r="K966" s="2367"/>
      <c r="L966" s="2367"/>
      <c r="M966" s="2367"/>
      <c r="N966" s="2367"/>
      <c r="O966" s="2367"/>
      <c r="P966" s="2367"/>
      <c r="Q966" s="2367"/>
      <c r="R966" s="2367"/>
    </row>
    <row r="967" spans="1:18">
      <c r="A967" s="2367"/>
      <c r="B967" s="2367"/>
      <c r="C967" s="2367"/>
      <c r="D967" s="2367"/>
      <c r="E967" s="2367"/>
      <c r="F967" s="2367"/>
      <c r="G967" s="2367"/>
      <c r="H967" s="2367"/>
      <c r="I967" s="2367"/>
      <c r="J967" s="2367"/>
      <c r="K967" s="2367"/>
      <c r="L967" s="2367"/>
      <c r="M967" s="2367"/>
      <c r="N967" s="2367"/>
      <c r="O967" s="2367"/>
      <c r="P967" s="2367"/>
      <c r="Q967" s="2367"/>
      <c r="R967" s="2367"/>
    </row>
    <row r="968" spans="1:18">
      <c r="A968" s="2367"/>
      <c r="B968" s="2367"/>
      <c r="C968" s="2367"/>
      <c r="D968" s="2367"/>
      <c r="E968" s="2367"/>
      <c r="F968" s="2367"/>
      <c r="G968" s="2367"/>
      <c r="H968" s="2367"/>
      <c r="I968" s="2367"/>
      <c r="J968" s="2367"/>
      <c r="K968" s="2367"/>
      <c r="L968" s="2367"/>
      <c r="M968" s="2367"/>
      <c r="N968" s="2367"/>
      <c r="O968" s="2367"/>
      <c r="P968" s="2367"/>
      <c r="Q968" s="2367"/>
      <c r="R968" s="2367"/>
    </row>
    <row r="969" spans="1:18">
      <c r="A969" s="2367"/>
      <c r="B969" s="2367"/>
      <c r="C969" s="2367"/>
      <c r="D969" s="2367"/>
      <c r="E969" s="2367"/>
      <c r="F969" s="2367"/>
      <c r="G969" s="2367"/>
      <c r="H969" s="2367"/>
      <c r="I969" s="2367"/>
      <c r="J969" s="2367"/>
      <c r="K969" s="2367"/>
      <c r="L969" s="2367"/>
      <c r="M969" s="2367"/>
      <c r="N969" s="2367"/>
      <c r="O969" s="2367"/>
      <c r="P969" s="2367"/>
      <c r="Q969" s="2367"/>
      <c r="R969" s="2367"/>
    </row>
    <row r="970" spans="1:18">
      <c r="A970" s="2367"/>
      <c r="B970" s="2367"/>
      <c r="C970" s="2367"/>
      <c r="D970" s="2367"/>
      <c r="E970" s="2367"/>
      <c r="F970" s="2367"/>
      <c r="G970" s="2367"/>
      <c r="H970" s="2367"/>
      <c r="I970" s="2367"/>
      <c r="J970" s="2367"/>
      <c r="K970" s="2367"/>
      <c r="L970" s="2367"/>
      <c r="M970" s="2367"/>
      <c r="N970" s="2367"/>
      <c r="O970" s="2367"/>
      <c r="P970" s="2367"/>
      <c r="Q970" s="2367"/>
      <c r="R970" s="2367"/>
    </row>
    <row r="971" spans="1:18">
      <c r="A971" s="2367"/>
      <c r="B971" s="2367"/>
      <c r="C971" s="2367"/>
      <c r="D971" s="2367"/>
      <c r="E971" s="2367"/>
      <c r="F971" s="2367"/>
      <c r="G971" s="2367"/>
      <c r="H971" s="2367"/>
      <c r="I971" s="2367"/>
      <c r="J971" s="2367"/>
      <c r="K971" s="2367"/>
      <c r="L971" s="2367"/>
      <c r="M971" s="2367"/>
      <c r="N971" s="2367"/>
      <c r="O971" s="2367"/>
      <c r="P971" s="2367"/>
      <c r="Q971" s="2367"/>
      <c r="R971" s="2367"/>
    </row>
    <row r="972" spans="1:18">
      <c r="A972" s="2367"/>
      <c r="B972" s="2367"/>
      <c r="C972" s="2367"/>
      <c r="D972" s="2367"/>
      <c r="E972" s="2367"/>
      <c r="F972" s="2367"/>
      <c r="G972" s="2367"/>
      <c r="H972" s="2367"/>
      <c r="I972" s="2367"/>
      <c r="J972" s="2367"/>
      <c r="K972" s="2367"/>
      <c r="L972" s="2367"/>
      <c r="M972" s="2367"/>
      <c r="N972" s="2367"/>
      <c r="O972" s="2367"/>
      <c r="P972" s="2367"/>
      <c r="Q972" s="2367"/>
      <c r="R972" s="2367"/>
    </row>
    <row r="973" spans="1:18">
      <c r="A973" s="2367"/>
      <c r="B973" s="2367"/>
      <c r="C973" s="2367"/>
      <c r="D973" s="2367"/>
      <c r="E973" s="2367"/>
      <c r="F973" s="2367"/>
      <c r="G973" s="2367"/>
      <c r="H973" s="2367"/>
      <c r="I973" s="2367"/>
      <c r="J973" s="2367"/>
      <c r="K973" s="2367"/>
      <c r="L973" s="2367"/>
      <c r="M973" s="2367"/>
      <c r="N973" s="2367"/>
      <c r="O973" s="2367"/>
      <c r="P973" s="2367"/>
      <c r="Q973" s="2367"/>
      <c r="R973" s="2367"/>
    </row>
    <row r="974" spans="1:18">
      <c r="A974" s="2367"/>
      <c r="B974" s="2367"/>
      <c r="C974" s="2367"/>
      <c r="D974" s="2367"/>
      <c r="E974" s="2367"/>
      <c r="F974" s="2367"/>
      <c r="G974" s="2367"/>
      <c r="H974" s="2367"/>
      <c r="I974" s="2367"/>
      <c r="J974" s="2367"/>
      <c r="K974" s="2367"/>
      <c r="L974" s="2367"/>
      <c r="M974" s="2367"/>
      <c r="N974" s="2367"/>
      <c r="O974" s="2367"/>
      <c r="P974" s="2367"/>
      <c r="Q974" s="2367"/>
      <c r="R974" s="2367"/>
    </row>
    <row r="975" spans="1:18">
      <c r="A975" s="2367"/>
      <c r="B975" s="2367"/>
      <c r="C975" s="2367"/>
      <c r="D975" s="2367"/>
      <c r="E975" s="2367"/>
      <c r="F975" s="2367"/>
      <c r="G975" s="2367"/>
      <c r="H975" s="2367"/>
      <c r="I975" s="2367"/>
      <c r="J975" s="2367"/>
      <c r="K975" s="2367"/>
      <c r="L975" s="2367"/>
      <c r="M975" s="2367"/>
      <c r="N975" s="2367"/>
      <c r="O975" s="2367"/>
      <c r="P975" s="2367"/>
      <c r="Q975" s="2367"/>
      <c r="R975" s="2367"/>
    </row>
    <row r="976" spans="1:18">
      <c r="A976" s="2367"/>
      <c r="B976" s="2367"/>
      <c r="C976" s="2367"/>
      <c r="D976" s="2367"/>
      <c r="E976" s="2367"/>
      <c r="F976" s="2367"/>
      <c r="G976" s="2367"/>
      <c r="H976" s="2367"/>
      <c r="I976" s="2367"/>
      <c r="J976" s="2367"/>
      <c r="K976" s="2367"/>
      <c r="L976" s="2367"/>
      <c r="M976" s="2367"/>
      <c r="N976" s="2367"/>
      <c r="O976" s="2367"/>
      <c r="P976" s="2367"/>
      <c r="Q976" s="2367"/>
      <c r="R976" s="2367"/>
    </row>
    <row r="977" spans="1:18">
      <c r="A977" s="2367"/>
      <c r="B977" s="2367"/>
      <c r="C977" s="2367"/>
      <c r="D977" s="2367"/>
      <c r="E977" s="2367"/>
      <c r="F977" s="2367"/>
      <c r="G977" s="2367"/>
      <c r="H977" s="2367"/>
      <c r="I977" s="2367"/>
      <c r="J977" s="2367"/>
      <c r="K977" s="2367"/>
      <c r="L977" s="2367"/>
      <c r="M977" s="2367"/>
      <c r="N977" s="2367"/>
      <c r="O977" s="2367"/>
      <c r="P977" s="2367"/>
      <c r="Q977" s="2367"/>
      <c r="R977" s="2367"/>
    </row>
    <row r="978" spans="1:18">
      <c r="A978" s="2367"/>
      <c r="B978" s="2367"/>
      <c r="C978" s="2367"/>
      <c r="D978" s="2367"/>
      <c r="E978" s="2367"/>
      <c r="F978" s="2367"/>
      <c r="G978" s="2367"/>
      <c r="H978" s="2367"/>
      <c r="I978" s="2367"/>
      <c r="J978" s="2367"/>
      <c r="K978" s="2367"/>
      <c r="L978" s="2367"/>
      <c r="M978" s="2367"/>
      <c r="N978" s="2367"/>
      <c r="O978" s="2367"/>
      <c r="P978" s="2367"/>
      <c r="Q978" s="2367"/>
      <c r="R978" s="2367"/>
    </row>
    <row r="979" spans="1:18">
      <c r="A979" s="2367"/>
      <c r="B979" s="2367"/>
      <c r="C979" s="2367"/>
      <c r="D979" s="2367"/>
      <c r="E979" s="2367"/>
      <c r="F979" s="2367"/>
      <c r="G979" s="2367"/>
      <c r="H979" s="2367"/>
      <c r="I979" s="2367"/>
      <c r="J979" s="2367"/>
      <c r="K979" s="2367"/>
      <c r="L979" s="2367"/>
      <c r="M979" s="2367"/>
      <c r="N979" s="2367"/>
      <c r="O979" s="2367"/>
      <c r="P979" s="2367"/>
      <c r="Q979" s="2367"/>
      <c r="R979" s="2367"/>
    </row>
    <row r="980" spans="1:18">
      <c r="A980" s="2367"/>
      <c r="B980" s="2367"/>
      <c r="C980" s="2367"/>
      <c r="D980" s="2367"/>
      <c r="E980" s="2367"/>
      <c r="F980" s="2367"/>
      <c r="G980" s="2367"/>
      <c r="H980" s="2367"/>
      <c r="I980" s="2367"/>
      <c r="J980" s="2367"/>
      <c r="K980" s="2367"/>
      <c r="L980" s="2367"/>
      <c r="M980" s="2367"/>
      <c r="N980" s="2367"/>
      <c r="O980" s="2367"/>
      <c r="P980" s="2367"/>
      <c r="Q980" s="2367"/>
      <c r="R980" s="2367"/>
    </row>
    <row r="981" spans="1:18">
      <c r="A981" s="2367"/>
      <c r="B981" s="2367"/>
      <c r="C981" s="2367"/>
      <c r="D981" s="2367"/>
      <c r="E981" s="2367"/>
      <c r="F981" s="2367"/>
      <c r="G981" s="2367"/>
      <c r="H981" s="2367"/>
      <c r="I981" s="2367"/>
      <c r="J981" s="2367"/>
      <c r="K981" s="2367"/>
      <c r="L981" s="2367"/>
      <c r="M981" s="2367"/>
      <c r="N981" s="2367"/>
      <c r="O981" s="2367"/>
      <c r="P981" s="2367"/>
      <c r="Q981" s="2367"/>
      <c r="R981" s="2367"/>
    </row>
    <row r="982" spans="1:18">
      <c r="A982" s="2367"/>
      <c r="B982" s="2367"/>
      <c r="C982" s="2367"/>
      <c r="D982" s="2367"/>
      <c r="E982" s="2367"/>
      <c r="F982" s="2367"/>
      <c r="G982" s="2367"/>
      <c r="H982" s="2367"/>
      <c r="I982" s="2367"/>
      <c r="J982" s="2367"/>
      <c r="K982" s="2367"/>
      <c r="L982" s="2367"/>
      <c r="M982" s="2367"/>
      <c r="N982" s="2367"/>
      <c r="O982" s="2367"/>
      <c r="P982" s="2367"/>
      <c r="Q982" s="2367"/>
      <c r="R982" s="2367"/>
    </row>
    <row r="983" spans="1:18">
      <c r="A983" s="2367"/>
      <c r="B983" s="2367"/>
      <c r="C983" s="2367"/>
      <c r="D983" s="2367"/>
      <c r="E983" s="2367"/>
      <c r="F983" s="2367"/>
      <c r="G983" s="2367"/>
      <c r="H983" s="2367"/>
      <c r="I983" s="2367"/>
      <c r="J983" s="2367"/>
      <c r="K983" s="2367"/>
      <c r="L983" s="2367"/>
      <c r="M983" s="2367"/>
      <c r="N983" s="2367"/>
      <c r="O983" s="2367"/>
      <c r="P983" s="2367"/>
      <c r="Q983" s="2367"/>
      <c r="R983" s="2367"/>
    </row>
    <row r="984" spans="1:18">
      <c r="A984" s="2367"/>
      <c r="B984" s="2367"/>
      <c r="C984" s="2367"/>
      <c r="D984" s="2367"/>
      <c r="E984" s="2367"/>
      <c r="F984" s="2367"/>
      <c r="G984" s="2367"/>
      <c r="H984" s="2367"/>
      <c r="I984" s="2367"/>
      <c r="J984" s="2367"/>
      <c r="K984" s="2367"/>
      <c r="L984" s="2367"/>
      <c r="M984" s="2367"/>
      <c r="N984" s="2367"/>
      <c r="O984" s="2367"/>
      <c r="P984" s="2367"/>
      <c r="Q984" s="2367"/>
      <c r="R984" s="2367"/>
    </row>
    <row r="985" spans="1:18">
      <c r="A985" s="2367"/>
      <c r="B985" s="2367"/>
      <c r="C985" s="2367"/>
      <c r="D985" s="2367"/>
      <c r="E985" s="2367"/>
      <c r="F985" s="2367"/>
      <c r="G985" s="2367"/>
      <c r="H985" s="2367"/>
      <c r="I985" s="2367"/>
      <c r="J985" s="2367"/>
      <c r="K985" s="2367"/>
      <c r="L985" s="2367"/>
      <c r="M985" s="2367"/>
      <c r="N985" s="2367"/>
      <c r="O985" s="2367"/>
      <c r="P985" s="2367"/>
      <c r="Q985" s="2367"/>
      <c r="R985" s="2367"/>
    </row>
    <row r="986" spans="1:18">
      <c r="A986" s="2367"/>
      <c r="B986" s="2367"/>
      <c r="C986" s="2367"/>
      <c r="D986" s="2367"/>
      <c r="E986" s="2367"/>
      <c r="F986" s="2367"/>
      <c r="G986" s="2367"/>
      <c r="H986" s="2367"/>
      <c r="I986" s="2367"/>
      <c r="J986" s="2367"/>
      <c r="K986" s="2367"/>
      <c r="L986" s="2367"/>
      <c r="M986" s="2367"/>
      <c r="N986" s="2367"/>
      <c r="O986" s="2367"/>
      <c r="P986" s="2367"/>
      <c r="Q986" s="2367"/>
      <c r="R986" s="2367"/>
    </row>
    <row r="987" spans="1:18">
      <c r="A987" s="2367"/>
      <c r="B987" s="2367"/>
      <c r="C987" s="2367"/>
      <c r="D987" s="2367"/>
      <c r="E987" s="2367"/>
      <c r="F987" s="2367"/>
      <c r="G987" s="2367"/>
      <c r="H987" s="2367"/>
      <c r="I987" s="2367"/>
      <c r="J987" s="2367"/>
      <c r="K987" s="2367"/>
      <c r="L987" s="2367"/>
      <c r="M987" s="2367"/>
      <c r="N987" s="2367"/>
      <c r="O987" s="2367"/>
      <c r="P987" s="2367"/>
      <c r="Q987" s="2367"/>
      <c r="R987" s="2367"/>
    </row>
    <row r="988" spans="1:18">
      <c r="A988" s="2367"/>
      <c r="B988" s="2367"/>
      <c r="C988" s="2367"/>
      <c r="D988" s="2367"/>
      <c r="E988" s="2367"/>
      <c r="F988" s="2367"/>
      <c r="G988" s="2367"/>
      <c r="H988" s="2367"/>
      <c r="I988" s="2367"/>
      <c r="J988" s="2367"/>
      <c r="K988" s="2367"/>
      <c r="L988" s="2367"/>
      <c r="M988" s="2367"/>
      <c r="N988" s="2367"/>
      <c r="O988" s="2367"/>
      <c r="P988" s="2367"/>
      <c r="Q988" s="2367"/>
      <c r="R988" s="2367"/>
    </row>
    <row r="989" spans="1:18">
      <c r="A989" s="2367"/>
      <c r="B989" s="2367"/>
      <c r="C989" s="2367"/>
      <c r="D989" s="2367"/>
      <c r="E989" s="2367"/>
      <c r="F989" s="2367"/>
      <c r="G989" s="2367"/>
      <c r="H989" s="2367"/>
      <c r="I989" s="2367"/>
      <c r="J989" s="2367"/>
      <c r="K989" s="2367"/>
      <c r="L989" s="2367"/>
      <c r="M989" s="2367"/>
      <c r="N989" s="2367"/>
      <c r="O989" s="2367"/>
      <c r="P989" s="2367"/>
      <c r="Q989" s="2367"/>
      <c r="R989" s="2367"/>
    </row>
    <row r="990" spans="1:18">
      <c r="A990" s="2367"/>
      <c r="B990" s="2367"/>
      <c r="C990" s="2367"/>
      <c r="D990" s="2367"/>
      <c r="E990" s="2367"/>
      <c r="F990" s="2367"/>
      <c r="G990" s="2367"/>
      <c r="H990" s="2367"/>
      <c r="I990" s="2367"/>
      <c r="J990" s="2367"/>
      <c r="K990" s="2367"/>
      <c r="L990" s="2367"/>
      <c r="M990" s="2367"/>
      <c r="N990" s="2367"/>
      <c r="O990" s="2367"/>
      <c r="P990" s="2367"/>
      <c r="Q990" s="2367"/>
      <c r="R990" s="2367"/>
    </row>
    <row r="991" spans="1:18">
      <c r="A991" s="2367"/>
      <c r="B991" s="2367"/>
      <c r="C991" s="2367"/>
      <c r="D991" s="2367"/>
      <c r="E991" s="2367"/>
      <c r="F991" s="2367"/>
      <c r="G991" s="2367"/>
      <c r="H991" s="2367"/>
      <c r="I991" s="2367"/>
      <c r="J991" s="2367"/>
      <c r="K991" s="2367"/>
      <c r="L991" s="2367"/>
      <c r="M991" s="2367"/>
      <c r="N991" s="2367"/>
      <c r="O991" s="2367"/>
      <c r="P991" s="2367"/>
      <c r="Q991" s="2367"/>
      <c r="R991" s="2367"/>
    </row>
    <row r="992" spans="1:18">
      <c r="A992" s="2367"/>
      <c r="B992" s="2367"/>
      <c r="C992" s="2367"/>
      <c r="D992" s="2367"/>
      <c r="E992" s="2367"/>
      <c r="F992" s="2367"/>
      <c r="G992" s="2367"/>
      <c r="H992" s="2367"/>
      <c r="I992" s="2367"/>
      <c r="J992" s="2367"/>
      <c r="K992" s="2367"/>
      <c r="L992" s="2367"/>
      <c r="M992" s="2367"/>
      <c r="N992" s="2367"/>
      <c r="O992" s="2367"/>
      <c r="P992" s="2367"/>
      <c r="Q992" s="2367"/>
      <c r="R992" s="2367"/>
    </row>
    <row r="993" spans="1:18">
      <c r="A993" s="2367"/>
      <c r="B993" s="2367"/>
      <c r="C993" s="2367"/>
      <c r="D993" s="2367"/>
      <c r="E993" s="2367"/>
      <c r="F993" s="2367"/>
      <c r="G993" s="2367"/>
      <c r="H993" s="2367"/>
      <c r="I993" s="2367"/>
      <c r="J993" s="2367"/>
      <c r="K993" s="2367"/>
      <c r="L993" s="2367"/>
      <c r="M993" s="2367"/>
      <c r="N993" s="2367"/>
      <c r="O993" s="2367"/>
      <c r="P993" s="2367"/>
      <c r="Q993" s="2367"/>
      <c r="R993" s="2367"/>
    </row>
    <row r="994" spans="1:18">
      <c r="A994" s="2367"/>
      <c r="B994" s="2367"/>
      <c r="C994" s="2367"/>
      <c r="D994" s="2367"/>
      <c r="E994" s="2367"/>
      <c r="F994" s="2367"/>
      <c r="G994" s="2367"/>
      <c r="H994" s="2367"/>
      <c r="I994" s="2367"/>
      <c r="J994" s="2367"/>
      <c r="K994" s="2367"/>
      <c r="L994" s="2367"/>
      <c r="M994" s="2367"/>
      <c r="N994" s="2367"/>
      <c r="O994" s="2367"/>
      <c r="P994" s="2367"/>
      <c r="Q994" s="2367"/>
      <c r="R994" s="2367"/>
    </row>
    <row r="995" spans="1:18">
      <c r="A995" s="2367"/>
      <c r="B995" s="2367"/>
      <c r="C995" s="2367"/>
      <c r="D995" s="2367"/>
      <c r="E995" s="2367"/>
      <c r="F995" s="2367"/>
      <c r="G995" s="2367"/>
      <c r="H995" s="2367"/>
      <c r="I995" s="2367"/>
      <c r="J995" s="2367"/>
      <c r="K995" s="2367"/>
      <c r="L995" s="2367"/>
      <c r="M995" s="2367"/>
      <c r="N995" s="2367"/>
      <c r="O995" s="2367"/>
      <c r="P995" s="2367"/>
      <c r="Q995" s="2367"/>
      <c r="R995" s="2367"/>
    </row>
    <row r="996" spans="1:18">
      <c r="A996" s="2367"/>
      <c r="B996" s="2367"/>
      <c r="C996" s="2367"/>
      <c r="D996" s="2367"/>
      <c r="E996" s="2367"/>
      <c r="F996" s="2367"/>
      <c r="G996" s="2367"/>
      <c r="H996" s="2367"/>
      <c r="I996" s="2367"/>
      <c r="J996" s="2367"/>
      <c r="K996" s="2367"/>
      <c r="L996" s="2367"/>
      <c r="M996" s="2367"/>
      <c r="N996" s="2367"/>
      <c r="O996" s="2367"/>
      <c r="P996" s="2367"/>
      <c r="Q996" s="2367"/>
      <c r="R996" s="2367"/>
    </row>
    <row r="997" spans="1:18">
      <c r="A997" s="2367"/>
      <c r="B997" s="2367"/>
      <c r="C997" s="2367"/>
      <c r="D997" s="2367"/>
      <c r="E997" s="2367"/>
      <c r="F997" s="2367"/>
      <c r="G997" s="2367"/>
      <c r="H997" s="2367"/>
      <c r="I997" s="2367"/>
      <c r="J997" s="2367"/>
      <c r="K997" s="2367"/>
      <c r="L997" s="2367"/>
      <c r="M997" s="2367"/>
      <c r="N997" s="2367"/>
      <c r="O997" s="2367"/>
      <c r="P997" s="2367"/>
      <c r="Q997" s="2367"/>
      <c r="R997" s="2367"/>
    </row>
    <row r="998" spans="1:18">
      <c r="A998" s="2367"/>
      <c r="B998" s="2367"/>
      <c r="C998" s="2367"/>
      <c r="D998" s="2367"/>
      <c r="E998" s="2367"/>
      <c r="F998" s="2367"/>
      <c r="G998" s="2367"/>
      <c r="H998" s="2367"/>
      <c r="I998" s="2367"/>
      <c r="J998" s="2367"/>
      <c r="K998" s="2367"/>
      <c r="L998" s="2367"/>
      <c r="M998" s="2367"/>
      <c r="N998" s="2367"/>
      <c r="O998" s="2367"/>
      <c r="P998" s="2367"/>
      <c r="Q998" s="2367"/>
      <c r="R998" s="2367"/>
    </row>
    <row r="999" spans="1:18">
      <c r="A999" s="2367"/>
      <c r="B999" s="2367"/>
      <c r="C999" s="2367"/>
      <c r="D999" s="2367"/>
      <c r="E999" s="2367"/>
      <c r="F999" s="2367"/>
      <c r="G999" s="2367"/>
      <c r="H999" s="2367"/>
      <c r="I999" s="2367"/>
      <c r="J999" s="2367"/>
      <c r="K999" s="2367"/>
      <c r="L999" s="2367"/>
      <c r="M999" s="2367"/>
      <c r="N999" s="2367"/>
      <c r="O999" s="2367"/>
      <c r="P999" s="2367"/>
      <c r="Q999" s="2367"/>
      <c r="R999" s="2367"/>
    </row>
    <row r="1000" spans="1:18">
      <c r="A1000" s="2367"/>
      <c r="B1000" s="2367"/>
      <c r="C1000" s="2367"/>
      <c r="D1000" s="2367"/>
      <c r="E1000" s="2367"/>
      <c r="F1000" s="2367"/>
      <c r="G1000" s="2367"/>
      <c r="H1000" s="2367"/>
      <c r="I1000" s="2367"/>
      <c r="J1000" s="2367"/>
      <c r="K1000" s="2367"/>
      <c r="L1000" s="2367"/>
      <c r="M1000" s="2367"/>
      <c r="N1000" s="2367"/>
      <c r="O1000" s="2367"/>
      <c r="P1000" s="2367"/>
      <c r="Q1000" s="2367"/>
      <c r="R1000" s="2367"/>
    </row>
    <row r="1001" spans="1:18">
      <c r="A1001" s="2367"/>
      <c r="B1001" s="2367"/>
      <c r="C1001" s="2367"/>
      <c r="D1001" s="2367"/>
      <c r="E1001" s="2367"/>
      <c r="F1001" s="2367"/>
      <c r="G1001" s="2367"/>
      <c r="H1001" s="2367"/>
      <c r="I1001" s="2367"/>
      <c r="J1001" s="2367"/>
      <c r="K1001" s="2367"/>
      <c r="L1001" s="2367"/>
      <c r="M1001" s="2367"/>
      <c r="N1001" s="2367"/>
      <c r="O1001" s="2367"/>
      <c r="P1001" s="2367"/>
      <c r="Q1001" s="2367"/>
      <c r="R1001" s="2367"/>
    </row>
    <row r="1002" spans="1:18">
      <c r="A1002" s="2367"/>
      <c r="B1002" s="2367"/>
      <c r="C1002" s="2367"/>
      <c r="D1002" s="2367"/>
      <c r="E1002" s="2367"/>
      <c r="F1002" s="2367"/>
      <c r="G1002" s="2367"/>
      <c r="H1002" s="2367"/>
      <c r="I1002" s="2367"/>
      <c r="J1002" s="2367"/>
      <c r="K1002" s="2367"/>
      <c r="L1002" s="2367"/>
      <c r="M1002" s="2367"/>
      <c r="N1002" s="2367"/>
      <c r="O1002" s="2367"/>
      <c r="P1002" s="2367"/>
      <c r="Q1002" s="2367"/>
      <c r="R1002" s="2367"/>
    </row>
    <row r="1003" spans="1:18">
      <c r="A1003" s="2367"/>
      <c r="B1003" s="2367"/>
      <c r="C1003" s="2367"/>
      <c r="D1003" s="2367"/>
      <c r="E1003" s="2367"/>
      <c r="F1003" s="2367"/>
      <c r="G1003" s="2367"/>
      <c r="H1003" s="2367"/>
      <c r="I1003" s="2367"/>
      <c r="J1003" s="2367"/>
      <c r="K1003" s="2367"/>
      <c r="L1003" s="2367"/>
      <c r="M1003" s="2367"/>
      <c r="N1003" s="2367"/>
      <c r="O1003" s="2367"/>
      <c r="P1003" s="2367"/>
      <c r="Q1003" s="2367"/>
      <c r="R1003" s="2367"/>
    </row>
    <row r="1004" spans="1:18">
      <c r="A1004" s="2367"/>
      <c r="B1004" s="2367"/>
      <c r="C1004" s="2367"/>
      <c r="D1004" s="2367"/>
      <c r="E1004" s="2367"/>
      <c r="F1004" s="2367"/>
      <c r="G1004" s="2367"/>
      <c r="H1004" s="2367"/>
      <c r="I1004" s="2367"/>
      <c r="J1004" s="2367"/>
      <c r="K1004" s="2367"/>
      <c r="L1004" s="2367"/>
      <c r="M1004" s="2367"/>
      <c r="N1004" s="2367"/>
      <c r="O1004" s="2367"/>
      <c r="P1004" s="2367"/>
      <c r="Q1004" s="2367"/>
      <c r="R1004" s="2367"/>
    </row>
    <row r="1005" spans="1:18">
      <c r="A1005" s="2367"/>
      <c r="B1005" s="2367"/>
      <c r="C1005" s="2367"/>
      <c r="D1005" s="2367"/>
      <c r="E1005" s="2367"/>
      <c r="F1005" s="2367"/>
      <c r="G1005" s="2367"/>
      <c r="H1005" s="2367"/>
      <c r="I1005" s="2367"/>
      <c r="J1005" s="2367"/>
      <c r="K1005" s="2367"/>
      <c r="L1005" s="2367"/>
      <c r="M1005" s="2367"/>
      <c r="N1005" s="2367"/>
      <c r="O1005" s="2367"/>
      <c r="P1005" s="2367"/>
      <c r="Q1005" s="2367"/>
      <c r="R1005" s="2367"/>
    </row>
    <row r="1006" spans="1:18">
      <c r="A1006" s="2367"/>
      <c r="B1006" s="2367"/>
      <c r="C1006" s="2367"/>
      <c r="D1006" s="2367"/>
      <c r="E1006" s="2367"/>
      <c r="F1006" s="2367"/>
      <c r="G1006" s="2367"/>
      <c r="H1006" s="2367"/>
      <c r="I1006" s="2367"/>
      <c r="J1006" s="2367"/>
      <c r="K1006" s="2367"/>
      <c r="L1006" s="2367"/>
      <c r="M1006" s="2367"/>
      <c r="N1006" s="2367"/>
      <c r="O1006" s="2367"/>
      <c r="P1006" s="2367"/>
      <c r="Q1006" s="2367"/>
      <c r="R1006" s="2367"/>
    </row>
    <row r="1007" spans="1:18">
      <c r="A1007" s="2367"/>
      <c r="B1007" s="2367"/>
      <c r="C1007" s="2367"/>
      <c r="D1007" s="2367"/>
      <c r="E1007" s="2367"/>
      <c r="F1007" s="2367"/>
      <c r="G1007" s="2367"/>
      <c r="H1007" s="2367"/>
      <c r="I1007" s="2367"/>
      <c r="J1007" s="2367"/>
      <c r="K1007" s="2367"/>
      <c r="L1007" s="2367"/>
      <c r="M1007" s="2367"/>
      <c r="N1007" s="2367"/>
      <c r="O1007" s="2367"/>
      <c r="P1007" s="2367"/>
      <c r="Q1007" s="2367"/>
      <c r="R1007" s="2367"/>
    </row>
    <row r="1008" spans="1:18">
      <c r="A1008" s="2367"/>
      <c r="B1008" s="2367"/>
      <c r="C1008" s="2367"/>
      <c r="D1008" s="2367"/>
      <c r="E1008" s="2367"/>
      <c r="F1008" s="2367"/>
      <c r="G1008" s="2367"/>
      <c r="H1008" s="2367"/>
      <c r="I1008" s="2367"/>
      <c r="J1008" s="2367"/>
      <c r="K1008" s="2367"/>
      <c r="L1008" s="2367"/>
      <c r="M1008" s="2367"/>
      <c r="N1008" s="2367"/>
      <c r="O1008" s="2367"/>
      <c r="P1008" s="2367"/>
      <c r="Q1008" s="2367"/>
      <c r="R1008" s="2367"/>
    </row>
    <row r="1009" spans="1:18">
      <c r="A1009" s="2367"/>
      <c r="B1009" s="2367"/>
      <c r="C1009" s="2367"/>
      <c r="D1009" s="2367"/>
      <c r="E1009" s="2367"/>
      <c r="F1009" s="2367"/>
      <c r="G1009" s="2367"/>
      <c r="H1009" s="2367"/>
      <c r="I1009" s="2367"/>
      <c r="J1009" s="2367"/>
      <c r="K1009" s="2367"/>
      <c r="L1009" s="2367"/>
      <c r="M1009" s="2367"/>
      <c r="N1009" s="2367"/>
      <c r="O1009" s="2367"/>
      <c r="P1009" s="2367"/>
      <c r="Q1009" s="2367"/>
      <c r="R1009" s="2367"/>
    </row>
    <row r="1010" spans="1:18">
      <c r="A1010" s="2367"/>
      <c r="B1010" s="2367"/>
      <c r="C1010" s="2367"/>
      <c r="D1010" s="2367"/>
      <c r="E1010" s="2367"/>
      <c r="F1010" s="2367"/>
      <c r="G1010" s="2367"/>
      <c r="H1010" s="2367"/>
      <c r="I1010" s="2367"/>
      <c r="J1010" s="2367"/>
      <c r="K1010" s="2367"/>
      <c r="L1010" s="2367"/>
      <c r="M1010" s="2367"/>
      <c r="N1010" s="2367"/>
      <c r="O1010" s="2367"/>
      <c r="P1010" s="2367"/>
      <c r="Q1010" s="2367"/>
      <c r="R1010" s="2367"/>
    </row>
    <row r="1011" spans="1:18">
      <c r="A1011" s="2367"/>
      <c r="B1011" s="2367"/>
      <c r="C1011" s="2367"/>
      <c r="D1011" s="2367"/>
      <c r="E1011" s="2367"/>
      <c r="F1011" s="2367"/>
      <c r="G1011" s="2367"/>
      <c r="H1011" s="2367"/>
      <c r="I1011" s="2367"/>
      <c r="J1011" s="2367"/>
      <c r="K1011" s="2367"/>
      <c r="L1011" s="2367"/>
      <c r="M1011" s="2367"/>
      <c r="N1011" s="2367"/>
      <c r="O1011" s="2367"/>
      <c r="P1011" s="2367"/>
      <c r="Q1011" s="2367"/>
      <c r="R1011" s="2367"/>
    </row>
    <row r="1012" spans="1:18">
      <c r="A1012" s="2367"/>
      <c r="B1012" s="2367"/>
      <c r="C1012" s="2367"/>
      <c r="D1012" s="2367"/>
      <c r="E1012" s="2367"/>
      <c r="F1012" s="2367"/>
      <c r="G1012" s="2367"/>
      <c r="H1012" s="2367"/>
      <c r="I1012" s="2367"/>
      <c r="J1012" s="2367"/>
      <c r="K1012" s="2367"/>
      <c r="L1012" s="2367"/>
      <c r="M1012" s="2367"/>
      <c r="N1012" s="2367"/>
      <c r="O1012" s="2367"/>
      <c r="P1012" s="2367"/>
      <c r="Q1012" s="2367"/>
      <c r="R1012" s="2367"/>
    </row>
    <row r="1013" spans="1:18">
      <c r="A1013" s="2367"/>
      <c r="B1013" s="2367"/>
      <c r="C1013" s="2367"/>
      <c r="D1013" s="2367"/>
      <c r="E1013" s="2367"/>
      <c r="F1013" s="2367"/>
      <c r="G1013" s="2367"/>
      <c r="H1013" s="2367"/>
      <c r="I1013" s="2367"/>
      <c r="J1013" s="2367"/>
      <c r="K1013" s="2367"/>
      <c r="L1013" s="2367"/>
      <c r="M1013" s="2367"/>
      <c r="N1013" s="2367"/>
      <c r="O1013" s="2367"/>
      <c r="P1013" s="2367"/>
      <c r="Q1013" s="2367"/>
      <c r="R1013" s="2367"/>
    </row>
    <row r="1014" spans="1:18">
      <c r="A1014" s="2367"/>
      <c r="B1014" s="2367"/>
      <c r="C1014" s="2367"/>
      <c r="D1014" s="2367"/>
      <c r="E1014" s="2367"/>
      <c r="F1014" s="2367"/>
      <c r="G1014" s="2367"/>
      <c r="H1014" s="2367"/>
      <c r="I1014" s="2367"/>
      <c r="J1014" s="2367"/>
      <c r="K1014" s="2367"/>
      <c r="L1014" s="2367"/>
      <c r="M1014" s="2367"/>
      <c r="N1014" s="2367"/>
      <c r="O1014" s="2367"/>
      <c r="P1014" s="2367"/>
      <c r="Q1014" s="2367"/>
      <c r="R1014" s="2367"/>
    </row>
    <row r="1015" spans="1:18">
      <c r="A1015" s="2367"/>
      <c r="B1015" s="2367"/>
      <c r="C1015" s="2367"/>
      <c r="D1015" s="2367"/>
      <c r="E1015" s="2367"/>
      <c r="F1015" s="2367"/>
      <c r="G1015" s="2367"/>
      <c r="H1015" s="2367"/>
      <c r="I1015" s="2367"/>
      <c r="J1015" s="2367"/>
      <c r="K1015" s="2367"/>
      <c r="L1015" s="2367"/>
      <c r="M1015" s="2367"/>
      <c r="N1015" s="2367"/>
      <c r="O1015" s="2367"/>
      <c r="P1015" s="2367"/>
      <c r="Q1015" s="2367"/>
      <c r="R1015" s="2367"/>
    </row>
    <row r="1016" spans="1:18">
      <c r="A1016" s="2367"/>
      <c r="B1016" s="2367"/>
      <c r="C1016" s="2367"/>
      <c r="D1016" s="2367"/>
      <c r="E1016" s="2367"/>
      <c r="F1016" s="2367"/>
      <c r="G1016" s="2367"/>
      <c r="H1016" s="2367"/>
      <c r="I1016" s="2367"/>
      <c r="J1016" s="2367"/>
      <c r="K1016" s="2367"/>
      <c r="L1016" s="2367"/>
      <c r="M1016" s="2367"/>
      <c r="N1016" s="2367"/>
      <c r="O1016" s="2367"/>
      <c r="P1016" s="2367"/>
      <c r="Q1016" s="2367"/>
      <c r="R1016" s="2367"/>
    </row>
    <row r="1017" spans="1:18">
      <c r="A1017" s="2367"/>
      <c r="B1017" s="2367"/>
      <c r="C1017" s="2367"/>
      <c r="D1017" s="2367"/>
      <c r="E1017" s="2367"/>
      <c r="F1017" s="2367"/>
      <c r="G1017" s="2367"/>
      <c r="H1017" s="2367"/>
      <c r="I1017" s="2367"/>
      <c r="J1017" s="2367"/>
      <c r="K1017" s="2367"/>
      <c r="L1017" s="2367"/>
      <c r="M1017" s="2367"/>
      <c r="N1017" s="2367"/>
      <c r="O1017" s="2367"/>
      <c r="P1017" s="2367"/>
      <c r="Q1017" s="2367"/>
      <c r="R1017" s="2367"/>
    </row>
    <row r="1018" spans="1:18">
      <c r="A1018" s="2367"/>
      <c r="B1018" s="2367"/>
      <c r="C1018" s="2367"/>
      <c r="D1018" s="2367"/>
      <c r="E1018" s="2367"/>
      <c r="F1018" s="2367"/>
      <c r="G1018" s="2367"/>
      <c r="H1018" s="2367"/>
      <c r="I1018" s="2367"/>
      <c r="J1018" s="2367"/>
      <c r="K1018" s="2367"/>
      <c r="L1018" s="2367"/>
      <c r="M1018" s="2367"/>
      <c r="N1018" s="2367"/>
      <c r="O1018" s="2367"/>
      <c r="P1018" s="2367"/>
      <c r="Q1018" s="2367"/>
      <c r="R1018" s="2367"/>
    </row>
    <row r="1019" spans="1:18">
      <c r="A1019" s="2367"/>
      <c r="B1019" s="2367"/>
      <c r="C1019" s="2367"/>
      <c r="D1019" s="2367"/>
      <c r="E1019" s="2367"/>
      <c r="F1019" s="2367"/>
      <c r="G1019" s="2367"/>
      <c r="H1019" s="2367"/>
      <c r="I1019" s="2367"/>
      <c r="J1019" s="2367"/>
      <c r="K1019" s="2367"/>
      <c r="L1019" s="2367"/>
      <c r="M1019" s="2367"/>
      <c r="N1019" s="2367"/>
      <c r="O1019" s="2367"/>
      <c r="P1019" s="2367"/>
      <c r="Q1019" s="2367"/>
      <c r="R1019" s="2367"/>
    </row>
    <row r="1020" spans="1:18">
      <c r="A1020" s="2367"/>
      <c r="B1020" s="2367"/>
      <c r="C1020" s="2367"/>
      <c r="D1020" s="2367"/>
      <c r="E1020" s="2367"/>
      <c r="F1020" s="2367"/>
      <c r="G1020" s="2367"/>
      <c r="H1020" s="2367"/>
      <c r="I1020" s="2367"/>
      <c r="J1020" s="2367"/>
      <c r="K1020" s="2367"/>
      <c r="L1020" s="2367"/>
      <c r="M1020" s="2367"/>
      <c r="N1020" s="2367"/>
      <c r="O1020" s="2367"/>
      <c r="P1020" s="2367"/>
      <c r="Q1020" s="2367"/>
      <c r="R1020" s="2367"/>
    </row>
    <row r="1021" spans="1:18">
      <c r="A1021" s="2367"/>
      <c r="B1021" s="2367"/>
      <c r="C1021" s="2367"/>
      <c r="D1021" s="2367"/>
      <c r="E1021" s="2367"/>
      <c r="F1021" s="2367"/>
      <c r="G1021" s="2367"/>
      <c r="H1021" s="2367"/>
      <c r="I1021" s="2367"/>
      <c r="J1021" s="2367"/>
      <c r="K1021" s="2367"/>
      <c r="L1021" s="2367"/>
      <c r="M1021" s="2367"/>
      <c r="N1021" s="2367"/>
      <c r="O1021" s="2367"/>
      <c r="P1021" s="2367"/>
      <c r="Q1021" s="2367"/>
      <c r="R1021" s="2367"/>
    </row>
    <row r="1022" spans="1:18">
      <c r="A1022" s="2367"/>
      <c r="B1022" s="2367"/>
      <c r="C1022" s="2367"/>
      <c r="D1022" s="2367"/>
      <c r="E1022" s="2367"/>
      <c r="F1022" s="2367"/>
      <c r="G1022" s="2367"/>
      <c r="H1022" s="2367"/>
      <c r="I1022" s="2367"/>
      <c r="J1022" s="2367"/>
      <c r="K1022" s="2367"/>
      <c r="L1022" s="2367"/>
      <c r="M1022" s="2367"/>
      <c r="N1022" s="2367"/>
      <c r="O1022" s="2367"/>
      <c r="P1022" s="2367"/>
      <c r="Q1022" s="2367"/>
      <c r="R1022" s="2367"/>
    </row>
    <row r="1023" spans="1:18">
      <c r="A1023" s="2367"/>
      <c r="B1023" s="2367"/>
      <c r="C1023" s="2367"/>
      <c r="D1023" s="2367"/>
      <c r="E1023" s="2367"/>
      <c r="F1023" s="2367"/>
      <c r="G1023" s="2367"/>
      <c r="H1023" s="2367"/>
      <c r="I1023" s="2367"/>
      <c r="J1023" s="2367"/>
      <c r="K1023" s="2367"/>
      <c r="L1023" s="2367"/>
      <c r="M1023" s="2367"/>
      <c r="N1023" s="2367"/>
      <c r="O1023" s="2367"/>
      <c r="P1023" s="2367"/>
      <c r="Q1023" s="2367"/>
      <c r="R1023" s="2367"/>
    </row>
    <row r="1024" spans="1:18">
      <c r="A1024" s="2367"/>
      <c r="B1024" s="2367"/>
      <c r="C1024" s="2367"/>
      <c r="D1024" s="2367"/>
      <c r="E1024" s="2367"/>
      <c r="F1024" s="2367"/>
      <c r="G1024" s="2367"/>
      <c r="H1024" s="2367"/>
      <c r="I1024" s="2367"/>
      <c r="J1024" s="2367"/>
      <c r="K1024" s="2367"/>
      <c r="L1024" s="2367"/>
      <c r="M1024" s="2367"/>
      <c r="N1024" s="2367"/>
      <c r="O1024" s="2367"/>
      <c r="P1024" s="2367"/>
      <c r="Q1024" s="2367"/>
      <c r="R1024" s="2367"/>
    </row>
    <row r="1025" spans="1:18">
      <c r="A1025" s="2367"/>
      <c r="B1025" s="2367"/>
      <c r="C1025" s="2367"/>
      <c r="D1025" s="2367"/>
      <c r="E1025" s="2367"/>
      <c r="F1025" s="2367"/>
      <c r="G1025" s="2367"/>
      <c r="H1025" s="2367"/>
      <c r="I1025" s="2367"/>
      <c r="J1025" s="2367"/>
      <c r="K1025" s="2367"/>
      <c r="L1025" s="2367"/>
      <c r="M1025" s="2367"/>
      <c r="N1025" s="2367"/>
      <c r="O1025" s="2367"/>
      <c r="P1025" s="2367"/>
      <c r="Q1025" s="2367"/>
      <c r="R1025" s="2367"/>
    </row>
    <row r="1026" spans="1:18">
      <c r="A1026" s="2367"/>
      <c r="B1026" s="2367"/>
      <c r="C1026" s="2367"/>
      <c r="D1026" s="2367"/>
      <c r="E1026" s="2367"/>
      <c r="F1026" s="2367"/>
      <c r="G1026" s="2367"/>
      <c r="H1026" s="2367"/>
      <c r="I1026" s="2367"/>
      <c r="J1026" s="2367"/>
      <c r="K1026" s="2367"/>
      <c r="L1026" s="2367"/>
      <c r="M1026" s="2367"/>
      <c r="N1026" s="2367"/>
      <c r="O1026" s="2367"/>
      <c r="P1026" s="2367"/>
      <c r="Q1026" s="2367"/>
      <c r="R1026" s="2367"/>
    </row>
    <row r="1027" spans="1:18">
      <c r="A1027" s="2367"/>
      <c r="B1027" s="2367"/>
      <c r="C1027" s="2367"/>
      <c r="D1027" s="2367"/>
      <c r="E1027" s="2367"/>
      <c r="F1027" s="2367"/>
      <c r="G1027" s="2367"/>
      <c r="H1027" s="2367"/>
      <c r="I1027" s="2367"/>
      <c r="J1027" s="2367"/>
      <c r="K1027" s="2367"/>
      <c r="L1027" s="2367"/>
      <c r="M1027" s="2367"/>
      <c r="N1027" s="2367"/>
      <c r="O1027" s="2367"/>
      <c r="P1027" s="2367"/>
      <c r="Q1027" s="2367"/>
      <c r="R1027" s="2367"/>
    </row>
    <row r="1028" spans="1:18">
      <c r="A1028" s="2367"/>
      <c r="B1028" s="2367"/>
      <c r="C1028" s="2367"/>
      <c r="D1028" s="2367"/>
      <c r="E1028" s="2367"/>
      <c r="F1028" s="2367"/>
      <c r="G1028" s="2367"/>
      <c r="H1028" s="2367"/>
      <c r="I1028" s="2367"/>
      <c r="J1028" s="2367"/>
      <c r="K1028" s="2367"/>
      <c r="L1028" s="2367"/>
      <c r="M1028" s="2367"/>
      <c r="N1028" s="2367"/>
      <c r="O1028" s="2367"/>
      <c r="P1028" s="2367"/>
      <c r="Q1028" s="2367"/>
      <c r="R1028" s="2367"/>
    </row>
    <row r="1029" spans="1:18">
      <c r="A1029" s="2367"/>
      <c r="B1029" s="2367"/>
      <c r="C1029" s="2367"/>
      <c r="D1029" s="2367"/>
      <c r="E1029" s="2367"/>
      <c r="F1029" s="2367"/>
      <c r="G1029" s="2367"/>
      <c r="H1029" s="2367"/>
      <c r="I1029" s="2367"/>
      <c r="J1029" s="2367"/>
      <c r="K1029" s="2367"/>
      <c r="L1029" s="2367"/>
      <c r="M1029" s="2367"/>
      <c r="N1029" s="2367"/>
      <c r="O1029" s="2367"/>
      <c r="P1029" s="2367"/>
      <c r="Q1029" s="2367"/>
      <c r="R1029" s="2367"/>
    </row>
    <row r="1030" spans="1:18">
      <c r="A1030" s="2367"/>
      <c r="B1030" s="2367"/>
      <c r="C1030" s="2367"/>
      <c r="D1030" s="2367"/>
      <c r="E1030" s="2367"/>
      <c r="F1030" s="2367"/>
      <c r="G1030" s="2367"/>
      <c r="H1030" s="2367"/>
      <c r="I1030" s="2367"/>
      <c r="J1030" s="2367"/>
      <c r="K1030" s="2367"/>
      <c r="L1030" s="2367"/>
      <c r="M1030" s="2367"/>
      <c r="N1030" s="2367"/>
      <c r="O1030" s="2367"/>
      <c r="P1030" s="2367"/>
      <c r="Q1030" s="2367"/>
      <c r="R1030" s="2367"/>
    </row>
    <row r="1031" spans="1:18">
      <c r="A1031" s="2367"/>
      <c r="B1031" s="2367"/>
      <c r="C1031" s="2367"/>
      <c r="D1031" s="2367"/>
      <c r="E1031" s="2367"/>
      <c r="F1031" s="2367"/>
      <c r="G1031" s="2367"/>
      <c r="H1031" s="2367"/>
      <c r="I1031" s="2367"/>
      <c r="J1031" s="2367"/>
      <c r="K1031" s="2367"/>
      <c r="L1031" s="2367"/>
      <c r="M1031" s="2367"/>
      <c r="N1031" s="2367"/>
      <c r="O1031" s="2367"/>
      <c r="P1031" s="2367"/>
      <c r="Q1031" s="2367"/>
      <c r="R1031" s="2367"/>
    </row>
    <row r="1032" spans="1:18">
      <c r="A1032" s="2367"/>
      <c r="B1032" s="2367"/>
      <c r="C1032" s="2367"/>
      <c r="D1032" s="2367"/>
      <c r="E1032" s="2367"/>
      <c r="F1032" s="2367"/>
      <c r="G1032" s="2367"/>
      <c r="H1032" s="2367"/>
      <c r="I1032" s="2367"/>
      <c r="J1032" s="2367"/>
      <c r="K1032" s="2367"/>
      <c r="L1032" s="2367"/>
      <c r="M1032" s="2367"/>
      <c r="N1032" s="2367"/>
      <c r="O1032" s="2367"/>
      <c r="P1032" s="2367"/>
      <c r="Q1032" s="2367"/>
      <c r="R1032" s="2367"/>
    </row>
    <row r="1033" spans="1:18">
      <c r="A1033" s="2367"/>
      <c r="B1033" s="2367"/>
      <c r="C1033" s="2367"/>
      <c r="D1033" s="2367"/>
      <c r="E1033" s="2367"/>
      <c r="F1033" s="2367"/>
      <c r="G1033" s="2367"/>
      <c r="H1033" s="2367"/>
      <c r="I1033" s="2367"/>
      <c r="J1033" s="2367"/>
      <c r="K1033" s="2367"/>
      <c r="L1033" s="2367"/>
      <c r="M1033" s="2367"/>
      <c r="N1033" s="2367"/>
      <c r="O1033" s="2367"/>
      <c r="P1033" s="2367"/>
      <c r="Q1033" s="2367"/>
      <c r="R1033" s="2367"/>
    </row>
    <row r="1034" spans="1:18">
      <c r="A1034" s="2367"/>
      <c r="B1034" s="2367"/>
      <c r="C1034" s="2367"/>
      <c r="D1034" s="2367"/>
      <c r="E1034" s="2367"/>
      <c r="F1034" s="2367"/>
      <c r="G1034" s="2367"/>
      <c r="H1034" s="2367"/>
      <c r="I1034" s="2367"/>
      <c r="J1034" s="2367"/>
      <c r="K1034" s="2367"/>
      <c r="L1034" s="2367"/>
      <c r="M1034" s="2367"/>
      <c r="N1034" s="2367"/>
      <c r="O1034" s="2367"/>
      <c r="P1034" s="2367"/>
      <c r="Q1034" s="2367"/>
      <c r="R1034" s="2367"/>
    </row>
    <row r="1035" spans="1:18">
      <c r="A1035" s="2367"/>
      <c r="B1035" s="2367"/>
      <c r="C1035" s="2367"/>
      <c r="D1035" s="2367"/>
      <c r="E1035" s="2367"/>
      <c r="F1035" s="2367"/>
      <c r="G1035" s="2367"/>
      <c r="H1035" s="2367"/>
      <c r="I1035" s="2367"/>
      <c r="J1035" s="2367"/>
      <c r="K1035" s="2367"/>
      <c r="L1035" s="2367"/>
      <c r="M1035" s="2367"/>
      <c r="N1035" s="2367"/>
      <c r="O1035" s="2367"/>
      <c r="P1035" s="2367"/>
      <c r="Q1035" s="2367"/>
      <c r="R1035" s="2367"/>
    </row>
    <row r="1036" spans="1:18">
      <c r="A1036" s="2367"/>
      <c r="B1036" s="2367"/>
      <c r="C1036" s="2367"/>
      <c r="D1036" s="2367"/>
      <c r="E1036" s="2367"/>
      <c r="F1036" s="2367"/>
      <c r="G1036" s="2367"/>
      <c r="H1036" s="2367"/>
      <c r="I1036" s="2367"/>
      <c r="J1036" s="2367"/>
      <c r="K1036" s="2367"/>
      <c r="L1036" s="2367"/>
      <c r="M1036" s="2367"/>
      <c r="N1036" s="2367"/>
      <c r="O1036" s="2367"/>
      <c r="P1036" s="2367"/>
      <c r="Q1036" s="2367"/>
      <c r="R1036" s="2367"/>
    </row>
    <row r="1037" spans="1:18">
      <c r="A1037" s="2367"/>
      <c r="B1037" s="2367"/>
      <c r="C1037" s="2367"/>
      <c r="D1037" s="2367"/>
      <c r="E1037" s="2367"/>
      <c r="F1037" s="2367"/>
      <c r="G1037" s="2367"/>
      <c r="H1037" s="2367"/>
      <c r="I1037" s="2367"/>
      <c r="J1037" s="2367"/>
      <c r="K1037" s="2367"/>
      <c r="L1037" s="2367"/>
      <c r="M1037" s="2367"/>
      <c r="N1037" s="2367"/>
      <c r="O1037" s="2367"/>
      <c r="P1037" s="2367"/>
      <c r="Q1037" s="2367"/>
      <c r="R1037" s="2367"/>
    </row>
    <row r="1038" spans="1:18">
      <c r="A1038" s="2367"/>
      <c r="B1038" s="2367"/>
      <c r="C1038" s="2367"/>
      <c r="D1038" s="2367"/>
      <c r="E1038" s="2367"/>
      <c r="F1038" s="2367"/>
      <c r="G1038" s="2367"/>
      <c r="H1038" s="2367"/>
      <c r="I1038" s="2367"/>
      <c r="J1038" s="2367"/>
      <c r="K1038" s="2367"/>
      <c r="L1038" s="2367"/>
      <c r="M1038" s="2367"/>
      <c r="N1038" s="2367"/>
      <c r="O1038" s="2367"/>
      <c r="P1038" s="2367"/>
      <c r="Q1038" s="2367"/>
      <c r="R1038" s="2367"/>
    </row>
    <row r="1039" spans="1:18">
      <c r="A1039" s="2367"/>
      <c r="B1039" s="2367"/>
      <c r="C1039" s="2367"/>
      <c r="D1039" s="2367"/>
      <c r="E1039" s="2367"/>
      <c r="F1039" s="2367"/>
      <c r="G1039" s="2367"/>
      <c r="H1039" s="2367"/>
      <c r="I1039" s="2367"/>
      <c r="J1039" s="2367"/>
      <c r="K1039" s="2367"/>
      <c r="L1039" s="2367"/>
      <c r="M1039" s="2367"/>
      <c r="N1039" s="2367"/>
      <c r="O1039" s="2367"/>
      <c r="P1039" s="2367"/>
      <c r="Q1039" s="2367"/>
      <c r="R1039" s="2367"/>
    </row>
    <row r="1040" spans="1:18">
      <c r="A1040" s="2367"/>
      <c r="B1040" s="2367"/>
      <c r="C1040" s="2367"/>
      <c r="D1040" s="2367"/>
      <c r="E1040" s="2367"/>
      <c r="F1040" s="2367"/>
      <c r="G1040" s="2367"/>
      <c r="H1040" s="2367"/>
      <c r="I1040" s="2367"/>
      <c r="J1040" s="2367"/>
      <c r="K1040" s="2367"/>
      <c r="L1040" s="2367"/>
      <c r="M1040" s="2367"/>
      <c r="N1040" s="2367"/>
      <c r="O1040" s="2367"/>
      <c r="P1040" s="2367"/>
      <c r="Q1040" s="2367"/>
      <c r="R1040" s="2367"/>
    </row>
    <row r="1041" spans="1:18">
      <c r="A1041" s="2367"/>
      <c r="B1041" s="2367"/>
      <c r="C1041" s="2367"/>
      <c r="D1041" s="2367"/>
      <c r="E1041" s="2367"/>
      <c r="F1041" s="2367"/>
      <c r="G1041" s="2367"/>
      <c r="H1041" s="2367"/>
      <c r="I1041" s="2367"/>
      <c r="J1041" s="2367"/>
      <c r="K1041" s="2367"/>
      <c r="L1041" s="2367"/>
      <c r="M1041" s="2367"/>
      <c r="N1041" s="2367"/>
      <c r="O1041" s="2367"/>
      <c r="P1041" s="2367"/>
      <c r="Q1041" s="2367"/>
      <c r="R1041" s="2367"/>
    </row>
    <row r="1042" spans="1:18">
      <c r="A1042" s="2367"/>
      <c r="B1042" s="2367"/>
      <c r="C1042" s="2367"/>
      <c r="D1042" s="2367"/>
      <c r="E1042" s="2367"/>
      <c r="F1042" s="2367"/>
      <c r="G1042" s="2367"/>
      <c r="H1042" s="2367"/>
      <c r="I1042" s="2367"/>
      <c r="J1042" s="2367"/>
      <c r="K1042" s="2367"/>
      <c r="L1042" s="2367"/>
      <c r="M1042" s="2367"/>
      <c r="N1042" s="2367"/>
      <c r="O1042" s="2367"/>
      <c r="P1042" s="2367"/>
      <c r="Q1042" s="2367"/>
      <c r="R1042" s="2367"/>
    </row>
    <row r="1043" spans="1:18">
      <c r="A1043" s="2367"/>
      <c r="B1043" s="2367"/>
      <c r="C1043" s="2367"/>
      <c r="D1043" s="2367"/>
      <c r="E1043" s="2367"/>
      <c r="F1043" s="2367"/>
      <c r="G1043" s="2367"/>
      <c r="H1043" s="2367"/>
      <c r="I1043" s="2367"/>
      <c r="J1043" s="2367"/>
      <c r="K1043" s="2367"/>
      <c r="L1043" s="2367"/>
      <c r="M1043" s="2367"/>
      <c r="N1043" s="2367"/>
      <c r="O1043" s="2367"/>
      <c r="P1043" s="2367"/>
      <c r="Q1043" s="2367"/>
      <c r="R1043" s="2367"/>
    </row>
    <row r="1044" spans="1:18">
      <c r="A1044" s="2367"/>
      <c r="B1044" s="2367"/>
      <c r="C1044" s="2367"/>
      <c r="D1044" s="2367"/>
      <c r="E1044" s="2367"/>
      <c r="F1044" s="2367"/>
      <c r="G1044" s="2367"/>
      <c r="H1044" s="2367"/>
      <c r="I1044" s="2367"/>
      <c r="J1044" s="2367"/>
      <c r="K1044" s="2367"/>
      <c r="L1044" s="2367"/>
      <c r="M1044" s="2367"/>
      <c r="N1044" s="2367"/>
      <c r="O1044" s="2367"/>
      <c r="P1044" s="2367"/>
      <c r="Q1044" s="2367"/>
      <c r="R1044" s="2367"/>
    </row>
    <row r="1045" spans="1:18">
      <c r="A1045" s="2367"/>
      <c r="B1045" s="2367"/>
      <c r="C1045" s="2367"/>
      <c r="D1045" s="2367"/>
      <c r="E1045" s="2367"/>
      <c r="F1045" s="2367"/>
      <c r="G1045" s="2367"/>
      <c r="H1045" s="2367"/>
      <c r="I1045" s="2367"/>
      <c r="J1045" s="2367"/>
      <c r="K1045" s="2367"/>
      <c r="L1045" s="2367"/>
      <c r="M1045" s="2367"/>
      <c r="N1045" s="2367"/>
      <c r="O1045" s="2367"/>
      <c r="P1045" s="2367"/>
      <c r="Q1045" s="2367"/>
      <c r="R1045" s="2367"/>
    </row>
    <row r="1046" spans="1:18">
      <c r="A1046" s="2367"/>
      <c r="B1046" s="2367"/>
      <c r="C1046" s="2367"/>
      <c r="D1046" s="2367"/>
      <c r="E1046" s="2367"/>
      <c r="F1046" s="2367"/>
      <c r="G1046" s="2367"/>
      <c r="H1046" s="2367"/>
      <c r="I1046" s="2367"/>
      <c r="J1046" s="2367"/>
      <c r="K1046" s="2367"/>
      <c r="L1046" s="2367"/>
      <c r="M1046" s="2367"/>
      <c r="N1046" s="2367"/>
      <c r="O1046" s="2367"/>
      <c r="P1046" s="2367"/>
      <c r="Q1046" s="2367"/>
      <c r="R1046" s="2367"/>
    </row>
    <row r="1047" spans="1:18">
      <c r="A1047" s="2367"/>
      <c r="B1047" s="2367"/>
      <c r="C1047" s="2367"/>
      <c r="D1047" s="2367"/>
      <c r="E1047" s="2367"/>
      <c r="F1047" s="2367"/>
      <c r="G1047" s="2367"/>
      <c r="H1047" s="2367"/>
      <c r="I1047" s="2367"/>
      <c r="J1047" s="2367"/>
      <c r="K1047" s="2367"/>
      <c r="L1047" s="2367"/>
      <c r="M1047" s="2367"/>
      <c r="N1047" s="2367"/>
      <c r="O1047" s="2367"/>
      <c r="P1047" s="2367"/>
      <c r="Q1047" s="2367"/>
      <c r="R1047" s="2367"/>
    </row>
    <row r="1048" spans="1:18">
      <c r="A1048" s="2367"/>
      <c r="B1048" s="2367"/>
      <c r="C1048" s="2367"/>
      <c r="D1048" s="2367"/>
      <c r="E1048" s="2367"/>
      <c r="F1048" s="2367"/>
      <c r="G1048" s="2367"/>
      <c r="H1048" s="2367"/>
      <c r="I1048" s="2367"/>
      <c r="J1048" s="2367"/>
      <c r="K1048" s="2367"/>
      <c r="L1048" s="2367"/>
      <c r="M1048" s="2367"/>
      <c r="N1048" s="2367"/>
      <c r="O1048" s="2367"/>
      <c r="P1048" s="2367"/>
      <c r="Q1048" s="2367"/>
      <c r="R1048" s="2367"/>
    </row>
    <row r="1049" spans="1:18">
      <c r="A1049" s="2367"/>
      <c r="B1049" s="2367"/>
      <c r="C1049" s="2367"/>
      <c r="D1049" s="2367"/>
      <c r="E1049" s="2367"/>
      <c r="F1049" s="2367"/>
      <c r="G1049" s="2367"/>
      <c r="H1049" s="2367"/>
      <c r="I1049" s="2367"/>
      <c r="J1049" s="2367"/>
      <c r="K1049" s="2367"/>
      <c r="L1049" s="2367"/>
      <c r="M1049" s="2367"/>
      <c r="N1049" s="2367"/>
      <c r="O1049" s="2367"/>
      <c r="P1049" s="2367"/>
      <c r="Q1049" s="2367"/>
      <c r="R1049" s="2367"/>
    </row>
    <row r="1050" spans="1:18">
      <c r="A1050" s="2367"/>
      <c r="B1050" s="2367"/>
      <c r="C1050" s="2367"/>
      <c r="D1050" s="2367"/>
      <c r="E1050" s="2367"/>
      <c r="F1050" s="2367"/>
      <c r="G1050" s="2367"/>
      <c r="H1050" s="2367"/>
      <c r="I1050" s="2367"/>
      <c r="J1050" s="2367"/>
      <c r="K1050" s="2367"/>
      <c r="L1050" s="2367"/>
      <c r="M1050" s="2367"/>
      <c r="N1050" s="2367"/>
      <c r="O1050" s="2367"/>
      <c r="P1050" s="2367"/>
      <c r="Q1050" s="2367"/>
      <c r="R1050" s="2367"/>
    </row>
    <row r="1051" spans="1:18">
      <c r="A1051" s="2367"/>
      <c r="B1051" s="2367"/>
      <c r="C1051" s="2367"/>
      <c r="D1051" s="2367"/>
      <c r="E1051" s="2367"/>
      <c r="F1051" s="2367"/>
      <c r="G1051" s="2367"/>
      <c r="H1051" s="2367"/>
      <c r="I1051" s="2367"/>
      <c r="J1051" s="2367"/>
      <c r="K1051" s="2367"/>
      <c r="L1051" s="2367"/>
      <c r="M1051" s="2367"/>
      <c r="N1051" s="2367"/>
      <c r="O1051" s="2367"/>
      <c r="P1051" s="2367"/>
      <c r="Q1051" s="2367"/>
      <c r="R1051" s="2367"/>
    </row>
    <row r="1052" spans="1:18">
      <c r="A1052" s="2367"/>
      <c r="B1052" s="2367"/>
      <c r="C1052" s="2367"/>
      <c r="D1052" s="2367"/>
      <c r="E1052" s="2367"/>
      <c r="F1052" s="2367"/>
      <c r="G1052" s="2367"/>
      <c r="H1052" s="2367"/>
      <c r="I1052" s="2367"/>
      <c r="J1052" s="2367"/>
      <c r="K1052" s="2367"/>
      <c r="L1052" s="2367"/>
      <c r="M1052" s="2367"/>
      <c r="N1052" s="2367"/>
      <c r="O1052" s="2367"/>
      <c r="P1052" s="2367"/>
      <c r="Q1052" s="2367"/>
      <c r="R1052" s="2367"/>
    </row>
    <row r="1053" spans="1:18">
      <c r="A1053" s="2367"/>
      <c r="B1053" s="2367"/>
      <c r="C1053" s="2367"/>
      <c r="D1053" s="2367"/>
      <c r="E1053" s="2367"/>
      <c r="F1053" s="2367"/>
      <c r="G1053" s="2367"/>
      <c r="H1053" s="2367"/>
      <c r="I1053" s="2367"/>
      <c r="J1053" s="2367"/>
      <c r="K1053" s="2367"/>
      <c r="L1053" s="2367"/>
      <c r="M1053" s="2367"/>
      <c r="N1053" s="2367"/>
      <c r="O1053" s="2367"/>
      <c r="P1053" s="2367"/>
      <c r="Q1053" s="2367"/>
      <c r="R1053" s="2367"/>
    </row>
    <row r="1054" spans="1:18">
      <c r="A1054" s="2367"/>
      <c r="B1054" s="2367"/>
      <c r="C1054" s="2367"/>
      <c r="D1054" s="2367"/>
      <c r="E1054" s="2367"/>
      <c r="F1054" s="2367"/>
      <c r="G1054" s="2367"/>
      <c r="H1054" s="2367"/>
      <c r="I1054" s="2367"/>
      <c r="J1054" s="2367"/>
      <c r="K1054" s="2367"/>
      <c r="L1054" s="2367"/>
      <c r="M1054" s="2367"/>
      <c r="N1054" s="2367"/>
      <c r="O1054" s="2367"/>
      <c r="P1054" s="2367"/>
      <c r="Q1054" s="2367"/>
      <c r="R1054" s="2367"/>
    </row>
    <row r="1055" spans="1:18">
      <c r="A1055" s="2367"/>
      <c r="B1055" s="2367"/>
      <c r="C1055" s="2367"/>
      <c r="D1055" s="2367"/>
      <c r="E1055" s="2367"/>
      <c r="F1055" s="2367"/>
      <c r="G1055" s="2367"/>
      <c r="H1055" s="2367"/>
      <c r="I1055" s="2367"/>
      <c r="J1055" s="2367"/>
      <c r="K1055" s="2367"/>
      <c r="L1055" s="2367"/>
      <c r="M1055" s="2367"/>
      <c r="N1055" s="2367"/>
      <c r="O1055" s="2367"/>
      <c r="P1055" s="2367"/>
      <c r="Q1055" s="2367"/>
      <c r="R1055" s="2367"/>
    </row>
    <row r="1056" spans="1:18">
      <c r="A1056" s="2367"/>
      <c r="B1056" s="2367"/>
      <c r="C1056" s="2367"/>
      <c r="D1056" s="2367"/>
      <c r="E1056" s="2367"/>
      <c r="F1056" s="2367"/>
      <c r="G1056" s="2367"/>
      <c r="H1056" s="2367"/>
      <c r="I1056" s="2367"/>
      <c r="J1056" s="2367"/>
      <c r="K1056" s="2367"/>
      <c r="L1056" s="2367"/>
      <c r="M1056" s="2367"/>
      <c r="N1056" s="2367"/>
      <c r="O1056" s="2367"/>
      <c r="P1056" s="2367"/>
      <c r="Q1056" s="2367"/>
      <c r="R1056" s="2367"/>
    </row>
    <row r="1057" spans="1:18">
      <c r="A1057" s="2367"/>
      <c r="B1057" s="2367"/>
      <c r="C1057" s="2367"/>
      <c r="D1057" s="2367"/>
      <c r="E1057" s="2367"/>
      <c r="F1057" s="2367"/>
      <c r="G1057" s="2367"/>
      <c r="H1057" s="2367"/>
      <c r="I1057" s="2367"/>
      <c r="J1057" s="2367"/>
      <c r="K1057" s="2367"/>
      <c r="L1057" s="2367"/>
      <c r="M1057" s="2367"/>
      <c r="N1057" s="2367"/>
      <c r="O1057" s="2367"/>
      <c r="P1057" s="2367"/>
      <c r="Q1057" s="2367"/>
      <c r="R1057" s="2367"/>
    </row>
    <row r="1058" spans="1:18">
      <c r="A1058" s="2367"/>
      <c r="B1058" s="2367"/>
      <c r="C1058" s="2367"/>
      <c r="D1058" s="2367"/>
      <c r="E1058" s="2367"/>
      <c r="F1058" s="2367"/>
      <c r="G1058" s="2367"/>
      <c r="H1058" s="2367"/>
      <c r="I1058" s="2367"/>
      <c r="J1058" s="2367"/>
      <c r="K1058" s="2367"/>
      <c r="L1058" s="2367"/>
      <c r="M1058" s="2367"/>
      <c r="N1058" s="2367"/>
      <c r="O1058" s="2367"/>
      <c r="P1058" s="2367"/>
      <c r="Q1058" s="2367"/>
      <c r="R1058" s="2367"/>
    </row>
    <row r="1059" spans="1:18">
      <c r="A1059" s="2367"/>
      <c r="B1059" s="2367"/>
      <c r="C1059" s="2367"/>
      <c r="D1059" s="2367"/>
      <c r="E1059" s="2367"/>
      <c r="F1059" s="2367"/>
      <c r="G1059" s="2367"/>
      <c r="H1059" s="2367"/>
      <c r="I1059" s="2367"/>
      <c r="J1059" s="2367"/>
      <c r="K1059" s="2367"/>
      <c r="L1059" s="2367"/>
      <c r="M1059" s="2367"/>
      <c r="N1059" s="2367"/>
      <c r="O1059" s="2367"/>
      <c r="P1059" s="2367"/>
      <c r="Q1059" s="2367"/>
      <c r="R1059" s="2367"/>
    </row>
    <row r="1060" spans="1:18">
      <c r="A1060" s="2367"/>
      <c r="B1060" s="2367"/>
      <c r="C1060" s="2367"/>
      <c r="D1060" s="2367"/>
      <c r="E1060" s="2367"/>
      <c r="F1060" s="2367"/>
      <c r="G1060" s="2367"/>
      <c r="H1060" s="2367"/>
      <c r="I1060" s="2367"/>
      <c r="J1060" s="2367"/>
      <c r="K1060" s="2367"/>
      <c r="L1060" s="2367"/>
      <c r="M1060" s="2367"/>
      <c r="N1060" s="2367"/>
      <c r="O1060" s="2367"/>
      <c r="P1060" s="2367"/>
      <c r="Q1060" s="2367"/>
      <c r="R1060" s="2367"/>
    </row>
    <row r="1061" spans="1:18">
      <c r="A1061" s="2367"/>
      <c r="B1061" s="2367"/>
      <c r="C1061" s="2367"/>
      <c r="D1061" s="2367"/>
      <c r="E1061" s="2367"/>
      <c r="F1061" s="2367"/>
      <c r="G1061" s="2367"/>
      <c r="H1061" s="2367"/>
      <c r="I1061" s="2367"/>
      <c r="J1061" s="2367"/>
      <c r="K1061" s="2367"/>
      <c r="L1061" s="2367"/>
      <c r="M1061" s="2367"/>
      <c r="N1061" s="2367"/>
      <c r="O1061" s="2367"/>
      <c r="P1061" s="2367"/>
      <c r="Q1061" s="2367"/>
      <c r="R1061" s="2367"/>
    </row>
    <row r="1062" spans="1:18">
      <c r="A1062" s="2367"/>
      <c r="B1062" s="2367"/>
      <c r="C1062" s="2367"/>
      <c r="D1062" s="2367"/>
      <c r="E1062" s="2367"/>
      <c r="F1062" s="2367"/>
      <c r="G1062" s="2367"/>
      <c r="H1062" s="2367"/>
      <c r="I1062" s="2367"/>
      <c r="J1062" s="2367"/>
      <c r="K1062" s="2367"/>
      <c r="L1062" s="2367"/>
      <c r="M1062" s="2367"/>
      <c r="N1062" s="2367"/>
      <c r="O1062" s="2367"/>
      <c r="P1062" s="2367"/>
      <c r="Q1062" s="2367"/>
      <c r="R1062" s="2367"/>
    </row>
    <row r="1063" spans="1:18">
      <c r="A1063" s="2367"/>
      <c r="B1063" s="2367"/>
      <c r="C1063" s="2367"/>
      <c r="D1063" s="2367"/>
      <c r="E1063" s="2367"/>
      <c r="F1063" s="2367"/>
      <c r="G1063" s="2367"/>
      <c r="H1063" s="2367"/>
      <c r="I1063" s="2367"/>
      <c r="J1063" s="2367"/>
      <c r="K1063" s="2367"/>
      <c r="L1063" s="2367"/>
      <c r="M1063" s="2367"/>
      <c r="N1063" s="2367"/>
      <c r="O1063" s="2367"/>
      <c r="P1063" s="2367"/>
      <c r="Q1063" s="2367"/>
      <c r="R1063" s="2367"/>
    </row>
    <row r="1064" spans="1:18">
      <c r="A1064" s="2367"/>
      <c r="B1064" s="2367"/>
      <c r="C1064" s="2367"/>
      <c r="D1064" s="2367"/>
      <c r="E1064" s="2367"/>
      <c r="F1064" s="2367"/>
      <c r="G1064" s="2367"/>
      <c r="H1064" s="2367"/>
      <c r="I1064" s="2367"/>
      <c r="J1064" s="2367"/>
      <c r="K1064" s="2367"/>
      <c r="L1064" s="2367"/>
      <c r="M1064" s="2367"/>
      <c r="N1064" s="2367"/>
      <c r="O1064" s="2367"/>
      <c r="P1064" s="2367"/>
      <c r="Q1064" s="2367"/>
      <c r="R1064" s="2367"/>
    </row>
    <row r="1065" spans="1:18">
      <c r="A1065" s="2367"/>
      <c r="B1065" s="2367"/>
      <c r="C1065" s="2367"/>
      <c r="D1065" s="2367"/>
      <c r="E1065" s="2367"/>
      <c r="F1065" s="2367"/>
      <c r="G1065" s="2367"/>
      <c r="H1065" s="2367"/>
      <c r="I1065" s="2367"/>
      <c r="J1065" s="2367"/>
      <c r="K1065" s="2367"/>
      <c r="L1065" s="2367"/>
      <c r="M1065" s="2367"/>
      <c r="N1065" s="2367"/>
      <c r="O1065" s="2367"/>
      <c r="P1065" s="2367"/>
      <c r="Q1065" s="2367"/>
      <c r="R1065" s="2367"/>
    </row>
    <row r="1066" spans="1:18">
      <c r="A1066" s="2367"/>
      <c r="B1066" s="2367"/>
      <c r="C1066" s="2367"/>
      <c r="D1066" s="2367"/>
      <c r="E1066" s="2367"/>
      <c r="F1066" s="2367"/>
      <c r="G1066" s="2367"/>
      <c r="H1066" s="2367"/>
      <c r="I1066" s="2367"/>
      <c r="J1066" s="2367"/>
      <c r="K1066" s="2367"/>
      <c r="L1066" s="2367"/>
      <c r="M1066" s="2367"/>
      <c r="N1066" s="2367"/>
      <c r="O1066" s="2367"/>
      <c r="P1066" s="2367"/>
      <c r="Q1066" s="2367"/>
      <c r="R1066" s="2367"/>
    </row>
    <row r="1067" spans="1:18">
      <c r="A1067" s="2367"/>
      <c r="B1067" s="2367"/>
      <c r="C1067" s="2367"/>
      <c r="D1067" s="2367"/>
      <c r="E1067" s="2367"/>
      <c r="F1067" s="2367"/>
      <c r="G1067" s="2367"/>
      <c r="H1067" s="2367"/>
      <c r="I1067" s="2367"/>
      <c r="J1067" s="2367"/>
      <c r="K1067" s="2367"/>
      <c r="L1067" s="2367"/>
      <c r="M1067" s="2367"/>
      <c r="N1067" s="2367"/>
      <c r="O1067" s="2367"/>
      <c r="P1067" s="2367"/>
      <c r="Q1067" s="2367"/>
      <c r="R1067" s="2367"/>
    </row>
    <row r="1068" spans="1:18">
      <c r="A1068" s="2367"/>
      <c r="B1068" s="2367"/>
      <c r="C1068" s="2367"/>
      <c r="D1068" s="2367"/>
      <c r="E1068" s="2367"/>
      <c r="F1068" s="2367"/>
      <c r="G1068" s="2367"/>
      <c r="H1068" s="2367"/>
      <c r="I1068" s="2367"/>
      <c r="J1068" s="2367"/>
      <c r="K1068" s="2367"/>
      <c r="L1068" s="2367"/>
      <c r="M1068" s="2367"/>
      <c r="N1068" s="2367"/>
      <c r="O1068" s="2367"/>
      <c r="P1068" s="2367"/>
      <c r="Q1068" s="2367"/>
      <c r="R1068" s="2367"/>
    </row>
    <row r="1069" spans="1:18">
      <c r="A1069" s="2367"/>
      <c r="B1069" s="2367"/>
      <c r="C1069" s="2367"/>
      <c r="D1069" s="2367"/>
      <c r="E1069" s="2367"/>
      <c r="F1069" s="2367"/>
      <c r="G1069" s="2367"/>
      <c r="H1069" s="2367"/>
      <c r="I1069" s="2367"/>
      <c r="J1069" s="2367"/>
      <c r="K1069" s="2367"/>
      <c r="L1069" s="2367"/>
      <c r="M1069" s="2367"/>
      <c r="N1069" s="2367"/>
      <c r="O1069" s="2367"/>
      <c r="P1069" s="2367"/>
      <c r="Q1069" s="2367"/>
      <c r="R1069" s="2367"/>
    </row>
    <row r="1070" spans="1:18">
      <c r="A1070" s="2367"/>
      <c r="B1070" s="2367"/>
      <c r="C1070" s="2367"/>
      <c r="D1070" s="2367"/>
      <c r="E1070" s="2367"/>
      <c r="F1070" s="2367"/>
      <c r="G1070" s="2367"/>
      <c r="H1070" s="2367"/>
      <c r="I1070" s="2367"/>
      <c r="J1070" s="2367"/>
      <c r="K1070" s="2367"/>
      <c r="L1070" s="2367"/>
      <c r="M1070" s="2367"/>
      <c r="N1070" s="2367"/>
      <c r="O1070" s="2367"/>
      <c r="P1070" s="2367"/>
      <c r="Q1070" s="2367"/>
      <c r="R1070" s="2367"/>
    </row>
    <row r="1071" spans="1:18">
      <c r="A1071" s="2367"/>
      <c r="B1071" s="2367"/>
      <c r="C1071" s="2367"/>
      <c r="D1071" s="2367"/>
      <c r="E1071" s="2367"/>
      <c r="F1071" s="2367"/>
      <c r="G1071" s="2367"/>
      <c r="H1071" s="2367"/>
      <c r="I1071" s="2367"/>
      <c r="J1071" s="2367"/>
      <c r="K1071" s="2367"/>
      <c r="L1071" s="2367"/>
      <c r="M1071" s="2367"/>
      <c r="N1071" s="2367"/>
      <c r="O1071" s="2367"/>
      <c r="P1071" s="2367"/>
      <c r="Q1071" s="2367"/>
      <c r="R1071" s="2367"/>
    </row>
    <row r="1072" spans="1:18">
      <c r="A1072" s="2367"/>
      <c r="B1072" s="2367"/>
      <c r="C1072" s="2367"/>
      <c r="D1072" s="2367"/>
      <c r="E1072" s="2367"/>
      <c r="F1072" s="2367"/>
      <c r="G1072" s="2367"/>
      <c r="H1072" s="2367"/>
      <c r="I1072" s="2367"/>
      <c r="J1072" s="2367"/>
      <c r="K1072" s="2367"/>
      <c r="L1072" s="2367"/>
      <c r="M1072" s="2367"/>
      <c r="N1072" s="2367"/>
      <c r="O1072" s="2367"/>
      <c r="P1072" s="2367"/>
      <c r="Q1072" s="2367"/>
      <c r="R1072" s="2367"/>
    </row>
    <row r="1073" spans="1:18">
      <c r="A1073" s="2367"/>
      <c r="B1073" s="2367"/>
      <c r="C1073" s="2367"/>
      <c r="D1073" s="2367"/>
      <c r="E1073" s="2367"/>
      <c r="F1073" s="2367"/>
      <c r="G1073" s="2367"/>
      <c r="H1073" s="2367"/>
      <c r="I1073" s="2367"/>
      <c r="J1073" s="2367"/>
      <c r="K1073" s="2367"/>
      <c r="L1073" s="2367"/>
      <c r="M1073" s="2367"/>
      <c r="N1073" s="2367"/>
      <c r="O1073" s="2367"/>
      <c r="P1073" s="2367"/>
      <c r="Q1073" s="2367"/>
      <c r="R1073" s="2367"/>
    </row>
    <row r="1074" spans="1:18">
      <c r="A1074" s="2367"/>
      <c r="B1074" s="2367"/>
      <c r="C1074" s="2367"/>
      <c r="D1074" s="2367"/>
      <c r="E1074" s="2367"/>
      <c r="F1074" s="2367"/>
      <c r="G1074" s="2367"/>
      <c r="H1074" s="2367"/>
      <c r="I1074" s="2367"/>
      <c r="J1074" s="2367"/>
      <c r="K1074" s="2367"/>
      <c r="L1074" s="2367"/>
      <c r="M1074" s="2367"/>
      <c r="N1074" s="2367"/>
      <c r="O1074" s="2367"/>
      <c r="P1074" s="2367"/>
      <c r="Q1074" s="2367"/>
      <c r="R1074" s="2367"/>
    </row>
    <row r="1075" spans="1:18">
      <c r="A1075" s="2367"/>
      <c r="B1075" s="2367"/>
      <c r="C1075" s="2367"/>
      <c r="D1075" s="2367"/>
      <c r="E1075" s="2367"/>
      <c r="F1075" s="2367"/>
      <c r="G1075" s="2367"/>
      <c r="H1075" s="2367"/>
      <c r="I1075" s="2367"/>
      <c r="J1075" s="2367"/>
      <c r="K1075" s="2367"/>
      <c r="L1075" s="2367"/>
      <c r="M1075" s="2367"/>
      <c r="N1075" s="2367"/>
      <c r="O1075" s="2367"/>
      <c r="P1075" s="2367"/>
      <c r="Q1075" s="2367"/>
      <c r="R1075" s="2367"/>
    </row>
    <row r="1076" spans="1:18">
      <c r="A1076" s="2367"/>
      <c r="B1076" s="2367"/>
      <c r="C1076" s="2367"/>
      <c r="D1076" s="2367"/>
      <c r="E1076" s="2367"/>
      <c r="F1076" s="2367"/>
      <c r="G1076" s="2367"/>
      <c r="H1076" s="2367"/>
      <c r="I1076" s="2367"/>
      <c r="J1076" s="2367"/>
      <c r="K1076" s="2367"/>
      <c r="L1076" s="2367"/>
      <c r="M1076" s="2367"/>
      <c r="N1076" s="2367"/>
      <c r="O1076" s="2367"/>
      <c r="P1076" s="2367"/>
      <c r="Q1076" s="2367"/>
      <c r="R1076" s="2367"/>
    </row>
    <row r="1077" spans="1:18">
      <c r="A1077" s="2367"/>
      <c r="B1077" s="2367"/>
      <c r="C1077" s="2367"/>
      <c r="D1077" s="2367"/>
      <c r="E1077" s="2367"/>
      <c r="F1077" s="2367"/>
      <c r="G1077" s="2367"/>
      <c r="H1077" s="2367"/>
      <c r="I1077" s="2367"/>
      <c r="J1077" s="2367"/>
      <c r="K1077" s="2367"/>
      <c r="L1077" s="2367"/>
      <c r="M1077" s="2367"/>
      <c r="N1077" s="2367"/>
      <c r="O1077" s="2367"/>
      <c r="P1077" s="2367"/>
      <c r="Q1077" s="2367"/>
      <c r="R1077" s="2367"/>
    </row>
    <row r="1078" spans="1:18">
      <c r="A1078" s="2367"/>
      <c r="B1078" s="2367"/>
      <c r="C1078" s="2367"/>
      <c r="D1078" s="2367"/>
      <c r="E1078" s="2367"/>
      <c r="F1078" s="2367"/>
      <c r="G1078" s="2367"/>
      <c r="H1078" s="2367"/>
      <c r="I1078" s="2367"/>
      <c r="J1078" s="2367"/>
      <c r="K1078" s="2367"/>
      <c r="L1078" s="2367"/>
      <c r="M1078" s="2367"/>
      <c r="N1078" s="2367"/>
      <c r="O1078" s="2367"/>
      <c r="P1078" s="2367"/>
      <c r="Q1078" s="2367"/>
      <c r="R1078" s="2367"/>
    </row>
    <row r="1079" spans="1:18">
      <c r="A1079" s="2367"/>
      <c r="B1079" s="2367"/>
      <c r="C1079" s="2367"/>
      <c r="D1079" s="2367"/>
      <c r="E1079" s="2367"/>
      <c r="F1079" s="2367"/>
      <c r="G1079" s="2367"/>
      <c r="H1079" s="2367"/>
      <c r="I1079" s="2367"/>
      <c r="J1079" s="2367"/>
      <c r="K1079" s="2367"/>
      <c r="L1079" s="2367"/>
      <c r="M1079" s="2367"/>
      <c r="N1079" s="2367"/>
      <c r="O1079" s="2367"/>
      <c r="P1079" s="2367"/>
      <c r="Q1079" s="2367"/>
      <c r="R1079" s="2367"/>
    </row>
    <row r="1080" spans="1:18">
      <c r="A1080" s="2367"/>
      <c r="B1080" s="2367"/>
      <c r="C1080" s="2367"/>
      <c r="D1080" s="2367"/>
      <c r="E1080" s="2367"/>
      <c r="F1080" s="2367"/>
      <c r="G1080" s="2367"/>
      <c r="H1080" s="2367"/>
      <c r="I1080" s="2367"/>
      <c r="J1080" s="2367"/>
      <c r="K1080" s="2367"/>
      <c r="L1080" s="2367"/>
      <c r="M1080" s="2367"/>
      <c r="N1080" s="2367"/>
      <c r="O1080" s="2367"/>
      <c r="P1080" s="2367"/>
      <c r="Q1080" s="2367"/>
      <c r="R1080" s="2367"/>
    </row>
    <row r="1081" spans="1:18">
      <c r="A1081" s="2367"/>
      <c r="B1081" s="2367"/>
      <c r="C1081" s="2367"/>
      <c r="D1081" s="2367"/>
      <c r="E1081" s="2367"/>
      <c r="F1081" s="2367"/>
      <c r="G1081" s="2367"/>
      <c r="H1081" s="2367"/>
      <c r="I1081" s="2367"/>
      <c r="J1081" s="2367"/>
      <c r="K1081" s="2367"/>
      <c r="L1081" s="2367"/>
      <c r="M1081" s="2367"/>
      <c r="N1081" s="2367"/>
      <c r="O1081" s="2367"/>
      <c r="P1081" s="2367"/>
      <c r="Q1081" s="2367"/>
      <c r="R1081" s="2367"/>
    </row>
    <row r="1082" spans="1:18">
      <c r="A1082" s="2367"/>
      <c r="B1082" s="2367"/>
      <c r="C1082" s="2367"/>
      <c r="D1082" s="2367"/>
      <c r="E1082" s="2367"/>
      <c r="F1082" s="2367"/>
      <c r="G1082" s="2367"/>
      <c r="H1082" s="2367"/>
      <c r="I1082" s="2367"/>
      <c r="J1082" s="2367"/>
      <c r="K1082" s="2367"/>
      <c r="L1082" s="2367"/>
      <c r="M1082" s="2367"/>
      <c r="N1082" s="2367"/>
      <c r="O1082" s="2367"/>
      <c r="P1082" s="2367"/>
      <c r="Q1082" s="2367"/>
      <c r="R1082" s="2367"/>
    </row>
    <row r="1083" spans="1:18">
      <c r="A1083" s="2367"/>
      <c r="B1083" s="2367"/>
      <c r="C1083" s="2367"/>
      <c r="D1083" s="2367"/>
      <c r="E1083" s="2367"/>
      <c r="F1083" s="2367"/>
      <c r="G1083" s="2367"/>
      <c r="H1083" s="2367"/>
      <c r="I1083" s="2367"/>
      <c r="J1083" s="2367"/>
      <c r="K1083" s="2367"/>
      <c r="L1083" s="2367"/>
      <c r="M1083" s="2367"/>
      <c r="N1083" s="2367"/>
      <c r="O1083" s="2367"/>
      <c r="P1083" s="2367"/>
      <c r="Q1083" s="2367"/>
      <c r="R1083" s="2367"/>
    </row>
    <row r="1084" spans="1:18">
      <c r="A1084" s="2367"/>
      <c r="B1084" s="2367"/>
      <c r="C1084" s="2367"/>
      <c r="D1084" s="2367"/>
      <c r="E1084" s="2367"/>
      <c r="F1084" s="2367"/>
      <c r="G1084" s="2367"/>
      <c r="H1084" s="2367"/>
      <c r="I1084" s="2367"/>
      <c r="J1084" s="2367"/>
      <c r="K1084" s="2367"/>
      <c r="L1084" s="2367"/>
      <c r="M1084" s="2367"/>
      <c r="N1084" s="2367"/>
      <c r="O1084" s="2367"/>
      <c r="P1084" s="2367"/>
      <c r="Q1084" s="2367"/>
      <c r="R1084" s="2367"/>
    </row>
    <row r="1085" spans="1:18">
      <c r="A1085" s="2367"/>
      <c r="B1085" s="2367"/>
      <c r="C1085" s="2367"/>
      <c r="D1085" s="2367"/>
      <c r="E1085" s="2367"/>
      <c r="F1085" s="2367"/>
      <c r="G1085" s="2367"/>
      <c r="H1085" s="2367"/>
      <c r="I1085" s="2367"/>
      <c r="J1085" s="2367"/>
      <c r="K1085" s="2367"/>
      <c r="L1085" s="2367"/>
      <c r="M1085" s="2367"/>
      <c r="N1085" s="2367"/>
      <c r="O1085" s="2367"/>
      <c r="P1085" s="2367"/>
      <c r="Q1085" s="2367"/>
      <c r="R1085" s="2367"/>
    </row>
    <row r="1086" spans="1:18">
      <c r="A1086" s="2367"/>
      <c r="B1086" s="2367"/>
      <c r="C1086" s="2367"/>
      <c r="D1086" s="2367"/>
      <c r="E1086" s="2367"/>
      <c r="F1086" s="2367"/>
      <c r="G1086" s="2367"/>
      <c r="H1086" s="2367"/>
      <c r="I1086" s="2367"/>
      <c r="J1086" s="2367"/>
      <c r="K1086" s="2367"/>
      <c r="L1086" s="2367"/>
      <c r="M1086" s="2367"/>
      <c r="N1086" s="2367"/>
      <c r="O1086" s="2367"/>
      <c r="P1086" s="2367"/>
      <c r="Q1086" s="2367"/>
      <c r="R1086" s="2367"/>
    </row>
    <row r="1087" spans="1:18">
      <c r="A1087" s="2367"/>
      <c r="B1087" s="2367"/>
      <c r="C1087" s="2367"/>
      <c r="D1087" s="2367"/>
      <c r="E1087" s="2367"/>
      <c r="F1087" s="2367"/>
      <c r="G1087" s="2367"/>
      <c r="H1087" s="2367"/>
      <c r="I1087" s="2367"/>
      <c r="J1087" s="2367"/>
      <c r="K1087" s="2367"/>
      <c r="L1087" s="2367"/>
      <c r="M1087" s="2367"/>
      <c r="N1087" s="2367"/>
      <c r="O1087" s="2367"/>
      <c r="P1087" s="2367"/>
      <c r="Q1087" s="2367"/>
      <c r="R1087" s="2367"/>
    </row>
    <row r="1088" spans="1:18">
      <c r="A1088" s="2367"/>
      <c r="B1088" s="2367"/>
      <c r="C1088" s="2367"/>
      <c r="D1088" s="2367"/>
      <c r="E1088" s="2367"/>
      <c r="F1088" s="2367"/>
      <c r="G1088" s="2367"/>
      <c r="H1088" s="2367"/>
      <c r="I1088" s="2367"/>
      <c r="J1088" s="2367"/>
      <c r="K1088" s="2367"/>
      <c r="L1088" s="2367"/>
      <c r="M1088" s="2367"/>
      <c r="N1088" s="2367"/>
      <c r="O1088" s="2367"/>
      <c r="P1088" s="2367"/>
      <c r="Q1088" s="2367"/>
      <c r="R1088" s="2367"/>
    </row>
    <row r="1089" spans="1:18">
      <c r="A1089" s="2367"/>
      <c r="B1089" s="2367"/>
      <c r="C1089" s="2367"/>
      <c r="D1089" s="2367"/>
      <c r="E1089" s="2367"/>
      <c r="F1089" s="2367"/>
      <c r="G1089" s="2367"/>
      <c r="H1089" s="2367"/>
      <c r="I1089" s="2367"/>
      <c r="J1089" s="2367"/>
      <c r="K1089" s="2367"/>
      <c r="L1089" s="2367"/>
      <c r="M1089" s="2367"/>
      <c r="N1089" s="2367"/>
      <c r="O1089" s="2367"/>
      <c r="P1089" s="2367"/>
      <c r="Q1089" s="2367"/>
      <c r="R1089" s="2367"/>
    </row>
    <row r="1090" spans="1:18">
      <c r="A1090" s="2367"/>
      <c r="B1090" s="2367"/>
      <c r="C1090" s="2367"/>
      <c r="D1090" s="2367"/>
      <c r="E1090" s="2367"/>
      <c r="F1090" s="2367"/>
      <c r="G1090" s="2367"/>
      <c r="H1090" s="2367"/>
      <c r="I1090" s="2367"/>
      <c r="J1090" s="2367"/>
      <c r="K1090" s="2367"/>
      <c r="L1090" s="2367"/>
      <c r="M1090" s="2367"/>
      <c r="N1090" s="2367"/>
      <c r="O1090" s="2367"/>
      <c r="P1090" s="2367"/>
      <c r="Q1090" s="2367"/>
      <c r="R1090" s="2367"/>
    </row>
    <row r="1091" spans="1:18">
      <c r="A1091" s="2367"/>
      <c r="B1091" s="2367"/>
      <c r="C1091" s="2367"/>
      <c r="D1091" s="2367"/>
      <c r="E1091" s="2367"/>
      <c r="F1091" s="2367"/>
      <c r="G1091" s="2367"/>
      <c r="H1091" s="2367"/>
      <c r="I1091" s="2367"/>
      <c r="J1091" s="2367"/>
      <c r="K1091" s="2367"/>
      <c r="L1091" s="2367"/>
      <c r="M1091" s="2367"/>
      <c r="N1091" s="2367"/>
      <c r="O1091" s="2367"/>
      <c r="P1091" s="2367"/>
      <c r="Q1091" s="2367"/>
      <c r="R1091" s="2367"/>
    </row>
    <row r="1092" spans="1:18">
      <c r="A1092" s="2367"/>
      <c r="B1092" s="2367"/>
      <c r="C1092" s="2367"/>
      <c r="D1092" s="2367"/>
      <c r="E1092" s="2367"/>
      <c r="F1092" s="2367"/>
      <c r="G1092" s="2367"/>
      <c r="H1092" s="2367"/>
      <c r="I1092" s="2367"/>
      <c r="J1092" s="2367"/>
      <c r="K1092" s="2367"/>
      <c r="L1092" s="2367"/>
      <c r="M1092" s="2367"/>
      <c r="N1092" s="2367"/>
      <c r="O1092" s="2367"/>
      <c r="P1092" s="2367"/>
      <c r="Q1092" s="2367"/>
      <c r="R1092" s="2367"/>
    </row>
    <row r="1093" spans="1:18">
      <c r="A1093" s="2367"/>
      <c r="B1093" s="2367"/>
      <c r="C1093" s="2367"/>
      <c r="D1093" s="2367"/>
      <c r="E1093" s="2367"/>
      <c r="F1093" s="2367"/>
      <c r="G1093" s="2367"/>
      <c r="H1093" s="2367"/>
      <c r="I1093" s="2367"/>
      <c r="J1093" s="2367"/>
      <c r="K1093" s="2367"/>
      <c r="L1093" s="2367"/>
      <c r="M1093" s="2367"/>
      <c r="N1093" s="2367"/>
      <c r="O1093" s="2367"/>
      <c r="P1093" s="2367"/>
      <c r="Q1093" s="2367"/>
      <c r="R1093" s="2367"/>
    </row>
    <row r="1094" spans="1:18">
      <c r="A1094" s="2367"/>
      <c r="B1094" s="2367"/>
      <c r="C1094" s="2367"/>
      <c r="D1094" s="2367"/>
      <c r="E1094" s="2367"/>
      <c r="F1094" s="2367"/>
      <c r="G1094" s="2367"/>
      <c r="H1094" s="2367"/>
      <c r="I1094" s="2367"/>
      <c r="J1094" s="2367"/>
      <c r="K1094" s="2367"/>
      <c r="L1094" s="2367"/>
      <c r="M1094" s="2367"/>
      <c r="N1094" s="2367"/>
      <c r="O1094" s="2367"/>
      <c r="P1094" s="2367"/>
      <c r="Q1094" s="2367"/>
      <c r="R1094" s="2367"/>
    </row>
    <row r="1095" spans="1:18">
      <c r="A1095" s="2367"/>
      <c r="B1095" s="2367"/>
      <c r="C1095" s="2367"/>
      <c r="D1095" s="2367"/>
      <c r="E1095" s="2367"/>
      <c r="F1095" s="2367"/>
      <c r="G1095" s="2367"/>
      <c r="H1095" s="2367"/>
      <c r="I1095" s="2367"/>
      <c r="J1095" s="2367"/>
      <c r="K1095" s="2367"/>
      <c r="L1095" s="2367"/>
      <c r="M1095" s="2367"/>
      <c r="N1095" s="2367"/>
      <c r="O1095" s="2367"/>
      <c r="P1095" s="2367"/>
      <c r="Q1095" s="2367"/>
      <c r="R1095" s="2367"/>
    </row>
    <row r="1096" spans="1:18">
      <c r="A1096" s="2367"/>
      <c r="B1096" s="2367"/>
      <c r="C1096" s="2367"/>
      <c r="D1096" s="2367"/>
      <c r="E1096" s="2367"/>
      <c r="F1096" s="2367"/>
      <c r="G1096" s="2367"/>
      <c r="H1096" s="2367"/>
      <c r="I1096" s="2367"/>
      <c r="J1096" s="2367"/>
      <c r="K1096" s="2367"/>
      <c r="L1096" s="2367"/>
      <c r="M1096" s="2367"/>
      <c r="N1096" s="2367"/>
      <c r="O1096" s="2367"/>
      <c r="P1096" s="2367"/>
      <c r="Q1096" s="2367"/>
      <c r="R1096" s="2367"/>
    </row>
    <row r="1097" spans="1:18">
      <c r="A1097" s="2367"/>
      <c r="B1097" s="2367"/>
      <c r="C1097" s="2367"/>
      <c r="D1097" s="2367"/>
      <c r="E1097" s="2367"/>
      <c r="F1097" s="2367"/>
      <c r="G1097" s="2367"/>
      <c r="H1097" s="2367"/>
      <c r="I1097" s="2367"/>
      <c r="J1097" s="2367"/>
      <c r="K1097" s="2367"/>
      <c r="L1097" s="2367"/>
      <c r="M1097" s="2367"/>
      <c r="N1097" s="2367"/>
      <c r="O1097" s="2367"/>
      <c r="P1097" s="2367"/>
      <c r="Q1097" s="2367"/>
      <c r="R1097" s="2367"/>
    </row>
    <row r="1098" spans="1:18">
      <c r="A1098" s="2367"/>
      <c r="B1098" s="2367"/>
      <c r="C1098" s="2367"/>
      <c r="D1098" s="2367"/>
      <c r="E1098" s="2367"/>
      <c r="F1098" s="2367"/>
      <c r="G1098" s="2367"/>
      <c r="H1098" s="2367"/>
      <c r="I1098" s="2367"/>
      <c r="J1098" s="2367"/>
      <c r="K1098" s="2367"/>
      <c r="L1098" s="2367"/>
      <c r="M1098" s="2367"/>
      <c r="N1098" s="2367"/>
      <c r="O1098" s="2367"/>
      <c r="P1098" s="2367"/>
      <c r="Q1098" s="2367"/>
      <c r="R1098" s="2367"/>
    </row>
    <row r="1099" spans="1:18">
      <c r="A1099" s="2367"/>
      <c r="B1099" s="2367"/>
      <c r="C1099" s="2367"/>
      <c r="D1099" s="2367"/>
      <c r="E1099" s="2367"/>
      <c r="F1099" s="2367"/>
      <c r="G1099" s="2367"/>
      <c r="H1099" s="2367"/>
      <c r="I1099" s="2367"/>
      <c r="J1099" s="2367"/>
      <c r="K1099" s="2367"/>
      <c r="L1099" s="2367"/>
      <c r="M1099" s="2367"/>
      <c r="N1099" s="2367"/>
      <c r="O1099" s="2367"/>
      <c r="P1099" s="2367"/>
      <c r="Q1099" s="2367"/>
      <c r="R1099" s="2367"/>
    </row>
    <row r="1100" spans="1:18">
      <c r="A1100" s="2367"/>
      <c r="B1100" s="2367"/>
      <c r="C1100" s="2367"/>
      <c r="D1100" s="2367"/>
      <c r="E1100" s="2367"/>
      <c r="F1100" s="2367"/>
      <c r="G1100" s="2367"/>
      <c r="H1100" s="2367"/>
      <c r="I1100" s="2367"/>
      <c r="J1100" s="2367"/>
      <c r="K1100" s="2367"/>
      <c r="L1100" s="2367"/>
      <c r="M1100" s="2367"/>
      <c r="N1100" s="2367"/>
      <c r="O1100" s="2367"/>
      <c r="P1100" s="2367"/>
      <c r="Q1100" s="2367"/>
      <c r="R1100" s="2367"/>
    </row>
    <row r="1101" spans="1:18">
      <c r="A1101" s="2367"/>
      <c r="B1101" s="2367"/>
      <c r="C1101" s="2367"/>
      <c r="D1101" s="2367"/>
      <c r="E1101" s="2367"/>
      <c r="F1101" s="2367"/>
      <c r="G1101" s="2367"/>
      <c r="H1101" s="2367"/>
      <c r="I1101" s="2367"/>
      <c r="J1101" s="2367"/>
      <c r="K1101" s="2367"/>
      <c r="L1101" s="2367"/>
      <c r="M1101" s="2367"/>
      <c r="N1101" s="2367"/>
      <c r="O1101" s="2367"/>
      <c r="P1101" s="2367"/>
      <c r="Q1101" s="2367"/>
      <c r="R1101" s="2367"/>
    </row>
    <row r="1102" spans="1:18">
      <c r="A1102" s="2367"/>
      <c r="B1102" s="2367"/>
      <c r="C1102" s="2367"/>
      <c r="D1102" s="2367"/>
      <c r="E1102" s="2367"/>
      <c r="F1102" s="2367"/>
      <c r="G1102" s="2367"/>
      <c r="H1102" s="2367"/>
      <c r="I1102" s="2367"/>
      <c r="J1102" s="2367"/>
      <c r="K1102" s="2367"/>
      <c r="L1102" s="2367"/>
      <c r="M1102" s="2367"/>
      <c r="N1102" s="2367"/>
      <c r="O1102" s="2367"/>
      <c r="P1102" s="2367"/>
      <c r="Q1102" s="2367"/>
      <c r="R1102" s="2367"/>
    </row>
    <row r="1103" spans="1:18">
      <c r="A1103" s="2367"/>
      <c r="B1103" s="2367"/>
      <c r="C1103" s="2367"/>
      <c r="D1103" s="2367"/>
      <c r="E1103" s="2367"/>
      <c r="F1103" s="2367"/>
      <c r="G1103" s="2367"/>
      <c r="H1103" s="2367"/>
      <c r="I1103" s="2367"/>
      <c r="J1103" s="2367"/>
      <c r="K1103" s="2367"/>
      <c r="L1103" s="2367"/>
      <c r="M1103" s="2367"/>
      <c r="N1103" s="2367"/>
      <c r="O1103" s="2367"/>
      <c r="P1103" s="2367"/>
      <c r="Q1103" s="2367"/>
      <c r="R1103" s="2367"/>
    </row>
    <row r="1104" spans="1:18">
      <c r="A1104" s="2367"/>
      <c r="B1104" s="2367"/>
      <c r="C1104" s="2367"/>
      <c r="D1104" s="2367"/>
      <c r="E1104" s="2367"/>
      <c r="F1104" s="2367"/>
      <c r="G1104" s="2367"/>
      <c r="H1104" s="2367"/>
      <c r="I1104" s="2367"/>
      <c r="J1104" s="2367"/>
      <c r="K1104" s="2367"/>
      <c r="L1104" s="2367"/>
      <c r="M1104" s="2367"/>
      <c r="N1104" s="2367"/>
      <c r="O1104" s="2367"/>
      <c r="P1104" s="2367"/>
      <c r="Q1104" s="2367"/>
      <c r="R1104" s="2367"/>
    </row>
    <row r="1105" spans="1:18">
      <c r="A1105" s="2367"/>
      <c r="B1105" s="2367"/>
      <c r="C1105" s="2367"/>
      <c r="D1105" s="2367"/>
      <c r="E1105" s="2367"/>
      <c r="F1105" s="2367"/>
      <c r="G1105" s="2367"/>
      <c r="H1105" s="2367"/>
      <c r="I1105" s="2367"/>
      <c r="J1105" s="2367"/>
      <c r="K1105" s="2367"/>
      <c r="L1105" s="2367"/>
      <c r="M1105" s="2367"/>
      <c r="N1105" s="2367"/>
      <c r="O1105" s="2367"/>
      <c r="P1105" s="2367"/>
      <c r="Q1105" s="2367"/>
      <c r="R1105" s="2367"/>
    </row>
    <row r="1106" spans="1:18">
      <c r="A1106" s="2367"/>
      <c r="B1106" s="2367"/>
      <c r="C1106" s="2367"/>
      <c r="D1106" s="2367"/>
      <c r="E1106" s="2367"/>
      <c r="F1106" s="2367"/>
      <c r="G1106" s="2367"/>
      <c r="H1106" s="2367"/>
      <c r="I1106" s="2367"/>
      <c r="J1106" s="2367"/>
      <c r="K1106" s="2367"/>
      <c r="L1106" s="2367"/>
      <c r="M1106" s="2367"/>
      <c r="N1106" s="2367"/>
      <c r="O1106" s="2367"/>
      <c r="P1106" s="2367"/>
      <c r="Q1106" s="2367"/>
      <c r="R1106" s="2367"/>
    </row>
    <row r="1107" spans="1:18">
      <c r="A1107" s="2367"/>
      <c r="B1107" s="2367"/>
      <c r="C1107" s="2367"/>
      <c r="D1107" s="2367"/>
      <c r="E1107" s="2367"/>
      <c r="F1107" s="2367"/>
      <c r="G1107" s="2367"/>
      <c r="H1107" s="2367"/>
      <c r="I1107" s="2367"/>
      <c r="J1107" s="2367"/>
      <c r="K1107" s="2367"/>
      <c r="L1107" s="2367"/>
      <c r="M1107" s="2367"/>
      <c r="N1107" s="2367"/>
      <c r="O1107" s="2367"/>
      <c r="P1107" s="2367"/>
      <c r="Q1107" s="2367"/>
      <c r="R1107" s="2367"/>
    </row>
    <row r="1108" spans="1:18">
      <c r="A1108" s="2367"/>
      <c r="B1108" s="2367"/>
      <c r="C1108" s="2367"/>
      <c r="D1108" s="2367"/>
      <c r="E1108" s="2367"/>
      <c r="F1108" s="2367"/>
      <c r="G1108" s="2367"/>
      <c r="H1108" s="2367"/>
      <c r="I1108" s="2367"/>
      <c r="J1108" s="2367"/>
      <c r="K1108" s="2367"/>
      <c r="L1108" s="2367"/>
      <c r="M1108" s="2367"/>
      <c r="N1108" s="2367"/>
      <c r="O1108" s="2367"/>
      <c r="P1108" s="2367"/>
      <c r="Q1108" s="2367"/>
      <c r="R1108" s="2367"/>
    </row>
    <row r="1109" spans="1:18">
      <c r="A1109" s="2367"/>
      <c r="B1109" s="2367"/>
      <c r="C1109" s="2367"/>
      <c r="D1109" s="2367"/>
      <c r="E1109" s="2367"/>
      <c r="F1109" s="2367"/>
      <c r="G1109" s="2367"/>
      <c r="H1109" s="2367"/>
      <c r="I1109" s="2367"/>
      <c r="J1109" s="2367"/>
      <c r="K1109" s="2367"/>
      <c r="L1109" s="2367"/>
      <c r="M1109" s="2367"/>
      <c r="N1109" s="2367"/>
      <c r="O1109" s="2367"/>
      <c r="P1109" s="2367"/>
      <c r="Q1109" s="2367"/>
      <c r="R1109" s="2367"/>
    </row>
    <row r="1110" spans="1:18">
      <c r="A1110" s="2367"/>
      <c r="B1110" s="2367"/>
      <c r="C1110" s="2367"/>
      <c r="D1110" s="2367"/>
      <c r="E1110" s="2367"/>
      <c r="F1110" s="2367"/>
      <c r="G1110" s="2367"/>
      <c r="H1110" s="2367"/>
      <c r="I1110" s="2367"/>
      <c r="J1110" s="2367"/>
      <c r="K1110" s="2367"/>
      <c r="L1110" s="2367"/>
      <c r="M1110" s="2367"/>
      <c r="N1110" s="2367"/>
      <c r="O1110" s="2367"/>
      <c r="P1110" s="2367"/>
      <c r="Q1110" s="2367"/>
      <c r="R1110" s="2367"/>
    </row>
    <row r="1111" spans="1:18">
      <c r="A1111" s="2367"/>
      <c r="B1111" s="2367"/>
      <c r="C1111" s="2367"/>
      <c r="D1111" s="2367"/>
      <c r="E1111" s="2367"/>
      <c r="F1111" s="2367"/>
      <c r="G1111" s="2367"/>
      <c r="H1111" s="2367"/>
      <c r="I1111" s="2367"/>
      <c r="J1111" s="2367"/>
      <c r="K1111" s="2367"/>
      <c r="L1111" s="2367"/>
      <c r="M1111" s="2367"/>
      <c r="N1111" s="2367"/>
      <c r="O1111" s="2367"/>
      <c r="P1111" s="2367"/>
      <c r="Q1111" s="2367"/>
      <c r="R1111" s="2367"/>
    </row>
    <row r="1112" spans="1:18">
      <c r="A1112" s="2367"/>
      <c r="B1112" s="2367"/>
      <c r="C1112" s="2367"/>
      <c r="D1112" s="2367"/>
      <c r="E1112" s="2367"/>
      <c r="F1112" s="2367"/>
      <c r="G1112" s="2367"/>
      <c r="H1112" s="2367"/>
      <c r="I1112" s="2367"/>
      <c r="J1112" s="2367"/>
      <c r="K1112" s="2367"/>
      <c r="L1112" s="2367"/>
      <c r="M1112" s="2367"/>
      <c r="N1112" s="2367"/>
      <c r="O1112" s="2367"/>
      <c r="P1112" s="2367"/>
      <c r="Q1112" s="2367"/>
      <c r="R1112" s="2367"/>
    </row>
    <row r="1113" spans="1:18">
      <c r="A1113" s="2367"/>
      <c r="B1113" s="2367"/>
      <c r="C1113" s="2367"/>
      <c r="D1113" s="2367"/>
      <c r="E1113" s="2367"/>
      <c r="F1113" s="2367"/>
      <c r="G1113" s="2367"/>
      <c r="H1113" s="2367"/>
      <c r="I1113" s="2367"/>
      <c r="J1113" s="2367"/>
      <c r="K1113" s="2367"/>
      <c r="L1113" s="2367"/>
      <c r="M1113" s="2367"/>
      <c r="N1113" s="2367"/>
      <c r="O1113" s="2367"/>
      <c r="P1113" s="2367"/>
      <c r="Q1113" s="2367"/>
      <c r="R1113" s="2367"/>
    </row>
    <row r="1114" spans="1:18">
      <c r="A1114" s="2367"/>
      <c r="B1114" s="2367"/>
      <c r="C1114" s="2367"/>
      <c r="D1114" s="2367"/>
      <c r="E1114" s="2367"/>
      <c r="F1114" s="2367"/>
      <c r="G1114" s="2367"/>
      <c r="H1114" s="2367"/>
      <c r="I1114" s="2367"/>
      <c r="J1114" s="2367"/>
      <c r="K1114" s="2367"/>
      <c r="L1114" s="2367"/>
      <c r="M1114" s="2367"/>
      <c r="N1114" s="2367"/>
      <c r="O1114" s="2367"/>
      <c r="P1114" s="2367"/>
      <c r="Q1114" s="2367"/>
      <c r="R1114" s="2367"/>
    </row>
    <row r="1115" spans="1:18">
      <c r="A1115" s="2367"/>
      <c r="B1115" s="2367"/>
      <c r="C1115" s="2367"/>
      <c r="D1115" s="2367"/>
      <c r="E1115" s="2367"/>
      <c r="F1115" s="2367"/>
      <c r="G1115" s="2367"/>
      <c r="H1115" s="2367"/>
      <c r="I1115" s="2367"/>
      <c r="J1115" s="2367"/>
      <c r="K1115" s="2367"/>
      <c r="L1115" s="2367"/>
      <c r="M1115" s="2367"/>
      <c r="N1115" s="2367"/>
      <c r="O1115" s="2367"/>
      <c r="P1115" s="2367"/>
      <c r="Q1115" s="2367"/>
      <c r="R1115" s="2367"/>
    </row>
    <row r="1116" spans="1:18">
      <c r="A1116" s="2367"/>
      <c r="B1116" s="2367"/>
      <c r="C1116" s="2367"/>
      <c r="D1116" s="2367"/>
      <c r="E1116" s="2367"/>
      <c r="F1116" s="2367"/>
      <c r="G1116" s="2367"/>
      <c r="H1116" s="2367"/>
      <c r="I1116" s="2367"/>
      <c r="J1116" s="2367"/>
      <c r="K1116" s="2367"/>
      <c r="L1116" s="2367"/>
      <c r="M1116" s="2367"/>
      <c r="N1116" s="2367"/>
      <c r="O1116" s="2367"/>
      <c r="P1116" s="2367"/>
      <c r="Q1116" s="2367"/>
      <c r="R1116" s="2367"/>
    </row>
    <row r="1117" spans="1:18">
      <c r="A1117" s="2367"/>
      <c r="B1117" s="2367"/>
      <c r="C1117" s="2367"/>
      <c r="D1117" s="2367"/>
      <c r="E1117" s="2367"/>
      <c r="F1117" s="2367"/>
      <c r="G1117" s="2367"/>
      <c r="H1117" s="2367"/>
      <c r="I1117" s="2367"/>
      <c r="J1117" s="2367"/>
      <c r="K1117" s="2367"/>
      <c r="L1117" s="2367"/>
      <c r="M1117" s="2367"/>
      <c r="N1117" s="2367"/>
      <c r="O1117" s="2367"/>
      <c r="P1117" s="2367"/>
      <c r="Q1117" s="2367"/>
      <c r="R1117" s="2367"/>
    </row>
    <row r="1118" spans="1:18">
      <c r="A1118" s="2367"/>
      <c r="B1118" s="2367"/>
      <c r="C1118" s="2367"/>
      <c r="D1118" s="2367"/>
      <c r="E1118" s="2367"/>
      <c r="F1118" s="2367"/>
      <c r="G1118" s="2367"/>
      <c r="H1118" s="2367"/>
      <c r="I1118" s="2367"/>
      <c r="J1118" s="2367"/>
      <c r="K1118" s="2367"/>
      <c r="L1118" s="2367"/>
      <c r="M1118" s="2367"/>
      <c r="N1118" s="2367"/>
      <c r="O1118" s="2367"/>
      <c r="P1118" s="2367"/>
      <c r="Q1118" s="2367"/>
      <c r="R1118" s="2367"/>
    </row>
    <row r="1119" spans="1:18">
      <c r="A1119" s="2367"/>
      <c r="B1119" s="2367"/>
      <c r="C1119" s="2367"/>
      <c r="D1119" s="2367"/>
      <c r="E1119" s="2367"/>
      <c r="F1119" s="2367"/>
      <c r="G1119" s="2367"/>
      <c r="H1119" s="2367"/>
      <c r="I1119" s="2367"/>
      <c r="J1119" s="2367"/>
      <c r="K1119" s="2367"/>
      <c r="L1119" s="2367"/>
      <c r="M1119" s="2367"/>
      <c r="N1119" s="2367"/>
      <c r="O1119" s="2367"/>
      <c r="P1119" s="2367"/>
      <c r="Q1119" s="2367"/>
      <c r="R1119" s="2367"/>
    </row>
    <row r="1120" spans="1:18">
      <c r="A1120" s="2367"/>
      <c r="B1120" s="2367"/>
      <c r="C1120" s="2367"/>
      <c r="D1120" s="2367"/>
      <c r="E1120" s="2367"/>
      <c r="F1120" s="2367"/>
      <c r="G1120" s="2367"/>
      <c r="H1120" s="2367"/>
      <c r="I1120" s="2367"/>
      <c r="J1120" s="2367"/>
      <c r="K1120" s="2367"/>
      <c r="L1120" s="2367"/>
      <c r="M1120" s="2367"/>
      <c r="N1120" s="2367"/>
      <c r="O1120" s="2367"/>
      <c r="P1120" s="2367"/>
      <c r="Q1120" s="2367"/>
      <c r="R1120" s="2367"/>
    </row>
    <row r="1121" spans="1:18">
      <c r="A1121" s="2367"/>
      <c r="B1121" s="2367"/>
      <c r="C1121" s="2367"/>
      <c r="D1121" s="2367"/>
      <c r="E1121" s="2367"/>
      <c r="F1121" s="2367"/>
      <c r="G1121" s="2367"/>
      <c r="H1121" s="2367"/>
      <c r="I1121" s="2367"/>
      <c r="J1121" s="2367"/>
      <c r="K1121" s="2367"/>
      <c r="L1121" s="2367"/>
      <c r="M1121" s="2367"/>
      <c r="N1121" s="2367"/>
      <c r="O1121" s="2367"/>
      <c r="P1121" s="2367"/>
      <c r="Q1121" s="2367"/>
      <c r="R1121" s="2367"/>
    </row>
    <row r="1122" spans="1:18">
      <c r="A1122" s="2367"/>
      <c r="B1122" s="2367"/>
      <c r="C1122" s="2367"/>
      <c r="D1122" s="2367"/>
      <c r="E1122" s="2367"/>
      <c r="F1122" s="2367"/>
      <c r="G1122" s="2367"/>
      <c r="H1122" s="2367"/>
      <c r="I1122" s="2367"/>
      <c r="J1122" s="2367"/>
      <c r="K1122" s="2367"/>
      <c r="L1122" s="2367"/>
      <c r="M1122" s="2367"/>
      <c r="N1122" s="2367"/>
      <c r="O1122" s="2367"/>
      <c r="P1122" s="2367"/>
      <c r="Q1122" s="2367"/>
      <c r="R1122" s="2367"/>
    </row>
    <row r="1123" spans="1:18">
      <c r="A1123" s="2367"/>
      <c r="B1123" s="2367"/>
      <c r="C1123" s="2367"/>
      <c r="D1123" s="2367"/>
      <c r="E1123" s="2367"/>
      <c r="F1123" s="2367"/>
      <c r="G1123" s="2367"/>
      <c r="H1123" s="2367"/>
      <c r="I1123" s="2367"/>
      <c r="J1123" s="2367"/>
      <c r="K1123" s="2367"/>
      <c r="L1123" s="2367"/>
      <c r="M1123" s="2367"/>
      <c r="N1123" s="2367"/>
      <c r="O1123" s="2367"/>
      <c r="P1123" s="2367"/>
      <c r="Q1123" s="2367"/>
      <c r="R1123" s="2367"/>
    </row>
    <row r="1124" spans="1:18">
      <c r="A1124" s="2367"/>
      <c r="B1124" s="2367"/>
      <c r="C1124" s="2367"/>
      <c r="D1124" s="2367"/>
      <c r="E1124" s="2367"/>
      <c r="F1124" s="2367"/>
      <c r="G1124" s="2367"/>
      <c r="H1124" s="2367"/>
      <c r="I1124" s="2367"/>
      <c r="J1124" s="2367"/>
      <c r="K1124" s="2367"/>
      <c r="L1124" s="2367"/>
      <c r="M1124" s="2367"/>
      <c r="N1124" s="2367"/>
      <c r="O1124" s="2367"/>
      <c r="P1124" s="2367"/>
      <c r="Q1124" s="2367"/>
      <c r="R1124" s="2367"/>
    </row>
    <row r="1125" spans="1:18">
      <c r="A1125" s="2367"/>
      <c r="B1125" s="2367"/>
      <c r="C1125" s="2367"/>
      <c r="D1125" s="2367"/>
      <c r="E1125" s="2367"/>
      <c r="F1125" s="2367"/>
      <c r="G1125" s="2367"/>
      <c r="H1125" s="2367"/>
      <c r="I1125" s="2367"/>
      <c r="J1125" s="2367"/>
      <c r="K1125" s="2367"/>
      <c r="L1125" s="2367"/>
      <c r="M1125" s="2367"/>
      <c r="N1125" s="2367"/>
      <c r="O1125" s="2367"/>
      <c r="P1125" s="2367"/>
      <c r="Q1125" s="2367"/>
      <c r="R1125" s="2367"/>
    </row>
    <row r="1126" spans="1:18">
      <c r="A1126" s="2367"/>
      <c r="B1126" s="2367"/>
      <c r="C1126" s="2367"/>
      <c r="D1126" s="2367"/>
      <c r="E1126" s="2367"/>
      <c r="F1126" s="2367"/>
      <c r="G1126" s="2367"/>
      <c r="H1126" s="2367"/>
      <c r="I1126" s="2367"/>
      <c r="J1126" s="2367"/>
      <c r="K1126" s="2367"/>
      <c r="L1126" s="2367"/>
      <c r="M1126" s="2367"/>
      <c r="N1126" s="2367"/>
      <c r="O1126" s="2367"/>
      <c r="P1126" s="2367"/>
      <c r="Q1126" s="2367"/>
      <c r="R1126" s="2367"/>
    </row>
    <row r="1127" spans="1:18">
      <c r="A1127" s="2367"/>
      <c r="B1127" s="2367"/>
      <c r="C1127" s="2367"/>
      <c r="D1127" s="2367"/>
      <c r="E1127" s="2367"/>
      <c r="F1127" s="2367"/>
      <c r="G1127" s="2367"/>
      <c r="H1127" s="2367"/>
      <c r="I1127" s="2367"/>
      <c r="J1127" s="2367"/>
      <c r="K1127" s="2367"/>
      <c r="L1127" s="2367"/>
      <c r="M1127" s="2367"/>
      <c r="N1127" s="2367"/>
      <c r="O1127" s="2367"/>
      <c r="P1127" s="2367"/>
      <c r="Q1127" s="2367"/>
      <c r="R1127" s="2367"/>
    </row>
    <row r="1128" spans="1:18">
      <c r="A1128" s="2367"/>
      <c r="B1128" s="2367"/>
      <c r="C1128" s="2367"/>
      <c r="D1128" s="2367"/>
      <c r="E1128" s="2367"/>
      <c r="F1128" s="2367"/>
      <c r="G1128" s="2367"/>
      <c r="H1128" s="2367"/>
      <c r="I1128" s="2367"/>
      <c r="J1128" s="2367"/>
      <c r="K1128" s="2367"/>
      <c r="L1128" s="2367"/>
      <c r="M1128" s="2367"/>
      <c r="N1128" s="2367"/>
      <c r="O1128" s="2367"/>
      <c r="P1128" s="2367"/>
      <c r="Q1128" s="2367"/>
      <c r="R1128" s="2367"/>
    </row>
    <row r="1129" spans="1:18">
      <c r="A1129" s="2367"/>
      <c r="B1129" s="2367"/>
      <c r="C1129" s="2367"/>
      <c r="D1129" s="2367"/>
      <c r="E1129" s="2367"/>
      <c r="F1129" s="2367"/>
      <c r="G1129" s="2367"/>
      <c r="H1129" s="2367"/>
      <c r="I1129" s="2367"/>
      <c r="J1129" s="2367"/>
      <c r="K1129" s="2367"/>
      <c r="L1129" s="2367"/>
      <c r="M1129" s="2367"/>
      <c r="N1129" s="2367"/>
      <c r="O1129" s="2367"/>
      <c r="P1129" s="2367"/>
      <c r="Q1129" s="2367"/>
      <c r="R1129" s="2367"/>
    </row>
    <row r="1130" spans="1:18">
      <c r="A1130" s="2367"/>
      <c r="B1130" s="2367"/>
      <c r="C1130" s="2367"/>
      <c r="D1130" s="2367"/>
      <c r="E1130" s="2367"/>
      <c r="F1130" s="2367"/>
      <c r="G1130" s="2367"/>
      <c r="H1130" s="2367"/>
      <c r="I1130" s="2367"/>
      <c r="J1130" s="2367"/>
      <c r="K1130" s="2367"/>
      <c r="L1130" s="2367"/>
      <c r="M1130" s="2367"/>
      <c r="N1130" s="2367"/>
      <c r="O1130" s="2367"/>
      <c r="P1130" s="2367"/>
      <c r="Q1130" s="2367"/>
      <c r="R1130" s="2367"/>
    </row>
    <row r="1131" spans="1:18">
      <c r="A1131" s="2367"/>
      <c r="B1131" s="2367"/>
      <c r="C1131" s="2367"/>
      <c r="D1131" s="2367"/>
      <c r="E1131" s="2367"/>
      <c r="F1131" s="2367"/>
      <c r="G1131" s="2367"/>
      <c r="H1131" s="2367"/>
      <c r="I1131" s="2367"/>
      <c r="J1131" s="2367"/>
      <c r="K1131" s="2367"/>
      <c r="L1131" s="2367"/>
      <c r="M1131" s="2367"/>
      <c r="N1131" s="2367"/>
      <c r="O1131" s="2367"/>
      <c r="P1131" s="2367"/>
      <c r="Q1131" s="2367"/>
      <c r="R1131" s="2367"/>
    </row>
    <row r="1132" spans="1:18">
      <c r="A1132" s="2367"/>
      <c r="B1132" s="2367"/>
      <c r="C1132" s="2367"/>
      <c r="D1132" s="2367"/>
      <c r="E1132" s="2367"/>
      <c r="F1132" s="2367"/>
      <c r="G1132" s="2367"/>
      <c r="H1132" s="2367"/>
      <c r="I1132" s="2367"/>
      <c r="J1132" s="2367"/>
      <c r="K1132" s="2367"/>
      <c r="L1132" s="2367"/>
      <c r="M1132" s="2367"/>
      <c r="N1132" s="2367"/>
      <c r="O1132" s="2367"/>
      <c r="P1132" s="2367"/>
      <c r="Q1132" s="2367"/>
      <c r="R1132" s="2367"/>
    </row>
    <row r="1133" spans="1:18">
      <c r="A1133" s="2367"/>
      <c r="B1133" s="2367"/>
      <c r="C1133" s="2367"/>
      <c r="D1133" s="2367"/>
      <c r="E1133" s="2367"/>
      <c r="F1133" s="2367"/>
      <c r="G1133" s="2367"/>
      <c r="H1133" s="2367"/>
      <c r="I1133" s="2367"/>
      <c r="J1133" s="2367"/>
      <c r="K1133" s="2367"/>
      <c r="L1133" s="2367"/>
      <c r="M1133" s="2367"/>
      <c r="N1133" s="2367"/>
      <c r="O1133" s="2367"/>
      <c r="P1133" s="2367"/>
      <c r="Q1133" s="2367"/>
      <c r="R1133" s="2367"/>
    </row>
    <row r="1134" spans="1:18">
      <c r="A1134" s="2367"/>
      <c r="B1134" s="2367"/>
      <c r="C1134" s="2367"/>
      <c r="D1134" s="2367"/>
      <c r="E1134" s="2367"/>
      <c r="F1134" s="2367"/>
      <c r="G1134" s="2367"/>
      <c r="H1134" s="2367"/>
      <c r="I1134" s="2367"/>
      <c r="J1134" s="2367"/>
      <c r="K1134" s="2367"/>
      <c r="L1134" s="2367"/>
      <c r="M1134" s="2367"/>
      <c r="N1134" s="2367"/>
      <c r="O1134" s="2367"/>
      <c r="P1134" s="2367"/>
      <c r="Q1134" s="2367"/>
      <c r="R1134" s="2367"/>
    </row>
    <row r="1135" spans="1:18">
      <c r="A1135" s="2367"/>
      <c r="B1135" s="2367"/>
      <c r="C1135" s="2367"/>
      <c r="D1135" s="2367"/>
      <c r="E1135" s="2367"/>
      <c r="F1135" s="2367"/>
      <c r="G1135" s="2367"/>
      <c r="H1135" s="2367"/>
      <c r="I1135" s="2367"/>
      <c r="J1135" s="2367"/>
      <c r="K1135" s="2367"/>
      <c r="L1135" s="2367"/>
      <c r="M1135" s="2367"/>
      <c r="N1135" s="2367"/>
      <c r="O1135" s="2367"/>
      <c r="P1135" s="2367"/>
      <c r="Q1135" s="2367"/>
      <c r="R1135" s="2367"/>
    </row>
    <row r="1136" spans="1:18">
      <c r="A1136" s="2367"/>
      <c r="B1136" s="2367"/>
      <c r="C1136" s="2367"/>
      <c r="D1136" s="2367"/>
      <c r="E1136" s="2367"/>
      <c r="F1136" s="2367"/>
      <c r="G1136" s="2367"/>
      <c r="H1136" s="2367"/>
      <c r="I1136" s="2367"/>
      <c r="J1136" s="2367"/>
      <c r="K1136" s="2367"/>
      <c r="L1136" s="2367"/>
      <c r="M1136" s="2367"/>
      <c r="N1136" s="2367"/>
      <c r="O1136" s="2367"/>
      <c r="P1136" s="2367"/>
      <c r="Q1136" s="2367"/>
      <c r="R1136" s="2367"/>
    </row>
    <row r="1137" spans="1:18">
      <c r="A1137" s="2367"/>
      <c r="B1137" s="2367"/>
      <c r="C1137" s="2367"/>
      <c r="D1137" s="2367"/>
      <c r="E1137" s="2367"/>
      <c r="F1137" s="2367"/>
      <c r="G1137" s="2367"/>
      <c r="H1137" s="2367"/>
      <c r="I1137" s="2367"/>
      <c r="J1137" s="2367"/>
      <c r="K1137" s="2367"/>
      <c r="L1137" s="2367"/>
      <c r="M1137" s="2367"/>
      <c r="N1137" s="2367"/>
      <c r="O1137" s="2367"/>
      <c r="P1137" s="2367"/>
      <c r="Q1137" s="2367"/>
      <c r="R1137" s="2367"/>
    </row>
    <row r="1138" spans="1:18">
      <c r="A1138" s="2367"/>
      <c r="B1138" s="2367"/>
      <c r="C1138" s="2367"/>
      <c r="D1138" s="2367"/>
      <c r="E1138" s="2367"/>
      <c r="F1138" s="2367"/>
      <c r="G1138" s="2367"/>
      <c r="H1138" s="2367"/>
      <c r="I1138" s="2367"/>
      <c r="J1138" s="2367"/>
      <c r="K1138" s="2367"/>
      <c r="L1138" s="2367"/>
      <c r="M1138" s="2367"/>
      <c r="N1138" s="2367"/>
      <c r="O1138" s="2367"/>
      <c r="P1138" s="2367"/>
      <c r="Q1138" s="2367"/>
      <c r="R1138" s="2367"/>
    </row>
    <row r="1139" spans="1:18">
      <c r="A1139" s="2367"/>
      <c r="B1139" s="2367"/>
      <c r="C1139" s="2367"/>
      <c r="D1139" s="2367"/>
      <c r="E1139" s="2367"/>
      <c r="F1139" s="2367"/>
      <c r="G1139" s="2367"/>
      <c r="H1139" s="2367"/>
      <c r="I1139" s="2367"/>
      <c r="J1139" s="2367"/>
      <c r="K1139" s="2367"/>
      <c r="L1139" s="2367"/>
      <c r="M1139" s="2367"/>
      <c r="N1139" s="2367"/>
      <c r="O1139" s="2367"/>
      <c r="P1139" s="2367"/>
      <c r="Q1139" s="2367"/>
      <c r="R1139" s="2367"/>
    </row>
    <row r="1140" spans="1:18">
      <c r="A1140" s="2367"/>
      <c r="B1140" s="2367"/>
      <c r="C1140" s="2367"/>
      <c r="D1140" s="2367"/>
      <c r="E1140" s="2367"/>
      <c r="F1140" s="2367"/>
      <c r="G1140" s="2367"/>
      <c r="H1140" s="2367"/>
      <c r="I1140" s="2367"/>
      <c r="J1140" s="2367"/>
      <c r="K1140" s="2367"/>
      <c r="L1140" s="2367"/>
      <c r="M1140" s="2367"/>
      <c r="N1140" s="2367"/>
      <c r="O1140" s="2367"/>
      <c r="P1140" s="2367"/>
      <c r="Q1140" s="2367"/>
      <c r="R1140" s="2367"/>
    </row>
    <row r="1141" spans="1:18">
      <c r="A1141" s="2367"/>
      <c r="B1141" s="2367"/>
      <c r="C1141" s="2367"/>
      <c r="D1141" s="2367"/>
      <c r="E1141" s="2367"/>
      <c r="F1141" s="2367"/>
      <c r="G1141" s="2367"/>
      <c r="H1141" s="2367"/>
      <c r="I1141" s="2367"/>
      <c r="J1141" s="2367"/>
      <c r="K1141" s="2367"/>
      <c r="L1141" s="2367"/>
      <c r="M1141" s="2367"/>
      <c r="N1141" s="2367"/>
      <c r="O1141" s="2367"/>
      <c r="P1141" s="2367"/>
      <c r="Q1141" s="2367"/>
      <c r="R1141" s="2367"/>
    </row>
    <row r="1142" spans="1:18">
      <c r="A1142" s="2367"/>
      <c r="B1142" s="2367"/>
      <c r="C1142" s="2367"/>
      <c r="D1142" s="2367"/>
      <c r="E1142" s="2367"/>
      <c r="F1142" s="2367"/>
      <c r="G1142" s="2367"/>
      <c r="H1142" s="2367"/>
      <c r="I1142" s="2367"/>
      <c r="J1142" s="2367"/>
      <c r="K1142" s="2367"/>
      <c r="L1142" s="2367"/>
      <c r="M1142" s="2367"/>
      <c r="N1142" s="2367"/>
      <c r="O1142" s="2367"/>
      <c r="P1142" s="2367"/>
      <c r="Q1142" s="2367"/>
      <c r="R1142" s="2367"/>
    </row>
    <row r="1143" spans="1:18">
      <c r="A1143" s="2367"/>
      <c r="B1143" s="2367"/>
      <c r="C1143" s="2367"/>
      <c r="D1143" s="2367"/>
      <c r="E1143" s="2367"/>
      <c r="F1143" s="2367"/>
      <c r="G1143" s="2367"/>
      <c r="H1143" s="2367"/>
      <c r="I1143" s="2367"/>
      <c r="J1143" s="2367"/>
      <c r="K1143" s="2367"/>
      <c r="L1143" s="2367"/>
      <c r="M1143" s="2367"/>
      <c r="N1143" s="2367"/>
      <c r="O1143" s="2367"/>
      <c r="P1143" s="2367"/>
      <c r="Q1143" s="2367"/>
      <c r="R1143" s="2367"/>
    </row>
    <row r="1144" spans="1:18">
      <c r="A1144" s="2367"/>
      <c r="B1144" s="2367"/>
      <c r="C1144" s="2367"/>
      <c r="D1144" s="2367"/>
      <c r="E1144" s="2367"/>
      <c r="F1144" s="2367"/>
      <c r="G1144" s="2367"/>
      <c r="H1144" s="2367"/>
      <c r="I1144" s="2367"/>
      <c r="J1144" s="2367"/>
      <c r="K1144" s="2367"/>
      <c r="L1144" s="2367"/>
      <c r="M1144" s="2367"/>
      <c r="N1144" s="2367"/>
      <c r="O1144" s="2367"/>
      <c r="P1144" s="2367"/>
      <c r="Q1144" s="2367"/>
      <c r="R1144" s="2367"/>
    </row>
    <row r="1145" spans="1:18">
      <c r="A1145" s="2367"/>
      <c r="B1145" s="2367"/>
      <c r="C1145" s="2367"/>
      <c r="D1145" s="2367"/>
      <c r="E1145" s="2367"/>
      <c r="F1145" s="2367"/>
      <c r="G1145" s="2367"/>
      <c r="H1145" s="2367"/>
      <c r="I1145" s="2367"/>
      <c r="J1145" s="2367"/>
      <c r="K1145" s="2367"/>
      <c r="L1145" s="2367"/>
      <c r="M1145" s="2367"/>
      <c r="N1145" s="2367"/>
      <c r="O1145" s="2367"/>
      <c r="P1145" s="2367"/>
      <c r="Q1145" s="2367"/>
      <c r="R1145" s="2367"/>
    </row>
    <row r="1146" spans="1:18">
      <c r="A1146" s="2367"/>
      <c r="B1146" s="2367"/>
      <c r="C1146" s="2367"/>
      <c r="D1146" s="2367"/>
      <c r="E1146" s="2367"/>
      <c r="F1146" s="2367"/>
      <c r="G1146" s="2367"/>
      <c r="H1146" s="2367"/>
      <c r="I1146" s="2367"/>
      <c r="J1146" s="2367"/>
      <c r="K1146" s="2367"/>
      <c r="L1146" s="2367"/>
      <c r="M1146" s="2367"/>
      <c r="N1146" s="2367"/>
      <c r="O1146" s="2367"/>
      <c r="P1146" s="2367"/>
      <c r="Q1146" s="2367"/>
      <c r="R1146" s="2367"/>
    </row>
    <row r="1147" spans="1:18">
      <c r="A1147" s="2367"/>
      <c r="B1147" s="2367"/>
      <c r="C1147" s="2367"/>
      <c r="D1147" s="2367"/>
      <c r="E1147" s="2367"/>
      <c r="F1147" s="2367"/>
      <c r="G1147" s="2367"/>
      <c r="H1147" s="2367"/>
      <c r="I1147" s="2367"/>
      <c r="J1147" s="2367"/>
      <c r="K1147" s="2367"/>
      <c r="L1147" s="2367"/>
      <c r="M1147" s="2367"/>
      <c r="N1147" s="2367"/>
      <c r="O1147" s="2367"/>
      <c r="P1147" s="2367"/>
      <c r="Q1147" s="2367"/>
      <c r="R1147" s="2367"/>
    </row>
    <row r="1148" spans="1:18">
      <c r="A1148" s="2367"/>
      <c r="B1148" s="2367"/>
      <c r="C1148" s="2367"/>
      <c r="D1148" s="2367"/>
      <c r="E1148" s="2367"/>
      <c r="F1148" s="2367"/>
      <c r="G1148" s="2367"/>
      <c r="H1148" s="2367"/>
      <c r="I1148" s="2367"/>
      <c r="J1148" s="2367"/>
      <c r="K1148" s="2367"/>
      <c r="L1148" s="2367"/>
      <c r="M1148" s="2367"/>
      <c r="N1148" s="2367"/>
      <c r="O1148" s="2367"/>
      <c r="P1148" s="2367"/>
      <c r="Q1148" s="2367"/>
      <c r="R1148" s="2367"/>
    </row>
    <row r="1149" spans="1:18">
      <c r="A1149" s="2367"/>
      <c r="B1149" s="2367"/>
      <c r="C1149" s="2367"/>
      <c r="D1149" s="2367"/>
      <c r="E1149" s="2367"/>
      <c r="F1149" s="2367"/>
      <c r="G1149" s="2367"/>
      <c r="H1149" s="2367"/>
      <c r="I1149" s="2367"/>
      <c r="J1149" s="2367"/>
      <c r="K1149" s="2367"/>
      <c r="L1149" s="2367"/>
      <c r="M1149" s="2367"/>
      <c r="N1149" s="2367"/>
      <c r="O1149" s="2367"/>
      <c r="P1149" s="2367"/>
      <c r="Q1149" s="2367"/>
      <c r="R1149" s="2367"/>
    </row>
    <row r="1150" spans="1:18">
      <c r="A1150" s="2367"/>
      <c r="B1150" s="2367"/>
      <c r="C1150" s="2367"/>
      <c r="D1150" s="2367"/>
      <c r="E1150" s="2367"/>
      <c r="F1150" s="2367"/>
      <c r="G1150" s="2367"/>
      <c r="H1150" s="2367"/>
      <c r="I1150" s="2367"/>
      <c r="J1150" s="2367"/>
      <c r="K1150" s="2367"/>
      <c r="L1150" s="2367"/>
      <c r="M1150" s="2367"/>
      <c r="N1150" s="2367"/>
      <c r="O1150" s="2367"/>
      <c r="P1150" s="2367"/>
      <c r="Q1150" s="2367"/>
      <c r="R1150" s="2367"/>
    </row>
    <row r="1151" spans="1:18">
      <c r="A1151" s="2367"/>
      <c r="B1151" s="2367"/>
      <c r="C1151" s="2367"/>
      <c r="D1151" s="2367"/>
      <c r="E1151" s="2367"/>
      <c r="F1151" s="2367"/>
      <c r="G1151" s="2367"/>
      <c r="H1151" s="2367"/>
      <c r="I1151" s="2367"/>
      <c r="J1151" s="2367"/>
      <c r="K1151" s="2367"/>
      <c r="L1151" s="2367"/>
      <c r="M1151" s="2367"/>
      <c r="N1151" s="2367"/>
      <c r="O1151" s="2367"/>
      <c r="P1151" s="2367"/>
      <c r="Q1151" s="2367"/>
      <c r="R1151" s="2367"/>
    </row>
    <row r="1152" spans="1:18">
      <c r="A1152" s="2367"/>
      <c r="B1152" s="2367"/>
      <c r="C1152" s="2367"/>
      <c r="D1152" s="2367"/>
      <c r="E1152" s="2367"/>
      <c r="F1152" s="2367"/>
      <c r="G1152" s="2367"/>
      <c r="H1152" s="2367"/>
      <c r="I1152" s="2367"/>
      <c r="J1152" s="2367"/>
      <c r="K1152" s="2367"/>
      <c r="L1152" s="2367"/>
      <c r="M1152" s="2367"/>
      <c r="N1152" s="2367"/>
      <c r="O1152" s="2367"/>
      <c r="P1152" s="2367"/>
      <c r="Q1152" s="2367"/>
      <c r="R1152" s="2367"/>
    </row>
    <row r="1153" spans="1:18">
      <c r="A1153" s="2367"/>
      <c r="B1153" s="2367"/>
      <c r="C1153" s="2367"/>
      <c r="D1153" s="2367"/>
      <c r="E1153" s="2367"/>
      <c r="F1153" s="2367"/>
      <c r="G1153" s="2367"/>
      <c r="H1153" s="2367"/>
      <c r="I1153" s="2367"/>
      <c r="J1153" s="2367"/>
      <c r="K1153" s="2367"/>
      <c r="L1153" s="2367"/>
      <c r="M1153" s="2367"/>
      <c r="N1153" s="2367"/>
      <c r="O1153" s="2367"/>
      <c r="P1153" s="2367"/>
      <c r="Q1153" s="2367"/>
      <c r="R1153" s="2367"/>
    </row>
    <row r="1154" spans="1:18">
      <c r="A1154" s="2367"/>
      <c r="B1154" s="2367"/>
      <c r="C1154" s="2367"/>
      <c r="D1154" s="2367"/>
      <c r="E1154" s="2367"/>
      <c r="F1154" s="2367"/>
      <c r="G1154" s="2367"/>
      <c r="H1154" s="2367"/>
      <c r="I1154" s="2367"/>
      <c r="J1154" s="2367"/>
      <c r="K1154" s="2367"/>
      <c r="L1154" s="2367"/>
      <c r="M1154" s="2367"/>
      <c r="N1154" s="2367"/>
      <c r="O1154" s="2367"/>
      <c r="P1154" s="2367"/>
      <c r="Q1154" s="2367"/>
      <c r="R1154" s="2367"/>
    </row>
    <row r="1155" spans="1:18">
      <c r="A1155" s="2367"/>
      <c r="B1155" s="2367"/>
      <c r="C1155" s="2367"/>
      <c r="D1155" s="2367"/>
      <c r="E1155" s="2367"/>
      <c r="F1155" s="2367"/>
      <c r="G1155" s="2367"/>
      <c r="H1155" s="2367"/>
      <c r="I1155" s="2367"/>
      <c r="J1155" s="2367"/>
      <c r="K1155" s="2367"/>
      <c r="L1155" s="2367"/>
      <c r="M1155" s="2367"/>
      <c r="N1155" s="2367"/>
      <c r="O1155" s="2367"/>
      <c r="P1155" s="2367"/>
      <c r="Q1155" s="2367"/>
      <c r="R1155" s="2367"/>
    </row>
    <row r="1156" spans="1:18">
      <c r="A1156" s="2367"/>
      <c r="B1156" s="2367"/>
      <c r="C1156" s="2367"/>
      <c r="D1156" s="2367"/>
      <c r="E1156" s="2367"/>
      <c r="F1156" s="2367"/>
      <c r="G1156" s="2367"/>
      <c r="H1156" s="2367"/>
      <c r="I1156" s="2367"/>
      <c r="J1156" s="2367"/>
      <c r="K1156" s="2367"/>
      <c r="L1156" s="2367"/>
      <c r="M1156" s="2367"/>
      <c r="N1156" s="2367"/>
      <c r="O1156" s="2367"/>
      <c r="P1156" s="2367"/>
      <c r="Q1156" s="2367"/>
      <c r="R1156" s="2367"/>
    </row>
    <row r="1157" spans="1:18">
      <c r="A1157" s="2367"/>
      <c r="B1157" s="2367"/>
      <c r="C1157" s="2367"/>
      <c r="D1157" s="2367"/>
      <c r="E1157" s="2367"/>
      <c r="F1157" s="2367"/>
      <c r="G1157" s="2367"/>
      <c r="H1157" s="2367"/>
      <c r="I1157" s="2367"/>
      <c r="J1157" s="2367"/>
      <c r="K1157" s="2367"/>
      <c r="L1157" s="2367"/>
      <c r="M1157" s="2367"/>
      <c r="N1157" s="2367"/>
      <c r="O1157" s="2367"/>
      <c r="P1157" s="2367"/>
      <c r="Q1157" s="2367"/>
      <c r="R1157" s="2367"/>
    </row>
    <row r="1158" spans="1:18">
      <c r="A1158" s="2367"/>
      <c r="B1158" s="2367"/>
      <c r="C1158" s="2367"/>
      <c r="D1158" s="2367"/>
      <c r="E1158" s="2367"/>
      <c r="F1158" s="2367"/>
      <c r="G1158" s="2367"/>
      <c r="H1158" s="2367"/>
      <c r="I1158" s="2367"/>
      <c r="J1158" s="2367"/>
      <c r="K1158" s="2367"/>
      <c r="L1158" s="2367"/>
      <c r="M1158" s="2367"/>
      <c r="N1158" s="2367"/>
      <c r="O1158" s="2367"/>
      <c r="P1158" s="2367"/>
      <c r="Q1158" s="2367"/>
      <c r="R1158" s="2367"/>
    </row>
    <row r="1159" spans="1:18">
      <c r="A1159" s="2367"/>
      <c r="B1159" s="2367"/>
      <c r="C1159" s="2367"/>
      <c r="D1159" s="2367"/>
      <c r="E1159" s="2367"/>
      <c r="F1159" s="2367"/>
      <c r="G1159" s="2367"/>
      <c r="H1159" s="2367"/>
      <c r="I1159" s="2367"/>
      <c r="J1159" s="2367"/>
      <c r="K1159" s="2367"/>
      <c r="L1159" s="2367"/>
      <c r="M1159" s="2367"/>
      <c r="N1159" s="2367"/>
      <c r="O1159" s="2367"/>
      <c r="P1159" s="2367"/>
      <c r="Q1159" s="2367"/>
      <c r="R1159" s="2367"/>
    </row>
    <row r="1160" spans="1:18">
      <c r="A1160" s="2367"/>
      <c r="B1160" s="2367"/>
      <c r="C1160" s="2367"/>
      <c r="D1160" s="2367"/>
      <c r="E1160" s="2367"/>
      <c r="F1160" s="2367"/>
      <c r="G1160" s="2367"/>
      <c r="H1160" s="2367"/>
      <c r="I1160" s="2367"/>
      <c r="J1160" s="2367"/>
      <c r="K1160" s="2367"/>
      <c r="L1160" s="2367"/>
      <c r="M1160" s="2367"/>
      <c r="N1160" s="2367"/>
      <c r="O1160" s="2367"/>
      <c r="P1160" s="2367"/>
      <c r="Q1160" s="2367"/>
      <c r="R1160" s="2367"/>
    </row>
    <row r="1161" spans="1:18">
      <c r="A1161" s="2367"/>
      <c r="B1161" s="2367"/>
      <c r="C1161" s="2367"/>
      <c r="D1161" s="2367"/>
      <c r="E1161" s="2367"/>
      <c r="F1161" s="2367"/>
      <c r="G1161" s="2367"/>
      <c r="H1161" s="2367"/>
      <c r="I1161" s="2367"/>
      <c r="J1161" s="2367"/>
      <c r="K1161" s="2367"/>
      <c r="L1161" s="2367"/>
      <c r="M1161" s="2367"/>
      <c r="N1161" s="2367"/>
      <c r="O1161" s="2367"/>
      <c r="P1161" s="2367"/>
      <c r="Q1161" s="2367"/>
      <c r="R1161" s="2367"/>
    </row>
    <row r="1162" spans="1:18">
      <c r="A1162" s="2367"/>
      <c r="B1162" s="2367"/>
      <c r="C1162" s="2367"/>
      <c r="D1162" s="2367"/>
      <c r="E1162" s="2367"/>
      <c r="F1162" s="2367"/>
      <c r="G1162" s="2367"/>
      <c r="H1162" s="2367"/>
      <c r="I1162" s="2367"/>
      <c r="J1162" s="2367"/>
      <c r="K1162" s="2367"/>
      <c r="L1162" s="2367"/>
      <c r="M1162" s="2367"/>
      <c r="N1162" s="2367"/>
      <c r="O1162" s="2367"/>
      <c r="P1162" s="2367"/>
      <c r="Q1162" s="2367"/>
      <c r="R1162" s="2367"/>
    </row>
    <row r="1163" spans="1:18">
      <c r="A1163" s="2367"/>
      <c r="B1163" s="2367"/>
      <c r="C1163" s="2367"/>
      <c r="D1163" s="2367"/>
      <c r="E1163" s="2367"/>
      <c r="F1163" s="2367"/>
      <c r="G1163" s="2367"/>
      <c r="H1163" s="2367"/>
      <c r="I1163" s="2367"/>
      <c r="J1163" s="2367"/>
      <c r="K1163" s="2367"/>
      <c r="L1163" s="2367"/>
      <c r="M1163" s="2367"/>
      <c r="N1163" s="2367"/>
      <c r="O1163" s="2367"/>
      <c r="P1163" s="2367"/>
      <c r="Q1163" s="2367"/>
      <c r="R1163" s="2367"/>
    </row>
    <row r="1164" spans="1:18">
      <c r="A1164" s="2367"/>
      <c r="B1164" s="2367"/>
      <c r="C1164" s="2367"/>
      <c r="D1164" s="2367"/>
      <c r="E1164" s="2367"/>
      <c r="F1164" s="2367"/>
      <c r="G1164" s="2367"/>
      <c r="H1164" s="2367"/>
      <c r="I1164" s="2367"/>
      <c r="J1164" s="2367"/>
      <c r="K1164" s="2367"/>
      <c r="L1164" s="2367"/>
      <c r="M1164" s="2367"/>
      <c r="N1164" s="2367"/>
      <c r="O1164" s="2367"/>
      <c r="P1164" s="2367"/>
      <c r="Q1164" s="2367"/>
      <c r="R1164" s="2367"/>
    </row>
    <row r="1165" spans="1:18">
      <c r="A1165" s="2367"/>
      <c r="B1165" s="2367"/>
      <c r="C1165" s="2367"/>
      <c r="D1165" s="2367"/>
      <c r="E1165" s="2367"/>
      <c r="F1165" s="2367"/>
      <c r="G1165" s="2367"/>
      <c r="H1165" s="2367"/>
      <c r="I1165" s="2367"/>
      <c r="J1165" s="2367"/>
      <c r="K1165" s="2367"/>
      <c r="L1165" s="2367"/>
      <c r="M1165" s="2367"/>
      <c r="N1165" s="2367"/>
      <c r="O1165" s="2367"/>
      <c r="P1165" s="2367"/>
      <c r="Q1165" s="2367"/>
      <c r="R1165" s="2367"/>
    </row>
    <row r="1166" spans="1:18">
      <c r="A1166" s="2367"/>
      <c r="B1166" s="2367"/>
      <c r="C1166" s="2367"/>
      <c r="D1166" s="2367"/>
      <c r="E1166" s="2367"/>
      <c r="F1166" s="2367"/>
      <c r="G1166" s="2367"/>
      <c r="H1166" s="2367"/>
      <c r="I1166" s="2367"/>
      <c r="J1166" s="2367"/>
      <c r="K1166" s="2367"/>
      <c r="L1166" s="2367"/>
      <c r="M1166" s="2367"/>
      <c r="N1166" s="2367"/>
      <c r="O1166" s="2367"/>
      <c r="P1166" s="2367"/>
      <c r="Q1166" s="2367"/>
      <c r="R1166" s="2367"/>
    </row>
    <row r="1167" spans="1:18">
      <c r="A1167" s="2367"/>
      <c r="B1167" s="2367"/>
      <c r="C1167" s="2367"/>
      <c r="D1167" s="2367"/>
      <c r="E1167" s="2367"/>
      <c r="F1167" s="2367"/>
      <c r="G1167" s="2367"/>
      <c r="H1167" s="2367"/>
      <c r="I1167" s="2367"/>
      <c r="J1167" s="2367"/>
      <c r="K1167" s="2367"/>
      <c r="L1167" s="2367"/>
      <c r="M1167" s="2367"/>
      <c r="N1167" s="2367"/>
      <c r="O1167" s="2367"/>
      <c r="P1167" s="2367"/>
      <c r="Q1167" s="2367"/>
      <c r="R1167" s="2367"/>
    </row>
    <row r="1168" spans="1:18">
      <c r="A1168" s="2367"/>
      <c r="B1168" s="2367"/>
      <c r="C1168" s="2367"/>
      <c r="D1168" s="2367"/>
      <c r="E1168" s="2367"/>
      <c r="F1168" s="2367"/>
      <c r="G1168" s="2367"/>
      <c r="H1168" s="2367"/>
      <c r="I1168" s="2367"/>
      <c r="J1168" s="2367"/>
      <c r="K1168" s="2367"/>
      <c r="L1168" s="2367"/>
      <c r="M1168" s="2367"/>
      <c r="N1168" s="2367"/>
      <c r="O1168" s="2367"/>
      <c r="P1168" s="2367"/>
      <c r="Q1168" s="2367"/>
      <c r="R1168" s="2367"/>
    </row>
    <row r="1169" spans="1:18">
      <c r="A1169" s="2367"/>
      <c r="B1169" s="2367"/>
      <c r="C1169" s="2367"/>
      <c r="D1169" s="2367"/>
      <c r="E1169" s="2367"/>
      <c r="F1169" s="2367"/>
      <c r="G1169" s="2367"/>
      <c r="H1169" s="2367"/>
      <c r="I1169" s="2367"/>
      <c r="J1169" s="2367"/>
      <c r="K1169" s="2367"/>
      <c r="L1169" s="2367"/>
      <c r="M1169" s="2367"/>
      <c r="N1169" s="2367"/>
      <c r="O1169" s="2367"/>
      <c r="P1169" s="2367"/>
      <c r="Q1169" s="2367"/>
      <c r="R1169" s="2367"/>
    </row>
    <row r="1170" spans="1:18">
      <c r="A1170" s="2367"/>
      <c r="B1170" s="2367"/>
      <c r="C1170" s="2367"/>
      <c r="D1170" s="2367"/>
      <c r="E1170" s="2367"/>
      <c r="F1170" s="2367"/>
      <c r="G1170" s="2367"/>
      <c r="H1170" s="2367"/>
      <c r="I1170" s="2367"/>
      <c r="J1170" s="2367"/>
      <c r="K1170" s="2367"/>
      <c r="L1170" s="2367"/>
      <c r="M1170" s="2367"/>
      <c r="N1170" s="2367"/>
      <c r="O1170" s="2367"/>
      <c r="P1170" s="2367"/>
      <c r="Q1170" s="2367"/>
      <c r="R1170" s="2367"/>
    </row>
    <row r="1171" spans="1:18">
      <c r="A1171" s="2367"/>
      <c r="B1171" s="2367"/>
      <c r="C1171" s="2367"/>
      <c r="D1171" s="2367"/>
      <c r="E1171" s="2367"/>
      <c r="F1171" s="2367"/>
      <c r="G1171" s="2367"/>
      <c r="H1171" s="2367"/>
      <c r="I1171" s="2367"/>
      <c r="J1171" s="2367"/>
      <c r="K1171" s="2367"/>
      <c r="L1171" s="2367"/>
      <c r="M1171" s="2367"/>
      <c r="N1171" s="2367"/>
      <c r="O1171" s="2367"/>
      <c r="P1171" s="2367"/>
      <c r="Q1171" s="2367"/>
      <c r="R1171" s="2367"/>
    </row>
    <row r="1172" spans="1:18">
      <c r="A1172" s="2367"/>
      <c r="B1172" s="2367"/>
      <c r="C1172" s="2367"/>
      <c r="D1172" s="2367"/>
      <c r="E1172" s="2367"/>
      <c r="F1172" s="2367"/>
      <c r="G1172" s="2367"/>
      <c r="H1172" s="2367"/>
      <c r="I1172" s="2367"/>
      <c r="J1172" s="2367"/>
      <c r="K1172" s="2367"/>
      <c r="L1172" s="2367"/>
      <c r="M1172" s="2367"/>
      <c r="N1172" s="2367"/>
      <c r="O1172" s="2367"/>
      <c r="P1172" s="2367"/>
      <c r="Q1172" s="2367"/>
      <c r="R1172" s="2367"/>
    </row>
    <row r="1173" spans="1:18">
      <c r="A1173" s="2367"/>
      <c r="B1173" s="2367"/>
      <c r="C1173" s="2367"/>
      <c r="D1173" s="2367"/>
      <c r="E1173" s="2367"/>
      <c r="F1173" s="2367"/>
      <c r="G1173" s="2367"/>
      <c r="H1173" s="2367"/>
      <c r="I1173" s="2367"/>
      <c r="J1173" s="2367"/>
      <c r="K1173" s="2367"/>
      <c r="L1173" s="2367"/>
      <c r="M1173" s="2367"/>
      <c r="N1173" s="2367"/>
      <c r="O1173" s="2367"/>
      <c r="P1173" s="2367"/>
      <c r="Q1173" s="2367"/>
      <c r="R1173" s="2367"/>
    </row>
    <row r="1174" spans="1:18">
      <c r="A1174" s="2367"/>
      <c r="B1174" s="2367"/>
      <c r="C1174" s="2367"/>
      <c r="D1174" s="2367"/>
      <c r="E1174" s="2367"/>
      <c r="F1174" s="2367"/>
      <c r="G1174" s="2367"/>
      <c r="H1174" s="2367"/>
      <c r="I1174" s="2367"/>
      <c r="J1174" s="2367"/>
      <c r="K1174" s="2367"/>
      <c r="L1174" s="2367"/>
      <c r="M1174" s="2367"/>
      <c r="N1174" s="2367"/>
      <c r="O1174" s="2367"/>
      <c r="P1174" s="2367"/>
      <c r="Q1174" s="2367"/>
      <c r="R1174" s="2367"/>
    </row>
    <row r="1175" spans="1:18">
      <c r="A1175" s="2367"/>
      <c r="B1175" s="2367"/>
      <c r="C1175" s="2367"/>
      <c r="D1175" s="2367"/>
      <c r="E1175" s="2367"/>
      <c r="F1175" s="2367"/>
      <c r="G1175" s="2367"/>
      <c r="H1175" s="2367"/>
      <c r="I1175" s="2367"/>
      <c r="J1175" s="2367"/>
      <c r="K1175" s="2367"/>
      <c r="L1175" s="2367"/>
      <c r="M1175" s="2367"/>
      <c r="N1175" s="2367"/>
      <c r="O1175" s="2367"/>
      <c r="P1175" s="2367"/>
      <c r="Q1175" s="2367"/>
      <c r="R1175" s="2367"/>
    </row>
    <row r="1176" spans="1:18">
      <c r="A1176" s="2367"/>
      <c r="B1176" s="2367"/>
      <c r="C1176" s="2367"/>
      <c r="D1176" s="2367"/>
      <c r="E1176" s="2367"/>
      <c r="F1176" s="2367"/>
      <c r="G1176" s="2367"/>
      <c r="H1176" s="2367"/>
      <c r="I1176" s="2367"/>
      <c r="J1176" s="2367"/>
      <c r="K1176" s="2367"/>
      <c r="L1176" s="2367"/>
      <c r="M1176" s="2367"/>
      <c r="N1176" s="2367"/>
      <c r="O1176" s="2367"/>
      <c r="P1176" s="2367"/>
      <c r="Q1176" s="2367"/>
      <c r="R1176" s="2367"/>
    </row>
    <row r="1177" spans="1:18">
      <c r="A1177" s="2367"/>
      <c r="B1177" s="2367"/>
      <c r="C1177" s="2367"/>
      <c r="D1177" s="2367"/>
      <c r="E1177" s="2367"/>
      <c r="F1177" s="2367"/>
      <c r="G1177" s="2367"/>
      <c r="H1177" s="2367"/>
      <c r="I1177" s="2367"/>
      <c r="J1177" s="2367"/>
      <c r="K1177" s="2367"/>
      <c r="L1177" s="2367"/>
      <c r="M1177" s="2367"/>
      <c r="N1177" s="2367"/>
      <c r="O1177" s="2367"/>
      <c r="P1177" s="2367"/>
      <c r="Q1177" s="2367"/>
      <c r="R1177" s="2367"/>
    </row>
    <row r="1178" spans="1:18">
      <c r="A1178" s="2367"/>
      <c r="B1178" s="2367"/>
      <c r="C1178" s="2367"/>
      <c r="D1178" s="2367"/>
      <c r="E1178" s="2367"/>
      <c r="F1178" s="2367"/>
      <c r="G1178" s="2367"/>
      <c r="H1178" s="2367"/>
      <c r="I1178" s="2367"/>
      <c r="J1178" s="2367"/>
      <c r="K1178" s="2367"/>
      <c r="L1178" s="2367"/>
      <c r="M1178" s="2367"/>
      <c r="N1178" s="2367"/>
      <c r="O1178" s="2367"/>
      <c r="P1178" s="2367"/>
      <c r="Q1178" s="2367"/>
      <c r="R1178" s="2367"/>
    </row>
    <row r="1179" spans="1:18">
      <c r="A1179" s="2367"/>
      <c r="B1179" s="2367"/>
      <c r="C1179" s="2367"/>
      <c r="D1179" s="2367"/>
      <c r="E1179" s="2367"/>
      <c r="F1179" s="2367"/>
      <c r="G1179" s="2367"/>
      <c r="H1179" s="2367"/>
      <c r="I1179" s="2367"/>
      <c r="J1179" s="2367"/>
      <c r="K1179" s="2367"/>
      <c r="L1179" s="2367"/>
      <c r="M1179" s="2367"/>
      <c r="N1179" s="2367"/>
      <c r="O1179" s="2367"/>
      <c r="P1179" s="2367"/>
      <c r="Q1179" s="2367"/>
      <c r="R1179" s="2367"/>
    </row>
    <row r="1180" spans="1:18">
      <c r="A1180" s="2367"/>
      <c r="B1180" s="2367"/>
      <c r="C1180" s="2367"/>
      <c r="D1180" s="2367"/>
      <c r="E1180" s="2367"/>
      <c r="F1180" s="2367"/>
      <c r="G1180" s="2367"/>
      <c r="H1180" s="2367"/>
      <c r="I1180" s="2367"/>
      <c r="J1180" s="2367"/>
      <c r="K1180" s="2367"/>
      <c r="L1180" s="2367"/>
      <c r="M1180" s="2367"/>
      <c r="N1180" s="2367"/>
      <c r="O1180" s="2367"/>
      <c r="P1180" s="2367"/>
      <c r="Q1180" s="2367"/>
      <c r="R1180" s="2367"/>
    </row>
    <row r="1181" spans="1:18">
      <c r="A1181" s="2367"/>
      <c r="B1181" s="2367"/>
      <c r="C1181" s="2367"/>
      <c r="D1181" s="2367"/>
      <c r="E1181" s="2367"/>
      <c r="F1181" s="2367"/>
      <c r="G1181" s="2367"/>
      <c r="H1181" s="2367"/>
      <c r="I1181" s="2367"/>
      <c r="J1181" s="2367"/>
      <c r="K1181" s="2367"/>
      <c r="L1181" s="2367"/>
      <c r="M1181" s="2367"/>
      <c r="N1181" s="2367"/>
      <c r="O1181" s="2367"/>
      <c r="P1181" s="2367"/>
      <c r="Q1181" s="2367"/>
      <c r="R1181" s="2367"/>
    </row>
    <row r="1182" spans="1:18">
      <c r="A1182" s="2367"/>
      <c r="B1182" s="2367"/>
      <c r="C1182" s="2367"/>
      <c r="D1182" s="2367"/>
      <c r="E1182" s="2367"/>
      <c r="F1182" s="2367"/>
      <c r="G1182" s="2367"/>
      <c r="H1182" s="2367"/>
      <c r="I1182" s="2367"/>
      <c r="J1182" s="2367"/>
      <c r="K1182" s="2367"/>
      <c r="L1182" s="2367"/>
      <c r="M1182" s="2367"/>
      <c r="N1182" s="2367"/>
      <c r="O1182" s="2367"/>
      <c r="P1182" s="2367"/>
      <c r="Q1182" s="2367"/>
      <c r="R1182" s="2367"/>
    </row>
    <row r="1183" spans="1:18">
      <c r="A1183" s="2367"/>
      <c r="B1183" s="2367"/>
      <c r="C1183" s="2367"/>
      <c r="D1183" s="2367"/>
      <c r="E1183" s="2367"/>
      <c r="F1183" s="2367"/>
      <c r="G1183" s="2367"/>
      <c r="H1183" s="2367"/>
      <c r="I1183" s="2367"/>
      <c r="J1183" s="2367"/>
      <c r="K1183" s="2367"/>
      <c r="L1183" s="2367"/>
      <c r="M1183" s="2367"/>
      <c r="N1183" s="2367"/>
      <c r="O1183" s="2367"/>
      <c r="P1183" s="2367"/>
      <c r="Q1183" s="2367"/>
      <c r="R1183" s="2367"/>
    </row>
    <row r="1184" spans="1:18">
      <c r="A1184" s="2367"/>
      <c r="B1184" s="2367"/>
      <c r="C1184" s="2367"/>
      <c r="D1184" s="2367"/>
      <c r="E1184" s="2367"/>
      <c r="F1184" s="2367"/>
      <c r="G1184" s="2367"/>
      <c r="H1184" s="2367"/>
      <c r="I1184" s="2367"/>
      <c r="J1184" s="2367"/>
      <c r="K1184" s="2367"/>
      <c r="L1184" s="2367"/>
      <c r="M1184" s="2367"/>
      <c r="N1184" s="2367"/>
      <c r="O1184" s="2367"/>
      <c r="P1184" s="2367"/>
      <c r="Q1184" s="2367"/>
      <c r="R1184" s="2367"/>
    </row>
    <row r="1185" spans="1:18">
      <c r="A1185" s="2367"/>
      <c r="B1185" s="2367"/>
      <c r="C1185" s="2367"/>
      <c r="D1185" s="2367"/>
      <c r="E1185" s="2367"/>
      <c r="F1185" s="2367"/>
      <c r="G1185" s="2367"/>
      <c r="H1185" s="2367"/>
      <c r="I1185" s="2367"/>
      <c r="J1185" s="2367"/>
      <c r="K1185" s="2367"/>
      <c r="L1185" s="2367"/>
      <c r="M1185" s="2367"/>
      <c r="N1185" s="2367"/>
      <c r="O1185" s="2367"/>
      <c r="P1185" s="2367"/>
      <c r="Q1185" s="2367"/>
      <c r="R1185" s="2367"/>
    </row>
    <row r="1186" spans="1:18">
      <c r="A1186" s="2367"/>
      <c r="B1186" s="2367"/>
      <c r="C1186" s="2367"/>
      <c r="D1186" s="2367"/>
      <c r="E1186" s="2367"/>
      <c r="F1186" s="2367"/>
      <c r="G1186" s="2367"/>
      <c r="H1186" s="2367"/>
      <c r="I1186" s="2367"/>
      <c r="J1186" s="2367"/>
      <c r="K1186" s="2367"/>
      <c r="L1186" s="2367"/>
      <c r="M1186" s="2367"/>
      <c r="N1186" s="2367"/>
      <c r="O1186" s="2367"/>
      <c r="P1186" s="2367"/>
      <c r="Q1186" s="2367"/>
      <c r="R1186" s="2367"/>
    </row>
    <row r="1187" spans="1:18">
      <c r="A1187" s="2367"/>
      <c r="B1187" s="2367"/>
      <c r="C1187" s="2367"/>
      <c r="D1187" s="2367"/>
      <c r="E1187" s="2367"/>
      <c r="F1187" s="2367"/>
      <c r="G1187" s="2367"/>
      <c r="H1187" s="2367"/>
      <c r="I1187" s="2367"/>
      <c r="J1187" s="2367"/>
      <c r="K1187" s="2367"/>
      <c r="L1187" s="2367"/>
      <c r="M1187" s="2367"/>
      <c r="N1187" s="2367"/>
      <c r="O1187" s="2367"/>
      <c r="P1187" s="2367"/>
      <c r="Q1187" s="2367"/>
      <c r="R1187" s="2367"/>
    </row>
    <row r="1188" spans="1:18">
      <c r="A1188" s="2367"/>
      <c r="B1188" s="2367"/>
      <c r="C1188" s="2367"/>
      <c r="D1188" s="2367"/>
      <c r="E1188" s="2367"/>
      <c r="F1188" s="2367"/>
      <c r="G1188" s="2367"/>
      <c r="H1188" s="2367"/>
      <c r="I1188" s="2367"/>
      <c r="J1188" s="2367"/>
      <c r="K1188" s="2367"/>
      <c r="L1188" s="2367"/>
      <c r="M1188" s="2367"/>
      <c r="N1188" s="2367"/>
      <c r="O1188" s="2367"/>
      <c r="P1188" s="2367"/>
      <c r="Q1188" s="2367"/>
      <c r="R1188" s="2367"/>
    </row>
    <row r="1189" spans="1:18">
      <c r="A1189" s="2367"/>
      <c r="B1189" s="2367"/>
      <c r="C1189" s="2367"/>
      <c r="D1189" s="2367"/>
      <c r="E1189" s="2367"/>
      <c r="F1189" s="2367"/>
      <c r="G1189" s="2367"/>
      <c r="H1189" s="2367"/>
      <c r="I1189" s="2367"/>
      <c r="J1189" s="2367"/>
      <c r="K1189" s="2367"/>
      <c r="L1189" s="2367"/>
      <c r="M1189" s="2367"/>
      <c r="N1189" s="2367"/>
      <c r="O1189" s="2367"/>
      <c r="P1189" s="2367"/>
      <c r="Q1189" s="2367"/>
      <c r="R1189" s="2367"/>
    </row>
    <row r="1190" spans="1:18">
      <c r="A1190" s="2367"/>
      <c r="B1190" s="2367"/>
      <c r="C1190" s="2367"/>
      <c r="D1190" s="2367"/>
      <c r="E1190" s="2367"/>
      <c r="F1190" s="2367"/>
      <c r="G1190" s="2367"/>
      <c r="H1190" s="2367"/>
      <c r="I1190" s="2367"/>
      <c r="J1190" s="2367"/>
      <c r="K1190" s="2367"/>
      <c r="L1190" s="2367"/>
      <c r="M1190" s="2367"/>
      <c r="N1190" s="2367"/>
      <c r="O1190" s="2367"/>
      <c r="P1190" s="2367"/>
      <c r="Q1190" s="2367"/>
      <c r="R1190" s="2367"/>
    </row>
    <row r="1191" spans="1:18">
      <c r="A1191" s="2367"/>
      <c r="B1191" s="2367"/>
      <c r="C1191" s="2367"/>
      <c r="D1191" s="2367"/>
      <c r="E1191" s="2367"/>
      <c r="F1191" s="2367"/>
      <c r="G1191" s="2367"/>
      <c r="H1191" s="2367"/>
      <c r="I1191" s="2367"/>
      <c r="J1191" s="2367"/>
      <c r="K1191" s="2367"/>
      <c r="L1191" s="2367"/>
      <c r="M1191" s="2367"/>
      <c r="N1191" s="2367"/>
      <c r="O1191" s="2367"/>
      <c r="P1191" s="2367"/>
      <c r="Q1191" s="2367"/>
      <c r="R1191" s="2367"/>
    </row>
    <row r="1192" spans="1:18">
      <c r="A1192" s="2367"/>
      <c r="B1192" s="2367"/>
      <c r="C1192" s="2367"/>
      <c r="D1192" s="2367"/>
      <c r="E1192" s="2367"/>
      <c r="F1192" s="2367"/>
      <c r="G1192" s="2367"/>
      <c r="H1192" s="2367"/>
      <c r="I1192" s="2367"/>
      <c r="J1192" s="2367"/>
      <c r="K1192" s="2367"/>
      <c r="L1192" s="2367"/>
      <c r="M1192" s="2367"/>
      <c r="N1192" s="2367"/>
      <c r="O1192" s="2367"/>
      <c r="P1192" s="2367"/>
      <c r="Q1192" s="2367"/>
      <c r="R1192" s="2367"/>
    </row>
    <row r="1193" spans="1:18">
      <c r="A1193" s="2367"/>
      <c r="B1193" s="2367"/>
      <c r="C1193" s="2367"/>
      <c r="D1193" s="2367"/>
      <c r="E1193" s="2367"/>
      <c r="F1193" s="2367"/>
      <c r="G1193" s="2367"/>
      <c r="H1193" s="2367"/>
      <c r="I1193" s="2367"/>
      <c r="J1193" s="2367"/>
      <c r="K1193" s="2367"/>
      <c r="L1193" s="2367"/>
      <c r="M1193" s="2367"/>
      <c r="N1193" s="2367"/>
      <c r="O1193" s="2367"/>
      <c r="P1193" s="2367"/>
      <c r="Q1193" s="2367"/>
      <c r="R1193" s="2367"/>
    </row>
    <row r="1194" spans="1:18">
      <c r="A1194" s="2367"/>
      <c r="B1194" s="2367"/>
      <c r="C1194" s="2367"/>
      <c r="D1194" s="2367"/>
      <c r="E1194" s="2367"/>
      <c r="F1194" s="2367"/>
      <c r="G1194" s="2367"/>
      <c r="H1194" s="2367"/>
      <c r="I1194" s="2367"/>
      <c r="J1194" s="2367"/>
      <c r="K1194" s="2367"/>
      <c r="L1194" s="2367"/>
      <c r="M1194" s="2367"/>
      <c r="N1194" s="2367"/>
      <c r="O1194" s="2367"/>
      <c r="P1194" s="2367"/>
      <c r="Q1194" s="2367"/>
      <c r="R1194" s="2367"/>
    </row>
    <row r="1195" spans="1:18">
      <c r="A1195" s="2367"/>
      <c r="B1195" s="2367"/>
      <c r="C1195" s="2367"/>
      <c r="D1195" s="2367"/>
      <c r="E1195" s="2367"/>
      <c r="F1195" s="2367"/>
      <c r="G1195" s="2367"/>
      <c r="H1195" s="2367"/>
      <c r="I1195" s="2367"/>
      <c r="J1195" s="2367"/>
      <c r="K1195" s="2367"/>
      <c r="L1195" s="2367"/>
      <c r="M1195" s="2367"/>
      <c r="N1195" s="2367"/>
      <c r="O1195" s="2367"/>
      <c r="P1195" s="2367"/>
      <c r="Q1195" s="2367"/>
      <c r="R1195" s="2367"/>
    </row>
    <row r="1196" spans="1:18">
      <c r="A1196" s="2367"/>
      <c r="B1196" s="2367"/>
      <c r="C1196" s="2367"/>
      <c r="D1196" s="2367"/>
      <c r="E1196" s="2367"/>
      <c r="F1196" s="2367"/>
      <c r="G1196" s="2367"/>
      <c r="H1196" s="2367"/>
      <c r="I1196" s="2367"/>
      <c r="J1196" s="2367"/>
      <c r="K1196" s="2367"/>
      <c r="L1196" s="2367"/>
      <c r="M1196" s="2367"/>
      <c r="N1196" s="2367"/>
      <c r="O1196" s="2367"/>
      <c r="P1196" s="2367"/>
      <c r="Q1196" s="2367"/>
      <c r="R1196" s="2367"/>
    </row>
    <row r="1197" spans="1:18">
      <c r="A1197" s="2367"/>
      <c r="B1197" s="2367"/>
      <c r="C1197" s="2367"/>
      <c r="D1197" s="2367"/>
      <c r="E1197" s="2367"/>
      <c r="F1197" s="2367"/>
      <c r="G1197" s="2367"/>
      <c r="H1197" s="2367"/>
      <c r="I1197" s="2367"/>
      <c r="J1197" s="2367"/>
      <c r="K1197" s="2367"/>
      <c r="L1197" s="2367"/>
      <c r="M1197" s="2367"/>
      <c r="N1197" s="2367"/>
      <c r="O1197" s="2367"/>
      <c r="P1197" s="2367"/>
      <c r="Q1197" s="2367"/>
      <c r="R1197" s="2367"/>
    </row>
    <row r="1198" spans="1:18">
      <c r="A1198" s="2367"/>
      <c r="B1198" s="2367"/>
      <c r="C1198" s="2367"/>
      <c r="D1198" s="2367"/>
      <c r="E1198" s="2367"/>
      <c r="F1198" s="2367"/>
      <c r="G1198" s="2367"/>
      <c r="H1198" s="2367"/>
      <c r="I1198" s="2367"/>
      <c r="J1198" s="2367"/>
      <c r="K1198" s="2367"/>
      <c r="L1198" s="2367"/>
      <c r="M1198" s="2367"/>
      <c r="N1198" s="2367"/>
      <c r="O1198" s="2367"/>
      <c r="P1198" s="2367"/>
      <c r="Q1198" s="2367"/>
      <c r="R1198" s="2367"/>
    </row>
    <row r="1199" spans="1:18">
      <c r="A1199" s="2367"/>
      <c r="B1199" s="2367"/>
      <c r="C1199" s="2367"/>
      <c r="D1199" s="2367"/>
      <c r="E1199" s="2367"/>
      <c r="F1199" s="2367"/>
      <c r="G1199" s="2367"/>
      <c r="H1199" s="2367"/>
      <c r="I1199" s="2367"/>
      <c r="J1199" s="2367"/>
      <c r="K1199" s="2367"/>
      <c r="L1199" s="2367"/>
      <c r="M1199" s="2367"/>
      <c r="N1199" s="2367"/>
      <c r="O1199" s="2367"/>
      <c r="P1199" s="2367"/>
      <c r="Q1199" s="2367"/>
      <c r="R1199" s="2367"/>
    </row>
    <row r="1200" spans="1:18">
      <c r="A1200" s="2367"/>
      <c r="B1200" s="2367"/>
      <c r="C1200" s="2367"/>
      <c r="D1200" s="2367"/>
      <c r="E1200" s="2367"/>
      <c r="F1200" s="2367"/>
      <c r="G1200" s="2367"/>
      <c r="H1200" s="2367"/>
      <c r="I1200" s="2367"/>
      <c r="J1200" s="2367"/>
      <c r="K1200" s="2367"/>
      <c r="L1200" s="2367"/>
      <c r="M1200" s="2367"/>
      <c r="N1200" s="2367"/>
      <c r="O1200" s="2367"/>
      <c r="P1200" s="2367"/>
      <c r="Q1200" s="2367"/>
      <c r="R1200" s="2367"/>
    </row>
    <row r="1201" spans="1:18">
      <c r="A1201" s="2367"/>
      <c r="B1201" s="2367"/>
      <c r="C1201" s="2367"/>
      <c r="D1201" s="2367"/>
      <c r="E1201" s="2367"/>
      <c r="F1201" s="2367"/>
      <c r="G1201" s="2367"/>
      <c r="H1201" s="2367"/>
      <c r="I1201" s="2367"/>
      <c r="J1201" s="2367"/>
      <c r="K1201" s="2367"/>
      <c r="L1201" s="2367"/>
      <c r="M1201" s="2367"/>
      <c r="N1201" s="2367"/>
      <c r="O1201" s="2367"/>
      <c r="P1201" s="2367"/>
      <c r="Q1201" s="2367"/>
      <c r="R1201" s="2367"/>
    </row>
    <row r="1202" spans="1:18">
      <c r="A1202" s="2367"/>
      <c r="B1202" s="2367"/>
      <c r="C1202" s="2367"/>
      <c r="D1202" s="2367"/>
      <c r="E1202" s="2367"/>
      <c r="F1202" s="2367"/>
      <c r="G1202" s="2367"/>
      <c r="H1202" s="2367"/>
      <c r="I1202" s="2367"/>
      <c r="J1202" s="2367"/>
      <c r="K1202" s="2367"/>
      <c r="L1202" s="2367"/>
      <c r="M1202" s="2367"/>
      <c r="N1202" s="2367"/>
      <c r="O1202" s="2367"/>
      <c r="P1202" s="2367"/>
      <c r="Q1202" s="2367"/>
      <c r="R1202" s="2367"/>
    </row>
    <row r="1203" spans="1:18">
      <c r="A1203" s="2367"/>
      <c r="B1203" s="2367"/>
      <c r="C1203" s="2367"/>
      <c r="D1203" s="2367"/>
      <c r="E1203" s="2367"/>
      <c r="F1203" s="2367"/>
      <c r="G1203" s="2367"/>
      <c r="H1203" s="2367"/>
      <c r="I1203" s="2367"/>
      <c r="J1203" s="2367"/>
      <c r="K1203" s="2367"/>
      <c r="L1203" s="2367"/>
      <c r="M1203" s="2367"/>
      <c r="N1203" s="2367"/>
      <c r="O1203" s="2367"/>
      <c r="P1203" s="2367"/>
      <c r="Q1203" s="2367"/>
      <c r="R1203" s="2367"/>
    </row>
    <row r="1204" spans="1:18">
      <c r="A1204" s="2367"/>
      <c r="B1204" s="2367"/>
      <c r="C1204" s="2367"/>
      <c r="D1204" s="2367"/>
      <c r="E1204" s="2367"/>
      <c r="F1204" s="2367"/>
      <c r="G1204" s="2367"/>
      <c r="H1204" s="2367"/>
      <c r="I1204" s="2367"/>
      <c r="J1204" s="2367"/>
      <c r="K1204" s="2367"/>
      <c r="L1204" s="2367"/>
      <c r="M1204" s="2367"/>
      <c r="N1204" s="2367"/>
      <c r="O1204" s="2367"/>
      <c r="P1204" s="2367"/>
      <c r="Q1204" s="2367"/>
      <c r="R1204" s="2367"/>
    </row>
    <row r="1205" spans="1:18">
      <c r="A1205" s="2367"/>
      <c r="B1205" s="2367"/>
      <c r="C1205" s="2367"/>
      <c r="D1205" s="2367"/>
      <c r="E1205" s="2367"/>
      <c r="F1205" s="2367"/>
      <c r="G1205" s="2367"/>
      <c r="H1205" s="2367"/>
      <c r="I1205" s="2367"/>
      <c r="J1205" s="2367"/>
      <c r="K1205" s="2367"/>
      <c r="L1205" s="2367"/>
      <c r="M1205" s="2367"/>
      <c r="N1205" s="2367"/>
      <c r="O1205" s="2367"/>
      <c r="P1205" s="2367"/>
      <c r="Q1205" s="2367"/>
      <c r="R1205" s="2367"/>
    </row>
    <row r="1206" spans="1:18">
      <c r="A1206" s="2367"/>
      <c r="B1206" s="2367"/>
      <c r="C1206" s="2367"/>
      <c r="D1206" s="2367"/>
      <c r="E1206" s="2367"/>
      <c r="F1206" s="2367"/>
      <c r="G1206" s="2367"/>
      <c r="H1206" s="2367"/>
      <c r="I1206" s="2367"/>
      <c r="J1206" s="2367"/>
      <c r="K1206" s="2367"/>
      <c r="L1206" s="2367"/>
      <c r="M1206" s="2367"/>
      <c r="N1206" s="2367"/>
      <c r="O1206" s="2367"/>
      <c r="P1206" s="2367"/>
      <c r="Q1206" s="2367"/>
      <c r="R1206" s="2367"/>
    </row>
    <row r="1207" spans="1:18">
      <c r="A1207" s="2367"/>
      <c r="B1207" s="2367"/>
      <c r="C1207" s="2367"/>
      <c r="D1207" s="2367"/>
      <c r="E1207" s="2367"/>
      <c r="F1207" s="2367"/>
      <c r="G1207" s="2367"/>
      <c r="H1207" s="2367"/>
      <c r="I1207" s="2367"/>
      <c r="J1207" s="2367"/>
      <c r="K1207" s="2367"/>
      <c r="L1207" s="2367"/>
      <c r="M1207" s="2367"/>
      <c r="N1207" s="2367"/>
      <c r="O1207" s="2367"/>
      <c r="P1207" s="2367"/>
      <c r="Q1207" s="2367"/>
      <c r="R1207" s="2367"/>
    </row>
    <row r="1208" spans="1:18">
      <c r="A1208" s="2367"/>
      <c r="B1208" s="2367"/>
      <c r="C1208" s="2367"/>
      <c r="D1208" s="2367"/>
      <c r="E1208" s="2367"/>
      <c r="F1208" s="2367"/>
      <c r="G1208" s="2367"/>
      <c r="H1208" s="2367"/>
      <c r="I1208" s="2367"/>
      <c r="J1208" s="2367"/>
      <c r="K1208" s="2367"/>
      <c r="L1208" s="2367"/>
      <c r="M1208" s="2367"/>
      <c r="N1208" s="2367"/>
      <c r="O1208" s="2367"/>
      <c r="P1208" s="2367"/>
      <c r="Q1208" s="2367"/>
      <c r="R1208" s="2367"/>
    </row>
    <row r="1209" spans="1:18">
      <c r="A1209" s="2367"/>
      <c r="B1209" s="2367"/>
      <c r="C1209" s="2367"/>
      <c r="D1209" s="2367"/>
      <c r="E1209" s="2367"/>
      <c r="F1209" s="2367"/>
      <c r="G1209" s="2367"/>
      <c r="H1209" s="2367"/>
      <c r="I1209" s="2367"/>
      <c r="J1209" s="2367"/>
      <c r="K1209" s="2367"/>
      <c r="L1209" s="2367"/>
      <c r="M1209" s="2367"/>
      <c r="N1209" s="2367"/>
      <c r="O1209" s="2367"/>
      <c r="P1209" s="2367"/>
      <c r="Q1209" s="2367"/>
      <c r="R1209" s="2367"/>
    </row>
    <row r="1210" spans="1:18">
      <c r="A1210" s="2367"/>
      <c r="B1210" s="2367"/>
      <c r="C1210" s="2367"/>
      <c r="D1210" s="2367"/>
      <c r="E1210" s="2367"/>
      <c r="F1210" s="2367"/>
      <c r="G1210" s="2367"/>
      <c r="H1210" s="2367"/>
      <c r="I1210" s="2367"/>
      <c r="J1210" s="2367"/>
      <c r="K1210" s="2367"/>
      <c r="L1210" s="2367"/>
      <c r="M1210" s="2367"/>
      <c r="N1210" s="2367"/>
      <c r="O1210" s="2367"/>
      <c r="P1210" s="2367"/>
      <c r="Q1210" s="2367"/>
      <c r="R1210" s="2367"/>
    </row>
    <row r="1211" spans="1:18">
      <c r="A1211" s="2367"/>
      <c r="B1211" s="2367"/>
      <c r="C1211" s="2367"/>
      <c r="D1211" s="2367"/>
      <c r="E1211" s="2367"/>
      <c r="F1211" s="2367"/>
      <c r="G1211" s="2367"/>
      <c r="H1211" s="2367"/>
      <c r="I1211" s="2367"/>
      <c r="J1211" s="2367"/>
      <c r="K1211" s="2367"/>
      <c r="L1211" s="2367"/>
      <c r="M1211" s="2367"/>
      <c r="N1211" s="2367"/>
      <c r="O1211" s="2367"/>
      <c r="P1211" s="2367"/>
      <c r="Q1211" s="2367"/>
      <c r="R1211" s="2367"/>
    </row>
    <row r="1212" spans="1:18">
      <c r="A1212" s="2367"/>
      <c r="B1212" s="2367"/>
      <c r="C1212" s="2367"/>
      <c r="D1212" s="2367"/>
      <c r="E1212" s="2367"/>
      <c r="F1212" s="2367"/>
      <c r="G1212" s="2367"/>
      <c r="H1212" s="2367"/>
      <c r="I1212" s="2367"/>
      <c r="J1212" s="2367"/>
      <c r="K1212" s="2367"/>
      <c r="L1212" s="2367"/>
      <c r="M1212" s="2367"/>
      <c r="N1212" s="2367"/>
      <c r="O1212" s="2367"/>
      <c r="P1212" s="2367"/>
      <c r="Q1212" s="2367"/>
      <c r="R1212" s="2367"/>
    </row>
    <row r="1213" spans="1:18">
      <c r="A1213" s="2367"/>
      <c r="B1213" s="2367"/>
      <c r="C1213" s="2367"/>
      <c r="D1213" s="2367"/>
      <c r="E1213" s="2367"/>
      <c r="F1213" s="2367"/>
      <c r="G1213" s="2367"/>
      <c r="H1213" s="2367"/>
      <c r="I1213" s="2367"/>
      <c r="J1213" s="2367"/>
      <c r="K1213" s="2367"/>
      <c r="L1213" s="2367"/>
      <c r="M1213" s="2367"/>
      <c r="N1213" s="2367"/>
      <c r="O1213" s="2367"/>
      <c r="P1213" s="2367"/>
      <c r="Q1213" s="2367"/>
      <c r="R1213" s="2367"/>
    </row>
    <row r="1214" spans="1:18">
      <c r="A1214" s="2367"/>
      <c r="B1214" s="2367"/>
      <c r="C1214" s="2367"/>
      <c r="D1214" s="2367"/>
      <c r="E1214" s="2367"/>
      <c r="F1214" s="2367"/>
      <c r="G1214" s="2367"/>
      <c r="H1214" s="2367"/>
      <c r="I1214" s="2367"/>
      <c r="J1214" s="2367"/>
      <c r="K1214" s="2367"/>
      <c r="L1214" s="2367"/>
      <c r="M1214" s="2367"/>
      <c r="N1214" s="2367"/>
      <c r="O1214" s="2367"/>
      <c r="P1214" s="2367"/>
      <c r="Q1214" s="2367"/>
      <c r="R1214" s="2367"/>
    </row>
    <row r="1215" spans="1:18">
      <c r="A1215" s="2367"/>
      <c r="B1215" s="2367"/>
      <c r="C1215" s="2367"/>
      <c r="D1215" s="2367"/>
      <c r="E1215" s="2367"/>
      <c r="F1215" s="2367"/>
      <c r="G1215" s="2367"/>
      <c r="H1215" s="2367"/>
      <c r="I1215" s="2367"/>
      <c r="J1215" s="2367"/>
      <c r="K1215" s="2367"/>
      <c r="L1215" s="2367"/>
      <c r="M1215" s="2367"/>
      <c r="N1215" s="2367"/>
      <c r="O1215" s="2367"/>
      <c r="P1215" s="2367"/>
      <c r="Q1215" s="2367"/>
      <c r="R1215" s="2367"/>
    </row>
    <row r="1216" spans="1:18">
      <c r="A1216" s="2367"/>
      <c r="B1216" s="2367"/>
      <c r="C1216" s="2367"/>
      <c r="D1216" s="2367"/>
      <c r="E1216" s="2367"/>
      <c r="F1216" s="2367"/>
      <c r="G1216" s="2367"/>
      <c r="H1216" s="2367"/>
      <c r="I1216" s="2367"/>
      <c r="J1216" s="2367"/>
      <c r="K1216" s="2367"/>
      <c r="L1216" s="2367"/>
      <c r="M1216" s="2367"/>
      <c r="N1216" s="2367"/>
      <c r="O1216" s="2367"/>
      <c r="P1216" s="2367"/>
      <c r="Q1216" s="2367"/>
      <c r="R1216" s="2367"/>
    </row>
    <row r="1217" spans="1:18">
      <c r="A1217" s="2367"/>
      <c r="B1217" s="2367"/>
      <c r="C1217" s="2367"/>
      <c r="D1217" s="2367"/>
      <c r="E1217" s="2367"/>
      <c r="F1217" s="2367"/>
      <c r="G1217" s="2367"/>
      <c r="H1217" s="2367"/>
      <c r="I1217" s="2367"/>
      <c r="J1217" s="2367"/>
      <c r="K1217" s="2367"/>
      <c r="L1217" s="2367"/>
      <c r="M1217" s="2367"/>
      <c r="N1217" s="2367"/>
      <c r="O1217" s="2367"/>
      <c r="P1217" s="2367"/>
      <c r="Q1217" s="2367"/>
      <c r="R1217" s="2367"/>
    </row>
    <row r="1218" spans="1:18">
      <c r="A1218" s="2367"/>
      <c r="B1218" s="2367"/>
      <c r="C1218" s="2367"/>
      <c r="D1218" s="2367"/>
      <c r="E1218" s="2367"/>
      <c r="F1218" s="2367"/>
      <c r="G1218" s="2367"/>
      <c r="H1218" s="2367"/>
      <c r="I1218" s="2367"/>
      <c r="J1218" s="2367"/>
      <c r="K1218" s="2367"/>
      <c r="L1218" s="2367"/>
      <c r="M1218" s="2367"/>
      <c r="N1218" s="2367"/>
      <c r="O1218" s="2367"/>
      <c r="P1218" s="2367"/>
      <c r="Q1218" s="2367"/>
      <c r="R1218" s="2367"/>
    </row>
    <row r="1219" spans="1:18">
      <c r="A1219" s="2367"/>
      <c r="B1219" s="2367"/>
      <c r="C1219" s="2367"/>
      <c r="D1219" s="2367"/>
      <c r="E1219" s="2367"/>
      <c r="F1219" s="2367"/>
      <c r="G1219" s="2367"/>
      <c r="H1219" s="2367"/>
      <c r="I1219" s="2367"/>
      <c r="J1219" s="2367"/>
      <c r="K1219" s="2367"/>
      <c r="L1219" s="2367"/>
      <c r="M1219" s="2367"/>
      <c r="N1219" s="2367"/>
      <c r="O1219" s="2367"/>
      <c r="P1219" s="2367"/>
      <c r="Q1219" s="2367"/>
      <c r="R1219" s="2367"/>
    </row>
    <row r="1220" spans="1:18">
      <c r="A1220" s="2367"/>
      <c r="B1220" s="2367"/>
      <c r="C1220" s="2367"/>
      <c r="D1220" s="2367"/>
      <c r="E1220" s="2367"/>
      <c r="F1220" s="2367"/>
      <c r="G1220" s="2367"/>
      <c r="H1220" s="2367"/>
      <c r="I1220" s="2367"/>
      <c r="J1220" s="2367"/>
      <c r="K1220" s="2367"/>
      <c r="L1220" s="2367"/>
      <c r="M1220" s="2367"/>
      <c r="N1220" s="2367"/>
      <c r="O1220" s="2367"/>
      <c r="P1220" s="2367"/>
      <c r="Q1220" s="2367"/>
      <c r="R1220" s="2367"/>
    </row>
    <row r="1221" spans="1:18">
      <c r="A1221" s="2367"/>
      <c r="B1221" s="2367"/>
      <c r="C1221" s="2367"/>
      <c r="D1221" s="2367"/>
      <c r="E1221" s="2367"/>
      <c r="F1221" s="2367"/>
      <c r="G1221" s="2367"/>
      <c r="H1221" s="2367"/>
      <c r="I1221" s="2367"/>
      <c r="J1221" s="2367"/>
      <c r="K1221" s="2367"/>
      <c r="L1221" s="2367"/>
      <c r="M1221" s="2367"/>
      <c r="N1221" s="2367"/>
      <c r="O1221" s="2367"/>
      <c r="P1221" s="2367"/>
      <c r="Q1221" s="2367"/>
      <c r="R1221" s="2367"/>
    </row>
    <row r="1222" spans="1:18">
      <c r="A1222" s="2367"/>
      <c r="B1222" s="2367"/>
      <c r="C1222" s="2367"/>
      <c r="D1222" s="2367"/>
      <c r="E1222" s="2367"/>
      <c r="F1222" s="2367"/>
      <c r="G1222" s="2367"/>
      <c r="H1222" s="2367"/>
      <c r="I1222" s="2367"/>
      <c r="J1222" s="2367"/>
      <c r="K1222" s="2367"/>
      <c r="L1222" s="2367"/>
      <c r="M1222" s="2367"/>
      <c r="N1222" s="2367"/>
      <c r="O1222" s="2367"/>
      <c r="P1222" s="2367"/>
      <c r="Q1222" s="2367"/>
      <c r="R1222" s="2367"/>
    </row>
    <row r="1223" spans="1:18">
      <c r="A1223" s="2367"/>
      <c r="B1223" s="2367"/>
      <c r="C1223" s="2367"/>
      <c r="D1223" s="2367"/>
      <c r="E1223" s="2367"/>
      <c r="F1223" s="2367"/>
      <c r="G1223" s="2367"/>
      <c r="H1223" s="2367"/>
      <c r="I1223" s="2367"/>
      <c r="J1223" s="2367"/>
      <c r="K1223" s="2367"/>
      <c r="L1223" s="2367"/>
      <c r="M1223" s="2367"/>
      <c r="N1223" s="2367"/>
      <c r="O1223" s="2367"/>
      <c r="P1223" s="2367"/>
      <c r="Q1223" s="2367"/>
      <c r="R1223" s="2367"/>
    </row>
    <row r="1224" spans="1:18">
      <c r="A1224" s="2367"/>
      <c r="B1224" s="2367"/>
      <c r="C1224" s="2367"/>
      <c r="D1224" s="2367"/>
      <c r="E1224" s="2367"/>
      <c r="F1224" s="2367"/>
      <c r="G1224" s="2367"/>
      <c r="H1224" s="2367"/>
      <c r="I1224" s="2367"/>
      <c r="J1224" s="2367"/>
      <c r="K1224" s="2367"/>
      <c r="L1224" s="2367"/>
      <c r="M1224" s="2367"/>
      <c r="N1224" s="2367"/>
      <c r="O1224" s="2367"/>
      <c r="P1224" s="2367"/>
      <c r="Q1224" s="2367"/>
      <c r="R1224" s="2367"/>
    </row>
    <row r="1225" spans="1:18">
      <c r="A1225" s="2367"/>
      <c r="B1225" s="2367"/>
      <c r="C1225" s="2367"/>
      <c r="D1225" s="2367"/>
      <c r="E1225" s="2367"/>
      <c r="F1225" s="2367"/>
      <c r="G1225" s="2367"/>
      <c r="H1225" s="2367"/>
      <c r="I1225" s="2367"/>
      <c r="J1225" s="2367"/>
      <c r="K1225" s="2367"/>
      <c r="L1225" s="2367"/>
      <c r="M1225" s="2367"/>
      <c r="N1225" s="2367"/>
      <c r="O1225" s="2367"/>
      <c r="P1225" s="2367"/>
      <c r="Q1225" s="2367"/>
      <c r="R1225" s="2367"/>
    </row>
    <row r="1226" spans="1:18">
      <c r="A1226" s="2367"/>
      <c r="B1226" s="2367"/>
      <c r="C1226" s="2367"/>
      <c r="D1226" s="2367"/>
      <c r="E1226" s="2367"/>
      <c r="F1226" s="2367"/>
      <c r="G1226" s="2367"/>
      <c r="H1226" s="2367"/>
      <c r="I1226" s="2367"/>
      <c r="J1226" s="2367"/>
      <c r="K1226" s="2367"/>
      <c r="L1226" s="2367"/>
      <c r="M1226" s="2367"/>
      <c r="N1226" s="2367"/>
      <c r="O1226" s="2367"/>
      <c r="P1226" s="2367"/>
      <c r="Q1226" s="2367"/>
      <c r="R1226" s="2367"/>
    </row>
    <row r="1227" spans="1:18">
      <c r="A1227" s="2367"/>
      <c r="B1227" s="2367"/>
      <c r="C1227" s="2367"/>
      <c r="D1227" s="2367"/>
      <c r="E1227" s="2367"/>
      <c r="F1227" s="2367"/>
      <c r="G1227" s="2367"/>
      <c r="H1227" s="2367"/>
      <c r="I1227" s="2367"/>
      <c r="J1227" s="2367"/>
      <c r="K1227" s="2367"/>
      <c r="L1227" s="2367"/>
      <c r="M1227" s="2367"/>
      <c r="N1227" s="2367"/>
      <c r="O1227" s="2367"/>
      <c r="P1227" s="2367"/>
      <c r="Q1227" s="2367"/>
      <c r="R1227" s="2367"/>
    </row>
    <row r="1228" spans="1:18">
      <c r="A1228" s="2367"/>
      <c r="B1228" s="2367"/>
      <c r="C1228" s="2367"/>
      <c r="D1228" s="2367"/>
      <c r="E1228" s="2367"/>
      <c r="F1228" s="2367"/>
      <c r="G1228" s="2367"/>
      <c r="H1228" s="2367"/>
      <c r="I1228" s="2367"/>
      <c r="J1228" s="2367"/>
      <c r="K1228" s="2367"/>
      <c r="L1228" s="2367"/>
      <c r="M1228" s="2367"/>
      <c r="N1228" s="2367"/>
      <c r="O1228" s="2367"/>
      <c r="P1228" s="2367"/>
      <c r="Q1228" s="2367"/>
      <c r="R1228" s="2367"/>
    </row>
    <row r="1229" spans="1:18">
      <c r="A1229" s="2367"/>
      <c r="B1229" s="2367"/>
      <c r="C1229" s="2367"/>
      <c r="D1229" s="2367"/>
      <c r="E1229" s="2367"/>
      <c r="F1229" s="2367"/>
      <c r="G1229" s="2367"/>
      <c r="H1229" s="2367"/>
      <c r="I1229" s="2367"/>
      <c r="J1229" s="2367"/>
      <c r="K1229" s="2367"/>
      <c r="L1229" s="2367"/>
      <c r="M1229" s="2367"/>
      <c r="N1229" s="2367"/>
      <c r="O1229" s="2367"/>
      <c r="P1229" s="2367"/>
      <c r="Q1229" s="2367"/>
      <c r="R1229" s="2367"/>
    </row>
    <row r="1230" spans="1:18">
      <c r="A1230" s="2367"/>
      <c r="B1230" s="2367"/>
      <c r="C1230" s="2367"/>
      <c r="D1230" s="2367"/>
      <c r="E1230" s="2367"/>
      <c r="F1230" s="2367"/>
      <c r="G1230" s="2367"/>
      <c r="H1230" s="2367"/>
      <c r="I1230" s="2367"/>
      <c r="J1230" s="2367"/>
      <c r="K1230" s="2367"/>
      <c r="L1230" s="2367"/>
      <c r="M1230" s="2367"/>
      <c r="N1230" s="2367"/>
      <c r="O1230" s="2367"/>
      <c r="P1230" s="2367"/>
      <c r="Q1230" s="2367"/>
      <c r="R1230" s="2367"/>
    </row>
    <row r="1231" spans="1:18">
      <c r="A1231" s="2367"/>
      <c r="B1231" s="2367"/>
      <c r="C1231" s="2367"/>
      <c r="D1231" s="2367"/>
      <c r="E1231" s="2367"/>
      <c r="F1231" s="2367"/>
      <c r="G1231" s="2367"/>
      <c r="H1231" s="2367"/>
      <c r="I1231" s="2367"/>
      <c r="J1231" s="2367"/>
      <c r="K1231" s="2367"/>
      <c r="L1231" s="2367"/>
      <c r="M1231" s="2367"/>
      <c r="N1231" s="2367"/>
      <c r="O1231" s="2367"/>
      <c r="P1231" s="2367"/>
      <c r="Q1231" s="2367"/>
      <c r="R1231" s="2367"/>
    </row>
    <row r="1232" spans="1:18">
      <c r="A1232" s="2367"/>
      <c r="B1232" s="2367"/>
      <c r="C1232" s="2367"/>
      <c r="D1232" s="2367"/>
      <c r="E1232" s="2367"/>
      <c r="F1232" s="2367"/>
      <c r="G1232" s="2367"/>
      <c r="H1232" s="2367"/>
      <c r="I1232" s="2367"/>
      <c r="J1232" s="2367"/>
      <c r="K1232" s="2367"/>
      <c r="L1232" s="2367"/>
      <c r="M1232" s="2367"/>
      <c r="N1232" s="2367"/>
      <c r="O1232" s="2367"/>
      <c r="P1232" s="2367"/>
      <c r="Q1232" s="2367"/>
      <c r="R1232" s="2367"/>
    </row>
    <row r="1233" spans="1:18">
      <c r="A1233" s="2367"/>
      <c r="B1233" s="2367"/>
      <c r="C1233" s="2367"/>
      <c r="D1233" s="2367"/>
      <c r="E1233" s="2367"/>
      <c r="F1233" s="2367"/>
      <c r="G1233" s="2367"/>
      <c r="H1233" s="2367"/>
      <c r="I1233" s="2367"/>
      <c r="J1233" s="2367"/>
      <c r="K1233" s="2367"/>
      <c r="L1233" s="2367"/>
      <c r="M1233" s="2367"/>
      <c r="N1233" s="2367"/>
      <c r="O1233" s="2367"/>
      <c r="P1233" s="2367"/>
      <c r="Q1233" s="2367"/>
      <c r="R1233" s="2367"/>
    </row>
    <row r="1234" spans="1:18">
      <c r="A1234" s="2367"/>
      <c r="B1234" s="2367"/>
      <c r="C1234" s="2367"/>
      <c r="D1234" s="2367"/>
      <c r="E1234" s="2367"/>
      <c r="F1234" s="2367"/>
      <c r="G1234" s="2367"/>
      <c r="H1234" s="2367"/>
      <c r="I1234" s="2367"/>
      <c r="J1234" s="2367"/>
      <c r="K1234" s="2367"/>
      <c r="L1234" s="2367"/>
      <c r="M1234" s="2367"/>
      <c r="N1234" s="2367"/>
      <c r="O1234" s="2367"/>
      <c r="P1234" s="2367"/>
      <c r="Q1234" s="2367"/>
      <c r="R1234" s="2367"/>
    </row>
    <row r="1235" spans="1:18">
      <c r="A1235" s="2367"/>
      <c r="B1235" s="2367"/>
      <c r="C1235" s="2367"/>
      <c r="D1235" s="2367"/>
      <c r="E1235" s="2367"/>
      <c r="F1235" s="2367"/>
      <c r="G1235" s="2367"/>
      <c r="H1235" s="2367"/>
      <c r="I1235" s="2367"/>
      <c r="J1235" s="2367"/>
      <c r="K1235" s="2367"/>
      <c r="L1235" s="2367"/>
      <c r="M1235" s="2367"/>
      <c r="N1235" s="2367"/>
      <c r="O1235" s="2367"/>
      <c r="P1235" s="2367"/>
      <c r="Q1235" s="2367"/>
      <c r="R1235" s="2367"/>
    </row>
    <row r="1236" spans="1:18">
      <c r="A1236" s="2367"/>
      <c r="B1236" s="2367"/>
      <c r="C1236" s="2367"/>
      <c r="D1236" s="2367"/>
      <c r="E1236" s="2367"/>
      <c r="F1236" s="2367"/>
      <c r="G1236" s="2367"/>
      <c r="H1236" s="2367"/>
      <c r="I1236" s="2367"/>
      <c r="J1236" s="2367"/>
      <c r="K1236" s="2367"/>
      <c r="L1236" s="2367"/>
      <c r="M1236" s="2367"/>
      <c r="N1236" s="2367"/>
      <c r="O1236" s="2367"/>
      <c r="P1236" s="2367"/>
      <c r="Q1236" s="2367"/>
      <c r="R1236" s="2367"/>
    </row>
    <row r="1237" spans="1:18">
      <c r="A1237" s="2367"/>
      <c r="B1237" s="2367"/>
      <c r="C1237" s="2367"/>
      <c r="D1237" s="2367"/>
      <c r="E1237" s="2367"/>
      <c r="F1237" s="2367"/>
      <c r="G1237" s="2367"/>
      <c r="H1237" s="2367"/>
      <c r="I1237" s="2367"/>
      <c r="J1237" s="2367"/>
      <c r="K1237" s="2367"/>
      <c r="L1237" s="2367"/>
      <c r="M1237" s="2367"/>
      <c r="N1237" s="2367"/>
      <c r="O1237" s="2367"/>
      <c r="P1237" s="2367"/>
      <c r="Q1237" s="2367"/>
      <c r="R1237" s="2367"/>
    </row>
    <row r="1238" spans="1:18">
      <c r="A1238" s="2367"/>
      <c r="B1238" s="2367"/>
      <c r="C1238" s="2367"/>
      <c r="D1238" s="2367"/>
      <c r="E1238" s="2367"/>
      <c r="F1238" s="2367"/>
      <c r="G1238" s="2367"/>
      <c r="H1238" s="2367"/>
      <c r="I1238" s="2367"/>
      <c r="J1238" s="2367"/>
      <c r="K1238" s="2367"/>
      <c r="L1238" s="2367"/>
      <c r="M1238" s="2367"/>
      <c r="N1238" s="2367"/>
      <c r="O1238" s="2367"/>
      <c r="P1238" s="2367"/>
      <c r="Q1238" s="2367"/>
      <c r="R1238" s="2367"/>
    </row>
    <row r="1239" spans="1:18">
      <c r="A1239" s="2367"/>
      <c r="B1239" s="2367"/>
      <c r="C1239" s="2367"/>
      <c r="D1239" s="2367"/>
      <c r="E1239" s="2367"/>
      <c r="F1239" s="2367"/>
      <c r="G1239" s="2367"/>
      <c r="H1239" s="2367"/>
      <c r="I1239" s="2367"/>
      <c r="J1239" s="2367"/>
      <c r="K1239" s="2367"/>
      <c r="L1239" s="2367"/>
      <c r="M1239" s="2367"/>
      <c r="N1239" s="2367"/>
      <c r="O1239" s="2367"/>
      <c r="P1239" s="2367"/>
      <c r="Q1239" s="2367"/>
      <c r="R1239" s="2367"/>
    </row>
    <row r="1240" spans="1:18">
      <c r="A1240" s="2367"/>
      <c r="B1240" s="2367"/>
      <c r="C1240" s="2367"/>
      <c r="D1240" s="2367"/>
      <c r="E1240" s="2367"/>
      <c r="F1240" s="2367"/>
      <c r="G1240" s="2367"/>
      <c r="H1240" s="2367"/>
      <c r="I1240" s="2367"/>
      <c r="J1240" s="2367"/>
      <c r="K1240" s="2367"/>
      <c r="L1240" s="2367"/>
      <c r="M1240" s="2367"/>
      <c r="N1240" s="2367"/>
      <c r="O1240" s="2367"/>
      <c r="P1240" s="2367"/>
      <c r="Q1240" s="2367"/>
      <c r="R1240" s="2367"/>
    </row>
    <row r="1241" spans="1:18">
      <c r="A1241" s="2367"/>
      <c r="B1241" s="2367"/>
      <c r="C1241" s="2367"/>
      <c r="D1241" s="2367"/>
      <c r="E1241" s="2367"/>
      <c r="F1241" s="2367"/>
      <c r="G1241" s="2367"/>
      <c r="H1241" s="2367"/>
      <c r="I1241" s="2367"/>
      <c r="J1241" s="2367"/>
      <c r="K1241" s="2367"/>
      <c r="L1241" s="2367"/>
      <c r="M1241" s="2367"/>
      <c r="N1241" s="2367"/>
      <c r="O1241" s="2367"/>
      <c r="P1241" s="2367"/>
      <c r="Q1241" s="2367"/>
      <c r="R1241" s="2367"/>
    </row>
    <row r="1242" spans="1:18">
      <c r="A1242" s="2367"/>
      <c r="B1242" s="2367"/>
      <c r="C1242" s="2367"/>
      <c r="D1242" s="2367"/>
      <c r="E1242" s="2367"/>
      <c r="F1242" s="2367"/>
      <c r="G1242" s="2367"/>
      <c r="H1242" s="2367"/>
      <c r="I1242" s="2367"/>
      <c r="J1242" s="2367"/>
      <c r="K1242" s="2367"/>
      <c r="L1242" s="2367"/>
      <c r="M1242" s="2367"/>
      <c r="N1242" s="2367"/>
      <c r="O1242" s="2367"/>
      <c r="P1242" s="2367"/>
      <c r="Q1242" s="2367"/>
      <c r="R1242" s="2367"/>
    </row>
    <row r="1243" spans="1:18">
      <c r="A1243" s="2367"/>
      <c r="B1243" s="2367"/>
      <c r="C1243" s="2367"/>
      <c r="D1243" s="2367"/>
      <c r="E1243" s="2367"/>
      <c r="F1243" s="2367"/>
      <c r="G1243" s="2367"/>
      <c r="H1243" s="2367"/>
      <c r="I1243" s="2367"/>
      <c r="J1243" s="2367"/>
      <c r="K1243" s="2367"/>
      <c r="L1243" s="2367"/>
      <c r="M1243" s="2367"/>
      <c r="N1243" s="2367"/>
      <c r="O1243" s="2367"/>
      <c r="P1243" s="2367"/>
      <c r="Q1243" s="2367"/>
      <c r="R1243" s="2367"/>
    </row>
    <row r="1244" spans="1:18">
      <c r="A1244" s="2367"/>
      <c r="B1244" s="2367"/>
      <c r="C1244" s="2367"/>
      <c r="D1244" s="2367"/>
      <c r="E1244" s="2367"/>
      <c r="F1244" s="2367"/>
      <c r="G1244" s="2367"/>
      <c r="H1244" s="2367"/>
      <c r="I1244" s="2367"/>
      <c r="J1244" s="2367"/>
      <c r="K1244" s="2367"/>
      <c r="L1244" s="2367"/>
      <c r="M1244" s="2367"/>
      <c r="N1244" s="2367"/>
      <c r="O1244" s="2367"/>
      <c r="P1244" s="2367"/>
      <c r="Q1244" s="2367"/>
      <c r="R1244" s="2367"/>
    </row>
    <row r="1245" spans="1:18">
      <c r="A1245" s="2367"/>
      <c r="B1245" s="2367"/>
      <c r="C1245" s="2367"/>
      <c r="D1245" s="2367"/>
      <c r="E1245" s="2367"/>
      <c r="F1245" s="2367"/>
      <c r="G1245" s="2367"/>
      <c r="H1245" s="2367"/>
      <c r="I1245" s="2367"/>
      <c r="J1245" s="2367"/>
      <c r="K1245" s="2367"/>
      <c r="L1245" s="2367"/>
      <c r="M1245" s="2367"/>
      <c r="N1245" s="2367"/>
      <c r="O1245" s="2367"/>
      <c r="P1245" s="2367"/>
      <c r="Q1245" s="2367"/>
      <c r="R1245" s="2367"/>
    </row>
    <row r="1246" spans="1:18">
      <c r="A1246" s="2367"/>
      <c r="B1246" s="2367"/>
      <c r="C1246" s="2367"/>
      <c r="D1246" s="2367"/>
      <c r="E1246" s="2367"/>
      <c r="F1246" s="2367"/>
      <c r="G1246" s="2367"/>
      <c r="H1246" s="2367"/>
      <c r="I1246" s="2367"/>
      <c r="J1246" s="2367"/>
      <c r="K1246" s="2367"/>
      <c r="L1246" s="2367"/>
      <c r="M1246" s="2367"/>
      <c r="N1246" s="2367"/>
      <c r="O1246" s="2367"/>
      <c r="P1246" s="2367"/>
      <c r="Q1246" s="2367"/>
      <c r="R1246" s="2367"/>
    </row>
    <row r="1247" spans="1:18">
      <c r="A1247" s="2367"/>
      <c r="B1247" s="2367"/>
      <c r="C1247" s="2367"/>
      <c r="D1247" s="2367"/>
      <c r="E1247" s="2367"/>
      <c r="F1247" s="2367"/>
      <c r="G1247" s="2367"/>
      <c r="H1247" s="2367"/>
      <c r="I1247" s="2367"/>
      <c r="J1247" s="2367"/>
      <c r="K1247" s="2367"/>
      <c r="L1247" s="2367"/>
      <c r="M1247" s="2367"/>
      <c r="N1247" s="2367"/>
      <c r="O1247" s="2367"/>
      <c r="P1247" s="2367"/>
      <c r="Q1247" s="2367"/>
      <c r="R1247" s="2367"/>
    </row>
    <row r="1248" spans="1:18">
      <c r="A1248" s="2367"/>
      <c r="B1248" s="2367"/>
      <c r="C1248" s="2367"/>
      <c r="D1248" s="2367"/>
      <c r="E1248" s="2367"/>
      <c r="F1248" s="2367"/>
      <c r="G1248" s="2367"/>
      <c r="H1248" s="2367"/>
      <c r="I1248" s="2367"/>
      <c r="J1248" s="2367"/>
      <c r="K1248" s="2367"/>
      <c r="L1248" s="2367"/>
      <c r="M1248" s="2367"/>
      <c r="N1248" s="2367"/>
      <c r="O1248" s="2367"/>
      <c r="P1248" s="2367"/>
      <c r="Q1248" s="2367"/>
      <c r="R1248" s="2367"/>
    </row>
    <row r="1249" spans="1:18">
      <c r="A1249" s="2367"/>
      <c r="B1249" s="2367"/>
      <c r="C1249" s="2367"/>
      <c r="D1249" s="2367"/>
      <c r="E1249" s="2367"/>
      <c r="F1249" s="2367"/>
      <c r="G1249" s="2367"/>
      <c r="H1249" s="2367"/>
      <c r="I1249" s="2367"/>
      <c r="J1249" s="2367"/>
      <c r="K1249" s="2367"/>
      <c r="L1249" s="2367"/>
      <c r="M1249" s="2367"/>
      <c r="N1249" s="2367"/>
      <c r="O1249" s="2367"/>
      <c r="P1249" s="2367"/>
      <c r="Q1249" s="2367"/>
      <c r="R1249" s="2367"/>
    </row>
    <row r="1250" spans="1:18">
      <c r="A1250" s="2367"/>
      <c r="B1250" s="2367"/>
      <c r="C1250" s="2367"/>
      <c r="D1250" s="2367"/>
      <c r="E1250" s="2367"/>
      <c r="F1250" s="2367"/>
      <c r="G1250" s="2367"/>
      <c r="H1250" s="2367"/>
      <c r="I1250" s="2367"/>
      <c r="J1250" s="2367"/>
      <c r="K1250" s="2367"/>
      <c r="L1250" s="2367"/>
      <c r="M1250" s="2367"/>
      <c r="N1250" s="2367"/>
      <c r="O1250" s="2367"/>
      <c r="P1250" s="2367"/>
      <c r="Q1250" s="2367"/>
      <c r="R1250" s="2367"/>
    </row>
    <row r="1251" spans="1:18">
      <c r="A1251" s="2367"/>
      <c r="B1251" s="2367"/>
      <c r="C1251" s="2367"/>
      <c r="D1251" s="2367"/>
      <c r="E1251" s="2367"/>
      <c r="F1251" s="2367"/>
      <c r="G1251" s="2367"/>
      <c r="H1251" s="2367"/>
      <c r="I1251" s="2367"/>
      <c r="J1251" s="2367"/>
      <c r="K1251" s="2367"/>
      <c r="L1251" s="2367"/>
      <c r="M1251" s="2367"/>
      <c r="N1251" s="2367"/>
      <c r="O1251" s="2367"/>
      <c r="P1251" s="2367"/>
      <c r="Q1251" s="2367"/>
      <c r="R1251" s="2367"/>
    </row>
    <row r="1252" spans="1:18">
      <c r="A1252" s="2367"/>
      <c r="B1252" s="2367"/>
      <c r="C1252" s="2367"/>
      <c r="D1252" s="2367"/>
      <c r="E1252" s="2367"/>
      <c r="F1252" s="2367"/>
      <c r="G1252" s="2367"/>
      <c r="H1252" s="2367"/>
      <c r="I1252" s="2367"/>
      <c r="J1252" s="2367"/>
      <c r="K1252" s="2367"/>
      <c r="L1252" s="2367"/>
      <c r="M1252" s="2367"/>
      <c r="N1252" s="2367"/>
      <c r="O1252" s="2367"/>
      <c r="P1252" s="2367"/>
      <c r="Q1252" s="2367"/>
      <c r="R1252" s="2367"/>
    </row>
    <row r="1253" spans="1:18">
      <c r="A1253" s="2367"/>
      <c r="B1253" s="2367"/>
      <c r="C1253" s="2367"/>
      <c r="D1253" s="2367"/>
      <c r="E1253" s="2367"/>
      <c r="F1253" s="2367"/>
      <c r="G1253" s="2367"/>
      <c r="H1253" s="2367"/>
      <c r="I1253" s="2367"/>
      <c r="J1253" s="2367"/>
      <c r="K1253" s="2367"/>
      <c r="L1253" s="2367"/>
      <c r="M1253" s="2367"/>
      <c r="N1253" s="2367"/>
      <c r="O1253" s="2367"/>
      <c r="P1253" s="2367"/>
      <c r="Q1253" s="2367"/>
      <c r="R1253" s="2367"/>
    </row>
    <row r="1254" spans="1:18">
      <c r="A1254" s="2367"/>
      <c r="B1254" s="2367"/>
      <c r="C1254" s="2367"/>
      <c r="D1254" s="2367"/>
      <c r="E1254" s="2367"/>
      <c r="F1254" s="2367"/>
      <c r="G1254" s="2367"/>
      <c r="H1254" s="2367"/>
      <c r="I1254" s="2367"/>
      <c r="J1254" s="2367"/>
      <c r="K1254" s="2367"/>
      <c r="L1254" s="2367"/>
      <c r="M1254" s="2367"/>
      <c r="N1254" s="2367"/>
      <c r="O1254" s="2367"/>
      <c r="P1254" s="2367"/>
      <c r="Q1254" s="2367"/>
      <c r="R1254" s="2367"/>
    </row>
    <row r="1255" spans="1:18">
      <c r="A1255" s="2367"/>
      <c r="B1255" s="2367"/>
      <c r="C1255" s="2367"/>
      <c r="D1255" s="2367"/>
      <c r="E1255" s="2367"/>
      <c r="F1255" s="2367"/>
      <c r="G1255" s="2367"/>
      <c r="H1255" s="2367"/>
      <c r="I1255" s="2367"/>
      <c r="J1255" s="2367"/>
      <c r="K1255" s="2367"/>
      <c r="L1255" s="2367"/>
      <c r="M1255" s="2367"/>
      <c r="N1255" s="2367"/>
      <c r="O1255" s="2367"/>
      <c r="P1255" s="2367"/>
      <c r="Q1255" s="2367"/>
      <c r="R1255" s="2367"/>
    </row>
    <row r="1256" spans="1:18">
      <c r="A1256" s="2367"/>
      <c r="B1256" s="2367"/>
      <c r="C1256" s="2367"/>
      <c r="D1256" s="2367"/>
      <c r="E1256" s="2367"/>
      <c r="F1256" s="2367"/>
      <c r="G1256" s="2367"/>
      <c r="H1256" s="2367"/>
      <c r="I1256" s="2367"/>
      <c r="J1256" s="2367"/>
      <c r="K1256" s="2367"/>
      <c r="L1256" s="2367"/>
      <c r="M1256" s="2367"/>
      <c r="N1256" s="2367"/>
      <c r="O1256" s="2367"/>
      <c r="P1256" s="2367"/>
      <c r="Q1256" s="2367"/>
      <c r="R1256" s="2367"/>
    </row>
    <row r="1257" spans="1:18">
      <c r="A1257" s="2367"/>
      <c r="B1257" s="2367"/>
      <c r="C1257" s="2367"/>
      <c r="D1257" s="2367"/>
      <c r="E1257" s="2367"/>
      <c r="F1257" s="2367"/>
      <c r="G1257" s="2367"/>
      <c r="H1257" s="2367"/>
      <c r="I1257" s="2367"/>
      <c r="J1257" s="2367"/>
      <c r="K1257" s="2367"/>
      <c r="L1257" s="2367"/>
      <c r="M1257" s="2367"/>
      <c r="N1257" s="2367"/>
      <c r="O1257" s="2367"/>
      <c r="P1257" s="2367"/>
      <c r="Q1257" s="2367"/>
      <c r="R1257" s="2367"/>
    </row>
    <row r="1258" spans="1:18">
      <c r="A1258" s="2367"/>
      <c r="B1258" s="2367"/>
      <c r="C1258" s="2367"/>
      <c r="D1258" s="2367"/>
      <c r="E1258" s="2367"/>
      <c r="F1258" s="2367"/>
      <c r="G1258" s="2367"/>
      <c r="H1258" s="2367"/>
      <c r="I1258" s="2367"/>
      <c r="J1258" s="2367"/>
      <c r="K1258" s="2367"/>
      <c r="L1258" s="2367"/>
      <c r="M1258" s="2367"/>
      <c r="N1258" s="2367"/>
      <c r="O1258" s="2367"/>
      <c r="P1258" s="2367"/>
      <c r="Q1258" s="2367"/>
      <c r="R1258" s="2367"/>
    </row>
    <row r="1259" spans="1:18">
      <c r="A1259" s="2367"/>
      <c r="B1259" s="2367"/>
      <c r="C1259" s="2367"/>
      <c r="D1259" s="2367"/>
      <c r="E1259" s="2367"/>
      <c r="F1259" s="2367"/>
      <c r="G1259" s="2367"/>
      <c r="H1259" s="2367"/>
      <c r="I1259" s="2367"/>
      <c r="J1259" s="2367"/>
      <c r="K1259" s="2367"/>
      <c r="L1259" s="2367"/>
      <c r="M1259" s="2367"/>
      <c r="N1259" s="2367"/>
      <c r="O1259" s="2367"/>
      <c r="P1259" s="2367"/>
      <c r="Q1259" s="2367"/>
      <c r="R1259" s="2367"/>
    </row>
    <row r="1260" spans="1:18">
      <c r="A1260" s="2367"/>
      <c r="B1260" s="2367"/>
      <c r="C1260" s="2367"/>
      <c r="D1260" s="2367"/>
      <c r="E1260" s="2367"/>
      <c r="F1260" s="2367"/>
      <c r="G1260" s="2367"/>
      <c r="H1260" s="2367"/>
      <c r="I1260" s="2367"/>
      <c r="J1260" s="2367"/>
      <c r="K1260" s="2367"/>
      <c r="L1260" s="2367"/>
      <c r="M1260" s="2367"/>
      <c r="N1260" s="2367"/>
      <c r="O1260" s="2367"/>
      <c r="P1260" s="2367"/>
      <c r="Q1260" s="2367"/>
      <c r="R1260" s="2367"/>
    </row>
    <row r="1261" spans="1:18">
      <c r="A1261" s="2367"/>
      <c r="B1261" s="2367"/>
      <c r="C1261" s="2367"/>
      <c r="D1261" s="2367"/>
      <c r="E1261" s="2367"/>
      <c r="F1261" s="2367"/>
      <c r="G1261" s="2367"/>
      <c r="H1261" s="2367"/>
      <c r="I1261" s="2367"/>
      <c r="J1261" s="2367"/>
      <c r="K1261" s="2367"/>
      <c r="L1261" s="2367"/>
      <c r="M1261" s="2367"/>
      <c r="N1261" s="2367"/>
      <c r="O1261" s="2367"/>
      <c r="P1261" s="2367"/>
      <c r="Q1261" s="2367"/>
      <c r="R1261" s="2367"/>
    </row>
    <row r="1262" spans="1:18">
      <c r="A1262" s="2367"/>
      <c r="B1262" s="2367"/>
      <c r="C1262" s="2367"/>
      <c r="D1262" s="2367"/>
      <c r="E1262" s="2367"/>
      <c r="F1262" s="2367"/>
      <c r="G1262" s="2367"/>
      <c r="H1262" s="2367"/>
      <c r="I1262" s="2367"/>
      <c r="J1262" s="2367"/>
      <c r="K1262" s="2367"/>
      <c r="L1262" s="2367"/>
      <c r="M1262" s="2367"/>
      <c r="N1262" s="2367"/>
      <c r="O1262" s="2367"/>
      <c r="P1262" s="2367"/>
      <c r="Q1262" s="2367"/>
      <c r="R1262" s="2367"/>
    </row>
    <row r="1263" spans="1:18">
      <c r="A1263" s="2367"/>
      <c r="B1263" s="2367"/>
      <c r="C1263" s="2367"/>
      <c r="D1263" s="2367"/>
      <c r="E1263" s="2367"/>
      <c r="F1263" s="2367"/>
      <c r="G1263" s="2367"/>
      <c r="H1263" s="2367"/>
      <c r="I1263" s="2367"/>
      <c r="J1263" s="2367"/>
      <c r="K1263" s="2367"/>
      <c r="L1263" s="2367"/>
      <c r="M1263" s="2367"/>
      <c r="N1263" s="2367"/>
      <c r="O1263" s="2367"/>
      <c r="P1263" s="2367"/>
      <c r="Q1263" s="2367"/>
      <c r="R1263" s="2367"/>
    </row>
    <row r="1264" spans="1:18">
      <c r="A1264" s="2367"/>
      <c r="B1264" s="2367"/>
      <c r="C1264" s="2367"/>
      <c r="D1264" s="2367"/>
      <c r="E1264" s="2367"/>
      <c r="F1264" s="2367"/>
      <c r="G1264" s="2367"/>
      <c r="H1264" s="2367"/>
      <c r="I1264" s="2367"/>
      <c r="J1264" s="2367"/>
      <c r="K1264" s="2367"/>
      <c r="L1264" s="2367"/>
      <c r="M1264" s="2367"/>
      <c r="N1264" s="2367"/>
      <c r="O1264" s="2367"/>
      <c r="P1264" s="2367"/>
      <c r="Q1264" s="2367"/>
      <c r="R1264" s="2367"/>
    </row>
    <row r="1265" spans="1:18">
      <c r="A1265" s="2367"/>
      <c r="B1265" s="2367"/>
      <c r="C1265" s="2367"/>
      <c r="D1265" s="2367"/>
      <c r="E1265" s="2367"/>
      <c r="F1265" s="2367"/>
      <c r="G1265" s="2367"/>
      <c r="H1265" s="2367"/>
      <c r="I1265" s="2367"/>
      <c r="J1265" s="2367"/>
      <c r="K1265" s="2367"/>
      <c r="L1265" s="2367"/>
      <c r="M1265" s="2367"/>
      <c r="N1265" s="2367"/>
      <c r="O1265" s="2367"/>
      <c r="P1265" s="2367"/>
      <c r="Q1265" s="2367"/>
      <c r="R1265" s="2367"/>
    </row>
    <row r="1266" spans="1:18">
      <c r="A1266" s="2367"/>
      <c r="B1266" s="2367"/>
      <c r="C1266" s="2367"/>
      <c r="D1266" s="2367"/>
      <c r="E1266" s="2367"/>
      <c r="F1266" s="2367"/>
      <c r="G1266" s="2367"/>
      <c r="H1266" s="2367"/>
      <c r="I1266" s="2367"/>
      <c r="J1266" s="2367"/>
      <c r="K1266" s="2367"/>
      <c r="L1266" s="2367"/>
      <c r="M1266" s="2367"/>
      <c r="N1266" s="2367"/>
      <c r="O1266" s="2367"/>
      <c r="P1266" s="2367"/>
      <c r="Q1266" s="2367"/>
      <c r="R1266" s="2367"/>
    </row>
    <row r="1267" spans="1:18">
      <c r="A1267" s="2367"/>
      <c r="B1267" s="2367"/>
      <c r="C1267" s="2367"/>
      <c r="D1267" s="2367"/>
      <c r="E1267" s="2367"/>
      <c r="F1267" s="2367"/>
      <c r="G1267" s="2367"/>
      <c r="H1267" s="2367"/>
      <c r="I1267" s="2367"/>
      <c r="J1267" s="2367"/>
      <c r="K1267" s="2367"/>
      <c r="L1267" s="2367"/>
      <c r="M1267" s="2367"/>
      <c r="N1267" s="2367"/>
      <c r="O1267" s="2367"/>
      <c r="P1267" s="2367"/>
      <c r="Q1267" s="2367"/>
      <c r="R1267" s="2367"/>
    </row>
    <row r="1268" spans="1:18">
      <c r="A1268" s="2367"/>
      <c r="B1268" s="2367"/>
      <c r="C1268" s="2367"/>
      <c r="D1268" s="2367"/>
      <c r="E1268" s="2367"/>
      <c r="F1268" s="2367"/>
      <c r="G1268" s="2367"/>
      <c r="H1268" s="2367"/>
      <c r="I1268" s="2367"/>
      <c r="J1268" s="2367"/>
      <c r="K1268" s="2367"/>
      <c r="L1268" s="2367"/>
      <c r="M1268" s="2367"/>
      <c r="N1268" s="2367"/>
      <c r="O1268" s="2367"/>
      <c r="P1268" s="2367"/>
      <c r="Q1268" s="2367"/>
      <c r="R1268" s="2367"/>
    </row>
    <row r="1269" spans="1:18">
      <c r="A1269" s="2367"/>
      <c r="B1269" s="2367"/>
      <c r="C1269" s="2367"/>
      <c r="D1269" s="2367"/>
      <c r="E1269" s="2367"/>
      <c r="F1269" s="2367"/>
      <c r="G1269" s="2367"/>
      <c r="H1269" s="2367"/>
      <c r="I1269" s="2367"/>
      <c r="J1269" s="2367"/>
      <c r="K1269" s="2367"/>
      <c r="L1269" s="2367"/>
      <c r="M1269" s="2367"/>
      <c r="N1269" s="2367"/>
      <c r="O1269" s="2367"/>
      <c r="P1269" s="2367"/>
      <c r="Q1269" s="2367"/>
      <c r="R1269" s="2367"/>
    </row>
    <row r="1270" spans="1:18">
      <c r="A1270" s="2367"/>
      <c r="B1270" s="2367"/>
      <c r="C1270" s="2367"/>
      <c r="D1270" s="2367"/>
      <c r="E1270" s="2367"/>
      <c r="F1270" s="2367"/>
      <c r="G1270" s="2367"/>
      <c r="H1270" s="2367"/>
      <c r="I1270" s="2367"/>
      <c r="J1270" s="2367"/>
      <c r="K1270" s="2367"/>
      <c r="L1270" s="2367"/>
      <c r="M1270" s="2367"/>
      <c r="N1270" s="2367"/>
      <c r="O1270" s="2367"/>
      <c r="P1270" s="2367"/>
      <c r="Q1270" s="2367"/>
      <c r="R1270" s="2367"/>
    </row>
    <row r="1271" spans="1:18">
      <c r="A1271" s="2367"/>
      <c r="B1271" s="2367"/>
      <c r="C1271" s="2367"/>
      <c r="D1271" s="2367"/>
      <c r="E1271" s="2367"/>
      <c r="F1271" s="2367"/>
      <c r="G1271" s="2367"/>
      <c r="H1271" s="2367"/>
      <c r="I1271" s="2367"/>
      <c r="J1271" s="2367"/>
      <c r="K1271" s="2367"/>
      <c r="L1271" s="2367"/>
      <c r="M1271" s="2367"/>
      <c r="N1271" s="2367"/>
      <c r="O1271" s="2367"/>
      <c r="P1271" s="2367"/>
      <c r="Q1271" s="2367"/>
      <c r="R1271" s="2367"/>
    </row>
    <row r="1272" spans="1:18">
      <c r="A1272" s="2367"/>
      <c r="B1272" s="2367"/>
      <c r="C1272" s="2367"/>
      <c r="D1272" s="2367"/>
      <c r="E1272" s="2367"/>
      <c r="F1272" s="2367"/>
      <c r="G1272" s="2367"/>
      <c r="H1272" s="2367"/>
      <c r="I1272" s="2367"/>
      <c r="J1272" s="2367"/>
      <c r="K1272" s="2367"/>
      <c r="L1272" s="2367"/>
      <c r="M1272" s="2367"/>
      <c r="N1272" s="2367"/>
      <c r="O1272" s="2367"/>
      <c r="P1272" s="2367"/>
      <c r="Q1272" s="2367"/>
      <c r="R1272" s="2367"/>
    </row>
    <row r="1273" spans="1:18">
      <c r="A1273" s="2367"/>
      <c r="B1273" s="2367"/>
      <c r="C1273" s="2367"/>
      <c r="D1273" s="2367"/>
      <c r="E1273" s="2367"/>
      <c r="F1273" s="2367"/>
      <c r="G1273" s="2367"/>
      <c r="H1273" s="2367"/>
      <c r="I1273" s="2367"/>
      <c r="J1273" s="2367"/>
      <c r="K1273" s="2367"/>
      <c r="L1273" s="2367"/>
      <c r="M1273" s="2367"/>
      <c r="N1273" s="2367"/>
      <c r="O1273" s="2367"/>
      <c r="P1273" s="2367"/>
      <c r="Q1273" s="2367"/>
      <c r="R1273" s="2367"/>
    </row>
    <row r="1274" spans="1:18">
      <c r="A1274" s="2367"/>
      <c r="B1274" s="2367"/>
      <c r="C1274" s="2367"/>
      <c r="D1274" s="2367"/>
      <c r="E1274" s="2367"/>
      <c r="F1274" s="2367"/>
      <c r="G1274" s="2367"/>
      <c r="H1274" s="2367"/>
      <c r="I1274" s="2367"/>
      <c r="J1274" s="2367"/>
      <c r="K1274" s="2367"/>
      <c r="L1274" s="2367"/>
      <c r="M1274" s="2367"/>
      <c r="N1274" s="2367"/>
      <c r="O1274" s="2367"/>
      <c r="P1274" s="2367"/>
      <c r="Q1274" s="2367"/>
      <c r="R1274" s="2367"/>
    </row>
    <row r="1275" spans="1:18">
      <c r="A1275" s="2367"/>
      <c r="B1275" s="2367"/>
      <c r="C1275" s="2367"/>
      <c r="D1275" s="2367"/>
      <c r="E1275" s="2367"/>
      <c r="F1275" s="2367"/>
      <c r="G1275" s="2367"/>
      <c r="H1275" s="2367"/>
      <c r="I1275" s="2367"/>
      <c r="J1275" s="2367"/>
      <c r="K1275" s="2367"/>
      <c r="L1275" s="2367"/>
      <c r="M1275" s="2367"/>
      <c r="N1275" s="2367"/>
      <c r="O1275" s="2367"/>
      <c r="P1275" s="2367"/>
      <c r="Q1275" s="2367"/>
      <c r="R1275" s="2367"/>
    </row>
    <row r="1276" spans="1:18">
      <c r="A1276" s="2367"/>
      <c r="B1276" s="2367"/>
      <c r="C1276" s="2367"/>
      <c r="D1276" s="2367"/>
      <c r="E1276" s="2367"/>
      <c r="F1276" s="2367"/>
      <c r="G1276" s="2367"/>
      <c r="H1276" s="2367"/>
      <c r="I1276" s="2367"/>
      <c r="J1276" s="2367"/>
      <c r="K1276" s="2367"/>
      <c r="L1276" s="2367"/>
      <c r="M1276" s="2367"/>
      <c r="N1276" s="2367"/>
      <c r="O1276" s="2367"/>
      <c r="P1276" s="2367"/>
      <c r="Q1276" s="2367"/>
      <c r="R1276" s="2367"/>
    </row>
    <row r="1277" spans="1:18">
      <c r="A1277" s="2367"/>
      <c r="B1277" s="2367"/>
      <c r="C1277" s="2367"/>
      <c r="D1277" s="2367"/>
      <c r="E1277" s="2367"/>
      <c r="F1277" s="2367"/>
      <c r="G1277" s="2367"/>
      <c r="H1277" s="2367"/>
      <c r="I1277" s="2367"/>
      <c r="J1277" s="2367"/>
      <c r="K1277" s="2367"/>
      <c r="L1277" s="2367"/>
      <c r="M1277" s="2367"/>
      <c r="N1277" s="2367"/>
      <c r="O1277" s="2367"/>
      <c r="P1277" s="2367"/>
      <c r="Q1277" s="2367"/>
      <c r="R1277" s="2367"/>
    </row>
    <row r="1278" spans="1:18">
      <c r="A1278" s="2367"/>
      <c r="B1278" s="2367"/>
      <c r="C1278" s="2367"/>
      <c r="D1278" s="2367"/>
      <c r="E1278" s="2367"/>
      <c r="F1278" s="2367"/>
      <c r="G1278" s="2367"/>
      <c r="H1278" s="2367"/>
      <c r="I1278" s="2367"/>
      <c r="J1278" s="2367"/>
      <c r="K1278" s="2367"/>
      <c r="L1278" s="2367"/>
      <c r="M1278" s="2367"/>
      <c r="N1278" s="2367"/>
      <c r="O1278" s="2367"/>
      <c r="P1278" s="2367"/>
      <c r="Q1278" s="2367"/>
      <c r="R1278" s="2367"/>
    </row>
    <row r="1279" spans="1:18">
      <c r="A1279" s="2367"/>
      <c r="B1279" s="2367"/>
      <c r="C1279" s="2367"/>
      <c r="D1279" s="2367"/>
      <c r="E1279" s="2367"/>
      <c r="F1279" s="2367"/>
      <c r="G1279" s="2367"/>
      <c r="H1279" s="2367"/>
      <c r="I1279" s="2367"/>
      <c r="J1279" s="2367"/>
      <c r="K1279" s="2367"/>
      <c r="L1279" s="2367"/>
      <c r="M1279" s="2367"/>
      <c r="N1279" s="2367"/>
      <c r="O1279" s="2367"/>
      <c r="P1279" s="2367"/>
      <c r="Q1279" s="2367"/>
      <c r="R1279" s="2367"/>
    </row>
    <row r="1280" spans="1:18">
      <c r="A1280" s="2367"/>
      <c r="B1280" s="2367"/>
      <c r="C1280" s="2367"/>
      <c r="D1280" s="2367"/>
      <c r="E1280" s="2367"/>
      <c r="F1280" s="2367"/>
      <c r="G1280" s="2367"/>
      <c r="H1280" s="2367"/>
      <c r="I1280" s="2367"/>
      <c r="J1280" s="2367"/>
      <c r="K1280" s="2367"/>
      <c r="L1280" s="2367"/>
      <c r="M1280" s="2367"/>
      <c r="N1280" s="2367"/>
      <c r="O1280" s="2367"/>
      <c r="P1280" s="2367"/>
      <c r="Q1280" s="2367"/>
      <c r="R1280" s="2367"/>
    </row>
    <row r="1281" spans="1:18">
      <c r="A1281" s="2367"/>
      <c r="B1281" s="2367"/>
      <c r="C1281" s="2367"/>
      <c r="D1281" s="2367"/>
      <c r="E1281" s="2367"/>
      <c r="F1281" s="2367"/>
      <c r="G1281" s="2367"/>
      <c r="H1281" s="2367"/>
      <c r="I1281" s="2367"/>
      <c r="J1281" s="2367"/>
      <c r="K1281" s="2367"/>
      <c r="L1281" s="2367"/>
      <c r="M1281" s="2367"/>
      <c r="N1281" s="2367"/>
      <c r="O1281" s="2367"/>
      <c r="P1281" s="2367"/>
      <c r="Q1281" s="2367"/>
      <c r="R1281" s="2367"/>
    </row>
    <row r="1282" spans="1:18">
      <c r="A1282" s="2367"/>
      <c r="B1282" s="2367"/>
      <c r="C1282" s="2367"/>
      <c r="D1282" s="2367"/>
      <c r="E1282" s="2367"/>
      <c r="F1282" s="2367"/>
      <c r="G1282" s="2367"/>
      <c r="H1282" s="2367"/>
      <c r="I1282" s="2367"/>
      <c r="J1282" s="2367"/>
      <c r="K1282" s="2367"/>
      <c r="L1282" s="2367"/>
      <c r="M1282" s="2367"/>
      <c r="N1282" s="2367"/>
      <c r="O1282" s="2367"/>
      <c r="P1282" s="2367"/>
      <c r="Q1282" s="2367"/>
      <c r="R1282" s="2367"/>
    </row>
    <row r="1283" spans="1:18">
      <c r="A1283" s="2367"/>
      <c r="B1283" s="2367"/>
      <c r="C1283" s="2367"/>
      <c r="D1283" s="2367"/>
      <c r="E1283" s="2367"/>
      <c r="F1283" s="2367"/>
      <c r="G1283" s="2367"/>
      <c r="H1283" s="2367"/>
      <c r="I1283" s="2367"/>
      <c r="J1283" s="2367"/>
      <c r="K1283" s="2367"/>
      <c r="L1283" s="2367"/>
      <c r="M1283" s="2367"/>
      <c r="N1283" s="2367"/>
      <c r="O1283" s="2367"/>
      <c r="P1283" s="2367"/>
      <c r="Q1283" s="2367"/>
      <c r="R1283" s="2367"/>
    </row>
    <row r="1284" spans="1:18">
      <c r="A1284" s="2367"/>
      <c r="B1284" s="2367"/>
      <c r="C1284" s="2367"/>
      <c r="D1284" s="2367"/>
      <c r="E1284" s="2367"/>
      <c r="F1284" s="2367"/>
      <c r="G1284" s="2367"/>
      <c r="H1284" s="2367"/>
      <c r="I1284" s="2367"/>
      <c r="J1284" s="2367"/>
      <c r="K1284" s="2367"/>
      <c r="L1284" s="2367"/>
      <c r="M1284" s="2367"/>
      <c r="N1284" s="2367"/>
      <c r="O1284" s="2367"/>
      <c r="P1284" s="2367"/>
      <c r="Q1284" s="2367"/>
      <c r="R1284" s="2367"/>
    </row>
    <row r="1285" spans="1:18">
      <c r="A1285" s="2367"/>
      <c r="B1285" s="2367"/>
      <c r="C1285" s="2367"/>
      <c r="D1285" s="2367"/>
      <c r="E1285" s="2367"/>
      <c r="F1285" s="2367"/>
      <c r="G1285" s="2367"/>
      <c r="H1285" s="2367"/>
      <c r="I1285" s="2367"/>
      <c r="J1285" s="2367"/>
      <c r="K1285" s="2367"/>
      <c r="L1285" s="2367"/>
      <c r="M1285" s="2367"/>
      <c r="N1285" s="2367"/>
      <c r="O1285" s="2367"/>
      <c r="P1285" s="2367"/>
      <c r="Q1285" s="2367"/>
      <c r="R1285" s="2367"/>
    </row>
    <row r="1286" spans="1:18">
      <c r="A1286" s="2367"/>
      <c r="B1286" s="2367"/>
      <c r="C1286" s="2367"/>
      <c r="D1286" s="2367"/>
      <c r="E1286" s="2367"/>
      <c r="F1286" s="2367"/>
      <c r="G1286" s="2367"/>
      <c r="H1286" s="2367"/>
      <c r="I1286" s="2367"/>
      <c r="J1286" s="2367"/>
      <c r="K1286" s="2367"/>
      <c r="L1286" s="2367"/>
      <c r="M1286" s="2367"/>
      <c r="N1286" s="2367"/>
      <c r="O1286" s="2367"/>
      <c r="P1286" s="2367"/>
      <c r="Q1286" s="2367"/>
      <c r="R1286" s="2367"/>
    </row>
    <row r="1287" spans="1:18">
      <c r="A1287" s="2367"/>
      <c r="B1287" s="2367"/>
      <c r="C1287" s="2367"/>
      <c r="D1287" s="2367"/>
      <c r="E1287" s="2367"/>
      <c r="F1287" s="2367"/>
      <c r="G1287" s="2367"/>
      <c r="H1287" s="2367"/>
      <c r="I1287" s="2367"/>
      <c r="J1287" s="2367"/>
      <c r="K1287" s="2367"/>
      <c r="L1287" s="2367"/>
      <c r="M1287" s="2367"/>
      <c r="N1287" s="2367"/>
      <c r="O1287" s="2367"/>
      <c r="P1287" s="2367"/>
      <c r="Q1287" s="2367"/>
      <c r="R1287" s="2367"/>
    </row>
    <row r="1288" spans="1:18">
      <c r="A1288" s="2367"/>
      <c r="B1288" s="2367"/>
      <c r="C1288" s="2367"/>
      <c r="D1288" s="2367"/>
      <c r="E1288" s="2367"/>
      <c r="F1288" s="2367"/>
      <c r="G1288" s="2367"/>
      <c r="H1288" s="2367"/>
      <c r="I1288" s="2367"/>
      <c r="J1288" s="2367"/>
      <c r="K1288" s="2367"/>
      <c r="L1288" s="2367"/>
      <c r="M1288" s="2367"/>
      <c r="N1288" s="2367"/>
      <c r="O1288" s="2367"/>
      <c r="P1288" s="2367"/>
      <c r="Q1288" s="2367"/>
      <c r="R1288" s="2367"/>
    </row>
    <row r="1289" spans="1:18">
      <c r="A1289" s="2367"/>
      <c r="B1289" s="2367"/>
      <c r="C1289" s="2367"/>
      <c r="D1289" s="2367"/>
      <c r="E1289" s="2367"/>
      <c r="F1289" s="2367"/>
      <c r="G1289" s="2367"/>
      <c r="H1289" s="2367"/>
      <c r="I1289" s="2367"/>
      <c r="J1289" s="2367"/>
      <c r="K1289" s="2367"/>
      <c r="L1289" s="2367"/>
      <c r="M1289" s="2367"/>
      <c r="N1289" s="2367"/>
      <c r="O1289" s="2367"/>
      <c r="P1289" s="2367"/>
      <c r="Q1289" s="2367"/>
      <c r="R1289" s="2367"/>
    </row>
    <row r="1290" spans="1:18">
      <c r="A1290" s="2367"/>
      <c r="B1290" s="2367"/>
      <c r="C1290" s="2367"/>
      <c r="D1290" s="2367"/>
      <c r="E1290" s="2367"/>
      <c r="F1290" s="2367"/>
      <c r="G1290" s="2367"/>
      <c r="H1290" s="2367"/>
      <c r="I1290" s="2367"/>
      <c r="J1290" s="2367"/>
      <c r="K1290" s="2367"/>
      <c r="L1290" s="2367"/>
      <c r="M1290" s="2367"/>
      <c r="N1290" s="2367"/>
      <c r="O1290" s="2367"/>
      <c r="P1290" s="2367"/>
      <c r="Q1290" s="2367"/>
      <c r="R1290" s="2367"/>
    </row>
    <row r="1291" spans="1:18">
      <c r="A1291" s="2367"/>
      <c r="B1291" s="2367"/>
      <c r="C1291" s="2367"/>
      <c r="D1291" s="2367"/>
      <c r="E1291" s="2367"/>
      <c r="F1291" s="2367"/>
      <c r="G1291" s="2367"/>
      <c r="H1291" s="2367"/>
      <c r="I1291" s="2367"/>
      <c r="J1291" s="2367"/>
      <c r="K1291" s="2367"/>
      <c r="L1291" s="2367"/>
      <c r="M1291" s="2367"/>
      <c r="N1291" s="2367"/>
      <c r="O1291" s="2367"/>
      <c r="P1291" s="2367"/>
      <c r="Q1291" s="2367"/>
      <c r="R1291" s="2367"/>
    </row>
    <row r="1292" spans="1:18">
      <c r="A1292" s="2367"/>
      <c r="B1292" s="2367"/>
      <c r="C1292" s="2367"/>
      <c r="D1292" s="2367"/>
      <c r="E1292" s="2367"/>
      <c r="F1292" s="2367"/>
      <c r="G1292" s="2367"/>
      <c r="H1292" s="2367"/>
      <c r="I1292" s="2367"/>
      <c r="J1292" s="2367"/>
      <c r="K1292" s="2367"/>
      <c r="L1292" s="2367"/>
      <c r="M1292" s="2367"/>
      <c r="N1292" s="2367"/>
      <c r="O1292" s="2367"/>
      <c r="P1292" s="2367"/>
      <c r="Q1292" s="2367"/>
      <c r="R1292" s="2367"/>
    </row>
    <row r="1293" spans="1:18">
      <c r="A1293" s="2367"/>
      <c r="B1293" s="2367"/>
      <c r="C1293" s="2367"/>
      <c r="D1293" s="2367"/>
      <c r="E1293" s="2367"/>
      <c r="F1293" s="2367"/>
      <c r="G1293" s="2367"/>
      <c r="H1293" s="2367"/>
      <c r="I1293" s="2367"/>
      <c r="J1293" s="2367"/>
      <c r="K1293" s="2367"/>
      <c r="L1293" s="2367"/>
      <c r="M1293" s="2367"/>
      <c r="N1293" s="2367"/>
      <c r="O1293" s="2367"/>
      <c r="P1293" s="2367"/>
      <c r="Q1293" s="2367"/>
      <c r="R1293" s="2367"/>
    </row>
    <row r="1294" spans="1:18">
      <c r="A1294" s="2367"/>
      <c r="B1294" s="2367"/>
      <c r="C1294" s="2367"/>
      <c r="D1294" s="2367"/>
      <c r="E1294" s="2367"/>
      <c r="F1294" s="2367"/>
      <c r="G1294" s="2367"/>
      <c r="H1294" s="2367"/>
      <c r="I1294" s="2367"/>
      <c r="J1294" s="2367"/>
      <c r="K1294" s="2367"/>
      <c r="L1294" s="2367"/>
      <c r="M1294" s="2367"/>
      <c r="N1294" s="2367"/>
      <c r="O1294" s="2367"/>
      <c r="P1294" s="2367"/>
      <c r="Q1294" s="2367"/>
      <c r="R1294" s="2367"/>
    </row>
    <row r="1295" spans="1:18">
      <c r="A1295" s="2367"/>
      <c r="B1295" s="2367"/>
      <c r="C1295" s="2367"/>
      <c r="D1295" s="2367"/>
      <c r="E1295" s="2367"/>
      <c r="F1295" s="2367"/>
      <c r="G1295" s="2367"/>
      <c r="H1295" s="2367"/>
      <c r="I1295" s="2367"/>
      <c r="J1295" s="2367"/>
      <c r="K1295" s="2367"/>
      <c r="L1295" s="2367"/>
      <c r="M1295" s="2367"/>
      <c r="N1295" s="2367"/>
      <c r="O1295" s="2367"/>
      <c r="P1295" s="2367"/>
      <c r="Q1295" s="2367"/>
      <c r="R1295" s="2367"/>
    </row>
    <row r="1296" spans="1:18">
      <c r="A1296" s="2367"/>
      <c r="B1296" s="2367"/>
      <c r="C1296" s="2367"/>
      <c r="D1296" s="2367"/>
      <c r="E1296" s="2367"/>
      <c r="F1296" s="2367"/>
      <c r="G1296" s="2367"/>
      <c r="H1296" s="2367"/>
      <c r="I1296" s="2367"/>
      <c r="J1296" s="2367"/>
      <c r="K1296" s="2367"/>
      <c r="L1296" s="2367"/>
      <c r="M1296" s="2367"/>
      <c r="N1296" s="2367"/>
      <c r="O1296" s="2367"/>
      <c r="P1296" s="2367"/>
      <c r="Q1296" s="2367"/>
      <c r="R1296" s="2367"/>
    </row>
    <row r="1297" spans="1:18">
      <c r="A1297" s="2367"/>
      <c r="B1297" s="2367"/>
      <c r="C1297" s="2367"/>
      <c r="D1297" s="2367"/>
      <c r="E1297" s="2367"/>
      <c r="F1297" s="2367"/>
      <c r="G1297" s="2367"/>
      <c r="H1297" s="2367"/>
      <c r="I1297" s="2367"/>
      <c r="J1297" s="2367"/>
      <c r="K1297" s="2367"/>
      <c r="L1297" s="2367"/>
      <c r="M1297" s="2367"/>
      <c r="N1297" s="2367"/>
      <c r="O1297" s="2367"/>
      <c r="P1297" s="2367"/>
      <c r="Q1297" s="2367"/>
      <c r="R1297" s="2367"/>
    </row>
    <row r="1298" spans="1:18">
      <c r="A1298" s="2367"/>
      <c r="B1298" s="2367"/>
      <c r="C1298" s="2367"/>
      <c r="D1298" s="2367"/>
      <c r="E1298" s="2367"/>
      <c r="F1298" s="2367"/>
      <c r="G1298" s="2367"/>
      <c r="H1298" s="2367"/>
      <c r="I1298" s="2367"/>
      <c r="J1298" s="2367"/>
      <c r="K1298" s="2367"/>
      <c r="L1298" s="2367"/>
      <c r="M1298" s="2367"/>
      <c r="N1298" s="2367"/>
      <c r="O1298" s="2367"/>
      <c r="P1298" s="2367"/>
      <c r="Q1298" s="2367"/>
      <c r="R1298" s="2367"/>
    </row>
    <row r="1299" spans="1:18">
      <c r="A1299" s="2367"/>
      <c r="B1299" s="2367"/>
      <c r="C1299" s="2367"/>
      <c r="D1299" s="2367"/>
      <c r="E1299" s="2367"/>
      <c r="F1299" s="2367"/>
      <c r="G1299" s="2367"/>
      <c r="H1299" s="2367"/>
      <c r="I1299" s="2367"/>
      <c r="J1299" s="2367"/>
      <c r="K1299" s="2367"/>
      <c r="L1299" s="2367"/>
      <c r="M1299" s="2367"/>
      <c r="N1299" s="2367"/>
      <c r="O1299" s="2367"/>
      <c r="P1299" s="2367"/>
      <c r="Q1299" s="2367"/>
      <c r="R1299" s="2367"/>
    </row>
    <row r="1300" spans="1:18">
      <c r="A1300" s="2367"/>
      <c r="B1300" s="2367"/>
      <c r="C1300" s="2367"/>
      <c r="D1300" s="2367"/>
      <c r="E1300" s="2367"/>
      <c r="F1300" s="2367"/>
      <c r="G1300" s="2367"/>
      <c r="H1300" s="2367"/>
      <c r="I1300" s="2367"/>
      <c r="J1300" s="2367"/>
      <c r="K1300" s="2367"/>
      <c r="L1300" s="2367"/>
      <c r="M1300" s="2367"/>
      <c r="N1300" s="2367"/>
      <c r="O1300" s="2367"/>
      <c r="P1300" s="2367"/>
      <c r="Q1300" s="2367"/>
      <c r="R1300" s="2367"/>
    </row>
    <row r="1301" spans="1:18">
      <c r="A1301" s="2367"/>
      <c r="B1301" s="2367"/>
      <c r="C1301" s="2367"/>
      <c r="D1301" s="2367"/>
      <c r="E1301" s="2367"/>
      <c r="F1301" s="2367"/>
      <c r="G1301" s="2367"/>
      <c r="H1301" s="2367"/>
      <c r="I1301" s="2367"/>
      <c r="J1301" s="2367"/>
      <c r="K1301" s="2367"/>
      <c r="L1301" s="2367"/>
      <c r="M1301" s="2367"/>
      <c r="N1301" s="2367"/>
      <c r="O1301" s="2367"/>
      <c r="P1301" s="2367"/>
      <c r="Q1301" s="2367"/>
      <c r="R1301" s="2367"/>
    </row>
    <row r="1302" spans="1:18">
      <c r="A1302" s="2367"/>
      <c r="B1302" s="2367"/>
      <c r="C1302" s="2367"/>
      <c r="D1302" s="2367"/>
      <c r="E1302" s="2367"/>
      <c r="F1302" s="2367"/>
      <c r="G1302" s="2367"/>
      <c r="H1302" s="2367"/>
      <c r="I1302" s="2367"/>
      <c r="J1302" s="2367"/>
      <c r="K1302" s="2367"/>
      <c r="L1302" s="2367"/>
      <c r="M1302" s="2367"/>
      <c r="N1302" s="2367"/>
      <c r="O1302" s="2367"/>
      <c r="P1302" s="2367"/>
      <c r="Q1302" s="2367"/>
      <c r="R1302" s="2367"/>
    </row>
    <row r="1303" spans="1:18">
      <c r="A1303" s="2367"/>
      <c r="B1303" s="2367"/>
      <c r="C1303" s="2367"/>
      <c r="D1303" s="2367"/>
      <c r="E1303" s="2367"/>
      <c r="F1303" s="2367"/>
      <c r="G1303" s="2367"/>
      <c r="H1303" s="2367"/>
      <c r="I1303" s="2367"/>
      <c r="J1303" s="2367"/>
      <c r="K1303" s="2367"/>
      <c r="L1303" s="2367"/>
      <c r="M1303" s="2367"/>
      <c r="N1303" s="2367"/>
      <c r="O1303" s="2367"/>
      <c r="P1303" s="2367"/>
      <c r="Q1303" s="2367"/>
      <c r="R1303" s="2367"/>
    </row>
    <row r="1304" spans="1:18">
      <c r="A1304" s="2367"/>
      <c r="B1304" s="2367"/>
      <c r="C1304" s="2367"/>
      <c r="D1304" s="2367"/>
      <c r="E1304" s="2367"/>
      <c r="F1304" s="2367"/>
      <c r="G1304" s="2367"/>
      <c r="H1304" s="2367"/>
      <c r="I1304" s="2367"/>
      <c r="J1304" s="2367"/>
      <c r="K1304" s="2367"/>
      <c r="L1304" s="2367"/>
      <c r="M1304" s="2367"/>
      <c r="N1304" s="2367"/>
      <c r="O1304" s="2367"/>
      <c r="P1304" s="2367"/>
      <c r="Q1304" s="2367"/>
      <c r="R1304" s="2367"/>
    </row>
    <row r="1305" spans="1:18">
      <c r="A1305" s="2367"/>
      <c r="B1305" s="2367"/>
      <c r="C1305" s="2367"/>
      <c r="D1305" s="2367"/>
      <c r="E1305" s="2367"/>
      <c r="F1305" s="2367"/>
      <c r="G1305" s="2367"/>
      <c r="H1305" s="2367"/>
      <c r="I1305" s="2367"/>
      <c r="J1305" s="2367"/>
      <c r="K1305" s="2367"/>
      <c r="L1305" s="2367"/>
      <c r="M1305" s="2367"/>
      <c r="N1305" s="2367"/>
      <c r="O1305" s="2367"/>
      <c r="P1305" s="2367"/>
      <c r="Q1305" s="2367"/>
      <c r="R1305" s="2367"/>
    </row>
    <row r="1306" spans="1:18">
      <c r="A1306" s="2367"/>
      <c r="B1306" s="2367"/>
      <c r="C1306" s="2367"/>
      <c r="D1306" s="2367"/>
      <c r="E1306" s="2367"/>
      <c r="F1306" s="2367"/>
      <c r="G1306" s="2367"/>
      <c r="H1306" s="2367"/>
      <c r="I1306" s="2367"/>
      <c r="J1306" s="2367"/>
      <c r="K1306" s="2367"/>
      <c r="L1306" s="2367"/>
      <c r="M1306" s="2367"/>
      <c r="N1306" s="2367"/>
      <c r="O1306" s="2367"/>
      <c r="P1306" s="2367"/>
      <c r="Q1306" s="2367"/>
      <c r="R1306" s="2367"/>
    </row>
    <row r="1307" spans="1:18">
      <c r="A1307" s="2367"/>
      <c r="B1307" s="2367"/>
      <c r="C1307" s="2367"/>
      <c r="D1307" s="2367"/>
      <c r="E1307" s="2367"/>
      <c r="F1307" s="2367"/>
      <c r="G1307" s="2367"/>
      <c r="H1307" s="2367"/>
      <c r="I1307" s="2367"/>
      <c r="J1307" s="2367"/>
      <c r="K1307" s="2367"/>
      <c r="L1307" s="2367"/>
      <c r="M1307" s="2367"/>
      <c r="N1307" s="2367"/>
      <c r="O1307" s="2367"/>
      <c r="P1307" s="2367"/>
      <c r="Q1307" s="2367"/>
      <c r="R1307" s="2367"/>
    </row>
    <row r="1308" spans="1:18">
      <c r="A1308" s="2367"/>
      <c r="B1308" s="2367"/>
      <c r="C1308" s="2367"/>
      <c r="D1308" s="2367"/>
      <c r="E1308" s="2367"/>
      <c r="F1308" s="2367"/>
      <c r="G1308" s="2367"/>
      <c r="H1308" s="2367"/>
      <c r="I1308" s="2367"/>
      <c r="J1308" s="2367"/>
      <c r="K1308" s="2367"/>
      <c r="L1308" s="2367"/>
      <c r="M1308" s="2367"/>
      <c r="N1308" s="2367"/>
      <c r="O1308" s="2367"/>
      <c r="P1308" s="2367"/>
      <c r="Q1308" s="2367"/>
      <c r="R1308" s="2367"/>
    </row>
    <row r="1309" spans="1:18">
      <c r="A1309" s="2367"/>
      <c r="B1309" s="2367"/>
      <c r="C1309" s="2367"/>
      <c r="D1309" s="2367"/>
      <c r="E1309" s="2367"/>
      <c r="F1309" s="2367"/>
      <c r="G1309" s="2367"/>
      <c r="H1309" s="2367"/>
      <c r="I1309" s="2367"/>
      <c r="J1309" s="2367"/>
      <c r="K1309" s="2367"/>
      <c r="L1309" s="2367"/>
      <c r="M1309" s="2367"/>
      <c r="N1309" s="2367"/>
      <c r="O1309" s="2367"/>
      <c r="P1309" s="2367"/>
      <c r="Q1309" s="2367"/>
      <c r="R1309" s="2367"/>
    </row>
    <row r="1310" spans="1:18">
      <c r="A1310" s="2367"/>
      <c r="B1310" s="2367"/>
      <c r="C1310" s="2367"/>
      <c r="D1310" s="2367"/>
      <c r="E1310" s="2367"/>
      <c r="F1310" s="2367"/>
      <c r="G1310" s="2367"/>
      <c r="H1310" s="2367"/>
      <c r="I1310" s="2367"/>
      <c r="J1310" s="2367"/>
      <c r="K1310" s="2367"/>
      <c r="L1310" s="2367"/>
      <c r="M1310" s="2367"/>
      <c r="N1310" s="2367"/>
      <c r="O1310" s="2367"/>
      <c r="P1310" s="2367"/>
      <c r="Q1310" s="2367"/>
      <c r="R1310" s="2367"/>
    </row>
    <row r="1311" spans="1:18">
      <c r="A1311" s="2367"/>
      <c r="B1311" s="2367"/>
      <c r="C1311" s="2367"/>
      <c r="D1311" s="2367"/>
      <c r="E1311" s="2367"/>
      <c r="F1311" s="2367"/>
      <c r="G1311" s="2367"/>
      <c r="H1311" s="2367"/>
      <c r="I1311" s="2367"/>
      <c r="J1311" s="2367"/>
      <c r="K1311" s="2367"/>
      <c r="L1311" s="2367"/>
      <c r="M1311" s="2367"/>
      <c r="N1311" s="2367"/>
      <c r="O1311" s="2367"/>
      <c r="P1311" s="2367"/>
      <c r="Q1311" s="2367"/>
      <c r="R1311" s="2367"/>
    </row>
    <row r="1312" spans="1:18">
      <c r="A1312" s="2367"/>
      <c r="B1312" s="2367"/>
      <c r="C1312" s="2367"/>
      <c r="D1312" s="2367"/>
      <c r="E1312" s="2367"/>
      <c r="F1312" s="2367"/>
      <c r="G1312" s="2367"/>
      <c r="H1312" s="2367"/>
      <c r="I1312" s="2367"/>
      <c r="J1312" s="2367"/>
      <c r="K1312" s="2367"/>
      <c r="L1312" s="2367"/>
      <c r="M1312" s="2367"/>
      <c r="N1312" s="2367"/>
      <c r="O1312" s="2367"/>
      <c r="P1312" s="2367"/>
      <c r="Q1312" s="2367"/>
      <c r="R1312" s="2367"/>
    </row>
    <row r="1313" spans="1:18">
      <c r="A1313" s="2367"/>
      <c r="B1313" s="2367"/>
      <c r="C1313" s="2367"/>
      <c r="D1313" s="2367"/>
      <c r="E1313" s="2367"/>
      <c r="F1313" s="2367"/>
      <c r="G1313" s="2367"/>
      <c r="H1313" s="2367"/>
      <c r="I1313" s="2367"/>
      <c r="J1313" s="2367"/>
      <c r="K1313" s="2367"/>
      <c r="L1313" s="2367"/>
      <c r="M1313" s="2367"/>
      <c r="N1313" s="2367"/>
      <c r="O1313" s="2367"/>
      <c r="P1313" s="2367"/>
      <c r="Q1313" s="2367"/>
      <c r="R1313" s="2367"/>
    </row>
    <row r="1314" spans="1:18">
      <c r="A1314" s="2367"/>
      <c r="B1314" s="2367"/>
      <c r="C1314" s="2367"/>
      <c r="D1314" s="2367"/>
      <c r="E1314" s="2367"/>
      <c r="F1314" s="2367"/>
      <c r="G1314" s="2367"/>
      <c r="H1314" s="2367"/>
      <c r="I1314" s="2367"/>
      <c r="J1314" s="2367"/>
      <c r="K1314" s="2367"/>
      <c r="L1314" s="2367"/>
      <c r="M1314" s="2367"/>
      <c r="N1314" s="2367"/>
      <c r="O1314" s="2367"/>
      <c r="P1314" s="2367"/>
      <c r="Q1314" s="2367"/>
      <c r="R1314" s="2367"/>
    </row>
    <row r="1315" spans="1:18">
      <c r="A1315" s="2367"/>
      <c r="B1315" s="2367"/>
      <c r="C1315" s="2367"/>
      <c r="D1315" s="2367"/>
      <c r="E1315" s="2367"/>
      <c r="F1315" s="2367"/>
      <c r="G1315" s="2367"/>
      <c r="H1315" s="2367"/>
      <c r="I1315" s="2367"/>
      <c r="J1315" s="2367"/>
      <c r="K1315" s="2367"/>
      <c r="L1315" s="2367"/>
      <c r="M1315" s="2367"/>
      <c r="N1315" s="2367"/>
      <c r="O1315" s="2367"/>
      <c r="P1315" s="2367"/>
      <c r="Q1315" s="2367"/>
      <c r="R1315" s="2367"/>
    </row>
    <row r="1316" spans="1:18">
      <c r="A1316" s="2367"/>
      <c r="B1316" s="2367"/>
      <c r="C1316" s="2367"/>
      <c r="D1316" s="2367"/>
      <c r="E1316" s="2367"/>
      <c r="F1316" s="2367"/>
      <c r="G1316" s="2367"/>
      <c r="H1316" s="2367"/>
      <c r="I1316" s="2367"/>
      <c r="J1316" s="2367"/>
      <c r="K1316" s="2367"/>
      <c r="L1316" s="2367"/>
      <c r="M1316" s="2367"/>
      <c r="N1316" s="2367"/>
      <c r="O1316" s="2367"/>
      <c r="P1316" s="2367"/>
      <c r="Q1316" s="2367"/>
      <c r="R1316" s="2367"/>
    </row>
    <row r="1317" spans="1:18">
      <c r="A1317" s="2367"/>
      <c r="B1317" s="2367"/>
      <c r="C1317" s="2367"/>
      <c r="D1317" s="2367"/>
      <c r="E1317" s="2367"/>
      <c r="F1317" s="2367"/>
      <c r="G1317" s="2367"/>
      <c r="H1317" s="2367"/>
      <c r="I1317" s="2367"/>
      <c r="J1317" s="2367"/>
      <c r="K1317" s="2367"/>
      <c r="L1317" s="2367"/>
      <c r="M1317" s="2367"/>
      <c r="N1317" s="2367"/>
      <c r="O1317" s="2367"/>
      <c r="P1317" s="2367"/>
      <c r="Q1317" s="2367"/>
      <c r="R1317" s="2367"/>
    </row>
    <row r="1318" spans="1:18">
      <c r="A1318" s="2367"/>
      <c r="B1318" s="2367"/>
      <c r="C1318" s="2367"/>
      <c r="D1318" s="2367"/>
      <c r="E1318" s="2367"/>
      <c r="F1318" s="2367"/>
      <c r="G1318" s="2367"/>
      <c r="H1318" s="2367"/>
      <c r="I1318" s="2367"/>
      <c r="J1318" s="2367"/>
      <c r="K1318" s="2367"/>
      <c r="L1318" s="2367"/>
      <c r="M1318" s="2367"/>
      <c r="N1318" s="2367"/>
      <c r="O1318" s="2367"/>
      <c r="P1318" s="2367"/>
      <c r="Q1318" s="2367"/>
      <c r="R1318" s="2367"/>
    </row>
    <row r="1319" spans="1:18">
      <c r="A1319" s="2367"/>
      <c r="B1319" s="2367"/>
      <c r="C1319" s="2367"/>
      <c r="D1319" s="2367"/>
      <c r="E1319" s="2367"/>
      <c r="F1319" s="2367"/>
      <c r="G1319" s="2367"/>
      <c r="H1319" s="2367"/>
      <c r="I1319" s="2367"/>
      <c r="J1319" s="2367"/>
      <c r="K1319" s="2367"/>
      <c r="L1319" s="2367"/>
      <c r="M1319" s="2367"/>
      <c r="N1319" s="2367"/>
      <c r="O1319" s="2367"/>
      <c r="P1319" s="2367"/>
      <c r="Q1319" s="2367"/>
      <c r="R1319" s="2367"/>
    </row>
    <row r="1320" spans="1:18">
      <c r="A1320" s="2367"/>
      <c r="B1320" s="2367"/>
      <c r="C1320" s="2367"/>
      <c r="D1320" s="2367"/>
      <c r="E1320" s="2367"/>
      <c r="F1320" s="2367"/>
      <c r="G1320" s="2367"/>
      <c r="H1320" s="2367"/>
      <c r="I1320" s="2367"/>
      <c r="J1320" s="2367"/>
      <c r="K1320" s="2367"/>
      <c r="L1320" s="2367"/>
      <c r="M1320" s="2367"/>
      <c r="N1320" s="2367"/>
      <c r="O1320" s="2367"/>
      <c r="P1320" s="2367"/>
      <c r="Q1320" s="2367"/>
      <c r="R1320" s="2367"/>
    </row>
    <row r="1321" spans="1:18">
      <c r="A1321" s="2367"/>
      <c r="B1321" s="2367"/>
      <c r="C1321" s="2367"/>
      <c r="D1321" s="2367"/>
      <c r="E1321" s="2367"/>
      <c r="F1321" s="2367"/>
      <c r="G1321" s="2367"/>
      <c r="H1321" s="2367"/>
      <c r="I1321" s="2367"/>
      <c r="J1321" s="2367"/>
      <c r="K1321" s="2367"/>
      <c r="L1321" s="2367"/>
      <c r="M1321" s="2367"/>
      <c r="N1321" s="2367"/>
      <c r="O1321" s="2367"/>
      <c r="P1321" s="2367"/>
      <c r="Q1321" s="2367"/>
      <c r="R1321" s="2367"/>
    </row>
    <row r="1322" spans="1:18">
      <c r="A1322" s="2367"/>
      <c r="B1322" s="2367"/>
      <c r="C1322" s="2367"/>
      <c r="D1322" s="2367"/>
      <c r="E1322" s="2367"/>
      <c r="F1322" s="2367"/>
      <c r="G1322" s="2367"/>
      <c r="H1322" s="2367"/>
      <c r="I1322" s="2367"/>
      <c r="J1322" s="2367"/>
      <c r="K1322" s="2367"/>
      <c r="L1322" s="2367"/>
      <c r="M1322" s="2367"/>
      <c r="N1322" s="2367"/>
      <c r="O1322" s="2367"/>
      <c r="P1322" s="2367"/>
      <c r="Q1322" s="2367"/>
      <c r="R1322" s="2367"/>
    </row>
    <row r="1323" spans="1:18">
      <c r="A1323" s="2367"/>
      <c r="B1323" s="2367"/>
      <c r="C1323" s="2367"/>
      <c r="D1323" s="2367"/>
      <c r="E1323" s="2367"/>
      <c r="F1323" s="2367"/>
      <c r="G1323" s="2367"/>
      <c r="H1323" s="2367"/>
      <c r="I1323" s="2367"/>
      <c r="J1323" s="2367"/>
      <c r="K1323" s="2367"/>
      <c r="L1323" s="2367"/>
      <c r="M1323" s="2367"/>
      <c r="N1323" s="2367"/>
      <c r="O1323" s="2367"/>
      <c r="P1323" s="2367"/>
      <c r="Q1323" s="2367"/>
      <c r="R1323" s="2367"/>
    </row>
    <row r="1324" spans="1:18">
      <c r="A1324" s="2367"/>
      <c r="B1324" s="2367"/>
      <c r="C1324" s="2367"/>
      <c r="D1324" s="2367"/>
      <c r="E1324" s="2367"/>
      <c r="F1324" s="2367"/>
      <c r="G1324" s="2367"/>
      <c r="H1324" s="2367"/>
      <c r="I1324" s="2367"/>
      <c r="J1324" s="2367"/>
      <c r="K1324" s="2367"/>
      <c r="L1324" s="2367"/>
      <c r="M1324" s="2367"/>
      <c r="N1324" s="2367"/>
      <c r="O1324" s="2367"/>
      <c r="P1324" s="2367"/>
      <c r="Q1324" s="2367"/>
      <c r="R1324" s="2367"/>
    </row>
    <row r="1325" spans="1:18">
      <c r="A1325" s="2367"/>
      <c r="B1325" s="2367"/>
      <c r="C1325" s="2367"/>
      <c r="D1325" s="2367"/>
      <c r="E1325" s="2367"/>
      <c r="F1325" s="2367"/>
      <c r="G1325" s="2367"/>
      <c r="H1325" s="2367"/>
      <c r="I1325" s="2367"/>
      <c r="J1325" s="2367"/>
      <c r="K1325" s="2367"/>
      <c r="L1325" s="2367"/>
      <c r="M1325" s="2367"/>
      <c r="N1325" s="2367"/>
      <c r="O1325" s="2367"/>
      <c r="P1325" s="2367"/>
      <c r="Q1325" s="2367"/>
      <c r="R1325" s="2367"/>
    </row>
    <row r="1326" spans="1:18">
      <c r="A1326" s="2367"/>
      <c r="B1326" s="2367"/>
      <c r="C1326" s="2367"/>
      <c r="D1326" s="2367"/>
      <c r="E1326" s="2367"/>
      <c r="F1326" s="2367"/>
      <c r="G1326" s="2367"/>
      <c r="H1326" s="2367"/>
      <c r="I1326" s="2367"/>
      <c r="J1326" s="2367"/>
      <c r="K1326" s="2367"/>
      <c r="L1326" s="2367"/>
      <c r="M1326" s="2367"/>
      <c r="N1326" s="2367"/>
      <c r="O1326" s="2367"/>
      <c r="P1326" s="2367"/>
      <c r="Q1326" s="2367"/>
      <c r="R1326" s="2367"/>
    </row>
    <row r="1327" spans="1:18">
      <c r="A1327" s="2367"/>
      <c r="B1327" s="2367"/>
      <c r="C1327" s="2367"/>
      <c r="D1327" s="2367"/>
      <c r="E1327" s="2367"/>
      <c r="F1327" s="2367"/>
      <c r="G1327" s="2367"/>
      <c r="H1327" s="2367"/>
      <c r="I1327" s="2367"/>
      <c r="J1327" s="2367"/>
      <c r="K1327" s="2367"/>
      <c r="L1327" s="2367"/>
      <c r="M1327" s="2367"/>
      <c r="N1327" s="2367"/>
      <c r="O1327" s="2367"/>
      <c r="P1327" s="2367"/>
      <c r="Q1327" s="2367"/>
      <c r="R1327" s="2367"/>
    </row>
    <row r="1328" spans="1:18">
      <c r="A1328" s="2367"/>
      <c r="B1328" s="2367"/>
      <c r="C1328" s="2367"/>
      <c r="D1328" s="2367"/>
      <c r="E1328" s="2367"/>
      <c r="F1328" s="2367"/>
      <c r="G1328" s="2367"/>
      <c r="H1328" s="2367"/>
      <c r="I1328" s="2367"/>
      <c r="J1328" s="2367"/>
      <c r="K1328" s="2367"/>
      <c r="L1328" s="2367"/>
      <c r="M1328" s="2367"/>
      <c r="N1328" s="2367"/>
      <c r="O1328" s="2367"/>
      <c r="P1328" s="2367"/>
      <c r="Q1328" s="2367"/>
      <c r="R1328" s="2367"/>
    </row>
    <row r="1329" spans="1:18">
      <c r="A1329" s="2367"/>
      <c r="B1329" s="2367"/>
      <c r="C1329" s="2367"/>
      <c r="D1329" s="2367"/>
      <c r="E1329" s="2367"/>
      <c r="F1329" s="2367"/>
      <c r="G1329" s="2367"/>
      <c r="H1329" s="2367"/>
      <c r="I1329" s="2367"/>
      <c r="J1329" s="2367"/>
      <c r="K1329" s="2367"/>
      <c r="L1329" s="2367"/>
      <c r="M1329" s="2367"/>
      <c r="N1329" s="2367"/>
      <c r="O1329" s="2367"/>
      <c r="P1329" s="2367"/>
      <c r="Q1329" s="2367"/>
      <c r="R1329" s="2367"/>
    </row>
    <row r="1330" spans="1:18">
      <c r="A1330" s="2367"/>
      <c r="B1330" s="2367"/>
      <c r="C1330" s="2367"/>
      <c r="D1330" s="2367"/>
      <c r="E1330" s="2367"/>
      <c r="F1330" s="2367"/>
      <c r="G1330" s="2367"/>
      <c r="H1330" s="2367"/>
      <c r="I1330" s="2367"/>
      <c r="J1330" s="2367"/>
      <c r="K1330" s="2367"/>
      <c r="L1330" s="2367"/>
      <c r="M1330" s="2367"/>
      <c r="N1330" s="2367"/>
      <c r="O1330" s="2367"/>
      <c r="P1330" s="2367"/>
      <c r="Q1330" s="2367"/>
      <c r="R1330" s="2367"/>
    </row>
    <row r="1331" spans="1:18">
      <c r="A1331" s="2367"/>
      <c r="B1331" s="2367"/>
      <c r="C1331" s="2367"/>
      <c r="D1331" s="2367"/>
      <c r="E1331" s="2367"/>
      <c r="F1331" s="2367"/>
      <c r="G1331" s="2367"/>
      <c r="H1331" s="2367"/>
      <c r="I1331" s="2367"/>
      <c r="J1331" s="2367"/>
      <c r="K1331" s="2367"/>
      <c r="L1331" s="2367"/>
      <c r="M1331" s="2367"/>
      <c r="N1331" s="2367"/>
      <c r="O1331" s="2367"/>
      <c r="P1331" s="2367"/>
      <c r="Q1331" s="2367"/>
      <c r="R1331" s="2367"/>
    </row>
    <row r="1332" spans="1:18">
      <c r="A1332" s="2367"/>
      <c r="B1332" s="2367"/>
      <c r="C1332" s="2367"/>
      <c r="D1332" s="2367"/>
      <c r="E1332" s="2367"/>
      <c r="F1332" s="2367"/>
      <c r="G1332" s="2367"/>
      <c r="H1332" s="2367"/>
      <c r="I1332" s="2367"/>
      <c r="J1332" s="2367"/>
      <c r="K1332" s="2367"/>
      <c r="L1332" s="2367"/>
      <c r="M1332" s="2367"/>
      <c r="N1332" s="2367"/>
      <c r="O1332" s="2367"/>
      <c r="P1332" s="2367"/>
      <c r="Q1332" s="2367"/>
      <c r="R1332" s="2367"/>
    </row>
    <row r="1333" spans="1:18">
      <c r="A1333" s="2367"/>
      <c r="B1333" s="2367"/>
      <c r="C1333" s="2367"/>
      <c r="D1333" s="2367"/>
      <c r="E1333" s="2367"/>
      <c r="F1333" s="2367"/>
      <c r="G1333" s="2367"/>
      <c r="H1333" s="2367"/>
      <c r="I1333" s="2367"/>
      <c r="J1333" s="2367"/>
      <c r="K1333" s="2367"/>
      <c r="L1333" s="2367"/>
      <c r="M1333" s="2367"/>
      <c r="N1333" s="2367"/>
      <c r="O1333" s="2367"/>
      <c r="P1333" s="2367"/>
      <c r="Q1333" s="2367"/>
      <c r="R1333" s="2367"/>
    </row>
    <row r="1334" spans="1:18">
      <c r="A1334" s="2367"/>
      <c r="B1334" s="2367"/>
      <c r="C1334" s="2367"/>
      <c r="D1334" s="2367"/>
      <c r="E1334" s="2367"/>
      <c r="F1334" s="2367"/>
      <c r="G1334" s="2367"/>
      <c r="H1334" s="2367"/>
      <c r="I1334" s="2367"/>
      <c r="J1334" s="2367"/>
      <c r="K1334" s="2367"/>
      <c r="L1334" s="2367"/>
      <c r="M1334" s="2367"/>
      <c r="N1334" s="2367"/>
      <c r="O1334" s="2367"/>
      <c r="P1334" s="2367"/>
      <c r="Q1334" s="2367"/>
      <c r="R1334" s="2367"/>
    </row>
    <row r="1335" spans="1:18">
      <c r="A1335" s="2367"/>
      <c r="B1335" s="2367"/>
      <c r="C1335" s="2367"/>
      <c r="D1335" s="2367"/>
      <c r="E1335" s="2367"/>
      <c r="F1335" s="2367"/>
      <c r="G1335" s="2367"/>
      <c r="H1335" s="2367"/>
      <c r="I1335" s="2367"/>
      <c r="J1335" s="2367"/>
      <c r="K1335" s="2367"/>
      <c r="L1335" s="2367"/>
      <c r="M1335" s="2367"/>
      <c r="N1335" s="2367"/>
      <c r="O1335" s="2367"/>
      <c r="P1335" s="2367"/>
      <c r="Q1335" s="2367"/>
      <c r="R1335" s="2367"/>
    </row>
    <row r="1336" spans="1:18">
      <c r="A1336" s="2367"/>
      <c r="B1336" s="2367"/>
      <c r="C1336" s="2367"/>
      <c r="D1336" s="2367"/>
      <c r="E1336" s="2367"/>
      <c r="F1336" s="2367"/>
      <c r="G1336" s="2367"/>
      <c r="H1336" s="2367"/>
      <c r="I1336" s="2367"/>
      <c r="J1336" s="2367"/>
      <c r="K1336" s="2367"/>
      <c r="L1336" s="2367"/>
      <c r="M1336" s="2367"/>
      <c r="N1336" s="2367"/>
      <c r="O1336" s="2367"/>
      <c r="P1336" s="2367"/>
      <c r="Q1336" s="2367"/>
      <c r="R1336" s="2367"/>
    </row>
    <row r="1337" spans="1:18">
      <c r="A1337" s="2367"/>
      <c r="B1337" s="2367"/>
      <c r="C1337" s="2367"/>
      <c r="D1337" s="2367"/>
      <c r="E1337" s="2367"/>
      <c r="F1337" s="2367"/>
      <c r="G1337" s="2367"/>
      <c r="H1337" s="2367"/>
      <c r="I1337" s="2367"/>
      <c r="J1337" s="2367"/>
      <c r="K1337" s="2367"/>
      <c r="L1337" s="2367"/>
      <c r="M1337" s="2367"/>
      <c r="N1337" s="2367"/>
      <c r="O1337" s="2367"/>
      <c r="P1337" s="2367"/>
      <c r="Q1337" s="2367"/>
      <c r="R1337" s="2367"/>
    </row>
    <row r="1338" spans="1:18">
      <c r="A1338" s="2367"/>
      <c r="B1338" s="2367"/>
      <c r="C1338" s="2367"/>
      <c r="D1338" s="2367"/>
      <c r="E1338" s="2367"/>
      <c r="F1338" s="2367"/>
      <c r="G1338" s="2367"/>
      <c r="H1338" s="2367"/>
      <c r="I1338" s="2367"/>
      <c r="J1338" s="2367"/>
      <c r="K1338" s="2367"/>
      <c r="L1338" s="2367"/>
      <c r="M1338" s="2367"/>
      <c r="N1338" s="2367"/>
      <c r="O1338" s="2367"/>
      <c r="P1338" s="2367"/>
      <c r="Q1338" s="2367"/>
      <c r="R1338" s="2367"/>
    </row>
    <row r="1339" spans="1:18">
      <c r="A1339" s="2367"/>
      <c r="B1339" s="2367"/>
      <c r="C1339" s="2367"/>
      <c r="D1339" s="2367"/>
      <c r="E1339" s="2367"/>
      <c r="F1339" s="2367"/>
      <c r="G1339" s="2367"/>
      <c r="H1339" s="2367"/>
      <c r="I1339" s="2367"/>
      <c r="J1339" s="2367"/>
      <c r="K1339" s="2367"/>
      <c r="L1339" s="2367"/>
      <c r="M1339" s="2367"/>
      <c r="N1339" s="2367"/>
      <c r="O1339" s="2367"/>
      <c r="P1339" s="2367"/>
      <c r="Q1339" s="2367"/>
      <c r="R1339" s="2367"/>
    </row>
    <row r="1340" spans="1:18">
      <c r="A1340" s="2367"/>
      <c r="B1340" s="2367"/>
      <c r="C1340" s="2367"/>
      <c r="D1340" s="2367"/>
      <c r="E1340" s="2367"/>
      <c r="F1340" s="2367"/>
      <c r="G1340" s="2367"/>
      <c r="H1340" s="2367"/>
      <c r="I1340" s="2367"/>
      <c r="J1340" s="2367"/>
      <c r="K1340" s="2367"/>
      <c r="L1340" s="2367"/>
      <c r="M1340" s="2367"/>
      <c r="N1340" s="2367"/>
      <c r="O1340" s="2367"/>
      <c r="P1340" s="2367"/>
      <c r="Q1340" s="2367"/>
      <c r="R1340" s="2367"/>
    </row>
    <row r="1341" spans="1:18">
      <c r="A1341" s="2367"/>
      <c r="B1341" s="2367"/>
      <c r="C1341" s="2367"/>
      <c r="D1341" s="2367"/>
      <c r="E1341" s="2367"/>
      <c r="F1341" s="2367"/>
      <c r="G1341" s="2367"/>
      <c r="H1341" s="2367"/>
      <c r="I1341" s="2367"/>
      <c r="J1341" s="2367"/>
      <c r="K1341" s="2367"/>
      <c r="L1341" s="2367"/>
      <c r="M1341" s="2367"/>
      <c r="N1341" s="2367"/>
      <c r="O1341" s="2367"/>
      <c r="P1341" s="2367"/>
      <c r="Q1341" s="2367"/>
      <c r="R1341" s="2367"/>
    </row>
    <row r="1342" spans="1:18">
      <c r="A1342" s="2367"/>
      <c r="B1342" s="2367"/>
      <c r="C1342" s="2367"/>
      <c r="D1342" s="2367"/>
      <c r="E1342" s="2367"/>
      <c r="F1342" s="2367"/>
      <c r="G1342" s="2367"/>
      <c r="H1342" s="2367"/>
      <c r="I1342" s="2367"/>
      <c r="J1342" s="2367"/>
      <c r="K1342" s="2367"/>
      <c r="L1342" s="2367"/>
      <c r="M1342" s="2367"/>
      <c r="N1342" s="2367"/>
      <c r="O1342" s="2367"/>
      <c r="P1342" s="2367"/>
      <c r="Q1342" s="2367"/>
      <c r="R1342" s="2367"/>
    </row>
    <row r="1343" spans="1:18">
      <c r="A1343" s="2367"/>
      <c r="B1343" s="2367"/>
      <c r="C1343" s="2367"/>
      <c r="D1343" s="2367"/>
      <c r="E1343" s="2367"/>
      <c r="F1343" s="2367"/>
      <c r="G1343" s="2367"/>
      <c r="H1343" s="2367"/>
      <c r="I1343" s="2367"/>
      <c r="J1343" s="2367"/>
      <c r="K1343" s="2367"/>
      <c r="L1343" s="2367"/>
      <c r="M1343" s="2367"/>
      <c r="N1343" s="2367"/>
      <c r="O1343" s="2367"/>
      <c r="P1343" s="2367"/>
      <c r="Q1343" s="2367"/>
      <c r="R1343" s="2367"/>
    </row>
    <row r="1344" spans="1:18">
      <c r="A1344" s="2367"/>
      <c r="B1344" s="2367"/>
      <c r="C1344" s="2367"/>
      <c r="D1344" s="2367"/>
      <c r="E1344" s="2367"/>
      <c r="F1344" s="2367"/>
      <c r="G1344" s="2367"/>
      <c r="H1344" s="2367"/>
      <c r="I1344" s="2367"/>
      <c r="J1344" s="2367"/>
      <c r="K1344" s="2367"/>
      <c r="L1344" s="2367"/>
      <c r="M1344" s="2367"/>
      <c r="N1344" s="2367"/>
      <c r="O1344" s="2367"/>
      <c r="P1344" s="2367"/>
      <c r="Q1344" s="2367"/>
      <c r="R1344" s="2367"/>
    </row>
    <row r="1345" spans="1:18">
      <c r="A1345" s="2367"/>
      <c r="B1345" s="2367"/>
      <c r="C1345" s="2367"/>
      <c r="D1345" s="2367"/>
      <c r="E1345" s="2367"/>
      <c r="F1345" s="2367"/>
      <c r="G1345" s="2367"/>
      <c r="H1345" s="2367"/>
      <c r="I1345" s="2367"/>
      <c r="J1345" s="2367"/>
      <c r="K1345" s="2367"/>
      <c r="L1345" s="2367"/>
      <c r="M1345" s="2367"/>
      <c r="N1345" s="2367"/>
      <c r="O1345" s="2367"/>
      <c r="P1345" s="2367"/>
      <c r="Q1345" s="2367"/>
      <c r="R1345" s="2367"/>
    </row>
    <row r="1346" spans="1:18">
      <c r="A1346" s="2367"/>
      <c r="B1346" s="2367"/>
      <c r="C1346" s="2367"/>
      <c r="D1346" s="2367"/>
      <c r="E1346" s="2367"/>
      <c r="F1346" s="2367"/>
      <c r="G1346" s="2367"/>
      <c r="H1346" s="2367"/>
      <c r="I1346" s="2367"/>
      <c r="J1346" s="2367"/>
      <c r="K1346" s="2367"/>
      <c r="L1346" s="2367"/>
      <c r="M1346" s="2367"/>
      <c r="N1346" s="2367"/>
      <c r="O1346" s="2367"/>
      <c r="P1346" s="2367"/>
      <c r="Q1346" s="2367"/>
      <c r="R1346" s="2367"/>
    </row>
    <row r="1347" spans="1:18">
      <c r="A1347" s="2367"/>
      <c r="B1347" s="2367"/>
      <c r="C1347" s="2367"/>
      <c r="D1347" s="2367"/>
      <c r="E1347" s="2367"/>
      <c r="F1347" s="2367"/>
      <c r="G1347" s="2367"/>
      <c r="H1347" s="2367"/>
      <c r="I1347" s="2367"/>
      <c r="J1347" s="2367"/>
      <c r="K1347" s="2367"/>
      <c r="L1347" s="2367"/>
      <c r="M1347" s="2367"/>
      <c r="N1347" s="2367"/>
      <c r="O1347" s="2367"/>
      <c r="P1347" s="2367"/>
      <c r="Q1347" s="2367"/>
      <c r="R1347" s="2367"/>
    </row>
    <row r="1348" spans="1:18">
      <c r="A1348" s="2367"/>
      <c r="B1348" s="2367"/>
      <c r="C1348" s="2367"/>
      <c r="D1348" s="2367"/>
      <c r="E1348" s="2367"/>
      <c r="F1348" s="2367"/>
      <c r="G1348" s="2367"/>
      <c r="H1348" s="2367"/>
      <c r="I1348" s="2367"/>
      <c r="J1348" s="2367"/>
      <c r="K1348" s="2367"/>
      <c r="L1348" s="2367"/>
      <c r="M1348" s="2367"/>
      <c r="N1348" s="2367"/>
      <c r="O1348" s="2367"/>
      <c r="P1348" s="2367"/>
      <c r="Q1348" s="2367"/>
      <c r="R1348" s="2367"/>
    </row>
    <row r="1349" spans="1:18">
      <c r="A1349" s="2367"/>
      <c r="B1349" s="2367"/>
      <c r="C1349" s="2367"/>
      <c r="D1349" s="2367"/>
      <c r="E1349" s="2367"/>
      <c r="F1349" s="2367"/>
      <c r="G1349" s="2367"/>
      <c r="H1349" s="2367"/>
      <c r="I1349" s="2367"/>
      <c r="J1349" s="2367"/>
      <c r="K1349" s="2367"/>
      <c r="L1349" s="2367"/>
      <c r="M1349" s="2367"/>
      <c r="N1349" s="2367"/>
      <c r="O1349" s="2367"/>
      <c r="P1349" s="2367"/>
      <c r="Q1349" s="2367"/>
      <c r="R1349" s="2367"/>
    </row>
    <row r="1350" spans="1:18">
      <c r="A1350" s="2367"/>
      <c r="B1350" s="2367"/>
      <c r="C1350" s="2367"/>
      <c r="D1350" s="2367"/>
      <c r="E1350" s="2367"/>
      <c r="F1350" s="2367"/>
      <c r="G1350" s="2367"/>
      <c r="H1350" s="2367"/>
      <c r="I1350" s="2367"/>
      <c r="J1350" s="2367"/>
      <c r="K1350" s="2367"/>
      <c r="L1350" s="2367"/>
      <c r="M1350" s="2367"/>
      <c r="N1350" s="2367"/>
      <c r="O1350" s="2367"/>
      <c r="P1350" s="2367"/>
      <c r="Q1350" s="2367"/>
      <c r="R1350" s="2367"/>
    </row>
    <row r="1351" spans="1:18">
      <c r="A1351" s="2367"/>
      <c r="B1351" s="2367"/>
      <c r="C1351" s="2367"/>
      <c r="D1351" s="2367"/>
      <c r="E1351" s="2367"/>
      <c r="F1351" s="2367"/>
      <c r="G1351" s="2367"/>
      <c r="H1351" s="2367"/>
      <c r="I1351" s="2367"/>
      <c r="J1351" s="2367"/>
      <c r="K1351" s="2367"/>
      <c r="L1351" s="2367"/>
      <c r="M1351" s="2367"/>
      <c r="N1351" s="2367"/>
      <c r="O1351" s="2367"/>
      <c r="P1351" s="2367"/>
      <c r="Q1351" s="2367"/>
      <c r="R1351" s="2367"/>
    </row>
    <row r="1352" spans="1:18">
      <c r="A1352" s="2367"/>
      <c r="B1352" s="2367"/>
      <c r="C1352" s="2367"/>
      <c r="D1352" s="2367"/>
      <c r="E1352" s="2367"/>
      <c r="F1352" s="2367"/>
      <c r="G1352" s="2367"/>
      <c r="H1352" s="2367"/>
      <c r="I1352" s="2367"/>
      <c r="J1352" s="2367"/>
      <c r="K1352" s="2367"/>
      <c r="L1352" s="2367"/>
      <c r="M1352" s="2367"/>
      <c r="N1352" s="2367"/>
      <c r="O1352" s="2367"/>
      <c r="P1352" s="2367"/>
      <c r="Q1352" s="2367"/>
      <c r="R1352" s="2367"/>
    </row>
    <row r="1353" spans="1:18">
      <c r="A1353" s="2367"/>
      <c r="B1353" s="2367"/>
      <c r="C1353" s="2367"/>
      <c r="D1353" s="2367"/>
      <c r="E1353" s="2367"/>
      <c r="F1353" s="2367"/>
      <c r="G1353" s="2367"/>
      <c r="H1353" s="2367"/>
      <c r="I1353" s="2367"/>
      <c r="J1353" s="2367"/>
      <c r="K1353" s="2367"/>
      <c r="L1353" s="2367"/>
      <c r="M1353" s="2367"/>
      <c r="N1353" s="2367"/>
      <c r="O1353" s="2367"/>
      <c r="P1353" s="2367"/>
      <c r="Q1353" s="2367"/>
      <c r="R1353" s="2367"/>
    </row>
    <row r="1354" spans="1:18">
      <c r="A1354" s="2367"/>
      <c r="B1354" s="2367"/>
      <c r="C1354" s="2367"/>
      <c r="D1354" s="2367"/>
      <c r="E1354" s="2367"/>
      <c r="F1354" s="2367"/>
      <c r="G1354" s="2367"/>
      <c r="H1354" s="2367"/>
      <c r="I1354" s="2367"/>
      <c r="J1354" s="2367"/>
      <c r="K1354" s="2367"/>
      <c r="L1354" s="2367"/>
      <c r="M1354" s="2367"/>
      <c r="N1354" s="2367"/>
      <c r="O1354" s="2367"/>
      <c r="P1354" s="2367"/>
      <c r="Q1354" s="2367"/>
      <c r="R1354" s="2367"/>
    </row>
    <row r="1355" spans="1:18">
      <c r="A1355" s="2367"/>
      <c r="B1355" s="2367"/>
      <c r="C1355" s="2367"/>
      <c r="D1355" s="2367"/>
      <c r="E1355" s="2367"/>
      <c r="F1355" s="2367"/>
      <c r="G1355" s="2367"/>
      <c r="H1355" s="2367"/>
      <c r="I1355" s="2367"/>
      <c r="J1355" s="2367"/>
      <c r="K1355" s="2367"/>
      <c r="L1355" s="2367"/>
      <c r="M1355" s="2367"/>
      <c r="N1355" s="2367"/>
      <c r="O1355" s="2367"/>
      <c r="P1355" s="2367"/>
      <c r="Q1355" s="2367"/>
      <c r="R1355" s="2367"/>
    </row>
    <row r="1356" spans="1:18">
      <c r="A1356" s="2367"/>
      <c r="B1356" s="2367"/>
      <c r="C1356" s="2367"/>
      <c r="D1356" s="2367"/>
      <c r="E1356" s="2367"/>
      <c r="F1356" s="2367"/>
      <c r="G1356" s="2367"/>
      <c r="H1356" s="2367"/>
      <c r="I1356" s="2367"/>
      <c r="J1356" s="2367"/>
      <c r="K1356" s="2367"/>
      <c r="L1356" s="2367"/>
      <c r="M1356" s="2367"/>
      <c r="N1356" s="2367"/>
      <c r="O1356" s="2367"/>
      <c r="P1356" s="2367"/>
      <c r="Q1356" s="2367"/>
      <c r="R1356" s="2367"/>
    </row>
    <row r="1357" spans="1:18">
      <c r="A1357" s="2367"/>
      <c r="B1357" s="2367"/>
      <c r="C1357" s="2367"/>
      <c r="D1357" s="2367"/>
      <c r="E1357" s="2367"/>
      <c r="F1357" s="2367"/>
      <c r="G1357" s="2367"/>
      <c r="H1357" s="2367"/>
      <c r="I1357" s="2367"/>
      <c r="J1357" s="2367"/>
      <c r="K1357" s="2367"/>
      <c r="L1357" s="2367"/>
      <c r="M1357" s="2367"/>
      <c r="N1357" s="2367"/>
      <c r="O1357" s="2367"/>
      <c r="P1357" s="2367"/>
      <c r="Q1357" s="2367"/>
      <c r="R1357" s="2367"/>
    </row>
    <row r="1358" spans="1:18">
      <c r="A1358" s="2367"/>
      <c r="B1358" s="2367"/>
      <c r="C1358" s="2367"/>
      <c r="D1358" s="2367"/>
      <c r="E1358" s="2367"/>
      <c r="F1358" s="2367"/>
      <c r="G1358" s="2367"/>
      <c r="H1358" s="2367"/>
      <c r="I1358" s="2367"/>
      <c r="J1358" s="2367"/>
      <c r="K1358" s="2367"/>
      <c r="L1358" s="2367"/>
      <c r="M1358" s="2367"/>
      <c r="N1358" s="2367"/>
      <c r="O1358" s="2367"/>
      <c r="P1358" s="2367"/>
      <c r="Q1358" s="2367"/>
      <c r="R1358" s="2367"/>
    </row>
    <row r="1359" spans="1:18">
      <c r="A1359" s="2367"/>
      <c r="B1359" s="2367"/>
      <c r="C1359" s="2367"/>
      <c r="D1359" s="2367"/>
      <c r="E1359" s="2367"/>
      <c r="F1359" s="2367"/>
      <c r="G1359" s="2367"/>
      <c r="H1359" s="2367"/>
      <c r="I1359" s="2367"/>
      <c r="J1359" s="2367"/>
      <c r="K1359" s="2367"/>
      <c r="L1359" s="2367"/>
      <c r="M1359" s="2367"/>
      <c r="N1359" s="2367"/>
      <c r="O1359" s="2367"/>
      <c r="P1359" s="2367"/>
      <c r="Q1359" s="2367"/>
      <c r="R1359" s="2367"/>
    </row>
    <row r="1360" spans="1:18">
      <c r="A1360" s="2367"/>
      <c r="B1360" s="2367"/>
      <c r="C1360" s="2367"/>
      <c r="D1360" s="2367"/>
      <c r="E1360" s="2367"/>
      <c r="F1360" s="2367"/>
      <c r="G1360" s="2367"/>
      <c r="H1360" s="2367"/>
      <c r="I1360" s="2367"/>
      <c r="J1360" s="2367"/>
      <c r="K1360" s="2367"/>
      <c r="L1360" s="2367"/>
      <c r="M1360" s="2367"/>
      <c r="N1360" s="2367"/>
      <c r="O1360" s="2367"/>
      <c r="P1360" s="2367"/>
      <c r="Q1360" s="2367"/>
      <c r="R1360" s="2367"/>
    </row>
    <row r="1361" spans="1:18">
      <c r="A1361" s="2367"/>
      <c r="B1361" s="2367"/>
      <c r="C1361" s="2367"/>
      <c r="D1361" s="2367"/>
      <c r="E1361" s="2367"/>
      <c r="F1361" s="2367"/>
      <c r="G1361" s="2367"/>
      <c r="H1361" s="2367"/>
      <c r="I1361" s="2367"/>
      <c r="J1361" s="2367"/>
      <c r="K1361" s="2367"/>
      <c r="L1361" s="2367"/>
      <c r="M1361" s="2367"/>
      <c r="N1361" s="2367"/>
      <c r="O1361" s="2367"/>
      <c r="P1361" s="2367"/>
      <c r="Q1361" s="2367"/>
      <c r="R1361" s="2367"/>
    </row>
    <row r="1362" spans="1:18">
      <c r="A1362" s="2367"/>
      <c r="B1362" s="2367"/>
      <c r="C1362" s="2367"/>
      <c r="D1362" s="2367"/>
      <c r="E1362" s="2367"/>
      <c r="F1362" s="2367"/>
      <c r="G1362" s="2367"/>
      <c r="H1362" s="2367"/>
      <c r="I1362" s="2367"/>
      <c r="J1362" s="2367"/>
      <c r="K1362" s="2367"/>
      <c r="L1362" s="2367"/>
      <c r="M1362" s="2367"/>
      <c r="N1362" s="2367"/>
      <c r="O1362" s="2367"/>
      <c r="P1362" s="2367"/>
      <c r="Q1362" s="2367"/>
      <c r="R1362" s="2367"/>
    </row>
    <row r="1363" spans="1:18">
      <c r="A1363" s="2367"/>
      <c r="B1363" s="2367"/>
      <c r="C1363" s="2367"/>
      <c r="D1363" s="2367"/>
      <c r="E1363" s="2367"/>
      <c r="F1363" s="2367"/>
      <c r="G1363" s="2367"/>
      <c r="H1363" s="2367"/>
      <c r="I1363" s="2367"/>
      <c r="J1363" s="2367"/>
      <c r="K1363" s="2367"/>
      <c r="L1363" s="2367"/>
      <c r="M1363" s="2367"/>
      <c r="N1363" s="2367"/>
      <c r="O1363" s="2367"/>
      <c r="P1363" s="2367"/>
      <c r="Q1363" s="2367"/>
      <c r="R1363" s="2367"/>
    </row>
    <row r="1364" spans="1:18">
      <c r="A1364" s="2367"/>
      <c r="B1364" s="2367"/>
      <c r="C1364" s="2367"/>
      <c r="D1364" s="2367"/>
      <c r="E1364" s="2367"/>
      <c r="F1364" s="2367"/>
      <c r="G1364" s="2367"/>
      <c r="H1364" s="2367"/>
      <c r="I1364" s="2367"/>
      <c r="J1364" s="2367"/>
      <c r="K1364" s="2367"/>
      <c r="L1364" s="2367"/>
      <c r="M1364" s="2367"/>
      <c r="N1364" s="2367"/>
      <c r="O1364" s="2367"/>
      <c r="P1364" s="2367"/>
      <c r="Q1364" s="2367"/>
      <c r="R1364" s="2367"/>
    </row>
    <row r="1365" spans="1:18">
      <c r="A1365" s="2367"/>
      <c r="B1365" s="2367"/>
      <c r="C1365" s="2367"/>
      <c r="D1365" s="2367"/>
      <c r="E1365" s="2367"/>
      <c r="F1365" s="2367"/>
      <c r="G1365" s="2367"/>
      <c r="H1365" s="2367"/>
      <c r="I1365" s="2367"/>
      <c r="J1365" s="2367"/>
      <c r="K1365" s="2367"/>
      <c r="L1365" s="2367"/>
      <c r="M1365" s="2367"/>
      <c r="N1365" s="2367"/>
      <c r="O1365" s="2367"/>
      <c r="P1365" s="2367"/>
      <c r="Q1365" s="2367"/>
      <c r="R1365" s="2367"/>
    </row>
    <row r="1366" spans="1:18">
      <c r="A1366" s="2367"/>
      <c r="B1366" s="2367"/>
      <c r="C1366" s="2367"/>
      <c r="D1366" s="2367"/>
      <c r="E1366" s="2367"/>
      <c r="F1366" s="2367"/>
      <c r="G1366" s="2367"/>
      <c r="H1366" s="2367"/>
      <c r="I1366" s="2367"/>
      <c r="J1366" s="2367"/>
      <c r="K1366" s="2367"/>
      <c r="L1366" s="2367"/>
      <c r="M1366" s="2367"/>
      <c r="N1366" s="2367"/>
      <c r="O1366" s="2367"/>
      <c r="P1366" s="2367"/>
      <c r="Q1366" s="2367"/>
      <c r="R1366" s="2367"/>
    </row>
    <row r="1367" spans="1:18">
      <c r="A1367" s="2367"/>
      <c r="B1367" s="2367"/>
      <c r="C1367" s="2367"/>
      <c r="D1367" s="2367"/>
      <c r="E1367" s="2367"/>
      <c r="F1367" s="2367"/>
      <c r="G1367" s="2367"/>
      <c r="H1367" s="2367"/>
      <c r="I1367" s="2367"/>
      <c r="J1367" s="2367"/>
      <c r="K1367" s="2367"/>
      <c r="L1367" s="2367"/>
      <c r="M1367" s="2367"/>
      <c r="N1367" s="2367"/>
      <c r="O1367" s="2367"/>
      <c r="P1367" s="2367"/>
      <c r="Q1367" s="2367"/>
      <c r="R1367" s="2367"/>
    </row>
    <row r="1368" spans="1:18">
      <c r="A1368" s="2367"/>
      <c r="B1368" s="2367"/>
      <c r="C1368" s="2367"/>
      <c r="D1368" s="2367"/>
      <c r="E1368" s="2367"/>
      <c r="F1368" s="2367"/>
      <c r="G1368" s="2367"/>
      <c r="H1368" s="2367"/>
      <c r="I1368" s="2367"/>
      <c r="J1368" s="2367"/>
      <c r="K1368" s="2367"/>
      <c r="L1368" s="2367"/>
      <c r="M1368" s="2367"/>
      <c r="N1368" s="2367"/>
      <c r="O1368" s="2367"/>
      <c r="P1368" s="2367"/>
      <c r="Q1368" s="2367"/>
      <c r="R1368" s="2367"/>
    </row>
    <row r="1369" spans="1:18">
      <c r="A1369" s="2367"/>
      <c r="B1369" s="2367"/>
      <c r="C1369" s="2367"/>
      <c r="D1369" s="2367"/>
      <c r="E1369" s="2367"/>
      <c r="F1369" s="2367"/>
      <c r="G1369" s="2367"/>
      <c r="H1369" s="2367"/>
      <c r="I1369" s="2367"/>
      <c r="J1369" s="2367"/>
      <c r="K1369" s="2367"/>
      <c r="L1369" s="2367"/>
      <c r="M1369" s="2367"/>
      <c r="N1369" s="2367"/>
      <c r="O1369" s="2367"/>
      <c r="P1369" s="2367"/>
      <c r="Q1369" s="2367"/>
      <c r="R1369" s="2367"/>
    </row>
    <row r="1370" spans="1:18">
      <c r="A1370" s="2367"/>
      <c r="B1370" s="2367"/>
      <c r="C1370" s="2367"/>
      <c r="D1370" s="2367"/>
      <c r="E1370" s="2367"/>
      <c r="F1370" s="2367"/>
      <c r="G1370" s="2367"/>
      <c r="H1370" s="2367"/>
      <c r="I1370" s="2367"/>
      <c r="J1370" s="2367"/>
      <c r="K1370" s="2367"/>
      <c r="L1370" s="2367"/>
      <c r="M1370" s="2367"/>
      <c r="N1370" s="2367"/>
      <c r="O1370" s="2367"/>
      <c r="P1370" s="2367"/>
      <c r="Q1370" s="2367"/>
      <c r="R1370" s="2367"/>
    </row>
    <row r="1371" spans="1:18">
      <c r="A1371" s="2367"/>
      <c r="B1371" s="2367"/>
      <c r="C1371" s="2367"/>
      <c r="D1371" s="2367"/>
      <c r="E1371" s="2367"/>
      <c r="F1371" s="2367"/>
      <c r="G1371" s="2367"/>
      <c r="H1371" s="2367"/>
      <c r="I1371" s="2367"/>
      <c r="J1371" s="2367"/>
      <c r="K1371" s="2367"/>
      <c r="L1371" s="2367"/>
      <c r="M1371" s="2367"/>
      <c r="N1371" s="2367"/>
      <c r="O1371" s="2367"/>
      <c r="P1371" s="2367"/>
      <c r="Q1371" s="2367"/>
      <c r="R1371" s="2367"/>
    </row>
    <row r="1372" spans="1:18">
      <c r="A1372" s="2367"/>
      <c r="B1372" s="2367"/>
      <c r="C1372" s="2367"/>
      <c r="D1372" s="2367"/>
      <c r="E1372" s="2367"/>
      <c r="F1372" s="2367"/>
      <c r="G1372" s="2367"/>
      <c r="H1372" s="2367"/>
      <c r="I1372" s="2367"/>
      <c r="J1372" s="2367"/>
      <c r="K1372" s="2367"/>
      <c r="L1372" s="2367"/>
      <c r="M1372" s="2367"/>
      <c r="N1372" s="2367"/>
      <c r="O1372" s="2367"/>
      <c r="P1372" s="2367"/>
      <c r="Q1372" s="2367"/>
      <c r="R1372" s="2367"/>
    </row>
    <row r="1373" spans="1:18">
      <c r="A1373" s="2367"/>
      <c r="B1373" s="2367"/>
      <c r="C1373" s="2367"/>
      <c r="D1373" s="2367"/>
      <c r="E1373" s="2367"/>
      <c r="F1373" s="2367"/>
      <c r="G1373" s="2367"/>
      <c r="H1373" s="2367"/>
      <c r="I1373" s="2367"/>
      <c r="J1373" s="2367"/>
      <c r="K1373" s="2367"/>
      <c r="L1373" s="2367"/>
      <c r="M1373" s="2367"/>
      <c r="N1373" s="2367"/>
      <c r="O1373" s="2367"/>
      <c r="P1373" s="2367"/>
      <c r="Q1373" s="2367"/>
      <c r="R1373" s="2367"/>
    </row>
    <row r="1374" spans="1:18">
      <c r="A1374" s="2367"/>
      <c r="B1374" s="2367"/>
      <c r="C1374" s="2367"/>
      <c r="D1374" s="2367"/>
      <c r="E1374" s="2367"/>
      <c r="F1374" s="2367"/>
      <c r="G1374" s="2367"/>
      <c r="H1374" s="2367"/>
      <c r="I1374" s="2367"/>
      <c r="J1374" s="2367"/>
      <c r="K1374" s="2367"/>
      <c r="L1374" s="2367"/>
      <c r="M1374" s="2367"/>
      <c r="N1374" s="2367"/>
      <c r="O1374" s="2367"/>
      <c r="P1374" s="2367"/>
      <c r="Q1374" s="2367"/>
      <c r="R1374" s="2367"/>
    </row>
    <row r="1375" spans="1:18">
      <c r="A1375" s="2367"/>
      <c r="B1375" s="2367"/>
      <c r="C1375" s="2367"/>
      <c r="D1375" s="2367"/>
      <c r="E1375" s="2367"/>
      <c r="F1375" s="2367"/>
      <c r="G1375" s="2367"/>
      <c r="H1375" s="2367"/>
      <c r="I1375" s="2367"/>
      <c r="J1375" s="2367"/>
      <c r="K1375" s="2367"/>
      <c r="L1375" s="2367"/>
      <c r="M1375" s="2367"/>
      <c r="N1375" s="2367"/>
      <c r="O1375" s="2367"/>
      <c r="P1375" s="2367"/>
      <c r="Q1375" s="2367"/>
      <c r="R1375" s="2367"/>
    </row>
    <row r="1376" spans="1:18">
      <c r="A1376" s="2367"/>
      <c r="B1376" s="2367"/>
      <c r="C1376" s="2367"/>
      <c r="D1376" s="2367"/>
      <c r="E1376" s="2367"/>
      <c r="F1376" s="2367"/>
      <c r="G1376" s="2367"/>
      <c r="H1376" s="2367"/>
      <c r="I1376" s="2367"/>
      <c r="J1376" s="2367"/>
      <c r="K1376" s="2367"/>
      <c r="L1376" s="2367"/>
      <c r="M1376" s="2367"/>
      <c r="N1376" s="2367"/>
      <c r="O1376" s="2367"/>
      <c r="P1376" s="2367"/>
      <c r="Q1376" s="2367"/>
      <c r="R1376" s="2367"/>
    </row>
    <row r="1377" spans="1:18">
      <c r="A1377" s="2367"/>
      <c r="B1377" s="2367"/>
      <c r="C1377" s="2367"/>
      <c r="D1377" s="2367"/>
      <c r="E1377" s="2367"/>
      <c r="F1377" s="2367"/>
      <c r="G1377" s="2367"/>
      <c r="H1377" s="2367"/>
      <c r="I1377" s="2367"/>
      <c r="J1377" s="2367"/>
      <c r="K1377" s="2367"/>
      <c r="L1377" s="2367"/>
      <c r="M1377" s="2367"/>
      <c r="N1377" s="2367"/>
      <c r="O1377" s="2367"/>
      <c r="P1377" s="2367"/>
      <c r="Q1377" s="2367"/>
      <c r="R1377" s="2367"/>
    </row>
    <row r="1378" spans="1:18">
      <c r="A1378" s="2367"/>
      <c r="B1378" s="2367"/>
      <c r="C1378" s="2367"/>
      <c r="D1378" s="2367"/>
      <c r="E1378" s="2367"/>
      <c r="F1378" s="2367"/>
      <c r="G1378" s="2367"/>
      <c r="H1378" s="2367"/>
      <c r="I1378" s="2367"/>
      <c r="J1378" s="2367"/>
      <c r="K1378" s="2367"/>
      <c r="L1378" s="2367"/>
      <c r="M1378" s="2367"/>
      <c r="N1378" s="2367"/>
      <c r="O1378" s="2367"/>
      <c r="P1378" s="2367"/>
      <c r="Q1378" s="2367"/>
      <c r="R1378" s="2367"/>
    </row>
    <row r="1379" spans="1:18">
      <c r="A1379" s="2367"/>
      <c r="B1379" s="2367"/>
      <c r="C1379" s="2367"/>
      <c r="D1379" s="2367"/>
      <c r="E1379" s="2367"/>
      <c r="F1379" s="2367"/>
      <c r="G1379" s="2367"/>
      <c r="H1379" s="2367"/>
      <c r="I1379" s="2367"/>
      <c r="J1379" s="2367"/>
      <c r="K1379" s="2367"/>
      <c r="L1379" s="2367"/>
      <c r="M1379" s="2367"/>
      <c r="N1379" s="2367"/>
      <c r="O1379" s="2367"/>
      <c r="P1379" s="2367"/>
      <c r="Q1379" s="2367"/>
      <c r="R1379" s="2367"/>
    </row>
    <row r="1380" spans="1:18">
      <c r="A1380" s="2367"/>
      <c r="B1380" s="2367"/>
      <c r="C1380" s="2367"/>
      <c r="D1380" s="2367"/>
      <c r="E1380" s="2367"/>
      <c r="F1380" s="2367"/>
      <c r="G1380" s="2367"/>
      <c r="H1380" s="2367"/>
      <c r="I1380" s="2367"/>
      <c r="J1380" s="2367"/>
      <c r="K1380" s="2367"/>
      <c r="L1380" s="2367"/>
      <c r="M1380" s="2367"/>
      <c r="N1380" s="2367"/>
      <c r="O1380" s="2367"/>
      <c r="P1380" s="2367"/>
      <c r="Q1380" s="2367"/>
      <c r="R1380" s="2367"/>
    </row>
    <row r="1381" spans="1:18">
      <c r="A1381" s="2367"/>
      <c r="B1381" s="2367"/>
      <c r="C1381" s="2367"/>
      <c r="D1381" s="2367"/>
      <c r="E1381" s="2367"/>
      <c r="F1381" s="2367"/>
      <c r="G1381" s="2367"/>
      <c r="H1381" s="2367"/>
      <c r="I1381" s="2367"/>
      <c r="J1381" s="2367"/>
      <c r="K1381" s="2367"/>
      <c r="L1381" s="2367"/>
      <c r="M1381" s="2367"/>
      <c r="N1381" s="2367"/>
      <c r="O1381" s="2367"/>
      <c r="P1381" s="2367"/>
      <c r="Q1381" s="2367"/>
      <c r="R1381" s="2367"/>
    </row>
    <row r="1382" spans="1:18">
      <c r="A1382" s="2367"/>
      <c r="B1382" s="2367"/>
      <c r="C1382" s="2367"/>
      <c r="D1382" s="2367"/>
      <c r="E1382" s="2367"/>
      <c r="F1382" s="2367"/>
      <c r="G1382" s="2367"/>
      <c r="H1382" s="2367"/>
      <c r="I1382" s="2367"/>
      <c r="J1382" s="2367"/>
      <c r="K1382" s="2367"/>
      <c r="L1382" s="2367"/>
      <c r="M1382" s="2367"/>
      <c r="N1382" s="2367"/>
      <c r="O1382" s="2367"/>
      <c r="P1382" s="2367"/>
      <c r="Q1382" s="2367"/>
      <c r="R1382" s="2367"/>
    </row>
    <row r="1383" spans="1:18">
      <c r="A1383" s="2367"/>
      <c r="B1383" s="2367"/>
      <c r="C1383" s="2367"/>
      <c r="D1383" s="2367"/>
      <c r="E1383" s="2367"/>
      <c r="F1383" s="2367"/>
      <c r="G1383" s="2367"/>
      <c r="H1383" s="2367"/>
      <c r="I1383" s="2367"/>
      <c r="J1383" s="2367"/>
      <c r="K1383" s="2367"/>
      <c r="L1383" s="2367"/>
      <c r="M1383" s="2367"/>
      <c r="N1383" s="2367"/>
      <c r="O1383" s="2367"/>
      <c r="P1383" s="2367"/>
      <c r="Q1383" s="2367"/>
      <c r="R1383" s="2367"/>
    </row>
    <row r="1384" spans="1:18">
      <c r="A1384" s="2367"/>
      <c r="B1384" s="2367"/>
      <c r="C1384" s="2367"/>
      <c r="D1384" s="2367"/>
      <c r="E1384" s="2367"/>
      <c r="F1384" s="2367"/>
      <c r="G1384" s="2367"/>
      <c r="H1384" s="2367"/>
      <c r="I1384" s="2367"/>
      <c r="J1384" s="2367"/>
      <c r="K1384" s="2367"/>
      <c r="L1384" s="2367"/>
      <c r="M1384" s="2367"/>
      <c r="N1384" s="2367"/>
      <c r="O1384" s="2367"/>
      <c r="P1384" s="2367"/>
      <c r="Q1384" s="2367"/>
      <c r="R1384" s="2367"/>
    </row>
    <row r="1385" spans="1:18">
      <c r="A1385" s="2367"/>
      <c r="B1385" s="2367"/>
      <c r="C1385" s="2367"/>
      <c r="D1385" s="2367"/>
      <c r="E1385" s="2367"/>
      <c r="F1385" s="2367"/>
      <c r="G1385" s="2367"/>
      <c r="H1385" s="2367"/>
      <c r="I1385" s="2367"/>
      <c r="J1385" s="2367"/>
      <c r="K1385" s="2367"/>
      <c r="L1385" s="2367"/>
      <c r="M1385" s="2367"/>
      <c r="N1385" s="2367"/>
      <c r="O1385" s="2367"/>
      <c r="P1385" s="2367"/>
      <c r="Q1385" s="2367"/>
      <c r="R1385" s="2367"/>
    </row>
    <row r="1386" spans="1:18">
      <c r="A1386" s="2367"/>
      <c r="B1386" s="2367"/>
      <c r="C1386" s="2367"/>
      <c r="D1386" s="2367"/>
      <c r="E1386" s="2367"/>
      <c r="F1386" s="2367"/>
      <c r="G1386" s="2367"/>
      <c r="H1386" s="2367"/>
      <c r="I1386" s="2367"/>
      <c r="J1386" s="2367"/>
      <c r="K1386" s="2367"/>
      <c r="L1386" s="2367"/>
      <c r="M1386" s="2367"/>
      <c r="N1386" s="2367"/>
      <c r="O1386" s="2367"/>
      <c r="P1386" s="2367"/>
      <c r="Q1386" s="2367"/>
      <c r="R1386" s="2367"/>
    </row>
    <row r="1387" spans="1:18">
      <c r="A1387" s="2367"/>
      <c r="B1387" s="2367"/>
      <c r="C1387" s="2367"/>
      <c r="D1387" s="2367"/>
      <c r="E1387" s="2367"/>
      <c r="F1387" s="2367"/>
      <c r="G1387" s="2367"/>
      <c r="H1387" s="2367"/>
      <c r="I1387" s="2367"/>
      <c r="J1387" s="2367"/>
      <c r="K1387" s="2367"/>
      <c r="L1387" s="2367"/>
      <c r="M1387" s="2367"/>
      <c r="N1387" s="2367"/>
      <c r="O1387" s="2367"/>
      <c r="P1387" s="2367"/>
      <c r="Q1387" s="2367"/>
      <c r="R1387" s="2367"/>
    </row>
    <row r="1388" spans="1:18">
      <c r="A1388" s="2367"/>
      <c r="B1388" s="2367"/>
      <c r="C1388" s="2367"/>
      <c r="D1388" s="2367"/>
      <c r="E1388" s="2367"/>
      <c r="F1388" s="2367"/>
      <c r="G1388" s="2367"/>
      <c r="H1388" s="2367"/>
      <c r="I1388" s="2367"/>
      <c r="J1388" s="2367"/>
      <c r="K1388" s="2367"/>
      <c r="L1388" s="2367"/>
      <c r="M1388" s="2367"/>
      <c r="N1388" s="2367"/>
      <c r="O1388" s="2367"/>
      <c r="P1388" s="2367"/>
      <c r="Q1388" s="2367"/>
      <c r="R1388" s="2367"/>
    </row>
    <row r="1389" spans="1:18">
      <c r="A1389" s="2367"/>
      <c r="B1389" s="2367"/>
      <c r="C1389" s="2367"/>
      <c r="D1389" s="2367"/>
      <c r="E1389" s="2367"/>
      <c r="F1389" s="2367"/>
      <c r="G1389" s="2367"/>
      <c r="H1389" s="2367"/>
      <c r="I1389" s="2367"/>
      <c r="J1389" s="2367"/>
      <c r="K1389" s="2367"/>
      <c r="L1389" s="2367"/>
      <c r="M1389" s="2367"/>
      <c r="N1389" s="2367"/>
      <c r="O1389" s="2367"/>
      <c r="P1389" s="2367"/>
      <c r="Q1389" s="2367"/>
      <c r="R1389" s="2367"/>
    </row>
    <row r="1390" spans="1:18">
      <c r="A1390" s="2367"/>
      <c r="B1390" s="2367"/>
      <c r="C1390" s="2367"/>
      <c r="D1390" s="2367"/>
      <c r="E1390" s="2367"/>
      <c r="F1390" s="2367"/>
      <c r="G1390" s="2367"/>
      <c r="H1390" s="2367"/>
      <c r="I1390" s="2367"/>
      <c r="J1390" s="2367"/>
      <c r="K1390" s="2367"/>
      <c r="L1390" s="2367"/>
      <c r="M1390" s="2367"/>
      <c r="N1390" s="2367"/>
      <c r="O1390" s="2367"/>
      <c r="P1390" s="2367"/>
      <c r="Q1390" s="2367"/>
      <c r="R1390" s="2367"/>
    </row>
    <row r="1391" spans="1:18">
      <c r="A1391" s="2367"/>
      <c r="B1391" s="2367"/>
      <c r="C1391" s="2367"/>
      <c r="D1391" s="2367"/>
      <c r="E1391" s="2367"/>
      <c r="F1391" s="2367"/>
      <c r="G1391" s="2367"/>
      <c r="H1391" s="2367"/>
      <c r="I1391" s="2367"/>
      <c r="J1391" s="2367"/>
      <c r="K1391" s="2367"/>
      <c r="L1391" s="2367"/>
      <c r="M1391" s="2367"/>
      <c r="N1391" s="2367"/>
      <c r="O1391" s="2367"/>
      <c r="P1391" s="2367"/>
      <c r="Q1391" s="2367"/>
      <c r="R1391" s="2367"/>
    </row>
    <row r="1392" spans="1:18">
      <c r="A1392" s="2367"/>
      <c r="B1392" s="2367"/>
      <c r="C1392" s="2367"/>
      <c r="D1392" s="2367"/>
      <c r="E1392" s="2367"/>
      <c r="F1392" s="2367"/>
      <c r="G1392" s="2367"/>
      <c r="H1392" s="2367"/>
      <c r="I1392" s="2367"/>
      <c r="J1392" s="2367"/>
      <c r="K1392" s="2367"/>
      <c r="L1392" s="2367"/>
      <c r="M1392" s="2367"/>
      <c r="N1392" s="2367"/>
      <c r="O1392" s="2367"/>
      <c r="P1392" s="2367"/>
      <c r="Q1392" s="2367"/>
      <c r="R1392" s="2367"/>
    </row>
    <row r="1393" spans="1:18">
      <c r="A1393" s="2367"/>
      <c r="B1393" s="2367"/>
      <c r="C1393" s="2367"/>
      <c r="D1393" s="2367"/>
      <c r="E1393" s="2367"/>
      <c r="F1393" s="2367"/>
      <c r="G1393" s="2367"/>
      <c r="H1393" s="2367"/>
      <c r="I1393" s="2367"/>
      <c r="J1393" s="2367"/>
      <c r="K1393" s="2367"/>
      <c r="L1393" s="2367"/>
      <c r="M1393" s="2367"/>
      <c r="N1393" s="2367"/>
      <c r="O1393" s="2367"/>
      <c r="P1393" s="2367"/>
      <c r="Q1393" s="2367"/>
      <c r="R1393" s="2367"/>
    </row>
    <row r="1394" spans="1:18">
      <c r="A1394" s="2367"/>
      <c r="B1394" s="2367"/>
      <c r="C1394" s="2367"/>
      <c r="D1394" s="2367"/>
      <c r="E1394" s="2367"/>
      <c r="F1394" s="2367"/>
      <c r="G1394" s="2367"/>
      <c r="H1394" s="2367"/>
      <c r="I1394" s="2367"/>
      <c r="J1394" s="2367"/>
      <c r="K1394" s="2367"/>
      <c r="L1394" s="2367"/>
      <c r="M1394" s="2367"/>
      <c r="N1394" s="2367"/>
      <c r="O1394" s="2367"/>
      <c r="P1394" s="2367"/>
      <c r="Q1394" s="2367"/>
      <c r="R1394" s="2367"/>
    </row>
    <row r="1395" spans="1:18">
      <c r="A1395" s="2367"/>
      <c r="B1395" s="2367"/>
      <c r="C1395" s="2367"/>
      <c r="D1395" s="2367"/>
      <c r="E1395" s="2367"/>
      <c r="F1395" s="2367"/>
      <c r="G1395" s="2367"/>
      <c r="H1395" s="2367"/>
      <c r="I1395" s="2367"/>
      <c r="J1395" s="2367"/>
      <c r="K1395" s="2367"/>
      <c r="L1395" s="2367"/>
      <c r="M1395" s="2367"/>
      <c r="N1395" s="2367"/>
      <c r="O1395" s="2367"/>
      <c r="P1395" s="2367"/>
      <c r="Q1395" s="2367"/>
      <c r="R1395" s="2367"/>
    </row>
    <row r="1396" spans="1:18">
      <c r="A1396" s="2367"/>
      <c r="B1396" s="2367"/>
      <c r="C1396" s="2367"/>
      <c r="D1396" s="2367"/>
      <c r="E1396" s="2367"/>
      <c r="F1396" s="2367"/>
      <c r="G1396" s="2367"/>
      <c r="H1396" s="2367"/>
      <c r="I1396" s="2367"/>
      <c r="J1396" s="2367"/>
      <c r="K1396" s="2367"/>
      <c r="L1396" s="2367"/>
      <c r="M1396" s="2367"/>
      <c r="N1396" s="2367"/>
      <c r="O1396" s="2367"/>
      <c r="P1396" s="2367"/>
      <c r="Q1396" s="2367"/>
      <c r="R1396" s="2367"/>
    </row>
    <row r="1397" spans="1:18">
      <c r="A1397" s="2367"/>
      <c r="B1397" s="2367"/>
      <c r="C1397" s="2367"/>
      <c r="D1397" s="2367"/>
      <c r="E1397" s="2367"/>
      <c r="F1397" s="2367"/>
      <c r="G1397" s="2367"/>
      <c r="H1397" s="2367"/>
      <c r="I1397" s="2367"/>
      <c r="J1397" s="2367"/>
      <c r="K1397" s="2367"/>
      <c r="L1397" s="2367"/>
      <c r="M1397" s="2367"/>
      <c r="N1397" s="2367"/>
      <c r="O1397" s="2367"/>
      <c r="P1397" s="2367"/>
      <c r="Q1397" s="2367"/>
      <c r="R1397" s="2367"/>
    </row>
    <row r="1398" spans="1:18">
      <c r="A1398" s="2367"/>
      <c r="B1398" s="2367"/>
      <c r="C1398" s="2367"/>
      <c r="D1398" s="2367"/>
      <c r="E1398" s="2367"/>
      <c r="F1398" s="2367"/>
      <c r="G1398" s="2367"/>
      <c r="H1398" s="2367"/>
      <c r="I1398" s="2367"/>
      <c r="J1398" s="2367"/>
      <c r="K1398" s="2367"/>
      <c r="L1398" s="2367"/>
      <c r="M1398" s="2367"/>
      <c r="N1398" s="2367"/>
      <c r="O1398" s="2367"/>
      <c r="P1398" s="2367"/>
      <c r="Q1398" s="2367"/>
      <c r="R1398" s="2367"/>
    </row>
    <row r="1399" spans="1:18">
      <c r="A1399" s="2367"/>
      <c r="B1399" s="2367"/>
      <c r="C1399" s="2367"/>
      <c r="D1399" s="2367"/>
      <c r="E1399" s="2367"/>
      <c r="F1399" s="2367"/>
      <c r="G1399" s="2367"/>
      <c r="H1399" s="2367"/>
      <c r="I1399" s="2367"/>
      <c r="J1399" s="2367"/>
      <c r="K1399" s="2367"/>
      <c r="L1399" s="2367"/>
      <c r="M1399" s="2367"/>
      <c r="N1399" s="2367"/>
      <c r="O1399" s="2367"/>
      <c r="P1399" s="2367"/>
      <c r="Q1399" s="2367"/>
      <c r="R1399" s="2367"/>
    </row>
    <row r="1400" spans="1:18">
      <c r="A1400" s="2367"/>
      <c r="B1400" s="2367"/>
      <c r="C1400" s="2367"/>
      <c r="D1400" s="2367"/>
      <c r="E1400" s="2367"/>
      <c r="F1400" s="2367"/>
      <c r="G1400" s="2367"/>
      <c r="H1400" s="2367"/>
      <c r="I1400" s="2367"/>
      <c r="J1400" s="2367"/>
      <c r="K1400" s="2367"/>
      <c r="L1400" s="2367"/>
      <c r="M1400" s="2367"/>
      <c r="N1400" s="2367"/>
      <c r="O1400" s="2367"/>
      <c r="P1400" s="2367"/>
      <c r="Q1400" s="2367"/>
      <c r="R1400" s="2367"/>
    </row>
    <row r="1401" spans="1:18">
      <c r="A1401" s="2367"/>
      <c r="B1401" s="2367"/>
      <c r="C1401" s="2367"/>
      <c r="D1401" s="2367"/>
      <c r="E1401" s="2367"/>
      <c r="F1401" s="2367"/>
      <c r="G1401" s="2367"/>
      <c r="H1401" s="2367"/>
      <c r="I1401" s="2367"/>
      <c r="J1401" s="2367"/>
      <c r="K1401" s="2367"/>
      <c r="L1401" s="2367"/>
      <c r="M1401" s="2367"/>
      <c r="N1401" s="2367"/>
      <c r="O1401" s="2367"/>
      <c r="P1401" s="2367"/>
      <c r="Q1401" s="2367"/>
      <c r="R1401" s="2367"/>
    </row>
    <row r="1402" spans="1:18">
      <c r="A1402" s="2367"/>
      <c r="B1402" s="2367"/>
      <c r="C1402" s="2367"/>
      <c r="D1402" s="2367"/>
      <c r="E1402" s="2367"/>
      <c r="F1402" s="2367"/>
      <c r="G1402" s="2367"/>
      <c r="H1402" s="2367"/>
      <c r="I1402" s="2367"/>
      <c r="J1402" s="2367"/>
      <c r="K1402" s="2367"/>
      <c r="L1402" s="2367"/>
      <c r="M1402" s="2367"/>
      <c r="N1402" s="2367"/>
      <c r="O1402" s="2367"/>
      <c r="P1402" s="2367"/>
      <c r="Q1402" s="2367"/>
      <c r="R1402" s="2367"/>
    </row>
    <row r="1403" spans="1:18">
      <c r="A1403" s="2367"/>
      <c r="B1403" s="2367"/>
      <c r="C1403" s="2367"/>
      <c r="D1403" s="2367"/>
      <c r="E1403" s="2367"/>
      <c r="F1403" s="2367"/>
      <c r="G1403" s="2367"/>
      <c r="H1403" s="2367"/>
      <c r="I1403" s="2367"/>
      <c r="J1403" s="2367"/>
      <c r="K1403" s="2367"/>
      <c r="L1403" s="2367"/>
      <c r="M1403" s="2367"/>
      <c r="N1403" s="2367"/>
      <c r="O1403" s="2367"/>
      <c r="P1403" s="2367"/>
      <c r="Q1403" s="2367"/>
      <c r="R1403" s="2367"/>
    </row>
    <row r="1404" spans="1:18">
      <c r="A1404" s="2367"/>
      <c r="B1404" s="2367"/>
      <c r="C1404" s="2367"/>
      <c r="D1404" s="2367"/>
      <c r="E1404" s="2367"/>
      <c r="F1404" s="2367"/>
      <c r="G1404" s="2367"/>
      <c r="H1404" s="2367"/>
      <c r="I1404" s="2367"/>
      <c r="J1404" s="2367"/>
      <c r="K1404" s="2367"/>
      <c r="L1404" s="2367"/>
      <c r="M1404" s="2367"/>
      <c r="N1404" s="2367"/>
      <c r="O1404" s="2367"/>
      <c r="P1404" s="2367"/>
      <c r="Q1404" s="2367"/>
      <c r="R1404" s="2367"/>
    </row>
    <row r="1405" spans="1:18">
      <c r="A1405" s="2367"/>
      <c r="B1405" s="2367"/>
      <c r="C1405" s="2367"/>
      <c r="D1405" s="2367"/>
      <c r="E1405" s="2367"/>
      <c r="F1405" s="2367"/>
      <c r="G1405" s="2367"/>
      <c r="H1405" s="2367"/>
      <c r="I1405" s="2367"/>
      <c r="J1405" s="2367"/>
      <c r="K1405" s="2367"/>
      <c r="L1405" s="2367"/>
      <c r="M1405" s="2367"/>
      <c r="N1405" s="2367"/>
      <c r="O1405" s="2367"/>
      <c r="P1405" s="2367"/>
      <c r="Q1405" s="2367"/>
      <c r="R1405" s="2367"/>
    </row>
    <row r="1406" spans="1:18">
      <c r="A1406" s="2367"/>
      <c r="B1406" s="2367"/>
      <c r="C1406" s="2367"/>
      <c r="D1406" s="2367"/>
      <c r="E1406" s="2367"/>
      <c r="F1406" s="2367"/>
      <c r="G1406" s="2367"/>
      <c r="H1406" s="2367"/>
      <c r="I1406" s="2367"/>
      <c r="J1406" s="2367"/>
      <c r="K1406" s="2367"/>
      <c r="L1406" s="2367"/>
      <c r="M1406" s="2367"/>
      <c r="N1406" s="2367"/>
      <c r="O1406" s="2367"/>
      <c r="P1406" s="2367"/>
      <c r="Q1406" s="2367"/>
      <c r="R1406" s="2367"/>
    </row>
    <row r="1407" spans="1:18">
      <c r="A1407" s="2367"/>
      <c r="B1407" s="2367"/>
      <c r="C1407" s="2367"/>
      <c r="D1407" s="2367"/>
      <c r="E1407" s="2367"/>
      <c r="F1407" s="2367"/>
      <c r="G1407" s="2367"/>
      <c r="H1407" s="2367"/>
      <c r="I1407" s="2367"/>
      <c r="J1407" s="2367"/>
      <c r="K1407" s="2367"/>
      <c r="L1407" s="2367"/>
      <c r="M1407" s="2367"/>
      <c r="N1407" s="2367"/>
      <c r="O1407" s="2367"/>
      <c r="P1407" s="2367"/>
      <c r="Q1407" s="2367"/>
      <c r="R1407" s="2367"/>
    </row>
    <row r="1408" spans="1:18">
      <c r="A1408" s="2367"/>
      <c r="B1408" s="2367"/>
      <c r="C1408" s="2367"/>
      <c r="D1408" s="2367"/>
      <c r="E1408" s="2367"/>
      <c r="F1408" s="2367"/>
      <c r="G1408" s="2367"/>
      <c r="H1408" s="2367"/>
      <c r="I1408" s="2367"/>
      <c r="J1408" s="2367"/>
      <c r="K1408" s="2367"/>
      <c r="L1408" s="2367"/>
      <c r="M1408" s="2367"/>
      <c r="N1408" s="2367"/>
      <c r="O1408" s="2367"/>
      <c r="P1408" s="2367"/>
      <c r="Q1408" s="2367"/>
      <c r="R1408" s="2367"/>
    </row>
    <row r="1409" spans="1:18">
      <c r="A1409" s="2367"/>
      <c r="B1409" s="2367"/>
      <c r="C1409" s="2367"/>
      <c r="D1409" s="2367"/>
      <c r="E1409" s="2367"/>
      <c r="F1409" s="2367"/>
      <c r="G1409" s="2367"/>
      <c r="H1409" s="2367"/>
      <c r="I1409" s="2367"/>
      <c r="J1409" s="2367"/>
      <c r="K1409" s="2367"/>
      <c r="L1409" s="2367"/>
      <c r="M1409" s="2367"/>
      <c r="N1409" s="2367"/>
      <c r="O1409" s="2367"/>
      <c r="P1409" s="2367"/>
      <c r="Q1409" s="2367"/>
      <c r="R1409" s="2367"/>
    </row>
    <row r="1410" spans="1:18">
      <c r="A1410" s="2367"/>
      <c r="B1410" s="2367"/>
      <c r="C1410" s="2367"/>
      <c r="D1410" s="2367"/>
      <c r="E1410" s="2367"/>
      <c r="F1410" s="2367"/>
      <c r="G1410" s="2367"/>
      <c r="H1410" s="2367"/>
      <c r="I1410" s="2367"/>
      <c r="J1410" s="2367"/>
      <c r="K1410" s="2367"/>
      <c r="L1410" s="2367"/>
      <c r="M1410" s="2367"/>
      <c r="N1410" s="2367"/>
      <c r="O1410" s="2367"/>
      <c r="P1410" s="2367"/>
      <c r="Q1410" s="2367"/>
      <c r="R1410" s="2367"/>
    </row>
    <row r="1411" spans="1:18">
      <c r="A1411" s="2367"/>
      <c r="B1411" s="2367"/>
      <c r="C1411" s="2367"/>
      <c r="D1411" s="2367"/>
      <c r="E1411" s="2367"/>
      <c r="F1411" s="2367"/>
      <c r="G1411" s="2367"/>
      <c r="H1411" s="2367"/>
      <c r="I1411" s="2367"/>
      <c r="J1411" s="2367"/>
      <c r="K1411" s="2367"/>
      <c r="L1411" s="2367"/>
      <c r="M1411" s="2367"/>
      <c r="N1411" s="2367"/>
      <c r="O1411" s="2367"/>
      <c r="P1411" s="2367"/>
      <c r="Q1411" s="2367"/>
      <c r="R1411" s="2367"/>
    </row>
    <row r="1412" spans="1:18">
      <c r="A1412" s="2367"/>
      <c r="B1412" s="2367"/>
      <c r="C1412" s="2367"/>
      <c r="D1412" s="2367"/>
      <c r="E1412" s="2367"/>
      <c r="F1412" s="2367"/>
      <c r="G1412" s="2367"/>
      <c r="H1412" s="2367"/>
      <c r="I1412" s="2367"/>
      <c r="J1412" s="2367"/>
      <c r="K1412" s="2367"/>
      <c r="L1412" s="2367"/>
      <c r="M1412" s="2367"/>
      <c r="N1412" s="2367"/>
      <c r="O1412" s="2367"/>
      <c r="P1412" s="2367"/>
      <c r="Q1412" s="2367"/>
      <c r="R1412" s="2367"/>
    </row>
    <row r="1413" spans="1:18">
      <c r="A1413" s="2367"/>
      <c r="B1413" s="2367"/>
      <c r="C1413" s="2367"/>
      <c r="D1413" s="2367"/>
      <c r="E1413" s="2367"/>
      <c r="F1413" s="2367"/>
      <c r="G1413" s="2367"/>
      <c r="H1413" s="2367"/>
      <c r="I1413" s="2367"/>
      <c r="J1413" s="2367"/>
      <c r="K1413" s="2367"/>
      <c r="L1413" s="2367"/>
      <c r="M1413" s="2367"/>
      <c r="N1413" s="2367"/>
      <c r="O1413" s="2367"/>
      <c r="P1413" s="2367"/>
      <c r="Q1413" s="2367"/>
      <c r="R1413" s="2367"/>
    </row>
    <row r="1414" spans="1:18">
      <c r="A1414" s="2367"/>
      <c r="B1414" s="2367"/>
      <c r="C1414" s="2367"/>
      <c r="D1414" s="2367"/>
      <c r="E1414" s="2367"/>
      <c r="F1414" s="2367"/>
      <c r="G1414" s="2367"/>
      <c r="H1414" s="2367"/>
      <c r="I1414" s="2367"/>
      <c r="J1414" s="2367"/>
      <c r="K1414" s="2367"/>
      <c r="L1414" s="2367"/>
      <c r="M1414" s="2367"/>
      <c r="N1414" s="2367"/>
      <c r="O1414" s="2367"/>
      <c r="P1414" s="2367"/>
      <c r="Q1414" s="2367"/>
      <c r="R1414" s="2367"/>
    </row>
    <row r="1415" spans="1:18">
      <c r="A1415" s="2367"/>
      <c r="B1415" s="2367"/>
      <c r="C1415" s="2367"/>
      <c r="D1415" s="2367"/>
      <c r="E1415" s="2367"/>
      <c r="F1415" s="2367"/>
      <c r="G1415" s="2367"/>
      <c r="H1415" s="2367"/>
      <c r="I1415" s="2367"/>
      <c r="J1415" s="2367"/>
      <c r="K1415" s="2367"/>
      <c r="L1415" s="2367"/>
      <c r="M1415" s="2367"/>
      <c r="N1415" s="2367"/>
      <c r="O1415" s="2367"/>
      <c r="P1415" s="2367"/>
      <c r="Q1415" s="2367"/>
      <c r="R1415" s="2367"/>
    </row>
    <row r="1416" spans="1:18">
      <c r="A1416" s="2367"/>
      <c r="B1416" s="2367"/>
      <c r="C1416" s="2367"/>
      <c r="D1416" s="2367"/>
      <c r="E1416" s="2367"/>
      <c r="F1416" s="2367"/>
      <c r="G1416" s="2367"/>
      <c r="H1416" s="2367"/>
      <c r="I1416" s="2367"/>
      <c r="J1416" s="2367"/>
      <c r="K1416" s="2367"/>
      <c r="L1416" s="2367"/>
      <c r="M1416" s="2367"/>
      <c r="N1416" s="2367"/>
      <c r="O1416" s="2367"/>
      <c r="P1416" s="2367"/>
      <c r="Q1416" s="2367"/>
      <c r="R1416" s="2367"/>
    </row>
    <row r="1417" spans="1:18">
      <c r="A1417" s="2367"/>
      <c r="B1417" s="2367"/>
      <c r="C1417" s="2367"/>
      <c r="D1417" s="2367"/>
      <c r="E1417" s="2367"/>
      <c r="F1417" s="2367"/>
      <c r="G1417" s="2367"/>
      <c r="H1417" s="2367"/>
      <c r="I1417" s="2367"/>
      <c r="J1417" s="2367"/>
      <c r="K1417" s="2367"/>
      <c r="L1417" s="2367"/>
      <c r="M1417" s="2367"/>
      <c r="N1417" s="2367"/>
      <c r="O1417" s="2367"/>
      <c r="P1417" s="2367"/>
      <c r="Q1417" s="2367"/>
      <c r="R1417" s="2367"/>
    </row>
    <row r="1418" spans="1:18">
      <c r="A1418" s="2367"/>
      <c r="B1418" s="2367"/>
      <c r="C1418" s="2367"/>
      <c r="D1418" s="2367"/>
      <c r="E1418" s="2367"/>
      <c r="F1418" s="2367"/>
      <c r="G1418" s="2367"/>
      <c r="H1418" s="2367"/>
      <c r="I1418" s="2367"/>
      <c r="J1418" s="2367"/>
      <c r="K1418" s="2367"/>
      <c r="L1418" s="2367"/>
      <c r="M1418" s="2367"/>
      <c r="N1418" s="2367"/>
      <c r="O1418" s="2367"/>
      <c r="P1418" s="2367"/>
      <c r="Q1418" s="2367"/>
      <c r="R1418" s="2367"/>
    </row>
    <row r="1419" spans="1:18">
      <c r="A1419" s="2367"/>
      <c r="B1419" s="2367"/>
      <c r="C1419" s="2367"/>
      <c r="D1419" s="2367"/>
      <c r="E1419" s="2367"/>
      <c r="F1419" s="2367"/>
      <c r="G1419" s="2367"/>
      <c r="H1419" s="2367"/>
      <c r="I1419" s="2367"/>
      <c r="J1419" s="2367"/>
      <c r="K1419" s="2367"/>
      <c r="L1419" s="2367"/>
      <c r="M1419" s="2367"/>
      <c r="N1419" s="2367"/>
      <c r="O1419" s="2367"/>
      <c r="P1419" s="2367"/>
      <c r="Q1419" s="2367"/>
      <c r="R1419" s="2367"/>
    </row>
    <row r="1420" spans="1:18">
      <c r="A1420" s="2367"/>
      <c r="B1420" s="2367"/>
      <c r="C1420" s="2367"/>
      <c r="D1420" s="2367"/>
      <c r="E1420" s="2367"/>
      <c r="F1420" s="2367"/>
      <c r="G1420" s="2367"/>
      <c r="H1420" s="2367"/>
      <c r="I1420" s="2367"/>
      <c r="J1420" s="2367"/>
      <c r="K1420" s="2367"/>
      <c r="L1420" s="2367"/>
      <c r="M1420" s="2367"/>
      <c r="N1420" s="2367"/>
      <c r="O1420" s="2367"/>
      <c r="P1420" s="2367"/>
      <c r="Q1420" s="2367"/>
      <c r="R1420" s="2367"/>
    </row>
    <row r="1421" spans="1:18">
      <c r="A1421" s="2367"/>
      <c r="B1421" s="2367"/>
      <c r="C1421" s="2367"/>
      <c r="D1421" s="2367"/>
      <c r="E1421" s="2367"/>
      <c r="F1421" s="2367"/>
      <c r="G1421" s="2367"/>
      <c r="H1421" s="2367"/>
      <c r="I1421" s="2367"/>
      <c r="J1421" s="2367"/>
      <c r="K1421" s="2367"/>
      <c r="L1421" s="2367"/>
      <c r="M1421" s="2367"/>
      <c r="N1421" s="2367"/>
      <c r="O1421" s="2367"/>
      <c r="P1421" s="2367"/>
      <c r="Q1421" s="2367"/>
      <c r="R1421" s="2367"/>
    </row>
    <row r="1422" spans="1:18">
      <c r="A1422" s="2367"/>
      <c r="B1422" s="2367"/>
      <c r="C1422" s="2367"/>
      <c r="D1422" s="2367"/>
      <c r="E1422" s="2367"/>
      <c r="F1422" s="2367"/>
      <c r="G1422" s="2367"/>
      <c r="H1422" s="2367"/>
      <c r="I1422" s="2367"/>
      <c r="J1422" s="2367"/>
      <c r="K1422" s="2367"/>
      <c r="L1422" s="2367"/>
      <c r="M1422" s="2367"/>
      <c r="N1422" s="2367"/>
      <c r="O1422" s="2367"/>
      <c r="P1422" s="2367"/>
      <c r="Q1422" s="2367"/>
      <c r="R1422" s="2367"/>
    </row>
    <row r="1423" spans="1:18">
      <c r="A1423" s="2367"/>
      <c r="B1423" s="2367"/>
      <c r="C1423" s="2367"/>
      <c r="D1423" s="2367"/>
      <c r="E1423" s="2367"/>
      <c r="F1423" s="2367"/>
      <c r="G1423" s="2367"/>
      <c r="H1423" s="2367"/>
      <c r="I1423" s="2367"/>
      <c r="J1423" s="2367"/>
      <c r="K1423" s="2367"/>
      <c r="L1423" s="2367"/>
      <c r="M1423" s="2367"/>
      <c r="N1423" s="2367"/>
      <c r="O1423" s="2367"/>
      <c r="P1423" s="2367"/>
      <c r="Q1423" s="2367"/>
      <c r="R1423" s="2367"/>
    </row>
    <row r="1424" spans="1:18">
      <c r="A1424" s="2367"/>
      <c r="B1424" s="2367"/>
      <c r="C1424" s="2367"/>
      <c r="D1424" s="2367"/>
      <c r="E1424" s="2367"/>
      <c r="F1424" s="2367"/>
      <c r="G1424" s="2367"/>
      <c r="H1424" s="2367"/>
      <c r="I1424" s="2367"/>
      <c r="J1424" s="2367"/>
      <c r="K1424" s="2367"/>
      <c r="L1424" s="2367"/>
      <c r="M1424" s="2367"/>
      <c r="N1424" s="2367"/>
      <c r="O1424" s="2367"/>
      <c r="P1424" s="2367"/>
      <c r="Q1424" s="2367"/>
      <c r="R1424" s="2367"/>
    </row>
    <row r="1425" spans="1:18">
      <c r="A1425" s="2367"/>
      <c r="B1425" s="2367"/>
      <c r="C1425" s="2367"/>
      <c r="D1425" s="2367"/>
      <c r="E1425" s="2367"/>
      <c r="F1425" s="2367"/>
      <c r="G1425" s="2367"/>
      <c r="H1425" s="2367"/>
      <c r="I1425" s="2367"/>
      <c r="J1425" s="2367"/>
      <c r="K1425" s="2367"/>
      <c r="L1425" s="2367"/>
      <c r="M1425" s="2367"/>
      <c r="N1425" s="2367"/>
      <c r="O1425" s="2367"/>
      <c r="P1425" s="2367"/>
      <c r="Q1425" s="2367"/>
      <c r="R1425" s="2367"/>
    </row>
    <row r="1426" spans="1:18">
      <c r="A1426" s="2367"/>
      <c r="B1426" s="2367"/>
      <c r="C1426" s="2367"/>
      <c r="D1426" s="2367"/>
      <c r="E1426" s="2367"/>
      <c r="F1426" s="2367"/>
      <c r="G1426" s="2367"/>
      <c r="H1426" s="2367"/>
      <c r="I1426" s="2367"/>
      <c r="J1426" s="2367"/>
      <c r="K1426" s="2367"/>
      <c r="L1426" s="2367"/>
      <c r="M1426" s="2367"/>
      <c r="N1426" s="2367"/>
      <c r="O1426" s="2367"/>
      <c r="P1426" s="2367"/>
      <c r="Q1426" s="2367"/>
      <c r="R1426" s="2367"/>
    </row>
    <row r="1427" spans="1:18">
      <c r="A1427" s="2367"/>
      <c r="B1427" s="2367"/>
      <c r="C1427" s="2367"/>
      <c r="D1427" s="2367"/>
      <c r="E1427" s="2367"/>
      <c r="F1427" s="2367"/>
      <c r="G1427" s="2367"/>
      <c r="H1427" s="2367"/>
      <c r="I1427" s="2367"/>
      <c r="J1427" s="2367"/>
      <c r="K1427" s="2367"/>
      <c r="L1427" s="2367"/>
      <c r="M1427" s="2367"/>
      <c r="N1427" s="2367"/>
      <c r="O1427" s="2367"/>
      <c r="P1427" s="2367"/>
      <c r="Q1427" s="2367"/>
      <c r="R1427" s="2367"/>
    </row>
    <row r="1428" spans="1:18">
      <c r="A1428" s="2367"/>
      <c r="B1428" s="2367"/>
      <c r="C1428" s="2367"/>
      <c r="D1428" s="2367"/>
      <c r="E1428" s="2367"/>
      <c r="F1428" s="2367"/>
      <c r="G1428" s="2367"/>
      <c r="H1428" s="2367"/>
      <c r="I1428" s="2367"/>
      <c r="J1428" s="2367"/>
      <c r="K1428" s="2367"/>
      <c r="L1428" s="2367"/>
      <c r="M1428" s="2367"/>
      <c r="N1428" s="2367"/>
      <c r="O1428" s="2367"/>
      <c r="P1428" s="2367"/>
      <c r="Q1428" s="2367"/>
      <c r="R1428" s="2367"/>
    </row>
    <row r="1429" spans="1:18">
      <c r="A1429" s="2367"/>
      <c r="B1429" s="2367"/>
      <c r="C1429" s="2367"/>
      <c r="D1429" s="2367"/>
      <c r="E1429" s="2367"/>
      <c r="F1429" s="2367"/>
      <c r="G1429" s="2367"/>
      <c r="H1429" s="2367"/>
      <c r="I1429" s="2367"/>
      <c r="J1429" s="2367"/>
      <c r="K1429" s="2367"/>
      <c r="L1429" s="2367"/>
      <c r="M1429" s="2367"/>
      <c r="N1429" s="2367"/>
      <c r="O1429" s="2367"/>
      <c r="P1429" s="2367"/>
      <c r="Q1429" s="2367"/>
      <c r="R1429" s="2367"/>
    </row>
    <row r="1430" spans="1:18">
      <c r="A1430" s="2367"/>
      <c r="B1430" s="2367"/>
      <c r="C1430" s="2367"/>
      <c r="D1430" s="2367"/>
      <c r="E1430" s="2367"/>
      <c r="F1430" s="2367"/>
      <c r="G1430" s="2367"/>
      <c r="H1430" s="2367"/>
      <c r="I1430" s="2367"/>
      <c r="J1430" s="2367"/>
      <c r="K1430" s="2367"/>
      <c r="L1430" s="2367"/>
      <c r="M1430" s="2367"/>
      <c r="N1430" s="2367"/>
      <c r="O1430" s="2367"/>
      <c r="P1430" s="2367"/>
      <c r="Q1430" s="2367"/>
      <c r="R1430" s="2367"/>
    </row>
    <row r="1431" spans="1:18">
      <c r="A1431" s="2367"/>
      <c r="B1431" s="2367"/>
      <c r="C1431" s="2367"/>
      <c r="D1431" s="2367"/>
      <c r="E1431" s="2367"/>
      <c r="F1431" s="2367"/>
      <c r="G1431" s="2367"/>
      <c r="H1431" s="2367"/>
      <c r="I1431" s="2367"/>
      <c r="J1431" s="2367"/>
      <c r="K1431" s="2367"/>
      <c r="L1431" s="2367"/>
      <c r="M1431" s="2367"/>
      <c r="N1431" s="2367"/>
      <c r="O1431" s="2367"/>
      <c r="P1431" s="2367"/>
      <c r="Q1431" s="2367"/>
      <c r="R1431" s="2367"/>
    </row>
    <row r="1432" spans="1:18">
      <c r="A1432" s="2367"/>
      <c r="B1432" s="2367"/>
      <c r="C1432" s="2367"/>
      <c r="D1432" s="2367"/>
      <c r="E1432" s="2367"/>
      <c r="F1432" s="2367"/>
      <c r="G1432" s="2367"/>
      <c r="H1432" s="2367"/>
      <c r="I1432" s="2367"/>
      <c r="J1432" s="2367"/>
      <c r="K1432" s="2367"/>
      <c r="L1432" s="2367"/>
      <c r="M1432" s="2367"/>
      <c r="N1432" s="2367"/>
      <c r="O1432" s="2367"/>
      <c r="P1432" s="2367"/>
      <c r="Q1432" s="2367"/>
      <c r="R1432" s="2367"/>
    </row>
    <row r="1433" spans="1:18">
      <c r="A1433" s="2367"/>
      <c r="B1433" s="2367"/>
      <c r="C1433" s="2367"/>
      <c r="D1433" s="2367"/>
      <c r="E1433" s="2367"/>
      <c r="F1433" s="2367"/>
      <c r="G1433" s="2367"/>
      <c r="H1433" s="2367"/>
      <c r="I1433" s="2367"/>
      <c r="J1433" s="2367"/>
      <c r="K1433" s="2367"/>
      <c r="L1433" s="2367"/>
      <c r="M1433" s="2367"/>
      <c r="N1433" s="2367"/>
      <c r="O1433" s="2367"/>
      <c r="P1433" s="2367"/>
      <c r="Q1433" s="2367"/>
      <c r="R1433" s="2367"/>
    </row>
    <row r="1434" spans="1:18">
      <c r="A1434" s="2367"/>
      <c r="B1434" s="2367"/>
      <c r="C1434" s="2367"/>
      <c r="D1434" s="2367"/>
      <c r="E1434" s="2367"/>
      <c r="F1434" s="2367"/>
      <c r="G1434" s="2367"/>
      <c r="H1434" s="2367"/>
      <c r="I1434" s="2367"/>
      <c r="J1434" s="2367"/>
      <c r="K1434" s="2367"/>
      <c r="L1434" s="2367"/>
      <c r="M1434" s="2367"/>
      <c r="N1434" s="2367"/>
      <c r="O1434" s="2367"/>
      <c r="P1434" s="2367"/>
      <c r="Q1434" s="2367"/>
      <c r="R1434" s="2367"/>
    </row>
    <row r="1435" spans="1:18">
      <c r="A1435" s="2367"/>
      <c r="B1435" s="2367"/>
      <c r="C1435" s="2367"/>
      <c r="D1435" s="2367"/>
      <c r="E1435" s="2367"/>
      <c r="F1435" s="2367"/>
      <c r="G1435" s="2367"/>
      <c r="H1435" s="2367"/>
      <c r="I1435" s="2367"/>
      <c r="J1435" s="2367"/>
      <c r="K1435" s="2367"/>
      <c r="L1435" s="2367"/>
      <c r="M1435" s="2367"/>
      <c r="N1435" s="2367"/>
      <c r="O1435" s="2367"/>
      <c r="P1435" s="2367"/>
      <c r="Q1435" s="2367"/>
      <c r="R1435" s="2367"/>
    </row>
    <row r="1436" spans="1:18">
      <c r="A1436" s="2367"/>
      <c r="B1436" s="2367"/>
      <c r="C1436" s="2367"/>
      <c r="D1436" s="2367"/>
      <c r="E1436" s="2367"/>
      <c r="F1436" s="2367"/>
      <c r="G1436" s="2367"/>
      <c r="H1436" s="2367"/>
      <c r="I1436" s="2367"/>
      <c r="J1436" s="2367"/>
      <c r="K1436" s="2367"/>
      <c r="L1436" s="2367"/>
      <c r="M1436" s="2367"/>
      <c r="N1436" s="2367"/>
      <c r="O1436" s="2367"/>
      <c r="P1436" s="2367"/>
      <c r="Q1436" s="2367"/>
      <c r="R1436" s="2367"/>
    </row>
    <row r="1437" spans="1:18">
      <c r="A1437" s="2367"/>
      <c r="B1437" s="2367"/>
      <c r="C1437" s="2367"/>
      <c r="D1437" s="2367"/>
      <c r="E1437" s="2367"/>
      <c r="F1437" s="2367"/>
      <c r="G1437" s="2367"/>
      <c r="H1437" s="2367"/>
      <c r="I1437" s="2367"/>
      <c r="J1437" s="2367"/>
      <c r="K1437" s="2367"/>
      <c r="L1437" s="2367"/>
      <c r="M1437" s="2367"/>
      <c r="N1437" s="2367"/>
      <c r="O1437" s="2367"/>
      <c r="P1437" s="2367"/>
      <c r="Q1437" s="2367"/>
      <c r="R1437" s="2367"/>
    </row>
    <row r="1438" spans="1:18">
      <c r="A1438" s="2367"/>
      <c r="B1438" s="2367"/>
      <c r="C1438" s="2367"/>
      <c r="D1438" s="2367"/>
      <c r="E1438" s="2367"/>
      <c r="F1438" s="2367"/>
      <c r="G1438" s="2367"/>
      <c r="H1438" s="2367"/>
      <c r="I1438" s="2367"/>
      <c r="J1438" s="2367"/>
      <c r="K1438" s="2367"/>
      <c r="L1438" s="2367"/>
      <c r="M1438" s="2367"/>
      <c r="N1438" s="2367"/>
      <c r="O1438" s="2367"/>
      <c r="P1438" s="2367"/>
      <c r="Q1438" s="2367"/>
      <c r="R1438" s="2367"/>
    </row>
    <row r="1439" spans="1:18">
      <c r="A1439" s="2367"/>
      <c r="B1439" s="2367"/>
      <c r="C1439" s="2367"/>
      <c r="D1439" s="2367"/>
      <c r="E1439" s="2367"/>
      <c r="F1439" s="2367"/>
      <c r="G1439" s="2367"/>
      <c r="H1439" s="2367"/>
      <c r="I1439" s="2367"/>
      <c r="J1439" s="2367"/>
      <c r="K1439" s="2367"/>
      <c r="L1439" s="2367"/>
      <c r="M1439" s="2367"/>
      <c r="N1439" s="2367"/>
      <c r="O1439" s="2367"/>
      <c r="P1439" s="2367"/>
      <c r="Q1439" s="2367"/>
      <c r="R1439" s="2367"/>
    </row>
    <row r="1440" spans="1:18">
      <c r="A1440" s="2367"/>
      <c r="B1440" s="2367"/>
      <c r="C1440" s="2367"/>
      <c r="D1440" s="2367"/>
      <c r="E1440" s="2367"/>
      <c r="F1440" s="2367"/>
      <c r="G1440" s="2367"/>
      <c r="H1440" s="2367"/>
      <c r="I1440" s="2367"/>
      <c r="J1440" s="2367"/>
      <c r="K1440" s="2367"/>
      <c r="L1440" s="2367"/>
      <c r="M1440" s="2367"/>
      <c r="N1440" s="2367"/>
      <c r="O1440" s="2367"/>
      <c r="P1440" s="2367"/>
      <c r="Q1440" s="2367"/>
      <c r="R1440" s="2367"/>
    </row>
    <row r="1441" spans="1:18">
      <c r="A1441" s="2367"/>
      <c r="B1441" s="2367"/>
      <c r="C1441" s="2367"/>
      <c r="D1441" s="2367"/>
      <c r="E1441" s="2367"/>
      <c r="F1441" s="2367"/>
      <c r="G1441" s="2367"/>
      <c r="H1441" s="2367"/>
      <c r="I1441" s="2367"/>
      <c r="J1441" s="2367"/>
      <c r="K1441" s="2367"/>
      <c r="L1441" s="2367"/>
      <c r="M1441" s="2367"/>
      <c r="N1441" s="2367"/>
      <c r="O1441" s="2367"/>
      <c r="P1441" s="2367"/>
      <c r="Q1441" s="2367"/>
      <c r="R1441" s="2367"/>
    </row>
    <row r="1442" spans="1:18">
      <c r="A1442" s="2367"/>
      <c r="B1442" s="2367"/>
      <c r="C1442" s="2367"/>
      <c r="D1442" s="2367"/>
      <c r="E1442" s="2367"/>
      <c r="F1442" s="2367"/>
      <c r="G1442" s="2367"/>
      <c r="H1442" s="2367"/>
      <c r="I1442" s="2367"/>
      <c r="J1442" s="2367"/>
      <c r="K1442" s="2367"/>
      <c r="L1442" s="2367"/>
      <c r="M1442" s="2367"/>
      <c r="N1442" s="2367"/>
      <c r="O1442" s="2367"/>
      <c r="P1442" s="2367"/>
      <c r="Q1442" s="2367"/>
      <c r="R1442" s="2367"/>
    </row>
    <row r="1443" spans="1:18">
      <c r="A1443" s="2367"/>
      <c r="B1443" s="2367"/>
      <c r="C1443" s="2367"/>
      <c r="D1443" s="2367"/>
      <c r="E1443" s="2367"/>
      <c r="F1443" s="2367"/>
      <c r="G1443" s="2367"/>
      <c r="H1443" s="2367"/>
      <c r="I1443" s="2367"/>
      <c r="J1443" s="2367"/>
      <c r="K1443" s="2367"/>
      <c r="L1443" s="2367"/>
      <c r="M1443" s="2367"/>
      <c r="N1443" s="2367"/>
      <c r="O1443" s="2367"/>
      <c r="P1443" s="2367"/>
      <c r="Q1443" s="2367"/>
      <c r="R1443" s="2367"/>
    </row>
    <row r="1444" spans="1:18">
      <c r="A1444" s="2367"/>
      <c r="B1444" s="2367"/>
      <c r="C1444" s="2367"/>
      <c r="D1444" s="2367"/>
      <c r="E1444" s="2367"/>
      <c r="F1444" s="2367"/>
      <c r="G1444" s="2367"/>
      <c r="H1444" s="2367"/>
      <c r="I1444" s="2367"/>
      <c r="J1444" s="2367"/>
      <c r="K1444" s="2367"/>
      <c r="L1444" s="2367"/>
      <c r="M1444" s="2367"/>
      <c r="N1444" s="2367"/>
      <c r="O1444" s="2367"/>
      <c r="P1444" s="2367"/>
      <c r="Q1444" s="2367"/>
      <c r="R1444" s="2367"/>
    </row>
    <row r="1445" spans="1:18">
      <c r="A1445" s="2367"/>
      <c r="B1445" s="2367"/>
      <c r="C1445" s="2367"/>
      <c r="D1445" s="2367"/>
      <c r="E1445" s="2367"/>
      <c r="F1445" s="2367"/>
      <c r="G1445" s="2367"/>
      <c r="H1445" s="2367"/>
      <c r="I1445" s="2367"/>
      <c r="J1445" s="2367"/>
      <c r="K1445" s="2367"/>
      <c r="L1445" s="2367"/>
      <c r="M1445" s="2367"/>
      <c r="N1445" s="2367"/>
      <c r="O1445" s="2367"/>
      <c r="P1445" s="2367"/>
      <c r="Q1445" s="2367"/>
      <c r="R1445" s="2367"/>
    </row>
    <row r="1446" spans="1:18">
      <c r="A1446" s="2367"/>
      <c r="B1446" s="2367"/>
      <c r="C1446" s="2367"/>
      <c r="D1446" s="2367"/>
      <c r="E1446" s="2367"/>
      <c r="F1446" s="2367"/>
      <c r="G1446" s="2367"/>
      <c r="H1446" s="2367"/>
      <c r="I1446" s="2367"/>
      <c r="J1446" s="2367"/>
      <c r="K1446" s="2367"/>
      <c r="L1446" s="2367"/>
      <c r="M1446" s="2367"/>
      <c r="N1446" s="2367"/>
      <c r="O1446" s="2367"/>
      <c r="P1446" s="2367"/>
      <c r="Q1446" s="2367"/>
      <c r="R1446" s="2367"/>
    </row>
    <row r="1447" spans="1:18">
      <c r="A1447" s="2367"/>
      <c r="B1447" s="2367"/>
      <c r="C1447" s="2367"/>
      <c r="D1447" s="2367"/>
      <c r="E1447" s="2367"/>
      <c r="F1447" s="2367"/>
      <c r="G1447" s="2367"/>
      <c r="H1447" s="2367"/>
      <c r="I1447" s="2367"/>
      <c r="J1447" s="2367"/>
      <c r="K1447" s="2367"/>
      <c r="L1447" s="2367"/>
      <c r="M1447" s="2367"/>
      <c r="N1447" s="2367"/>
      <c r="O1447" s="2367"/>
      <c r="P1447" s="2367"/>
      <c r="Q1447" s="2367"/>
      <c r="R1447" s="2367"/>
    </row>
    <row r="1448" spans="1:18">
      <c r="A1448" s="2367"/>
      <c r="B1448" s="2367"/>
      <c r="C1448" s="2367"/>
      <c r="D1448" s="2367"/>
      <c r="E1448" s="2367"/>
      <c r="F1448" s="2367"/>
      <c r="G1448" s="2367"/>
      <c r="H1448" s="2367"/>
      <c r="I1448" s="2367"/>
      <c r="J1448" s="2367"/>
      <c r="K1448" s="2367"/>
      <c r="L1448" s="2367"/>
      <c r="M1448" s="2367"/>
      <c r="N1448" s="2367"/>
      <c r="O1448" s="2367"/>
      <c r="P1448" s="2367"/>
      <c r="Q1448" s="2367"/>
      <c r="R1448" s="2367"/>
    </row>
    <row r="1449" spans="1:18">
      <c r="A1449" s="2367"/>
      <c r="B1449" s="2367"/>
      <c r="C1449" s="2367"/>
      <c r="D1449" s="2367"/>
      <c r="E1449" s="2367"/>
      <c r="F1449" s="2367"/>
      <c r="G1449" s="2367"/>
      <c r="H1449" s="2367"/>
      <c r="I1449" s="2367"/>
      <c r="J1449" s="2367"/>
      <c r="K1449" s="2367"/>
      <c r="L1449" s="2367"/>
      <c r="M1449" s="2367"/>
      <c r="N1449" s="2367"/>
      <c r="O1449" s="2367"/>
      <c r="P1449" s="2367"/>
      <c r="Q1449" s="2367"/>
      <c r="R1449" s="2367"/>
    </row>
    <row r="1450" spans="1:18">
      <c r="A1450" s="2367"/>
      <c r="B1450" s="2367"/>
      <c r="C1450" s="2367"/>
      <c r="D1450" s="2367"/>
      <c r="E1450" s="2367"/>
      <c r="F1450" s="2367"/>
      <c r="G1450" s="2367"/>
      <c r="H1450" s="2367"/>
      <c r="I1450" s="2367"/>
      <c r="J1450" s="2367"/>
      <c r="K1450" s="2367"/>
      <c r="L1450" s="2367"/>
      <c r="M1450" s="2367"/>
      <c r="N1450" s="2367"/>
      <c r="O1450" s="2367"/>
      <c r="P1450" s="2367"/>
      <c r="Q1450" s="2367"/>
      <c r="R1450" s="2367"/>
    </row>
    <row r="1451" spans="1:18">
      <c r="A1451" s="2367"/>
      <c r="B1451" s="2367"/>
      <c r="C1451" s="2367"/>
      <c r="D1451" s="2367"/>
      <c r="E1451" s="2367"/>
      <c r="F1451" s="2367"/>
      <c r="G1451" s="2367"/>
      <c r="H1451" s="2367"/>
      <c r="I1451" s="2367"/>
      <c r="J1451" s="2367"/>
      <c r="K1451" s="2367"/>
      <c r="L1451" s="2367"/>
      <c r="M1451" s="2367"/>
      <c r="N1451" s="2367"/>
      <c r="O1451" s="2367"/>
      <c r="P1451" s="2367"/>
      <c r="Q1451" s="2367"/>
      <c r="R1451" s="2367"/>
    </row>
    <row r="1452" spans="1:18">
      <c r="A1452" s="2367"/>
      <c r="B1452" s="2367"/>
      <c r="C1452" s="2367"/>
      <c r="D1452" s="2367"/>
      <c r="E1452" s="2367"/>
      <c r="F1452" s="2367"/>
      <c r="G1452" s="2367"/>
      <c r="H1452" s="2367"/>
      <c r="I1452" s="2367"/>
      <c r="J1452" s="2367"/>
      <c r="K1452" s="2367"/>
      <c r="L1452" s="2367"/>
      <c r="M1452" s="2367"/>
      <c r="N1452" s="2367"/>
      <c r="O1452" s="2367"/>
      <c r="P1452" s="2367"/>
      <c r="Q1452" s="2367"/>
      <c r="R1452" s="2367"/>
    </row>
    <row r="1453" spans="1:18">
      <c r="A1453" s="2367"/>
      <c r="B1453" s="2367"/>
      <c r="C1453" s="2367"/>
      <c r="D1453" s="2367"/>
      <c r="E1453" s="2367"/>
      <c r="F1453" s="2367"/>
      <c r="G1453" s="2367"/>
      <c r="H1453" s="2367"/>
      <c r="I1453" s="2367"/>
      <c r="J1453" s="2367"/>
      <c r="K1453" s="2367"/>
      <c r="L1453" s="2367"/>
      <c r="M1453" s="2367"/>
      <c r="N1453" s="2367"/>
      <c r="O1453" s="2367"/>
      <c r="P1453" s="2367"/>
      <c r="Q1453" s="2367"/>
      <c r="R1453" s="2367"/>
    </row>
    <row r="1454" spans="1:18">
      <c r="A1454" s="2367"/>
      <c r="B1454" s="2367"/>
      <c r="C1454" s="2367"/>
      <c r="D1454" s="2367"/>
      <c r="E1454" s="2367"/>
      <c r="F1454" s="2367"/>
      <c r="G1454" s="2367"/>
      <c r="H1454" s="2367"/>
      <c r="I1454" s="2367"/>
      <c r="J1454" s="2367"/>
      <c r="K1454" s="2367"/>
      <c r="L1454" s="2367"/>
      <c r="M1454" s="2367"/>
      <c r="N1454" s="2367"/>
      <c r="O1454" s="2367"/>
      <c r="P1454" s="2367"/>
      <c r="Q1454" s="2367"/>
      <c r="R1454" s="2367"/>
    </row>
    <row r="1455" spans="1:18">
      <c r="A1455" s="2367"/>
      <c r="B1455" s="2367"/>
      <c r="C1455" s="2367"/>
      <c r="D1455" s="2367"/>
      <c r="E1455" s="2367"/>
      <c r="F1455" s="2367"/>
      <c r="G1455" s="2367"/>
      <c r="H1455" s="2367"/>
      <c r="I1455" s="2367"/>
      <c r="J1455" s="2367"/>
      <c r="K1455" s="2367"/>
      <c r="L1455" s="2367"/>
      <c r="M1455" s="2367"/>
      <c r="N1455" s="2367"/>
      <c r="O1455" s="2367"/>
      <c r="P1455" s="2367"/>
      <c r="Q1455" s="2367"/>
      <c r="R1455" s="2367"/>
    </row>
    <row r="1456" spans="1:18">
      <c r="A1456" s="2367"/>
      <c r="B1456" s="2367"/>
      <c r="C1456" s="2367"/>
      <c r="D1456" s="2367"/>
      <c r="E1456" s="2367"/>
      <c r="F1456" s="2367"/>
      <c r="G1456" s="2367"/>
      <c r="H1456" s="2367"/>
      <c r="I1456" s="2367"/>
      <c r="J1456" s="2367"/>
      <c r="K1456" s="2367"/>
      <c r="L1456" s="2367"/>
      <c r="M1456" s="2367"/>
      <c r="N1456" s="2367"/>
      <c r="O1456" s="2367"/>
      <c r="P1456" s="2367"/>
      <c r="Q1456" s="2367"/>
      <c r="R1456" s="2367"/>
    </row>
    <row r="1457" spans="1:18">
      <c r="A1457" s="2367"/>
      <c r="B1457" s="2367"/>
      <c r="C1457" s="2367"/>
      <c r="D1457" s="2367"/>
      <c r="E1457" s="2367"/>
      <c r="F1457" s="2367"/>
      <c r="G1457" s="2367"/>
      <c r="H1457" s="2367"/>
      <c r="I1457" s="2367"/>
      <c r="J1457" s="2367"/>
      <c r="K1457" s="2367"/>
      <c r="L1457" s="2367"/>
      <c r="M1457" s="2367"/>
      <c r="N1457" s="2367"/>
      <c r="O1457" s="2367"/>
      <c r="P1457" s="2367"/>
      <c r="Q1457" s="2367"/>
      <c r="R1457" s="2367"/>
    </row>
    <row r="1458" spans="1:18">
      <c r="A1458" s="2367"/>
      <c r="B1458" s="2367"/>
      <c r="C1458" s="2367"/>
      <c r="D1458" s="2367"/>
      <c r="E1458" s="2367"/>
      <c r="F1458" s="2367"/>
      <c r="G1458" s="2367"/>
      <c r="H1458" s="2367"/>
      <c r="I1458" s="2367"/>
      <c r="J1458" s="2367"/>
      <c r="K1458" s="2367"/>
      <c r="L1458" s="2367"/>
      <c r="M1458" s="2367"/>
      <c r="N1458" s="2367"/>
      <c r="O1458" s="2367"/>
      <c r="P1458" s="2367"/>
      <c r="Q1458" s="2367"/>
      <c r="R1458" s="2367"/>
    </row>
    <row r="1459" spans="1:18">
      <c r="A1459" s="2367"/>
      <c r="B1459" s="2367"/>
      <c r="C1459" s="2367"/>
      <c r="D1459" s="2367"/>
      <c r="E1459" s="2367"/>
      <c r="F1459" s="2367"/>
      <c r="G1459" s="2367"/>
      <c r="H1459" s="2367"/>
      <c r="I1459" s="2367"/>
      <c r="J1459" s="2367"/>
      <c r="K1459" s="2367"/>
      <c r="L1459" s="2367"/>
      <c r="M1459" s="2367"/>
      <c r="N1459" s="2367"/>
      <c r="O1459" s="2367"/>
      <c r="P1459" s="2367"/>
      <c r="Q1459" s="2367"/>
      <c r="R1459" s="2367"/>
    </row>
    <row r="1460" spans="1:18">
      <c r="A1460" s="2367"/>
      <c r="B1460" s="2367"/>
      <c r="C1460" s="2367"/>
      <c r="D1460" s="2367"/>
      <c r="E1460" s="2367"/>
      <c r="F1460" s="2367"/>
      <c r="G1460" s="2367"/>
      <c r="H1460" s="2367"/>
      <c r="I1460" s="2367"/>
      <c r="J1460" s="2367"/>
      <c r="K1460" s="2367"/>
      <c r="L1460" s="2367"/>
      <c r="M1460" s="2367"/>
      <c r="N1460" s="2367"/>
      <c r="O1460" s="2367"/>
      <c r="P1460" s="2367"/>
      <c r="Q1460" s="2367"/>
      <c r="R1460" s="2367"/>
    </row>
    <row r="1461" spans="1:18">
      <c r="A1461" s="2367"/>
      <c r="B1461" s="2367"/>
      <c r="C1461" s="2367"/>
      <c r="D1461" s="2367"/>
      <c r="E1461" s="2367"/>
      <c r="F1461" s="2367"/>
      <c r="G1461" s="2367"/>
      <c r="H1461" s="2367"/>
      <c r="I1461" s="2367"/>
      <c r="J1461" s="2367"/>
      <c r="K1461" s="2367"/>
      <c r="L1461" s="2367"/>
      <c r="M1461" s="2367"/>
      <c r="N1461" s="2367"/>
      <c r="O1461" s="2367"/>
      <c r="P1461" s="2367"/>
      <c r="Q1461" s="2367"/>
      <c r="R1461" s="2367"/>
    </row>
    <row r="1462" spans="1:18">
      <c r="A1462" s="2367"/>
      <c r="B1462" s="2367"/>
      <c r="C1462" s="2367"/>
      <c r="D1462" s="2367"/>
      <c r="E1462" s="2367"/>
      <c r="F1462" s="2367"/>
      <c r="G1462" s="2367"/>
      <c r="H1462" s="2367"/>
      <c r="I1462" s="2367"/>
      <c r="J1462" s="2367"/>
      <c r="K1462" s="2367"/>
      <c r="L1462" s="2367"/>
      <c r="M1462" s="2367"/>
      <c r="N1462" s="2367"/>
      <c r="O1462" s="2367"/>
      <c r="P1462" s="2367"/>
      <c r="Q1462" s="2367"/>
      <c r="R1462" s="2367"/>
    </row>
    <row r="1463" spans="1:18">
      <c r="A1463" s="2367"/>
      <c r="B1463" s="2367"/>
      <c r="C1463" s="2367"/>
      <c r="D1463" s="2367"/>
      <c r="E1463" s="2367"/>
      <c r="F1463" s="2367"/>
      <c r="G1463" s="2367"/>
      <c r="H1463" s="2367"/>
      <c r="I1463" s="2367"/>
      <c r="J1463" s="2367"/>
      <c r="K1463" s="2367"/>
      <c r="L1463" s="2367"/>
      <c r="M1463" s="2367"/>
      <c r="N1463" s="2367"/>
      <c r="O1463" s="2367"/>
      <c r="P1463" s="2367"/>
      <c r="Q1463" s="2367"/>
      <c r="R1463" s="2367"/>
    </row>
    <row r="1464" spans="1:18">
      <c r="A1464" s="2367"/>
      <c r="B1464" s="2367"/>
      <c r="C1464" s="2367"/>
      <c r="D1464" s="2367"/>
      <c r="E1464" s="2367"/>
      <c r="F1464" s="2367"/>
      <c r="G1464" s="2367"/>
      <c r="H1464" s="2367"/>
      <c r="I1464" s="2367"/>
      <c r="J1464" s="2367"/>
      <c r="K1464" s="2367"/>
      <c r="L1464" s="2367"/>
      <c r="M1464" s="2367"/>
      <c r="N1464" s="2367"/>
      <c r="O1464" s="2367"/>
      <c r="P1464" s="2367"/>
      <c r="Q1464" s="2367"/>
      <c r="R1464" s="2367"/>
    </row>
    <row r="1465" spans="1:18">
      <c r="A1465" s="2367"/>
      <c r="B1465" s="2367"/>
      <c r="C1465" s="2367"/>
      <c r="D1465" s="2367"/>
      <c r="E1465" s="2367"/>
      <c r="F1465" s="2367"/>
      <c r="G1465" s="2367"/>
      <c r="H1465" s="2367"/>
      <c r="I1465" s="2367"/>
      <c r="J1465" s="2367"/>
      <c r="K1465" s="2367"/>
      <c r="L1465" s="2367"/>
      <c r="M1465" s="2367"/>
      <c r="N1465" s="2367"/>
      <c r="O1465" s="2367"/>
      <c r="P1465" s="2367"/>
      <c r="Q1465" s="2367"/>
      <c r="R1465" s="2367"/>
    </row>
    <row r="1466" spans="1:18">
      <c r="A1466" s="2367"/>
      <c r="B1466" s="2367"/>
      <c r="C1466" s="2367"/>
      <c r="D1466" s="2367"/>
      <c r="E1466" s="2367"/>
      <c r="F1466" s="2367"/>
      <c r="G1466" s="2367"/>
      <c r="H1466" s="2367"/>
      <c r="I1466" s="2367"/>
      <c r="J1466" s="2367"/>
      <c r="K1466" s="2367"/>
      <c r="L1466" s="2367"/>
      <c r="M1466" s="2367"/>
      <c r="N1466" s="2367"/>
      <c r="O1466" s="2367"/>
      <c r="P1466" s="2367"/>
      <c r="Q1466" s="2367"/>
      <c r="R1466" s="2367"/>
    </row>
    <row r="1467" spans="1:18">
      <c r="A1467" s="2367"/>
      <c r="B1467" s="2367"/>
      <c r="C1467" s="2367"/>
      <c r="D1467" s="2367"/>
      <c r="E1467" s="2367"/>
      <c r="F1467" s="2367"/>
      <c r="G1467" s="2367"/>
      <c r="H1467" s="2367"/>
      <c r="I1467" s="2367"/>
      <c r="J1467" s="2367"/>
      <c r="K1467" s="2367"/>
      <c r="L1467" s="2367"/>
      <c r="M1467" s="2367"/>
      <c r="N1467" s="2367"/>
      <c r="O1467" s="2367"/>
      <c r="P1467" s="2367"/>
      <c r="Q1467" s="2367"/>
      <c r="R1467" s="2367"/>
    </row>
    <row r="1468" spans="1:18">
      <c r="A1468" s="2367"/>
      <c r="B1468" s="2367"/>
      <c r="C1468" s="2367"/>
      <c r="D1468" s="2367"/>
      <c r="E1468" s="2367"/>
      <c r="F1468" s="2367"/>
      <c r="G1468" s="2367"/>
      <c r="H1468" s="2367"/>
      <c r="I1468" s="2367"/>
      <c r="J1468" s="2367"/>
      <c r="K1468" s="2367"/>
      <c r="L1468" s="2367"/>
      <c r="M1468" s="2367"/>
      <c r="N1468" s="2367"/>
      <c r="O1468" s="2367"/>
      <c r="P1468" s="2367"/>
      <c r="Q1468" s="2367"/>
      <c r="R1468" s="2367"/>
    </row>
    <row r="1469" spans="1:18">
      <c r="A1469" s="2367"/>
      <c r="B1469" s="2367"/>
      <c r="C1469" s="2367"/>
      <c r="D1469" s="2367"/>
      <c r="E1469" s="2367"/>
      <c r="F1469" s="2367"/>
      <c r="G1469" s="2367"/>
      <c r="H1469" s="2367"/>
      <c r="I1469" s="2367"/>
      <c r="J1469" s="2367"/>
      <c r="K1469" s="2367"/>
      <c r="L1469" s="2367"/>
      <c r="M1469" s="2367"/>
      <c r="N1469" s="2367"/>
      <c r="O1469" s="2367"/>
      <c r="P1469" s="2367"/>
      <c r="Q1469" s="2367"/>
      <c r="R1469" s="2367"/>
    </row>
    <row r="1470" spans="1:18">
      <c r="A1470" s="2367"/>
      <c r="B1470" s="2367"/>
      <c r="C1470" s="2367"/>
      <c r="D1470" s="2367"/>
      <c r="E1470" s="2367"/>
      <c r="F1470" s="2367"/>
      <c r="G1470" s="2367"/>
      <c r="H1470" s="2367"/>
      <c r="I1470" s="2367"/>
      <c r="J1470" s="2367"/>
      <c r="K1470" s="2367"/>
      <c r="L1470" s="2367"/>
      <c r="M1470" s="2367"/>
      <c r="N1470" s="2367"/>
      <c r="O1470" s="2367"/>
      <c r="P1470" s="2367"/>
      <c r="Q1470" s="2367"/>
      <c r="R1470" s="2367"/>
    </row>
    <row r="1471" spans="1:18">
      <c r="A1471" s="2367"/>
      <c r="B1471" s="2367"/>
      <c r="C1471" s="2367"/>
      <c r="D1471" s="2367"/>
      <c r="E1471" s="2367"/>
      <c r="F1471" s="2367"/>
      <c r="G1471" s="2367"/>
      <c r="H1471" s="2367"/>
      <c r="I1471" s="2367"/>
      <c r="J1471" s="2367"/>
      <c r="K1471" s="2367"/>
      <c r="L1471" s="2367"/>
      <c r="M1471" s="2367"/>
      <c r="N1471" s="2367"/>
      <c r="O1471" s="2367"/>
      <c r="P1471" s="2367"/>
      <c r="Q1471" s="2367"/>
      <c r="R1471" s="2367"/>
    </row>
    <row r="1472" spans="1:18">
      <c r="A1472" s="2367"/>
      <c r="B1472" s="2367"/>
      <c r="C1472" s="2367"/>
      <c r="D1472" s="2367"/>
      <c r="E1472" s="2367"/>
      <c r="F1472" s="2367"/>
      <c r="G1472" s="2367"/>
      <c r="H1472" s="2367"/>
      <c r="I1472" s="2367"/>
      <c r="J1472" s="2367"/>
      <c r="K1472" s="2367"/>
      <c r="L1472" s="2367"/>
      <c r="M1472" s="2367"/>
      <c r="N1472" s="2367"/>
      <c r="O1472" s="2367"/>
      <c r="P1472" s="2367"/>
      <c r="Q1472" s="2367"/>
      <c r="R1472" s="2367"/>
    </row>
    <row r="1473" spans="1:18">
      <c r="A1473" s="2367"/>
      <c r="B1473" s="2367"/>
      <c r="C1473" s="2367"/>
      <c r="D1473" s="2367"/>
      <c r="E1473" s="2367"/>
      <c r="F1473" s="2367"/>
      <c r="G1473" s="2367"/>
      <c r="H1473" s="2367"/>
      <c r="I1473" s="2367"/>
      <c r="J1473" s="2367"/>
      <c r="K1473" s="2367"/>
      <c r="L1473" s="2367"/>
      <c r="M1473" s="2367"/>
      <c r="N1473" s="2367"/>
      <c r="O1473" s="2367"/>
      <c r="P1473" s="2367"/>
      <c r="Q1473" s="2367"/>
      <c r="R1473" s="2367"/>
    </row>
    <row r="1474" spans="1:18">
      <c r="A1474" s="2367"/>
      <c r="B1474" s="2367"/>
      <c r="C1474" s="2367"/>
      <c r="D1474" s="2367"/>
      <c r="E1474" s="2367"/>
      <c r="F1474" s="2367"/>
      <c r="G1474" s="2367"/>
      <c r="H1474" s="2367"/>
      <c r="I1474" s="2367"/>
      <c r="J1474" s="2367"/>
      <c r="K1474" s="2367"/>
      <c r="L1474" s="2367"/>
      <c r="M1474" s="2367"/>
      <c r="N1474" s="2367"/>
      <c r="O1474" s="2367"/>
      <c r="P1474" s="2367"/>
      <c r="Q1474" s="2367"/>
      <c r="R1474" s="2367"/>
    </row>
    <row r="1475" spans="1:18">
      <c r="A1475" s="2367"/>
      <c r="B1475" s="2367"/>
      <c r="C1475" s="2367"/>
      <c r="D1475" s="2367"/>
      <c r="E1475" s="2367"/>
      <c r="F1475" s="2367"/>
      <c r="G1475" s="2367"/>
      <c r="H1475" s="2367"/>
      <c r="I1475" s="2367"/>
      <c r="J1475" s="2367"/>
      <c r="K1475" s="2367"/>
      <c r="L1475" s="2367"/>
      <c r="M1475" s="2367"/>
      <c r="N1475" s="2367"/>
      <c r="O1475" s="2367"/>
      <c r="P1475" s="2367"/>
      <c r="Q1475" s="2367"/>
      <c r="R1475" s="2367"/>
    </row>
    <row r="1476" spans="1:18">
      <c r="A1476" s="2367"/>
      <c r="B1476" s="2367"/>
      <c r="C1476" s="2367"/>
      <c r="D1476" s="2367"/>
      <c r="E1476" s="2367"/>
      <c r="F1476" s="2367"/>
      <c r="G1476" s="2367"/>
      <c r="H1476" s="2367"/>
      <c r="I1476" s="2367"/>
      <c r="J1476" s="2367"/>
      <c r="K1476" s="2367"/>
      <c r="L1476" s="2367"/>
      <c r="M1476" s="2367"/>
      <c r="N1476" s="2367"/>
      <c r="O1476" s="2367"/>
      <c r="P1476" s="2367"/>
      <c r="Q1476" s="2367"/>
      <c r="R1476" s="2367"/>
    </row>
    <row r="1477" spans="1:18">
      <c r="A1477" s="2367"/>
      <c r="B1477" s="2367"/>
      <c r="C1477" s="2367"/>
      <c r="D1477" s="2367"/>
      <c r="E1477" s="2367"/>
      <c r="F1477" s="2367"/>
      <c r="G1477" s="2367"/>
      <c r="H1477" s="2367"/>
      <c r="I1477" s="2367"/>
      <c r="J1477" s="2367"/>
      <c r="K1477" s="2367"/>
      <c r="L1477" s="2367"/>
      <c r="M1477" s="2367"/>
      <c r="N1477" s="2367"/>
      <c r="O1477" s="2367"/>
      <c r="P1477" s="2367"/>
      <c r="Q1477" s="2367"/>
      <c r="R1477" s="2367"/>
    </row>
    <row r="1478" spans="1:18">
      <c r="A1478" s="2367"/>
      <c r="B1478" s="2367"/>
      <c r="C1478" s="2367"/>
      <c r="D1478" s="2367"/>
      <c r="E1478" s="2367"/>
      <c r="F1478" s="2367"/>
      <c r="G1478" s="2367"/>
      <c r="H1478" s="2367"/>
      <c r="I1478" s="2367"/>
      <c r="J1478" s="2367"/>
      <c r="K1478" s="2367"/>
      <c r="L1478" s="2367"/>
      <c r="M1478" s="2367"/>
      <c r="N1478" s="2367"/>
      <c r="O1478" s="2367"/>
      <c r="P1478" s="2367"/>
      <c r="Q1478" s="2367"/>
      <c r="R1478" s="2367"/>
    </row>
    <row r="1479" spans="1:18">
      <c r="A1479" s="2367"/>
      <c r="B1479" s="2367"/>
      <c r="C1479" s="2367"/>
      <c r="D1479" s="2367"/>
      <c r="E1479" s="2367"/>
      <c r="F1479" s="2367"/>
      <c r="G1479" s="2367"/>
      <c r="H1479" s="2367"/>
      <c r="I1479" s="2367"/>
      <c r="J1479" s="2367"/>
      <c r="K1479" s="2367"/>
      <c r="L1479" s="2367"/>
      <c r="M1479" s="2367"/>
      <c r="N1479" s="2367"/>
      <c r="O1479" s="2367"/>
      <c r="P1479" s="2367"/>
      <c r="Q1479" s="2367"/>
      <c r="R1479" s="2367"/>
    </row>
    <row r="1480" spans="1:18">
      <c r="A1480" s="2367"/>
      <c r="B1480" s="2367"/>
      <c r="C1480" s="2367"/>
      <c r="D1480" s="2367"/>
      <c r="E1480" s="2367"/>
      <c r="F1480" s="2367"/>
      <c r="G1480" s="2367"/>
      <c r="H1480" s="2367"/>
      <c r="I1480" s="2367"/>
      <c r="J1480" s="2367"/>
      <c r="K1480" s="2367"/>
      <c r="L1480" s="2367"/>
      <c r="M1480" s="2367"/>
      <c r="N1480" s="2367"/>
      <c r="O1480" s="2367"/>
      <c r="P1480" s="2367"/>
      <c r="Q1480" s="2367"/>
      <c r="R1480" s="2367"/>
    </row>
    <row r="1481" spans="1:18">
      <c r="A1481" s="2367"/>
      <c r="B1481" s="2367"/>
      <c r="C1481" s="2367"/>
      <c r="D1481" s="2367"/>
      <c r="E1481" s="2367"/>
      <c r="F1481" s="2367"/>
      <c r="G1481" s="2367"/>
      <c r="H1481" s="2367"/>
      <c r="I1481" s="2367"/>
      <c r="J1481" s="2367"/>
      <c r="K1481" s="2367"/>
      <c r="L1481" s="2367"/>
      <c r="M1481" s="2367"/>
      <c r="N1481" s="2367"/>
      <c r="O1481" s="2367"/>
      <c r="P1481" s="2367"/>
      <c r="Q1481" s="2367"/>
      <c r="R1481" s="2367"/>
    </row>
    <row r="1482" spans="1:18">
      <c r="A1482" s="2367"/>
      <c r="B1482" s="2367"/>
      <c r="C1482" s="2367"/>
      <c r="D1482" s="2367"/>
      <c r="E1482" s="2367"/>
      <c r="F1482" s="2367"/>
      <c r="G1482" s="2367"/>
      <c r="H1482" s="2367"/>
      <c r="I1482" s="2367"/>
      <c r="J1482" s="2367"/>
      <c r="K1482" s="2367"/>
      <c r="L1482" s="2367"/>
      <c r="M1482" s="2367"/>
      <c r="N1482" s="2367"/>
      <c r="O1482" s="2367"/>
      <c r="P1482" s="2367"/>
      <c r="Q1482" s="2367"/>
      <c r="R1482" s="2367"/>
    </row>
    <row r="1483" spans="1:18">
      <c r="A1483" s="2367"/>
      <c r="B1483" s="2367"/>
      <c r="C1483" s="2367"/>
      <c r="D1483" s="2367"/>
      <c r="E1483" s="2367"/>
      <c r="F1483" s="2367"/>
      <c r="G1483" s="2367"/>
      <c r="H1483" s="2367"/>
      <c r="I1483" s="2367"/>
      <c r="J1483" s="2367"/>
      <c r="K1483" s="2367"/>
      <c r="L1483" s="2367"/>
      <c r="M1483" s="2367"/>
      <c r="N1483" s="2367"/>
      <c r="O1483" s="2367"/>
      <c r="P1483" s="2367"/>
      <c r="Q1483" s="2367"/>
      <c r="R1483" s="2367"/>
    </row>
    <row r="1484" spans="1:18">
      <c r="A1484" s="2367"/>
      <c r="B1484" s="2367"/>
      <c r="C1484" s="2367"/>
      <c r="D1484" s="2367"/>
      <c r="E1484" s="2367"/>
      <c r="F1484" s="2367"/>
      <c r="G1484" s="2367"/>
      <c r="H1484" s="2367"/>
      <c r="I1484" s="2367"/>
      <c r="J1484" s="2367"/>
      <c r="K1484" s="2367"/>
      <c r="L1484" s="2367"/>
      <c r="M1484" s="2367"/>
      <c r="N1484" s="2367"/>
      <c r="O1484" s="2367"/>
      <c r="P1484" s="2367"/>
      <c r="Q1484" s="2367"/>
      <c r="R1484" s="2367"/>
    </row>
    <row r="1485" spans="1:18">
      <c r="A1485" s="2367"/>
      <c r="B1485" s="2367"/>
      <c r="C1485" s="2367"/>
      <c r="D1485" s="2367"/>
      <c r="E1485" s="2367"/>
      <c r="F1485" s="2367"/>
      <c r="G1485" s="2367"/>
      <c r="H1485" s="2367"/>
      <c r="I1485" s="2367"/>
      <c r="J1485" s="2367"/>
      <c r="K1485" s="2367"/>
      <c r="L1485" s="2367"/>
      <c r="M1485" s="2367"/>
      <c r="N1485" s="2367"/>
      <c r="O1485" s="2367"/>
      <c r="P1485" s="2367"/>
      <c r="Q1485" s="2367"/>
      <c r="R1485" s="2367"/>
    </row>
    <row r="1486" spans="1:18">
      <c r="A1486" s="2367"/>
      <c r="B1486" s="2367"/>
      <c r="C1486" s="2367"/>
      <c r="D1486" s="2367"/>
      <c r="E1486" s="2367"/>
      <c r="F1486" s="2367"/>
      <c r="G1486" s="2367"/>
      <c r="H1486" s="2367"/>
      <c r="I1486" s="2367"/>
      <c r="J1486" s="2367"/>
      <c r="K1486" s="2367"/>
      <c r="L1486" s="2367"/>
      <c r="M1486" s="2367"/>
      <c r="N1486" s="2367"/>
      <c r="O1486" s="2367"/>
      <c r="P1486" s="2367"/>
      <c r="Q1486" s="2367"/>
      <c r="R1486" s="2367"/>
    </row>
    <row r="1487" spans="1:18">
      <c r="A1487" s="2367"/>
      <c r="B1487" s="2367"/>
      <c r="C1487" s="2367"/>
      <c r="D1487" s="2367"/>
      <c r="E1487" s="2367"/>
      <c r="F1487" s="2367"/>
      <c r="G1487" s="2367"/>
      <c r="H1487" s="2367"/>
      <c r="I1487" s="2367"/>
      <c r="J1487" s="2367"/>
      <c r="K1487" s="2367"/>
      <c r="L1487" s="2367"/>
      <c r="M1487" s="2367"/>
      <c r="N1487" s="2367"/>
      <c r="O1487" s="2367"/>
      <c r="P1487" s="2367"/>
      <c r="Q1487" s="2367"/>
      <c r="R1487" s="2367"/>
    </row>
    <row r="1488" spans="1:18">
      <c r="A1488" s="2367"/>
      <c r="B1488" s="2367"/>
      <c r="C1488" s="2367"/>
      <c r="D1488" s="2367"/>
      <c r="E1488" s="2367"/>
      <c r="F1488" s="2367"/>
      <c r="G1488" s="2367"/>
      <c r="H1488" s="2367"/>
      <c r="I1488" s="2367"/>
      <c r="J1488" s="2367"/>
      <c r="K1488" s="2367"/>
      <c r="L1488" s="2367"/>
      <c r="M1488" s="2367"/>
      <c r="N1488" s="2367"/>
      <c r="O1488" s="2367"/>
      <c r="P1488" s="2367"/>
      <c r="Q1488" s="2367"/>
      <c r="R1488" s="2367"/>
    </row>
    <row r="1489" spans="1:18">
      <c r="A1489" s="2367"/>
      <c r="B1489" s="2367"/>
      <c r="C1489" s="2367"/>
      <c r="D1489" s="2367"/>
      <c r="E1489" s="2367"/>
      <c r="F1489" s="2367"/>
      <c r="G1489" s="2367"/>
      <c r="H1489" s="2367"/>
      <c r="I1489" s="2367"/>
      <c r="J1489" s="2367"/>
      <c r="K1489" s="2367"/>
      <c r="L1489" s="2367"/>
      <c r="M1489" s="2367"/>
      <c r="N1489" s="2367"/>
      <c r="O1489" s="2367"/>
      <c r="P1489" s="2367"/>
      <c r="Q1489" s="2367"/>
      <c r="R1489" s="2367"/>
    </row>
    <row r="1490" spans="1:18">
      <c r="A1490" s="2367"/>
      <c r="B1490" s="2367"/>
      <c r="C1490" s="2367"/>
      <c r="D1490" s="2367"/>
      <c r="E1490" s="2367"/>
      <c r="F1490" s="2367"/>
      <c r="G1490" s="2367"/>
      <c r="H1490" s="2367"/>
      <c r="I1490" s="2367"/>
      <c r="J1490" s="2367"/>
      <c r="K1490" s="2367"/>
      <c r="L1490" s="2367"/>
      <c r="M1490" s="2367"/>
      <c r="N1490" s="2367"/>
      <c r="O1490" s="2367"/>
      <c r="P1490" s="2367"/>
      <c r="Q1490" s="2367"/>
      <c r="R1490" s="2367"/>
    </row>
    <row r="1491" spans="1:18">
      <c r="A1491" s="2367"/>
      <c r="B1491" s="2367"/>
      <c r="C1491" s="2367"/>
      <c r="D1491" s="2367"/>
      <c r="E1491" s="2367"/>
      <c r="F1491" s="2367"/>
      <c r="G1491" s="2367"/>
      <c r="H1491" s="2367"/>
      <c r="I1491" s="2367"/>
      <c r="J1491" s="2367"/>
      <c r="K1491" s="2367"/>
      <c r="L1491" s="2367"/>
      <c r="M1491" s="2367"/>
      <c r="N1491" s="2367"/>
      <c r="O1491" s="2367"/>
      <c r="P1491" s="2367"/>
      <c r="Q1491" s="2367"/>
      <c r="R1491" s="2367"/>
    </row>
    <row r="1492" spans="1:18">
      <c r="A1492" s="2367"/>
      <c r="B1492" s="2367"/>
      <c r="C1492" s="2367"/>
      <c r="D1492" s="2367"/>
      <c r="E1492" s="2367"/>
      <c r="F1492" s="2367"/>
      <c r="G1492" s="2367"/>
      <c r="H1492" s="2367"/>
      <c r="I1492" s="2367"/>
      <c r="J1492" s="2367"/>
      <c r="K1492" s="2367"/>
      <c r="L1492" s="2367"/>
      <c r="M1492" s="2367"/>
      <c r="N1492" s="2367"/>
      <c r="O1492" s="2367"/>
      <c r="P1492" s="2367"/>
      <c r="Q1492" s="2367"/>
      <c r="R1492" s="2367"/>
    </row>
    <row r="1493" spans="1:18">
      <c r="A1493" s="2367"/>
      <c r="B1493" s="2367"/>
      <c r="C1493" s="2367"/>
      <c r="D1493" s="2367"/>
      <c r="E1493" s="2367"/>
      <c r="F1493" s="2367"/>
      <c r="G1493" s="2367"/>
      <c r="H1493" s="2367"/>
      <c r="I1493" s="2367"/>
      <c r="J1493" s="2367"/>
      <c r="K1493" s="2367"/>
      <c r="L1493" s="2367"/>
      <c r="M1493" s="2367"/>
      <c r="N1493" s="2367"/>
      <c r="O1493" s="2367"/>
      <c r="P1493" s="2367"/>
      <c r="Q1493" s="2367"/>
      <c r="R1493" s="2367"/>
    </row>
    <row r="1494" spans="1:18">
      <c r="A1494" s="2367"/>
      <c r="B1494" s="2367"/>
      <c r="C1494" s="2367"/>
      <c r="D1494" s="2367"/>
      <c r="E1494" s="2367"/>
      <c r="F1494" s="2367"/>
      <c r="G1494" s="2367"/>
      <c r="H1494" s="2367"/>
      <c r="I1494" s="2367"/>
      <c r="J1494" s="2367"/>
      <c r="K1494" s="2367"/>
      <c r="L1494" s="2367"/>
      <c r="M1494" s="2367"/>
      <c r="N1494" s="2367"/>
      <c r="O1494" s="2367"/>
      <c r="P1494" s="2367"/>
      <c r="Q1494" s="2367"/>
      <c r="R1494" s="2367"/>
    </row>
    <row r="1495" spans="1:18">
      <c r="A1495" s="2367"/>
      <c r="B1495" s="2367"/>
      <c r="C1495" s="2367"/>
      <c r="D1495" s="2367"/>
      <c r="E1495" s="2367"/>
      <c r="F1495" s="2367"/>
      <c r="G1495" s="2367"/>
      <c r="H1495" s="2367"/>
      <c r="I1495" s="2367"/>
      <c r="J1495" s="2367"/>
      <c r="K1495" s="2367"/>
      <c r="L1495" s="2367"/>
      <c r="M1495" s="2367"/>
      <c r="N1495" s="2367"/>
      <c r="O1495" s="2367"/>
      <c r="P1495" s="2367"/>
      <c r="Q1495" s="2367"/>
      <c r="R1495" s="2367"/>
    </row>
    <row r="1496" spans="1:18">
      <c r="A1496" s="2367"/>
      <c r="B1496" s="2367"/>
      <c r="C1496" s="2367"/>
      <c r="D1496" s="2367"/>
      <c r="E1496" s="2367"/>
      <c r="F1496" s="2367"/>
      <c r="G1496" s="2367"/>
      <c r="H1496" s="2367"/>
      <c r="I1496" s="2367"/>
      <c r="J1496" s="2367"/>
      <c r="K1496" s="2367"/>
      <c r="L1496" s="2367"/>
      <c r="M1496" s="2367"/>
      <c r="N1496" s="2367"/>
      <c r="O1496" s="2367"/>
      <c r="P1496" s="2367"/>
      <c r="Q1496" s="2367"/>
      <c r="R1496" s="2367"/>
    </row>
    <row r="1497" spans="1:18">
      <c r="A1497" s="2367"/>
      <c r="B1497" s="2367"/>
      <c r="C1497" s="2367"/>
      <c r="D1497" s="2367"/>
      <c r="E1497" s="2367"/>
      <c r="F1497" s="2367"/>
      <c r="G1497" s="2367"/>
      <c r="H1497" s="2367"/>
      <c r="I1497" s="2367"/>
      <c r="J1497" s="2367"/>
      <c r="K1497" s="2367"/>
      <c r="L1497" s="2367"/>
      <c r="M1497" s="2367"/>
      <c r="N1497" s="2367"/>
      <c r="O1497" s="2367"/>
      <c r="P1497" s="2367"/>
      <c r="Q1497" s="2367"/>
      <c r="R1497" s="2367"/>
    </row>
    <row r="1498" spans="1:18">
      <c r="A1498" s="2367"/>
      <c r="B1498" s="2367"/>
      <c r="C1498" s="2367"/>
      <c r="D1498" s="2367"/>
      <c r="E1498" s="2367"/>
      <c r="F1498" s="2367"/>
      <c r="G1498" s="2367"/>
      <c r="H1498" s="2367"/>
      <c r="I1498" s="2367"/>
      <c r="J1498" s="2367"/>
      <c r="K1498" s="2367"/>
      <c r="L1498" s="2367"/>
      <c r="M1498" s="2367"/>
      <c r="N1498" s="2367"/>
      <c r="O1498" s="2367"/>
      <c r="P1498" s="2367"/>
      <c r="Q1498" s="2367"/>
      <c r="R1498" s="2367"/>
    </row>
    <row r="1499" spans="1:18">
      <c r="A1499" s="2367"/>
      <c r="B1499" s="2367"/>
      <c r="C1499" s="2367"/>
      <c r="D1499" s="2367"/>
      <c r="E1499" s="2367"/>
      <c r="F1499" s="2367"/>
      <c r="G1499" s="2367"/>
      <c r="H1499" s="2367"/>
      <c r="I1499" s="2367"/>
      <c r="J1499" s="2367"/>
      <c r="K1499" s="2367"/>
      <c r="L1499" s="2367"/>
      <c r="M1499" s="2367"/>
      <c r="N1499" s="2367"/>
      <c r="O1499" s="2367"/>
      <c r="P1499" s="2367"/>
      <c r="Q1499" s="2367"/>
      <c r="R1499" s="2367"/>
    </row>
    <row r="1500" spans="1:18">
      <c r="A1500" s="2367"/>
      <c r="B1500" s="2367"/>
      <c r="C1500" s="2367"/>
      <c r="D1500" s="2367"/>
      <c r="E1500" s="2367"/>
      <c r="F1500" s="2367"/>
      <c r="G1500" s="2367"/>
      <c r="H1500" s="2367"/>
      <c r="I1500" s="2367"/>
      <c r="J1500" s="2367"/>
      <c r="K1500" s="2367"/>
      <c r="L1500" s="2367"/>
      <c r="M1500" s="2367"/>
      <c r="N1500" s="2367"/>
      <c r="O1500" s="2367"/>
      <c r="P1500" s="2367"/>
      <c r="Q1500" s="2367"/>
      <c r="R1500" s="2367"/>
    </row>
    <row r="1501" spans="1:18">
      <c r="A1501" s="2367"/>
      <c r="B1501" s="2367"/>
      <c r="C1501" s="2367"/>
      <c r="D1501" s="2367"/>
      <c r="E1501" s="2367"/>
      <c r="F1501" s="2367"/>
      <c r="G1501" s="2367"/>
      <c r="H1501" s="2367"/>
      <c r="I1501" s="2367"/>
      <c r="J1501" s="2367"/>
      <c r="K1501" s="2367"/>
      <c r="L1501" s="2367"/>
      <c r="M1501" s="2367"/>
      <c r="N1501" s="2367"/>
      <c r="O1501" s="2367"/>
      <c r="P1501" s="2367"/>
      <c r="Q1501" s="2367"/>
      <c r="R1501" s="2367"/>
    </row>
    <row r="1502" spans="1:18">
      <c r="A1502" s="2367"/>
      <c r="B1502" s="2367"/>
      <c r="C1502" s="2367"/>
      <c r="D1502" s="2367"/>
      <c r="E1502" s="2367"/>
      <c r="F1502" s="2367"/>
      <c r="G1502" s="2367"/>
      <c r="H1502" s="2367"/>
      <c r="I1502" s="2367"/>
      <c r="J1502" s="2367"/>
      <c r="K1502" s="2367"/>
      <c r="L1502" s="2367"/>
      <c r="M1502" s="2367"/>
      <c r="N1502" s="2367"/>
      <c r="O1502" s="2367"/>
      <c r="P1502" s="2367"/>
      <c r="Q1502" s="2367"/>
      <c r="R1502" s="2367"/>
    </row>
    <row r="1503" spans="1:18">
      <c r="A1503" s="2367"/>
      <c r="B1503" s="2367"/>
      <c r="C1503" s="2367"/>
      <c r="D1503" s="2367"/>
      <c r="E1503" s="2367"/>
      <c r="F1503" s="2367"/>
      <c r="G1503" s="2367"/>
      <c r="H1503" s="2367"/>
      <c r="I1503" s="2367"/>
      <c r="J1503" s="2367"/>
      <c r="K1503" s="2367"/>
      <c r="L1503" s="2367"/>
      <c r="M1503" s="2367"/>
      <c r="N1503" s="2367"/>
      <c r="O1503" s="2367"/>
      <c r="P1503" s="2367"/>
      <c r="Q1503" s="2367"/>
      <c r="R1503" s="2367"/>
    </row>
    <row r="1504" spans="1:18">
      <c r="A1504" s="2367"/>
      <c r="B1504" s="2367"/>
      <c r="C1504" s="2367"/>
      <c r="D1504" s="2367"/>
      <c r="E1504" s="2367"/>
      <c r="F1504" s="2367"/>
      <c r="G1504" s="2367"/>
      <c r="H1504" s="2367"/>
      <c r="I1504" s="2367"/>
      <c r="J1504" s="2367"/>
      <c r="K1504" s="2367"/>
      <c r="L1504" s="2367"/>
      <c r="M1504" s="2367"/>
      <c r="N1504" s="2367"/>
      <c r="O1504" s="2367"/>
      <c r="P1504" s="2367"/>
      <c r="Q1504" s="2367"/>
      <c r="R1504" s="2367"/>
    </row>
    <row r="1505" spans="1:18">
      <c r="A1505" s="2367"/>
      <c r="B1505" s="2367"/>
      <c r="C1505" s="2367"/>
      <c r="D1505" s="2367"/>
      <c r="E1505" s="2367"/>
      <c r="F1505" s="2367"/>
      <c r="G1505" s="2367"/>
      <c r="H1505" s="2367"/>
      <c r="I1505" s="2367"/>
      <c r="J1505" s="2367"/>
      <c r="K1505" s="2367"/>
      <c r="L1505" s="2367"/>
      <c r="M1505" s="2367"/>
      <c r="N1505" s="2367"/>
      <c r="O1505" s="2367"/>
      <c r="P1505" s="2367"/>
      <c r="Q1505" s="2367"/>
      <c r="R1505" s="2367"/>
    </row>
    <row r="1506" spans="1:18">
      <c r="A1506" s="2367"/>
      <c r="B1506" s="2367"/>
      <c r="C1506" s="2367"/>
      <c r="D1506" s="2367"/>
      <c r="E1506" s="2367"/>
      <c r="F1506" s="2367"/>
      <c r="G1506" s="2367"/>
      <c r="H1506" s="2367"/>
      <c r="I1506" s="2367"/>
      <c r="J1506" s="2367"/>
      <c r="K1506" s="2367"/>
      <c r="L1506" s="2367"/>
      <c r="M1506" s="2367"/>
      <c r="N1506" s="2367"/>
      <c r="O1506" s="2367"/>
      <c r="P1506" s="2367"/>
      <c r="Q1506" s="2367"/>
      <c r="R1506" s="2367"/>
    </row>
    <row r="1507" spans="1:18">
      <c r="A1507" s="2367"/>
      <c r="B1507" s="2367"/>
      <c r="C1507" s="2367"/>
      <c r="D1507" s="2367"/>
      <c r="E1507" s="2367"/>
      <c r="F1507" s="2367"/>
      <c r="G1507" s="2367"/>
      <c r="H1507" s="2367"/>
      <c r="I1507" s="2367"/>
      <c r="J1507" s="2367"/>
      <c r="K1507" s="2367"/>
      <c r="L1507" s="2367"/>
      <c r="M1507" s="2367"/>
      <c r="N1507" s="2367"/>
      <c r="O1507" s="2367"/>
      <c r="P1507" s="2367"/>
      <c r="Q1507" s="2367"/>
      <c r="R1507" s="2367"/>
    </row>
    <row r="1508" spans="1:18">
      <c r="A1508" s="2367"/>
      <c r="B1508" s="2367"/>
      <c r="C1508" s="2367"/>
      <c r="D1508" s="2367"/>
      <c r="E1508" s="2367"/>
      <c r="F1508" s="2367"/>
      <c r="G1508" s="2367"/>
      <c r="H1508" s="2367"/>
      <c r="I1508" s="2367"/>
      <c r="J1508" s="2367"/>
      <c r="K1508" s="2367"/>
      <c r="L1508" s="2367"/>
      <c r="M1508" s="2367"/>
      <c r="N1508" s="2367"/>
      <c r="O1508" s="2367"/>
      <c r="P1508" s="2367"/>
      <c r="Q1508" s="2367"/>
      <c r="R1508" s="2367"/>
    </row>
    <row r="1509" spans="1:18">
      <c r="A1509" s="2367"/>
      <c r="B1509" s="2367"/>
      <c r="C1509" s="2367"/>
      <c r="D1509" s="2367"/>
      <c r="E1509" s="2367"/>
      <c r="F1509" s="2367"/>
      <c r="G1509" s="2367"/>
      <c r="H1509" s="2367"/>
      <c r="I1509" s="2367"/>
      <c r="J1509" s="2367"/>
      <c r="K1509" s="2367"/>
      <c r="L1509" s="2367"/>
      <c r="M1509" s="2367"/>
      <c r="N1509" s="2367"/>
      <c r="O1509" s="2367"/>
      <c r="P1509" s="2367"/>
      <c r="Q1509" s="2367"/>
      <c r="R1509" s="2367"/>
    </row>
    <row r="1510" spans="1:18">
      <c r="A1510" s="2367"/>
      <c r="B1510" s="2367"/>
      <c r="C1510" s="2367"/>
      <c r="D1510" s="2367"/>
      <c r="E1510" s="2367"/>
      <c r="F1510" s="2367"/>
      <c r="G1510" s="2367"/>
      <c r="H1510" s="2367"/>
      <c r="I1510" s="2367"/>
      <c r="J1510" s="2367"/>
      <c r="K1510" s="2367"/>
      <c r="L1510" s="2367"/>
      <c r="M1510" s="2367"/>
      <c r="N1510" s="2367"/>
      <c r="O1510" s="2367"/>
      <c r="P1510" s="2367"/>
      <c r="Q1510" s="2367"/>
      <c r="R1510" s="2367"/>
    </row>
    <row r="1511" spans="1:18">
      <c r="A1511" s="2367"/>
      <c r="B1511" s="2367"/>
      <c r="C1511" s="2367"/>
      <c r="D1511" s="2367"/>
      <c r="E1511" s="2367"/>
      <c r="F1511" s="2367"/>
      <c r="G1511" s="2367"/>
      <c r="H1511" s="2367"/>
      <c r="I1511" s="2367"/>
      <c r="J1511" s="2367"/>
      <c r="K1511" s="2367"/>
      <c r="L1511" s="2367"/>
      <c r="M1511" s="2367"/>
      <c r="N1511" s="2367"/>
      <c r="O1511" s="2367"/>
      <c r="P1511" s="2367"/>
      <c r="Q1511" s="2367"/>
      <c r="R1511" s="2367"/>
    </row>
    <row r="1512" spans="1:18">
      <c r="A1512" s="2367"/>
      <c r="B1512" s="2367"/>
      <c r="C1512" s="2367"/>
      <c r="D1512" s="2367"/>
      <c r="E1512" s="2367"/>
      <c r="F1512" s="2367"/>
      <c r="G1512" s="2367"/>
      <c r="H1512" s="2367"/>
      <c r="I1512" s="2367"/>
      <c r="J1512" s="2367"/>
      <c r="K1512" s="2367"/>
      <c r="L1512" s="2367"/>
      <c r="M1512" s="2367"/>
      <c r="N1512" s="2367"/>
      <c r="O1512" s="2367"/>
      <c r="P1512" s="2367"/>
      <c r="Q1512" s="2367"/>
      <c r="R1512" s="2367"/>
    </row>
    <row r="1513" spans="1:18">
      <c r="A1513" s="2367"/>
      <c r="B1513" s="2367"/>
      <c r="C1513" s="2367"/>
      <c r="D1513" s="2367"/>
      <c r="E1513" s="2367"/>
      <c r="F1513" s="2367"/>
      <c r="G1513" s="2367"/>
      <c r="H1513" s="2367"/>
      <c r="I1513" s="2367"/>
      <c r="J1513" s="2367"/>
      <c r="K1513" s="2367"/>
      <c r="L1513" s="2367"/>
      <c r="M1513" s="2367"/>
      <c r="N1513" s="2367"/>
      <c r="O1513" s="2367"/>
      <c r="P1513" s="2367"/>
      <c r="Q1513" s="2367"/>
      <c r="R1513" s="2367"/>
    </row>
    <row r="1514" spans="1:18">
      <c r="A1514" s="2367"/>
      <c r="B1514" s="2367"/>
      <c r="C1514" s="2367"/>
      <c r="D1514" s="2367"/>
      <c r="E1514" s="2367"/>
      <c r="F1514" s="2367"/>
      <c r="G1514" s="2367"/>
      <c r="H1514" s="2367"/>
      <c r="I1514" s="2367"/>
      <c r="J1514" s="2367"/>
      <c r="K1514" s="2367"/>
      <c r="L1514" s="2367"/>
      <c r="M1514" s="2367"/>
      <c r="N1514" s="2367"/>
      <c r="O1514" s="2367"/>
      <c r="P1514" s="2367"/>
      <c r="Q1514" s="2367"/>
      <c r="R1514" s="2367"/>
    </row>
    <row r="1515" spans="1:18">
      <c r="A1515" s="2367"/>
      <c r="B1515" s="2367"/>
      <c r="C1515" s="2367"/>
      <c r="D1515" s="2367"/>
      <c r="E1515" s="2367"/>
      <c r="F1515" s="2367"/>
      <c r="G1515" s="2367"/>
      <c r="H1515" s="2367"/>
      <c r="I1515" s="2367"/>
      <c r="J1515" s="2367"/>
      <c r="K1515" s="2367"/>
      <c r="L1515" s="2367"/>
      <c r="M1515" s="2367"/>
      <c r="N1515" s="2367"/>
      <c r="O1515" s="2367"/>
      <c r="P1515" s="2367"/>
      <c r="Q1515" s="2367"/>
      <c r="R1515" s="2367"/>
    </row>
    <row r="1516" spans="1:18">
      <c r="A1516" s="2367"/>
      <c r="B1516" s="2367"/>
      <c r="C1516" s="2367"/>
      <c r="D1516" s="2367"/>
      <c r="E1516" s="2367"/>
      <c r="F1516" s="2367"/>
      <c r="G1516" s="2367"/>
      <c r="H1516" s="2367"/>
      <c r="I1516" s="2367"/>
      <c r="J1516" s="2367"/>
      <c r="K1516" s="2367"/>
      <c r="L1516" s="2367"/>
      <c r="M1516" s="2367"/>
      <c r="N1516" s="2367"/>
      <c r="O1516" s="2367"/>
      <c r="P1516" s="2367"/>
      <c r="Q1516" s="2367"/>
      <c r="R1516" s="2367"/>
    </row>
    <row r="1517" spans="1:18">
      <c r="A1517" s="2367"/>
      <c r="B1517" s="2367"/>
      <c r="C1517" s="2367"/>
      <c r="D1517" s="2367"/>
      <c r="E1517" s="2367"/>
      <c r="F1517" s="2367"/>
      <c r="G1517" s="2367"/>
      <c r="H1517" s="2367"/>
      <c r="I1517" s="2367"/>
      <c r="J1517" s="2367"/>
      <c r="K1517" s="2367"/>
      <c r="L1517" s="2367"/>
      <c r="M1517" s="2367"/>
      <c r="N1517" s="2367"/>
      <c r="O1517" s="2367"/>
      <c r="P1517" s="2367"/>
      <c r="Q1517" s="2367"/>
      <c r="R1517" s="2367"/>
    </row>
    <row r="1518" spans="1:18">
      <c r="A1518" s="2367"/>
      <c r="B1518" s="2367"/>
      <c r="C1518" s="2367"/>
      <c r="D1518" s="2367"/>
      <c r="E1518" s="2367"/>
      <c r="F1518" s="2367"/>
      <c r="G1518" s="2367"/>
      <c r="H1518" s="2367"/>
      <c r="I1518" s="2367"/>
      <c r="J1518" s="2367"/>
      <c r="K1518" s="2367"/>
      <c r="L1518" s="2367"/>
      <c r="M1518" s="2367"/>
      <c r="N1518" s="2367"/>
      <c r="O1518" s="2367"/>
      <c r="P1518" s="2367"/>
      <c r="Q1518" s="2367"/>
      <c r="R1518" s="2367"/>
    </row>
    <row r="1519" spans="1:18">
      <c r="A1519" s="2367"/>
      <c r="B1519" s="2367"/>
      <c r="C1519" s="2367"/>
      <c r="D1519" s="2367"/>
      <c r="E1519" s="2367"/>
      <c r="F1519" s="2367"/>
      <c r="G1519" s="2367"/>
      <c r="H1519" s="2367"/>
      <c r="I1519" s="2367"/>
      <c r="J1519" s="2367"/>
      <c r="K1519" s="2367"/>
      <c r="L1519" s="2367"/>
      <c r="M1519" s="2367"/>
      <c r="N1519" s="2367"/>
      <c r="O1519" s="2367"/>
      <c r="P1519" s="2367"/>
      <c r="Q1519" s="2367"/>
      <c r="R1519" s="2367"/>
    </row>
    <row r="1520" spans="1:18">
      <c r="A1520" s="2367"/>
      <c r="B1520" s="2367"/>
      <c r="C1520" s="2367"/>
      <c r="D1520" s="2367"/>
      <c r="E1520" s="2367"/>
      <c r="F1520" s="2367"/>
      <c r="G1520" s="2367"/>
      <c r="H1520" s="2367"/>
      <c r="I1520" s="2367"/>
      <c r="J1520" s="2367"/>
      <c r="K1520" s="2367"/>
      <c r="L1520" s="2367"/>
      <c r="M1520" s="2367"/>
      <c r="N1520" s="2367"/>
      <c r="O1520" s="2367"/>
      <c r="P1520" s="2367"/>
      <c r="Q1520" s="2367"/>
      <c r="R1520" s="2367"/>
    </row>
    <row r="1521" spans="1:18">
      <c r="A1521" s="2367"/>
      <c r="B1521" s="2367"/>
      <c r="C1521" s="2367"/>
      <c r="D1521" s="2367"/>
      <c r="E1521" s="2367"/>
      <c r="F1521" s="2367"/>
      <c r="G1521" s="2367"/>
      <c r="H1521" s="2367"/>
      <c r="I1521" s="2367"/>
      <c r="J1521" s="2367"/>
      <c r="K1521" s="2367"/>
      <c r="L1521" s="2367"/>
      <c r="M1521" s="2367"/>
      <c r="N1521" s="2367"/>
      <c r="O1521" s="2367"/>
      <c r="P1521" s="2367"/>
      <c r="Q1521" s="2367"/>
      <c r="R1521" s="2367"/>
    </row>
    <row r="1522" spans="1:18">
      <c r="A1522" s="2367"/>
      <c r="B1522" s="2367"/>
      <c r="C1522" s="2367"/>
      <c r="D1522" s="2367"/>
      <c r="E1522" s="2367"/>
      <c r="F1522" s="2367"/>
      <c r="G1522" s="2367"/>
      <c r="H1522" s="2367"/>
      <c r="I1522" s="2367"/>
      <c r="J1522" s="2367"/>
      <c r="K1522" s="2367"/>
      <c r="L1522" s="2367"/>
      <c r="M1522" s="2367"/>
      <c r="N1522" s="2367"/>
      <c r="O1522" s="2367"/>
      <c r="P1522" s="2367"/>
      <c r="Q1522" s="2367"/>
      <c r="R1522" s="2367"/>
    </row>
    <row r="1523" spans="1:18">
      <c r="A1523" s="2367"/>
      <c r="B1523" s="2367"/>
      <c r="C1523" s="2367"/>
      <c r="D1523" s="2367"/>
      <c r="E1523" s="2367"/>
      <c r="F1523" s="2367"/>
      <c r="G1523" s="2367"/>
      <c r="H1523" s="2367"/>
      <c r="I1523" s="2367"/>
      <c r="J1523" s="2367"/>
      <c r="K1523" s="2367"/>
      <c r="L1523" s="2367"/>
      <c r="M1523" s="2367"/>
      <c r="N1523" s="2367"/>
      <c r="O1523" s="2367"/>
      <c r="P1523" s="2367"/>
      <c r="Q1523" s="2367"/>
      <c r="R1523" s="2367"/>
    </row>
    <row r="1524" spans="1:18">
      <c r="A1524" s="2367"/>
      <c r="B1524" s="2367"/>
      <c r="C1524" s="2367"/>
      <c r="D1524" s="2367"/>
      <c r="E1524" s="2367"/>
      <c r="F1524" s="2367"/>
      <c r="G1524" s="2367"/>
      <c r="H1524" s="2367"/>
      <c r="I1524" s="2367"/>
      <c r="J1524" s="2367"/>
      <c r="K1524" s="2367"/>
      <c r="L1524" s="2367"/>
      <c r="M1524" s="2367"/>
      <c r="N1524" s="2367"/>
      <c r="O1524" s="2367"/>
      <c r="P1524" s="2367"/>
      <c r="Q1524" s="2367"/>
      <c r="R1524" s="2367"/>
    </row>
    <row r="1525" spans="1:18">
      <c r="A1525" s="2367"/>
      <c r="B1525" s="2367"/>
      <c r="C1525" s="2367"/>
      <c r="D1525" s="2367"/>
      <c r="E1525" s="2367"/>
      <c r="F1525" s="2367"/>
      <c r="G1525" s="2367"/>
      <c r="H1525" s="2367"/>
      <c r="I1525" s="2367"/>
      <c r="J1525" s="2367"/>
      <c r="K1525" s="2367"/>
      <c r="L1525" s="2367"/>
      <c r="M1525" s="2367"/>
      <c r="N1525" s="2367"/>
      <c r="O1525" s="2367"/>
      <c r="P1525" s="2367"/>
      <c r="Q1525" s="2367"/>
      <c r="R1525" s="2367"/>
    </row>
    <row r="1526" spans="1:18">
      <c r="A1526" s="2367"/>
      <c r="B1526" s="2367"/>
      <c r="C1526" s="2367"/>
      <c r="D1526" s="2367"/>
      <c r="E1526" s="2367"/>
      <c r="F1526" s="2367"/>
      <c r="G1526" s="2367"/>
      <c r="H1526" s="2367"/>
      <c r="I1526" s="2367"/>
      <c r="J1526" s="2367"/>
      <c r="K1526" s="2367"/>
      <c r="L1526" s="2367"/>
      <c r="M1526" s="2367"/>
      <c r="N1526" s="2367"/>
      <c r="O1526" s="2367"/>
      <c r="P1526" s="2367"/>
      <c r="Q1526" s="2367"/>
      <c r="R1526" s="2367"/>
    </row>
    <row r="1527" spans="1:18">
      <c r="A1527" s="2367"/>
      <c r="B1527" s="2367"/>
      <c r="C1527" s="2367"/>
      <c r="D1527" s="2367"/>
      <c r="E1527" s="2367"/>
      <c r="F1527" s="2367"/>
      <c r="G1527" s="2367"/>
      <c r="H1527" s="2367"/>
      <c r="I1527" s="2367"/>
      <c r="J1527" s="2367"/>
      <c r="K1527" s="2367"/>
      <c r="L1527" s="2367"/>
      <c r="M1527" s="2367"/>
      <c r="N1527" s="2367"/>
      <c r="O1527" s="2367"/>
      <c r="P1527" s="2367"/>
      <c r="Q1527" s="2367"/>
      <c r="R1527" s="2367"/>
    </row>
    <row r="1528" spans="1:18">
      <c r="A1528" s="2367"/>
      <c r="B1528" s="2367"/>
      <c r="C1528" s="2367"/>
      <c r="D1528" s="2367"/>
      <c r="E1528" s="2367"/>
      <c r="F1528" s="2367"/>
      <c r="G1528" s="2367"/>
      <c r="H1528" s="2367"/>
      <c r="I1528" s="2367"/>
      <c r="J1528" s="2367"/>
      <c r="K1528" s="2367"/>
      <c r="L1528" s="2367"/>
      <c r="M1528" s="2367"/>
      <c r="N1528" s="2367"/>
      <c r="O1528" s="2367"/>
      <c r="P1528" s="2367"/>
      <c r="Q1528" s="2367"/>
      <c r="R1528" s="2367"/>
    </row>
    <row r="1529" spans="1:18">
      <c r="A1529" s="2367"/>
      <c r="B1529" s="2367"/>
      <c r="C1529" s="2367"/>
      <c r="D1529" s="2367"/>
      <c r="E1529" s="2367"/>
      <c r="F1529" s="2367"/>
      <c r="G1529" s="2367"/>
      <c r="H1529" s="2367"/>
      <c r="I1529" s="2367"/>
      <c r="J1529" s="2367"/>
      <c r="K1529" s="2367"/>
      <c r="L1529" s="2367"/>
      <c r="M1529" s="2367"/>
      <c r="N1529" s="2367"/>
      <c r="O1529" s="2367"/>
      <c r="P1529" s="2367"/>
      <c r="Q1529" s="2367"/>
      <c r="R1529" s="2367"/>
    </row>
    <row r="1530" spans="1:18">
      <c r="A1530" s="2367"/>
      <c r="B1530" s="2367"/>
      <c r="C1530" s="2367"/>
      <c r="D1530" s="2367"/>
      <c r="E1530" s="2367"/>
      <c r="F1530" s="2367"/>
      <c r="G1530" s="2367"/>
      <c r="H1530" s="2367"/>
      <c r="I1530" s="2367"/>
      <c r="J1530" s="2367"/>
      <c r="K1530" s="2367"/>
      <c r="L1530" s="2367"/>
      <c r="M1530" s="2367"/>
      <c r="N1530" s="2367"/>
      <c r="O1530" s="2367"/>
      <c r="P1530" s="2367"/>
      <c r="Q1530" s="2367"/>
      <c r="R1530" s="2367"/>
    </row>
    <row r="1531" spans="1:18">
      <c r="A1531" s="2367"/>
      <c r="B1531" s="2367"/>
      <c r="C1531" s="2367"/>
      <c r="D1531" s="2367"/>
      <c r="E1531" s="2367"/>
      <c r="F1531" s="2367"/>
      <c r="G1531" s="2367"/>
      <c r="H1531" s="2367"/>
      <c r="I1531" s="2367"/>
      <c r="J1531" s="2367"/>
      <c r="K1531" s="2367"/>
      <c r="L1531" s="2367"/>
      <c r="M1531" s="2367"/>
      <c r="N1531" s="2367"/>
      <c r="O1531" s="2367"/>
      <c r="P1531" s="2367"/>
      <c r="Q1531" s="2367"/>
      <c r="R1531" s="2367"/>
    </row>
    <row r="1532" spans="1:18">
      <c r="A1532" s="2367"/>
      <c r="B1532" s="2367"/>
      <c r="C1532" s="2367"/>
      <c r="D1532" s="2367"/>
      <c r="E1532" s="2367"/>
      <c r="F1532" s="2367"/>
      <c r="G1532" s="2367"/>
      <c r="H1532" s="2367"/>
      <c r="I1532" s="2367"/>
      <c r="J1532" s="2367"/>
      <c r="K1532" s="2367"/>
      <c r="L1532" s="2367"/>
      <c r="M1532" s="2367"/>
      <c r="N1532" s="2367"/>
      <c r="O1532" s="2367"/>
      <c r="P1532" s="2367"/>
      <c r="Q1532" s="2367"/>
      <c r="R1532" s="2367"/>
    </row>
    <row r="1533" spans="1:18">
      <c r="A1533" s="2367"/>
      <c r="B1533" s="2367"/>
      <c r="C1533" s="2367"/>
      <c r="D1533" s="2367"/>
      <c r="E1533" s="2367"/>
      <c r="F1533" s="2367"/>
      <c r="G1533" s="2367"/>
      <c r="H1533" s="2367"/>
      <c r="I1533" s="2367"/>
      <c r="J1533" s="2367"/>
      <c r="K1533" s="2367"/>
      <c r="L1533" s="2367"/>
      <c r="M1533" s="2367"/>
      <c r="N1533" s="2367"/>
      <c r="O1533" s="2367"/>
      <c r="P1533" s="2367"/>
      <c r="Q1533" s="2367"/>
      <c r="R1533" s="2367"/>
    </row>
    <row r="1534" spans="1:18">
      <c r="A1534" s="2367"/>
      <c r="B1534" s="2367"/>
      <c r="C1534" s="2367"/>
      <c r="D1534" s="2367"/>
      <c r="E1534" s="2367"/>
      <c r="F1534" s="2367"/>
      <c r="G1534" s="2367"/>
      <c r="H1534" s="2367"/>
      <c r="I1534" s="2367"/>
      <c r="J1534" s="2367"/>
      <c r="K1534" s="2367"/>
      <c r="L1534" s="2367"/>
      <c r="M1534" s="2367"/>
      <c r="N1534" s="2367"/>
      <c r="O1534" s="2367"/>
      <c r="P1534" s="2367"/>
      <c r="Q1534" s="2367"/>
      <c r="R1534" s="2367"/>
    </row>
    <row r="1535" spans="1:18">
      <c r="A1535" s="2367"/>
      <c r="B1535" s="2367"/>
      <c r="C1535" s="2367"/>
      <c r="D1535" s="2367"/>
      <c r="E1535" s="2367"/>
      <c r="F1535" s="2367"/>
      <c r="G1535" s="2367"/>
      <c r="H1535" s="2367"/>
      <c r="I1535" s="2367"/>
      <c r="J1535" s="2367"/>
      <c r="K1535" s="2367"/>
      <c r="L1535" s="2367"/>
      <c r="M1535" s="2367"/>
      <c r="N1535" s="2367"/>
      <c r="O1535" s="2367"/>
      <c r="P1535" s="2367"/>
      <c r="Q1535" s="2367"/>
      <c r="R1535" s="2367"/>
    </row>
    <row r="1536" spans="1:18">
      <c r="A1536" s="2367"/>
      <c r="B1536" s="2367"/>
      <c r="C1536" s="2367"/>
      <c r="D1536" s="2367"/>
      <c r="E1536" s="2367"/>
      <c r="F1536" s="2367"/>
      <c r="G1536" s="2367"/>
      <c r="H1536" s="2367"/>
      <c r="I1536" s="2367"/>
      <c r="J1536" s="2367"/>
      <c r="K1536" s="2367"/>
      <c r="L1536" s="2367"/>
      <c r="M1536" s="2367"/>
      <c r="N1536" s="2367"/>
      <c r="O1536" s="2367"/>
      <c r="P1536" s="2367"/>
      <c r="Q1536" s="2367"/>
      <c r="R1536" s="2367"/>
    </row>
    <row r="1537" spans="1:18">
      <c r="A1537" s="2367"/>
      <c r="B1537" s="2367"/>
      <c r="C1537" s="2367"/>
      <c r="D1537" s="2367"/>
      <c r="E1537" s="2367"/>
      <c r="F1537" s="2367"/>
      <c r="G1537" s="2367"/>
      <c r="H1537" s="2367"/>
      <c r="I1537" s="2367"/>
      <c r="J1537" s="2367"/>
      <c r="K1537" s="2367"/>
      <c r="L1537" s="2367"/>
      <c r="M1537" s="2367"/>
      <c r="N1537" s="2367"/>
      <c r="O1537" s="2367"/>
      <c r="P1537" s="2367"/>
      <c r="Q1537" s="2367"/>
      <c r="R1537" s="2367"/>
    </row>
    <row r="1538" spans="1:18">
      <c r="A1538" s="2367"/>
      <c r="B1538" s="2367"/>
      <c r="C1538" s="2367"/>
      <c r="D1538" s="2367"/>
      <c r="E1538" s="2367"/>
      <c r="F1538" s="2367"/>
      <c r="G1538" s="2367"/>
      <c r="H1538" s="2367"/>
      <c r="I1538" s="2367"/>
      <c r="J1538" s="2367"/>
      <c r="K1538" s="2367"/>
      <c r="L1538" s="2367"/>
      <c r="M1538" s="2367"/>
      <c r="N1538" s="2367"/>
      <c r="O1538" s="2367"/>
      <c r="P1538" s="2367"/>
      <c r="Q1538" s="2367"/>
      <c r="R1538" s="2367"/>
    </row>
    <row r="1539" spans="1:18">
      <c r="A1539" s="2367"/>
      <c r="B1539" s="2367"/>
      <c r="C1539" s="2367"/>
      <c r="D1539" s="2367"/>
      <c r="E1539" s="2367"/>
      <c r="F1539" s="2367"/>
      <c r="G1539" s="2367"/>
      <c r="H1539" s="2367"/>
      <c r="I1539" s="2367"/>
      <c r="J1539" s="2367"/>
      <c r="K1539" s="2367"/>
      <c r="L1539" s="2367"/>
      <c r="M1539" s="2367"/>
      <c r="N1539" s="2367"/>
      <c r="O1539" s="2367"/>
      <c r="P1539" s="2367"/>
      <c r="Q1539" s="2367"/>
      <c r="R1539" s="2367"/>
    </row>
    <row r="1540" spans="1:18">
      <c r="A1540" s="2367"/>
      <c r="B1540" s="2367"/>
      <c r="C1540" s="2367"/>
      <c r="D1540" s="2367"/>
      <c r="E1540" s="2367"/>
      <c r="F1540" s="2367"/>
      <c r="G1540" s="2367"/>
      <c r="H1540" s="2367"/>
      <c r="I1540" s="2367"/>
      <c r="J1540" s="2367"/>
      <c r="K1540" s="2367"/>
      <c r="L1540" s="2367"/>
      <c r="M1540" s="2367"/>
      <c r="N1540" s="2367"/>
      <c r="O1540" s="2367"/>
      <c r="P1540" s="2367"/>
      <c r="Q1540" s="2367"/>
      <c r="R1540" s="2367"/>
    </row>
    <row r="1541" spans="1:18">
      <c r="A1541" s="2367"/>
      <c r="B1541" s="2367"/>
      <c r="C1541" s="2367"/>
      <c r="D1541" s="2367"/>
      <c r="E1541" s="2367"/>
      <c r="F1541" s="2367"/>
      <c r="G1541" s="2367"/>
      <c r="H1541" s="2367"/>
      <c r="I1541" s="2367"/>
      <c r="J1541" s="2367"/>
      <c r="K1541" s="2367"/>
      <c r="L1541" s="2367"/>
      <c r="M1541" s="2367"/>
      <c r="N1541" s="2367"/>
      <c r="O1541" s="2367"/>
      <c r="P1541" s="2367"/>
      <c r="Q1541" s="2367"/>
      <c r="R1541" s="2367"/>
    </row>
    <row r="1542" spans="1:18">
      <c r="A1542" s="2367"/>
      <c r="B1542" s="2367"/>
      <c r="C1542" s="2367"/>
      <c r="D1542" s="2367"/>
      <c r="E1542" s="2367"/>
      <c r="F1542" s="2367"/>
      <c r="G1542" s="2367"/>
      <c r="H1542" s="2367"/>
      <c r="I1542" s="2367"/>
      <c r="J1542" s="2367"/>
      <c r="K1542" s="2367"/>
      <c r="L1542" s="2367"/>
      <c r="M1542" s="2367"/>
      <c r="N1542" s="2367"/>
      <c r="O1542" s="2367"/>
      <c r="P1542" s="2367"/>
      <c r="Q1542" s="2367"/>
      <c r="R1542" s="2367"/>
    </row>
    <row r="1543" spans="1:18">
      <c r="A1543" s="2367"/>
      <c r="B1543" s="2367"/>
      <c r="C1543" s="2367"/>
      <c r="D1543" s="2367"/>
      <c r="E1543" s="2367"/>
      <c r="F1543" s="2367"/>
      <c r="G1543" s="2367"/>
      <c r="H1543" s="2367"/>
      <c r="I1543" s="2367"/>
      <c r="J1543" s="2367"/>
      <c r="K1543" s="2367"/>
      <c r="L1543" s="2367"/>
      <c r="M1543" s="2367"/>
      <c r="N1543" s="2367"/>
      <c r="O1543" s="2367"/>
      <c r="P1543" s="2367"/>
      <c r="Q1543" s="2367"/>
      <c r="R1543" s="2367"/>
    </row>
    <row r="1544" spans="1:18">
      <c r="A1544" s="2367"/>
      <c r="B1544" s="2367"/>
      <c r="C1544" s="2367"/>
      <c r="D1544" s="2367"/>
      <c r="E1544" s="2367"/>
      <c r="F1544" s="2367"/>
      <c r="G1544" s="2367"/>
      <c r="H1544" s="2367"/>
      <c r="I1544" s="2367"/>
      <c r="J1544" s="2367"/>
      <c r="K1544" s="2367"/>
      <c r="L1544" s="2367"/>
      <c r="M1544" s="2367"/>
      <c r="N1544" s="2367"/>
      <c r="O1544" s="2367"/>
      <c r="P1544" s="2367"/>
      <c r="Q1544" s="2367"/>
      <c r="R1544" s="2367"/>
    </row>
    <row r="1545" spans="1:18">
      <c r="A1545" s="2367"/>
      <c r="B1545" s="2367"/>
      <c r="C1545" s="2367"/>
      <c r="D1545" s="2367"/>
      <c r="E1545" s="2367"/>
      <c r="F1545" s="2367"/>
      <c r="G1545" s="2367"/>
      <c r="H1545" s="2367"/>
      <c r="I1545" s="2367"/>
      <c r="J1545" s="2367"/>
      <c r="K1545" s="2367"/>
      <c r="L1545" s="2367"/>
      <c r="M1545" s="2367"/>
      <c r="N1545" s="2367"/>
      <c r="O1545" s="2367"/>
      <c r="P1545" s="2367"/>
      <c r="Q1545" s="2367"/>
      <c r="R1545" s="2367"/>
    </row>
    <row r="1546" spans="1:18">
      <c r="A1546" s="2367"/>
      <c r="B1546" s="2367"/>
      <c r="C1546" s="2367"/>
      <c r="D1546" s="2367"/>
      <c r="E1546" s="2367"/>
      <c r="F1546" s="2367"/>
      <c r="G1546" s="2367"/>
      <c r="H1546" s="2367"/>
      <c r="I1546" s="2367"/>
      <c r="J1546" s="2367"/>
      <c r="K1546" s="2367"/>
      <c r="L1546" s="2367"/>
      <c r="M1546" s="2367"/>
      <c r="N1546" s="2367"/>
      <c r="O1546" s="2367"/>
      <c r="P1546" s="2367"/>
      <c r="Q1546" s="2367"/>
      <c r="R1546" s="2367"/>
    </row>
    <row r="1547" spans="1:18">
      <c r="A1547" s="2367"/>
      <c r="B1547" s="2367"/>
      <c r="C1547" s="2367"/>
      <c r="D1547" s="2367"/>
      <c r="E1547" s="2367"/>
      <c r="F1547" s="2367"/>
      <c r="G1547" s="2367"/>
      <c r="H1547" s="2367"/>
      <c r="I1547" s="2367"/>
      <c r="J1547" s="2367"/>
      <c r="K1547" s="2367"/>
      <c r="L1547" s="2367"/>
      <c r="M1547" s="2367"/>
      <c r="N1547" s="2367"/>
      <c r="O1547" s="2367"/>
      <c r="P1547" s="2367"/>
      <c r="Q1547" s="2367"/>
      <c r="R1547" s="2367"/>
    </row>
    <row r="1548" spans="1:18">
      <c r="A1548" s="2367"/>
      <c r="B1548" s="2367"/>
      <c r="C1548" s="2367"/>
      <c r="D1548" s="2367"/>
      <c r="E1548" s="2367"/>
      <c r="F1548" s="2367"/>
      <c r="G1548" s="2367"/>
      <c r="H1548" s="2367"/>
      <c r="I1548" s="2367"/>
      <c r="J1548" s="2367"/>
      <c r="K1548" s="2367"/>
      <c r="L1548" s="2367"/>
      <c r="M1548" s="2367"/>
      <c r="N1548" s="2367"/>
      <c r="O1548" s="2367"/>
      <c r="P1548" s="2367"/>
      <c r="Q1548" s="2367"/>
      <c r="R1548" s="2367"/>
    </row>
    <row r="1549" spans="1:18">
      <c r="A1549" s="2367"/>
      <c r="B1549" s="2367"/>
      <c r="C1549" s="2367"/>
      <c r="D1549" s="2367"/>
      <c r="E1549" s="2367"/>
      <c r="F1549" s="2367"/>
      <c r="G1549" s="2367"/>
      <c r="H1549" s="2367"/>
      <c r="I1549" s="2367"/>
      <c r="J1549" s="2367"/>
      <c r="K1549" s="2367"/>
      <c r="L1549" s="2367"/>
      <c r="M1549" s="2367"/>
      <c r="N1549" s="2367"/>
      <c r="O1549" s="2367"/>
      <c r="P1549" s="2367"/>
      <c r="Q1549" s="2367"/>
      <c r="R1549" s="2367"/>
    </row>
    <row r="1550" spans="1:18">
      <c r="A1550" s="2367"/>
      <c r="B1550" s="2367"/>
      <c r="C1550" s="2367"/>
      <c r="D1550" s="2367"/>
      <c r="E1550" s="2367"/>
      <c r="F1550" s="2367"/>
      <c r="G1550" s="2367"/>
      <c r="H1550" s="2367"/>
      <c r="I1550" s="2367"/>
      <c r="J1550" s="2367"/>
      <c r="K1550" s="2367"/>
      <c r="L1550" s="2367"/>
      <c r="M1550" s="2367"/>
      <c r="N1550" s="2367"/>
      <c r="O1550" s="2367"/>
      <c r="P1550" s="2367"/>
      <c r="Q1550" s="2367"/>
      <c r="R1550" s="2367"/>
    </row>
    <row r="1551" spans="1:18">
      <c r="A1551" s="2367"/>
      <c r="B1551" s="2367"/>
      <c r="C1551" s="2367"/>
      <c r="D1551" s="2367"/>
      <c r="E1551" s="2367"/>
      <c r="F1551" s="2367"/>
      <c r="G1551" s="2367"/>
      <c r="H1551" s="2367"/>
      <c r="I1551" s="2367"/>
      <c r="J1551" s="2367"/>
      <c r="K1551" s="2367"/>
      <c r="L1551" s="2367"/>
      <c r="M1551" s="2367"/>
      <c r="N1551" s="2367"/>
      <c r="O1551" s="2367"/>
      <c r="P1551" s="2367"/>
      <c r="Q1551" s="2367"/>
      <c r="R1551" s="2367"/>
    </row>
    <row r="1552" spans="1:18">
      <c r="A1552" s="2367"/>
      <c r="B1552" s="2367"/>
      <c r="C1552" s="2367"/>
      <c r="D1552" s="2367"/>
      <c r="E1552" s="2367"/>
      <c r="F1552" s="2367"/>
      <c r="G1552" s="2367"/>
      <c r="H1552" s="2367"/>
      <c r="I1552" s="2367"/>
      <c r="J1552" s="2367"/>
      <c r="K1552" s="2367"/>
      <c r="L1552" s="2367"/>
      <c r="M1552" s="2367"/>
      <c r="N1552" s="2367"/>
      <c r="O1552" s="2367"/>
      <c r="P1552" s="2367"/>
      <c r="Q1552" s="2367"/>
      <c r="R1552" s="2367"/>
    </row>
    <row r="1553" spans="1:18">
      <c r="A1553" s="2367"/>
      <c r="B1553" s="2367"/>
      <c r="C1553" s="2367"/>
      <c r="D1553" s="2367"/>
      <c r="E1553" s="2367"/>
      <c r="F1553" s="2367"/>
      <c r="G1553" s="2367"/>
      <c r="H1553" s="2367"/>
      <c r="I1553" s="2367"/>
      <c r="J1553" s="2367"/>
      <c r="K1553" s="2367"/>
      <c r="L1553" s="2367"/>
      <c r="M1553" s="2367"/>
      <c r="N1553" s="2367"/>
      <c r="O1553" s="2367"/>
      <c r="P1553" s="2367"/>
      <c r="Q1553" s="2367"/>
      <c r="R1553" s="2367"/>
    </row>
    <row r="1554" spans="1:18">
      <c r="A1554" s="2367"/>
      <c r="B1554" s="2367"/>
      <c r="C1554" s="2367"/>
      <c r="D1554" s="2367"/>
      <c r="E1554" s="2367"/>
      <c r="F1554" s="2367"/>
      <c r="G1554" s="2367"/>
      <c r="H1554" s="2367"/>
      <c r="I1554" s="2367"/>
      <c r="J1554" s="2367"/>
      <c r="K1554" s="2367"/>
      <c r="L1554" s="2367"/>
      <c r="M1554" s="2367"/>
      <c r="N1554" s="2367"/>
      <c r="O1554" s="2367"/>
      <c r="P1554" s="2367"/>
      <c r="Q1554" s="2367"/>
      <c r="R1554" s="2367"/>
    </row>
    <row r="1555" spans="1:18">
      <c r="A1555" s="2367"/>
      <c r="B1555" s="2367"/>
      <c r="C1555" s="2367"/>
      <c r="D1555" s="2367"/>
      <c r="E1555" s="2367"/>
      <c r="F1555" s="2367"/>
      <c r="G1555" s="2367"/>
      <c r="H1555" s="2367"/>
      <c r="I1555" s="2367"/>
      <c r="J1555" s="2367"/>
      <c r="K1555" s="2367"/>
      <c r="L1555" s="2367"/>
      <c r="M1555" s="2367"/>
      <c r="N1555" s="2367"/>
      <c r="O1555" s="2367"/>
      <c r="P1555" s="2367"/>
      <c r="Q1555" s="2367"/>
      <c r="R1555" s="2367"/>
    </row>
    <row r="1556" spans="1:18">
      <c r="A1556" s="2367"/>
      <c r="B1556" s="2367"/>
      <c r="C1556" s="2367"/>
      <c r="D1556" s="2367"/>
      <c r="E1556" s="2367"/>
      <c r="F1556" s="2367"/>
      <c r="G1556" s="2367"/>
      <c r="H1556" s="2367"/>
      <c r="I1556" s="2367"/>
      <c r="J1556" s="2367"/>
      <c r="K1556" s="2367"/>
      <c r="L1556" s="2367"/>
      <c r="M1556" s="2367"/>
      <c r="N1556" s="2367"/>
      <c r="O1556" s="2367"/>
      <c r="P1556" s="2367"/>
      <c r="Q1556" s="2367"/>
      <c r="R1556" s="2367"/>
    </row>
    <row r="1557" spans="1:18">
      <c r="A1557" s="2367"/>
      <c r="B1557" s="2367"/>
      <c r="C1557" s="2367"/>
      <c r="D1557" s="2367"/>
      <c r="E1557" s="2367"/>
      <c r="F1557" s="2367"/>
      <c r="G1557" s="2367"/>
      <c r="H1557" s="2367"/>
      <c r="I1557" s="2367"/>
      <c r="J1557" s="2367"/>
      <c r="K1557" s="2367"/>
      <c r="L1557" s="2367"/>
      <c r="M1557" s="2367"/>
      <c r="N1557" s="2367"/>
      <c r="O1557" s="2367"/>
      <c r="P1557" s="2367"/>
      <c r="Q1557" s="2367"/>
      <c r="R1557" s="2367"/>
    </row>
    <row r="1558" spans="1:18">
      <c r="A1558" s="2367"/>
      <c r="B1558" s="2367"/>
      <c r="C1558" s="2367"/>
      <c r="D1558" s="2367"/>
      <c r="E1558" s="2367"/>
      <c r="F1558" s="2367"/>
      <c r="G1558" s="2367"/>
      <c r="H1558" s="2367"/>
      <c r="I1558" s="2367"/>
      <c r="J1558" s="2367"/>
      <c r="K1558" s="2367"/>
      <c r="L1558" s="2367"/>
      <c r="M1558" s="2367"/>
      <c r="N1558" s="2367"/>
      <c r="O1558" s="2367"/>
      <c r="P1558" s="2367"/>
      <c r="Q1558" s="2367"/>
      <c r="R1558" s="2367"/>
    </row>
    <row r="1559" spans="1:18">
      <c r="A1559" s="2367"/>
      <c r="B1559" s="2367"/>
      <c r="C1559" s="2367"/>
      <c r="D1559" s="2367"/>
      <c r="E1559" s="2367"/>
      <c r="F1559" s="2367"/>
      <c r="G1559" s="2367"/>
      <c r="H1559" s="2367"/>
      <c r="I1559" s="2367"/>
      <c r="J1559" s="2367"/>
      <c r="K1559" s="2367"/>
      <c r="L1559" s="2367"/>
      <c r="M1559" s="2367"/>
      <c r="N1559" s="2367"/>
      <c r="O1559" s="2367"/>
      <c r="P1559" s="2367"/>
      <c r="Q1559" s="2367"/>
      <c r="R1559" s="2367"/>
    </row>
    <row r="1560" spans="1:18">
      <c r="A1560" s="2367"/>
      <c r="B1560" s="2367"/>
      <c r="C1560" s="2367"/>
      <c r="D1560" s="2367"/>
      <c r="E1560" s="2367"/>
      <c r="F1560" s="2367"/>
      <c r="G1560" s="2367"/>
      <c r="H1560" s="2367"/>
      <c r="I1560" s="2367"/>
      <c r="J1560" s="2367"/>
      <c r="K1560" s="2367"/>
      <c r="L1560" s="2367"/>
      <c r="M1560" s="2367"/>
      <c r="N1560" s="2367"/>
      <c r="O1560" s="2367"/>
      <c r="P1560" s="2367"/>
      <c r="Q1560" s="2367"/>
      <c r="R1560" s="2367"/>
    </row>
    <row r="1561" spans="1:18">
      <c r="A1561" s="2367"/>
      <c r="B1561" s="2367"/>
      <c r="C1561" s="2367"/>
      <c r="D1561" s="2367"/>
      <c r="E1561" s="2367"/>
      <c r="F1561" s="2367"/>
      <c r="G1561" s="2367"/>
      <c r="H1561" s="2367"/>
      <c r="I1561" s="2367"/>
      <c r="J1561" s="2367"/>
      <c r="K1561" s="2367"/>
      <c r="L1561" s="2367"/>
      <c r="M1561" s="2367"/>
      <c r="N1561" s="2367"/>
      <c r="O1561" s="2367"/>
      <c r="P1561" s="2367"/>
      <c r="Q1561" s="2367"/>
      <c r="R1561" s="2367"/>
    </row>
    <row r="1562" spans="1:18">
      <c r="A1562" s="2367"/>
      <c r="B1562" s="2367"/>
      <c r="C1562" s="2367"/>
      <c r="D1562" s="2367"/>
      <c r="E1562" s="2367"/>
      <c r="F1562" s="2367"/>
      <c r="G1562" s="2367"/>
      <c r="H1562" s="2367"/>
      <c r="I1562" s="2367"/>
      <c r="J1562" s="2367"/>
      <c r="K1562" s="2367"/>
      <c r="L1562" s="2367"/>
      <c r="M1562" s="2367"/>
      <c r="N1562" s="2367"/>
      <c r="O1562" s="2367"/>
      <c r="P1562" s="2367"/>
      <c r="Q1562" s="2367"/>
      <c r="R1562" s="2367"/>
    </row>
    <row r="1563" spans="1:18">
      <c r="A1563" s="2367"/>
      <c r="B1563" s="2367"/>
      <c r="C1563" s="2367"/>
      <c r="D1563" s="2367"/>
      <c r="E1563" s="2367"/>
      <c r="F1563" s="2367"/>
      <c r="G1563" s="2367"/>
      <c r="H1563" s="2367"/>
      <c r="I1563" s="2367"/>
      <c r="J1563" s="2367"/>
      <c r="K1563" s="2367"/>
      <c r="L1563" s="2367"/>
      <c r="M1563" s="2367"/>
      <c r="N1563" s="2367"/>
      <c r="O1563" s="2367"/>
      <c r="P1563" s="2367"/>
      <c r="Q1563" s="2367"/>
      <c r="R1563" s="2367"/>
    </row>
    <row r="1564" spans="1:18">
      <c r="A1564" s="2367"/>
      <c r="B1564" s="2367"/>
      <c r="C1564" s="2367"/>
      <c r="D1564" s="2367"/>
      <c r="E1564" s="2367"/>
      <c r="F1564" s="2367"/>
      <c r="G1564" s="2367"/>
      <c r="H1564" s="2367"/>
      <c r="I1564" s="2367"/>
      <c r="J1564" s="2367"/>
      <c r="K1564" s="2367"/>
      <c r="L1564" s="2367"/>
      <c r="M1564" s="2367"/>
      <c r="N1564" s="2367"/>
      <c r="O1564" s="2367"/>
      <c r="P1564" s="2367"/>
      <c r="Q1564" s="2367"/>
      <c r="R1564" s="2367"/>
    </row>
    <row r="1565" spans="1:18">
      <c r="A1565" s="2367"/>
      <c r="B1565" s="2367"/>
      <c r="C1565" s="2367"/>
      <c r="D1565" s="2367"/>
      <c r="E1565" s="2367"/>
      <c r="F1565" s="2367"/>
      <c r="G1565" s="2367"/>
      <c r="H1565" s="2367"/>
      <c r="I1565" s="2367"/>
      <c r="J1565" s="2367"/>
      <c r="K1565" s="2367"/>
      <c r="L1565" s="2367"/>
      <c r="M1565" s="2367"/>
      <c r="N1565" s="2367"/>
      <c r="O1565" s="2367"/>
      <c r="P1565" s="2367"/>
      <c r="Q1565" s="2367"/>
      <c r="R1565" s="2367"/>
    </row>
    <row r="1566" spans="1:18">
      <c r="A1566" s="2367"/>
      <c r="B1566" s="2367"/>
      <c r="C1566" s="2367"/>
      <c r="D1566" s="2367"/>
      <c r="E1566" s="2367"/>
      <c r="F1566" s="2367"/>
      <c r="G1566" s="2367"/>
      <c r="H1566" s="2367"/>
      <c r="I1566" s="2367"/>
      <c r="J1566" s="2367"/>
      <c r="K1566" s="2367"/>
      <c r="L1566" s="2367"/>
      <c r="M1566" s="2367"/>
      <c r="N1566" s="2367"/>
      <c r="O1566" s="2367"/>
      <c r="P1566" s="2367"/>
      <c r="Q1566" s="2367"/>
      <c r="R1566" s="2367"/>
    </row>
    <row r="1567" spans="1:18">
      <c r="A1567" s="2367"/>
      <c r="B1567" s="2367"/>
      <c r="C1567" s="2367"/>
      <c r="D1567" s="2367"/>
      <c r="E1567" s="2367"/>
      <c r="F1567" s="2367"/>
      <c r="G1567" s="2367"/>
      <c r="H1567" s="2367"/>
      <c r="I1567" s="2367"/>
      <c r="J1567" s="2367"/>
      <c r="K1567" s="2367"/>
      <c r="L1567" s="2367"/>
      <c r="M1567" s="2367"/>
      <c r="N1567" s="2367"/>
      <c r="O1567" s="2367"/>
      <c r="P1567" s="2367"/>
      <c r="Q1567" s="2367"/>
      <c r="R1567" s="2367"/>
    </row>
    <row r="1568" spans="1:18">
      <c r="A1568" s="2367"/>
      <c r="B1568" s="2367"/>
      <c r="C1568" s="2367"/>
      <c r="D1568" s="2367"/>
      <c r="E1568" s="2367"/>
      <c r="F1568" s="2367"/>
      <c r="G1568" s="2367"/>
      <c r="H1568" s="2367"/>
      <c r="I1568" s="2367"/>
      <c r="J1568" s="2367"/>
      <c r="K1568" s="2367"/>
      <c r="L1568" s="2367"/>
      <c r="M1568" s="2367"/>
      <c r="N1568" s="2367"/>
      <c r="O1568" s="2367"/>
      <c r="P1568" s="2367"/>
      <c r="Q1568" s="2367"/>
      <c r="R1568" s="2367"/>
    </row>
    <row r="1569" spans="1:18">
      <c r="A1569" s="2367"/>
      <c r="B1569" s="2367"/>
      <c r="C1569" s="2367"/>
      <c r="D1569" s="2367"/>
      <c r="E1569" s="2367"/>
      <c r="F1569" s="2367"/>
      <c r="G1569" s="2367"/>
      <c r="H1569" s="2367"/>
      <c r="I1569" s="2367"/>
      <c r="J1569" s="2367"/>
      <c r="K1569" s="2367"/>
      <c r="L1569" s="2367"/>
      <c r="M1569" s="2367"/>
      <c r="N1569" s="2367"/>
      <c r="O1569" s="2367"/>
      <c r="P1569" s="2367"/>
      <c r="Q1569" s="2367"/>
      <c r="R1569" s="2367"/>
    </row>
    <row r="1570" spans="1:18">
      <c r="A1570" s="2367"/>
      <c r="B1570" s="2367"/>
      <c r="C1570" s="2367"/>
      <c r="D1570" s="2367"/>
      <c r="E1570" s="2367"/>
      <c r="F1570" s="2367"/>
      <c r="G1570" s="2367"/>
      <c r="H1570" s="2367"/>
      <c r="I1570" s="2367"/>
      <c r="J1570" s="2367"/>
      <c r="K1570" s="2367"/>
      <c r="L1570" s="2367"/>
      <c r="M1570" s="2367"/>
      <c r="N1570" s="2367"/>
      <c r="O1570" s="2367"/>
      <c r="P1570" s="2367"/>
      <c r="Q1570" s="2367"/>
      <c r="R1570" s="2367"/>
    </row>
    <row r="1571" spans="1:18">
      <c r="A1571" s="2367"/>
      <c r="B1571" s="2367"/>
      <c r="C1571" s="2367"/>
      <c r="D1571" s="2367"/>
      <c r="E1571" s="2367"/>
      <c r="F1571" s="2367"/>
      <c r="G1571" s="2367"/>
      <c r="H1571" s="2367"/>
      <c r="I1571" s="2367"/>
      <c r="J1571" s="2367"/>
      <c r="K1571" s="2367"/>
      <c r="L1571" s="2367"/>
      <c r="M1571" s="2367"/>
      <c r="N1571" s="2367"/>
      <c r="O1571" s="2367"/>
      <c r="P1571" s="2367"/>
      <c r="Q1571" s="2367"/>
      <c r="R1571" s="2367"/>
    </row>
    <row r="1572" spans="1:18">
      <c r="A1572" s="2367"/>
      <c r="B1572" s="2367"/>
      <c r="C1572" s="2367"/>
      <c r="D1572" s="2367"/>
      <c r="E1572" s="2367"/>
      <c r="F1572" s="2367"/>
      <c r="G1572" s="2367"/>
      <c r="H1572" s="2367"/>
      <c r="I1572" s="2367"/>
      <c r="J1572" s="2367"/>
      <c r="K1572" s="2367"/>
      <c r="L1572" s="2367"/>
      <c r="M1572" s="2367"/>
      <c r="N1572" s="2367"/>
      <c r="O1572" s="2367"/>
      <c r="P1572" s="2367"/>
      <c r="Q1572" s="2367"/>
      <c r="R1572" s="2367"/>
    </row>
    <row r="1573" spans="1:18">
      <c r="A1573" s="2367"/>
      <c r="B1573" s="2367"/>
      <c r="C1573" s="2367"/>
      <c r="D1573" s="2367"/>
      <c r="E1573" s="2367"/>
      <c r="F1573" s="2367"/>
      <c r="G1573" s="2367"/>
      <c r="H1573" s="2367"/>
      <c r="I1573" s="2367"/>
      <c r="J1573" s="2367"/>
      <c r="K1573" s="2367"/>
      <c r="L1573" s="2367"/>
      <c r="M1573" s="2367"/>
      <c r="N1573" s="2367"/>
      <c r="O1573" s="2367"/>
      <c r="P1573" s="2367"/>
      <c r="Q1573" s="2367"/>
      <c r="R1573" s="2367"/>
    </row>
    <row r="1574" spans="1:18">
      <c r="A1574" s="2367"/>
      <c r="B1574" s="2367"/>
      <c r="C1574" s="2367"/>
      <c r="D1574" s="2367"/>
      <c r="E1574" s="2367"/>
      <c r="F1574" s="2367"/>
      <c r="G1574" s="2367"/>
      <c r="H1574" s="2367"/>
      <c r="I1574" s="2367"/>
      <c r="J1574" s="2367"/>
      <c r="K1574" s="2367"/>
      <c r="L1574" s="2367"/>
      <c r="M1574" s="2367"/>
      <c r="N1574" s="2367"/>
      <c r="O1574" s="2367"/>
      <c r="P1574" s="2367"/>
      <c r="Q1574" s="2367"/>
      <c r="R1574" s="2367"/>
    </row>
    <row r="1575" spans="1:18">
      <c r="A1575" s="2367"/>
      <c r="B1575" s="2367"/>
      <c r="C1575" s="2367"/>
      <c r="D1575" s="2367"/>
      <c r="E1575" s="2367"/>
      <c r="F1575" s="2367"/>
      <c r="G1575" s="2367"/>
      <c r="H1575" s="2367"/>
      <c r="I1575" s="2367"/>
      <c r="J1575" s="2367"/>
      <c r="K1575" s="2367"/>
      <c r="L1575" s="2367"/>
      <c r="M1575" s="2367"/>
      <c r="N1575" s="2367"/>
      <c r="O1575" s="2367"/>
      <c r="P1575" s="2367"/>
      <c r="Q1575" s="2367"/>
      <c r="R1575" s="2367"/>
    </row>
    <row r="1576" spans="1:18">
      <c r="A1576" s="2367"/>
      <c r="B1576" s="2367"/>
      <c r="C1576" s="2367"/>
      <c r="D1576" s="2367"/>
      <c r="E1576" s="2367"/>
      <c r="F1576" s="2367"/>
      <c r="G1576" s="2367"/>
      <c r="H1576" s="2367"/>
      <c r="I1576" s="2367"/>
      <c r="J1576" s="2367"/>
      <c r="K1576" s="2367"/>
      <c r="L1576" s="2367"/>
      <c r="M1576" s="2367"/>
      <c r="N1576" s="2367"/>
      <c r="O1576" s="2367"/>
      <c r="P1576" s="2367"/>
      <c r="Q1576" s="2367"/>
      <c r="R1576" s="2367"/>
    </row>
    <row r="1577" spans="1:18">
      <c r="A1577" s="2367"/>
      <c r="B1577" s="2367"/>
      <c r="C1577" s="2367"/>
      <c r="D1577" s="2367"/>
      <c r="E1577" s="2367"/>
      <c r="F1577" s="2367"/>
      <c r="G1577" s="2367"/>
      <c r="H1577" s="2367"/>
      <c r="I1577" s="2367"/>
      <c r="J1577" s="2367"/>
      <c r="K1577" s="2367"/>
      <c r="L1577" s="2367"/>
      <c r="M1577" s="2367"/>
      <c r="N1577" s="2367"/>
      <c r="O1577" s="2367"/>
      <c r="P1577" s="2367"/>
      <c r="Q1577" s="2367"/>
      <c r="R1577" s="2367"/>
    </row>
    <row r="1578" spans="1:18">
      <c r="A1578" s="2367"/>
      <c r="B1578" s="2367"/>
      <c r="C1578" s="2367"/>
      <c r="D1578" s="2367"/>
      <c r="E1578" s="2367"/>
      <c r="F1578" s="2367"/>
      <c r="G1578" s="2367"/>
      <c r="H1578" s="2367"/>
      <c r="I1578" s="2367"/>
      <c r="J1578" s="2367"/>
      <c r="K1578" s="2367"/>
      <c r="L1578" s="2367"/>
      <c r="M1578" s="2367"/>
      <c r="N1578" s="2367"/>
      <c r="O1578" s="2367"/>
      <c r="P1578" s="2367"/>
      <c r="Q1578" s="2367"/>
      <c r="R1578" s="2367"/>
    </row>
    <row r="1579" spans="1:18">
      <c r="A1579" s="2367"/>
      <c r="B1579" s="2367"/>
      <c r="C1579" s="2367"/>
      <c r="D1579" s="2367"/>
      <c r="E1579" s="2367"/>
      <c r="F1579" s="2367"/>
      <c r="G1579" s="2367"/>
      <c r="H1579" s="2367"/>
      <c r="I1579" s="2367"/>
      <c r="J1579" s="2367"/>
      <c r="K1579" s="2367"/>
      <c r="L1579" s="2367"/>
      <c r="M1579" s="2367"/>
      <c r="N1579" s="2367"/>
      <c r="O1579" s="2367"/>
      <c r="P1579" s="2367"/>
      <c r="Q1579" s="2367"/>
      <c r="R1579" s="2367"/>
    </row>
    <row r="1580" spans="1:18">
      <c r="A1580" s="2367"/>
      <c r="B1580" s="2367"/>
      <c r="C1580" s="2367"/>
      <c r="D1580" s="2367"/>
      <c r="E1580" s="2367"/>
      <c r="F1580" s="2367"/>
      <c r="G1580" s="2367"/>
      <c r="H1580" s="2367"/>
      <c r="I1580" s="2367"/>
      <c r="J1580" s="2367"/>
      <c r="K1580" s="2367"/>
      <c r="L1580" s="2367"/>
      <c r="M1580" s="2367"/>
      <c r="N1580" s="2367"/>
      <c r="O1580" s="2367"/>
      <c r="P1580" s="2367"/>
      <c r="Q1580" s="2367"/>
      <c r="R1580" s="2367"/>
    </row>
    <row r="1581" spans="1:18">
      <c r="A1581" s="2367"/>
      <c r="B1581" s="2367"/>
      <c r="C1581" s="2367"/>
      <c r="D1581" s="2367"/>
      <c r="E1581" s="2367"/>
      <c r="F1581" s="2367"/>
      <c r="G1581" s="2367"/>
      <c r="H1581" s="2367"/>
      <c r="I1581" s="2367"/>
      <c r="J1581" s="2367"/>
      <c r="K1581" s="2367"/>
      <c r="L1581" s="2367"/>
      <c r="M1581" s="2367"/>
      <c r="N1581" s="2367"/>
      <c r="O1581" s="2367"/>
      <c r="P1581" s="2367"/>
      <c r="Q1581" s="2367"/>
      <c r="R1581" s="2367"/>
    </row>
    <row r="1582" spans="1:18">
      <c r="A1582" s="2367"/>
      <c r="B1582" s="2367"/>
      <c r="C1582" s="2367"/>
      <c r="D1582" s="2367"/>
      <c r="E1582" s="2367"/>
      <c r="F1582" s="2367"/>
      <c r="G1582" s="2367"/>
      <c r="H1582" s="2367"/>
      <c r="I1582" s="2367"/>
      <c r="J1582" s="2367"/>
      <c r="K1582" s="2367"/>
      <c r="L1582" s="2367"/>
      <c r="M1582" s="2367"/>
      <c r="N1582" s="2367"/>
      <c r="O1582" s="2367"/>
      <c r="P1582" s="2367"/>
      <c r="Q1582" s="2367"/>
      <c r="R1582" s="2367"/>
    </row>
    <row r="1583" spans="1:18">
      <c r="A1583" s="2367"/>
      <c r="B1583" s="2367"/>
      <c r="C1583" s="2367"/>
      <c r="D1583" s="2367"/>
      <c r="E1583" s="2367"/>
      <c r="F1583" s="2367"/>
      <c r="G1583" s="2367"/>
      <c r="H1583" s="2367"/>
      <c r="I1583" s="2367"/>
      <c r="J1583" s="2367"/>
      <c r="K1583" s="2367"/>
      <c r="L1583" s="2367"/>
      <c r="M1583" s="2367"/>
      <c r="N1583" s="2367"/>
      <c r="O1583" s="2367"/>
      <c r="P1583" s="2367"/>
      <c r="Q1583" s="2367"/>
      <c r="R1583" s="2367"/>
    </row>
    <row r="1584" spans="1:18">
      <c r="A1584" s="2367"/>
      <c r="B1584" s="2367"/>
      <c r="C1584" s="2367"/>
      <c r="D1584" s="2367"/>
      <c r="E1584" s="2367"/>
      <c r="F1584" s="2367"/>
      <c r="G1584" s="2367"/>
      <c r="H1584" s="2367"/>
      <c r="I1584" s="2367"/>
      <c r="J1584" s="2367"/>
      <c r="K1584" s="2367"/>
      <c r="L1584" s="2367"/>
      <c r="M1584" s="2367"/>
      <c r="N1584" s="2367"/>
      <c r="O1584" s="2367"/>
      <c r="P1584" s="2367"/>
      <c r="Q1584" s="2367"/>
      <c r="R1584" s="2367"/>
    </row>
    <row r="1585" spans="1:18">
      <c r="A1585" s="2367"/>
      <c r="B1585" s="2367"/>
      <c r="C1585" s="2367"/>
      <c r="D1585" s="2367"/>
      <c r="E1585" s="2367"/>
      <c r="F1585" s="2367"/>
      <c r="G1585" s="2367"/>
      <c r="H1585" s="2367"/>
      <c r="I1585" s="2367"/>
      <c r="J1585" s="2367"/>
      <c r="K1585" s="2367"/>
      <c r="L1585" s="2367"/>
      <c r="M1585" s="2367"/>
      <c r="N1585" s="2367"/>
      <c r="O1585" s="2367"/>
      <c r="P1585" s="2367"/>
      <c r="Q1585" s="2367"/>
      <c r="R1585" s="2367"/>
    </row>
    <row r="1586" spans="1:18">
      <c r="A1586" s="2367"/>
      <c r="B1586" s="2367"/>
      <c r="C1586" s="2367"/>
      <c r="D1586" s="2367"/>
      <c r="E1586" s="2367"/>
      <c r="F1586" s="2367"/>
      <c r="G1586" s="2367"/>
      <c r="H1586" s="2367"/>
      <c r="I1586" s="2367"/>
      <c r="J1586" s="2367"/>
      <c r="K1586" s="2367"/>
      <c r="L1586" s="2367"/>
      <c r="M1586" s="2367"/>
      <c r="N1586" s="2367"/>
      <c r="O1586" s="2367"/>
      <c r="P1586" s="2367"/>
      <c r="Q1586" s="2367"/>
      <c r="R1586" s="2367"/>
    </row>
    <row r="1587" spans="1:18">
      <c r="A1587" s="2367"/>
      <c r="B1587" s="2367"/>
      <c r="C1587" s="2367"/>
      <c r="D1587" s="2367"/>
      <c r="E1587" s="2367"/>
      <c r="F1587" s="2367"/>
      <c r="G1587" s="2367"/>
      <c r="H1587" s="2367"/>
      <c r="I1587" s="2367"/>
      <c r="J1587" s="2367"/>
      <c r="K1587" s="2367"/>
      <c r="L1587" s="2367"/>
      <c r="M1587" s="2367"/>
      <c r="N1587" s="2367"/>
      <c r="O1587" s="2367"/>
      <c r="P1587" s="2367"/>
      <c r="Q1587" s="2367"/>
      <c r="R1587" s="2367"/>
    </row>
    <row r="1588" spans="1:18">
      <c r="A1588" s="2367"/>
      <c r="B1588" s="2367"/>
      <c r="C1588" s="2367"/>
      <c r="D1588" s="2367"/>
      <c r="E1588" s="2367"/>
      <c r="F1588" s="2367"/>
      <c r="G1588" s="2367"/>
      <c r="H1588" s="2367"/>
      <c r="I1588" s="2367"/>
      <c r="J1588" s="2367"/>
      <c r="K1588" s="2367"/>
      <c r="L1588" s="2367"/>
      <c r="M1588" s="2367"/>
      <c r="N1588" s="2367"/>
      <c r="O1588" s="2367"/>
      <c r="P1588" s="2367"/>
      <c r="Q1588" s="2367"/>
      <c r="R1588" s="2367"/>
    </row>
    <row r="1589" spans="1:18">
      <c r="A1589" s="2367"/>
      <c r="B1589" s="2367"/>
      <c r="C1589" s="2367"/>
      <c r="D1589" s="2367"/>
      <c r="E1589" s="2367"/>
      <c r="F1589" s="2367"/>
      <c r="G1589" s="2367"/>
      <c r="H1589" s="2367"/>
      <c r="I1589" s="2367"/>
      <c r="J1589" s="2367"/>
      <c r="K1589" s="2367"/>
      <c r="L1589" s="2367"/>
      <c r="M1589" s="2367"/>
      <c r="N1589" s="2367"/>
      <c r="O1589" s="2367"/>
      <c r="P1589" s="2367"/>
      <c r="Q1589" s="2367"/>
      <c r="R1589" s="2367"/>
    </row>
    <row r="1590" spans="1:18">
      <c r="A1590" s="2367"/>
      <c r="B1590" s="2367"/>
      <c r="C1590" s="2367"/>
      <c r="D1590" s="2367"/>
      <c r="E1590" s="2367"/>
      <c r="F1590" s="2367"/>
      <c r="G1590" s="2367"/>
      <c r="H1590" s="2367"/>
      <c r="I1590" s="2367"/>
      <c r="J1590" s="2367"/>
      <c r="K1590" s="2367"/>
      <c r="L1590" s="2367"/>
      <c r="M1590" s="2367"/>
      <c r="N1590" s="2367"/>
      <c r="O1590" s="2367"/>
      <c r="P1590" s="2367"/>
      <c r="Q1590" s="2367"/>
      <c r="R1590" s="2367"/>
    </row>
    <row r="1591" spans="1:18">
      <c r="A1591" s="2367"/>
      <c r="B1591" s="2367"/>
      <c r="C1591" s="2367"/>
      <c r="D1591" s="2367"/>
      <c r="E1591" s="2367"/>
      <c r="F1591" s="2367"/>
      <c r="G1591" s="2367"/>
      <c r="H1591" s="2367"/>
      <c r="I1591" s="2367"/>
      <c r="J1591" s="2367"/>
      <c r="K1591" s="2367"/>
      <c r="L1591" s="2367"/>
      <c r="M1591" s="2367"/>
      <c r="N1591" s="2367"/>
      <c r="O1591" s="2367"/>
      <c r="P1591" s="2367"/>
      <c r="Q1591" s="2367"/>
      <c r="R1591" s="2367"/>
    </row>
    <row r="1592" spans="1:18">
      <c r="A1592" s="2367"/>
      <c r="B1592" s="2367"/>
      <c r="C1592" s="2367"/>
      <c r="D1592" s="2367"/>
      <c r="E1592" s="2367"/>
      <c r="F1592" s="2367"/>
      <c r="G1592" s="2367"/>
      <c r="H1592" s="2367"/>
      <c r="I1592" s="2367"/>
      <c r="J1592" s="2367"/>
      <c r="K1592" s="2367"/>
      <c r="L1592" s="2367"/>
      <c r="M1592" s="2367"/>
      <c r="N1592" s="2367"/>
      <c r="O1592" s="2367"/>
      <c r="P1592" s="2367"/>
      <c r="Q1592" s="2367"/>
      <c r="R1592" s="2367"/>
    </row>
    <row r="1593" spans="1:18">
      <c r="A1593" s="2367"/>
      <c r="B1593" s="2367"/>
      <c r="C1593" s="2367"/>
      <c r="D1593" s="2367"/>
      <c r="E1593" s="2367"/>
      <c r="F1593" s="2367"/>
      <c r="G1593" s="2367"/>
      <c r="H1593" s="2367"/>
      <c r="I1593" s="2367"/>
      <c r="J1593" s="2367"/>
      <c r="K1593" s="2367"/>
      <c r="L1593" s="2367"/>
      <c r="M1593" s="2367"/>
      <c r="N1593" s="2367"/>
      <c r="O1593" s="2367"/>
      <c r="P1593" s="2367"/>
      <c r="Q1593" s="2367"/>
      <c r="R1593" s="2367"/>
    </row>
    <row r="1594" spans="1:18">
      <c r="A1594" s="2367"/>
      <c r="B1594" s="2367"/>
      <c r="C1594" s="2367"/>
      <c r="D1594" s="2367"/>
      <c r="E1594" s="2367"/>
      <c r="F1594" s="2367"/>
      <c r="G1594" s="2367"/>
      <c r="H1594" s="2367"/>
      <c r="I1594" s="2367"/>
      <c r="J1594" s="2367"/>
      <c r="K1594" s="2367"/>
      <c r="L1594" s="2367"/>
      <c r="M1594" s="2367"/>
      <c r="N1594" s="2367"/>
      <c r="O1594" s="2367"/>
      <c r="P1594" s="2367"/>
      <c r="Q1594" s="2367"/>
      <c r="R1594" s="2367"/>
    </row>
    <row r="1595" spans="1:18">
      <c r="A1595" s="2367"/>
      <c r="B1595" s="2367"/>
      <c r="C1595" s="2367"/>
      <c r="D1595" s="2367"/>
      <c r="E1595" s="2367"/>
      <c r="F1595" s="2367"/>
      <c r="G1595" s="2367"/>
      <c r="H1595" s="2367"/>
      <c r="I1595" s="2367"/>
      <c r="J1595" s="2367"/>
      <c r="K1595" s="2367"/>
      <c r="L1595" s="2367"/>
      <c r="M1595" s="2367"/>
      <c r="N1595" s="2367"/>
      <c r="O1595" s="2367"/>
      <c r="P1595" s="2367"/>
      <c r="Q1595" s="2367"/>
      <c r="R1595" s="2367"/>
    </row>
    <row r="1596" spans="1:18">
      <c r="A1596" s="2367"/>
      <c r="B1596" s="2367"/>
      <c r="C1596" s="2367"/>
      <c r="D1596" s="2367"/>
      <c r="E1596" s="2367"/>
      <c r="F1596" s="2367"/>
      <c r="G1596" s="2367"/>
      <c r="H1596" s="2367"/>
      <c r="I1596" s="2367"/>
      <c r="J1596" s="2367"/>
      <c r="K1596" s="2367"/>
      <c r="L1596" s="2367"/>
      <c r="M1596" s="2367"/>
      <c r="N1596" s="2367"/>
      <c r="O1596" s="2367"/>
      <c r="P1596" s="2367"/>
      <c r="Q1596" s="2367"/>
      <c r="R1596" s="2367"/>
    </row>
    <row r="1597" spans="1:18">
      <c r="A1597" s="2367"/>
      <c r="B1597" s="2367"/>
      <c r="C1597" s="2367"/>
      <c r="D1597" s="2367"/>
      <c r="E1597" s="2367"/>
      <c r="F1597" s="2367"/>
      <c r="G1597" s="2367"/>
      <c r="H1597" s="2367"/>
      <c r="I1597" s="2367"/>
      <c r="J1597" s="2367"/>
      <c r="K1597" s="2367"/>
      <c r="L1597" s="2367"/>
      <c r="M1597" s="2367"/>
      <c r="N1597" s="2367"/>
      <c r="O1597" s="2367"/>
      <c r="P1597" s="2367"/>
      <c r="Q1597" s="2367"/>
      <c r="R1597" s="2367"/>
    </row>
    <row r="1598" spans="1:18">
      <c r="A1598" s="2367"/>
      <c r="B1598" s="2367"/>
      <c r="C1598" s="2367"/>
      <c r="D1598" s="2367"/>
      <c r="E1598" s="2367"/>
      <c r="F1598" s="2367"/>
      <c r="G1598" s="2367"/>
      <c r="H1598" s="2367"/>
      <c r="I1598" s="2367"/>
      <c r="J1598" s="2367"/>
      <c r="K1598" s="2367"/>
      <c r="L1598" s="2367"/>
      <c r="M1598" s="2367"/>
      <c r="N1598" s="2367"/>
      <c r="O1598" s="2367"/>
      <c r="P1598" s="2367"/>
      <c r="Q1598" s="2367"/>
      <c r="R1598" s="2367"/>
    </row>
    <row r="1599" spans="1:18">
      <c r="A1599" s="2367"/>
      <c r="B1599" s="2367"/>
      <c r="C1599" s="2367"/>
      <c r="D1599" s="2367"/>
      <c r="E1599" s="2367"/>
      <c r="F1599" s="2367"/>
      <c r="G1599" s="2367"/>
      <c r="H1599" s="2367"/>
      <c r="I1599" s="2367"/>
      <c r="J1599" s="2367"/>
      <c r="K1599" s="2367"/>
      <c r="L1599" s="2367"/>
      <c r="M1599" s="2367"/>
      <c r="N1599" s="2367"/>
      <c r="O1599" s="2367"/>
      <c r="P1599" s="2367"/>
      <c r="Q1599" s="2367"/>
      <c r="R1599" s="2367"/>
    </row>
    <row r="1600" spans="1:18">
      <c r="A1600" s="2367"/>
      <c r="B1600" s="2367"/>
      <c r="C1600" s="2367"/>
      <c r="D1600" s="2367"/>
      <c r="E1600" s="2367"/>
      <c r="F1600" s="2367"/>
      <c r="G1600" s="2367"/>
      <c r="H1600" s="2367"/>
      <c r="I1600" s="2367"/>
      <c r="J1600" s="2367"/>
      <c r="K1600" s="2367"/>
      <c r="L1600" s="2367"/>
      <c r="M1600" s="2367"/>
      <c r="N1600" s="2367"/>
      <c r="O1600" s="2367"/>
      <c r="P1600" s="2367"/>
      <c r="Q1600" s="2367"/>
      <c r="R1600" s="2367"/>
    </row>
    <row r="1601" spans="1:18">
      <c r="A1601" s="2367"/>
      <c r="B1601" s="2367"/>
      <c r="C1601" s="2367"/>
      <c r="D1601" s="2367"/>
      <c r="E1601" s="2367"/>
      <c r="F1601" s="2367"/>
      <c r="G1601" s="2367"/>
      <c r="H1601" s="2367"/>
      <c r="I1601" s="2367"/>
      <c r="J1601" s="2367"/>
      <c r="K1601" s="2367"/>
      <c r="L1601" s="2367"/>
      <c r="M1601" s="2367"/>
      <c r="N1601" s="2367"/>
      <c r="O1601" s="2367"/>
      <c r="P1601" s="2367"/>
      <c r="Q1601" s="2367"/>
      <c r="R1601" s="2367"/>
    </row>
    <row r="1602" spans="1:18">
      <c r="A1602" s="2367"/>
      <c r="B1602" s="2367"/>
      <c r="C1602" s="2367"/>
      <c r="D1602" s="2367"/>
      <c r="E1602" s="2367"/>
      <c r="F1602" s="2367"/>
      <c r="G1602" s="2367"/>
      <c r="H1602" s="2367"/>
      <c r="I1602" s="2367"/>
      <c r="J1602" s="2367"/>
      <c r="K1602" s="2367"/>
      <c r="L1602" s="2367"/>
      <c r="M1602" s="2367"/>
      <c r="N1602" s="2367"/>
      <c r="O1602" s="2367"/>
      <c r="P1602" s="2367"/>
      <c r="Q1602" s="2367"/>
      <c r="R1602" s="2367"/>
    </row>
    <row r="1603" spans="1:18">
      <c r="A1603" s="2367"/>
      <c r="B1603" s="2367"/>
      <c r="C1603" s="2367"/>
      <c r="D1603" s="2367"/>
      <c r="E1603" s="2367"/>
      <c r="F1603" s="2367"/>
      <c r="G1603" s="2367"/>
      <c r="H1603" s="2367"/>
      <c r="I1603" s="2367"/>
      <c r="J1603" s="2367"/>
      <c r="K1603" s="2367"/>
      <c r="L1603" s="2367"/>
      <c r="M1603" s="2367"/>
      <c r="N1603" s="2367"/>
      <c r="O1603" s="2367"/>
      <c r="P1603" s="2367"/>
      <c r="Q1603" s="2367"/>
      <c r="R1603" s="2367"/>
    </row>
    <row r="1604" spans="1:18">
      <c r="A1604" s="2367"/>
      <c r="B1604" s="2367"/>
      <c r="C1604" s="2367"/>
      <c r="D1604" s="2367"/>
      <c r="E1604" s="2367"/>
      <c r="F1604" s="2367"/>
      <c r="G1604" s="2367"/>
      <c r="H1604" s="2367"/>
      <c r="I1604" s="2367"/>
      <c r="J1604" s="2367"/>
      <c r="K1604" s="2367"/>
      <c r="L1604" s="2367"/>
      <c r="M1604" s="2367"/>
      <c r="N1604" s="2367"/>
      <c r="O1604" s="2367"/>
      <c r="P1604" s="2367"/>
      <c r="Q1604" s="2367"/>
      <c r="R1604" s="2367"/>
    </row>
    <row r="1605" spans="1:18">
      <c r="A1605" s="2367"/>
      <c r="B1605" s="2367"/>
      <c r="C1605" s="2367"/>
      <c r="D1605" s="2367"/>
      <c r="E1605" s="2367"/>
      <c r="F1605" s="2367"/>
      <c r="G1605" s="2367"/>
      <c r="H1605" s="2367"/>
      <c r="I1605" s="2367"/>
      <c r="J1605" s="2367"/>
      <c r="K1605" s="2367"/>
      <c r="L1605" s="2367"/>
      <c r="M1605" s="2367"/>
      <c r="N1605" s="2367"/>
      <c r="O1605" s="2367"/>
      <c r="P1605" s="2367"/>
      <c r="Q1605" s="2367"/>
      <c r="R1605" s="2367"/>
    </row>
    <row r="1606" spans="1:18">
      <c r="A1606" s="2367"/>
      <c r="B1606" s="2367"/>
      <c r="C1606" s="2367"/>
      <c r="D1606" s="2367"/>
      <c r="E1606" s="2367"/>
      <c r="F1606" s="2367"/>
      <c r="G1606" s="2367"/>
      <c r="H1606" s="2367"/>
      <c r="I1606" s="2367"/>
      <c r="J1606" s="2367"/>
      <c r="K1606" s="2367"/>
      <c r="L1606" s="2367"/>
      <c r="M1606" s="2367"/>
      <c r="N1606" s="2367"/>
      <c r="O1606" s="2367"/>
      <c r="P1606" s="2367"/>
      <c r="Q1606" s="2367"/>
      <c r="R1606" s="2367"/>
    </row>
    <row r="1607" spans="1:18">
      <c r="A1607" s="2367"/>
      <c r="B1607" s="2367"/>
      <c r="C1607" s="2367"/>
      <c r="D1607" s="2367"/>
      <c r="E1607" s="2367"/>
      <c r="F1607" s="2367"/>
      <c r="G1607" s="2367"/>
      <c r="H1607" s="2367"/>
      <c r="I1607" s="2367"/>
      <c r="J1607" s="2367"/>
      <c r="K1607" s="2367"/>
      <c r="L1607" s="2367"/>
      <c r="M1607" s="2367"/>
      <c r="N1607" s="2367"/>
      <c r="O1607" s="2367"/>
      <c r="P1607" s="2367"/>
      <c r="Q1607" s="2367"/>
      <c r="R1607" s="2367"/>
    </row>
    <row r="1608" spans="1:18">
      <c r="A1608" s="2367"/>
      <c r="B1608" s="2367"/>
      <c r="C1608" s="2367"/>
      <c r="D1608" s="2367"/>
      <c r="E1608" s="2367"/>
      <c r="F1608" s="2367"/>
      <c r="G1608" s="2367"/>
      <c r="H1608" s="2367"/>
      <c r="I1608" s="2367"/>
      <c r="J1608" s="2367"/>
      <c r="K1608" s="2367"/>
      <c r="L1608" s="2367"/>
      <c r="M1608" s="2367"/>
      <c r="N1608" s="2367"/>
      <c r="O1608" s="2367"/>
      <c r="P1608" s="2367"/>
      <c r="Q1608" s="2367"/>
      <c r="R1608" s="2367"/>
    </row>
    <row r="1609" spans="1:18">
      <c r="A1609" s="2367"/>
      <c r="B1609" s="2367"/>
      <c r="C1609" s="2367"/>
      <c r="D1609" s="2367"/>
      <c r="E1609" s="2367"/>
      <c r="F1609" s="2367"/>
      <c r="G1609" s="2367"/>
      <c r="H1609" s="2367"/>
      <c r="I1609" s="2367"/>
      <c r="J1609" s="2367"/>
      <c r="K1609" s="2367"/>
      <c r="L1609" s="2367"/>
      <c r="M1609" s="2367"/>
      <c r="N1609" s="2367"/>
      <c r="O1609" s="2367"/>
      <c r="P1609" s="2367"/>
      <c r="Q1609" s="2367"/>
      <c r="R1609" s="2367"/>
    </row>
    <row r="1610" spans="1:18">
      <c r="A1610" s="2367"/>
      <c r="B1610" s="2367"/>
      <c r="C1610" s="2367"/>
      <c r="D1610" s="2367"/>
      <c r="E1610" s="2367"/>
      <c r="F1610" s="2367"/>
      <c r="G1610" s="2367"/>
      <c r="H1610" s="2367"/>
      <c r="I1610" s="2367"/>
      <c r="J1610" s="2367"/>
      <c r="K1610" s="2367"/>
      <c r="L1610" s="2367"/>
      <c r="M1610" s="2367"/>
      <c r="N1610" s="2367"/>
      <c r="O1610" s="2367"/>
      <c r="P1610" s="2367"/>
      <c r="Q1610" s="2367"/>
      <c r="R1610" s="2367"/>
    </row>
    <row r="1611" spans="1:18">
      <c r="A1611" s="2367"/>
      <c r="B1611" s="2367"/>
      <c r="C1611" s="2367"/>
      <c r="D1611" s="2367"/>
      <c r="E1611" s="2367"/>
      <c r="F1611" s="2367"/>
      <c r="G1611" s="2367"/>
      <c r="H1611" s="2367"/>
      <c r="I1611" s="2367"/>
      <c r="J1611" s="2367"/>
      <c r="K1611" s="2367"/>
      <c r="L1611" s="2367"/>
      <c r="M1611" s="2367"/>
      <c r="N1611" s="2367"/>
      <c r="O1611" s="2367"/>
      <c r="P1611" s="2367"/>
      <c r="Q1611" s="2367"/>
      <c r="R1611" s="2367"/>
    </row>
    <row r="1612" spans="1:18">
      <c r="A1612" s="2367"/>
      <c r="B1612" s="2367"/>
      <c r="C1612" s="2367"/>
      <c r="D1612" s="2367"/>
      <c r="E1612" s="2367"/>
      <c r="F1612" s="2367"/>
      <c r="G1612" s="2367"/>
      <c r="H1612" s="2367"/>
      <c r="I1612" s="2367"/>
      <c r="J1612" s="2367"/>
      <c r="K1612" s="2367"/>
      <c r="L1612" s="2367"/>
      <c r="M1612" s="2367"/>
      <c r="N1612" s="2367"/>
      <c r="O1612" s="2367"/>
      <c r="P1612" s="2367"/>
      <c r="Q1612" s="2367"/>
      <c r="R1612" s="2367"/>
    </row>
    <row r="1613" spans="1:18">
      <c r="A1613" s="2367"/>
      <c r="B1613" s="2367"/>
      <c r="C1613" s="2367"/>
      <c r="D1613" s="2367"/>
      <c r="E1613" s="2367"/>
      <c r="F1613" s="2367"/>
      <c r="G1613" s="2367"/>
      <c r="H1613" s="2367"/>
      <c r="I1613" s="2367"/>
      <c r="J1613" s="2367"/>
      <c r="K1613" s="2367"/>
      <c r="L1613" s="2367"/>
      <c r="M1613" s="2367"/>
      <c r="N1613" s="2367"/>
      <c r="O1613" s="2367"/>
      <c r="P1613" s="2367"/>
      <c r="Q1613" s="2367"/>
      <c r="R1613" s="2367"/>
    </row>
    <row r="1614" spans="1:18">
      <c r="A1614" s="2367"/>
      <c r="B1614" s="2367"/>
      <c r="C1614" s="2367"/>
      <c r="D1614" s="2367"/>
      <c r="E1614" s="2367"/>
      <c r="F1614" s="2367"/>
      <c r="G1614" s="2367"/>
      <c r="H1614" s="2367"/>
      <c r="I1614" s="2367"/>
      <c r="J1614" s="2367"/>
      <c r="K1614" s="2367"/>
      <c r="L1614" s="2367"/>
      <c r="M1614" s="2367"/>
      <c r="N1614" s="2367"/>
      <c r="O1614" s="2367"/>
      <c r="P1614" s="2367"/>
      <c r="Q1614" s="2367"/>
      <c r="R1614" s="2367"/>
    </row>
    <row r="1615" spans="1:18">
      <c r="A1615" s="2367"/>
      <c r="B1615" s="2367"/>
      <c r="C1615" s="2367"/>
      <c r="D1615" s="2367"/>
      <c r="E1615" s="2367"/>
      <c r="F1615" s="2367"/>
      <c r="G1615" s="2367"/>
      <c r="H1615" s="2367"/>
      <c r="I1615" s="2367"/>
      <c r="J1615" s="2367"/>
      <c r="K1615" s="2367"/>
      <c r="L1615" s="2367"/>
      <c r="M1615" s="2367"/>
      <c r="N1615" s="2367"/>
      <c r="O1615" s="2367"/>
      <c r="P1615" s="2367"/>
      <c r="Q1615" s="2367"/>
      <c r="R1615" s="2367"/>
    </row>
    <row r="1616" spans="1:18">
      <c r="A1616" s="2367"/>
      <c r="B1616" s="2367"/>
      <c r="C1616" s="2367"/>
      <c r="D1616" s="2367"/>
      <c r="E1616" s="2367"/>
      <c r="F1616" s="2367"/>
      <c r="G1616" s="2367"/>
      <c r="H1616" s="2367"/>
      <c r="I1616" s="2367"/>
      <c r="J1616" s="2367"/>
      <c r="K1616" s="2367"/>
      <c r="L1616" s="2367"/>
      <c r="M1616" s="2367"/>
      <c r="N1616" s="2367"/>
      <c r="O1616" s="2367"/>
      <c r="P1616" s="2367"/>
      <c r="Q1616" s="2367"/>
      <c r="R1616" s="2367"/>
    </row>
    <row r="1617" spans="1:18">
      <c r="A1617" s="2367"/>
      <c r="B1617" s="2367"/>
      <c r="C1617" s="2367"/>
      <c r="D1617" s="2367"/>
      <c r="E1617" s="2367"/>
      <c r="F1617" s="2367"/>
      <c r="G1617" s="2367"/>
      <c r="H1617" s="2367"/>
      <c r="I1617" s="2367"/>
      <c r="J1617" s="2367"/>
      <c r="K1617" s="2367"/>
      <c r="L1617" s="2367"/>
      <c r="M1617" s="2367"/>
      <c r="N1617" s="2367"/>
      <c r="O1617" s="2367"/>
      <c r="P1617" s="2367"/>
      <c r="Q1617" s="2367"/>
      <c r="R1617" s="2367"/>
    </row>
    <row r="1618" spans="1:18">
      <c r="A1618" s="2367"/>
      <c r="B1618" s="2367"/>
      <c r="C1618" s="2367"/>
      <c r="D1618" s="2367"/>
      <c r="E1618" s="2367"/>
      <c r="F1618" s="2367"/>
      <c r="G1618" s="2367"/>
      <c r="H1618" s="2367"/>
      <c r="I1618" s="2367"/>
      <c r="J1618" s="2367"/>
      <c r="K1618" s="2367"/>
      <c r="L1618" s="2367"/>
      <c r="M1618" s="2367"/>
      <c r="N1618" s="2367"/>
      <c r="O1618" s="2367"/>
      <c r="P1618" s="2367"/>
      <c r="Q1618" s="2367"/>
      <c r="R1618" s="2367"/>
    </row>
    <row r="1619" spans="1:18">
      <c r="A1619" s="2367"/>
      <c r="B1619" s="2367"/>
      <c r="C1619" s="2367"/>
      <c r="D1619" s="2367"/>
      <c r="E1619" s="2367"/>
      <c r="F1619" s="2367"/>
      <c r="G1619" s="2367"/>
      <c r="H1619" s="2367"/>
      <c r="I1619" s="2367"/>
      <c r="J1619" s="2367"/>
      <c r="K1619" s="2367"/>
      <c r="L1619" s="2367"/>
      <c r="M1619" s="2367"/>
      <c r="N1619" s="2367"/>
      <c r="O1619" s="2367"/>
      <c r="P1619" s="2367"/>
      <c r="Q1619" s="2367"/>
      <c r="R1619" s="2367"/>
    </row>
    <row r="1620" spans="1:18">
      <c r="A1620" s="2367"/>
      <c r="B1620" s="2367"/>
      <c r="C1620" s="2367"/>
      <c r="D1620" s="2367"/>
      <c r="E1620" s="2367"/>
      <c r="F1620" s="2367"/>
      <c r="G1620" s="2367"/>
      <c r="H1620" s="2367"/>
      <c r="I1620" s="2367"/>
      <c r="J1620" s="2367"/>
      <c r="K1620" s="2367"/>
      <c r="L1620" s="2367"/>
      <c r="M1620" s="2367"/>
      <c r="N1620" s="2367"/>
      <c r="O1620" s="2367"/>
      <c r="P1620" s="2367"/>
      <c r="Q1620" s="2367"/>
      <c r="R1620" s="2367"/>
    </row>
    <row r="1621" spans="1:18">
      <c r="A1621" s="2367"/>
      <c r="B1621" s="2367"/>
      <c r="C1621" s="2367"/>
      <c r="D1621" s="2367"/>
      <c r="E1621" s="2367"/>
      <c r="F1621" s="2367"/>
      <c r="G1621" s="2367"/>
      <c r="H1621" s="2367"/>
      <c r="I1621" s="2367"/>
      <c r="J1621" s="2367"/>
      <c r="K1621" s="2367"/>
      <c r="L1621" s="2367"/>
      <c r="M1621" s="2367"/>
      <c r="N1621" s="2367"/>
      <c r="O1621" s="2367"/>
      <c r="P1621" s="2367"/>
      <c r="Q1621" s="2367"/>
      <c r="R1621" s="2367"/>
    </row>
    <row r="1622" spans="1:18">
      <c r="A1622" s="2367"/>
      <c r="B1622" s="2367"/>
      <c r="C1622" s="2367"/>
      <c r="D1622" s="2367"/>
      <c r="E1622" s="2367"/>
      <c r="F1622" s="2367"/>
      <c r="G1622" s="2367"/>
      <c r="H1622" s="2367"/>
      <c r="I1622" s="2367"/>
      <c r="J1622" s="2367"/>
      <c r="K1622" s="2367"/>
      <c r="L1622" s="2367"/>
      <c r="M1622" s="2367"/>
      <c r="N1622" s="2367"/>
      <c r="O1622" s="2367"/>
      <c r="P1622" s="2367"/>
      <c r="Q1622" s="2367"/>
      <c r="R1622" s="2367"/>
    </row>
    <row r="1623" spans="1:18">
      <c r="A1623" s="2367"/>
      <c r="B1623" s="2367"/>
      <c r="C1623" s="2367"/>
      <c r="D1623" s="2367"/>
      <c r="E1623" s="2367"/>
      <c r="F1623" s="2367"/>
      <c r="G1623" s="2367"/>
      <c r="H1623" s="2367"/>
      <c r="I1623" s="2367"/>
      <c r="J1623" s="2367"/>
      <c r="K1623" s="2367"/>
      <c r="L1623" s="2367"/>
      <c r="M1623" s="2367"/>
      <c r="N1623" s="2367"/>
      <c r="O1623" s="2367"/>
      <c r="P1623" s="2367"/>
      <c r="Q1623" s="2367"/>
      <c r="R1623" s="2367"/>
    </row>
    <row r="1624" spans="1:18">
      <c r="A1624" s="2367"/>
      <c r="B1624" s="2367"/>
      <c r="C1624" s="2367"/>
      <c r="D1624" s="2367"/>
      <c r="E1624" s="2367"/>
      <c r="F1624" s="2367"/>
      <c r="G1624" s="2367"/>
      <c r="H1624" s="2367"/>
      <c r="I1624" s="2367"/>
      <c r="J1624" s="2367"/>
      <c r="K1624" s="2367"/>
      <c r="L1624" s="2367"/>
      <c r="M1624" s="2367"/>
      <c r="N1624" s="2367"/>
      <c r="O1624" s="2367"/>
      <c r="P1624" s="2367"/>
      <c r="Q1624" s="2367"/>
      <c r="R1624" s="2367"/>
    </row>
    <row r="1625" spans="1:18">
      <c r="A1625" s="2367"/>
      <c r="B1625" s="2367"/>
      <c r="C1625" s="2367"/>
      <c r="D1625" s="2367"/>
      <c r="E1625" s="2367"/>
      <c r="F1625" s="2367"/>
      <c r="G1625" s="2367"/>
      <c r="H1625" s="2367"/>
      <c r="I1625" s="2367"/>
      <c r="J1625" s="2367"/>
      <c r="K1625" s="2367"/>
      <c r="L1625" s="2367"/>
      <c r="M1625" s="2367"/>
      <c r="N1625" s="2367"/>
      <c r="O1625" s="2367"/>
      <c r="P1625" s="2367"/>
      <c r="Q1625" s="2367"/>
      <c r="R1625" s="2367"/>
    </row>
    <row r="1626" spans="1:18">
      <c r="A1626" s="2367"/>
      <c r="B1626" s="2367"/>
      <c r="C1626" s="2367"/>
      <c r="D1626" s="2367"/>
      <c r="E1626" s="2367"/>
      <c r="F1626" s="2367"/>
      <c r="G1626" s="2367"/>
      <c r="H1626" s="2367"/>
      <c r="I1626" s="2367"/>
      <c r="J1626" s="2367"/>
      <c r="K1626" s="2367"/>
      <c r="L1626" s="2367"/>
      <c r="M1626" s="2367"/>
      <c r="N1626" s="2367"/>
      <c r="O1626" s="2367"/>
      <c r="P1626" s="2367"/>
      <c r="Q1626" s="2367"/>
      <c r="R1626" s="2367"/>
    </row>
    <row r="1627" spans="1:18">
      <c r="A1627" s="2367"/>
      <c r="B1627" s="2367"/>
      <c r="C1627" s="2367"/>
      <c r="D1627" s="2367"/>
      <c r="E1627" s="2367"/>
      <c r="F1627" s="2367"/>
      <c r="G1627" s="2367"/>
      <c r="H1627" s="2367"/>
      <c r="I1627" s="2367"/>
      <c r="J1627" s="2367"/>
      <c r="K1627" s="2367"/>
      <c r="L1627" s="2367"/>
      <c r="M1627" s="2367"/>
      <c r="N1627" s="2367"/>
      <c r="O1627" s="2367"/>
      <c r="P1627" s="2367"/>
      <c r="Q1627" s="2367"/>
      <c r="R1627" s="2367"/>
    </row>
    <row r="1628" spans="1:18">
      <c r="A1628" s="2367"/>
      <c r="B1628" s="2367"/>
      <c r="C1628" s="2367"/>
      <c r="D1628" s="2367"/>
      <c r="E1628" s="2367"/>
      <c r="F1628" s="2367"/>
      <c r="G1628" s="2367"/>
      <c r="H1628" s="2367"/>
      <c r="I1628" s="2367"/>
      <c r="J1628" s="2367"/>
      <c r="K1628" s="2367"/>
      <c r="L1628" s="2367"/>
      <c r="M1628" s="2367"/>
      <c r="N1628" s="2367"/>
      <c r="O1628" s="2367"/>
      <c r="P1628" s="2367"/>
      <c r="Q1628" s="2367"/>
      <c r="R1628" s="2367"/>
    </row>
    <row r="1629" spans="1:18">
      <c r="A1629" s="2367"/>
      <c r="B1629" s="2367"/>
      <c r="C1629" s="2367"/>
      <c r="D1629" s="2367"/>
      <c r="E1629" s="2367"/>
      <c r="F1629" s="2367"/>
      <c r="G1629" s="2367"/>
      <c r="H1629" s="2367"/>
      <c r="I1629" s="2367"/>
      <c r="J1629" s="2367"/>
      <c r="K1629" s="2367"/>
      <c r="L1629" s="2367"/>
      <c r="M1629" s="2367"/>
      <c r="N1629" s="2367"/>
      <c r="O1629" s="2367"/>
      <c r="P1629" s="2367"/>
      <c r="Q1629" s="2367"/>
      <c r="R1629" s="2367"/>
    </row>
    <row r="1630" spans="1:18">
      <c r="A1630" s="2367"/>
      <c r="B1630" s="2367"/>
      <c r="C1630" s="2367"/>
      <c r="D1630" s="2367"/>
      <c r="E1630" s="2367"/>
      <c r="F1630" s="2367"/>
      <c r="G1630" s="2367"/>
      <c r="H1630" s="2367"/>
      <c r="I1630" s="2367"/>
      <c r="J1630" s="2367"/>
      <c r="K1630" s="2367"/>
      <c r="L1630" s="2367"/>
      <c r="M1630" s="2367"/>
      <c r="N1630" s="2367"/>
      <c r="O1630" s="2367"/>
      <c r="P1630" s="2367"/>
      <c r="Q1630" s="2367"/>
      <c r="R1630" s="2367"/>
    </row>
    <row r="1631" spans="1:18">
      <c r="A1631" s="2367"/>
      <c r="B1631" s="2367"/>
      <c r="C1631" s="2367"/>
      <c r="D1631" s="2367"/>
      <c r="E1631" s="2367"/>
      <c r="F1631" s="2367"/>
      <c r="G1631" s="2367"/>
      <c r="H1631" s="2367"/>
      <c r="I1631" s="2367"/>
      <c r="J1631" s="2367"/>
      <c r="K1631" s="2367"/>
      <c r="L1631" s="2367"/>
      <c r="M1631" s="2367"/>
      <c r="N1631" s="2367"/>
      <c r="O1631" s="2367"/>
      <c r="P1631" s="2367"/>
      <c r="Q1631" s="2367"/>
      <c r="R1631" s="2367"/>
    </row>
    <row r="1632" spans="1:18">
      <c r="A1632" s="2367"/>
      <c r="B1632" s="2367"/>
      <c r="C1632" s="2367"/>
      <c r="D1632" s="2367"/>
      <c r="E1632" s="2367"/>
      <c r="F1632" s="2367"/>
      <c r="G1632" s="2367"/>
      <c r="H1632" s="2367"/>
      <c r="I1632" s="2367"/>
      <c r="J1632" s="2367"/>
      <c r="K1632" s="2367"/>
      <c r="L1632" s="2367"/>
      <c r="M1632" s="2367"/>
      <c r="N1632" s="2367"/>
      <c r="O1632" s="2367"/>
      <c r="P1632" s="2367"/>
      <c r="Q1632" s="2367"/>
      <c r="R1632" s="2367"/>
    </row>
    <row r="1633" spans="1:18">
      <c r="A1633" s="2367"/>
      <c r="B1633" s="2367"/>
      <c r="C1633" s="2367"/>
      <c r="D1633" s="2367"/>
      <c r="E1633" s="2367"/>
      <c r="F1633" s="2367"/>
      <c r="G1633" s="2367"/>
      <c r="H1633" s="2367"/>
      <c r="I1633" s="2367"/>
      <c r="J1633" s="2367"/>
      <c r="K1633" s="2367"/>
      <c r="L1633" s="2367"/>
      <c r="M1633" s="2367"/>
      <c r="N1633" s="2367"/>
      <c r="O1633" s="2367"/>
      <c r="P1633" s="2367"/>
      <c r="Q1633" s="2367"/>
      <c r="R1633" s="2367"/>
    </row>
    <row r="1634" spans="1:18">
      <c r="A1634" s="2367"/>
      <c r="B1634" s="2367"/>
      <c r="C1634" s="2367"/>
      <c r="D1634" s="2367"/>
      <c r="E1634" s="2367"/>
      <c r="F1634" s="2367"/>
      <c r="G1634" s="2367"/>
      <c r="H1634" s="2367"/>
      <c r="I1634" s="2367"/>
      <c r="J1634" s="2367"/>
      <c r="K1634" s="2367"/>
      <c r="L1634" s="2367"/>
      <c r="M1634" s="2367"/>
      <c r="N1634" s="2367"/>
      <c r="O1634" s="2367"/>
      <c r="P1634" s="2367"/>
      <c r="Q1634" s="2367"/>
      <c r="R1634" s="2367"/>
    </row>
    <row r="1635" spans="1:18">
      <c r="A1635" s="2367"/>
      <c r="B1635" s="2367"/>
      <c r="C1635" s="2367"/>
      <c r="D1635" s="2367"/>
      <c r="E1635" s="2367"/>
      <c r="F1635" s="2367"/>
      <c r="G1635" s="2367"/>
      <c r="H1635" s="2367"/>
      <c r="I1635" s="2367"/>
      <c r="J1635" s="2367"/>
      <c r="K1635" s="2367"/>
      <c r="L1635" s="2367"/>
      <c r="M1635" s="2367"/>
      <c r="N1635" s="2367"/>
      <c r="O1635" s="2367"/>
      <c r="P1635" s="2367"/>
      <c r="Q1635" s="2367"/>
      <c r="R1635" s="2367"/>
    </row>
    <row r="1636" spans="1:18">
      <c r="A1636" s="2367"/>
      <c r="B1636" s="2367"/>
      <c r="C1636" s="2367"/>
      <c r="D1636" s="2367"/>
      <c r="E1636" s="2367"/>
      <c r="F1636" s="2367"/>
      <c r="G1636" s="2367"/>
      <c r="H1636" s="2367"/>
      <c r="I1636" s="2367"/>
      <c r="J1636" s="2367"/>
      <c r="K1636" s="2367"/>
      <c r="L1636" s="2367"/>
      <c r="M1636" s="2367"/>
      <c r="N1636" s="2367"/>
      <c r="O1636" s="2367"/>
      <c r="P1636" s="2367"/>
      <c r="Q1636" s="2367"/>
      <c r="R1636" s="2367"/>
    </row>
    <row r="1637" spans="1:18">
      <c r="A1637" s="2367"/>
      <c r="B1637" s="2367"/>
      <c r="C1637" s="2367"/>
      <c r="D1637" s="2367"/>
      <c r="E1637" s="2367"/>
      <c r="F1637" s="2367"/>
      <c r="G1637" s="2367"/>
      <c r="H1637" s="2367"/>
      <c r="I1637" s="2367"/>
      <c r="J1637" s="2367"/>
      <c r="K1637" s="2367"/>
      <c r="L1637" s="2367"/>
      <c r="M1637" s="2367"/>
      <c r="N1637" s="2367"/>
      <c r="O1637" s="2367"/>
      <c r="P1637" s="2367"/>
      <c r="Q1637" s="2367"/>
      <c r="R1637" s="2367"/>
    </row>
    <row r="1638" spans="1:18">
      <c r="A1638" s="2367"/>
      <c r="B1638" s="2367"/>
      <c r="C1638" s="2367"/>
      <c r="D1638" s="2367"/>
      <c r="E1638" s="2367"/>
      <c r="F1638" s="2367"/>
      <c r="G1638" s="2367"/>
      <c r="H1638" s="2367"/>
      <c r="I1638" s="2367"/>
      <c r="J1638" s="2367"/>
      <c r="K1638" s="2367"/>
      <c r="L1638" s="2367"/>
      <c r="M1638" s="2367"/>
      <c r="N1638" s="2367"/>
      <c r="O1638" s="2367"/>
      <c r="P1638" s="2367"/>
      <c r="Q1638" s="2367"/>
      <c r="R1638" s="2367"/>
    </row>
    <row r="1639" spans="1:18">
      <c r="A1639" s="2367"/>
      <c r="B1639" s="2367"/>
      <c r="C1639" s="2367"/>
      <c r="D1639" s="2367"/>
      <c r="E1639" s="2367"/>
      <c r="F1639" s="2367"/>
      <c r="G1639" s="2367"/>
      <c r="H1639" s="2367"/>
      <c r="I1639" s="2367"/>
      <c r="J1639" s="2367"/>
      <c r="K1639" s="2367"/>
      <c r="L1639" s="2367"/>
      <c r="M1639" s="2367"/>
      <c r="N1639" s="2367"/>
      <c r="O1639" s="2367"/>
      <c r="P1639" s="2367"/>
      <c r="Q1639" s="2367"/>
      <c r="R1639" s="2367"/>
    </row>
    <row r="1640" spans="1:18">
      <c r="A1640" s="2367"/>
      <c r="B1640" s="2367"/>
      <c r="C1640" s="2367"/>
      <c r="D1640" s="2367"/>
      <c r="E1640" s="2367"/>
      <c r="F1640" s="2367"/>
      <c r="G1640" s="2367"/>
      <c r="H1640" s="2367"/>
      <c r="I1640" s="2367"/>
      <c r="J1640" s="2367"/>
      <c r="K1640" s="2367"/>
      <c r="L1640" s="2367"/>
      <c r="M1640" s="2367"/>
      <c r="N1640" s="2367"/>
      <c r="O1640" s="2367"/>
      <c r="P1640" s="2367"/>
      <c r="Q1640" s="2367"/>
      <c r="R1640" s="2367"/>
    </row>
    <row r="1641" spans="1:18">
      <c r="A1641" s="2367"/>
      <c r="B1641" s="2367"/>
      <c r="C1641" s="2367"/>
      <c r="D1641" s="2367"/>
      <c r="E1641" s="2367"/>
      <c r="F1641" s="2367"/>
      <c r="G1641" s="2367"/>
      <c r="H1641" s="2367"/>
      <c r="I1641" s="2367"/>
      <c r="J1641" s="2367"/>
      <c r="K1641" s="2367"/>
      <c r="L1641" s="2367"/>
      <c r="M1641" s="2367"/>
      <c r="N1641" s="2367"/>
      <c r="O1641" s="2367"/>
      <c r="P1641" s="2367"/>
      <c r="Q1641" s="2367"/>
      <c r="R1641" s="2367"/>
    </row>
    <row r="1642" spans="1:18">
      <c r="A1642" s="2367"/>
      <c r="B1642" s="2367"/>
      <c r="C1642" s="2367"/>
      <c r="D1642" s="2367"/>
      <c r="E1642" s="2367"/>
      <c r="F1642" s="2367"/>
      <c r="G1642" s="2367"/>
      <c r="H1642" s="2367"/>
      <c r="I1642" s="2367"/>
      <c r="J1642" s="2367"/>
      <c r="K1642" s="2367"/>
      <c r="L1642" s="2367"/>
      <c r="M1642" s="2367"/>
      <c r="N1642" s="2367"/>
      <c r="O1642" s="2367"/>
      <c r="P1642" s="2367"/>
      <c r="Q1642" s="2367"/>
      <c r="R1642" s="2367"/>
    </row>
    <row r="1643" spans="1:18">
      <c r="A1643" s="2367"/>
      <c r="B1643" s="2367"/>
      <c r="C1643" s="2367"/>
      <c r="D1643" s="2367"/>
      <c r="E1643" s="2367"/>
      <c r="F1643" s="2367"/>
      <c r="G1643" s="2367"/>
      <c r="H1643" s="2367"/>
      <c r="I1643" s="2367"/>
      <c r="J1643" s="2367"/>
      <c r="K1643" s="2367"/>
      <c r="L1643" s="2367"/>
      <c r="M1643" s="2367"/>
      <c r="N1643" s="2367"/>
      <c r="O1643" s="2367"/>
      <c r="P1643" s="2367"/>
      <c r="Q1643" s="2367"/>
      <c r="R1643" s="2367"/>
    </row>
    <row r="1644" spans="1:18">
      <c r="A1644" s="2367"/>
      <c r="B1644" s="2367"/>
      <c r="C1644" s="2367"/>
      <c r="D1644" s="2367"/>
      <c r="E1644" s="2367"/>
      <c r="F1644" s="2367"/>
      <c r="G1644" s="2367"/>
      <c r="H1644" s="2367"/>
      <c r="I1644" s="2367"/>
      <c r="J1644" s="2367"/>
      <c r="K1644" s="2367"/>
      <c r="L1644" s="2367"/>
      <c r="M1644" s="2367"/>
      <c r="N1644" s="2367"/>
      <c r="O1644" s="2367"/>
      <c r="P1644" s="2367"/>
      <c r="Q1644" s="2367"/>
      <c r="R1644" s="2367"/>
    </row>
    <row r="1645" spans="1:18">
      <c r="A1645" s="2367"/>
      <c r="B1645" s="2367"/>
      <c r="C1645" s="2367"/>
      <c r="D1645" s="2367"/>
      <c r="E1645" s="2367"/>
      <c r="F1645" s="2367"/>
      <c r="G1645" s="2367"/>
      <c r="H1645" s="2367"/>
      <c r="I1645" s="2367"/>
      <c r="J1645" s="2367"/>
      <c r="K1645" s="2367"/>
      <c r="L1645" s="2367"/>
      <c r="M1645" s="2367"/>
      <c r="N1645" s="2367"/>
      <c r="O1645" s="2367"/>
      <c r="P1645" s="2367"/>
      <c r="Q1645" s="2367"/>
      <c r="R1645" s="2367"/>
    </row>
    <row r="1646" spans="1:18">
      <c r="A1646" s="2367"/>
      <c r="B1646" s="2367"/>
      <c r="C1646" s="2367"/>
      <c r="D1646" s="2367"/>
      <c r="E1646" s="2367"/>
      <c r="F1646" s="2367"/>
      <c r="G1646" s="2367"/>
      <c r="H1646" s="2367"/>
      <c r="I1646" s="2367"/>
      <c r="J1646" s="2367"/>
      <c r="K1646" s="2367"/>
      <c r="L1646" s="2367"/>
      <c r="M1646" s="2367"/>
      <c r="N1646" s="2367"/>
      <c r="O1646" s="2367"/>
      <c r="P1646" s="2367"/>
      <c r="Q1646" s="2367"/>
      <c r="R1646" s="2367"/>
    </row>
    <row r="1647" spans="1:18">
      <c r="A1647" s="2367"/>
      <c r="B1647" s="2367"/>
      <c r="C1647" s="2367"/>
      <c r="D1647" s="2367"/>
      <c r="E1647" s="2367"/>
      <c r="F1647" s="2367"/>
      <c r="G1647" s="2367"/>
      <c r="H1647" s="2367"/>
      <c r="I1647" s="2367"/>
      <c r="J1647" s="2367"/>
      <c r="K1647" s="2367"/>
      <c r="L1647" s="2367"/>
      <c r="M1647" s="2367"/>
      <c r="N1647" s="2367"/>
      <c r="O1647" s="2367"/>
      <c r="P1647" s="2367"/>
      <c r="Q1647" s="2367"/>
      <c r="R1647" s="2367"/>
    </row>
    <row r="1648" spans="1:18">
      <c r="A1648" s="2367"/>
      <c r="B1648" s="2367"/>
      <c r="C1648" s="2367"/>
      <c r="D1648" s="2367"/>
      <c r="E1648" s="2367"/>
      <c r="F1648" s="2367"/>
      <c r="G1648" s="2367"/>
      <c r="H1648" s="2367"/>
      <c r="I1648" s="2367"/>
      <c r="J1648" s="2367"/>
      <c r="K1648" s="2367"/>
      <c r="L1648" s="2367"/>
      <c r="M1648" s="2367"/>
      <c r="N1648" s="2367"/>
      <c r="O1648" s="2367"/>
      <c r="P1648" s="2367"/>
      <c r="Q1648" s="2367"/>
      <c r="R1648" s="2367"/>
    </row>
    <row r="1649" spans="1:18">
      <c r="A1649" s="2367"/>
      <c r="B1649" s="2367"/>
      <c r="C1649" s="2367"/>
      <c r="D1649" s="2367"/>
      <c r="E1649" s="2367"/>
      <c r="F1649" s="2367"/>
      <c r="G1649" s="2367"/>
      <c r="H1649" s="2367"/>
      <c r="I1649" s="2367"/>
      <c r="J1649" s="2367"/>
      <c r="K1649" s="2367"/>
      <c r="L1649" s="2367"/>
      <c r="M1649" s="2367"/>
      <c r="N1649" s="2367"/>
      <c r="O1649" s="2367"/>
      <c r="P1649" s="2367"/>
      <c r="Q1649" s="2367"/>
      <c r="R1649" s="2367"/>
    </row>
    <row r="1650" spans="1:18">
      <c r="A1650" s="2367"/>
      <c r="B1650" s="2367"/>
      <c r="C1650" s="2367"/>
      <c r="D1650" s="2367"/>
      <c r="E1650" s="2367"/>
      <c r="F1650" s="2367"/>
      <c r="G1650" s="2367"/>
      <c r="H1650" s="2367"/>
      <c r="I1650" s="2367"/>
      <c r="J1650" s="2367"/>
      <c r="K1650" s="2367"/>
      <c r="L1650" s="2367"/>
      <c r="M1650" s="2367"/>
      <c r="N1650" s="2367"/>
      <c r="O1650" s="2367"/>
      <c r="P1650" s="2367"/>
      <c r="Q1650" s="2367"/>
      <c r="R1650" s="2367"/>
    </row>
    <row r="1651" spans="1:18">
      <c r="A1651" s="2367"/>
      <c r="B1651" s="2367"/>
      <c r="C1651" s="2367"/>
      <c r="D1651" s="2367"/>
      <c r="E1651" s="2367"/>
      <c r="F1651" s="2367"/>
      <c r="G1651" s="2367"/>
      <c r="H1651" s="2367"/>
      <c r="I1651" s="2367"/>
      <c r="J1651" s="2367"/>
      <c r="K1651" s="2367"/>
      <c r="L1651" s="2367"/>
      <c r="M1651" s="2367"/>
      <c r="N1651" s="2367"/>
      <c r="O1651" s="2367"/>
      <c r="P1651" s="2367"/>
      <c r="Q1651" s="2367"/>
      <c r="R1651" s="2367"/>
    </row>
    <row r="1652" spans="1:18">
      <c r="A1652" s="2367"/>
      <c r="B1652" s="2367"/>
      <c r="C1652" s="2367"/>
      <c r="D1652" s="2367"/>
      <c r="E1652" s="2367"/>
      <c r="F1652" s="2367"/>
      <c r="G1652" s="2367"/>
      <c r="H1652" s="2367"/>
      <c r="I1652" s="2367"/>
      <c r="J1652" s="2367"/>
      <c r="K1652" s="2367"/>
      <c r="L1652" s="2367"/>
      <c r="M1652" s="2367"/>
      <c r="N1652" s="2367"/>
      <c r="O1652" s="2367"/>
      <c r="P1652" s="2367"/>
      <c r="Q1652" s="2367"/>
      <c r="R1652" s="2367"/>
    </row>
    <row r="1653" spans="1:18">
      <c r="A1653" s="2367"/>
      <c r="B1653" s="2367"/>
      <c r="C1653" s="2367"/>
      <c r="D1653" s="2367"/>
      <c r="E1653" s="2367"/>
      <c r="F1653" s="2367"/>
      <c r="G1653" s="2367"/>
      <c r="H1653" s="2367"/>
      <c r="I1653" s="2367"/>
      <c r="J1653" s="2367"/>
      <c r="K1653" s="2367"/>
      <c r="L1653" s="2367"/>
      <c r="M1653" s="2367"/>
      <c r="N1653" s="2367"/>
      <c r="O1653" s="2367"/>
      <c r="P1653" s="2367"/>
      <c r="Q1653" s="2367"/>
      <c r="R1653" s="2367"/>
    </row>
    <row r="1654" spans="1:18">
      <c r="A1654" s="2367"/>
      <c r="B1654" s="2367"/>
      <c r="C1654" s="2367"/>
      <c r="D1654" s="2367"/>
      <c r="E1654" s="2367"/>
      <c r="F1654" s="2367"/>
      <c r="G1654" s="2367"/>
      <c r="H1654" s="2367"/>
      <c r="I1654" s="2367"/>
      <c r="J1654" s="2367"/>
      <c r="K1654" s="2367"/>
      <c r="L1654" s="2367"/>
      <c r="M1654" s="2367"/>
      <c r="N1654" s="2367"/>
      <c r="O1654" s="2367"/>
      <c r="P1654" s="2367"/>
      <c r="Q1654" s="2367"/>
      <c r="R1654" s="2367"/>
    </row>
    <row r="1655" spans="1:18">
      <c r="A1655" s="2367"/>
      <c r="B1655" s="2367"/>
      <c r="C1655" s="2367"/>
      <c r="D1655" s="2367"/>
      <c r="E1655" s="2367"/>
      <c r="F1655" s="2367"/>
      <c r="G1655" s="2367"/>
      <c r="H1655" s="2367"/>
      <c r="I1655" s="2367"/>
      <c r="J1655" s="2367"/>
      <c r="K1655" s="2367"/>
      <c r="L1655" s="2367"/>
      <c r="M1655" s="2367"/>
      <c r="N1655" s="2367"/>
      <c r="O1655" s="2367"/>
      <c r="P1655" s="2367"/>
      <c r="Q1655" s="2367"/>
      <c r="R1655" s="2367"/>
    </row>
    <row r="1656" spans="1:18">
      <c r="A1656" s="2367"/>
      <c r="B1656" s="2367"/>
      <c r="C1656" s="2367"/>
      <c r="D1656" s="2367"/>
      <c r="E1656" s="2367"/>
      <c r="F1656" s="2367"/>
      <c r="G1656" s="2367"/>
      <c r="H1656" s="2367"/>
      <c r="I1656" s="2367"/>
      <c r="J1656" s="2367"/>
      <c r="K1656" s="2367"/>
      <c r="L1656" s="2367"/>
      <c r="M1656" s="2367"/>
      <c r="N1656" s="2367"/>
      <c r="O1656" s="2367"/>
      <c r="P1656" s="2367"/>
      <c r="Q1656" s="2367"/>
      <c r="R1656" s="2367"/>
    </row>
    <row r="1657" spans="1:18">
      <c r="A1657" s="2367"/>
      <c r="B1657" s="2367"/>
      <c r="C1657" s="2367"/>
      <c r="D1657" s="2367"/>
      <c r="E1657" s="2367"/>
      <c r="F1657" s="2367"/>
      <c r="G1657" s="2367"/>
      <c r="H1657" s="2367"/>
      <c r="I1657" s="2367"/>
      <c r="J1657" s="2367"/>
      <c r="K1657" s="2367"/>
      <c r="L1657" s="2367"/>
      <c r="M1657" s="2367"/>
      <c r="N1657" s="2367"/>
      <c r="O1657" s="2367"/>
      <c r="P1657" s="2367"/>
      <c r="Q1657" s="2367"/>
      <c r="R1657" s="2367"/>
    </row>
    <row r="1658" spans="1:18">
      <c r="A1658" s="2367"/>
      <c r="B1658" s="2367"/>
      <c r="C1658" s="2367"/>
      <c r="D1658" s="2367"/>
      <c r="E1658" s="2367"/>
      <c r="F1658" s="2367"/>
      <c r="G1658" s="2367"/>
      <c r="H1658" s="2367"/>
      <c r="I1658" s="2367"/>
      <c r="J1658" s="2367"/>
      <c r="K1658" s="2367"/>
      <c r="L1658" s="2367"/>
      <c r="M1658" s="2367"/>
      <c r="N1658" s="2367"/>
      <c r="O1658" s="2367"/>
      <c r="P1658" s="2367"/>
      <c r="Q1658" s="2367"/>
      <c r="R1658" s="2367"/>
    </row>
    <row r="1659" spans="1:18">
      <c r="A1659" s="2367"/>
      <c r="B1659" s="2367"/>
      <c r="C1659" s="2367"/>
      <c r="D1659" s="2367"/>
      <c r="E1659" s="2367"/>
      <c r="F1659" s="2367"/>
      <c r="G1659" s="2367"/>
      <c r="H1659" s="2367"/>
      <c r="I1659" s="2367"/>
      <c r="J1659" s="2367"/>
      <c r="K1659" s="2367"/>
      <c r="L1659" s="2367"/>
      <c r="M1659" s="2367"/>
      <c r="N1659" s="2367"/>
      <c r="O1659" s="2367"/>
      <c r="P1659" s="2367"/>
      <c r="Q1659" s="2367"/>
      <c r="R1659" s="2367"/>
    </row>
    <row r="1660" spans="1:18">
      <c r="A1660" s="2367"/>
      <c r="B1660" s="2367"/>
      <c r="C1660" s="2367"/>
      <c r="D1660" s="2367"/>
      <c r="E1660" s="2367"/>
      <c r="F1660" s="2367"/>
      <c r="G1660" s="2367"/>
      <c r="H1660" s="2367"/>
      <c r="I1660" s="2367"/>
      <c r="J1660" s="2367"/>
      <c r="K1660" s="2367"/>
      <c r="L1660" s="2367"/>
      <c r="M1660" s="2367"/>
      <c r="N1660" s="2367"/>
      <c r="O1660" s="2367"/>
      <c r="P1660" s="2367"/>
      <c r="Q1660" s="2367"/>
      <c r="R1660" s="2367"/>
    </row>
    <row r="1661" spans="1:18">
      <c r="A1661" s="2367"/>
      <c r="B1661" s="2367"/>
      <c r="C1661" s="2367"/>
      <c r="D1661" s="2367"/>
      <c r="E1661" s="2367"/>
      <c r="F1661" s="2367"/>
      <c r="G1661" s="2367"/>
      <c r="H1661" s="2367"/>
      <c r="I1661" s="2367"/>
      <c r="J1661" s="2367"/>
      <c r="K1661" s="2367"/>
      <c r="L1661" s="2367"/>
      <c r="M1661" s="2367"/>
      <c r="N1661" s="2367"/>
      <c r="O1661" s="2367"/>
      <c r="P1661" s="2367"/>
      <c r="Q1661" s="2367"/>
      <c r="R1661" s="2367"/>
    </row>
    <row r="1662" spans="1:18">
      <c r="A1662" s="2367"/>
      <c r="B1662" s="2367"/>
      <c r="C1662" s="2367"/>
      <c r="D1662" s="2367"/>
      <c r="E1662" s="2367"/>
      <c r="F1662" s="2367"/>
      <c r="G1662" s="2367"/>
      <c r="H1662" s="2367"/>
      <c r="I1662" s="2367"/>
      <c r="J1662" s="2367"/>
      <c r="K1662" s="2367"/>
      <c r="L1662" s="2367"/>
      <c r="M1662" s="2367"/>
      <c r="N1662" s="2367"/>
      <c r="O1662" s="2367"/>
      <c r="P1662" s="2367"/>
      <c r="Q1662" s="2367"/>
      <c r="R1662" s="2367"/>
    </row>
    <row r="1663" spans="1:18">
      <c r="A1663" s="2367"/>
      <c r="B1663" s="2367"/>
      <c r="C1663" s="2367"/>
      <c r="D1663" s="2367"/>
      <c r="E1663" s="2367"/>
      <c r="F1663" s="2367"/>
      <c r="G1663" s="2367"/>
      <c r="H1663" s="2367"/>
      <c r="I1663" s="2367"/>
      <c r="J1663" s="2367"/>
      <c r="K1663" s="2367"/>
      <c r="L1663" s="2367"/>
      <c r="M1663" s="2367"/>
      <c r="N1663" s="2367"/>
      <c r="O1663" s="2367"/>
      <c r="P1663" s="2367"/>
      <c r="Q1663" s="2367"/>
      <c r="R1663" s="2367"/>
    </row>
    <row r="1664" spans="1:18">
      <c r="A1664" s="2367"/>
      <c r="B1664" s="2367"/>
      <c r="C1664" s="2367"/>
      <c r="D1664" s="2367"/>
      <c r="E1664" s="2367"/>
      <c r="F1664" s="2367"/>
      <c r="G1664" s="2367"/>
      <c r="H1664" s="2367"/>
      <c r="I1664" s="2367"/>
      <c r="J1664" s="2367"/>
      <c r="K1664" s="2367"/>
      <c r="L1664" s="2367"/>
      <c r="M1664" s="2367"/>
      <c r="N1664" s="2367"/>
      <c r="O1664" s="2367"/>
      <c r="P1664" s="2367"/>
      <c r="Q1664" s="2367"/>
      <c r="R1664" s="2367"/>
    </row>
    <row r="1665" spans="1:18">
      <c r="A1665" s="2367"/>
      <c r="B1665" s="2367"/>
      <c r="C1665" s="2367"/>
      <c r="D1665" s="2367"/>
      <c r="E1665" s="2367"/>
      <c r="F1665" s="2367"/>
      <c r="G1665" s="2367"/>
      <c r="H1665" s="2367"/>
      <c r="I1665" s="2367"/>
      <c r="J1665" s="2367"/>
      <c r="K1665" s="2367"/>
      <c r="L1665" s="2367"/>
      <c r="M1665" s="2367"/>
      <c r="N1665" s="2367"/>
      <c r="O1665" s="2367"/>
      <c r="P1665" s="2367"/>
      <c r="Q1665" s="2367"/>
      <c r="R1665" s="2367"/>
    </row>
    <row r="1666" spans="1:18">
      <c r="A1666" s="2367"/>
      <c r="B1666" s="2367"/>
      <c r="C1666" s="2367"/>
      <c r="D1666" s="2367"/>
      <c r="E1666" s="2367"/>
      <c r="F1666" s="2367"/>
      <c r="G1666" s="2367"/>
      <c r="H1666" s="2367"/>
      <c r="I1666" s="2367"/>
      <c r="J1666" s="2367"/>
      <c r="K1666" s="2367"/>
      <c r="L1666" s="2367"/>
      <c r="M1666" s="2367"/>
      <c r="N1666" s="2367"/>
      <c r="O1666" s="2367"/>
      <c r="P1666" s="2367"/>
      <c r="Q1666" s="2367"/>
      <c r="R1666" s="2367"/>
    </row>
    <row r="1667" spans="1:18">
      <c r="A1667" s="2367"/>
      <c r="B1667" s="2367"/>
      <c r="C1667" s="2367"/>
      <c r="D1667" s="2367"/>
      <c r="E1667" s="2367"/>
      <c r="F1667" s="2367"/>
      <c r="G1667" s="2367"/>
      <c r="H1667" s="2367"/>
      <c r="I1667" s="2367"/>
      <c r="J1667" s="2367"/>
      <c r="K1667" s="2367"/>
      <c r="L1667" s="2367"/>
      <c r="M1667" s="2367"/>
      <c r="N1667" s="2367"/>
      <c r="O1667" s="2367"/>
      <c r="P1667" s="2367"/>
      <c r="Q1667" s="2367"/>
      <c r="R1667" s="2367"/>
    </row>
    <row r="1668" spans="1:18">
      <c r="A1668" s="2367"/>
      <c r="B1668" s="2367"/>
      <c r="C1668" s="2367"/>
      <c r="D1668" s="2367"/>
      <c r="E1668" s="2367"/>
      <c r="F1668" s="2367"/>
      <c r="G1668" s="2367"/>
      <c r="H1668" s="2367"/>
      <c r="I1668" s="2367"/>
      <c r="J1668" s="2367"/>
      <c r="K1668" s="2367"/>
      <c r="L1668" s="2367"/>
      <c r="M1668" s="2367"/>
      <c r="N1668" s="2367"/>
      <c r="O1668" s="2367"/>
      <c r="P1668" s="2367"/>
      <c r="Q1668" s="2367"/>
      <c r="R1668" s="2367"/>
    </row>
    <row r="1669" spans="1:18">
      <c r="A1669" s="2367"/>
      <c r="B1669" s="2367"/>
      <c r="C1669" s="2367"/>
      <c r="D1669" s="2367"/>
      <c r="E1669" s="2367"/>
      <c r="F1669" s="2367"/>
      <c r="G1669" s="2367"/>
      <c r="H1669" s="2367"/>
      <c r="I1669" s="2367"/>
      <c r="J1669" s="2367"/>
      <c r="K1669" s="2367"/>
      <c r="L1669" s="2367"/>
      <c r="M1669" s="2367"/>
      <c r="N1669" s="2367"/>
      <c r="O1669" s="2367"/>
      <c r="P1669" s="2367"/>
      <c r="Q1669" s="2367"/>
      <c r="R1669" s="2367"/>
    </row>
    <row r="1670" spans="1:18">
      <c r="A1670" s="2367"/>
      <c r="B1670" s="2367"/>
      <c r="C1670" s="2367"/>
      <c r="D1670" s="2367"/>
      <c r="E1670" s="2367"/>
      <c r="F1670" s="2367"/>
      <c r="G1670" s="2367"/>
      <c r="H1670" s="2367"/>
      <c r="I1670" s="2367"/>
      <c r="J1670" s="2367"/>
      <c r="K1670" s="2367"/>
      <c r="L1670" s="2367"/>
      <c r="M1670" s="2367"/>
      <c r="N1670" s="2367"/>
      <c r="O1670" s="2367"/>
      <c r="P1670" s="2367"/>
      <c r="Q1670" s="2367"/>
      <c r="R1670" s="2367"/>
    </row>
    <row r="1671" spans="1:18">
      <c r="A1671" s="2367"/>
      <c r="B1671" s="2367"/>
      <c r="C1671" s="2367"/>
      <c r="D1671" s="2367"/>
      <c r="E1671" s="2367"/>
      <c r="F1671" s="2367"/>
      <c r="G1671" s="2367"/>
      <c r="H1671" s="2367"/>
      <c r="I1671" s="2367"/>
      <c r="J1671" s="2367"/>
      <c r="K1671" s="2367"/>
      <c r="L1671" s="2367"/>
      <c r="M1671" s="2367"/>
      <c r="N1671" s="2367"/>
      <c r="O1671" s="2367"/>
      <c r="P1671" s="2367"/>
      <c r="Q1671" s="2367"/>
      <c r="R1671" s="2367"/>
    </row>
    <row r="1672" spans="1:18">
      <c r="A1672" s="2367"/>
      <c r="B1672" s="2367"/>
      <c r="C1672" s="2367"/>
      <c r="D1672" s="2367"/>
      <c r="E1672" s="2367"/>
      <c r="F1672" s="2367"/>
      <c r="G1672" s="2367"/>
      <c r="H1672" s="2367"/>
      <c r="I1672" s="2367"/>
      <c r="J1672" s="2367"/>
      <c r="K1672" s="2367"/>
      <c r="L1672" s="2367"/>
      <c r="M1672" s="2367"/>
      <c r="N1672" s="2367"/>
      <c r="O1672" s="2367"/>
      <c r="P1672" s="2367"/>
      <c r="Q1672" s="2367"/>
      <c r="R1672" s="2367"/>
    </row>
    <row r="1673" spans="1:18">
      <c r="A1673" s="2367"/>
      <c r="B1673" s="2367"/>
      <c r="C1673" s="2367"/>
      <c r="D1673" s="2367"/>
      <c r="E1673" s="2367"/>
      <c r="F1673" s="2367"/>
      <c r="G1673" s="2367"/>
      <c r="H1673" s="2367"/>
      <c r="I1673" s="2367"/>
      <c r="J1673" s="2367"/>
      <c r="K1673" s="2367"/>
      <c r="L1673" s="2367"/>
      <c r="M1673" s="2367"/>
      <c r="N1673" s="2367"/>
      <c r="O1673" s="2367"/>
      <c r="P1673" s="2367"/>
      <c r="Q1673" s="2367"/>
      <c r="R1673" s="2367"/>
    </row>
    <row r="1674" spans="1:18">
      <c r="A1674" s="2367"/>
      <c r="B1674" s="2367"/>
      <c r="C1674" s="2367"/>
      <c r="D1674" s="2367"/>
      <c r="E1674" s="2367"/>
      <c r="F1674" s="2367"/>
      <c r="G1674" s="2367"/>
      <c r="H1674" s="2367"/>
      <c r="I1674" s="2367"/>
      <c r="J1674" s="2367"/>
      <c r="K1674" s="2367"/>
      <c r="L1674" s="2367"/>
      <c r="M1674" s="2367"/>
      <c r="N1674" s="2367"/>
      <c r="O1674" s="2367"/>
      <c r="P1674" s="2367"/>
      <c r="Q1674" s="2367"/>
      <c r="R1674" s="2367"/>
    </row>
    <row r="1675" spans="1:18">
      <c r="A1675" s="2367"/>
      <c r="B1675" s="2367"/>
      <c r="C1675" s="2367"/>
      <c r="D1675" s="2367"/>
      <c r="E1675" s="2367"/>
      <c r="F1675" s="2367"/>
      <c r="G1675" s="2367"/>
      <c r="H1675" s="2367"/>
      <c r="I1675" s="2367"/>
      <c r="J1675" s="2367"/>
      <c r="K1675" s="2367"/>
      <c r="L1675" s="2367"/>
      <c r="M1675" s="2367"/>
      <c r="N1675" s="2367"/>
      <c r="O1675" s="2367"/>
      <c r="P1675" s="2367"/>
      <c r="Q1675" s="2367"/>
      <c r="R1675" s="2367"/>
    </row>
    <row r="1676" spans="1:18">
      <c r="A1676" s="2367"/>
      <c r="B1676" s="2367"/>
      <c r="C1676" s="2367"/>
      <c r="D1676" s="2367"/>
      <c r="E1676" s="2367"/>
      <c r="F1676" s="2367"/>
      <c r="G1676" s="2367"/>
      <c r="H1676" s="2367"/>
      <c r="I1676" s="2367"/>
      <c r="J1676" s="2367"/>
      <c r="K1676" s="2367"/>
      <c r="L1676" s="2367"/>
      <c r="M1676" s="2367"/>
      <c r="N1676" s="2367"/>
      <c r="O1676" s="2367"/>
      <c r="P1676" s="2367"/>
      <c r="Q1676" s="2367"/>
      <c r="R1676" s="2367"/>
    </row>
    <row r="1677" spans="1:18">
      <c r="A1677" s="2367"/>
      <c r="B1677" s="2367"/>
      <c r="C1677" s="2367"/>
      <c r="D1677" s="2367"/>
      <c r="E1677" s="2367"/>
      <c r="F1677" s="2367"/>
      <c r="G1677" s="2367"/>
      <c r="H1677" s="2367"/>
      <c r="I1677" s="2367"/>
      <c r="J1677" s="2367"/>
      <c r="K1677" s="2367"/>
      <c r="L1677" s="2367"/>
      <c r="M1677" s="2367"/>
      <c r="N1677" s="2367"/>
      <c r="O1677" s="2367"/>
      <c r="P1677" s="2367"/>
      <c r="Q1677" s="2367"/>
      <c r="R1677" s="2367"/>
    </row>
    <row r="1678" spans="1:18">
      <c r="A1678" s="2367"/>
      <c r="B1678" s="2367"/>
      <c r="C1678" s="2367"/>
      <c r="D1678" s="2367"/>
      <c r="E1678" s="2367"/>
      <c r="F1678" s="2367"/>
      <c r="G1678" s="2367"/>
      <c r="H1678" s="2367"/>
      <c r="I1678" s="2367"/>
      <c r="J1678" s="2367"/>
      <c r="K1678" s="2367"/>
      <c r="L1678" s="2367"/>
      <c r="M1678" s="2367"/>
      <c r="N1678" s="2367"/>
      <c r="O1678" s="2367"/>
      <c r="P1678" s="2367"/>
      <c r="Q1678" s="2367"/>
      <c r="R1678" s="2367"/>
    </row>
    <row r="1679" spans="1:18">
      <c r="A1679" s="2367"/>
      <c r="B1679" s="2367"/>
      <c r="C1679" s="2367"/>
      <c r="D1679" s="2367"/>
      <c r="E1679" s="2367"/>
      <c r="F1679" s="2367"/>
      <c r="G1679" s="2367"/>
      <c r="H1679" s="2367"/>
      <c r="I1679" s="2367"/>
      <c r="J1679" s="2367"/>
      <c r="K1679" s="2367"/>
      <c r="L1679" s="2367"/>
      <c r="M1679" s="2367"/>
      <c r="N1679" s="2367"/>
      <c r="O1679" s="2367"/>
      <c r="P1679" s="2367"/>
      <c r="Q1679" s="2367"/>
      <c r="R1679" s="2367"/>
    </row>
    <row r="1680" spans="1:18">
      <c r="A1680" s="2367"/>
      <c r="B1680" s="2367"/>
      <c r="C1680" s="2367"/>
      <c r="D1680" s="2367"/>
      <c r="E1680" s="2367"/>
      <c r="F1680" s="2367"/>
      <c r="G1680" s="2367"/>
      <c r="H1680" s="2367"/>
      <c r="I1680" s="2367"/>
      <c r="J1680" s="2367"/>
      <c r="K1680" s="2367"/>
      <c r="L1680" s="2367"/>
      <c r="M1680" s="2367"/>
      <c r="N1680" s="2367"/>
      <c r="O1680" s="2367"/>
      <c r="P1680" s="2367"/>
      <c r="Q1680" s="2367"/>
      <c r="R1680" s="2367"/>
    </row>
    <row r="1681" spans="1:18">
      <c r="A1681" s="2367"/>
      <c r="B1681" s="2367"/>
      <c r="C1681" s="2367"/>
      <c r="D1681" s="2367"/>
      <c r="E1681" s="2367"/>
      <c r="F1681" s="2367"/>
      <c r="G1681" s="2367"/>
      <c r="H1681" s="2367"/>
      <c r="I1681" s="2367"/>
      <c r="J1681" s="2367"/>
      <c r="K1681" s="2367"/>
      <c r="L1681" s="2367"/>
      <c r="M1681" s="2367"/>
      <c r="N1681" s="2367"/>
      <c r="O1681" s="2367"/>
      <c r="P1681" s="2367"/>
      <c r="Q1681" s="2367"/>
      <c r="R1681" s="2367"/>
    </row>
    <row r="1682" spans="1:18">
      <c r="A1682" s="2367"/>
      <c r="B1682" s="2367"/>
      <c r="C1682" s="2367"/>
      <c r="D1682" s="2367"/>
      <c r="E1682" s="2367"/>
      <c r="F1682" s="2367"/>
      <c r="G1682" s="2367"/>
      <c r="H1682" s="2367"/>
      <c r="I1682" s="2367"/>
      <c r="J1682" s="2367"/>
      <c r="K1682" s="2367"/>
      <c r="L1682" s="2367"/>
      <c r="M1682" s="2367"/>
      <c r="N1682" s="2367"/>
      <c r="O1682" s="2367"/>
      <c r="P1682" s="2367"/>
      <c r="Q1682" s="2367"/>
      <c r="R1682" s="2367"/>
    </row>
    <row r="1683" spans="1:18">
      <c r="A1683" s="2367"/>
      <c r="B1683" s="2367"/>
      <c r="C1683" s="2367"/>
      <c r="D1683" s="2367"/>
      <c r="E1683" s="2367"/>
      <c r="F1683" s="2367"/>
      <c r="G1683" s="2367"/>
      <c r="H1683" s="2367"/>
      <c r="I1683" s="2367"/>
      <c r="J1683" s="2367"/>
      <c r="K1683" s="2367"/>
      <c r="L1683" s="2367"/>
      <c r="M1683" s="2367"/>
      <c r="N1683" s="2367"/>
      <c r="O1683" s="2367"/>
      <c r="P1683" s="2367"/>
      <c r="Q1683" s="2367"/>
      <c r="R1683" s="2367"/>
    </row>
    <row r="1684" spans="1:18">
      <c r="A1684" s="2367"/>
      <c r="B1684" s="2367"/>
      <c r="C1684" s="2367"/>
      <c r="D1684" s="2367"/>
      <c r="E1684" s="2367"/>
      <c r="F1684" s="2367"/>
      <c r="G1684" s="2367"/>
      <c r="H1684" s="2367"/>
      <c r="I1684" s="2367"/>
      <c r="J1684" s="2367"/>
      <c r="K1684" s="2367"/>
      <c r="L1684" s="2367"/>
      <c r="M1684" s="2367"/>
      <c r="N1684" s="2367"/>
      <c r="O1684" s="2367"/>
      <c r="P1684" s="2367"/>
      <c r="Q1684" s="2367"/>
      <c r="R1684" s="2367"/>
    </row>
    <row r="1685" spans="1:18">
      <c r="A1685" s="2367"/>
      <c r="B1685" s="2367"/>
      <c r="C1685" s="2367"/>
      <c r="D1685" s="2367"/>
      <c r="E1685" s="2367"/>
      <c r="F1685" s="2367"/>
      <c r="G1685" s="2367"/>
      <c r="H1685" s="2367"/>
      <c r="I1685" s="2367"/>
      <c r="J1685" s="2367"/>
      <c r="K1685" s="2367"/>
      <c r="L1685" s="2367"/>
      <c r="M1685" s="2367"/>
      <c r="N1685" s="2367"/>
      <c r="O1685" s="2367"/>
      <c r="P1685" s="2367"/>
      <c r="Q1685" s="2367"/>
      <c r="R1685" s="2367"/>
    </row>
    <row r="1686" spans="1:18">
      <c r="A1686" s="2367"/>
      <c r="B1686" s="2367"/>
      <c r="C1686" s="2367"/>
      <c r="D1686" s="2367"/>
      <c r="E1686" s="2367"/>
      <c r="F1686" s="2367"/>
      <c r="G1686" s="2367"/>
      <c r="H1686" s="2367"/>
      <c r="I1686" s="2367"/>
      <c r="J1686" s="2367"/>
      <c r="K1686" s="2367"/>
      <c r="L1686" s="2367"/>
      <c r="M1686" s="2367"/>
      <c r="N1686" s="2367"/>
      <c r="O1686" s="2367"/>
      <c r="P1686" s="2367"/>
      <c r="Q1686" s="2367"/>
      <c r="R1686" s="2367"/>
    </row>
    <row r="1687" spans="1:18">
      <c r="A1687" s="2367"/>
      <c r="B1687" s="2367"/>
      <c r="C1687" s="2367"/>
      <c r="D1687" s="2367"/>
      <c r="E1687" s="2367"/>
      <c r="F1687" s="2367"/>
      <c r="G1687" s="2367"/>
      <c r="H1687" s="2367"/>
      <c r="I1687" s="2367"/>
      <c r="J1687" s="2367"/>
      <c r="K1687" s="2367"/>
      <c r="L1687" s="2367"/>
      <c r="M1687" s="2367"/>
      <c r="N1687" s="2367"/>
      <c r="O1687" s="2367"/>
      <c r="P1687" s="2367"/>
      <c r="Q1687" s="2367"/>
      <c r="R1687" s="2367"/>
    </row>
    <row r="1688" spans="1:18">
      <c r="A1688" s="2367"/>
      <c r="B1688" s="2367"/>
      <c r="C1688" s="2367"/>
      <c r="D1688" s="2367"/>
      <c r="E1688" s="2367"/>
      <c r="F1688" s="2367"/>
      <c r="G1688" s="2367"/>
      <c r="H1688" s="2367"/>
      <c r="I1688" s="2367"/>
      <c r="J1688" s="2367"/>
      <c r="K1688" s="2367"/>
      <c r="L1688" s="2367"/>
      <c r="M1688" s="2367"/>
      <c r="N1688" s="2367"/>
      <c r="O1688" s="2367"/>
      <c r="P1688" s="2367"/>
      <c r="Q1688" s="2367"/>
      <c r="R1688" s="2367"/>
    </row>
    <row r="1689" spans="1:18">
      <c r="A1689" s="2367"/>
      <c r="B1689" s="2367"/>
      <c r="C1689" s="2367"/>
      <c r="D1689" s="2367"/>
      <c r="E1689" s="2367"/>
      <c r="F1689" s="2367"/>
      <c r="G1689" s="2367"/>
      <c r="H1689" s="2367"/>
      <c r="I1689" s="2367"/>
      <c r="J1689" s="2367"/>
      <c r="K1689" s="2367"/>
      <c r="L1689" s="2367"/>
      <c r="M1689" s="2367"/>
      <c r="N1689" s="2367"/>
      <c r="O1689" s="2367"/>
      <c r="P1689" s="2367"/>
      <c r="Q1689" s="2367"/>
      <c r="R1689" s="2367"/>
    </row>
    <row r="1690" spans="1:18">
      <c r="A1690" s="2367"/>
      <c r="B1690" s="2367"/>
      <c r="C1690" s="2367"/>
      <c r="D1690" s="2367"/>
      <c r="E1690" s="2367"/>
      <c r="F1690" s="2367"/>
      <c r="G1690" s="2367"/>
      <c r="H1690" s="2367"/>
      <c r="I1690" s="2367"/>
      <c r="J1690" s="2367"/>
      <c r="K1690" s="2367"/>
      <c r="L1690" s="2367"/>
      <c r="M1690" s="2367"/>
      <c r="N1690" s="2367"/>
      <c r="O1690" s="2367"/>
      <c r="P1690" s="2367"/>
      <c r="Q1690" s="2367"/>
      <c r="R1690" s="2367"/>
    </row>
    <row r="1691" spans="1:18">
      <c r="A1691" s="2367"/>
      <c r="B1691" s="2367"/>
      <c r="C1691" s="2367"/>
      <c r="D1691" s="2367"/>
      <c r="E1691" s="2367"/>
      <c r="F1691" s="2367"/>
      <c r="G1691" s="2367"/>
      <c r="H1691" s="2367"/>
      <c r="I1691" s="2367"/>
      <c r="J1691" s="2367"/>
      <c r="K1691" s="2367"/>
      <c r="L1691" s="2367"/>
      <c r="M1691" s="2367"/>
      <c r="N1691" s="2367"/>
      <c r="O1691" s="2367"/>
      <c r="P1691" s="2367"/>
      <c r="Q1691" s="2367"/>
      <c r="R1691" s="2367"/>
    </row>
    <row r="1692" spans="1:18">
      <c r="A1692" s="2367"/>
      <c r="B1692" s="2367"/>
      <c r="C1692" s="2367"/>
      <c r="D1692" s="2367"/>
      <c r="E1692" s="2367"/>
      <c r="F1692" s="2367"/>
      <c r="G1692" s="2367"/>
      <c r="H1692" s="2367"/>
      <c r="I1692" s="2367"/>
      <c r="J1692" s="2367"/>
      <c r="K1692" s="2367"/>
      <c r="L1692" s="2367"/>
      <c r="M1692" s="2367"/>
      <c r="N1692" s="2367"/>
      <c r="O1692" s="2367"/>
      <c r="P1692" s="2367"/>
      <c r="Q1692" s="2367"/>
      <c r="R1692" s="2367"/>
    </row>
    <row r="1693" spans="1:18">
      <c r="A1693" s="2367"/>
      <c r="B1693" s="2367"/>
      <c r="C1693" s="2367"/>
      <c r="D1693" s="2367"/>
      <c r="E1693" s="2367"/>
      <c r="F1693" s="2367"/>
      <c r="G1693" s="2367"/>
      <c r="H1693" s="2367"/>
      <c r="I1693" s="2367"/>
      <c r="J1693" s="2367"/>
      <c r="K1693" s="2367"/>
      <c r="L1693" s="2367"/>
      <c r="M1693" s="2367"/>
      <c r="N1693" s="2367"/>
      <c r="O1693" s="2367"/>
      <c r="P1693" s="2367"/>
      <c r="Q1693" s="2367"/>
      <c r="R1693" s="2367"/>
    </row>
    <row r="1694" spans="1:18">
      <c r="A1694" s="2367"/>
      <c r="B1694" s="2367"/>
      <c r="C1694" s="2367"/>
      <c r="D1694" s="2367"/>
      <c r="E1694" s="2367"/>
      <c r="F1694" s="2367"/>
      <c r="G1694" s="2367"/>
      <c r="H1694" s="2367"/>
      <c r="I1694" s="2367"/>
      <c r="J1694" s="2367"/>
      <c r="K1694" s="2367"/>
      <c r="L1694" s="2367"/>
      <c r="M1694" s="2367"/>
      <c r="N1694" s="2367"/>
      <c r="O1694" s="2367"/>
      <c r="P1694" s="2367"/>
      <c r="Q1694" s="2367"/>
      <c r="R1694" s="2367"/>
    </row>
    <row r="1695" spans="1:18">
      <c r="A1695" s="2367"/>
      <c r="B1695" s="2367"/>
      <c r="C1695" s="2367"/>
      <c r="D1695" s="2367"/>
      <c r="E1695" s="2367"/>
      <c r="F1695" s="2367"/>
      <c r="G1695" s="2367"/>
      <c r="H1695" s="2367"/>
      <c r="I1695" s="2367"/>
      <c r="J1695" s="2367"/>
      <c r="K1695" s="2367"/>
      <c r="L1695" s="2367"/>
      <c r="M1695" s="2367"/>
      <c r="N1695" s="2367"/>
      <c r="O1695" s="2367"/>
      <c r="P1695" s="2367"/>
      <c r="Q1695" s="2367"/>
      <c r="R1695" s="2367"/>
    </row>
    <row r="1696" spans="1:18">
      <c r="A1696" s="2367"/>
      <c r="B1696" s="2367"/>
      <c r="C1696" s="2367"/>
      <c r="D1696" s="2367"/>
      <c r="E1696" s="2367"/>
      <c r="F1696" s="2367"/>
      <c r="G1696" s="2367"/>
      <c r="H1696" s="2367"/>
      <c r="I1696" s="2367"/>
      <c r="J1696" s="2367"/>
      <c r="K1696" s="2367"/>
      <c r="L1696" s="2367"/>
      <c r="M1696" s="2367"/>
      <c r="N1696" s="2367"/>
      <c r="O1696" s="2367"/>
      <c r="P1696" s="2367"/>
      <c r="Q1696" s="2367"/>
      <c r="R1696" s="2367"/>
    </row>
    <row r="1697" spans="1:18">
      <c r="A1697" s="2367"/>
      <c r="B1697" s="2367"/>
      <c r="C1697" s="2367"/>
      <c r="D1697" s="2367"/>
      <c r="E1697" s="2367"/>
      <c r="F1697" s="2367"/>
      <c r="G1697" s="2367"/>
      <c r="H1697" s="2367"/>
      <c r="I1697" s="2367"/>
      <c r="J1697" s="2367"/>
      <c r="K1697" s="2367"/>
      <c r="L1697" s="2367"/>
      <c r="M1697" s="2367"/>
      <c r="N1697" s="2367"/>
      <c r="O1697" s="2367"/>
      <c r="P1697" s="2367"/>
      <c r="Q1697" s="2367"/>
      <c r="R1697" s="2367"/>
    </row>
    <row r="1698" spans="1:18">
      <c r="A1698" s="2367"/>
      <c r="B1698" s="2367"/>
      <c r="C1698" s="2367"/>
      <c r="D1698" s="2367"/>
      <c r="E1698" s="2367"/>
      <c r="F1698" s="2367"/>
      <c r="G1698" s="2367"/>
      <c r="H1698" s="2367"/>
      <c r="I1698" s="2367"/>
      <c r="J1698" s="2367"/>
      <c r="K1698" s="2367"/>
      <c r="L1698" s="2367"/>
      <c r="M1698" s="2367"/>
      <c r="N1698" s="2367"/>
      <c r="O1698" s="2367"/>
      <c r="P1698" s="2367"/>
      <c r="Q1698" s="2367"/>
      <c r="R1698" s="2367"/>
    </row>
    <row r="1699" spans="1:18">
      <c r="A1699" s="2367"/>
      <c r="B1699" s="2367"/>
      <c r="C1699" s="2367"/>
      <c r="D1699" s="2367"/>
      <c r="E1699" s="2367"/>
      <c r="F1699" s="2367"/>
      <c r="G1699" s="2367"/>
      <c r="H1699" s="2367"/>
      <c r="I1699" s="2367"/>
      <c r="J1699" s="2367"/>
      <c r="K1699" s="2367"/>
      <c r="L1699" s="2367"/>
      <c r="M1699" s="2367"/>
      <c r="N1699" s="2367"/>
      <c r="O1699" s="2367"/>
      <c r="P1699" s="2367"/>
      <c r="Q1699" s="2367"/>
      <c r="R1699" s="2367"/>
    </row>
    <row r="1700" spans="1:18">
      <c r="A1700" s="2367"/>
      <c r="B1700" s="2367"/>
      <c r="C1700" s="2367"/>
      <c r="D1700" s="2367"/>
      <c r="E1700" s="2367"/>
      <c r="F1700" s="2367"/>
      <c r="G1700" s="2367"/>
      <c r="H1700" s="2367"/>
      <c r="I1700" s="2367"/>
      <c r="J1700" s="2367"/>
      <c r="K1700" s="2367"/>
      <c r="L1700" s="2367"/>
      <c r="M1700" s="2367"/>
      <c r="N1700" s="2367"/>
      <c r="O1700" s="2367"/>
      <c r="P1700" s="2367"/>
      <c r="Q1700" s="2367"/>
      <c r="R1700" s="2367"/>
    </row>
    <row r="1701" spans="1:18">
      <c r="A1701" s="2367"/>
      <c r="B1701" s="2367"/>
      <c r="C1701" s="2367"/>
      <c r="D1701" s="2367"/>
      <c r="E1701" s="2367"/>
      <c r="F1701" s="2367"/>
      <c r="G1701" s="2367"/>
      <c r="H1701" s="2367"/>
      <c r="I1701" s="2367"/>
      <c r="J1701" s="2367"/>
      <c r="K1701" s="2367"/>
      <c r="L1701" s="2367"/>
      <c r="M1701" s="2367"/>
      <c r="N1701" s="2367"/>
      <c r="O1701" s="2367"/>
      <c r="P1701" s="2367"/>
      <c r="Q1701" s="2367"/>
      <c r="R1701" s="2367"/>
    </row>
    <row r="1702" spans="1:18">
      <c r="A1702" s="2367"/>
      <c r="B1702" s="2367"/>
      <c r="C1702" s="2367"/>
      <c r="D1702" s="2367"/>
      <c r="E1702" s="2367"/>
      <c r="F1702" s="2367"/>
      <c r="G1702" s="2367"/>
      <c r="H1702" s="2367"/>
      <c r="I1702" s="2367"/>
      <c r="J1702" s="2367"/>
      <c r="K1702" s="2367"/>
      <c r="L1702" s="2367"/>
      <c r="M1702" s="2367"/>
      <c r="N1702" s="2367"/>
      <c r="O1702" s="2367"/>
      <c r="P1702" s="2367"/>
      <c r="Q1702" s="2367"/>
      <c r="R1702" s="2367"/>
    </row>
    <row r="1703" spans="1:18">
      <c r="A1703" s="2367"/>
      <c r="B1703" s="2367"/>
      <c r="C1703" s="2367"/>
      <c r="D1703" s="2367"/>
      <c r="E1703" s="2367"/>
      <c r="F1703" s="2367"/>
      <c r="G1703" s="2367"/>
      <c r="H1703" s="2367"/>
      <c r="I1703" s="2367"/>
      <c r="J1703" s="2367"/>
      <c r="K1703" s="2367"/>
      <c r="L1703" s="2367"/>
      <c r="M1703" s="2367"/>
      <c r="N1703" s="2367"/>
      <c r="O1703" s="2367"/>
      <c r="P1703" s="2367"/>
      <c r="Q1703" s="2367"/>
      <c r="R1703" s="2367"/>
    </row>
    <row r="1704" spans="1:18">
      <c r="A1704" s="2367"/>
      <c r="B1704" s="2367"/>
      <c r="C1704" s="2367"/>
      <c r="D1704" s="2367"/>
      <c r="E1704" s="2367"/>
      <c r="F1704" s="2367"/>
      <c r="G1704" s="2367"/>
      <c r="H1704" s="2367"/>
      <c r="I1704" s="2367"/>
      <c r="J1704" s="2367"/>
      <c r="K1704" s="2367"/>
      <c r="L1704" s="2367"/>
      <c r="M1704" s="2367"/>
      <c r="N1704" s="2367"/>
      <c r="O1704" s="2367"/>
      <c r="P1704" s="2367"/>
      <c r="Q1704" s="2367"/>
      <c r="R1704" s="2367"/>
    </row>
    <row r="1705" spans="1:18">
      <c r="A1705" s="2367"/>
      <c r="B1705" s="2367"/>
      <c r="C1705" s="2367"/>
      <c r="D1705" s="2367"/>
      <c r="E1705" s="2367"/>
      <c r="F1705" s="2367"/>
      <c r="G1705" s="2367"/>
      <c r="H1705" s="2367"/>
      <c r="I1705" s="2367"/>
      <c r="J1705" s="2367"/>
      <c r="K1705" s="2367"/>
      <c r="L1705" s="2367"/>
      <c r="M1705" s="2367"/>
      <c r="N1705" s="2367"/>
      <c r="O1705" s="2367"/>
      <c r="P1705" s="2367"/>
      <c r="Q1705" s="2367"/>
      <c r="R1705" s="2367"/>
    </row>
    <row r="1706" spans="1:18">
      <c r="A1706" s="2367"/>
      <c r="B1706" s="2367"/>
      <c r="C1706" s="2367"/>
      <c r="D1706" s="2367"/>
      <c r="E1706" s="2367"/>
      <c r="F1706" s="2367"/>
      <c r="G1706" s="2367"/>
      <c r="H1706" s="2367"/>
      <c r="I1706" s="2367"/>
      <c r="J1706" s="2367"/>
      <c r="K1706" s="2367"/>
      <c r="L1706" s="2367"/>
      <c r="M1706" s="2367"/>
      <c r="N1706" s="2367"/>
      <c r="O1706" s="2367"/>
      <c r="P1706" s="2367"/>
      <c r="Q1706" s="2367"/>
      <c r="R1706" s="2367"/>
    </row>
    <row r="1707" spans="1:18">
      <c r="A1707" s="2367"/>
      <c r="B1707" s="2367"/>
      <c r="C1707" s="2367"/>
      <c r="D1707" s="2367"/>
      <c r="E1707" s="2367"/>
      <c r="F1707" s="2367"/>
      <c r="G1707" s="2367"/>
      <c r="H1707" s="2367"/>
      <c r="I1707" s="2367"/>
      <c r="J1707" s="2367"/>
      <c r="K1707" s="2367"/>
      <c r="L1707" s="2367"/>
      <c r="M1707" s="2367"/>
      <c r="N1707" s="2367"/>
      <c r="O1707" s="2367"/>
      <c r="P1707" s="2367"/>
      <c r="Q1707" s="2367"/>
      <c r="R1707" s="2367"/>
    </row>
    <row r="1708" spans="1:18">
      <c r="A1708" s="2367"/>
      <c r="B1708" s="2367"/>
      <c r="C1708" s="2367"/>
      <c r="D1708" s="2367"/>
      <c r="E1708" s="2367"/>
      <c r="F1708" s="2367"/>
      <c r="G1708" s="2367"/>
      <c r="H1708" s="2367"/>
      <c r="I1708" s="2367"/>
      <c r="J1708" s="2367"/>
      <c r="K1708" s="2367"/>
      <c r="L1708" s="2367"/>
      <c r="M1708" s="2367"/>
      <c r="N1708" s="2367"/>
      <c r="O1708" s="2367"/>
      <c r="P1708" s="2367"/>
      <c r="Q1708" s="2367"/>
      <c r="R1708" s="2367"/>
    </row>
    <row r="1709" spans="1:18">
      <c r="A1709" s="2367"/>
      <c r="B1709" s="2367"/>
      <c r="C1709" s="2367"/>
      <c r="D1709" s="2367"/>
      <c r="E1709" s="2367"/>
      <c r="F1709" s="2367"/>
      <c r="G1709" s="2367"/>
      <c r="H1709" s="2367"/>
      <c r="I1709" s="2367"/>
      <c r="J1709" s="2367"/>
      <c r="K1709" s="2367"/>
      <c r="L1709" s="2367"/>
      <c r="M1709" s="2367"/>
      <c r="N1709" s="2367"/>
      <c r="O1709" s="2367"/>
      <c r="P1709" s="2367"/>
      <c r="Q1709" s="2367"/>
      <c r="R1709" s="2367"/>
    </row>
    <row r="1710" spans="1:18">
      <c r="A1710" s="2367"/>
      <c r="B1710" s="2367"/>
      <c r="C1710" s="2367"/>
      <c r="D1710" s="2367"/>
      <c r="E1710" s="2367"/>
      <c r="F1710" s="2367"/>
      <c r="G1710" s="2367"/>
      <c r="H1710" s="2367"/>
      <c r="I1710" s="2367"/>
      <c r="J1710" s="2367"/>
      <c r="K1710" s="2367"/>
      <c r="L1710" s="2367"/>
      <c r="M1710" s="2367"/>
      <c r="N1710" s="2367"/>
      <c r="O1710" s="2367"/>
      <c r="P1710" s="2367"/>
      <c r="Q1710" s="2367"/>
      <c r="R1710" s="2367"/>
    </row>
    <row r="1711" spans="1:18">
      <c r="A1711" s="2367"/>
      <c r="B1711" s="2367"/>
      <c r="C1711" s="2367"/>
      <c r="D1711" s="2367"/>
      <c r="E1711" s="2367"/>
      <c r="F1711" s="2367"/>
      <c r="G1711" s="2367"/>
      <c r="H1711" s="2367"/>
      <c r="I1711" s="2367"/>
      <c r="J1711" s="2367"/>
      <c r="K1711" s="2367"/>
      <c r="L1711" s="2367"/>
      <c r="M1711" s="2367"/>
      <c r="N1711" s="2367"/>
      <c r="O1711" s="2367"/>
      <c r="P1711" s="2367"/>
      <c r="Q1711" s="2367"/>
      <c r="R1711" s="2367"/>
    </row>
    <row r="1712" spans="1:18">
      <c r="A1712" s="2367"/>
      <c r="B1712" s="2367"/>
      <c r="C1712" s="2367"/>
      <c r="D1712" s="2367"/>
      <c r="E1712" s="2367"/>
      <c r="F1712" s="2367"/>
      <c r="G1712" s="2367"/>
      <c r="H1712" s="2367"/>
      <c r="I1712" s="2367"/>
      <c r="J1712" s="2367"/>
      <c r="K1712" s="2367"/>
      <c r="L1712" s="2367"/>
      <c r="M1712" s="2367"/>
      <c r="N1712" s="2367"/>
      <c r="O1712" s="2367"/>
      <c r="P1712" s="2367"/>
      <c r="Q1712" s="2367"/>
      <c r="R1712" s="2367"/>
    </row>
    <row r="1713" spans="1:18">
      <c r="A1713" s="2367"/>
      <c r="B1713" s="2367"/>
      <c r="C1713" s="2367"/>
      <c r="D1713" s="2367"/>
      <c r="E1713" s="2367"/>
      <c r="F1713" s="2367"/>
      <c r="G1713" s="2367"/>
      <c r="H1713" s="2367"/>
      <c r="I1713" s="2367"/>
      <c r="J1713" s="2367"/>
      <c r="K1713" s="2367"/>
      <c r="L1713" s="2367"/>
      <c r="M1713" s="2367"/>
      <c r="N1713" s="2367"/>
      <c r="O1713" s="2367"/>
      <c r="P1713" s="2367"/>
      <c r="Q1713" s="2367"/>
      <c r="R1713" s="2367"/>
    </row>
    <row r="1714" spans="1:18">
      <c r="A1714" s="2367"/>
      <c r="B1714" s="2367"/>
      <c r="C1714" s="2367"/>
      <c r="D1714" s="2367"/>
      <c r="E1714" s="2367"/>
      <c r="F1714" s="2367"/>
      <c r="G1714" s="2367"/>
      <c r="H1714" s="2367"/>
      <c r="I1714" s="2367"/>
      <c r="J1714" s="2367"/>
      <c r="K1714" s="2367"/>
      <c r="L1714" s="2367"/>
      <c r="M1714" s="2367"/>
      <c r="N1714" s="2367"/>
      <c r="O1714" s="2367"/>
      <c r="P1714" s="2367"/>
      <c r="Q1714" s="2367"/>
      <c r="R1714" s="2367"/>
    </row>
    <row r="1715" spans="1:18">
      <c r="A1715" s="2367"/>
      <c r="B1715" s="2367"/>
      <c r="C1715" s="2367"/>
      <c r="D1715" s="2367"/>
      <c r="E1715" s="2367"/>
      <c r="F1715" s="2367"/>
      <c r="G1715" s="2367"/>
      <c r="H1715" s="2367"/>
      <c r="I1715" s="2367"/>
      <c r="J1715" s="2367"/>
      <c r="K1715" s="2367"/>
      <c r="L1715" s="2367"/>
      <c r="M1715" s="2367"/>
      <c r="N1715" s="2367"/>
      <c r="O1715" s="2367"/>
      <c r="P1715" s="2367"/>
      <c r="Q1715" s="2367"/>
      <c r="R1715" s="2367"/>
    </row>
    <row r="1716" spans="1:18">
      <c r="A1716" s="2367"/>
      <c r="B1716" s="2367"/>
      <c r="C1716" s="2367"/>
      <c r="D1716" s="2367"/>
      <c r="E1716" s="2367"/>
      <c r="F1716" s="2367"/>
      <c r="G1716" s="2367"/>
      <c r="H1716" s="2367"/>
      <c r="I1716" s="2367"/>
      <c r="J1716" s="2367"/>
      <c r="K1716" s="2367"/>
      <c r="L1716" s="2367"/>
      <c r="M1716" s="2367"/>
      <c r="N1716" s="2367"/>
      <c r="O1716" s="2367"/>
      <c r="P1716" s="2367"/>
      <c r="Q1716" s="2367"/>
      <c r="R1716" s="2367"/>
    </row>
    <row r="1717" spans="1:18">
      <c r="A1717" s="2367"/>
      <c r="B1717" s="2367"/>
      <c r="C1717" s="2367"/>
      <c r="D1717" s="2367"/>
      <c r="E1717" s="2367"/>
      <c r="F1717" s="2367"/>
      <c r="G1717" s="2367"/>
      <c r="H1717" s="2367"/>
      <c r="I1717" s="2367"/>
      <c r="J1717" s="2367"/>
      <c r="K1717" s="2367"/>
      <c r="L1717" s="2367"/>
      <c r="M1717" s="2367"/>
      <c r="N1717" s="2367"/>
      <c r="O1717" s="2367"/>
      <c r="P1717" s="2367"/>
      <c r="Q1717" s="2367"/>
      <c r="R1717" s="2367"/>
    </row>
    <row r="1718" spans="1:18">
      <c r="A1718" s="2367"/>
      <c r="B1718" s="2367"/>
      <c r="C1718" s="2367"/>
      <c r="D1718" s="2367"/>
      <c r="E1718" s="2367"/>
      <c r="F1718" s="2367"/>
      <c r="G1718" s="2367"/>
      <c r="H1718" s="2367"/>
      <c r="I1718" s="2367"/>
      <c r="J1718" s="2367"/>
      <c r="K1718" s="2367"/>
      <c r="L1718" s="2367"/>
      <c r="M1718" s="2367"/>
      <c r="N1718" s="2367"/>
      <c r="O1718" s="2367"/>
      <c r="P1718" s="2367"/>
      <c r="Q1718" s="2367"/>
      <c r="R1718" s="2367"/>
    </row>
    <row r="1719" spans="1:18">
      <c r="A1719" s="2367"/>
      <c r="B1719" s="2367"/>
      <c r="C1719" s="2367"/>
      <c r="D1719" s="2367"/>
      <c r="E1719" s="2367"/>
      <c r="F1719" s="2367"/>
      <c r="G1719" s="2367"/>
      <c r="H1719" s="2367"/>
      <c r="I1719" s="2367"/>
      <c r="J1719" s="2367"/>
      <c r="K1719" s="2367"/>
      <c r="L1719" s="2367"/>
      <c r="M1719" s="2367"/>
      <c r="N1719" s="2367"/>
      <c r="O1719" s="2367"/>
      <c r="P1719" s="2367"/>
      <c r="Q1719" s="2367"/>
      <c r="R1719" s="2367"/>
    </row>
    <row r="1720" spans="1:18">
      <c r="A1720" s="2367"/>
      <c r="B1720" s="2367"/>
      <c r="C1720" s="2367"/>
      <c r="D1720" s="2367"/>
      <c r="E1720" s="2367"/>
      <c r="F1720" s="2367"/>
      <c r="G1720" s="2367"/>
      <c r="H1720" s="2367"/>
      <c r="I1720" s="2367"/>
      <c r="J1720" s="2367"/>
      <c r="K1720" s="2367"/>
      <c r="L1720" s="2367"/>
      <c r="M1720" s="2367"/>
      <c r="N1720" s="2367"/>
      <c r="O1720" s="2367"/>
      <c r="P1720" s="2367"/>
      <c r="Q1720" s="2367"/>
      <c r="R1720" s="2367"/>
    </row>
    <row r="1721" spans="1:18">
      <c r="A1721" s="2367"/>
      <c r="B1721" s="2367"/>
      <c r="C1721" s="2367"/>
      <c r="D1721" s="2367"/>
      <c r="E1721" s="2367"/>
      <c r="F1721" s="2367"/>
      <c r="G1721" s="2367"/>
      <c r="H1721" s="2367"/>
      <c r="I1721" s="2367"/>
      <c r="J1721" s="2367"/>
      <c r="K1721" s="2367"/>
      <c r="L1721" s="2367"/>
      <c r="M1721" s="2367"/>
      <c r="N1721" s="2367"/>
      <c r="O1721" s="2367"/>
      <c r="P1721" s="2367"/>
      <c r="Q1721" s="2367"/>
      <c r="R1721" s="2367"/>
    </row>
    <row r="1722" spans="1:18">
      <c r="A1722" s="2367"/>
      <c r="B1722" s="2367"/>
      <c r="C1722" s="2367"/>
      <c r="D1722" s="2367"/>
      <c r="E1722" s="2367"/>
      <c r="F1722" s="2367"/>
      <c r="G1722" s="2367"/>
      <c r="H1722" s="2367"/>
      <c r="I1722" s="2367"/>
      <c r="J1722" s="2367"/>
      <c r="K1722" s="2367"/>
      <c r="L1722" s="2367"/>
      <c r="M1722" s="2367"/>
      <c r="N1722" s="2367"/>
      <c r="O1722" s="2367"/>
      <c r="P1722" s="2367"/>
      <c r="Q1722" s="2367"/>
      <c r="R1722" s="2367"/>
    </row>
    <row r="1723" spans="1:18">
      <c r="A1723" s="2367"/>
      <c r="B1723" s="2367"/>
      <c r="C1723" s="2367"/>
      <c r="D1723" s="2367"/>
      <c r="E1723" s="2367"/>
      <c r="F1723" s="2367"/>
      <c r="G1723" s="2367"/>
      <c r="H1723" s="2367"/>
      <c r="I1723" s="2367"/>
      <c r="J1723" s="2367"/>
      <c r="K1723" s="2367"/>
      <c r="L1723" s="2367"/>
      <c r="M1723" s="2367"/>
      <c r="N1723" s="2367"/>
      <c r="O1723" s="2367"/>
      <c r="P1723" s="2367"/>
      <c r="Q1723" s="2367"/>
      <c r="R1723" s="2367"/>
    </row>
    <row r="1724" spans="1:18">
      <c r="A1724" s="2367"/>
      <c r="B1724" s="2367"/>
      <c r="C1724" s="2367"/>
      <c r="D1724" s="2367"/>
      <c r="E1724" s="2367"/>
      <c r="F1724" s="2367"/>
      <c r="G1724" s="2367"/>
      <c r="H1724" s="2367"/>
      <c r="I1724" s="2367"/>
      <c r="J1724" s="2367"/>
      <c r="K1724" s="2367"/>
      <c r="L1724" s="2367"/>
      <c r="M1724" s="2367"/>
      <c r="N1724" s="2367"/>
      <c r="O1724" s="2367"/>
      <c r="P1724" s="2367"/>
      <c r="Q1724" s="2367"/>
      <c r="R1724" s="2367"/>
    </row>
    <row r="1725" spans="1:18">
      <c r="A1725" s="2367"/>
      <c r="B1725" s="2367"/>
      <c r="C1725" s="2367"/>
      <c r="D1725" s="2367"/>
      <c r="E1725" s="2367"/>
      <c r="F1725" s="2367"/>
      <c r="G1725" s="2367"/>
      <c r="H1725" s="2367"/>
      <c r="I1725" s="2367"/>
      <c r="J1725" s="2367"/>
      <c r="K1725" s="2367"/>
      <c r="L1725" s="2367"/>
      <c r="M1725" s="2367"/>
      <c r="N1725" s="2367"/>
      <c r="O1725" s="2367"/>
      <c r="P1725" s="2367"/>
      <c r="Q1725" s="2367"/>
      <c r="R1725" s="2367"/>
    </row>
    <row r="1726" spans="1:18">
      <c r="A1726" s="2367"/>
      <c r="B1726" s="2367"/>
      <c r="C1726" s="2367"/>
      <c r="D1726" s="2367"/>
      <c r="E1726" s="2367"/>
      <c r="F1726" s="2367"/>
      <c r="G1726" s="2367"/>
      <c r="H1726" s="2367"/>
      <c r="I1726" s="2367"/>
      <c r="J1726" s="2367"/>
      <c r="K1726" s="2367"/>
      <c r="L1726" s="2367"/>
      <c r="M1726" s="2367"/>
      <c r="N1726" s="2367"/>
      <c r="O1726" s="2367"/>
      <c r="P1726" s="2367"/>
      <c r="Q1726" s="2367"/>
      <c r="R1726" s="2367"/>
    </row>
    <row r="1727" spans="1:18">
      <c r="A1727" s="2367"/>
      <c r="B1727" s="2367"/>
      <c r="C1727" s="2367"/>
      <c r="D1727" s="2367"/>
      <c r="E1727" s="2367"/>
      <c r="F1727" s="2367"/>
      <c r="G1727" s="2367"/>
      <c r="H1727" s="2367"/>
      <c r="I1727" s="2367"/>
      <c r="J1727" s="2367"/>
      <c r="K1727" s="2367"/>
      <c r="L1727" s="2367"/>
      <c r="M1727" s="2367"/>
      <c r="N1727" s="2367"/>
      <c r="O1727" s="2367"/>
      <c r="P1727" s="2367"/>
      <c r="Q1727" s="2367"/>
      <c r="R1727" s="2367"/>
    </row>
    <row r="1728" spans="1:18">
      <c r="A1728" s="2367"/>
      <c r="B1728" s="2367"/>
      <c r="C1728" s="2367"/>
      <c r="D1728" s="2367"/>
      <c r="E1728" s="2367"/>
      <c r="F1728" s="2367"/>
      <c r="G1728" s="2367"/>
      <c r="H1728" s="2367"/>
      <c r="I1728" s="2367"/>
      <c r="J1728" s="2367"/>
      <c r="K1728" s="2367"/>
      <c r="L1728" s="2367"/>
      <c r="M1728" s="2367"/>
      <c r="N1728" s="2367"/>
      <c r="O1728" s="2367"/>
      <c r="P1728" s="2367"/>
      <c r="Q1728" s="2367"/>
      <c r="R1728" s="2367"/>
    </row>
    <row r="1729" spans="1:18">
      <c r="A1729" s="2367"/>
      <c r="B1729" s="2367"/>
      <c r="C1729" s="2367"/>
      <c r="D1729" s="2367"/>
      <c r="E1729" s="2367"/>
      <c r="F1729" s="2367"/>
      <c r="G1729" s="2367"/>
      <c r="H1729" s="2367"/>
      <c r="I1729" s="2367"/>
      <c r="J1729" s="2367"/>
      <c r="K1729" s="2367"/>
      <c r="L1729" s="2367"/>
      <c r="M1729" s="2367"/>
      <c r="N1729" s="2367"/>
      <c r="O1729" s="2367"/>
      <c r="P1729" s="2367"/>
      <c r="Q1729" s="2367"/>
      <c r="R1729" s="2367"/>
    </row>
    <row r="1730" spans="1:18">
      <c r="A1730" s="2367"/>
      <c r="B1730" s="2367"/>
      <c r="C1730" s="2367"/>
      <c r="D1730" s="2367"/>
      <c r="E1730" s="2367"/>
      <c r="F1730" s="2367"/>
      <c r="G1730" s="2367"/>
      <c r="H1730" s="2367"/>
      <c r="I1730" s="2367"/>
      <c r="J1730" s="2367"/>
      <c r="K1730" s="2367"/>
      <c r="L1730" s="2367"/>
      <c r="M1730" s="2367"/>
      <c r="N1730" s="2367"/>
      <c r="O1730" s="2367"/>
      <c r="P1730" s="2367"/>
      <c r="Q1730" s="2367"/>
      <c r="R1730" s="2367"/>
    </row>
    <row r="1731" spans="1:18">
      <c r="A1731" s="2367"/>
      <c r="B1731" s="2367"/>
      <c r="C1731" s="2367"/>
      <c r="D1731" s="2367"/>
      <c r="E1731" s="2367"/>
      <c r="F1731" s="2367"/>
      <c r="G1731" s="2367"/>
      <c r="H1731" s="2367"/>
      <c r="I1731" s="2367"/>
      <c r="J1731" s="2367"/>
      <c r="K1731" s="2367"/>
      <c r="L1731" s="2367"/>
      <c r="M1731" s="2367"/>
      <c r="N1731" s="2367"/>
      <c r="O1731" s="2367"/>
      <c r="P1731" s="2367"/>
      <c r="Q1731" s="2367"/>
      <c r="R1731" s="2367"/>
    </row>
    <row r="1732" spans="1:18">
      <c r="A1732" s="2367"/>
      <c r="B1732" s="2367"/>
      <c r="C1732" s="2367"/>
      <c r="D1732" s="2367"/>
      <c r="E1732" s="2367"/>
      <c r="F1732" s="2367"/>
      <c r="G1732" s="2367"/>
      <c r="H1732" s="2367"/>
      <c r="I1732" s="2367"/>
      <c r="J1732" s="2367"/>
      <c r="K1732" s="2367"/>
      <c r="L1732" s="2367"/>
      <c r="M1732" s="2367"/>
      <c r="N1732" s="2367"/>
      <c r="O1732" s="2367"/>
      <c r="P1732" s="2367"/>
      <c r="Q1732" s="2367"/>
      <c r="R1732" s="2367"/>
    </row>
    <row r="1733" spans="1:18">
      <c r="A1733" s="2367"/>
      <c r="B1733" s="2367"/>
      <c r="C1733" s="2367"/>
      <c r="D1733" s="2367"/>
      <c r="E1733" s="2367"/>
      <c r="F1733" s="2367"/>
      <c r="G1733" s="2367"/>
      <c r="H1733" s="2367"/>
      <c r="I1733" s="2367"/>
      <c r="J1733" s="2367"/>
      <c r="K1733" s="2367"/>
      <c r="L1733" s="2367"/>
      <c r="M1733" s="2367"/>
      <c r="N1733" s="2367"/>
      <c r="O1733" s="2367"/>
      <c r="P1733" s="2367"/>
      <c r="Q1733" s="2367"/>
      <c r="R1733" s="2367"/>
    </row>
    <row r="1734" spans="1:18">
      <c r="A1734" s="2367"/>
      <c r="B1734" s="2367"/>
      <c r="C1734" s="2367"/>
      <c r="D1734" s="2367"/>
      <c r="E1734" s="2367"/>
      <c r="F1734" s="2367"/>
      <c r="G1734" s="2367"/>
      <c r="H1734" s="2367"/>
      <c r="I1734" s="2367"/>
      <c r="J1734" s="2367"/>
      <c r="K1734" s="2367"/>
      <c r="L1734" s="2367"/>
      <c r="M1734" s="2367"/>
      <c r="N1734" s="2367"/>
      <c r="O1734" s="2367"/>
      <c r="P1734" s="2367"/>
      <c r="Q1734" s="2367"/>
      <c r="R1734" s="2367"/>
    </row>
    <row r="1735" spans="1:18">
      <c r="A1735" s="2367"/>
      <c r="B1735" s="2367"/>
      <c r="C1735" s="2367"/>
      <c r="D1735" s="2367"/>
      <c r="E1735" s="2367"/>
      <c r="F1735" s="2367"/>
      <c r="G1735" s="2367"/>
      <c r="H1735" s="2367"/>
      <c r="I1735" s="2367"/>
      <c r="J1735" s="2367"/>
      <c r="K1735" s="2367"/>
      <c r="L1735" s="2367"/>
      <c r="M1735" s="2367"/>
      <c r="N1735" s="2367"/>
      <c r="O1735" s="2367"/>
      <c r="P1735" s="2367"/>
      <c r="Q1735" s="2367"/>
      <c r="R1735" s="2367"/>
    </row>
    <row r="1736" spans="1:18">
      <c r="A1736" s="2367"/>
      <c r="B1736" s="2367"/>
      <c r="C1736" s="2367"/>
      <c r="D1736" s="2367"/>
      <c r="E1736" s="2367"/>
      <c r="F1736" s="2367"/>
      <c r="G1736" s="2367"/>
      <c r="H1736" s="2367"/>
      <c r="I1736" s="2367"/>
      <c r="J1736" s="2367"/>
      <c r="K1736" s="2367"/>
      <c r="L1736" s="2367"/>
      <c r="M1736" s="2367"/>
      <c r="N1736" s="2367"/>
      <c r="O1736" s="2367"/>
      <c r="P1736" s="2367"/>
      <c r="Q1736" s="2367"/>
      <c r="R1736" s="2367"/>
    </row>
    <row r="1737" spans="1:18">
      <c r="A1737" s="2367"/>
      <c r="B1737" s="2367"/>
      <c r="C1737" s="2367"/>
      <c r="D1737" s="2367"/>
      <c r="E1737" s="2367"/>
      <c r="F1737" s="2367"/>
      <c r="G1737" s="2367"/>
      <c r="H1737" s="2367"/>
      <c r="I1737" s="2367"/>
      <c r="J1737" s="2367"/>
      <c r="K1737" s="2367"/>
      <c r="L1737" s="2367"/>
      <c r="M1737" s="2367"/>
      <c r="N1737" s="2367"/>
      <c r="O1737" s="2367"/>
      <c r="P1737" s="2367"/>
      <c r="Q1737" s="2367"/>
      <c r="R1737" s="2367"/>
    </row>
    <row r="1738" spans="1:18">
      <c r="A1738" s="2367"/>
      <c r="B1738" s="2367"/>
      <c r="C1738" s="2367"/>
      <c r="D1738" s="2367"/>
      <c r="E1738" s="2367"/>
      <c r="F1738" s="2367"/>
      <c r="G1738" s="2367"/>
      <c r="H1738" s="2367"/>
      <c r="I1738" s="2367"/>
      <c r="J1738" s="2367"/>
      <c r="K1738" s="2367"/>
      <c r="L1738" s="2367"/>
      <c r="M1738" s="2367"/>
      <c r="N1738" s="2367"/>
      <c r="O1738" s="2367"/>
      <c r="P1738" s="2367"/>
      <c r="Q1738" s="2367"/>
      <c r="R1738" s="2367"/>
    </row>
    <row r="1739" spans="1:18">
      <c r="A1739" s="2367"/>
      <c r="B1739" s="2367"/>
      <c r="C1739" s="2367"/>
      <c r="D1739" s="2367"/>
      <c r="E1739" s="2367"/>
      <c r="F1739" s="2367"/>
      <c r="G1739" s="2367"/>
      <c r="H1739" s="2367"/>
      <c r="I1739" s="2367"/>
      <c r="J1739" s="2367"/>
      <c r="K1739" s="2367"/>
      <c r="L1739" s="2367"/>
      <c r="M1739" s="2367"/>
      <c r="N1739" s="2367"/>
      <c r="O1739" s="2367"/>
      <c r="P1739" s="2367"/>
      <c r="Q1739" s="2367"/>
      <c r="R1739" s="2367"/>
    </row>
    <row r="1740" spans="1:18">
      <c r="A1740" s="2367"/>
      <c r="B1740" s="2367"/>
      <c r="C1740" s="2367"/>
      <c r="D1740" s="2367"/>
      <c r="E1740" s="2367"/>
      <c r="F1740" s="2367"/>
      <c r="G1740" s="2367"/>
      <c r="H1740" s="2367"/>
      <c r="I1740" s="2367"/>
      <c r="J1740" s="2367"/>
      <c r="K1740" s="2367"/>
      <c r="L1740" s="2367"/>
      <c r="M1740" s="2367"/>
      <c r="N1740" s="2367"/>
      <c r="O1740" s="2367"/>
      <c r="P1740" s="2367"/>
      <c r="Q1740" s="2367"/>
      <c r="R1740" s="2367"/>
    </row>
    <row r="1741" spans="1:18">
      <c r="A1741" s="2367"/>
      <c r="B1741" s="2367"/>
      <c r="C1741" s="2367"/>
      <c r="D1741" s="2367"/>
      <c r="E1741" s="2367"/>
      <c r="F1741" s="2367"/>
      <c r="G1741" s="2367"/>
      <c r="H1741" s="2367"/>
      <c r="I1741" s="2367"/>
      <c r="J1741" s="2367"/>
      <c r="K1741" s="2367"/>
      <c r="L1741" s="2367"/>
      <c r="M1741" s="2367"/>
      <c r="N1741" s="2367"/>
      <c r="O1741" s="2367"/>
      <c r="P1741" s="2367"/>
      <c r="Q1741" s="2367"/>
      <c r="R1741" s="2367"/>
    </row>
    <row r="1742" spans="1:18">
      <c r="A1742" s="2367"/>
      <c r="B1742" s="2367"/>
      <c r="C1742" s="2367"/>
      <c r="D1742" s="2367"/>
      <c r="E1742" s="2367"/>
      <c r="F1742" s="2367"/>
      <c r="G1742" s="2367"/>
      <c r="H1742" s="2367"/>
      <c r="I1742" s="2367"/>
      <c r="J1742" s="2367"/>
      <c r="K1742" s="2367"/>
      <c r="L1742" s="2367"/>
      <c r="M1742" s="2367"/>
      <c r="N1742" s="2367"/>
      <c r="O1742" s="2367"/>
      <c r="P1742" s="2367"/>
      <c r="Q1742" s="2367"/>
      <c r="R1742" s="2367"/>
    </row>
    <row r="1743" spans="1:18">
      <c r="A1743" s="2367"/>
      <c r="B1743" s="2367"/>
      <c r="C1743" s="2367"/>
      <c r="D1743" s="2367"/>
      <c r="E1743" s="2367"/>
      <c r="F1743" s="2367"/>
      <c r="G1743" s="2367"/>
      <c r="H1743" s="2367"/>
      <c r="I1743" s="2367"/>
      <c r="J1743" s="2367"/>
      <c r="K1743" s="2367"/>
      <c r="L1743" s="2367"/>
      <c r="M1743" s="2367"/>
      <c r="N1743" s="2367"/>
      <c r="O1743" s="2367"/>
      <c r="P1743" s="2367"/>
      <c r="Q1743" s="2367"/>
      <c r="R1743" s="2367"/>
    </row>
    <row r="1744" spans="1:18">
      <c r="A1744" s="2367"/>
      <c r="B1744" s="2367"/>
      <c r="C1744" s="2367"/>
      <c r="D1744" s="2367"/>
      <c r="E1744" s="2367"/>
      <c r="F1744" s="2367"/>
      <c r="G1744" s="2367"/>
      <c r="H1744" s="2367"/>
      <c r="I1744" s="2367"/>
      <c r="J1744" s="2367"/>
      <c r="K1744" s="2367"/>
      <c r="L1744" s="2367"/>
      <c r="M1744" s="2367"/>
      <c r="N1744" s="2367"/>
      <c r="O1744" s="2367"/>
      <c r="P1744" s="2367"/>
      <c r="Q1744" s="2367"/>
      <c r="R1744" s="2367"/>
    </row>
    <row r="1745" spans="1:18">
      <c r="A1745" s="2367"/>
      <c r="B1745" s="2367"/>
      <c r="C1745" s="2367"/>
      <c r="D1745" s="2367"/>
      <c r="E1745" s="2367"/>
      <c r="F1745" s="2367"/>
      <c r="G1745" s="2367"/>
      <c r="H1745" s="2367"/>
      <c r="I1745" s="2367"/>
      <c r="J1745" s="2367"/>
      <c r="K1745" s="2367"/>
      <c r="L1745" s="2367"/>
      <c r="M1745" s="2367"/>
      <c r="N1745" s="2367"/>
      <c r="O1745" s="2367"/>
      <c r="P1745" s="2367"/>
      <c r="Q1745" s="2367"/>
      <c r="R1745" s="2367"/>
    </row>
    <row r="1746" spans="1:18">
      <c r="A1746" s="2367"/>
      <c r="B1746" s="2367"/>
      <c r="C1746" s="2367"/>
      <c r="D1746" s="2367"/>
      <c r="E1746" s="2367"/>
      <c r="F1746" s="2367"/>
      <c r="G1746" s="2367"/>
      <c r="H1746" s="2367"/>
      <c r="I1746" s="2367"/>
      <c r="J1746" s="2367"/>
      <c r="K1746" s="2367"/>
      <c r="L1746" s="2367"/>
      <c r="M1746" s="2367"/>
      <c r="N1746" s="2367"/>
      <c r="O1746" s="2367"/>
      <c r="P1746" s="2367"/>
      <c r="Q1746" s="2367"/>
      <c r="R1746" s="2367"/>
    </row>
    <row r="1747" spans="1:18">
      <c r="A1747" s="2367"/>
      <c r="B1747" s="2367"/>
      <c r="C1747" s="2367"/>
      <c r="D1747" s="2367"/>
      <c r="E1747" s="2367"/>
      <c r="F1747" s="2367"/>
      <c r="G1747" s="2367"/>
      <c r="H1747" s="2367"/>
      <c r="I1747" s="2367"/>
      <c r="J1747" s="2367"/>
      <c r="K1747" s="2367"/>
      <c r="L1747" s="2367"/>
      <c r="M1747" s="2367"/>
      <c r="N1747" s="2367"/>
      <c r="O1747" s="2367"/>
      <c r="P1747" s="2367"/>
      <c r="Q1747" s="2367"/>
      <c r="R1747" s="2367"/>
    </row>
    <row r="1748" spans="1:18">
      <c r="A1748" s="2367"/>
      <c r="B1748" s="2367"/>
      <c r="C1748" s="2367"/>
      <c r="D1748" s="2367"/>
      <c r="E1748" s="2367"/>
      <c r="F1748" s="2367"/>
      <c r="G1748" s="2367"/>
      <c r="H1748" s="2367"/>
      <c r="I1748" s="2367"/>
      <c r="J1748" s="2367"/>
      <c r="K1748" s="2367"/>
      <c r="L1748" s="2367"/>
      <c r="M1748" s="2367"/>
      <c r="N1748" s="2367"/>
      <c r="O1748" s="2367"/>
      <c r="P1748" s="2367"/>
      <c r="Q1748" s="2367"/>
      <c r="R1748" s="2367"/>
    </row>
    <row r="1749" spans="1:18">
      <c r="A1749" s="2367"/>
      <c r="B1749" s="2367"/>
      <c r="C1749" s="2367"/>
      <c r="D1749" s="2367"/>
      <c r="E1749" s="2367"/>
      <c r="F1749" s="2367"/>
      <c r="G1749" s="2367"/>
      <c r="H1749" s="2367"/>
      <c r="I1749" s="2367"/>
      <c r="J1749" s="2367"/>
      <c r="K1749" s="2367"/>
      <c r="L1749" s="2367"/>
      <c r="M1749" s="2367"/>
      <c r="N1749" s="2367"/>
      <c r="O1749" s="2367"/>
      <c r="P1749" s="2367"/>
      <c r="Q1749" s="2367"/>
      <c r="R1749" s="2367"/>
    </row>
    <row r="1750" spans="1:18">
      <c r="A1750" s="2367"/>
      <c r="B1750" s="2367"/>
      <c r="C1750" s="2367"/>
      <c r="D1750" s="2367"/>
      <c r="E1750" s="2367"/>
      <c r="F1750" s="2367"/>
      <c r="G1750" s="2367"/>
      <c r="H1750" s="2367"/>
      <c r="I1750" s="2367"/>
      <c r="J1750" s="2367"/>
      <c r="K1750" s="2367"/>
      <c r="L1750" s="2367"/>
      <c r="M1750" s="2367"/>
      <c r="N1750" s="2367"/>
      <c r="O1750" s="2367"/>
      <c r="P1750" s="2367"/>
      <c r="Q1750" s="2367"/>
      <c r="R1750" s="2367"/>
    </row>
    <row r="1751" spans="1:18">
      <c r="A1751" s="2367"/>
      <c r="B1751" s="2367"/>
      <c r="C1751" s="2367"/>
      <c r="D1751" s="2367"/>
      <c r="E1751" s="2367"/>
      <c r="F1751" s="2367"/>
      <c r="G1751" s="2367"/>
      <c r="H1751" s="2367"/>
      <c r="I1751" s="2367"/>
      <c r="J1751" s="2367"/>
      <c r="K1751" s="2367"/>
      <c r="L1751" s="2367"/>
      <c r="M1751" s="2367"/>
      <c r="N1751" s="2367"/>
      <c r="O1751" s="2367"/>
      <c r="P1751" s="2367"/>
      <c r="Q1751" s="2367"/>
      <c r="R1751" s="2367"/>
    </row>
    <row r="1752" spans="1:18">
      <c r="A1752" s="2367"/>
      <c r="B1752" s="2367"/>
      <c r="C1752" s="2367"/>
      <c r="D1752" s="2367"/>
      <c r="E1752" s="2367"/>
      <c r="F1752" s="2367"/>
      <c r="G1752" s="2367"/>
      <c r="H1752" s="2367"/>
      <c r="I1752" s="2367"/>
      <c r="J1752" s="2367"/>
      <c r="K1752" s="2367"/>
      <c r="L1752" s="2367"/>
      <c r="M1752" s="2367"/>
      <c r="N1752" s="2367"/>
      <c r="O1752" s="2367"/>
      <c r="P1752" s="2367"/>
      <c r="Q1752" s="2367"/>
      <c r="R1752" s="2367"/>
    </row>
    <row r="1753" spans="1:18">
      <c r="A1753" s="2367"/>
      <c r="B1753" s="2367"/>
      <c r="C1753" s="2367"/>
      <c r="D1753" s="2367"/>
      <c r="E1753" s="2367"/>
      <c r="F1753" s="2367"/>
      <c r="G1753" s="2367"/>
      <c r="H1753" s="2367"/>
      <c r="I1753" s="2367"/>
      <c r="J1753" s="2367"/>
      <c r="K1753" s="2367"/>
      <c r="L1753" s="2367"/>
      <c r="M1753" s="2367"/>
      <c r="N1753" s="2367"/>
      <c r="O1753" s="2367"/>
      <c r="P1753" s="2367"/>
      <c r="Q1753" s="2367"/>
      <c r="R1753" s="2367"/>
    </row>
    <row r="1754" spans="1:18">
      <c r="A1754" s="2367"/>
      <c r="B1754" s="2367"/>
      <c r="C1754" s="2367"/>
      <c r="D1754" s="2367"/>
      <c r="E1754" s="2367"/>
      <c r="F1754" s="2367"/>
      <c r="G1754" s="2367"/>
      <c r="H1754" s="2367"/>
      <c r="I1754" s="2367"/>
      <c r="J1754" s="2367"/>
      <c r="K1754" s="2367"/>
      <c r="L1754" s="2367"/>
      <c r="M1754" s="2367"/>
      <c r="N1754" s="2367"/>
      <c r="O1754" s="2367"/>
      <c r="P1754" s="2367"/>
      <c r="Q1754" s="2367"/>
      <c r="R1754" s="2367"/>
    </row>
    <row r="1755" spans="1:18">
      <c r="A1755" s="2367"/>
      <c r="B1755" s="2367"/>
      <c r="C1755" s="2367"/>
      <c r="D1755" s="2367"/>
      <c r="E1755" s="2367"/>
      <c r="F1755" s="2367"/>
      <c r="G1755" s="2367"/>
      <c r="H1755" s="2367"/>
      <c r="I1755" s="2367"/>
      <c r="J1755" s="2367"/>
      <c r="K1755" s="2367"/>
      <c r="L1755" s="2367"/>
      <c r="M1755" s="2367"/>
      <c r="N1755" s="2367"/>
      <c r="O1755" s="2367"/>
      <c r="P1755" s="2367"/>
      <c r="Q1755" s="2367"/>
      <c r="R1755" s="2367"/>
    </row>
    <row r="1756" spans="1:18">
      <c r="A1756" s="2367"/>
      <c r="B1756" s="2367"/>
      <c r="C1756" s="2367"/>
      <c r="D1756" s="2367"/>
      <c r="E1756" s="2367"/>
      <c r="F1756" s="2367"/>
      <c r="G1756" s="2367"/>
      <c r="H1756" s="2367"/>
      <c r="I1756" s="2367"/>
      <c r="J1756" s="2367"/>
      <c r="K1756" s="2367"/>
      <c r="L1756" s="2367"/>
      <c r="M1756" s="2367"/>
      <c r="N1756" s="2367"/>
      <c r="O1756" s="2367"/>
      <c r="P1756" s="2367"/>
      <c r="Q1756" s="2367"/>
      <c r="R1756" s="2367"/>
    </row>
    <row r="1757" spans="1:18">
      <c r="A1757" s="2367"/>
      <c r="B1757" s="2367"/>
      <c r="C1757" s="2367"/>
      <c r="D1757" s="2367"/>
      <c r="E1757" s="2367"/>
      <c r="F1757" s="2367"/>
      <c r="G1757" s="2367"/>
      <c r="H1757" s="2367"/>
      <c r="I1757" s="2367"/>
      <c r="J1757" s="2367"/>
      <c r="K1757" s="2367"/>
      <c r="L1757" s="2367"/>
      <c r="M1757" s="2367"/>
      <c r="N1757" s="2367"/>
      <c r="O1757" s="2367"/>
      <c r="P1757" s="2367"/>
      <c r="Q1757" s="2367"/>
      <c r="R1757" s="2367"/>
    </row>
    <row r="1758" spans="1:18">
      <c r="A1758" s="2367"/>
      <c r="B1758" s="2367"/>
      <c r="C1758" s="2367"/>
      <c r="D1758" s="2367"/>
      <c r="E1758" s="2367"/>
      <c r="F1758" s="2367"/>
      <c r="G1758" s="2367"/>
      <c r="H1758" s="2367"/>
      <c r="I1758" s="2367"/>
      <c r="J1758" s="2367"/>
      <c r="K1758" s="2367"/>
      <c r="L1758" s="2367"/>
      <c r="M1758" s="2367"/>
      <c r="N1758" s="2367"/>
      <c r="O1758" s="2367"/>
      <c r="P1758" s="2367"/>
      <c r="Q1758" s="2367"/>
      <c r="R1758" s="2367"/>
    </row>
    <row r="1759" spans="1:18">
      <c r="A1759" s="2367"/>
      <c r="B1759" s="2367"/>
      <c r="C1759" s="2367"/>
      <c r="D1759" s="2367"/>
      <c r="E1759" s="2367"/>
      <c r="F1759" s="2367"/>
      <c r="G1759" s="2367"/>
      <c r="H1759" s="2367"/>
      <c r="I1759" s="2367"/>
      <c r="J1759" s="2367"/>
      <c r="K1759" s="2367"/>
      <c r="L1759" s="2367"/>
      <c r="M1759" s="2367"/>
      <c r="N1759" s="2367"/>
      <c r="O1759" s="2367"/>
      <c r="P1759" s="2367"/>
      <c r="Q1759" s="2367"/>
      <c r="R1759" s="2367"/>
    </row>
    <row r="1760" spans="1:18">
      <c r="A1760" s="2367"/>
      <c r="B1760" s="2367"/>
      <c r="C1760" s="2367"/>
      <c r="D1760" s="2367"/>
      <c r="E1760" s="2367"/>
      <c r="F1760" s="2367"/>
      <c r="G1760" s="2367"/>
      <c r="H1760" s="2367"/>
      <c r="I1760" s="2367"/>
      <c r="J1760" s="2367"/>
      <c r="K1760" s="2367"/>
      <c r="L1760" s="2367"/>
      <c r="M1760" s="2367"/>
      <c r="N1760" s="2367"/>
      <c r="O1760" s="2367"/>
      <c r="P1760" s="2367"/>
      <c r="Q1760" s="2367"/>
      <c r="R1760" s="2367"/>
    </row>
    <row r="1761" spans="1:18">
      <c r="A1761" s="2367"/>
      <c r="B1761" s="2367"/>
      <c r="C1761" s="2367"/>
      <c r="D1761" s="2367"/>
      <c r="E1761" s="2367"/>
      <c r="F1761" s="2367"/>
      <c r="G1761" s="2367"/>
      <c r="H1761" s="2367"/>
      <c r="I1761" s="2367"/>
      <c r="J1761" s="2367"/>
      <c r="K1761" s="2367"/>
      <c r="L1761" s="2367"/>
      <c r="M1761" s="2367"/>
      <c r="N1761" s="2367"/>
      <c r="O1761" s="2367"/>
      <c r="P1761" s="2367"/>
      <c r="Q1761" s="2367"/>
      <c r="R1761" s="2367"/>
    </row>
    <row r="1762" spans="1:18">
      <c r="A1762" s="2367"/>
      <c r="B1762" s="2367"/>
      <c r="C1762" s="2367"/>
      <c r="D1762" s="2367"/>
      <c r="E1762" s="2367"/>
      <c r="F1762" s="2367"/>
      <c r="G1762" s="2367"/>
      <c r="H1762" s="2367"/>
      <c r="I1762" s="2367"/>
      <c r="J1762" s="2367"/>
      <c r="K1762" s="2367"/>
      <c r="L1762" s="2367"/>
      <c r="M1762" s="2367"/>
      <c r="N1762" s="2367"/>
      <c r="O1762" s="2367"/>
      <c r="P1762" s="2367"/>
      <c r="Q1762" s="2367"/>
      <c r="R1762" s="2367"/>
    </row>
    <row r="1763" spans="1:18">
      <c r="A1763" s="2367"/>
      <c r="B1763" s="2367"/>
      <c r="C1763" s="2367"/>
      <c r="D1763" s="2367"/>
      <c r="E1763" s="2367"/>
      <c r="F1763" s="2367"/>
      <c r="G1763" s="2367"/>
      <c r="H1763" s="2367"/>
      <c r="I1763" s="2367"/>
      <c r="J1763" s="2367"/>
      <c r="K1763" s="2367"/>
      <c r="L1763" s="2367"/>
      <c r="M1763" s="2367"/>
      <c r="N1763" s="2367"/>
      <c r="O1763" s="2367"/>
      <c r="P1763" s="2367"/>
      <c r="Q1763" s="2367"/>
      <c r="R1763" s="2367"/>
    </row>
    <row r="1764" spans="1:18">
      <c r="A1764" s="2367"/>
      <c r="B1764" s="2367"/>
      <c r="C1764" s="2367"/>
      <c r="D1764" s="2367"/>
      <c r="E1764" s="2367"/>
      <c r="F1764" s="2367"/>
      <c r="G1764" s="2367"/>
      <c r="H1764" s="2367"/>
      <c r="I1764" s="2367"/>
      <c r="J1764" s="2367"/>
      <c r="K1764" s="2367"/>
      <c r="L1764" s="2367"/>
      <c r="M1764" s="2367"/>
      <c r="N1764" s="2367"/>
      <c r="O1764" s="2367"/>
      <c r="P1764" s="2367"/>
      <c r="Q1764" s="2367"/>
      <c r="R1764" s="2367"/>
    </row>
    <row r="1765" spans="1:18">
      <c r="A1765" s="2367"/>
      <c r="B1765" s="2367"/>
      <c r="C1765" s="2367"/>
      <c r="D1765" s="2367"/>
      <c r="E1765" s="2367"/>
      <c r="F1765" s="2367"/>
      <c r="G1765" s="2367"/>
      <c r="H1765" s="2367"/>
      <c r="I1765" s="2367"/>
      <c r="J1765" s="2367"/>
      <c r="K1765" s="2367"/>
      <c r="L1765" s="2367"/>
      <c r="M1765" s="2367"/>
      <c r="N1765" s="2367"/>
      <c r="O1765" s="2367"/>
      <c r="P1765" s="2367"/>
      <c r="Q1765" s="2367"/>
      <c r="R1765" s="2367"/>
    </row>
    <row r="1766" spans="1:18">
      <c r="A1766" s="2367"/>
      <c r="B1766" s="2367"/>
      <c r="C1766" s="2367"/>
      <c r="D1766" s="2367"/>
      <c r="E1766" s="2367"/>
      <c r="F1766" s="2367"/>
      <c r="G1766" s="2367"/>
      <c r="H1766" s="2367"/>
      <c r="I1766" s="2367"/>
      <c r="J1766" s="2367"/>
      <c r="K1766" s="2367"/>
      <c r="L1766" s="2367"/>
      <c r="M1766" s="2367"/>
      <c r="N1766" s="2367"/>
      <c r="O1766" s="2367"/>
      <c r="P1766" s="2367"/>
      <c r="Q1766" s="2367"/>
      <c r="R1766" s="2367"/>
    </row>
    <row r="1767" spans="1:18">
      <c r="A1767" s="2367"/>
      <c r="B1767" s="2367"/>
      <c r="C1767" s="2367"/>
      <c r="D1767" s="2367"/>
      <c r="E1767" s="2367"/>
      <c r="F1767" s="2367"/>
      <c r="G1767" s="2367"/>
      <c r="H1767" s="2367"/>
      <c r="I1767" s="2367"/>
      <c r="J1767" s="2367"/>
      <c r="K1767" s="2367"/>
      <c r="L1767" s="2367"/>
      <c r="M1767" s="2367"/>
      <c r="N1767" s="2367"/>
      <c r="O1767" s="2367"/>
      <c r="P1767" s="2367"/>
      <c r="Q1767" s="2367"/>
      <c r="R1767" s="2367"/>
    </row>
    <row r="1768" spans="1:18">
      <c r="A1768" s="2367"/>
      <c r="B1768" s="2367"/>
      <c r="C1768" s="2367"/>
      <c r="D1768" s="2367"/>
      <c r="E1768" s="2367"/>
      <c r="F1768" s="2367"/>
      <c r="G1768" s="2367"/>
      <c r="H1768" s="2367"/>
      <c r="I1768" s="2367"/>
      <c r="J1768" s="2367"/>
      <c r="K1768" s="2367"/>
      <c r="L1768" s="2367"/>
      <c r="M1768" s="2367"/>
      <c r="N1768" s="2367"/>
      <c r="O1768" s="2367"/>
      <c r="P1768" s="2367"/>
      <c r="Q1768" s="2367"/>
      <c r="R1768" s="2367"/>
    </row>
    <row r="1769" spans="1:18">
      <c r="A1769" s="2367"/>
      <c r="B1769" s="2367"/>
      <c r="C1769" s="2367"/>
      <c r="D1769" s="2367"/>
      <c r="E1769" s="2367"/>
      <c r="F1769" s="2367"/>
      <c r="G1769" s="2367"/>
      <c r="H1769" s="2367"/>
      <c r="I1769" s="2367"/>
      <c r="J1769" s="2367"/>
      <c r="K1769" s="2367"/>
      <c r="L1769" s="2367"/>
      <c r="M1769" s="2367"/>
      <c r="N1769" s="2367"/>
      <c r="O1769" s="2367"/>
      <c r="P1769" s="2367"/>
      <c r="Q1769" s="2367"/>
      <c r="R1769" s="2367"/>
    </row>
    <row r="1770" spans="1:18">
      <c r="A1770" s="2367"/>
      <c r="B1770" s="2367"/>
      <c r="C1770" s="2367"/>
      <c r="D1770" s="2367"/>
      <c r="E1770" s="2367"/>
      <c r="F1770" s="2367"/>
      <c r="G1770" s="2367"/>
      <c r="H1770" s="2367"/>
      <c r="I1770" s="2367"/>
      <c r="J1770" s="2367"/>
      <c r="K1770" s="2367"/>
      <c r="L1770" s="2367"/>
      <c r="M1770" s="2367"/>
      <c r="N1770" s="2367"/>
      <c r="O1770" s="2367"/>
      <c r="P1770" s="2367"/>
      <c r="Q1770" s="2367"/>
      <c r="R1770" s="2367"/>
    </row>
    <row r="1771" spans="1:18">
      <c r="A1771" s="2367"/>
      <c r="B1771" s="2367"/>
      <c r="C1771" s="2367"/>
      <c r="D1771" s="2367"/>
      <c r="E1771" s="2367"/>
      <c r="F1771" s="2367"/>
      <c r="G1771" s="2367"/>
      <c r="H1771" s="2367"/>
      <c r="I1771" s="2367"/>
      <c r="J1771" s="2367"/>
      <c r="K1771" s="2367"/>
      <c r="L1771" s="2367"/>
      <c r="M1771" s="2367"/>
      <c r="N1771" s="2367"/>
      <c r="O1771" s="2367"/>
      <c r="P1771" s="2367"/>
      <c r="Q1771" s="2367"/>
      <c r="R1771" s="2367"/>
    </row>
    <row r="1772" spans="1:18">
      <c r="A1772" s="2367"/>
      <c r="B1772" s="2367"/>
      <c r="C1772" s="2367"/>
      <c r="D1772" s="2367"/>
      <c r="E1772" s="2367"/>
      <c r="F1772" s="2367"/>
      <c r="G1772" s="2367"/>
      <c r="H1772" s="2367"/>
      <c r="I1772" s="2367"/>
      <c r="J1772" s="2367"/>
      <c r="K1772" s="2367"/>
      <c r="L1772" s="2367"/>
      <c r="M1772" s="2367"/>
      <c r="N1772" s="2367"/>
      <c r="O1772" s="2367"/>
      <c r="P1772" s="2367"/>
      <c r="Q1772" s="2367"/>
      <c r="R1772" s="2367"/>
    </row>
    <row r="1773" spans="1:18">
      <c r="A1773" s="2367"/>
      <c r="B1773" s="2367"/>
      <c r="C1773" s="2367"/>
      <c r="D1773" s="2367"/>
      <c r="E1773" s="2367"/>
      <c r="F1773" s="2367"/>
      <c r="G1773" s="2367"/>
      <c r="H1773" s="2367"/>
      <c r="I1773" s="2367"/>
      <c r="J1773" s="2367"/>
      <c r="K1773" s="2367"/>
      <c r="L1773" s="2367"/>
      <c r="M1773" s="2367"/>
      <c r="N1773" s="2367"/>
      <c r="O1773" s="2367"/>
      <c r="P1773" s="2367"/>
      <c r="Q1773" s="2367"/>
      <c r="R1773" s="2367"/>
    </row>
    <row r="1774" spans="1:18">
      <c r="A1774" s="2367"/>
      <c r="B1774" s="2367"/>
      <c r="C1774" s="2367"/>
      <c r="D1774" s="2367"/>
      <c r="E1774" s="2367"/>
      <c r="F1774" s="2367"/>
      <c r="G1774" s="2367"/>
      <c r="H1774" s="2367"/>
      <c r="I1774" s="2367"/>
      <c r="J1774" s="2367"/>
      <c r="K1774" s="2367"/>
      <c r="L1774" s="2367"/>
      <c r="M1774" s="2367"/>
      <c r="N1774" s="2367"/>
      <c r="O1774" s="2367"/>
      <c r="P1774" s="2367"/>
      <c r="Q1774" s="2367"/>
      <c r="R1774" s="2367"/>
    </row>
    <row r="1775" spans="1:18">
      <c r="A1775" s="2367"/>
      <c r="B1775" s="2367"/>
      <c r="C1775" s="2367"/>
      <c r="D1775" s="2367"/>
      <c r="E1775" s="2367"/>
      <c r="F1775" s="2367"/>
      <c r="G1775" s="2367"/>
      <c r="H1775" s="2367"/>
      <c r="I1775" s="2367"/>
      <c r="J1775" s="2367"/>
      <c r="K1775" s="2367"/>
      <c r="L1775" s="2367"/>
      <c r="M1775" s="2367"/>
      <c r="N1775" s="2367"/>
      <c r="O1775" s="2367"/>
      <c r="P1775" s="2367"/>
      <c r="Q1775" s="2367"/>
      <c r="R1775" s="2367"/>
    </row>
    <row r="1776" spans="1:18">
      <c r="A1776" s="2367"/>
      <c r="B1776" s="2367"/>
      <c r="C1776" s="2367"/>
      <c r="D1776" s="2367"/>
      <c r="E1776" s="2367"/>
      <c r="F1776" s="2367"/>
      <c r="G1776" s="2367"/>
      <c r="H1776" s="2367"/>
      <c r="I1776" s="2367"/>
      <c r="J1776" s="2367"/>
      <c r="K1776" s="2367"/>
      <c r="L1776" s="2367"/>
      <c r="M1776" s="2367"/>
      <c r="N1776" s="2367"/>
      <c r="O1776" s="2367"/>
      <c r="P1776" s="2367"/>
      <c r="Q1776" s="2367"/>
      <c r="R1776" s="2367"/>
    </row>
    <row r="1777" spans="1:18">
      <c r="A1777" s="2367"/>
      <c r="B1777" s="2367"/>
      <c r="C1777" s="2367"/>
      <c r="D1777" s="2367"/>
      <c r="E1777" s="2367"/>
      <c r="F1777" s="2367"/>
      <c r="G1777" s="2367"/>
      <c r="H1777" s="2367"/>
      <c r="I1777" s="2367"/>
      <c r="J1777" s="2367"/>
      <c r="K1777" s="2367"/>
      <c r="L1777" s="2367"/>
      <c r="M1777" s="2367"/>
      <c r="N1777" s="2367"/>
      <c r="O1777" s="2367"/>
      <c r="P1777" s="2367"/>
      <c r="Q1777" s="2367"/>
      <c r="R1777" s="2367"/>
    </row>
    <row r="1778" spans="1:18">
      <c r="A1778" s="2367"/>
      <c r="B1778" s="2367"/>
      <c r="C1778" s="2367"/>
      <c r="D1778" s="2367"/>
      <c r="E1778" s="2367"/>
      <c r="F1778" s="2367"/>
      <c r="G1778" s="2367"/>
      <c r="H1778" s="2367"/>
      <c r="I1778" s="2367"/>
      <c r="J1778" s="2367"/>
      <c r="K1778" s="2367"/>
      <c r="L1778" s="2367"/>
      <c r="M1778" s="2367"/>
      <c r="N1778" s="2367"/>
      <c r="O1778" s="2367"/>
      <c r="P1778" s="2367"/>
      <c r="Q1778" s="2367"/>
      <c r="R1778" s="2367"/>
    </row>
    <row r="1779" spans="1:18">
      <c r="A1779" s="2367"/>
      <c r="B1779" s="2367"/>
      <c r="C1779" s="2367"/>
      <c r="D1779" s="2367"/>
      <c r="E1779" s="2367"/>
      <c r="F1779" s="2367"/>
      <c r="G1779" s="2367"/>
      <c r="H1779" s="2367"/>
      <c r="I1779" s="2367"/>
      <c r="J1779" s="2367"/>
      <c r="K1779" s="2367"/>
      <c r="L1779" s="2367"/>
      <c r="M1779" s="2367"/>
      <c r="N1779" s="2367"/>
      <c r="O1779" s="2367"/>
      <c r="P1779" s="2367"/>
      <c r="Q1779" s="2367"/>
      <c r="R1779" s="2367"/>
    </row>
    <row r="1780" spans="1:18">
      <c r="A1780" s="2367"/>
      <c r="B1780" s="2367"/>
      <c r="C1780" s="2367"/>
      <c r="D1780" s="2367"/>
      <c r="E1780" s="2367"/>
      <c r="F1780" s="2367"/>
      <c r="G1780" s="2367"/>
      <c r="H1780" s="2367"/>
      <c r="I1780" s="2367"/>
      <c r="J1780" s="2367"/>
      <c r="K1780" s="2367"/>
      <c r="L1780" s="2367"/>
      <c r="M1780" s="2367"/>
      <c r="N1780" s="2367"/>
      <c r="O1780" s="2367"/>
      <c r="P1780" s="2367"/>
      <c r="Q1780" s="2367"/>
      <c r="R1780" s="2367"/>
    </row>
    <row r="1781" spans="1:18">
      <c r="A1781" s="2367"/>
      <c r="B1781" s="2367"/>
      <c r="C1781" s="2367"/>
      <c r="D1781" s="2367"/>
      <c r="E1781" s="2367"/>
      <c r="F1781" s="2367"/>
      <c r="G1781" s="2367"/>
      <c r="H1781" s="2367"/>
      <c r="I1781" s="2367"/>
      <c r="J1781" s="2367"/>
      <c r="K1781" s="2367"/>
      <c r="L1781" s="2367"/>
      <c r="M1781" s="2367"/>
      <c r="N1781" s="2367"/>
      <c r="O1781" s="2367"/>
      <c r="P1781" s="2367"/>
      <c r="Q1781" s="2367"/>
      <c r="R1781" s="2367"/>
    </row>
    <row r="1782" spans="1:18">
      <c r="A1782" s="2367"/>
      <c r="B1782" s="2367"/>
      <c r="C1782" s="2367"/>
      <c r="D1782" s="2367"/>
      <c r="E1782" s="2367"/>
      <c r="F1782" s="2367"/>
      <c r="G1782" s="2367"/>
      <c r="H1782" s="2367"/>
      <c r="I1782" s="2367"/>
      <c r="J1782" s="2367"/>
      <c r="K1782" s="2367"/>
      <c r="L1782" s="2367"/>
      <c r="M1782" s="2367"/>
      <c r="N1782" s="2367"/>
      <c r="O1782" s="2367"/>
      <c r="P1782" s="2367"/>
      <c r="Q1782" s="2367"/>
      <c r="R1782" s="2367"/>
    </row>
    <row r="1783" spans="1:18">
      <c r="A1783" s="2367"/>
      <c r="B1783" s="2367"/>
      <c r="C1783" s="2367"/>
      <c r="D1783" s="2367"/>
      <c r="E1783" s="2367"/>
      <c r="F1783" s="2367"/>
      <c r="G1783" s="2367"/>
      <c r="H1783" s="2367"/>
      <c r="I1783" s="2367"/>
      <c r="J1783" s="2367"/>
      <c r="K1783" s="2367"/>
      <c r="L1783" s="2367"/>
      <c r="M1783" s="2367"/>
      <c r="N1783" s="2367"/>
      <c r="O1783" s="2367"/>
      <c r="P1783" s="2367"/>
      <c r="Q1783" s="2367"/>
      <c r="R1783" s="2367"/>
    </row>
    <row r="1784" spans="1:18">
      <c r="A1784" s="2367"/>
      <c r="B1784" s="2367"/>
      <c r="C1784" s="2367"/>
      <c r="D1784" s="2367"/>
      <c r="E1784" s="2367"/>
      <c r="F1784" s="2367"/>
      <c r="G1784" s="2367"/>
      <c r="H1784" s="2367"/>
      <c r="I1784" s="2367"/>
      <c r="J1784" s="2367"/>
      <c r="K1784" s="2367"/>
      <c r="L1784" s="2367"/>
      <c r="M1784" s="2367"/>
      <c r="N1784" s="2367"/>
      <c r="O1784" s="2367"/>
      <c r="P1784" s="2367"/>
      <c r="Q1784" s="2367"/>
      <c r="R1784" s="2367"/>
    </row>
    <row r="1785" spans="1:18">
      <c r="A1785" s="2367"/>
      <c r="B1785" s="2367"/>
      <c r="C1785" s="2367"/>
      <c r="D1785" s="2367"/>
      <c r="E1785" s="2367"/>
      <c r="F1785" s="2367"/>
      <c r="G1785" s="2367"/>
      <c r="H1785" s="2367"/>
      <c r="I1785" s="2367"/>
      <c r="J1785" s="2367"/>
      <c r="K1785" s="2367"/>
      <c r="L1785" s="2367"/>
      <c r="M1785" s="2367"/>
      <c r="N1785" s="2367"/>
      <c r="O1785" s="2367"/>
      <c r="P1785" s="2367"/>
      <c r="Q1785" s="2367"/>
      <c r="R1785" s="2367"/>
    </row>
    <row r="1786" spans="1:18">
      <c r="A1786" s="2367"/>
      <c r="B1786" s="2367"/>
      <c r="C1786" s="2367"/>
      <c r="D1786" s="2367"/>
      <c r="E1786" s="2367"/>
      <c r="F1786" s="2367"/>
      <c r="G1786" s="2367"/>
      <c r="H1786" s="2367"/>
      <c r="I1786" s="2367"/>
      <c r="J1786" s="2367"/>
      <c r="K1786" s="2367"/>
      <c r="L1786" s="2367"/>
      <c r="M1786" s="2367"/>
      <c r="N1786" s="2367"/>
      <c r="O1786" s="2367"/>
      <c r="P1786" s="2367"/>
      <c r="Q1786" s="2367"/>
      <c r="R1786" s="2367"/>
    </row>
    <row r="1787" spans="1:18">
      <c r="A1787" s="2367"/>
      <c r="B1787" s="2367"/>
      <c r="C1787" s="2367"/>
      <c r="D1787" s="2367"/>
      <c r="E1787" s="2367"/>
      <c r="F1787" s="2367"/>
      <c r="G1787" s="2367"/>
      <c r="H1787" s="2367"/>
      <c r="I1787" s="2367"/>
      <c r="J1787" s="2367"/>
      <c r="K1787" s="2367"/>
      <c r="L1787" s="2367"/>
      <c r="M1787" s="2367"/>
      <c r="N1787" s="2367"/>
      <c r="O1787" s="2367"/>
      <c r="P1787" s="2367"/>
      <c r="Q1787" s="2367"/>
      <c r="R1787" s="2367"/>
    </row>
    <row r="1788" spans="1:18">
      <c r="A1788" s="2367"/>
      <c r="B1788" s="2367"/>
      <c r="C1788" s="2367"/>
      <c r="D1788" s="2367"/>
      <c r="E1788" s="2367"/>
      <c r="F1788" s="2367"/>
      <c r="G1788" s="2367"/>
      <c r="H1788" s="2367"/>
      <c r="I1788" s="2367"/>
      <c r="J1788" s="2367"/>
      <c r="K1788" s="2367"/>
      <c r="L1788" s="2367"/>
      <c r="M1788" s="2367"/>
      <c r="N1788" s="2367"/>
      <c r="O1788" s="2367"/>
      <c r="P1788" s="2367"/>
      <c r="Q1788" s="2367"/>
      <c r="R1788" s="2367"/>
    </row>
    <row r="1789" spans="1:18">
      <c r="A1789" s="2367"/>
      <c r="B1789" s="2367"/>
      <c r="C1789" s="2367"/>
      <c r="D1789" s="2367"/>
      <c r="E1789" s="2367"/>
      <c r="F1789" s="2367"/>
      <c r="G1789" s="2367"/>
      <c r="H1789" s="2367"/>
      <c r="I1789" s="2367"/>
      <c r="J1789" s="2367"/>
      <c r="K1789" s="2367"/>
      <c r="L1789" s="2367"/>
      <c r="M1789" s="2367"/>
      <c r="N1789" s="2367"/>
      <c r="O1789" s="2367"/>
      <c r="P1789" s="2367"/>
      <c r="Q1789" s="2367"/>
      <c r="R1789" s="2367"/>
    </row>
    <row r="1790" spans="1:18">
      <c r="A1790" s="2367"/>
      <c r="B1790" s="2367"/>
      <c r="C1790" s="2367"/>
      <c r="D1790" s="2367"/>
      <c r="E1790" s="2367"/>
      <c r="F1790" s="2367"/>
      <c r="G1790" s="2367"/>
      <c r="H1790" s="2367"/>
      <c r="I1790" s="2367"/>
      <c r="J1790" s="2367"/>
      <c r="K1790" s="2367"/>
      <c r="L1790" s="2367"/>
      <c r="M1790" s="2367"/>
      <c r="N1790" s="2367"/>
      <c r="O1790" s="2367"/>
      <c r="P1790" s="2367"/>
      <c r="Q1790" s="2367"/>
      <c r="R1790" s="2367"/>
    </row>
    <row r="1791" spans="1:18">
      <c r="A1791" s="2367"/>
      <c r="B1791" s="2367"/>
      <c r="C1791" s="2367"/>
      <c r="D1791" s="2367"/>
      <c r="E1791" s="2367"/>
      <c r="F1791" s="2367"/>
      <c r="G1791" s="2367"/>
      <c r="H1791" s="2367"/>
      <c r="I1791" s="2367"/>
      <c r="J1791" s="2367"/>
      <c r="K1791" s="2367"/>
      <c r="L1791" s="2367"/>
      <c r="M1791" s="2367"/>
      <c r="N1791" s="2367"/>
      <c r="O1791" s="2367"/>
      <c r="P1791" s="2367"/>
      <c r="Q1791" s="2367"/>
      <c r="R1791" s="2367"/>
    </row>
    <row r="1792" spans="1:18">
      <c r="A1792" s="2367"/>
      <c r="B1792" s="2367"/>
      <c r="C1792" s="2367"/>
      <c r="D1792" s="2367"/>
      <c r="E1792" s="2367"/>
      <c r="F1792" s="2367"/>
      <c r="G1792" s="2367"/>
      <c r="H1792" s="2367"/>
      <c r="I1792" s="2367"/>
      <c r="J1792" s="2367"/>
      <c r="K1792" s="2367"/>
      <c r="L1792" s="2367"/>
      <c r="M1792" s="2367"/>
      <c r="N1792" s="2367"/>
      <c r="O1792" s="2367"/>
      <c r="P1792" s="2367"/>
      <c r="Q1792" s="2367"/>
      <c r="R1792" s="2367"/>
    </row>
    <row r="1793" spans="1:18">
      <c r="A1793" s="2367"/>
      <c r="B1793" s="2367"/>
      <c r="C1793" s="2367"/>
      <c r="D1793" s="2367"/>
      <c r="E1793" s="2367"/>
      <c r="F1793" s="2367"/>
      <c r="G1793" s="2367"/>
      <c r="H1793" s="2367"/>
      <c r="I1793" s="2367"/>
      <c r="J1793" s="2367"/>
      <c r="K1793" s="2367"/>
      <c r="L1793" s="2367"/>
      <c r="M1793" s="2367"/>
      <c r="N1793" s="2367"/>
      <c r="O1793" s="2367"/>
      <c r="P1793" s="2367"/>
      <c r="Q1793" s="2367"/>
      <c r="R1793" s="2367"/>
    </row>
    <row r="1794" spans="1:18">
      <c r="A1794" s="2367"/>
      <c r="B1794" s="2367"/>
      <c r="C1794" s="2367"/>
      <c r="D1794" s="2367"/>
      <c r="E1794" s="2367"/>
      <c r="F1794" s="2367"/>
      <c r="G1794" s="2367"/>
      <c r="H1794" s="2367"/>
      <c r="I1794" s="2367"/>
      <c r="J1794" s="2367"/>
      <c r="K1794" s="2367"/>
      <c r="L1794" s="2367"/>
      <c r="M1794" s="2367"/>
      <c r="N1794" s="2367"/>
      <c r="O1794" s="2367"/>
      <c r="P1794" s="2367"/>
      <c r="Q1794" s="2367"/>
      <c r="R1794" s="2367"/>
    </row>
    <row r="1795" spans="1:18">
      <c r="A1795" s="2367"/>
      <c r="B1795" s="2367"/>
      <c r="C1795" s="2367"/>
      <c r="D1795" s="2367"/>
      <c r="E1795" s="2367"/>
      <c r="F1795" s="2367"/>
      <c r="G1795" s="2367"/>
      <c r="H1795" s="2367"/>
      <c r="I1795" s="2367"/>
      <c r="J1795" s="2367"/>
      <c r="K1795" s="2367"/>
      <c r="L1795" s="2367"/>
      <c r="M1795" s="2367"/>
      <c r="N1795" s="2367"/>
      <c r="O1795" s="2367"/>
      <c r="P1795" s="2367"/>
      <c r="Q1795" s="2367"/>
      <c r="R1795" s="2367"/>
    </row>
    <row r="1796" spans="1:18">
      <c r="A1796" s="2367"/>
      <c r="B1796" s="2367"/>
      <c r="C1796" s="2367"/>
      <c r="D1796" s="2367"/>
      <c r="E1796" s="2367"/>
      <c r="F1796" s="2367"/>
      <c r="G1796" s="2367"/>
      <c r="H1796" s="2367"/>
      <c r="I1796" s="2367"/>
      <c r="J1796" s="2367"/>
      <c r="K1796" s="2367"/>
      <c r="L1796" s="2367"/>
      <c r="M1796" s="2367"/>
      <c r="N1796" s="2367"/>
      <c r="O1796" s="2367"/>
      <c r="P1796" s="2367"/>
      <c r="Q1796" s="2367"/>
      <c r="R1796" s="2367"/>
    </row>
    <row r="1797" spans="1:18">
      <c r="A1797" s="2367"/>
      <c r="B1797" s="2367"/>
      <c r="C1797" s="2367"/>
      <c r="D1797" s="2367"/>
      <c r="E1797" s="2367"/>
      <c r="F1797" s="2367"/>
      <c r="G1797" s="2367"/>
      <c r="H1797" s="2367"/>
      <c r="I1797" s="2367"/>
      <c r="J1797" s="2367"/>
      <c r="K1797" s="2367"/>
      <c r="L1797" s="2367"/>
      <c r="M1797" s="2367"/>
      <c r="N1797" s="2367"/>
      <c r="O1797" s="2367"/>
      <c r="P1797" s="2367"/>
      <c r="Q1797" s="2367"/>
      <c r="R1797" s="2367"/>
    </row>
    <row r="1798" spans="1:18">
      <c r="A1798" s="2367"/>
      <c r="B1798" s="2367"/>
      <c r="C1798" s="2367"/>
      <c r="D1798" s="2367"/>
      <c r="E1798" s="2367"/>
      <c r="F1798" s="2367"/>
      <c r="G1798" s="2367"/>
      <c r="H1798" s="2367"/>
      <c r="I1798" s="2367"/>
      <c r="J1798" s="2367"/>
      <c r="K1798" s="2367"/>
      <c r="L1798" s="2367"/>
      <c r="M1798" s="2367"/>
      <c r="N1798" s="2367"/>
      <c r="O1798" s="2367"/>
      <c r="P1798" s="2367"/>
      <c r="Q1798" s="2367"/>
      <c r="R1798" s="2367"/>
    </row>
    <row r="1799" spans="1:18">
      <c r="A1799" s="2367"/>
      <c r="B1799" s="2367"/>
      <c r="C1799" s="2367"/>
      <c r="D1799" s="2367"/>
      <c r="E1799" s="2367"/>
      <c r="F1799" s="2367"/>
      <c r="G1799" s="2367"/>
      <c r="H1799" s="2367"/>
      <c r="I1799" s="2367"/>
      <c r="J1799" s="2367"/>
      <c r="K1799" s="2367"/>
      <c r="L1799" s="2367"/>
      <c r="M1799" s="2367"/>
      <c r="N1799" s="2367"/>
      <c r="O1799" s="2367"/>
      <c r="P1799" s="2367"/>
      <c r="Q1799" s="2367"/>
      <c r="R1799" s="2367"/>
    </row>
    <row r="1800" spans="1:18">
      <c r="A1800" s="2367"/>
      <c r="B1800" s="2367"/>
      <c r="C1800" s="2367"/>
      <c r="D1800" s="2367"/>
      <c r="E1800" s="2367"/>
      <c r="F1800" s="2367"/>
      <c r="G1800" s="2367"/>
      <c r="H1800" s="2367"/>
      <c r="I1800" s="2367"/>
      <c r="J1800" s="2367"/>
      <c r="K1800" s="2367"/>
      <c r="L1800" s="2367"/>
      <c r="M1800" s="2367"/>
      <c r="N1800" s="2367"/>
      <c r="O1800" s="2367"/>
      <c r="P1800" s="2367"/>
      <c r="Q1800" s="2367"/>
      <c r="R1800" s="2367"/>
    </row>
    <row r="1801" spans="1:18">
      <c r="A1801" s="2367"/>
      <c r="B1801" s="2367"/>
      <c r="C1801" s="2367"/>
      <c r="D1801" s="2367"/>
      <c r="E1801" s="2367"/>
      <c r="F1801" s="2367"/>
      <c r="G1801" s="2367"/>
      <c r="H1801" s="2367"/>
      <c r="I1801" s="2367"/>
      <c r="J1801" s="2367"/>
      <c r="K1801" s="2367"/>
      <c r="L1801" s="2367"/>
      <c r="M1801" s="2367"/>
      <c r="N1801" s="2367"/>
      <c r="O1801" s="2367"/>
      <c r="P1801" s="2367"/>
      <c r="Q1801" s="2367"/>
      <c r="R1801" s="2367"/>
    </row>
    <row r="1802" spans="1:18">
      <c r="A1802" s="2367"/>
      <c r="B1802" s="2367"/>
      <c r="C1802" s="2367"/>
      <c r="D1802" s="2367"/>
      <c r="E1802" s="2367"/>
      <c r="F1802" s="2367"/>
      <c r="G1802" s="2367"/>
      <c r="H1802" s="2367"/>
      <c r="I1802" s="2367"/>
      <c r="J1802" s="2367"/>
      <c r="K1802" s="2367"/>
      <c r="L1802" s="2367"/>
      <c r="M1802" s="2367"/>
      <c r="N1802" s="2367"/>
      <c r="O1802" s="2367"/>
      <c r="P1802" s="2367"/>
      <c r="Q1802" s="2367"/>
      <c r="R1802" s="2367"/>
    </row>
    <row r="1803" spans="1:18">
      <c r="A1803" s="2367"/>
      <c r="B1803" s="2367"/>
      <c r="C1803" s="2367"/>
      <c r="D1803" s="2367"/>
      <c r="E1803" s="2367"/>
      <c r="F1803" s="2367"/>
      <c r="G1803" s="2367"/>
      <c r="H1803" s="2367"/>
      <c r="I1803" s="2367"/>
      <c r="J1803" s="2367"/>
      <c r="K1803" s="2367"/>
      <c r="L1803" s="2367"/>
      <c r="M1803" s="2367"/>
      <c r="N1803" s="2367"/>
      <c r="O1803" s="2367"/>
      <c r="P1803" s="2367"/>
      <c r="Q1803" s="2367"/>
      <c r="R1803" s="2367"/>
    </row>
    <row r="1804" spans="1:18">
      <c r="A1804" s="2367"/>
      <c r="B1804" s="2367"/>
      <c r="C1804" s="2367"/>
      <c r="D1804" s="2367"/>
      <c r="E1804" s="2367"/>
      <c r="F1804" s="2367"/>
      <c r="G1804" s="2367"/>
      <c r="H1804" s="2367"/>
      <c r="I1804" s="2367"/>
      <c r="J1804" s="2367"/>
      <c r="K1804" s="2367"/>
      <c r="L1804" s="2367"/>
      <c r="M1804" s="2367"/>
      <c r="N1804" s="2367"/>
      <c r="O1804" s="2367"/>
      <c r="P1804" s="2367"/>
      <c r="Q1804" s="2367"/>
      <c r="R1804" s="2367"/>
    </row>
    <row r="1805" spans="1:18">
      <c r="A1805" s="2367"/>
      <c r="B1805" s="2367"/>
      <c r="C1805" s="2367"/>
      <c r="D1805" s="2367"/>
      <c r="E1805" s="2367"/>
      <c r="F1805" s="2367"/>
      <c r="G1805" s="2367"/>
      <c r="H1805" s="2367"/>
      <c r="I1805" s="2367"/>
      <c r="J1805" s="2367"/>
      <c r="K1805" s="2367"/>
      <c r="L1805" s="2367"/>
      <c r="M1805" s="2367"/>
      <c r="N1805" s="2367"/>
      <c r="O1805" s="2367"/>
      <c r="P1805" s="2367"/>
      <c r="Q1805" s="2367"/>
      <c r="R1805" s="2367"/>
    </row>
    <row r="1806" spans="1:18">
      <c r="A1806" s="2367"/>
      <c r="B1806" s="2367"/>
      <c r="C1806" s="2367"/>
      <c r="D1806" s="2367"/>
      <c r="E1806" s="2367"/>
      <c r="F1806" s="2367"/>
      <c r="G1806" s="2367"/>
      <c r="H1806" s="2367"/>
      <c r="I1806" s="2367"/>
      <c r="J1806" s="2367"/>
      <c r="K1806" s="2367"/>
      <c r="L1806" s="2367"/>
      <c r="M1806" s="2367"/>
      <c r="N1806" s="2367"/>
      <c r="O1806" s="2367"/>
      <c r="P1806" s="2367"/>
      <c r="Q1806" s="2367"/>
      <c r="R1806" s="2367"/>
    </row>
    <row r="1807" spans="1:18">
      <c r="A1807" s="2367"/>
      <c r="B1807" s="2367"/>
      <c r="C1807" s="2367"/>
      <c r="D1807" s="2367"/>
      <c r="E1807" s="2367"/>
      <c r="F1807" s="2367"/>
      <c r="G1807" s="2367"/>
      <c r="H1807" s="2367"/>
      <c r="I1807" s="2367"/>
      <c r="J1807" s="2367"/>
      <c r="K1807" s="2367"/>
      <c r="L1807" s="2367"/>
      <c r="M1807" s="2367"/>
      <c r="N1807" s="2367"/>
      <c r="O1807" s="2367"/>
      <c r="P1807" s="2367"/>
      <c r="Q1807" s="2367"/>
      <c r="R1807" s="2367"/>
    </row>
    <row r="1808" spans="1:18">
      <c r="A1808" s="2367"/>
      <c r="B1808" s="2367"/>
      <c r="C1808" s="2367"/>
      <c r="D1808" s="2367"/>
      <c r="E1808" s="2367"/>
      <c r="F1808" s="2367"/>
      <c r="G1808" s="2367"/>
      <c r="H1808" s="2367"/>
      <c r="I1808" s="2367"/>
      <c r="J1808" s="2367"/>
      <c r="K1808" s="2367"/>
      <c r="L1808" s="2367"/>
      <c r="M1808" s="2367"/>
      <c r="N1808" s="2367"/>
      <c r="O1808" s="2367"/>
      <c r="P1808" s="2367"/>
      <c r="Q1808" s="2367"/>
      <c r="R1808" s="2367"/>
    </row>
    <row r="1809" spans="1:18">
      <c r="A1809" s="2367"/>
      <c r="B1809" s="2367"/>
      <c r="C1809" s="2367"/>
      <c r="D1809" s="2367"/>
      <c r="E1809" s="2367"/>
      <c r="F1809" s="2367"/>
      <c r="G1809" s="2367"/>
      <c r="H1809" s="2367"/>
      <c r="I1809" s="2367"/>
      <c r="J1809" s="2367"/>
      <c r="K1809" s="2367"/>
      <c r="L1809" s="2367"/>
      <c r="M1809" s="2367"/>
      <c r="N1809" s="2367"/>
      <c r="O1809" s="2367"/>
      <c r="P1809" s="2367"/>
      <c r="Q1809" s="2367"/>
      <c r="R1809" s="2367"/>
    </row>
    <row r="1810" spans="1:18">
      <c r="A1810" s="2367"/>
      <c r="B1810" s="2367"/>
      <c r="C1810" s="2367"/>
      <c r="D1810" s="2367"/>
      <c r="E1810" s="2367"/>
      <c r="F1810" s="2367"/>
      <c r="G1810" s="2367"/>
      <c r="H1810" s="2367"/>
      <c r="I1810" s="2367"/>
      <c r="J1810" s="2367"/>
      <c r="K1810" s="2367"/>
      <c r="L1810" s="2367"/>
      <c r="M1810" s="2367"/>
      <c r="N1810" s="2367"/>
      <c r="O1810" s="2367"/>
      <c r="P1810" s="2367"/>
      <c r="Q1810" s="2367"/>
      <c r="R1810" s="2367"/>
    </row>
    <row r="1811" spans="1:18">
      <c r="A1811" s="2367"/>
      <c r="B1811" s="2367"/>
      <c r="C1811" s="2367"/>
      <c r="D1811" s="2367"/>
      <c r="E1811" s="2367"/>
      <c r="F1811" s="2367"/>
      <c r="G1811" s="2367"/>
      <c r="H1811" s="2367"/>
      <c r="I1811" s="2367"/>
      <c r="J1811" s="2367"/>
      <c r="K1811" s="2367"/>
      <c r="L1811" s="2367"/>
      <c r="M1811" s="2367"/>
      <c r="N1811" s="2367"/>
      <c r="O1811" s="2367"/>
      <c r="P1811" s="2367"/>
      <c r="Q1811" s="2367"/>
      <c r="R1811" s="2367"/>
    </row>
    <row r="1812" spans="1:18">
      <c r="A1812" s="2367"/>
      <c r="B1812" s="2367"/>
      <c r="C1812" s="2367"/>
      <c r="D1812" s="2367"/>
      <c r="E1812" s="2367"/>
      <c r="F1812" s="2367"/>
      <c r="G1812" s="2367"/>
      <c r="H1812" s="2367"/>
      <c r="I1812" s="2367"/>
      <c r="J1812" s="2367"/>
      <c r="K1812" s="2367"/>
      <c r="L1812" s="2367"/>
      <c r="M1812" s="2367"/>
      <c r="N1812" s="2367"/>
      <c r="O1812" s="2367"/>
      <c r="P1812" s="2367"/>
      <c r="Q1812" s="2367"/>
      <c r="R1812" s="2367"/>
    </row>
    <row r="1813" spans="1:18">
      <c r="A1813" s="2367"/>
      <c r="B1813" s="2367"/>
      <c r="C1813" s="2367"/>
      <c r="D1813" s="2367"/>
      <c r="E1813" s="2367"/>
      <c r="F1813" s="2367"/>
      <c r="G1813" s="2367"/>
      <c r="H1813" s="2367"/>
      <c r="I1813" s="2367"/>
      <c r="J1813" s="2367"/>
      <c r="K1813" s="2367"/>
      <c r="L1813" s="2367"/>
      <c r="M1813" s="2367"/>
      <c r="N1813" s="2367"/>
      <c r="O1813" s="2367"/>
      <c r="P1813" s="2367"/>
      <c r="Q1813" s="2367"/>
      <c r="R1813" s="2367"/>
    </row>
    <row r="1814" spans="1:18">
      <c r="A1814" s="2367"/>
      <c r="B1814" s="2367"/>
      <c r="C1814" s="2367"/>
      <c r="D1814" s="2367"/>
      <c r="E1814" s="2367"/>
      <c r="F1814" s="2367"/>
      <c r="G1814" s="2367"/>
      <c r="H1814" s="2367"/>
      <c r="I1814" s="2367"/>
      <c r="J1814" s="2367"/>
      <c r="K1814" s="2367"/>
      <c r="L1814" s="2367"/>
      <c r="M1814" s="2367"/>
      <c r="N1814" s="2367"/>
      <c r="O1814" s="2367"/>
      <c r="P1814" s="2367"/>
      <c r="Q1814" s="2367"/>
      <c r="R1814" s="2367"/>
    </row>
    <row r="1815" spans="1:18">
      <c r="A1815" s="2367"/>
      <c r="B1815" s="2367"/>
      <c r="C1815" s="2367"/>
      <c r="D1815" s="2367"/>
      <c r="E1815" s="2367"/>
      <c r="F1815" s="2367"/>
      <c r="G1815" s="2367"/>
      <c r="H1815" s="2367"/>
      <c r="I1815" s="2367"/>
      <c r="J1815" s="2367"/>
      <c r="K1815" s="2367"/>
      <c r="L1815" s="2367"/>
      <c r="M1815" s="2367"/>
      <c r="N1815" s="2367"/>
      <c r="O1815" s="2367"/>
      <c r="P1815" s="2367"/>
      <c r="Q1815" s="2367"/>
      <c r="R1815" s="2367"/>
    </row>
    <row r="1816" spans="1:18">
      <c r="A1816" s="2367"/>
      <c r="B1816" s="2367"/>
      <c r="C1816" s="2367"/>
      <c r="D1816" s="2367"/>
      <c r="E1816" s="2367"/>
      <c r="F1816" s="2367"/>
      <c r="G1816" s="2367"/>
      <c r="H1816" s="2367"/>
      <c r="I1816" s="2367"/>
      <c r="J1816" s="2367"/>
      <c r="K1816" s="2367"/>
      <c r="L1816" s="2367"/>
      <c r="M1816" s="2367"/>
      <c r="N1816" s="2367"/>
      <c r="O1816" s="2367"/>
      <c r="P1816" s="2367"/>
      <c r="Q1816" s="2367"/>
      <c r="R1816" s="2367"/>
    </row>
    <row r="1817" spans="1:18">
      <c r="A1817" s="2367"/>
      <c r="B1817" s="2367"/>
      <c r="C1817" s="2367"/>
      <c r="D1817" s="2367"/>
      <c r="E1817" s="2367"/>
      <c r="F1817" s="2367"/>
      <c r="G1817" s="2367"/>
      <c r="H1817" s="2367"/>
      <c r="I1817" s="2367"/>
      <c r="J1817" s="2367"/>
      <c r="K1817" s="2367"/>
      <c r="L1817" s="2367"/>
      <c r="M1817" s="2367"/>
      <c r="N1817" s="2367"/>
      <c r="O1817" s="2367"/>
      <c r="P1817" s="2367"/>
      <c r="Q1817" s="2367"/>
      <c r="R1817" s="2367"/>
    </row>
    <row r="1818" spans="1:18">
      <c r="A1818" s="2367"/>
      <c r="B1818" s="2367"/>
      <c r="C1818" s="2367"/>
      <c r="D1818" s="2367"/>
      <c r="E1818" s="2367"/>
      <c r="F1818" s="2367"/>
      <c r="G1818" s="2367"/>
      <c r="H1818" s="2367"/>
      <c r="I1818" s="2367"/>
      <c r="J1818" s="2367"/>
      <c r="K1818" s="2367"/>
      <c r="L1818" s="2367"/>
      <c r="M1818" s="2367"/>
      <c r="N1818" s="2367"/>
      <c r="O1818" s="2367"/>
      <c r="P1818" s="2367"/>
      <c r="Q1818" s="2367"/>
      <c r="R1818" s="2367"/>
    </row>
    <row r="1819" spans="1:18">
      <c r="A1819" s="2367"/>
      <c r="B1819" s="2367"/>
      <c r="C1819" s="2367"/>
      <c r="D1819" s="2367"/>
      <c r="E1819" s="2367"/>
      <c r="F1819" s="2367"/>
      <c r="G1819" s="2367"/>
      <c r="H1819" s="2367"/>
      <c r="I1819" s="2367"/>
      <c r="J1819" s="2367"/>
      <c r="K1819" s="2367"/>
      <c r="L1819" s="2367"/>
      <c r="M1819" s="2367"/>
      <c r="N1819" s="2367"/>
      <c r="O1819" s="2367"/>
      <c r="P1819" s="2367"/>
      <c r="Q1819" s="2367"/>
      <c r="R1819" s="2367"/>
    </row>
    <row r="1820" spans="1:18">
      <c r="A1820" s="2367"/>
      <c r="B1820" s="2367"/>
      <c r="C1820" s="2367"/>
      <c r="D1820" s="2367"/>
      <c r="E1820" s="2367"/>
      <c r="F1820" s="2367"/>
      <c r="G1820" s="2367"/>
      <c r="H1820" s="2367"/>
      <c r="I1820" s="2367"/>
      <c r="J1820" s="2367"/>
      <c r="K1820" s="2367"/>
      <c r="L1820" s="2367"/>
      <c r="M1820" s="2367"/>
      <c r="N1820" s="2367"/>
      <c r="O1820" s="2367"/>
      <c r="P1820" s="2367"/>
      <c r="Q1820" s="2367"/>
      <c r="R1820" s="2367"/>
    </row>
    <row r="1821" spans="1:18">
      <c r="A1821" s="2367"/>
      <c r="B1821" s="2367"/>
      <c r="C1821" s="2367"/>
      <c r="D1821" s="2367"/>
      <c r="E1821" s="2367"/>
      <c r="F1821" s="2367"/>
      <c r="G1821" s="2367"/>
      <c r="H1821" s="2367"/>
      <c r="I1821" s="2367"/>
      <c r="J1821" s="2367"/>
      <c r="K1821" s="2367"/>
      <c r="L1821" s="2367"/>
      <c r="M1821" s="2367"/>
      <c r="N1821" s="2367"/>
      <c r="O1821" s="2367"/>
      <c r="P1821" s="2367"/>
      <c r="Q1821" s="2367"/>
      <c r="R1821" s="2367"/>
    </row>
    <row r="1822" spans="1:18">
      <c r="A1822" s="2367"/>
      <c r="B1822" s="2367"/>
      <c r="C1822" s="2367"/>
      <c r="D1822" s="2367"/>
      <c r="E1822" s="2367"/>
      <c r="F1822" s="2367"/>
      <c r="G1822" s="2367"/>
      <c r="H1822" s="2367"/>
      <c r="I1822" s="2367"/>
      <c r="J1822" s="2367"/>
      <c r="K1822" s="2367"/>
      <c r="L1822" s="2367"/>
      <c r="M1822" s="2367"/>
      <c r="N1822" s="2367"/>
      <c r="O1822" s="2367"/>
      <c r="P1822" s="2367"/>
      <c r="Q1822" s="2367"/>
      <c r="R1822" s="2367"/>
    </row>
    <row r="1823" spans="1:18">
      <c r="A1823" s="2367"/>
      <c r="B1823" s="2367"/>
      <c r="C1823" s="2367"/>
      <c r="D1823" s="2367"/>
      <c r="E1823" s="2367"/>
      <c r="F1823" s="2367"/>
      <c r="G1823" s="2367"/>
      <c r="H1823" s="2367"/>
      <c r="I1823" s="2367"/>
      <c r="J1823" s="2367"/>
      <c r="K1823" s="2367"/>
      <c r="L1823" s="2367"/>
      <c r="M1823" s="2367"/>
      <c r="N1823" s="2367"/>
      <c r="O1823" s="2367"/>
      <c r="P1823" s="2367"/>
      <c r="Q1823" s="2367"/>
      <c r="R1823" s="2367"/>
    </row>
    <row r="1824" spans="1:18">
      <c r="A1824" s="2367"/>
      <c r="B1824" s="2367"/>
      <c r="C1824" s="2367"/>
      <c r="D1824" s="2367"/>
      <c r="E1824" s="2367"/>
      <c r="F1824" s="2367"/>
      <c r="G1824" s="2367"/>
      <c r="H1824" s="2367"/>
      <c r="I1824" s="2367"/>
      <c r="J1824" s="2367"/>
      <c r="K1824" s="2367"/>
      <c r="L1824" s="2367"/>
      <c r="M1824" s="2367"/>
      <c r="N1824" s="2367"/>
      <c r="O1824" s="2367"/>
      <c r="P1824" s="2367"/>
      <c r="Q1824" s="2367"/>
      <c r="R1824" s="2367"/>
    </row>
    <row r="1825" spans="1:18">
      <c r="A1825" s="2367"/>
      <c r="B1825" s="2367"/>
      <c r="C1825" s="2367"/>
      <c r="D1825" s="2367"/>
      <c r="E1825" s="2367"/>
      <c r="F1825" s="2367"/>
      <c r="G1825" s="2367"/>
      <c r="H1825" s="2367"/>
      <c r="I1825" s="2367"/>
      <c r="J1825" s="2367"/>
      <c r="K1825" s="2367"/>
      <c r="L1825" s="2367"/>
      <c r="M1825" s="2367"/>
      <c r="N1825" s="2367"/>
      <c r="O1825" s="2367"/>
      <c r="P1825" s="2367"/>
      <c r="Q1825" s="2367"/>
      <c r="R1825" s="2367"/>
    </row>
    <row r="1826" spans="1:18">
      <c r="A1826" s="2367"/>
      <c r="B1826" s="2367"/>
      <c r="C1826" s="2367"/>
      <c r="D1826" s="2367"/>
      <c r="E1826" s="2367"/>
      <c r="F1826" s="2367"/>
      <c r="G1826" s="2367"/>
      <c r="H1826" s="2367"/>
      <c r="I1826" s="2367"/>
      <c r="J1826" s="2367"/>
      <c r="K1826" s="2367"/>
      <c r="L1826" s="2367"/>
      <c r="M1826" s="2367"/>
      <c r="N1826" s="2367"/>
      <c r="O1826" s="2367"/>
      <c r="P1826" s="2367"/>
      <c r="Q1826" s="2367"/>
      <c r="R1826" s="2367"/>
    </row>
    <row r="1827" spans="1:18">
      <c r="A1827" s="2367"/>
      <c r="B1827" s="2367"/>
      <c r="C1827" s="2367"/>
      <c r="D1827" s="2367"/>
      <c r="E1827" s="2367"/>
      <c r="F1827" s="2367"/>
      <c r="G1827" s="2367"/>
      <c r="H1827" s="2367"/>
      <c r="I1827" s="2367"/>
      <c r="J1827" s="2367"/>
      <c r="K1827" s="2367"/>
      <c r="L1827" s="2367"/>
      <c r="M1827" s="2367"/>
      <c r="N1827" s="2367"/>
      <c r="O1827" s="2367"/>
      <c r="P1827" s="2367"/>
      <c r="Q1827" s="2367"/>
      <c r="R1827" s="2367"/>
    </row>
    <row r="1828" spans="1:18">
      <c r="A1828" s="2367"/>
      <c r="B1828" s="2367"/>
      <c r="C1828" s="2367"/>
      <c r="D1828" s="2367"/>
      <c r="E1828" s="2367"/>
      <c r="F1828" s="2367"/>
      <c r="G1828" s="2367"/>
      <c r="H1828" s="2367"/>
      <c r="I1828" s="2367"/>
      <c r="J1828" s="2367"/>
      <c r="K1828" s="2367"/>
      <c r="L1828" s="2367"/>
      <c r="M1828" s="2367"/>
      <c r="N1828" s="2367"/>
      <c r="O1828" s="2367"/>
      <c r="P1828" s="2367"/>
      <c r="Q1828" s="2367"/>
      <c r="R1828" s="2367"/>
    </row>
    <row r="1829" spans="1:18">
      <c r="A1829" s="2367"/>
      <c r="B1829" s="2367"/>
      <c r="C1829" s="2367"/>
      <c r="D1829" s="2367"/>
      <c r="E1829" s="2367"/>
      <c r="F1829" s="2367"/>
      <c r="G1829" s="2367"/>
      <c r="H1829" s="2367"/>
      <c r="I1829" s="2367"/>
      <c r="J1829" s="2367"/>
      <c r="K1829" s="2367"/>
      <c r="L1829" s="2367"/>
      <c r="M1829" s="2367"/>
      <c r="N1829" s="2367"/>
      <c r="O1829" s="2367"/>
      <c r="P1829" s="2367"/>
      <c r="Q1829" s="2367"/>
      <c r="R1829" s="2367"/>
    </row>
    <row r="1830" spans="1:18">
      <c r="A1830" s="2367"/>
      <c r="B1830" s="2367"/>
      <c r="C1830" s="2367"/>
      <c r="D1830" s="2367"/>
      <c r="E1830" s="2367"/>
      <c r="F1830" s="2367"/>
      <c r="G1830" s="2367"/>
      <c r="H1830" s="2367"/>
      <c r="I1830" s="2367"/>
      <c r="J1830" s="2367"/>
      <c r="K1830" s="2367"/>
      <c r="L1830" s="2367"/>
      <c r="M1830" s="2367"/>
      <c r="N1830" s="2367"/>
      <c r="O1830" s="2367"/>
      <c r="P1830" s="2367"/>
      <c r="Q1830" s="2367"/>
      <c r="R1830" s="2367"/>
    </row>
    <row r="1831" spans="1:18">
      <c r="A1831" s="2367"/>
      <c r="B1831" s="2367"/>
      <c r="C1831" s="2367"/>
      <c r="D1831" s="2367"/>
      <c r="E1831" s="2367"/>
      <c r="F1831" s="2367"/>
      <c r="G1831" s="2367"/>
      <c r="H1831" s="2367"/>
      <c r="I1831" s="2367"/>
      <c r="J1831" s="2367"/>
      <c r="K1831" s="2367"/>
      <c r="L1831" s="2367"/>
      <c r="M1831" s="2367"/>
      <c r="N1831" s="2367"/>
      <c r="O1831" s="2367"/>
      <c r="P1831" s="2367"/>
      <c r="Q1831" s="2367"/>
      <c r="R1831" s="2367"/>
    </row>
    <row r="1832" spans="1:18">
      <c r="A1832" s="2367"/>
      <c r="B1832" s="2367"/>
      <c r="C1832" s="2367"/>
      <c r="D1832" s="2367"/>
      <c r="E1832" s="2367"/>
      <c r="F1832" s="2367"/>
      <c r="G1832" s="2367"/>
      <c r="H1832" s="2367"/>
      <c r="I1832" s="2367"/>
      <c r="J1832" s="2367"/>
      <c r="K1832" s="2367"/>
      <c r="L1832" s="2367"/>
      <c r="M1832" s="2367"/>
      <c r="N1832" s="2367"/>
      <c r="O1832" s="2367"/>
      <c r="P1832" s="2367"/>
      <c r="Q1832" s="2367"/>
      <c r="R1832" s="2367"/>
    </row>
    <row r="1833" spans="1:18">
      <c r="A1833" s="2367"/>
      <c r="B1833" s="2367"/>
      <c r="C1833" s="2367"/>
      <c r="D1833" s="2367"/>
      <c r="E1833" s="2367"/>
      <c r="F1833" s="2367"/>
      <c r="G1833" s="2367"/>
      <c r="H1833" s="2367"/>
      <c r="I1833" s="2367"/>
      <c r="J1833" s="2367"/>
      <c r="K1833" s="2367"/>
      <c r="L1833" s="2367"/>
      <c r="M1833" s="2367"/>
      <c r="N1833" s="2367"/>
      <c r="O1833" s="2367"/>
      <c r="P1833" s="2367"/>
      <c r="Q1833" s="2367"/>
      <c r="R1833" s="2367"/>
    </row>
    <row r="1834" spans="1:18">
      <c r="A1834" s="2367"/>
      <c r="B1834" s="2367"/>
      <c r="C1834" s="2367"/>
      <c r="D1834" s="2367"/>
      <c r="E1834" s="2367"/>
      <c r="F1834" s="2367"/>
      <c r="G1834" s="2367"/>
      <c r="H1834" s="2367"/>
      <c r="I1834" s="2367"/>
      <c r="J1834" s="2367"/>
      <c r="K1834" s="2367"/>
      <c r="L1834" s="2367"/>
      <c r="M1834" s="2367"/>
      <c r="N1834" s="2367"/>
      <c r="O1834" s="2367"/>
      <c r="P1834" s="2367"/>
      <c r="Q1834" s="2367"/>
      <c r="R1834" s="2367"/>
    </row>
    <row r="1835" spans="1:18">
      <c r="A1835" s="2367"/>
      <c r="B1835" s="2367"/>
      <c r="C1835" s="2367"/>
      <c r="D1835" s="2367"/>
      <c r="E1835" s="2367"/>
      <c r="F1835" s="2367"/>
      <c r="G1835" s="2367"/>
      <c r="H1835" s="2367"/>
      <c r="I1835" s="2367"/>
      <c r="J1835" s="2367"/>
      <c r="K1835" s="2367"/>
      <c r="L1835" s="2367"/>
      <c r="M1835" s="2367"/>
      <c r="N1835" s="2367"/>
      <c r="O1835" s="2367"/>
      <c r="P1835" s="2367"/>
      <c r="Q1835" s="2367"/>
      <c r="R1835" s="2367"/>
    </row>
    <row r="1836" spans="1:18">
      <c r="A1836" s="2367"/>
      <c r="B1836" s="2367"/>
      <c r="C1836" s="2367"/>
      <c r="D1836" s="2367"/>
      <c r="E1836" s="2367"/>
      <c r="F1836" s="2367"/>
      <c r="G1836" s="2367"/>
      <c r="H1836" s="2367"/>
      <c r="I1836" s="2367"/>
      <c r="J1836" s="2367"/>
      <c r="K1836" s="2367"/>
      <c r="L1836" s="2367"/>
      <c r="M1836" s="2367"/>
      <c r="N1836" s="2367"/>
      <c r="O1836" s="2367"/>
      <c r="P1836" s="2367"/>
      <c r="Q1836" s="2367"/>
      <c r="R1836" s="2367"/>
    </row>
    <row r="1837" spans="1:18">
      <c r="A1837" s="2367"/>
      <c r="B1837" s="2367"/>
      <c r="C1837" s="2367"/>
      <c r="D1837" s="2367"/>
      <c r="E1837" s="2367"/>
      <c r="F1837" s="2367"/>
      <c r="G1837" s="2367"/>
      <c r="H1837" s="2367"/>
      <c r="I1837" s="2367"/>
      <c r="J1837" s="2367"/>
      <c r="K1837" s="2367"/>
      <c r="L1837" s="2367"/>
      <c r="M1837" s="2367"/>
      <c r="N1837" s="2367"/>
      <c r="O1837" s="2367"/>
      <c r="P1837" s="2367"/>
      <c r="Q1837" s="2367"/>
      <c r="R1837" s="2367"/>
    </row>
    <row r="1838" spans="1:18">
      <c r="A1838" s="2367"/>
      <c r="B1838" s="2367"/>
      <c r="C1838" s="2367"/>
      <c r="D1838" s="2367"/>
      <c r="E1838" s="2367"/>
      <c r="F1838" s="2367"/>
      <c r="G1838" s="2367"/>
      <c r="H1838" s="2367"/>
      <c r="I1838" s="2367"/>
      <c r="J1838" s="2367"/>
      <c r="K1838" s="2367"/>
      <c r="L1838" s="2367"/>
      <c r="M1838" s="2367"/>
      <c r="N1838" s="2367"/>
      <c r="O1838" s="2367"/>
      <c r="P1838" s="2367"/>
      <c r="Q1838" s="2367"/>
      <c r="R1838" s="2367"/>
    </row>
    <row r="1839" spans="1:18">
      <c r="A1839" s="2367"/>
      <c r="B1839" s="2367"/>
      <c r="C1839" s="2367"/>
      <c r="D1839" s="2367"/>
      <c r="E1839" s="2367"/>
      <c r="F1839" s="2367"/>
      <c r="G1839" s="2367"/>
      <c r="H1839" s="2367"/>
      <c r="I1839" s="2367"/>
      <c r="J1839" s="2367"/>
      <c r="K1839" s="2367"/>
      <c r="L1839" s="2367"/>
      <c r="M1839" s="2367"/>
      <c r="N1839" s="2367"/>
      <c r="O1839" s="2367"/>
      <c r="P1839" s="2367"/>
      <c r="Q1839" s="2367"/>
      <c r="R1839" s="2367"/>
    </row>
    <row r="1840" spans="1:18">
      <c r="A1840" s="2367"/>
      <c r="B1840" s="2367"/>
      <c r="C1840" s="2367"/>
      <c r="D1840" s="2367"/>
      <c r="E1840" s="2367"/>
      <c r="F1840" s="2367"/>
      <c r="G1840" s="2367"/>
      <c r="H1840" s="2367"/>
      <c r="I1840" s="2367"/>
      <c r="J1840" s="2367"/>
      <c r="K1840" s="2367"/>
      <c r="L1840" s="2367"/>
      <c r="M1840" s="2367"/>
      <c r="N1840" s="2367"/>
      <c r="O1840" s="2367"/>
      <c r="P1840" s="2367"/>
      <c r="Q1840" s="2367"/>
      <c r="R1840" s="2367"/>
    </row>
    <row r="1841" spans="1:18">
      <c r="A1841" s="2367"/>
      <c r="B1841" s="2367"/>
      <c r="C1841" s="2367"/>
      <c r="D1841" s="2367"/>
      <c r="E1841" s="2367"/>
      <c r="F1841" s="2367"/>
      <c r="G1841" s="2367"/>
      <c r="H1841" s="2367"/>
      <c r="I1841" s="2367"/>
      <c r="J1841" s="2367"/>
      <c r="K1841" s="2367"/>
      <c r="L1841" s="2367"/>
      <c r="M1841" s="2367"/>
      <c r="N1841" s="2367"/>
      <c r="O1841" s="2367"/>
      <c r="P1841" s="2367"/>
      <c r="Q1841" s="2367"/>
      <c r="R1841" s="2367"/>
    </row>
    <row r="1842" spans="1:18">
      <c r="A1842" s="2367"/>
      <c r="B1842" s="2367"/>
      <c r="C1842" s="2367"/>
      <c r="D1842" s="2367"/>
      <c r="E1842" s="2367"/>
      <c r="F1842" s="2367"/>
      <c r="G1842" s="2367"/>
      <c r="H1842" s="2367"/>
      <c r="I1842" s="2367"/>
      <c r="J1842" s="2367"/>
      <c r="K1842" s="2367"/>
      <c r="L1842" s="2367"/>
      <c r="M1842" s="2367"/>
      <c r="N1842" s="2367"/>
      <c r="O1842" s="2367"/>
      <c r="P1842" s="2367"/>
      <c r="Q1842" s="2367"/>
      <c r="R1842" s="2367"/>
    </row>
    <row r="1843" spans="1:18">
      <c r="A1843" s="2367"/>
      <c r="B1843" s="2367"/>
      <c r="C1843" s="2367"/>
      <c r="D1843" s="2367"/>
      <c r="E1843" s="2367"/>
      <c r="F1843" s="2367"/>
      <c r="G1843" s="2367"/>
      <c r="H1843" s="2367"/>
      <c r="I1843" s="2367"/>
      <c r="J1843" s="2367"/>
      <c r="K1843" s="2367"/>
      <c r="L1843" s="2367"/>
      <c r="M1843" s="2367"/>
      <c r="N1843" s="2367"/>
      <c r="O1843" s="2367"/>
      <c r="P1843" s="2367"/>
      <c r="Q1843" s="2367"/>
      <c r="R1843" s="2367"/>
    </row>
    <row r="1844" spans="1:18">
      <c r="A1844" s="2367"/>
      <c r="B1844" s="2367"/>
      <c r="C1844" s="2367"/>
      <c r="D1844" s="2367"/>
      <c r="E1844" s="2367"/>
      <c r="F1844" s="2367"/>
      <c r="G1844" s="2367"/>
      <c r="H1844" s="2367"/>
      <c r="I1844" s="2367"/>
      <c r="J1844" s="2367"/>
      <c r="K1844" s="2367"/>
      <c r="L1844" s="2367"/>
      <c r="M1844" s="2367"/>
      <c r="N1844" s="2367"/>
      <c r="O1844" s="2367"/>
      <c r="P1844" s="2367"/>
      <c r="Q1844" s="2367"/>
      <c r="R1844" s="2367"/>
    </row>
    <row r="1845" spans="1:18">
      <c r="A1845" s="2367"/>
      <c r="B1845" s="2367"/>
      <c r="C1845" s="2367"/>
      <c r="D1845" s="2367"/>
      <c r="E1845" s="2367"/>
      <c r="F1845" s="2367"/>
      <c r="G1845" s="2367"/>
      <c r="H1845" s="2367"/>
      <c r="I1845" s="2367"/>
      <c r="J1845" s="2367"/>
      <c r="K1845" s="2367"/>
      <c r="L1845" s="2367"/>
      <c r="M1845" s="2367"/>
      <c r="N1845" s="2367"/>
      <c r="O1845" s="2367"/>
      <c r="P1845" s="2367"/>
      <c r="Q1845" s="2367"/>
      <c r="R1845" s="2367"/>
    </row>
    <row r="1846" spans="1:18">
      <c r="A1846" s="2367"/>
      <c r="B1846" s="2367"/>
      <c r="C1846" s="2367"/>
      <c r="D1846" s="2367"/>
      <c r="E1846" s="2367"/>
      <c r="F1846" s="2367"/>
      <c r="G1846" s="2367"/>
      <c r="H1846" s="2367"/>
      <c r="I1846" s="2367"/>
      <c r="J1846" s="2367"/>
      <c r="K1846" s="2367"/>
      <c r="L1846" s="2367"/>
      <c r="M1846" s="2367"/>
      <c r="N1846" s="2367"/>
      <c r="O1846" s="2367"/>
      <c r="P1846" s="2367"/>
      <c r="Q1846" s="2367"/>
      <c r="R1846" s="2367"/>
    </row>
    <row r="1847" spans="1:18">
      <c r="A1847" s="2367"/>
      <c r="B1847" s="2367"/>
      <c r="C1847" s="2367"/>
      <c r="D1847" s="2367"/>
      <c r="E1847" s="2367"/>
      <c r="F1847" s="2367"/>
      <c r="G1847" s="2367"/>
      <c r="H1847" s="2367"/>
      <c r="I1847" s="2367"/>
      <c r="J1847" s="2367"/>
      <c r="K1847" s="2367"/>
      <c r="L1847" s="2367"/>
      <c r="M1847" s="2367"/>
      <c r="N1847" s="2367"/>
      <c r="O1847" s="2367"/>
      <c r="P1847" s="2367"/>
      <c r="Q1847" s="2367"/>
      <c r="R1847" s="2367"/>
    </row>
    <row r="1848" spans="1:18">
      <c r="A1848" s="2367"/>
      <c r="B1848" s="2367"/>
      <c r="C1848" s="2367"/>
      <c r="D1848" s="2367"/>
      <c r="E1848" s="2367"/>
      <c r="F1848" s="2367"/>
      <c r="G1848" s="2367"/>
      <c r="H1848" s="2367"/>
      <c r="I1848" s="2367"/>
      <c r="J1848" s="2367"/>
      <c r="K1848" s="2367"/>
      <c r="L1848" s="2367"/>
      <c r="M1848" s="2367"/>
      <c r="N1848" s="2367"/>
      <c r="O1848" s="2367"/>
      <c r="P1848" s="2367"/>
      <c r="Q1848" s="2367"/>
      <c r="R1848" s="2367"/>
    </row>
    <row r="1849" spans="1:18">
      <c r="A1849" s="2367"/>
      <c r="B1849" s="2367"/>
      <c r="C1849" s="2367"/>
      <c r="D1849" s="2367"/>
      <c r="E1849" s="2367"/>
      <c r="F1849" s="2367"/>
      <c r="G1849" s="2367"/>
      <c r="H1849" s="2367"/>
      <c r="I1849" s="2367"/>
      <c r="J1849" s="2367"/>
      <c r="K1849" s="2367"/>
      <c r="L1849" s="2367"/>
      <c r="M1849" s="2367"/>
      <c r="N1849" s="2367"/>
      <c r="O1849" s="2367"/>
      <c r="P1849" s="2367"/>
      <c r="Q1849" s="2367"/>
      <c r="R1849" s="2367"/>
    </row>
    <row r="1850" spans="1:18">
      <c r="A1850" s="2367"/>
      <c r="B1850" s="2367"/>
      <c r="C1850" s="2367"/>
      <c r="D1850" s="2367"/>
      <c r="E1850" s="2367"/>
      <c r="F1850" s="2367"/>
      <c r="G1850" s="2367"/>
      <c r="H1850" s="2367"/>
      <c r="I1850" s="2367"/>
      <c r="J1850" s="2367"/>
      <c r="K1850" s="2367"/>
      <c r="L1850" s="2367"/>
      <c r="M1850" s="2367"/>
      <c r="N1850" s="2367"/>
      <c r="O1850" s="2367"/>
      <c r="P1850" s="2367"/>
      <c r="Q1850" s="2367"/>
      <c r="R1850" s="2367"/>
    </row>
    <row r="1851" spans="1:18">
      <c r="A1851" s="2367"/>
      <c r="B1851" s="2367"/>
      <c r="C1851" s="2367"/>
      <c r="D1851" s="2367"/>
      <c r="E1851" s="2367"/>
      <c r="F1851" s="2367"/>
      <c r="G1851" s="2367"/>
      <c r="H1851" s="2367"/>
      <c r="I1851" s="2367"/>
      <c r="J1851" s="2367"/>
      <c r="K1851" s="2367"/>
      <c r="L1851" s="2367"/>
      <c r="M1851" s="2367"/>
      <c r="N1851" s="2367"/>
      <c r="O1851" s="2367"/>
      <c r="P1851" s="2367"/>
      <c r="Q1851" s="2367"/>
      <c r="R1851" s="2367"/>
    </row>
    <row r="1852" spans="1:18">
      <c r="A1852" s="2367"/>
      <c r="B1852" s="2367"/>
      <c r="C1852" s="2367"/>
      <c r="D1852" s="2367"/>
      <c r="E1852" s="2367"/>
      <c r="F1852" s="2367"/>
      <c r="G1852" s="2367"/>
      <c r="H1852" s="2367"/>
      <c r="I1852" s="2367"/>
      <c r="J1852" s="2367"/>
      <c r="K1852" s="2367"/>
      <c r="L1852" s="2367"/>
      <c r="M1852" s="2367"/>
      <c r="N1852" s="2367"/>
      <c r="O1852" s="2367"/>
      <c r="P1852" s="2367"/>
      <c r="Q1852" s="2367"/>
      <c r="R1852" s="2367"/>
    </row>
    <row r="1853" spans="1:18">
      <c r="A1853" s="2367"/>
      <c r="B1853" s="2367"/>
      <c r="C1853" s="2367"/>
      <c r="D1853" s="2367"/>
      <c r="E1853" s="2367"/>
      <c r="F1853" s="2367"/>
      <c r="G1853" s="2367"/>
      <c r="H1853" s="2367"/>
      <c r="I1853" s="2367"/>
      <c r="J1853" s="2367"/>
      <c r="K1853" s="2367"/>
      <c r="L1853" s="2367"/>
      <c r="M1853" s="2367"/>
      <c r="N1853" s="2367"/>
      <c r="O1853" s="2367"/>
      <c r="P1853" s="2367"/>
      <c r="Q1853" s="2367"/>
      <c r="R1853" s="2367"/>
    </row>
    <row r="1854" spans="1:18">
      <c r="A1854" s="2367"/>
      <c r="B1854" s="2367"/>
      <c r="C1854" s="2367"/>
      <c r="D1854" s="2367"/>
      <c r="E1854" s="2367"/>
      <c r="F1854" s="2367"/>
      <c r="G1854" s="2367"/>
      <c r="H1854" s="2367"/>
      <c r="I1854" s="2367"/>
      <c r="J1854" s="2367"/>
      <c r="K1854" s="2367"/>
      <c r="L1854" s="2367"/>
      <c r="M1854" s="2367"/>
      <c r="N1854" s="2367"/>
      <c r="O1854" s="2367"/>
      <c r="P1854" s="2367"/>
      <c r="Q1854" s="2367"/>
      <c r="R1854" s="2367"/>
    </row>
    <row r="1855" spans="1:18">
      <c r="A1855" s="2367"/>
      <c r="B1855" s="2367"/>
      <c r="C1855" s="2367"/>
      <c r="D1855" s="2367"/>
      <c r="E1855" s="2367"/>
      <c r="F1855" s="2367"/>
      <c r="G1855" s="2367"/>
      <c r="H1855" s="2367"/>
      <c r="I1855" s="2367"/>
      <c r="J1855" s="2367"/>
      <c r="K1855" s="2367"/>
      <c r="L1855" s="2367"/>
      <c r="M1855" s="2367"/>
      <c r="N1855" s="2367"/>
      <c r="O1855" s="2367"/>
      <c r="P1855" s="2367"/>
      <c r="Q1855" s="2367"/>
      <c r="R1855" s="2367"/>
    </row>
    <row r="1856" spans="1:18">
      <c r="A1856" s="2367"/>
      <c r="B1856" s="2367"/>
      <c r="C1856" s="2367"/>
      <c r="D1856" s="2367"/>
      <c r="E1856" s="2367"/>
      <c r="F1856" s="2367"/>
      <c r="G1856" s="2367"/>
      <c r="H1856" s="2367"/>
      <c r="I1856" s="2367"/>
      <c r="J1856" s="2367"/>
      <c r="K1856" s="2367"/>
      <c r="L1856" s="2367"/>
      <c r="M1856" s="2367"/>
      <c r="N1856" s="2367"/>
      <c r="O1856" s="2367"/>
      <c r="P1856" s="2367"/>
      <c r="Q1856" s="2367"/>
      <c r="R1856" s="2367"/>
    </row>
    <row r="1857" spans="1:18">
      <c r="A1857" s="2367"/>
      <c r="B1857" s="2367"/>
      <c r="C1857" s="2367"/>
      <c r="D1857" s="2367"/>
      <c r="E1857" s="2367"/>
      <c r="F1857" s="2367"/>
      <c r="G1857" s="2367"/>
      <c r="H1857" s="2367"/>
      <c r="I1857" s="2367"/>
      <c r="J1857" s="2367"/>
      <c r="K1857" s="2367"/>
      <c r="L1857" s="2367"/>
      <c r="M1857" s="2367"/>
      <c r="N1857" s="2367"/>
      <c r="O1857" s="2367"/>
      <c r="P1857" s="2367"/>
      <c r="Q1857" s="2367"/>
      <c r="R1857" s="2367"/>
    </row>
    <row r="1858" spans="1:18">
      <c r="A1858" s="2367"/>
      <c r="B1858" s="2367"/>
      <c r="C1858" s="2367"/>
      <c r="D1858" s="2367"/>
      <c r="E1858" s="2367"/>
      <c r="F1858" s="2367"/>
      <c r="G1858" s="2367"/>
      <c r="H1858" s="2367"/>
      <c r="I1858" s="2367"/>
      <c r="J1858" s="2367"/>
      <c r="K1858" s="2367"/>
      <c r="L1858" s="2367"/>
      <c r="M1858" s="2367"/>
      <c r="N1858" s="2367"/>
      <c r="O1858" s="2367"/>
      <c r="P1858" s="2367"/>
      <c r="Q1858" s="2367"/>
      <c r="R1858" s="2367"/>
    </row>
    <row r="1859" spans="1:18">
      <c r="A1859" s="2367"/>
      <c r="B1859" s="2367"/>
      <c r="C1859" s="2367"/>
      <c r="D1859" s="2367"/>
      <c r="E1859" s="2367"/>
      <c r="F1859" s="2367"/>
      <c r="G1859" s="2367"/>
      <c r="H1859" s="2367"/>
      <c r="I1859" s="2367"/>
      <c r="J1859" s="2367"/>
      <c r="K1859" s="2367"/>
      <c r="L1859" s="2367"/>
      <c r="M1859" s="2367"/>
      <c r="N1859" s="2367"/>
      <c r="O1859" s="2367"/>
      <c r="P1859" s="2367"/>
      <c r="Q1859" s="2367"/>
      <c r="R1859" s="2367"/>
    </row>
    <row r="1860" spans="1:18">
      <c r="A1860" s="2367"/>
      <c r="B1860" s="2367"/>
      <c r="C1860" s="2367"/>
      <c r="D1860" s="2367"/>
      <c r="E1860" s="2367"/>
      <c r="F1860" s="2367"/>
      <c r="G1860" s="2367"/>
      <c r="H1860" s="2367"/>
      <c r="I1860" s="2367"/>
      <c r="J1860" s="2367"/>
      <c r="K1860" s="2367"/>
      <c r="L1860" s="2367"/>
      <c r="M1860" s="2367"/>
      <c r="N1860" s="2367"/>
      <c r="O1860" s="2367"/>
      <c r="P1860" s="2367"/>
      <c r="Q1860" s="2367"/>
      <c r="R1860" s="2367"/>
    </row>
    <row r="1861" spans="1:18">
      <c r="A1861" s="2367"/>
      <c r="B1861" s="2367"/>
      <c r="C1861" s="2367"/>
      <c r="D1861" s="2367"/>
      <c r="E1861" s="2367"/>
      <c r="F1861" s="2367"/>
      <c r="G1861" s="2367"/>
      <c r="H1861" s="2367"/>
      <c r="I1861" s="2367"/>
      <c r="J1861" s="2367"/>
      <c r="K1861" s="2367"/>
      <c r="L1861" s="2367"/>
      <c r="M1861" s="2367"/>
      <c r="N1861" s="2367"/>
      <c r="O1861" s="2367"/>
      <c r="P1861" s="2367"/>
      <c r="Q1861" s="2367"/>
      <c r="R1861" s="2367"/>
    </row>
    <row r="1862" spans="1:18">
      <c r="A1862" s="2367"/>
      <c r="B1862" s="2367"/>
      <c r="C1862" s="2367"/>
      <c r="D1862" s="2367"/>
      <c r="E1862" s="2367"/>
      <c r="F1862" s="2367"/>
      <c r="G1862" s="2367"/>
      <c r="H1862" s="2367"/>
      <c r="I1862" s="2367"/>
      <c r="J1862" s="2367"/>
      <c r="K1862" s="2367"/>
      <c r="L1862" s="2367"/>
      <c r="M1862" s="2367"/>
      <c r="N1862" s="2367"/>
      <c r="O1862" s="2367"/>
      <c r="P1862" s="2367"/>
      <c r="Q1862" s="2367"/>
      <c r="R1862" s="2367"/>
    </row>
    <row r="1863" spans="1:18">
      <c r="A1863" s="2367"/>
      <c r="B1863" s="2367"/>
      <c r="C1863" s="2367"/>
      <c r="D1863" s="2367"/>
      <c r="E1863" s="2367"/>
      <c r="F1863" s="2367"/>
      <c r="G1863" s="2367"/>
      <c r="H1863" s="2367"/>
      <c r="I1863" s="2367"/>
      <c r="J1863" s="2367"/>
      <c r="K1863" s="2367"/>
      <c r="L1863" s="2367"/>
      <c r="M1863" s="2367"/>
      <c r="N1863" s="2367"/>
      <c r="O1863" s="2367"/>
      <c r="P1863" s="2367"/>
      <c r="Q1863" s="2367"/>
      <c r="R1863" s="2367"/>
    </row>
    <row r="1864" spans="1:18">
      <c r="A1864" s="2367"/>
      <c r="B1864" s="2367"/>
      <c r="C1864" s="2367"/>
      <c r="D1864" s="2367"/>
      <c r="E1864" s="2367"/>
      <c r="F1864" s="2367"/>
      <c r="G1864" s="2367"/>
      <c r="H1864" s="2367"/>
      <c r="I1864" s="2367"/>
      <c r="J1864" s="2367"/>
      <c r="K1864" s="2367"/>
      <c r="L1864" s="2367"/>
      <c r="M1864" s="2367"/>
      <c r="N1864" s="2367"/>
      <c r="O1864" s="2367"/>
      <c r="P1864" s="2367"/>
      <c r="Q1864" s="2367"/>
      <c r="R1864" s="2367"/>
    </row>
    <row r="1865" spans="1:18">
      <c r="A1865" s="2367"/>
      <c r="B1865" s="2367"/>
      <c r="C1865" s="2367"/>
      <c r="D1865" s="2367"/>
      <c r="E1865" s="2367"/>
      <c r="F1865" s="2367"/>
      <c r="G1865" s="2367"/>
      <c r="H1865" s="2367"/>
      <c r="I1865" s="2367"/>
      <c r="J1865" s="2367"/>
      <c r="K1865" s="2367"/>
      <c r="L1865" s="2367"/>
      <c r="M1865" s="2367"/>
      <c r="N1865" s="2367"/>
      <c r="O1865" s="2367"/>
      <c r="P1865" s="2367"/>
      <c r="Q1865" s="2367"/>
      <c r="R1865" s="2367"/>
    </row>
    <row r="1866" spans="1:18">
      <c r="A1866" s="2367"/>
      <c r="B1866" s="2367"/>
      <c r="C1866" s="2367"/>
      <c r="D1866" s="2367"/>
      <c r="E1866" s="2367"/>
      <c r="F1866" s="2367"/>
      <c r="G1866" s="2367"/>
      <c r="H1866" s="2367"/>
      <c r="I1866" s="2367"/>
      <c r="J1866" s="2367"/>
      <c r="K1866" s="2367"/>
      <c r="L1866" s="2367"/>
      <c r="M1866" s="2367"/>
      <c r="N1866" s="2367"/>
      <c r="O1866" s="2367"/>
      <c r="P1866" s="2367"/>
      <c r="Q1866" s="2367"/>
      <c r="R1866" s="2367"/>
    </row>
    <row r="1867" spans="1:18">
      <c r="A1867" s="2367"/>
      <c r="B1867" s="2367"/>
      <c r="C1867" s="2367"/>
      <c r="D1867" s="2367"/>
      <c r="E1867" s="2367"/>
      <c r="F1867" s="2367"/>
      <c r="G1867" s="2367"/>
      <c r="H1867" s="2367"/>
      <c r="I1867" s="2367"/>
      <c r="J1867" s="2367"/>
      <c r="K1867" s="2367"/>
      <c r="L1867" s="2367"/>
      <c r="M1867" s="2367"/>
      <c r="N1867" s="2367"/>
      <c r="O1867" s="2367"/>
      <c r="P1867" s="2367"/>
      <c r="Q1867" s="2367"/>
      <c r="R1867" s="2367"/>
    </row>
    <row r="1868" spans="1:18">
      <c r="A1868" s="2367"/>
      <c r="B1868" s="2367"/>
      <c r="C1868" s="2367"/>
      <c r="D1868" s="2367"/>
      <c r="E1868" s="2367"/>
      <c r="F1868" s="2367"/>
      <c r="G1868" s="2367"/>
      <c r="H1868" s="2367"/>
      <c r="I1868" s="2367"/>
      <c r="J1868" s="2367"/>
      <c r="K1868" s="2367"/>
      <c r="L1868" s="2367"/>
      <c r="M1868" s="2367"/>
      <c r="N1868" s="2367"/>
      <c r="O1868" s="2367"/>
      <c r="P1868" s="2367"/>
      <c r="Q1868" s="2367"/>
      <c r="R1868" s="2367"/>
    </row>
    <row r="1869" spans="1:18">
      <c r="A1869" s="2367"/>
      <c r="B1869" s="2367"/>
      <c r="C1869" s="2367"/>
      <c r="D1869" s="2367"/>
      <c r="E1869" s="2367"/>
      <c r="F1869" s="2367"/>
      <c r="G1869" s="2367"/>
      <c r="H1869" s="2367"/>
      <c r="I1869" s="2367"/>
      <c r="J1869" s="2367"/>
      <c r="K1869" s="2367"/>
      <c r="L1869" s="2367"/>
      <c r="M1869" s="2367"/>
      <c r="N1869" s="2367"/>
      <c r="O1869" s="2367"/>
      <c r="P1869" s="2367"/>
      <c r="Q1869" s="2367"/>
      <c r="R1869" s="2367"/>
    </row>
    <row r="1870" spans="1:18">
      <c r="A1870" s="2367"/>
      <c r="B1870" s="2367"/>
      <c r="C1870" s="2367"/>
      <c r="D1870" s="2367"/>
      <c r="E1870" s="2367"/>
      <c r="F1870" s="2367"/>
      <c r="G1870" s="2367"/>
      <c r="H1870" s="2367"/>
      <c r="I1870" s="2367"/>
      <c r="J1870" s="2367"/>
      <c r="K1870" s="2367"/>
      <c r="L1870" s="2367"/>
      <c r="M1870" s="2367"/>
      <c r="N1870" s="2367"/>
      <c r="O1870" s="2367"/>
      <c r="P1870" s="2367"/>
      <c r="Q1870" s="2367"/>
      <c r="R1870" s="2367"/>
    </row>
    <row r="1871" spans="1:18">
      <c r="A1871" s="2367"/>
      <c r="B1871" s="2367"/>
      <c r="C1871" s="2367"/>
      <c r="D1871" s="2367"/>
      <c r="E1871" s="2367"/>
      <c r="F1871" s="2367"/>
      <c r="G1871" s="2367"/>
      <c r="H1871" s="2367"/>
      <c r="I1871" s="2367"/>
      <c r="J1871" s="2367"/>
      <c r="K1871" s="2367"/>
      <c r="L1871" s="2367"/>
      <c r="M1871" s="2367"/>
      <c r="N1871" s="2367"/>
      <c r="O1871" s="2367"/>
      <c r="P1871" s="2367"/>
      <c r="Q1871" s="2367"/>
      <c r="R1871" s="2367"/>
    </row>
    <row r="1872" spans="1:18">
      <c r="A1872" s="2367"/>
      <c r="B1872" s="2367"/>
      <c r="C1872" s="2367"/>
      <c r="D1872" s="2367"/>
      <c r="E1872" s="2367"/>
      <c r="F1872" s="2367"/>
      <c r="G1872" s="2367"/>
      <c r="H1872" s="2367"/>
      <c r="I1872" s="2367"/>
      <c r="J1872" s="2367"/>
      <c r="K1872" s="2367"/>
      <c r="L1872" s="2367"/>
      <c r="M1872" s="2367"/>
      <c r="N1872" s="2367"/>
      <c r="O1872" s="2367"/>
      <c r="P1872" s="2367"/>
      <c r="Q1872" s="2367"/>
      <c r="R1872" s="2367"/>
    </row>
    <row r="1873" spans="1:18">
      <c r="A1873" s="2367"/>
      <c r="B1873" s="2367"/>
      <c r="C1873" s="2367"/>
      <c r="D1873" s="2367"/>
      <c r="E1873" s="2367"/>
      <c r="F1873" s="2367"/>
      <c r="G1873" s="2367"/>
      <c r="H1873" s="2367"/>
      <c r="I1873" s="2367"/>
      <c r="J1873" s="2367"/>
      <c r="K1873" s="2367"/>
      <c r="L1873" s="2367"/>
      <c r="M1873" s="2367"/>
      <c r="N1873" s="2367"/>
      <c r="O1873" s="2367"/>
      <c r="P1873" s="2367"/>
      <c r="Q1873" s="2367"/>
      <c r="R1873" s="2367"/>
    </row>
    <row r="1874" spans="1:18">
      <c r="A1874" s="2367"/>
      <c r="B1874" s="2367"/>
      <c r="C1874" s="2367"/>
      <c r="D1874" s="2367"/>
      <c r="E1874" s="2367"/>
      <c r="F1874" s="2367"/>
      <c r="G1874" s="2367"/>
      <c r="H1874" s="2367"/>
      <c r="I1874" s="2367"/>
      <c r="J1874" s="2367"/>
      <c r="K1874" s="2367"/>
      <c r="L1874" s="2367"/>
      <c r="M1874" s="2367"/>
      <c r="N1874" s="2367"/>
      <c r="O1874" s="2367"/>
      <c r="P1874" s="2367"/>
      <c r="Q1874" s="2367"/>
      <c r="R1874" s="2367"/>
    </row>
    <row r="1875" spans="1:18">
      <c r="A1875" s="2367"/>
      <c r="B1875" s="2367"/>
      <c r="C1875" s="2367"/>
      <c r="D1875" s="2367"/>
      <c r="E1875" s="2367"/>
      <c r="F1875" s="2367"/>
      <c r="G1875" s="2367"/>
      <c r="H1875" s="2367"/>
      <c r="I1875" s="2367"/>
      <c r="J1875" s="2367"/>
      <c r="K1875" s="2367"/>
      <c r="L1875" s="2367"/>
      <c r="M1875" s="2367"/>
      <c r="N1875" s="2367"/>
      <c r="O1875" s="2367"/>
      <c r="P1875" s="2367"/>
      <c r="Q1875" s="2367"/>
      <c r="R1875" s="2367"/>
    </row>
    <row r="1876" spans="1:18">
      <c r="A1876" s="2367"/>
      <c r="B1876" s="2367"/>
      <c r="C1876" s="2367"/>
      <c r="D1876" s="2367"/>
      <c r="E1876" s="2367"/>
      <c r="F1876" s="2367"/>
      <c r="G1876" s="2367"/>
      <c r="H1876" s="2367"/>
      <c r="I1876" s="2367"/>
      <c r="J1876" s="2367"/>
      <c r="K1876" s="2367"/>
      <c r="L1876" s="2367"/>
      <c r="M1876" s="2367"/>
      <c r="N1876" s="2367"/>
      <c r="O1876" s="2367"/>
      <c r="P1876" s="2367"/>
      <c r="Q1876" s="2367"/>
      <c r="R1876" s="2367"/>
    </row>
    <row r="1877" spans="1:18">
      <c r="A1877" s="2367"/>
      <c r="B1877" s="2367"/>
      <c r="C1877" s="2367"/>
      <c r="D1877" s="2367"/>
      <c r="E1877" s="2367"/>
      <c r="F1877" s="2367"/>
      <c r="G1877" s="2367"/>
      <c r="H1877" s="2367"/>
      <c r="I1877" s="2367"/>
      <c r="J1877" s="2367"/>
      <c r="K1877" s="2367"/>
      <c r="L1877" s="2367"/>
      <c r="M1877" s="2367"/>
      <c r="N1877" s="2367"/>
      <c r="O1877" s="2367"/>
      <c r="P1877" s="2367"/>
      <c r="Q1877" s="2367"/>
      <c r="R1877" s="2367"/>
    </row>
    <row r="1878" spans="1:18">
      <c r="A1878" s="2367"/>
      <c r="B1878" s="2367"/>
      <c r="C1878" s="2367"/>
      <c r="D1878" s="2367"/>
      <c r="E1878" s="2367"/>
      <c r="F1878" s="2367"/>
      <c r="G1878" s="2367"/>
      <c r="H1878" s="2367"/>
      <c r="I1878" s="2367"/>
      <c r="J1878" s="2367"/>
      <c r="K1878" s="2367"/>
      <c r="L1878" s="2367"/>
      <c r="M1878" s="2367"/>
      <c r="N1878" s="2367"/>
      <c r="O1878" s="2367"/>
      <c r="P1878" s="2367"/>
      <c r="Q1878" s="2367"/>
      <c r="R1878" s="2367"/>
    </row>
    <row r="1879" spans="1:18">
      <c r="A1879" s="2367"/>
      <c r="B1879" s="2367"/>
      <c r="C1879" s="2367"/>
      <c r="D1879" s="2367"/>
      <c r="E1879" s="2367"/>
      <c r="F1879" s="2367"/>
      <c r="G1879" s="2367"/>
      <c r="H1879" s="2367"/>
      <c r="I1879" s="2367"/>
      <c r="J1879" s="2367"/>
      <c r="K1879" s="2367"/>
      <c r="L1879" s="2367"/>
      <c r="M1879" s="2367"/>
      <c r="N1879" s="2367"/>
      <c r="O1879" s="2367"/>
      <c r="P1879" s="2367"/>
      <c r="Q1879" s="2367"/>
      <c r="R1879" s="2367"/>
    </row>
    <row r="1880" spans="1:18">
      <c r="A1880" s="2367"/>
      <c r="B1880" s="2367"/>
      <c r="C1880" s="2367"/>
      <c r="D1880" s="2367"/>
      <c r="E1880" s="2367"/>
      <c r="F1880" s="2367"/>
      <c r="G1880" s="2367"/>
      <c r="H1880" s="2367"/>
      <c r="I1880" s="2367"/>
      <c r="J1880" s="2367"/>
      <c r="K1880" s="2367"/>
      <c r="L1880" s="2367"/>
      <c r="M1880" s="2367"/>
      <c r="N1880" s="2367"/>
      <c r="O1880" s="2367"/>
      <c r="P1880" s="2367"/>
      <c r="Q1880" s="2367"/>
      <c r="R1880" s="2367"/>
    </row>
    <row r="1881" spans="1:18">
      <c r="A1881" s="2367"/>
      <c r="B1881" s="2367"/>
      <c r="C1881" s="2367"/>
      <c r="D1881" s="2367"/>
      <c r="E1881" s="2367"/>
      <c r="F1881" s="2367"/>
      <c r="G1881" s="2367"/>
      <c r="H1881" s="2367"/>
      <c r="I1881" s="2367"/>
      <c r="J1881" s="2367"/>
      <c r="K1881" s="2367"/>
      <c r="L1881" s="2367"/>
      <c r="M1881" s="2367"/>
      <c r="N1881" s="2367"/>
      <c r="O1881" s="2367"/>
      <c r="P1881" s="2367"/>
      <c r="Q1881" s="2367"/>
      <c r="R1881" s="2367"/>
    </row>
    <row r="1882" spans="1:18">
      <c r="A1882" s="2367"/>
      <c r="B1882" s="2367"/>
      <c r="C1882" s="2367"/>
      <c r="D1882" s="2367"/>
      <c r="E1882" s="2367"/>
      <c r="F1882" s="2367"/>
      <c r="G1882" s="2367"/>
      <c r="H1882" s="2367"/>
      <c r="I1882" s="2367"/>
      <c r="J1882" s="2367"/>
      <c r="K1882" s="2367"/>
      <c r="L1882" s="2367"/>
      <c r="M1882" s="2367"/>
      <c r="N1882" s="2367"/>
      <c r="O1882" s="2367"/>
      <c r="P1882" s="2367"/>
      <c r="Q1882" s="2367"/>
      <c r="R1882" s="2367"/>
    </row>
    <row r="1883" spans="1:18">
      <c r="A1883" s="2367"/>
      <c r="B1883" s="2367"/>
      <c r="C1883" s="2367"/>
      <c r="D1883" s="2367"/>
      <c r="E1883" s="2367"/>
      <c r="F1883" s="2367"/>
      <c r="G1883" s="2367"/>
      <c r="H1883" s="2367"/>
      <c r="I1883" s="2367"/>
      <c r="J1883" s="2367"/>
      <c r="K1883" s="2367"/>
      <c r="L1883" s="2367"/>
      <c r="M1883" s="2367"/>
      <c r="N1883" s="2367"/>
      <c r="O1883" s="2367"/>
      <c r="P1883" s="2367"/>
      <c r="Q1883" s="2367"/>
      <c r="R1883" s="2367"/>
    </row>
    <row r="1884" spans="1:18">
      <c r="A1884" s="2367"/>
      <c r="B1884" s="2367"/>
      <c r="C1884" s="2367"/>
      <c r="D1884" s="2367"/>
      <c r="E1884" s="2367"/>
      <c r="F1884" s="2367"/>
      <c r="G1884" s="2367"/>
      <c r="H1884" s="2367"/>
      <c r="I1884" s="2367"/>
      <c r="J1884" s="2367"/>
      <c r="K1884" s="2367"/>
      <c r="L1884" s="2367"/>
      <c r="M1884" s="2367"/>
      <c r="N1884" s="2367"/>
      <c r="O1884" s="2367"/>
      <c r="P1884" s="2367"/>
      <c r="Q1884" s="2367"/>
      <c r="R1884" s="2367"/>
    </row>
    <row r="1885" spans="1:18">
      <c r="A1885" s="2367"/>
      <c r="B1885" s="2367"/>
      <c r="C1885" s="2367"/>
      <c r="D1885" s="2367"/>
      <c r="E1885" s="2367"/>
      <c r="F1885" s="2367"/>
      <c r="G1885" s="2367"/>
      <c r="H1885" s="2367"/>
      <c r="I1885" s="2367"/>
      <c r="J1885" s="2367"/>
      <c r="K1885" s="2367"/>
      <c r="L1885" s="2367"/>
      <c r="M1885" s="2367"/>
      <c r="N1885" s="2367"/>
      <c r="O1885" s="2367"/>
      <c r="P1885" s="2367"/>
      <c r="Q1885" s="2367"/>
      <c r="R1885" s="2367"/>
    </row>
    <row r="1886" spans="1:18">
      <c r="A1886" s="2367"/>
      <c r="B1886" s="2367"/>
      <c r="C1886" s="2367"/>
      <c r="D1886" s="2367"/>
      <c r="E1886" s="2367"/>
      <c r="F1886" s="2367"/>
      <c r="G1886" s="2367"/>
      <c r="H1886" s="2367"/>
      <c r="I1886" s="2367"/>
      <c r="J1886" s="2367"/>
      <c r="K1886" s="2367"/>
      <c r="L1886" s="2367"/>
      <c r="M1886" s="2367"/>
      <c r="N1886" s="2367"/>
      <c r="O1886" s="2367"/>
      <c r="P1886" s="2367"/>
      <c r="Q1886" s="2367"/>
      <c r="R1886" s="2367"/>
    </row>
    <row r="1887" spans="1:18">
      <c r="A1887" s="2367"/>
      <c r="B1887" s="2367"/>
      <c r="C1887" s="2367"/>
      <c r="D1887" s="2367"/>
      <c r="E1887" s="2367"/>
      <c r="F1887" s="2367"/>
      <c r="G1887" s="2367"/>
      <c r="H1887" s="2367"/>
      <c r="I1887" s="2367"/>
      <c r="J1887" s="2367"/>
      <c r="K1887" s="2367"/>
      <c r="L1887" s="2367"/>
      <c r="M1887" s="2367"/>
      <c r="N1887" s="2367"/>
      <c r="O1887" s="2367"/>
      <c r="P1887" s="2367"/>
      <c r="Q1887" s="2367"/>
      <c r="R1887" s="2367"/>
    </row>
    <row r="1888" spans="1:18">
      <c r="A1888" s="2367"/>
      <c r="B1888" s="2367"/>
      <c r="C1888" s="2367"/>
      <c r="D1888" s="2367"/>
      <c r="E1888" s="2367"/>
      <c r="F1888" s="2367"/>
      <c r="G1888" s="2367"/>
      <c r="H1888" s="2367"/>
      <c r="I1888" s="2367"/>
      <c r="J1888" s="2367"/>
      <c r="K1888" s="2367"/>
      <c r="L1888" s="2367"/>
      <c r="M1888" s="2367"/>
      <c r="N1888" s="2367"/>
      <c r="O1888" s="2367"/>
      <c r="P1888" s="2367"/>
      <c r="Q1888" s="2367"/>
      <c r="R1888" s="2367"/>
    </row>
    <row r="1889" spans="1:18">
      <c r="A1889" s="2367"/>
      <c r="B1889" s="2367"/>
      <c r="C1889" s="2367"/>
      <c r="D1889" s="2367"/>
      <c r="E1889" s="2367"/>
      <c r="F1889" s="2367"/>
      <c r="G1889" s="2367"/>
      <c r="H1889" s="2367"/>
      <c r="I1889" s="2367"/>
      <c r="J1889" s="2367"/>
      <c r="K1889" s="2367"/>
      <c r="L1889" s="2367"/>
      <c r="M1889" s="2367"/>
      <c r="N1889" s="2367"/>
      <c r="O1889" s="2367"/>
      <c r="P1889" s="2367"/>
      <c r="Q1889" s="2367"/>
      <c r="R1889" s="2367"/>
    </row>
    <row r="1890" spans="1:18">
      <c r="A1890" s="2367"/>
      <c r="B1890" s="2367"/>
      <c r="C1890" s="2367"/>
      <c r="D1890" s="2367"/>
      <c r="E1890" s="2367"/>
      <c r="F1890" s="2367"/>
      <c r="G1890" s="2367"/>
      <c r="H1890" s="2367"/>
      <c r="I1890" s="2367"/>
      <c r="J1890" s="2367"/>
      <c r="K1890" s="2367"/>
      <c r="L1890" s="2367"/>
      <c r="M1890" s="2367"/>
      <c r="N1890" s="2367"/>
      <c r="O1890" s="2367"/>
      <c r="P1890" s="2367"/>
      <c r="Q1890" s="2367"/>
      <c r="R1890" s="2367"/>
    </row>
    <row r="1891" spans="1:18">
      <c r="A1891" s="2367"/>
      <c r="B1891" s="2367"/>
      <c r="C1891" s="2367"/>
      <c r="D1891" s="2367"/>
      <c r="E1891" s="2367"/>
      <c r="F1891" s="2367"/>
      <c r="G1891" s="2367"/>
      <c r="H1891" s="2367"/>
      <c r="I1891" s="2367"/>
      <c r="J1891" s="2367"/>
      <c r="K1891" s="2367"/>
      <c r="L1891" s="2367"/>
      <c r="M1891" s="2367"/>
      <c r="N1891" s="2367"/>
      <c r="O1891" s="2367"/>
      <c r="P1891" s="2367"/>
      <c r="Q1891" s="2367"/>
      <c r="R1891" s="2367"/>
    </row>
    <row r="1892" spans="1:18">
      <c r="A1892" s="2367"/>
      <c r="B1892" s="2367"/>
      <c r="C1892" s="2367"/>
      <c r="D1892" s="2367"/>
      <c r="E1892" s="2367"/>
      <c r="F1892" s="2367"/>
      <c r="G1892" s="2367"/>
      <c r="H1892" s="2367"/>
      <c r="I1892" s="2367"/>
      <c r="J1892" s="2367"/>
      <c r="K1892" s="2367"/>
      <c r="L1892" s="2367"/>
      <c r="M1892" s="2367"/>
      <c r="N1892" s="2367"/>
      <c r="O1892" s="2367"/>
      <c r="P1892" s="2367"/>
      <c r="Q1892" s="2367"/>
      <c r="R1892" s="2367"/>
    </row>
    <row r="1893" spans="1:18">
      <c r="A1893" s="2367"/>
      <c r="B1893" s="2367"/>
      <c r="C1893" s="2367"/>
      <c r="D1893" s="2367"/>
      <c r="E1893" s="2367"/>
      <c r="F1893" s="2367"/>
      <c r="G1893" s="2367"/>
      <c r="H1893" s="2367"/>
      <c r="I1893" s="2367"/>
      <c r="J1893" s="2367"/>
      <c r="K1893" s="2367"/>
      <c r="L1893" s="2367"/>
      <c r="M1893" s="2367"/>
      <c r="N1893" s="2367"/>
      <c r="O1893" s="2367"/>
      <c r="P1893" s="2367"/>
      <c r="Q1893" s="2367"/>
      <c r="R1893" s="2367"/>
    </row>
    <row r="1894" spans="1:18">
      <c r="A1894" s="2367"/>
      <c r="B1894" s="2367"/>
      <c r="C1894" s="2367"/>
      <c r="D1894" s="2367"/>
      <c r="E1894" s="2367"/>
      <c r="F1894" s="2367"/>
      <c r="G1894" s="2367"/>
      <c r="H1894" s="2367"/>
      <c r="I1894" s="2367"/>
      <c r="J1894" s="2367"/>
      <c r="K1894" s="2367"/>
      <c r="L1894" s="2367"/>
      <c r="M1894" s="2367"/>
      <c r="N1894" s="2367"/>
      <c r="O1894" s="2367"/>
      <c r="P1894" s="2367"/>
      <c r="Q1894" s="2367"/>
      <c r="R1894" s="2367"/>
    </row>
    <row r="1895" spans="1:18">
      <c r="A1895" s="2367"/>
      <c r="B1895" s="2367"/>
      <c r="C1895" s="2367"/>
      <c r="D1895" s="2367"/>
      <c r="E1895" s="2367"/>
      <c r="F1895" s="2367"/>
      <c r="G1895" s="2367"/>
      <c r="H1895" s="2367"/>
      <c r="I1895" s="2367"/>
      <c r="J1895" s="2367"/>
      <c r="K1895" s="2367"/>
      <c r="L1895" s="2367"/>
      <c r="M1895" s="2367"/>
      <c r="N1895" s="2367"/>
      <c r="O1895" s="2367"/>
      <c r="P1895" s="2367"/>
      <c r="Q1895" s="2367"/>
      <c r="R1895" s="2367"/>
    </row>
    <row r="1896" spans="1:18">
      <c r="A1896" s="2367"/>
      <c r="B1896" s="2367"/>
      <c r="C1896" s="2367"/>
      <c r="D1896" s="2367"/>
      <c r="E1896" s="2367"/>
      <c r="F1896" s="2367"/>
      <c r="G1896" s="2367"/>
      <c r="H1896" s="2367"/>
      <c r="I1896" s="2367"/>
      <c r="J1896" s="2367"/>
      <c r="K1896" s="2367"/>
      <c r="L1896" s="2367"/>
      <c r="M1896" s="2367"/>
      <c r="N1896" s="2367"/>
      <c r="O1896" s="2367"/>
      <c r="P1896" s="2367"/>
      <c r="Q1896" s="2367"/>
      <c r="R1896" s="2367"/>
    </row>
    <row r="1897" spans="1:18">
      <c r="A1897" s="2367"/>
      <c r="B1897" s="2367"/>
      <c r="C1897" s="2367"/>
      <c r="D1897" s="2367"/>
      <c r="E1897" s="2367"/>
      <c r="F1897" s="2367"/>
      <c r="G1897" s="2367"/>
      <c r="H1897" s="2367"/>
      <c r="I1897" s="2367"/>
      <c r="J1897" s="2367"/>
      <c r="K1897" s="2367"/>
      <c r="L1897" s="2367"/>
      <c r="M1897" s="2367"/>
      <c r="N1897" s="2367"/>
      <c r="O1897" s="2367"/>
      <c r="P1897" s="2367"/>
      <c r="Q1897" s="2367"/>
      <c r="R1897" s="2367"/>
    </row>
    <row r="1898" spans="1:18">
      <c r="A1898" s="2367"/>
      <c r="B1898" s="2367"/>
      <c r="C1898" s="2367"/>
      <c r="D1898" s="2367"/>
      <c r="E1898" s="2367"/>
      <c r="F1898" s="2367"/>
      <c r="G1898" s="2367"/>
      <c r="H1898" s="2367"/>
      <c r="I1898" s="2367"/>
      <c r="J1898" s="2367"/>
      <c r="K1898" s="2367"/>
      <c r="L1898" s="2367"/>
      <c r="M1898" s="2367"/>
      <c r="N1898" s="2367"/>
      <c r="O1898" s="2367"/>
      <c r="P1898" s="2367"/>
      <c r="Q1898" s="2367"/>
      <c r="R1898" s="2367"/>
    </row>
    <row r="1899" spans="1:18">
      <c r="A1899" s="2367"/>
      <c r="B1899" s="2367"/>
      <c r="C1899" s="2367"/>
      <c r="D1899" s="2367"/>
      <c r="E1899" s="2367"/>
      <c r="F1899" s="2367"/>
      <c r="G1899" s="2367"/>
      <c r="H1899" s="2367"/>
      <c r="I1899" s="2367"/>
      <c r="J1899" s="2367"/>
      <c r="K1899" s="2367"/>
      <c r="L1899" s="2367"/>
      <c r="M1899" s="2367"/>
      <c r="N1899" s="2367"/>
      <c r="O1899" s="2367"/>
      <c r="P1899" s="2367"/>
      <c r="Q1899" s="2367"/>
      <c r="R1899" s="2367"/>
    </row>
    <row r="1900" spans="1:18">
      <c r="A1900" s="2367"/>
      <c r="B1900" s="2367"/>
      <c r="C1900" s="2367"/>
      <c r="D1900" s="2367"/>
      <c r="E1900" s="2367"/>
      <c r="F1900" s="2367"/>
      <c r="G1900" s="2367"/>
      <c r="H1900" s="2367"/>
      <c r="I1900" s="2367"/>
      <c r="J1900" s="2367"/>
      <c r="K1900" s="2367"/>
      <c r="L1900" s="2367"/>
      <c r="M1900" s="2367"/>
      <c r="N1900" s="2367"/>
      <c r="O1900" s="2367"/>
      <c r="P1900" s="2367"/>
      <c r="Q1900" s="2367"/>
      <c r="R1900" s="2367"/>
    </row>
    <row r="1901" spans="1:18">
      <c r="A1901" s="2367"/>
      <c r="B1901" s="2367"/>
      <c r="C1901" s="2367"/>
      <c r="D1901" s="2367"/>
      <c r="E1901" s="2367"/>
      <c r="F1901" s="2367"/>
      <c r="G1901" s="2367"/>
      <c r="H1901" s="2367"/>
      <c r="I1901" s="2367"/>
      <c r="J1901" s="2367"/>
      <c r="K1901" s="2367"/>
      <c r="L1901" s="2367"/>
      <c r="M1901" s="2367"/>
      <c r="N1901" s="2367"/>
      <c r="O1901" s="2367"/>
      <c r="P1901" s="2367"/>
      <c r="Q1901" s="2367"/>
      <c r="R1901" s="2367"/>
    </row>
    <row r="1902" spans="1:18">
      <c r="A1902" s="2367"/>
      <c r="B1902" s="2367"/>
      <c r="C1902" s="2367"/>
      <c r="D1902" s="2367"/>
      <c r="E1902" s="2367"/>
      <c r="F1902" s="2367"/>
      <c r="G1902" s="2367"/>
      <c r="H1902" s="2367"/>
      <c r="I1902" s="2367"/>
      <c r="J1902" s="2367"/>
      <c r="K1902" s="2367"/>
      <c r="L1902" s="2367"/>
      <c r="M1902" s="2367"/>
      <c r="N1902" s="2367"/>
      <c r="O1902" s="2367"/>
      <c r="P1902" s="2367"/>
      <c r="Q1902" s="2367"/>
      <c r="R1902" s="2367"/>
    </row>
    <row r="1903" spans="1:18">
      <c r="A1903" s="2367"/>
      <c r="B1903" s="2367"/>
      <c r="C1903" s="2367"/>
      <c r="D1903" s="2367"/>
      <c r="E1903" s="2367"/>
      <c r="F1903" s="2367"/>
      <c r="G1903" s="2367"/>
      <c r="H1903" s="2367"/>
      <c r="I1903" s="2367"/>
      <c r="J1903" s="2367"/>
      <c r="K1903" s="2367"/>
      <c r="L1903" s="2367"/>
      <c r="M1903" s="2367"/>
      <c r="N1903" s="2367"/>
      <c r="O1903" s="2367"/>
      <c r="P1903" s="2367"/>
      <c r="Q1903" s="2367"/>
      <c r="R1903" s="2367"/>
    </row>
    <row r="1904" spans="1:18">
      <c r="A1904" s="2367"/>
      <c r="B1904" s="2367"/>
      <c r="C1904" s="2367"/>
      <c r="D1904" s="2367"/>
      <c r="E1904" s="2367"/>
      <c r="F1904" s="2367"/>
      <c r="G1904" s="2367"/>
      <c r="H1904" s="2367"/>
      <c r="I1904" s="2367"/>
      <c r="J1904" s="2367"/>
      <c r="K1904" s="2367"/>
      <c r="L1904" s="2367"/>
      <c r="M1904" s="2367"/>
      <c r="N1904" s="2367"/>
      <c r="O1904" s="2367"/>
      <c r="P1904" s="2367"/>
      <c r="Q1904" s="2367"/>
      <c r="R1904" s="2367"/>
    </row>
    <row r="1905" spans="1:18">
      <c r="A1905" s="2367"/>
      <c r="B1905" s="2367"/>
      <c r="C1905" s="2367"/>
      <c r="D1905" s="2367"/>
      <c r="E1905" s="2367"/>
      <c r="F1905" s="2367"/>
      <c r="G1905" s="2367"/>
      <c r="H1905" s="2367"/>
      <c r="I1905" s="2367"/>
      <c r="J1905" s="2367"/>
      <c r="K1905" s="2367"/>
      <c r="L1905" s="2367"/>
      <c r="M1905" s="2367"/>
      <c r="N1905" s="2367"/>
      <c r="O1905" s="2367"/>
      <c r="P1905" s="2367"/>
      <c r="Q1905" s="2367"/>
      <c r="R1905" s="2367"/>
    </row>
    <row r="1906" spans="1:18">
      <c r="A1906" s="2367"/>
      <c r="B1906" s="2367"/>
      <c r="C1906" s="2367"/>
      <c r="D1906" s="2367"/>
      <c r="E1906" s="2367"/>
      <c r="F1906" s="2367"/>
      <c r="G1906" s="2367"/>
      <c r="H1906" s="2367"/>
      <c r="I1906" s="2367"/>
      <c r="J1906" s="2367"/>
      <c r="K1906" s="2367"/>
      <c r="L1906" s="2367"/>
      <c r="M1906" s="2367"/>
      <c r="N1906" s="2367"/>
      <c r="O1906" s="2367"/>
      <c r="P1906" s="2367"/>
      <c r="Q1906" s="2367"/>
      <c r="R1906" s="2367"/>
    </row>
    <row r="1907" spans="1:18">
      <c r="A1907" s="2367"/>
      <c r="B1907" s="2367"/>
      <c r="C1907" s="2367"/>
      <c r="D1907" s="2367"/>
      <c r="E1907" s="2367"/>
      <c r="F1907" s="2367"/>
      <c r="G1907" s="2367"/>
      <c r="H1907" s="2367"/>
      <c r="I1907" s="2367"/>
      <c r="J1907" s="2367"/>
      <c r="K1907" s="2367"/>
      <c r="L1907" s="2367"/>
      <c r="M1907" s="2367"/>
      <c r="N1907" s="2367"/>
      <c r="O1907" s="2367"/>
      <c r="P1907" s="2367"/>
      <c r="Q1907" s="2367"/>
      <c r="R1907" s="2367"/>
    </row>
    <row r="1908" spans="1:18">
      <c r="A1908" s="2367"/>
      <c r="B1908" s="2367"/>
      <c r="C1908" s="2367"/>
      <c r="D1908" s="2367"/>
      <c r="E1908" s="2367"/>
      <c r="F1908" s="2367"/>
      <c r="G1908" s="2367"/>
      <c r="H1908" s="2367"/>
      <c r="I1908" s="2367"/>
      <c r="J1908" s="2367"/>
      <c r="K1908" s="2367"/>
      <c r="L1908" s="2367"/>
      <c r="M1908" s="2367"/>
      <c r="N1908" s="2367"/>
      <c r="O1908" s="2367"/>
      <c r="P1908" s="2367"/>
      <c r="Q1908" s="2367"/>
      <c r="R1908" s="2367"/>
    </row>
    <row r="1909" spans="1:18">
      <c r="A1909" s="2367"/>
      <c r="B1909" s="2367"/>
      <c r="C1909" s="2367"/>
      <c r="D1909" s="2367"/>
      <c r="E1909" s="2367"/>
      <c r="F1909" s="2367"/>
      <c r="G1909" s="2367"/>
      <c r="H1909" s="2367"/>
      <c r="I1909" s="2367"/>
      <c r="J1909" s="2367"/>
      <c r="K1909" s="2367"/>
      <c r="L1909" s="2367"/>
      <c r="M1909" s="2367"/>
      <c r="N1909" s="2367"/>
      <c r="O1909" s="2367"/>
      <c r="P1909" s="2367"/>
      <c r="Q1909" s="2367"/>
      <c r="R1909" s="2367"/>
    </row>
    <row r="1910" spans="1:18">
      <c r="A1910" s="2367"/>
      <c r="B1910" s="2367"/>
      <c r="C1910" s="2367"/>
      <c r="D1910" s="2367"/>
      <c r="E1910" s="2367"/>
      <c r="F1910" s="2367"/>
      <c r="G1910" s="2367"/>
      <c r="H1910" s="2367"/>
      <c r="I1910" s="2367"/>
      <c r="J1910" s="2367"/>
      <c r="K1910" s="2367"/>
      <c r="L1910" s="2367"/>
      <c r="M1910" s="2367"/>
      <c r="N1910" s="2367"/>
      <c r="O1910" s="2367"/>
      <c r="P1910" s="2367"/>
      <c r="Q1910" s="2367"/>
      <c r="R1910" s="2367"/>
    </row>
    <row r="1911" spans="1:18">
      <c r="A1911" s="2367"/>
      <c r="B1911" s="2367"/>
      <c r="C1911" s="2367"/>
      <c r="D1911" s="2367"/>
      <c r="E1911" s="2367"/>
      <c r="F1911" s="2367"/>
      <c r="G1911" s="2367"/>
      <c r="H1911" s="2367"/>
      <c r="I1911" s="2367"/>
      <c r="J1911" s="2367"/>
      <c r="K1911" s="2367"/>
      <c r="L1911" s="2367"/>
      <c r="M1911" s="2367"/>
      <c r="N1911" s="2367"/>
      <c r="O1911" s="2367"/>
      <c r="P1911" s="2367"/>
      <c r="Q1911" s="2367"/>
      <c r="R1911" s="2367"/>
    </row>
    <row r="1912" spans="1:18">
      <c r="A1912" s="2367"/>
      <c r="B1912" s="2367"/>
      <c r="C1912" s="2367"/>
      <c r="D1912" s="2367"/>
      <c r="E1912" s="2367"/>
      <c r="F1912" s="2367"/>
      <c r="G1912" s="2367"/>
      <c r="H1912" s="2367"/>
      <c r="I1912" s="2367"/>
      <c r="J1912" s="2367"/>
      <c r="K1912" s="2367"/>
      <c r="L1912" s="2367"/>
      <c r="M1912" s="2367"/>
      <c r="N1912" s="2367"/>
      <c r="O1912" s="2367"/>
      <c r="P1912" s="2367"/>
      <c r="Q1912" s="2367"/>
      <c r="R1912" s="2367"/>
    </row>
    <row r="1913" spans="1:18">
      <c r="A1913" s="2367"/>
      <c r="B1913" s="2367"/>
      <c r="C1913" s="2367"/>
      <c r="D1913" s="2367"/>
      <c r="E1913" s="2367"/>
      <c r="F1913" s="2367"/>
      <c r="G1913" s="2367"/>
      <c r="H1913" s="2367"/>
      <c r="I1913" s="2367"/>
      <c r="J1913" s="2367"/>
      <c r="K1913" s="2367"/>
      <c r="L1913" s="2367"/>
      <c r="M1913" s="2367"/>
      <c r="N1913" s="2367"/>
      <c r="O1913" s="2367"/>
      <c r="P1913" s="2367"/>
      <c r="Q1913" s="2367"/>
      <c r="R1913" s="2367"/>
    </row>
    <row r="1914" spans="1:18">
      <c r="A1914" s="2367"/>
      <c r="B1914" s="2367"/>
      <c r="C1914" s="2367"/>
      <c r="D1914" s="2367"/>
      <c r="E1914" s="2367"/>
      <c r="F1914" s="2367"/>
      <c r="G1914" s="2367"/>
      <c r="H1914" s="2367"/>
      <c r="I1914" s="2367"/>
      <c r="J1914" s="2367"/>
      <c r="K1914" s="2367"/>
      <c r="L1914" s="2367"/>
      <c r="M1914" s="2367"/>
      <c r="N1914" s="2367"/>
      <c r="O1914" s="2367"/>
      <c r="P1914" s="2367"/>
      <c r="Q1914" s="2367"/>
      <c r="R1914" s="2367"/>
    </row>
    <row r="1915" spans="1:18">
      <c r="A1915" s="2367"/>
      <c r="B1915" s="2367"/>
      <c r="C1915" s="2367"/>
      <c r="D1915" s="2367"/>
      <c r="E1915" s="2367"/>
      <c r="F1915" s="2367"/>
      <c r="G1915" s="2367"/>
      <c r="H1915" s="2367"/>
      <c r="I1915" s="2367"/>
      <c r="J1915" s="2367"/>
      <c r="K1915" s="2367"/>
      <c r="L1915" s="2367"/>
      <c r="M1915" s="2367"/>
      <c r="N1915" s="2367"/>
      <c r="O1915" s="2367"/>
      <c r="P1915" s="2367"/>
      <c r="Q1915" s="2367"/>
      <c r="R1915" s="2367"/>
    </row>
    <row r="1916" spans="1:18">
      <c r="A1916" s="2367"/>
      <c r="B1916" s="2367"/>
      <c r="C1916" s="2367"/>
      <c r="D1916" s="2367"/>
      <c r="E1916" s="2367"/>
      <c r="F1916" s="2367"/>
      <c r="G1916" s="2367"/>
      <c r="H1916" s="2367"/>
      <c r="I1916" s="2367"/>
      <c r="J1916" s="2367"/>
      <c r="K1916" s="2367"/>
      <c r="L1916" s="2367"/>
      <c r="M1916" s="2367"/>
      <c r="N1916" s="2367"/>
      <c r="O1916" s="2367"/>
      <c r="P1916" s="2367"/>
      <c r="Q1916" s="2367"/>
      <c r="R1916" s="2367"/>
    </row>
    <row r="1917" spans="1:18">
      <c r="A1917" s="2367"/>
      <c r="B1917" s="2367"/>
      <c r="C1917" s="2367"/>
      <c r="D1917" s="2367"/>
      <c r="E1917" s="2367"/>
      <c r="F1917" s="2367"/>
      <c r="G1917" s="2367"/>
      <c r="H1917" s="2367"/>
      <c r="I1917" s="2367"/>
      <c r="J1917" s="2367"/>
      <c r="K1917" s="2367"/>
      <c r="L1917" s="2367"/>
      <c r="M1917" s="2367"/>
      <c r="N1917" s="2367"/>
      <c r="O1917" s="2367"/>
      <c r="P1917" s="2367"/>
      <c r="Q1917" s="2367"/>
      <c r="R1917" s="2367"/>
    </row>
    <row r="1918" spans="1:18">
      <c r="A1918" s="2367"/>
      <c r="B1918" s="2367"/>
      <c r="C1918" s="2367"/>
      <c r="D1918" s="2367"/>
      <c r="E1918" s="2367"/>
      <c r="F1918" s="2367"/>
      <c r="G1918" s="2367"/>
      <c r="H1918" s="2367"/>
      <c r="I1918" s="2367"/>
      <c r="J1918" s="2367"/>
      <c r="K1918" s="2367"/>
      <c r="L1918" s="2367"/>
      <c r="M1918" s="2367"/>
      <c r="N1918" s="2367"/>
      <c r="O1918" s="2367"/>
      <c r="P1918" s="2367"/>
      <c r="Q1918" s="2367"/>
      <c r="R1918" s="2367"/>
    </row>
    <row r="1919" spans="1:18">
      <c r="A1919" s="2367"/>
      <c r="B1919" s="2367"/>
      <c r="C1919" s="2367"/>
      <c r="D1919" s="2367"/>
      <c r="E1919" s="2367"/>
      <c r="F1919" s="2367"/>
      <c r="G1919" s="2367"/>
      <c r="H1919" s="2367"/>
      <c r="I1919" s="2367"/>
      <c r="J1919" s="2367"/>
      <c r="K1919" s="2367"/>
      <c r="L1919" s="2367"/>
      <c r="M1919" s="2367"/>
      <c r="N1919" s="2367"/>
      <c r="O1919" s="2367"/>
      <c r="P1919" s="2367"/>
      <c r="Q1919" s="2367"/>
      <c r="R1919" s="2367"/>
    </row>
    <row r="1920" spans="1:18">
      <c r="A1920" s="2367"/>
      <c r="B1920" s="2367"/>
      <c r="C1920" s="2367"/>
      <c r="D1920" s="2367"/>
      <c r="E1920" s="2367"/>
      <c r="F1920" s="2367"/>
      <c r="G1920" s="2367"/>
      <c r="H1920" s="2367"/>
      <c r="I1920" s="2367"/>
      <c r="J1920" s="2367"/>
      <c r="K1920" s="2367"/>
      <c r="L1920" s="2367"/>
      <c r="M1920" s="2367"/>
      <c r="N1920" s="2367"/>
      <c r="O1920" s="2367"/>
      <c r="P1920" s="2367"/>
      <c r="Q1920" s="2367"/>
      <c r="R1920" s="2367"/>
    </row>
    <row r="1921" spans="1:18">
      <c r="A1921" s="2367"/>
      <c r="B1921" s="2367"/>
      <c r="C1921" s="2367"/>
      <c r="D1921" s="2367"/>
      <c r="E1921" s="2367"/>
      <c r="F1921" s="2367"/>
      <c r="G1921" s="2367"/>
      <c r="H1921" s="2367"/>
      <c r="I1921" s="2367"/>
      <c r="J1921" s="2367"/>
      <c r="K1921" s="2367"/>
      <c r="L1921" s="2367"/>
      <c r="M1921" s="2367"/>
      <c r="N1921" s="2367"/>
      <c r="O1921" s="2367"/>
      <c r="P1921" s="2367"/>
      <c r="Q1921" s="2367"/>
      <c r="R1921" s="2367"/>
    </row>
    <row r="1922" spans="1:18">
      <c r="A1922" s="2367"/>
      <c r="B1922" s="2367"/>
      <c r="C1922" s="2367"/>
      <c r="D1922" s="2367"/>
      <c r="E1922" s="2367"/>
      <c r="F1922" s="2367"/>
      <c r="G1922" s="2367"/>
      <c r="H1922" s="2367"/>
      <c r="I1922" s="2367"/>
      <c r="J1922" s="2367"/>
      <c r="K1922" s="2367"/>
      <c r="L1922" s="2367"/>
      <c r="M1922" s="2367"/>
      <c r="N1922" s="2367"/>
      <c r="O1922" s="2367"/>
      <c r="P1922" s="2367"/>
      <c r="Q1922" s="2367"/>
      <c r="R1922" s="2367"/>
    </row>
    <row r="1923" spans="1:18">
      <c r="A1923" s="2367"/>
      <c r="B1923" s="2367"/>
      <c r="C1923" s="2367"/>
      <c r="D1923" s="2367"/>
      <c r="E1923" s="2367"/>
      <c r="F1923" s="2367"/>
      <c r="G1923" s="2367"/>
      <c r="H1923" s="2367"/>
      <c r="I1923" s="2367"/>
      <c r="J1923" s="2367"/>
      <c r="K1923" s="2367"/>
      <c r="L1923" s="2367"/>
      <c r="M1923" s="2367"/>
      <c r="N1923" s="2367"/>
      <c r="O1923" s="2367"/>
      <c r="P1923" s="2367"/>
      <c r="Q1923" s="2367"/>
      <c r="R1923" s="2367"/>
    </row>
    <row r="1924" spans="1:18">
      <c r="A1924" s="2367"/>
      <c r="B1924" s="2367"/>
      <c r="C1924" s="2367"/>
      <c r="D1924" s="2367"/>
      <c r="E1924" s="2367"/>
      <c r="F1924" s="2367"/>
      <c r="G1924" s="2367"/>
      <c r="H1924" s="2367"/>
      <c r="I1924" s="2367"/>
      <c r="J1924" s="2367"/>
      <c r="K1924" s="2367"/>
      <c r="L1924" s="2367"/>
      <c r="M1924" s="2367"/>
      <c r="N1924" s="2367"/>
      <c r="O1924" s="2367"/>
      <c r="P1924" s="2367"/>
      <c r="Q1924" s="2367"/>
      <c r="R1924" s="2367"/>
    </row>
    <row r="1925" spans="1:18">
      <c r="A1925" s="2367"/>
      <c r="B1925" s="2367"/>
      <c r="C1925" s="2367"/>
      <c r="D1925" s="2367"/>
      <c r="E1925" s="2367"/>
      <c r="F1925" s="2367"/>
      <c r="G1925" s="2367"/>
      <c r="H1925" s="2367"/>
      <c r="I1925" s="2367"/>
      <c r="J1925" s="2367"/>
      <c r="K1925" s="2367"/>
      <c r="L1925" s="2367"/>
      <c r="M1925" s="2367"/>
      <c r="N1925" s="2367"/>
      <c r="O1925" s="2367"/>
      <c r="P1925" s="2367"/>
      <c r="Q1925" s="2367"/>
      <c r="R1925" s="2367"/>
    </row>
    <row r="1926" spans="1:18">
      <c r="A1926" s="2367"/>
      <c r="B1926" s="2367"/>
      <c r="C1926" s="2367"/>
      <c r="D1926" s="2367"/>
      <c r="E1926" s="2367"/>
      <c r="F1926" s="2367"/>
      <c r="G1926" s="2367"/>
      <c r="H1926" s="2367"/>
      <c r="I1926" s="2367"/>
      <c r="J1926" s="2367"/>
      <c r="K1926" s="2367"/>
      <c r="L1926" s="2367"/>
      <c r="M1926" s="2367"/>
      <c r="N1926" s="2367"/>
      <c r="O1926" s="2367"/>
      <c r="P1926" s="2367"/>
      <c r="Q1926" s="2367"/>
      <c r="R1926" s="2367"/>
    </row>
    <row r="1927" spans="1:18">
      <c r="A1927" s="2367"/>
      <c r="B1927" s="2367"/>
      <c r="C1927" s="2367"/>
      <c r="D1927" s="2367"/>
      <c r="E1927" s="2367"/>
      <c r="F1927" s="2367"/>
      <c r="G1927" s="2367"/>
      <c r="H1927" s="2367"/>
      <c r="I1927" s="2367"/>
      <c r="J1927" s="2367"/>
      <c r="K1927" s="2367"/>
      <c r="L1927" s="2367"/>
      <c r="M1927" s="2367"/>
      <c r="N1927" s="2367"/>
      <c r="O1927" s="2367"/>
      <c r="P1927" s="2367"/>
      <c r="Q1927" s="2367"/>
      <c r="R1927" s="2367"/>
    </row>
    <row r="1928" spans="1:18">
      <c r="A1928" s="2367"/>
      <c r="B1928" s="2367"/>
      <c r="C1928" s="2367"/>
      <c r="D1928" s="2367"/>
      <c r="E1928" s="2367"/>
      <c r="F1928" s="2367"/>
      <c r="G1928" s="2367"/>
      <c r="H1928" s="2367"/>
      <c r="I1928" s="2367"/>
      <c r="J1928" s="2367"/>
      <c r="K1928" s="2367"/>
      <c r="L1928" s="2367"/>
      <c r="M1928" s="2367"/>
      <c r="N1928" s="2367"/>
      <c r="O1928" s="2367"/>
      <c r="P1928" s="2367"/>
      <c r="Q1928" s="2367"/>
      <c r="R1928" s="2367"/>
    </row>
    <row r="1929" spans="1:18">
      <c r="A1929" s="2367"/>
      <c r="B1929" s="2367"/>
      <c r="C1929" s="2367"/>
      <c r="D1929" s="2367"/>
      <c r="E1929" s="2367"/>
      <c r="F1929" s="2367"/>
      <c r="G1929" s="2367"/>
      <c r="H1929" s="2367"/>
      <c r="I1929" s="2367"/>
      <c r="J1929" s="2367"/>
      <c r="K1929" s="2367"/>
      <c r="L1929" s="2367"/>
      <c r="M1929" s="2367"/>
      <c r="N1929" s="2367"/>
      <c r="O1929" s="2367"/>
      <c r="P1929" s="2367"/>
      <c r="Q1929" s="2367"/>
      <c r="R1929" s="2367"/>
    </row>
    <row r="1930" spans="1:18">
      <c r="A1930" s="2367"/>
      <c r="B1930" s="2367"/>
      <c r="C1930" s="2367"/>
      <c r="D1930" s="2367"/>
      <c r="E1930" s="2367"/>
      <c r="F1930" s="2367"/>
      <c r="G1930" s="2367"/>
      <c r="H1930" s="2367"/>
      <c r="I1930" s="2367"/>
      <c r="J1930" s="2367"/>
      <c r="K1930" s="2367"/>
      <c r="L1930" s="2367"/>
      <c r="M1930" s="2367"/>
      <c r="N1930" s="2367"/>
      <c r="O1930" s="2367"/>
      <c r="P1930" s="2367"/>
      <c r="Q1930" s="2367"/>
      <c r="R1930" s="2367"/>
    </row>
    <row r="1931" spans="1:18">
      <c r="A1931" s="2367"/>
      <c r="B1931" s="2367"/>
      <c r="C1931" s="2367"/>
      <c r="D1931" s="2367"/>
      <c r="E1931" s="2367"/>
      <c r="F1931" s="2367"/>
      <c r="G1931" s="2367"/>
      <c r="H1931" s="2367"/>
      <c r="I1931" s="2367"/>
      <c r="J1931" s="2367"/>
      <c r="K1931" s="2367"/>
      <c r="L1931" s="2367"/>
      <c r="M1931" s="2367"/>
      <c r="N1931" s="2367"/>
      <c r="O1931" s="2367"/>
      <c r="P1931" s="2367"/>
      <c r="Q1931" s="2367"/>
      <c r="R1931" s="2367"/>
    </row>
    <row r="1932" spans="1:18">
      <c r="A1932" s="2367"/>
      <c r="B1932" s="2367"/>
      <c r="C1932" s="2367"/>
      <c r="D1932" s="2367"/>
      <c r="E1932" s="2367"/>
      <c r="F1932" s="2367"/>
      <c r="G1932" s="2367"/>
      <c r="H1932" s="2367"/>
      <c r="I1932" s="2367"/>
      <c r="J1932" s="2367"/>
      <c r="K1932" s="2367"/>
      <c r="L1932" s="2367"/>
      <c r="M1932" s="2367"/>
      <c r="N1932" s="2367"/>
      <c r="O1932" s="2367"/>
      <c r="P1932" s="2367"/>
      <c r="Q1932" s="2367"/>
      <c r="R1932" s="2367"/>
    </row>
    <row r="1933" spans="1:18">
      <c r="A1933" s="2367"/>
      <c r="B1933" s="2367"/>
      <c r="C1933" s="2367"/>
      <c r="D1933" s="2367"/>
      <c r="E1933" s="2367"/>
      <c r="F1933" s="2367"/>
      <c r="G1933" s="2367"/>
      <c r="H1933" s="2367"/>
      <c r="I1933" s="2367"/>
      <c r="J1933" s="2367"/>
      <c r="K1933" s="2367"/>
      <c r="L1933" s="2367"/>
      <c r="M1933" s="2367"/>
      <c r="N1933" s="2367"/>
      <c r="O1933" s="2367"/>
      <c r="P1933" s="2367"/>
      <c r="Q1933" s="2367"/>
      <c r="R1933" s="2367"/>
    </row>
    <row r="1934" spans="1:18">
      <c r="A1934" s="2367"/>
      <c r="B1934" s="2367"/>
      <c r="C1934" s="2367"/>
      <c r="D1934" s="2367"/>
      <c r="E1934" s="2367"/>
      <c r="F1934" s="2367"/>
      <c r="G1934" s="2367"/>
      <c r="H1934" s="2367"/>
      <c r="I1934" s="2367"/>
      <c r="J1934" s="2367"/>
      <c r="K1934" s="2367"/>
      <c r="L1934" s="2367"/>
      <c r="M1934" s="2367"/>
      <c r="N1934" s="2367"/>
      <c r="O1934" s="2367"/>
      <c r="P1934" s="2367"/>
      <c r="Q1934" s="2367"/>
      <c r="R1934" s="2367"/>
    </row>
    <row r="1935" spans="1:18">
      <c r="A1935" s="2367"/>
      <c r="B1935" s="2367"/>
      <c r="C1935" s="2367"/>
      <c r="D1935" s="2367"/>
      <c r="E1935" s="2367"/>
      <c r="F1935" s="2367"/>
      <c r="G1935" s="2367"/>
      <c r="H1935" s="2367"/>
      <c r="I1935" s="2367"/>
      <c r="J1935" s="2367"/>
      <c r="K1935" s="2367"/>
      <c r="L1935" s="2367"/>
      <c r="M1935" s="2367"/>
      <c r="N1935" s="2367"/>
      <c r="O1935" s="2367"/>
      <c r="P1935" s="2367"/>
      <c r="Q1935" s="2367"/>
      <c r="R1935" s="2367"/>
    </row>
    <row r="1936" spans="1:18">
      <c r="A1936" s="2367"/>
      <c r="B1936" s="2367"/>
      <c r="C1936" s="2367"/>
      <c r="D1936" s="2367"/>
      <c r="E1936" s="2367"/>
      <c r="F1936" s="2367"/>
      <c r="G1936" s="2367"/>
      <c r="H1936" s="2367"/>
      <c r="I1936" s="2367"/>
      <c r="J1936" s="2367"/>
      <c r="K1936" s="2367"/>
      <c r="L1936" s="2367"/>
      <c r="M1936" s="2367"/>
      <c r="N1936" s="2367"/>
      <c r="O1936" s="2367"/>
      <c r="P1936" s="2367"/>
      <c r="Q1936" s="2367"/>
      <c r="R1936" s="2367"/>
    </row>
    <row r="1937" spans="1:18">
      <c r="A1937" s="2367"/>
      <c r="B1937" s="2367"/>
      <c r="C1937" s="2367"/>
      <c r="D1937" s="2367"/>
      <c r="E1937" s="2367"/>
      <c r="F1937" s="2367"/>
      <c r="G1937" s="2367"/>
      <c r="H1937" s="2367"/>
      <c r="I1937" s="2367"/>
      <c r="J1937" s="2367"/>
      <c r="K1937" s="2367"/>
      <c r="L1937" s="2367"/>
      <c r="M1937" s="2367"/>
      <c r="N1937" s="2367"/>
      <c r="O1937" s="2367"/>
      <c r="P1937" s="2367"/>
      <c r="Q1937" s="2367"/>
      <c r="R1937" s="2367"/>
    </row>
    <row r="1938" spans="1:18">
      <c r="A1938" s="2367"/>
      <c r="B1938" s="2367"/>
      <c r="C1938" s="2367"/>
      <c r="D1938" s="2367"/>
      <c r="E1938" s="2367"/>
      <c r="F1938" s="2367"/>
      <c r="G1938" s="2367"/>
      <c r="H1938" s="2367"/>
      <c r="I1938" s="2367"/>
      <c r="J1938" s="2367"/>
      <c r="K1938" s="2367"/>
      <c r="L1938" s="2367"/>
      <c r="M1938" s="2367"/>
      <c r="N1938" s="2367"/>
      <c r="O1938" s="2367"/>
      <c r="P1938" s="2367"/>
      <c r="Q1938" s="2367"/>
      <c r="R1938" s="2367"/>
    </row>
    <row r="1939" spans="1:18">
      <c r="A1939" s="2367"/>
      <c r="B1939" s="2367"/>
      <c r="C1939" s="2367"/>
      <c r="D1939" s="2367"/>
      <c r="E1939" s="2367"/>
      <c r="F1939" s="2367"/>
      <c r="G1939" s="2367"/>
      <c r="H1939" s="2367"/>
      <c r="I1939" s="2367"/>
      <c r="J1939" s="2367"/>
      <c r="K1939" s="2367"/>
      <c r="L1939" s="2367"/>
      <c r="M1939" s="2367"/>
      <c r="N1939" s="2367"/>
      <c r="O1939" s="2367"/>
      <c r="P1939" s="2367"/>
      <c r="Q1939" s="2367"/>
      <c r="R1939" s="2367"/>
    </row>
    <row r="1940" spans="1:18">
      <c r="A1940" s="2367"/>
      <c r="B1940" s="2367"/>
      <c r="C1940" s="2367"/>
      <c r="D1940" s="2367"/>
      <c r="E1940" s="2367"/>
      <c r="F1940" s="2367"/>
      <c r="G1940" s="2367"/>
      <c r="H1940" s="2367"/>
      <c r="I1940" s="2367"/>
      <c r="J1940" s="2367"/>
      <c r="K1940" s="2367"/>
      <c r="L1940" s="2367"/>
      <c r="M1940" s="2367"/>
      <c r="N1940" s="2367"/>
      <c r="O1940" s="2367"/>
      <c r="P1940" s="2367"/>
      <c r="Q1940" s="2367"/>
      <c r="R1940" s="2367"/>
    </row>
    <row r="1941" spans="1:18">
      <c r="A1941" s="2367"/>
      <c r="B1941" s="2367"/>
      <c r="C1941" s="2367"/>
      <c r="D1941" s="2367"/>
      <c r="E1941" s="2367"/>
      <c r="F1941" s="2367"/>
      <c r="G1941" s="2367"/>
      <c r="H1941" s="2367"/>
      <c r="I1941" s="2367"/>
      <c r="J1941" s="2367"/>
      <c r="K1941" s="2367"/>
      <c r="L1941" s="2367"/>
      <c r="M1941" s="2367"/>
      <c r="N1941" s="2367"/>
      <c r="O1941" s="2367"/>
      <c r="P1941" s="2367"/>
      <c r="Q1941" s="2367"/>
      <c r="R1941" s="2367"/>
    </row>
    <row r="1942" spans="1:18">
      <c r="A1942" s="2367"/>
      <c r="B1942" s="2367"/>
      <c r="C1942" s="2367"/>
      <c r="D1942" s="2367"/>
      <c r="E1942" s="2367"/>
      <c r="F1942" s="2367"/>
      <c r="G1942" s="2367"/>
      <c r="H1942" s="2367"/>
      <c r="I1942" s="2367"/>
      <c r="J1942" s="2367"/>
      <c r="K1942" s="2367"/>
      <c r="L1942" s="2367"/>
      <c r="M1942" s="2367"/>
      <c r="N1942" s="2367"/>
      <c r="O1942" s="2367"/>
      <c r="P1942" s="2367"/>
      <c r="Q1942" s="2367"/>
      <c r="R1942" s="2367"/>
    </row>
    <row r="1943" spans="1:18">
      <c r="A1943" s="2367"/>
      <c r="B1943" s="2367"/>
      <c r="C1943" s="2367"/>
      <c r="D1943" s="2367"/>
      <c r="E1943" s="2367"/>
      <c r="F1943" s="2367"/>
      <c r="G1943" s="2367"/>
      <c r="H1943" s="2367"/>
      <c r="I1943" s="2367"/>
      <c r="J1943" s="2367"/>
      <c r="K1943" s="2367"/>
      <c r="L1943" s="2367"/>
      <c r="M1943" s="2367"/>
      <c r="N1943" s="2367"/>
      <c r="O1943" s="2367"/>
      <c r="P1943" s="2367"/>
      <c r="Q1943" s="2367"/>
      <c r="R1943" s="2367"/>
    </row>
    <row r="1944" spans="1:18">
      <c r="A1944" s="2367"/>
      <c r="B1944" s="2367"/>
      <c r="C1944" s="2367"/>
      <c r="D1944" s="2367"/>
      <c r="E1944" s="2367"/>
      <c r="F1944" s="2367"/>
      <c r="G1944" s="2367"/>
      <c r="H1944" s="2367"/>
      <c r="I1944" s="2367"/>
      <c r="J1944" s="2367"/>
      <c r="K1944" s="2367"/>
      <c r="L1944" s="2367"/>
      <c r="M1944" s="2367"/>
      <c r="N1944" s="2367"/>
      <c r="O1944" s="2367"/>
      <c r="P1944" s="2367"/>
      <c r="Q1944" s="2367"/>
      <c r="R1944" s="2367"/>
    </row>
    <row r="1945" spans="1:18">
      <c r="A1945" s="2367"/>
      <c r="B1945" s="2367"/>
      <c r="C1945" s="2367"/>
      <c r="D1945" s="2367"/>
      <c r="E1945" s="2367"/>
      <c r="F1945" s="2367"/>
      <c r="G1945" s="2367"/>
      <c r="H1945" s="2367"/>
      <c r="I1945" s="2367"/>
      <c r="J1945" s="2367"/>
      <c r="K1945" s="2367"/>
      <c r="L1945" s="2367"/>
      <c r="M1945" s="2367"/>
      <c r="N1945" s="2367"/>
      <c r="O1945" s="2367"/>
      <c r="P1945" s="2367"/>
      <c r="Q1945" s="2367"/>
      <c r="R1945" s="2367"/>
    </row>
    <row r="1946" spans="1:18">
      <c r="A1946" s="2367"/>
      <c r="B1946" s="2367"/>
      <c r="C1946" s="2367"/>
      <c r="D1946" s="2367"/>
      <c r="E1946" s="2367"/>
      <c r="F1946" s="2367"/>
      <c r="G1946" s="2367"/>
      <c r="H1946" s="2367"/>
      <c r="I1946" s="2367"/>
      <c r="J1946" s="2367"/>
      <c r="K1946" s="2367"/>
      <c r="L1946" s="2367"/>
      <c r="M1946" s="2367"/>
      <c r="N1946" s="2367"/>
      <c r="O1946" s="2367"/>
      <c r="P1946" s="2367"/>
      <c r="Q1946" s="2367"/>
      <c r="R1946" s="2367"/>
    </row>
    <row r="1947" spans="1:18">
      <c r="A1947" s="2367"/>
      <c r="B1947" s="2367"/>
      <c r="C1947" s="2367"/>
      <c r="D1947" s="2367"/>
      <c r="E1947" s="2367"/>
      <c r="F1947" s="2367"/>
      <c r="G1947" s="2367"/>
      <c r="H1947" s="2367"/>
      <c r="I1947" s="2367"/>
      <c r="J1947" s="2367"/>
      <c r="K1947" s="2367"/>
      <c r="L1947" s="2367"/>
      <c r="M1947" s="2367"/>
      <c r="N1947" s="2367"/>
      <c r="O1947" s="2367"/>
      <c r="P1947" s="2367"/>
      <c r="Q1947" s="2367"/>
      <c r="R1947" s="2367"/>
    </row>
    <row r="1948" spans="1:18">
      <c r="A1948" s="2367"/>
      <c r="B1948" s="2367"/>
      <c r="C1948" s="2367"/>
      <c r="D1948" s="2367"/>
      <c r="E1948" s="2367"/>
      <c r="F1948" s="2367"/>
      <c r="G1948" s="2367"/>
      <c r="H1948" s="2367"/>
      <c r="I1948" s="2367"/>
      <c r="J1948" s="2367"/>
      <c r="K1948" s="2367"/>
      <c r="L1948" s="2367"/>
      <c r="M1948" s="2367"/>
      <c r="N1948" s="2367"/>
      <c r="O1948" s="2367"/>
      <c r="P1948" s="2367"/>
      <c r="Q1948" s="2367"/>
      <c r="R1948" s="2367"/>
    </row>
    <row r="1949" spans="1:18">
      <c r="A1949" s="2367"/>
      <c r="B1949" s="2367"/>
      <c r="C1949" s="2367"/>
      <c r="D1949" s="2367"/>
      <c r="E1949" s="2367"/>
      <c r="F1949" s="2367"/>
      <c r="G1949" s="2367"/>
      <c r="H1949" s="2367"/>
      <c r="I1949" s="2367"/>
      <c r="J1949" s="2367"/>
      <c r="K1949" s="2367"/>
      <c r="L1949" s="2367"/>
      <c r="M1949" s="2367"/>
      <c r="N1949" s="2367"/>
      <c r="O1949" s="2367"/>
      <c r="P1949" s="2367"/>
      <c r="Q1949" s="2367"/>
      <c r="R1949" s="2367"/>
    </row>
    <row r="1950" spans="1:18">
      <c r="A1950" s="2367"/>
      <c r="B1950" s="2367"/>
      <c r="C1950" s="2367"/>
      <c r="D1950" s="2367"/>
      <c r="E1950" s="2367"/>
      <c r="F1950" s="2367"/>
      <c r="G1950" s="2367"/>
      <c r="H1950" s="2367"/>
      <c r="I1950" s="2367"/>
      <c r="J1950" s="2367"/>
      <c r="K1950" s="2367"/>
      <c r="L1950" s="2367"/>
      <c r="M1950" s="2367"/>
      <c r="N1950" s="2367"/>
      <c r="O1950" s="2367"/>
      <c r="P1950" s="2367"/>
      <c r="Q1950" s="2367"/>
      <c r="R1950" s="2367"/>
    </row>
    <row r="1951" spans="1:18">
      <c r="A1951" s="2367"/>
      <c r="B1951" s="2367"/>
      <c r="C1951" s="2367"/>
      <c r="D1951" s="2367"/>
      <c r="E1951" s="2367"/>
      <c r="F1951" s="2367"/>
      <c r="G1951" s="2367"/>
      <c r="H1951" s="2367"/>
      <c r="I1951" s="2367"/>
      <c r="J1951" s="2367"/>
      <c r="K1951" s="2367"/>
      <c r="L1951" s="2367"/>
      <c r="M1951" s="2367"/>
      <c r="N1951" s="2367"/>
      <c r="O1951" s="2367"/>
      <c r="P1951" s="2367"/>
      <c r="Q1951" s="2367"/>
      <c r="R1951" s="2367"/>
    </row>
    <row r="1952" spans="1:18">
      <c r="A1952" s="2367"/>
      <c r="B1952" s="2367"/>
      <c r="C1952" s="2367"/>
      <c r="D1952" s="2367"/>
      <c r="E1952" s="2367"/>
      <c r="F1952" s="2367"/>
      <c r="G1952" s="2367"/>
      <c r="H1952" s="2367"/>
      <c r="I1952" s="2367"/>
      <c r="J1952" s="2367"/>
      <c r="K1952" s="2367"/>
      <c r="L1952" s="2367"/>
      <c r="M1952" s="2367"/>
      <c r="N1952" s="2367"/>
      <c r="O1952" s="2367"/>
      <c r="P1952" s="2367"/>
      <c r="Q1952" s="2367"/>
      <c r="R1952" s="2367"/>
    </row>
    <row r="1953" spans="1:18">
      <c r="A1953" s="2367"/>
      <c r="B1953" s="2367"/>
      <c r="C1953" s="2367"/>
      <c r="D1953" s="2367"/>
      <c r="E1953" s="2367"/>
      <c r="F1953" s="2367"/>
      <c r="G1953" s="2367"/>
      <c r="H1953" s="2367"/>
      <c r="I1953" s="2367"/>
      <c r="J1953" s="2367"/>
      <c r="K1953" s="2367"/>
      <c r="L1953" s="2367"/>
      <c r="M1953" s="2367"/>
      <c r="N1953" s="2367"/>
      <c r="O1953" s="2367"/>
      <c r="P1953" s="2367"/>
      <c r="Q1953" s="2367"/>
      <c r="R1953" s="2367"/>
    </row>
    <row r="1954" spans="1:18">
      <c r="A1954" s="2367"/>
      <c r="B1954" s="2367"/>
      <c r="C1954" s="2367"/>
      <c r="D1954" s="2367"/>
      <c r="E1954" s="2367"/>
      <c r="F1954" s="2367"/>
      <c r="G1954" s="2367"/>
      <c r="H1954" s="2367"/>
      <c r="I1954" s="2367"/>
      <c r="J1954" s="2367"/>
      <c r="K1954" s="2367"/>
      <c r="L1954" s="2367"/>
      <c r="M1954" s="2367"/>
      <c r="N1954" s="2367"/>
      <c r="O1954" s="2367"/>
      <c r="P1954" s="2367"/>
      <c r="Q1954" s="2367"/>
      <c r="R1954" s="2367"/>
    </row>
    <row r="1955" spans="1:18">
      <c r="A1955" s="2367"/>
      <c r="B1955" s="2367"/>
      <c r="C1955" s="2367"/>
      <c r="D1955" s="2367"/>
      <c r="E1955" s="2367"/>
      <c r="F1955" s="2367"/>
      <c r="G1955" s="2367"/>
      <c r="H1955" s="2367"/>
      <c r="I1955" s="2367"/>
      <c r="J1955" s="2367"/>
      <c r="K1955" s="2367"/>
      <c r="L1955" s="2367"/>
      <c r="M1955" s="2367"/>
      <c r="N1955" s="2367"/>
      <c r="O1955" s="2367"/>
      <c r="P1955" s="2367"/>
      <c r="Q1955" s="2367"/>
      <c r="R1955" s="2367"/>
    </row>
    <row r="1956" spans="1:18">
      <c r="A1956" s="2367"/>
      <c r="B1956" s="2367"/>
      <c r="C1956" s="2367"/>
      <c r="D1956" s="2367"/>
      <c r="E1956" s="2367"/>
      <c r="F1956" s="2367"/>
      <c r="G1956" s="2367"/>
      <c r="H1956" s="2367"/>
      <c r="I1956" s="2367"/>
      <c r="J1956" s="2367"/>
      <c r="K1956" s="2367"/>
      <c r="L1956" s="2367"/>
      <c r="M1956" s="2367"/>
      <c r="N1956" s="2367"/>
      <c r="O1956" s="2367"/>
      <c r="P1956" s="2367"/>
      <c r="Q1956" s="2367"/>
      <c r="R1956" s="2367"/>
    </row>
    <row r="1957" spans="1:18">
      <c r="A1957" s="2367"/>
      <c r="B1957" s="2367"/>
      <c r="C1957" s="2367"/>
      <c r="D1957" s="2367"/>
      <c r="E1957" s="2367"/>
      <c r="F1957" s="2367"/>
      <c r="G1957" s="2367"/>
      <c r="H1957" s="2367"/>
      <c r="I1957" s="2367"/>
      <c r="J1957" s="2367"/>
      <c r="K1957" s="2367"/>
      <c r="L1957" s="2367"/>
      <c r="M1957" s="2367"/>
      <c r="N1957" s="2367"/>
      <c r="O1957" s="2367"/>
      <c r="P1957" s="2367"/>
      <c r="Q1957" s="2367"/>
      <c r="R1957" s="2367"/>
    </row>
    <row r="1958" spans="1:18">
      <c r="A1958" s="2367"/>
      <c r="B1958" s="2367"/>
      <c r="C1958" s="2367"/>
      <c r="D1958" s="2367"/>
      <c r="E1958" s="2367"/>
      <c r="F1958" s="2367"/>
      <c r="G1958" s="2367"/>
      <c r="H1958" s="2367"/>
      <c r="I1958" s="2367"/>
      <c r="J1958" s="2367"/>
      <c r="K1958" s="2367"/>
      <c r="L1958" s="2367"/>
      <c r="M1958" s="2367"/>
      <c r="N1958" s="2367"/>
      <c r="O1958" s="2367"/>
      <c r="P1958" s="2367"/>
      <c r="Q1958" s="2367"/>
      <c r="R1958" s="2367"/>
    </row>
    <row r="1959" spans="1:18">
      <c r="A1959" s="2367"/>
      <c r="B1959" s="2367"/>
      <c r="C1959" s="2367"/>
      <c r="D1959" s="2367"/>
      <c r="E1959" s="2367"/>
      <c r="F1959" s="2367"/>
      <c r="G1959" s="2367"/>
      <c r="H1959" s="2367"/>
      <c r="I1959" s="2367"/>
      <c r="J1959" s="2367"/>
      <c r="K1959" s="2367"/>
      <c r="L1959" s="2367"/>
      <c r="M1959" s="2367"/>
      <c r="N1959" s="2367"/>
      <c r="O1959" s="2367"/>
      <c r="P1959" s="2367"/>
      <c r="Q1959" s="2367"/>
      <c r="R1959" s="2367"/>
    </row>
    <row r="1960" spans="1:18">
      <c r="A1960" s="2367"/>
      <c r="B1960" s="2367"/>
      <c r="C1960" s="2367"/>
      <c r="D1960" s="2367"/>
      <c r="E1960" s="2367"/>
      <c r="F1960" s="2367"/>
      <c r="G1960" s="2367"/>
      <c r="H1960" s="2367"/>
      <c r="I1960" s="2367"/>
      <c r="J1960" s="2367"/>
      <c r="K1960" s="2367"/>
      <c r="L1960" s="2367"/>
      <c r="M1960" s="2367"/>
      <c r="N1960" s="2367"/>
      <c r="O1960" s="2367"/>
      <c r="P1960" s="2367"/>
      <c r="Q1960" s="2367"/>
      <c r="R1960" s="2367"/>
    </row>
    <row r="1961" spans="1:18">
      <c r="A1961" s="2367"/>
      <c r="B1961" s="2367"/>
      <c r="C1961" s="2367"/>
      <c r="D1961" s="2367"/>
      <c r="E1961" s="2367"/>
      <c r="F1961" s="2367"/>
      <c r="G1961" s="2367"/>
      <c r="H1961" s="2367"/>
      <c r="I1961" s="2367"/>
      <c r="J1961" s="2367"/>
      <c r="K1961" s="2367"/>
      <c r="L1961" s="2367"/>
      <c r="M1961" s="2367"/>
      <c r="N1961" s="2367"/>
      <c r="O1961" s="2367"/>
      <c r="P1961" s="2367"/>
      <c r="Q1961" s="2367"/>
      <c r="R1961" s="2367"/>
    </row>
    <row r="1962" spans="1:18">
      <c r="A1962" s="2367"/>
      <c r="B1962" s="2367"/>
      <c r="C1962" s="2367"/>
      <c r="D1962" s="2367"/>
      <c r="E1962" s="2367"/>
      <c r="F1962" s="2367"/>
      <c r="G1962" s="2367"/>
      <c r="H1962" s="2367"/>
      <c r="I1962" s="2367"/>
      <c r="J1962" s="2367"/>
      <c r="K1962" s="2367"/>
      <c r="L1962" s="2367"/>
      <c r="M1962" s="2367"/>
      <c r="N1962" s="2367"/>
      <c r="O1962" s="2367"/>
      <c r="P1962" s="2367"/>
      <c r="Q1962" s="2367"/>
      <c r="R1962" s="2367"/>
    </row>
    <row r="1963" spans="1:18">
      <c r="A1963" s="2367"/>
      <c r="B1963" s="2367"/>
      <c r="C1963" s="2367"/>
      <c r="D1963" s="2367"/>
      <c r="E1963" s="2367"/>
      <c r="F1963" s="2367"/>
      <c r="G1963" s="2367"/>
      <c r="H1963" s="2367"/>
      <c r="I1963" s="2367"/>
      <c r="J1963" s="2367"/>
      <c r="K1963" s="2367"/>
      <c r="L1963" s="2367"/>
      <c r="M1963" s="2367"/>
      <c r="N1963" s="2367"/>
      <c r="O1963" s="2367"/>
      <c r="P1963" s="2367"/>
      <c r="Q1963" s="2367"/>
      <c r="R1963" s="2367"/>
    </row>
    <row r="1964" spans="1:18">
      <c r="A1964" s="2367"/>
      <c r="B1964" s="2367"/>
      <c r="C1964" s="2367"/>
      <c r="D1964" s="2367"/>
      <c r="E1964" s="2367"/>
      <c r="F1964" s="2367"/>
      <c r="G1964" s="2367"/>
      <c r="H1964" s="2367"/>
      <c r="I1964" s="2367"/>
      <c r="J1964" s="2367"/>
      <c r="K1964" s="2367"/>
      <c r="L1964" s="2367"/>
      <c r="M1964" s="2367"/>
      <c r="N1964" s="2367"/>
      <c r="O1964" s="2367"/>
      <c r="P1964" s="2367"/>
      <c r="Q1964" s="2367"/>
      <c r="R1964" s="2367"/>
    </row>
    <row r="1965" spans="1:18">
      <c r="A1965" s="2367"/>
      <c r="B1965" s="2367"/>
      <c r="C1965" s="2367"/>
      <c r="D1965" s="2367"/>
      <c r="E1965" s="2367"/>
      <c r="F1965" s="2367"/>
      <c r="G1965" s="2367"/>
      <c r="H1965" s="2367"/>
      <c r="I1965" s="2367"/>
      <c r="J1965" s="2367"/>
      <c r="K1965" s="2367"/>
      <c r="L1965" s="2367"/>
      <c r="M1965" s="2367"/>
      <c r="N1965" s="2367"/>
      <c r="O1965" s="2367"/>
      <c r="P1965" s="2367"/>
      <c r="Q1965" s="2367"/>
      <c r="R1965" s="2367"/>
    </row>
    <row r="1966" spans="1:18">
      <c r="A1966" s="2367"/>
      <c r="B1966" s="2367"/>
      <c r="C1966" s="2367"/>
      <c r="D1966" s="2367"/>
      <c r="E1966" s="2367"/>
      <c r="F1966" s="2367"/>
      <c r="G1966" s="2367"/>
      <c r="H1966" s="2367"/>
      <c r="I1966" s="2367"/>
      <c r="J1966" s="2367"/>
      <c r="K1966" s="2367"/>
      <c r="L1966" s="2367"/>
      <c r="M1966" s="2367"/>
      <c r="N1966" s="2367"/>
      <c r="O1966" s="2367"/>
      <c r="P1966" s="2367"/>
      <c r="Q1966" s="2367"/>
      <c r="R1966" s="2367"/>
    </row>
    <row r="1967" spans="1:18">
      <c r="A1967" s="2367"/>
      <c r="B1967" s="2367"/>
      <c r="C1967" s="2367"/>
      <c r="D1967" s="2367"/>
      <c r="E1967" s="2367"/>
      <c r="F1967" s="2367"/>
      <c r="G1967" s="2367"/>
      <c r="H1967" s="2367"/>
      <c r="I1967" s="2367"/>
      <c r="J1967" s="2367"/>
      <c r="K1967" s="2367"/>
      <c r="L1967" s="2367"/>
      <c r="M1967" s="2367"/>
      <c r="N1967" s="2367"/>
      <c r="O1967" s="2367"/>
      <c r="P1967" s="2367"/>
      <c r="Q1967" s="2367"/>
      <c r="R1967" s="2367"/>
    </row>
    <row r="1968" spans="1:18">
      <c r="A1968" s="2367"/>
      <c r="B1968" s="2367"/>
      <c r="C1968" s="2367"/>
      <c r="D1968" s="2367"/>
      <c r="E1968" s="2367"/>
      <c r="F1968" s="2367"/>
      <c r="G1968" s="2367"/>
      <c r="H1968" s="2367"/>
      <c r="I1968" s="2367"/>
      <c r="J1968" s="2367"/>
      <c r="K1968" s="2367"/>
      <c r="L1968" s="2367"/>
      <c r="M1968" s="2367"/>
      <c r="N1968" s="2367"/>
      <c r="O1968" s="2367"/>
      <c r="P1968" s="2367"/>
      <c r="Q1968" s="2367"/>
      <c r="R1968" s="2367"/>
    </row>
    <row r="1969" spans="1:18">
      <c r="A1969" s="2367"/>
      <c r="B1969" s="2367"/>
      <c r="C1969" s="2367"/>
      <c r="D1969" s="2367"/>
      <c r="E1969" s="2367"/>
      <c r="F1969" s="2367"/>
      <c r="G1969" s="2367"/>
      <c r="H1969" s="2367"/>
      <c r="I1969" s="2367"/>
      <c r="J1969" s="2367"/>
      <c r="K1969" s="2367"/>
      <c r="L1969" s="2367"/>
      <c r="M1969" s="2367"/>
      <c r="N1969" s="2367"/>
      <c r="O1969" s="2367"/>
      <c r="P1969" s="2367"/>
      <c r="Q1969" s="2367"/>
      <c r="R1969" s="2367"/>
    </row>
    <row r="1970" spans="1:18">
      <c r="A1970" s="2367"/>
      <c r="B1970" s="2367"/>
      <c r="C1970" s="2367"/>
      <c r="D1970" s="2367"/>
      <c r="E1970" s="2367"/>
      <c r="F1970" s="2367"/>
      <c r="G1970" s="2367"/>
      <c r="H1970" s="2367"/>
      <c r="I1970" s="2367"/>
      <c r="J1970" s="2367"/>
      <c r="K1970" s="2367"/>
      <c r="L1970" s="2367"/>
      <c r="M1970" s="2367"/>
      <c r="N1970" s="2367"/>
      <c r="O1970" s="2367"/>
      <c r="P1970" s="2367"/>
      <c r="Q1970" s="2367"/>
      <c r="R1970" s="2367"/>
    </row>
    <row r="1971" spans="1:18">
      <c r="A1971" s="2367"/>
      <c r="B1971" s="2367"/>
      <c r="C1971" s="2367"/>
      <c r="D1971" s="2367"/>
      <c r="E1971" s="2367"/>
      <c r="F1971" s="2367"/>
      <c r="G1971" s="2367"/>
      <c r="H1971" s="2367"/>
      <c r="I1971" s="2367"/>
      <c r="J1971" s="2367"/>
      <c r="K1971" s="2367"/>
      <c r="L1971" s="2367"/>
      <c r="M1971" s="2367"/>
      <c r="N1971" s="2367"/>
      <c r="O1971" s="2367"/>
      <c r="P1971" s="2367"/>
      <c r="Q1971" s="2367"/>
      <c r="R1971" s="2367"/>
    </row>
    <row r="1972" spans="1:18">
      <c r="A1972" s="2367"/>
      <c r="B1972" s="2367"/>
      <c r="C1972" s="2367"/>
      <c r="D1972" s="2367"/>
      <c r="E1972" s="2367"/>
      <c r="F1972" s="2367"/>
      <c r="G1972" s="2367"/>
      <c r="H1972" s="2367"/>
      <c r="I1972" s="2367"/>
      <c r="J1972" s="2367"/>
      <c r="K1972" s="2367"/>
      <c r="L1972" s="2367"/>
      <c r="M1972" s="2367"/>
      <c r="N1972" s="2367"/>
      <c r="O1972" s="2367"/>
      <c r="P1972" s="2367"/>
      <c r="Q1972" s="2367"/>
      <c r="R1972" s="2367"/>
    </row>
    <row r="1973" spans="1:18">
      <c r="A1973" s="2367"/>
      <c r="B1973" s="2367"/>
      <c r="C1973" s="2367"/>
      <c r="D1973" s="2367"/>
      <c r="E1973" s="2367"/>
      <c r="F1973" s="2367"/>
      <c r="G1973" s="2367"/>
      <c r="H1973" s="2367"/>
      <c r="I1973" s="2367"/>
      <c r="J1973" s="2367"/>
      <c r="K1973" s="2367"/>
      <c r="L1973" s="2367"/>
      <c r="M1973" s="2367"/>
      <c r="N1973" s="2367"/>
      <c r="O1973" s="2367"/>
      <c r="P1973" s="2367"/>
      <c r="Q1973" s="2367"/>
      <c r="R1973" s="2367"/>
    </row>
    <row r="1974" spans="1:18">
      <c r="A1974" s="2367"/>
      <c r="B1974" s="2367"/>
      <c r="C1974" s="2367"/>
      <c r="D1974" s="2367"/>
      <c r="E1974" s="2367"/>
      <c r="F1974" s="2367"/>
      <c r="G1974" s="2367"/>
      <c r="H1974" s="2367"/>
      <c r="I1974" s="2367"/>
      <c r="J1974" s="2367"/>
      <c r="K1974" s="2367"/>
      <c r="L1974" s="2367"/>
      <c r="M1974" s="2367"/>
      <c r="N1974" s="2367"/>
      <c r="O1974" s="2367"/>
      <c r="P1974" s="2367"/>
      <c r="Q1974" s="2367"/>
      <c r="R1974" s="2367"/>
    </row>
    <row r="1975" spans="1:18">
      <c r="A1975" s="2367"/>
      <c r="B1975" s="2367"/>
      <c r="C1975" s="2367"/>
      <c r="D1975" s="2367"/>
      <c r="E1975" s="2367"/>
      <c r="F1975" s="2367"/>
      <c r="G1975" s="2367"/>
      <c r="H1975" s="2367"/>
      <c r="I1975" s="2367"/>
      <c r="J1975" s="2367"/>
      <c r="K1975" s="2367"/>
      <c r="L1975" s="2367"/>
      <c r="M1975" s="2367"/>
      <c r="N1975" s="2367"/>
      <c r="O1975" s="2367"/>
      <c r="P1975" s="2367"/>
      <c r="Q1975" s="2367"/>
      <c r="R1975" s="2367"/>
    </row>
    <row r="1976" spans="1:18">
      <c r="A1976" s="2367"/>
      <c r="B1976" s="2367"/>
      <c r="C1976" s="2367"/>
      <c r="D1976" s="2367"/>
      <c r="E1976" s="2367"/>
      <c r="F1976" s="2367"/>
      <c r="G1976" s="2367"/>
      <c r="H1976" s="2367"/>
      <c r="I1976" s="2367"/>
      <c r="J1976" s="2367"/>
      <c r="K1976" s="2367"/>
      <c r="L1976" s="2367"/>
      <c r="M1976" s="2367"/>
      <c r="N1976" s="2367"/>
      <c r="O1976" s="2367"/>
      <c r="P1976" s="2367"/>
      <c r="Q1976" s="2367"/>
      <c r="R1976" s="2367"/>
    </row>
    <row r="1977" spans="1:18">
      <c r="A1977" s="2367"/>
      <c r="B1977" s="2367"/>
      <c r="C1977" s="2367"/>
      <c r="D1977" s="2367"/>
      <c r="E1977" s="2367"/>
      <c r="F1977" s="2367"/>
      <c r="G1977" s="2367"/>
      <c r="H1977" s="2367"/>
      <c r="I1977" s="2367"/>
      <c r="J1977" s="2367"/>
      <c r="K1977" s="2367"/>
      <c r="L1977" s="2367"/>
      <c r="M1977" s="2367"/>
      <c r="N1977" s="2367"/>
      <c r="O1977" s="2367"/>
      <c r="P1977" s="2367"/>
      <c r="Q1977" s="2367"/>
      <c r="R1977" s="2367"/>
    </row>
    <row r="1978" spans="1:18">
      <c r="A1978" s="2367"/>
      <c r="B1978" s="2367"/>
      <c r="C1978" s="2367"/>
      <c r="D1978" s="2367"/>
      <c r="E1978" s="2367"/>
      <c r="F1978" s="2367"/>
      <c r="G1978" s="2367"/>
      <c r="H1978" s="2367"/>
      <c r="I1978" s="2367"/>
      <c r="J1978" s="2367"/>
      <c r="K1978" s="2367"/>
      <c r="L1978" s="2367"/>
      <c r="M1978" s="2367"/>
      <c r="N1978" s="2367"/>
      <c r="O1978" s="2367"/>
      <c r="P1978" s="2367"/>
      <c r="Q1978" s="2367"/>
      <c r="R1978" s="2367"/>
    </row>
    <row r="1979" spans="1:18">
      <c r="A1979" s="2367"/>
      <c r="B1979" s="2367"/>
      <c r="C1979" s="2367"/>
      <c r="D1979" s="2367"/>
      <c r="E1979" s="2367"/>
      <c r="F1979" s="2367"/>
      <c r="G1979" s="2367"/>
      <c r="H1979" s="2367"/>
      <c r="I1979" s="2367"/>
      <c r="J1979" s="2367"/>
      <c r="K1979" s="2367"/>
      <c r="L1979" s="2367"/>
      <c r="M1979" s="2367"/>
      <c r="N1979" s="2367"/>
      <c r="O1979" s="2367"/>
      <c r="P1979" s="2367"/>
      <c r="Q1979" s="2367"/>
      <c r="R1979" s="2367"/>
    </row>
    <row r="1980" spans="1:18">
      <c r="A1980" s="2367"/>
      <c r="B1980" s="2367"/>
      <c r="C1980" s="2367"/>
      <c r="D1980" s="2367"/>
      <c r="E1980" s="2367"/>
      <c r="F1980" s="2367"/>
      <c r="G1980" s="2367"/>
      <c r="H1980" s="2367"/>
      <c r="I1980" s="2367"/>
      <c r="J1980" s="2367"/>
      <c r="K1980" s="2367"/>
      <c r="L1980" s="2367"/>
      <c r="M1980" s="2367"/>
      <c r="N1980" s="2367"/>
      <c r="O1980" s="2367"/>
      <c r="P1980" s="2367"/>
      <c r="Q1980" s="2367"/>
      <c r="R1980" s="2367"/>
    </row>
    <row r="1981" spans="1:18">
      <c r="A1981" s="2367"/>
      <c r="B1981" s="2367"/>
      <c r="C1981" s="2367"/>
      <c r="D1981" s="2367"/>
      <c r="E1981" s="2367"/>
      <c r="F1981" s="2367"/>
      <c r="G1981" s="2367"/>
      <c r="H1981" s="2367"/>
      <c r="I1981" s="2367"/>
      <c r="J1981" s="2367"/>
      <c r="K1981" s="2367"/>
      <c r="L1981" s="2367"/>
      <c r="M1981" s="2367"/>
      <c r="N1981" s="2367"/>
      <c r="O1981" s="2367"/>
      <c r="P1981" s="2367"/>
      <c r="Q1981" s="2367"/>
      <c r="R1981" s="2367"/>
    </row>
    <row r="1982" spans="1:18">
      <c r="A1982" s="2367"/>
      <c r="B1982" s="2367"/>
      <c r="C1982" s="2367"/>
      <c r="D1982" s="2367"/>
      <c r="E1982" s="2367"/>
      <c r="F1982" s="2367"/>
      <c r="G1982" s="2367"/>
      <c r="H1982" s="2367"/>
      <c r="I1982" s="2367"/>
      <c r="J1982" s="2367"/>
      <c r="K1982" s="2367"/>
      <c r="L1982" s="2367"/>
      <c r="M1982" s="2367"/>
      <c r="N1982" s="2367"/>
      <c r="O1982" s="2367"/>
      <c r="P1982" s="2367"/>
      <c r="Q1982" s="2367"/>
      <c r="R1982" s="2367"/>
    </row>
    <row r="1983" spans="1:18">
      <c r="A1983" s="2367"/>
      <c r="B1983" s="2367"/>
      <c r="C1983" s="2367"/>
      <c r="D1983" s="2367"/>
      <c r="E1983" s="2367"/>
      <c r="F1983" s="2367"/>
      <c r="G1983" s="2367"/>
      <c r="H1983" s="2367"/>
      <c r="I1983" s="2367"/>
      <c r="J1983" s="2367"/>
      <c r="K1983" s="2367"/>
      <c r="L1983" s="2367"/>
      <c r="M1983" s="2367"/>
      <c r="N1983" s="2367"/>
      <c r="O1983" s="2367"/>
      <c r="P1983" s="2367"/>
      <c r="Q1983" s="2367"/>
      <c r="R1983" s="2367"/>
    </row>
    <row r="1984" spans="1:18">
      <c r="A1984" s="2367"/>
      <c r="B1984" s="2367"/>
      <c r="C1984" s="2367"/>
      <c r="D1984" s="2367"/>
      <c r="E1984" s="2367"/>
      <c r="F1984" s="2367"/>
      <c r="G1984" s="2367"/>
      <c r="H1984" s="2367"/>
      <c r="I1984" s="2367"/>
      <c r="J1984" s="2367"/>
      <c r="K1984" s="2367"/>
      <c r="L1984" s="2367"/>
      <c r="M1984" s="2367"/>
      <c r="N1984" s="2367"/>
      <c r="O1984" s="2367"/>
      <c r="P1984" s="2367"/>
      <c r="Q1984" s="2367"/>
      <c r="R1984" s="2367"/>
    </row>
    <row r="1985" spans="1:18">
      <c r="A1985" s="2367"/>
      <c r="B1985" s="2367"/>
      <c r="C1985" s="2367"/>
      <c r="D1985" s="2367"/>
      <c r="E1985" s="2367"/>
      <c r="F1985" s="2367"/>
      <c r="G1985" s="2367"/>
      <c r="H1985" s="2367"/>
      <c r="I1985" s="2367"/>
      <c r="J1985" s="2367"/>
      <c r="K1985" s="2367"/>
      <c r="L1985" s="2367"/>
      <c r="M1985" s="2367"/>
      <c r="N1985" s="2367"/>
      <c r="O1985" s="2367"/>
      <c r="P1985" s="2367"/>
      <c r="Q1985" s="2367"/>
      <c r="R1985" s="2367"/>
    </row>
    <row r="1986" spans="1:18">
      <c r="A1986" s="2367"/>
      <c r="B1986" s="2367"/>
      <c r="C1986" s="2367"/>
      <c r="D1986" s="2367"/>
      <c r="E1986" s="2367"/>
      <c r="F1986" s="2367"/>
      <c r="G1986" s="2367"/>
      <c r="H1986" s="2367"/>
      <c r="I1986" s="2367"/>
      <c r="J1986" s="2367"/>
      <c r="K1986" s="2367"/>
      <c r="L1986" s="2367"/>
      <c r="M1986" s="2367"/>
      <c r="N1986" s="2367"/>
      <c r="O1986" s="2367"/>
      <c r="P1986" s="2367"/>
      <c r="Q1986" s="2367"/>
      <c r="R1986" s="2367"/>
    </row>
    <row r="1987" spans="1:18">
      <c r="A1987" s="2367"/>
      <c r="B1987" s="2367"/>
      <c r="C1987" s="2367"/>
      <c r="D1987" s="2367"/>
      <c r="E1987" s="2367"/>
      <c r="F1987" s="2367"/>
      <c r="G1987" s="2367"/>
      <c r="H1987" s="2367"/>
      <c r="I1987" s="2367"/>
      <c r="J1987" s="2367"/>
      <c r="K1987" s="2367"/>
      <c r="L1987" s="2367"/>
      <c r="M1987" s="2367"/>
      <c r="N1987" s="2367"/>
      <c r="O1987" s="2367"/>
      <c r="P1987" s="2367"/>
      <c r="Q1987" s="2367"/>
      <c r="R1987" s="2367"/>
    </row>
    <row r="1988" spans="1:18">
      <c r="A1988" s="2367"/>
      <c r="B1988" s="2367"/>
      <c r="C1988" s="2367"/>
      <c r="D1988" s="2367"/>
      <c r="E1988" s="2367"/>
      <c r="F1988" s="2367"/>
      <c r="G1988" s="2367"/>
      <c r="H1988" s="2367"/>
      <c r="I1988" s="2367"/>
      <c r="J1988" s="2367"/>
      <c r="K1988" s="2367"/>
      <c r="L1988" s="2367"/>
      <c r="M1988" s="2367"/>
      <c r="N1988" s="2367"/>
      <c r="O1988" s="2367"/>
      <c r="P1988" s="2367"/>
      <c r="Q1988" s="2367"/>
      <c r="R1988" s="2367"/>
    </row>
    <row r="1989" spans="1:18">
      <c r="A1989" s="2367"/>
      <c r="B1989" s="2367"/>
      <c r="C1989" s="2367"/>
      <c r="D1989" s="2367"/>
      <c r="E1989" s="2367"/>
      <c r="F1989" s="2367"/>
      <c r="G1989" s="2367"/>
      <c r="H1989" s="2367"/>
      <c r="I1989" s="2367"/>
      <c r="J1989" s="2367"/>
      <c r="K1989" s="2367"/>
      <c r="L1989" s="2367"/>
      <c r="M1989" s="2367"/>
      <c r="N1989" s="2367"/>
      <c r="O1989" s="2367"/>
      <c r="P1989" s="2367"/>
      <c r="Q1989" s="2367"/>
      <c r="R1989" s="2367"/>
    </row>
    <row r="1990" spans="1:18">
      <c r="A1990" s="2367"/>
      <c r="B1990" s="2367"/>
      <c r="C1990" s="2367"/>
      <c r="D1990" s="2367"/>
      <c r="E1990" s="2367"/>
      <c r="F1990" s="2367"/>
      <c r="G1990" s="2367"/>
      <c r="H1990" s="2367"/>
      <c r="I1990" s="2367"/>
      <c r="J1990" s="2367"/>
      <c r="K1990" s="2367"/>
      <c r="L1990" s="2367"/>
      <c r="M1990" s="2367"/>
      <c r="N1990" s="2367"/>
      <c r="O1990" s="2367"/>
      <c r="P1990" s="2367"/>
      <c r="Q1990" s="2367"/>
      <c r="R1990" s="2367"/>
    </row>
    <row r="1991" spans="1:18">
      <c r="A1991" s="2367"/>
      <c r="B1991" s="2367"/>
      <c r="C1991" s="2367"/>
      <c r="D1991" s="2367"/>
      <c r="E1991" s="2367"/>
      <c r="F1991" s="2367"/>
      <c r="G1991" s="2367"/>
      <c r="H1991" s="2367"/>
      <c r="I1991" s="2367"/>
      <c r="J1991" s="2367"/>
      <c r="K1991" s="2367"/>
      <c r="L1991" s="2367"/>
      <c r="M1991" s="2367"/>
      <c r="N1991" s="2367"/>
      <c r="O1991" s="2367"/>
      <c r="P1991" s="2367"/>
      <c r="Q1991" s="2367"/>
      <c r="R1991" s="2367"/>
    </row>
    <row r="1992" spans="1:18">
      <c r="A1992" s="2367"/>
      <c r="B1992" s="2367"/>
      <c r="C1992" s="2367"/>
      <c r="D1992" s="2367"/>
      <c r="E1992" s="2367"/>
      <c r="F1992" s="2367"/>
      <c r="G1992" s="2367"/>
      <c r="H1992" s="2367"/>
      <c r="I1992" s="2367"/>
      <c r="J1992" s="2367"/>
      <c r="K1992" s="2367"/>
      <c r="L1992" s="2367"/>
      <c r="M1992" s="2367"/>
      <c r="N1992" s="2367"/>
      <c r="O1992" s="2367"/>
      <c r="P1992" s="2367"/>
      <c r="Q1992" s="2367"/>
      <c r="R1992" s="2367"/>
    </row>
    <row r="1993" spans="1:18">
      <c r="A1993" s="2367"/>
      <c r="B1993" s="2367"/>
      <c r="C1993" s="2367"/>
      <c r="D1993" s="2367"/>
      <c r="E1993" s="2367"/>
      <c r="F1993" s="2367"/>
      <c r="G1993" s="2367"/>
      <c r="H1993" s="2367"/>
      <c r="I1993" s="2367"/>
      <c r="J1993" s="2367"/>
      <c r="K1993" s="2367"/>
      <c r="L1993" s="2367"/>
      <c r="M1993" s="2367"/>
      <c r="N1993" s="2367"/>
      <c r="O1993" s="2367"/>
      <c r="P1993" s="2367"/>
      <c r="Q1993" s="2367"/>
      <c r="R1993" s="2367"/>
    </row>
    <row r="1994" spans="1:18">
      <c r="A1994" s="2367"/>
      <c r="B1994" s="2367"/>
      <c r="C1994" s="2367"/>
      <c r="D1994" s="2367"/>
      <c r="E1994" s="2367"/>
      <c r="F1994" s="2367"/>
      <c r="G1994" s="2367"/>
      <c r="H1994" s="2367"/>
      <c r="I1994" s="2367"/>
      <c r="J1994" s="2367"/>
      <c r="K1994" s="2367"/>
      <c r="L1994" s="2367"/>
      <c r="M1994" s="2367"/>
      <c r="N1994" s="2367"/>
      <c r="O1994" s="2367"/>
      <c r="P1994" s="2367"/>
      <c r="Q1994" s="2367"/>
      <c r="R1994" s="2367"/>
    </row>
    <row r="1995" spans="1:18">
      <c r="A1995" s="2367"/>
      <c r="B1995" s="2367"/>
      <c r="C1995" s="2367"/>
      <c r="D1995" s="2367"/>
      <c r="E1995" s="2367"/>
      <c r="F1995" s="2367"/>
      <c r="G1995" s="2367"/>
      <c r="H1995" s="2367"/>
      <c r="I1995" s="2367"/>
      <c r="J1995" s="2367"/>
      <c r="K1995" s="2367"/>
      <c r="L1995" s="2367"/>
      <c r="M1995" s="2367"/>
      <c r="N1995" s="2367"/>
      <c r="O1995" s="2367"/>
      <c r="P1995" s="2367"/>
      <c r="Q1995" s="2367"/>
      <c r="R1995" s="2367"/>
    </row>
    <row r="1996" spans="1:18">
      <c r="A1996" s="2367"/>
      <c r="B1996" s="2367"/>
      <c r="C1996" s="2367"/>
      <c r="D1996" s="2367"/>
      <c r="E1996" s="2367"/>
      <c r="F1996" s="2367"/>
      <c r="G1996" s="2367"/>
      <c r="H1996" s="2367"/>
      <c r="I1996" s="2367"/>
      <c r="J1996" s="2367"/>
      <c r="K1996" s="2367"/>
      <c r="L1996" s="2367"/>
      <c r="M1996" s="2367"/>
      <c r="N1996" s="2367"/>
      <c r="O1996" s="2367"/>
      <c r="P1996" s="2367"/>
      <c r="Q1996" s="2367"/>
      <c r="R1996" s="2367"/>
    </row>
    <row r="1997" spans="1:18">
      <c r="A1997" s="2367"/>
      <c r="B1997" s="2367"/>
      <c r="C1997" s="2367"/>
      <c r="D1997" s="2367"/>
      <c r="E1997" s="2367"/>
      <c r="F1997" s="2367"/>
      <c r="G1997" s="2367"/>
      <c r="H1997" s="2367"/>
      <c r="I1997" s="2367"/>
      <c r="J1997" s="2367"/>
      <c r="K1997" s="2367"/>
      <c r="L1997" s="2367"/>
      <c r="M1997" s="2367"/>
      <c r="N1997" s="2367"/>
      <c r="O1997" s="2367"/>
      <c r="P1997" s="2367"/>
      <c r="Q1997" s="2367"/>
      <c r="R1997" s="2367"/>
    </row>
    <row r="1998" spans="1:18">
      <c r="A1998" s="2367"/>
      <c r="B1998" s="2367"/>
      <c r="C1998" s="2367"/>
      <c r="D1998" s="2367"/>
      <c r="E1998" s="2367"/>
      <c r="F1998" s="2367"/>
      <c r="G1998" s="2367"/>
      <c r="H1998" s="2367"/>
      <c r="I1998" s="2367"/>
      <c r="J1998" s="2367"/>
      <c r="K1998" s="2367"/>
      <c r="L1998" s="2367"/>
      <c r="M1998" s="2367"/>
      <c r="N1998" s="2367"/>
      <c r="O1998" s="2367"/>
      <c r="P1998" s="2367"/>
      <c r="Q1998" s="2367"/>
      <c r="R1998" s="2367"/>
    </row>
    <row r="1999" spans="1:18">
      <c r="A1999" s="2367"/>
      <c r="B1999" s="2367"/>
      <c r="C1999" s="2367"/>
      <c r="D1999" s="2367"/>
      <c r="E1999" s="2367"/>
      <c r="F1999" s="2367"/>
      <c r="G1999" s="2367"/>
      <c r="H1999" s="2367"/>
      <c r="I1999" s="2367"/>
      <c r="J1999" s="2367"/>
      <c r="K1999" s="2367"/>
      <c r="L1999" s="2367"/>
      <c r="M1999" s="2367"/>
      <c r="N1999" s="2367"/>
      <c r="O1999" s="2367"/>
      <c r="P1999" s="2367"/>
      <c r="Q1999" s="2367"/>
      <c r="R1999" s="2367"/>
    </row>
    <row r="2000" spans="1:18">
      <c r="A2000" s="2367"/>
      <c r="B2000" s="2367"/>
      <c r="C2000" s="2367"/>
      <c r="D2000" s="2367"/>
      <c r="E2000" s="2367"/>
      <c r="F2000" s="2367"/>
      <c r="G2000" s="2367"/>
      <c r="H2000" s="2367"/>
      <c r="I2000" s="2367"/>
      <c r="J2000" s="2367"/>
      <c r="K2000" s="2367"/>
      <c r="L2000" s="2367"/>
      <c r="M2000" s="2367"/>
      <c r="N2000" s="2367"/>
      <c r="O2000" s="2367"/>
      <c r="P2000" s="2367"/>
      <c r="Q2000" s="2367"/>
      <c r="R2000" s="2367"/>
    </row>
    <row r="2001" spans="1:18">
      <c r="A2001" s="2367"/>
      <c r="B2001" s="2367"/>
      <c r="C2001" s="2367"/>
      <c r="D2001" s="2367"/>
      <c r="E2001" s="2367"/>
      <c r="F2001" s="2367"/>
      <c r="G2001" s="2367"/>
      <c r="H2001" s="2367"/>
      <c r="I2001" s="2367"/>
      <c r="J2001" s="2367"/>
      <c r="K2001" s="2367"/>
      <c r="L2001" s="2367"/>
      <c r="M2001" s="2367"/>
      <c r="N2001" s="2367"/>
      <c r="O2001" s="2367"/>
      <c r="P2001" s="2367"/>
      <c r="Q2001" s="2367"/>
      <c r="R2001" s="2367"/>
    </row>
    <row r="2002" spans="1:18">
      <c r="A2002" s="2367"/>
      <c r="B2002" s="2367"/>
      <c r="C2002" s="2367"/>
      <c r="D2002" s="2367"/>
      <c r="E2002" s="2367"/>
      <c r="F2002" s="2367"/>
      <c r="G2002" s="2367"/>
      <c r="H2002" s="2367"/>
      <c r="I2002" s="2367"/>
      <c r="J2002" s="2367"/>
      <c r="K2002" s="2367"/>
      <c r="L2002" s="2367"/>
      <c r="M2002" s="2367"/>
      <c r="N2002" s="2367"/>
      <c r="O2002" s="2367"/>
      <c r="P2002" s="2367"/>
      <c r="Q2002" s="2367"/>
      <c r="R2002" s="2367"/>
    </row>
    <row r="2003" spans="1:18">
      <c r="A2003" s="2367"/>
      <c r="B2003" s="2367"/>
      <c r="C2003" s="2367"/>
      <c r="D2003" s="2367"/>
      <c r="E2003" s="2367"/>
      <c r="F2003" s="2367"/>
      <c r="G2003" s="2367"/>
      <c r="H2003" s="2367"/>
      <c r="I2003" s="2367"/>
      <c r="J2003" s="2367"/>
      <c r="K2003" s="2367"/>
      <c r="L2003" s="2367"/>
      <c r="M2003" s="2367"/>
      <c r="N2003" s="2367"/>
      <c r="O2003" s="2367"/>
      <c r="P2003" s="2367"/>
      <c r="Q2003" s="2367"/>
      <c r="R2003" s="2367"/>
    </row>
    <row r="2004" spans="1:18">
      <c r="A2004" s="2367"/>
      <c r="B2004" s="2367"/>
      <c r="C2004" s="2367"/>
      <c r="D2004" s="2367"/>
      <c r="E2004" s="2367"/>
      <c r="F2004" s="2367"/>
      <c r="G2004" s="2367"/>
      <c r="H2004" s="2367"/>
      <c r="I2004" s="2367"/>
      <c r="J2004" s="2367"/>
      <c r="K2004" s="2367"/>
      <c r="L2004" s="2367"/>
      <c r="M2004" s="2367"/>
      <c r="N2004" s="2367"/>
      <c r="O2004" s="2367"/>
      <c r="P2004" s="2367"/>
      <c r="Q2004" s="2367"/>
      <c r="R2004" s="2367"/>
    </row>
    <row r="2005" spans="1:18">
      <c r="A2005" s="2367"/>
      <c r="B2005" s="2367"/>
      <c r="C2005" s="2367"/>
      <c r="D2005" s="2367"/>
      <c r="E2005" s="2367"/>
      <c r="F2005" s="2367"/>
      <c r="G2005" s="2367"/>
      <c r="H2005" s="2367"/>
      <c r="I2005" s="2367"/>
      <c r="J2005" s="2367"/>
      <c r="K2005" s="2367"/>
      <c r="L2005" s="2367"/>
      <c r="M2005" s="2367"/>
      <c r="N2005" s="2367"/>
      <c r="O2005" s="2367"/>
      <c r="P2005" s="2367"/>
      <c r="Q2005" s="2367"/>
      <c r="R2005" s="2367"/>
    </row>
    <row r="2006" spans="1:18">
      <c r="A2006" s="2367"/>
      <c r="B2006" s="2367"/>
      <c r="C2006" s="2367"/>
      <c r="D2006" s="2367"/>
      <c r="E2006" s="2367"/>
      <c r="F2006" s="2367"/>
      <c r="G2006" s="2367"/>
      <c r="H2006" s="2367"/>
      <c r="I2006" s="2367"/>
      <c r="J2006" s="2367"/>
      <c r="K2006" s="2367"/>
      <c r="L2006" s="2367"/>
      <c r="M2006" s="2367"/>
      <c r="N2006" s="2367"/>
      <c r="O2006" s="2367"/>
      <c r="P2006" s="2367"/>
      <c r="Q2006" s="2367"/>
      <c r="R2006" s="2367"/>
    </row>
    <row r="2007" spans="1:18">
      <c r="A2007" s="2367"/>
      <c r="B2007" s="2367"/>
      <c r="C2007" s="2367"/>
      <c r="D2007" s="2367"/>
      <c r="E2007" s="2367"/>
      <c r="F2007" s="2367"/>
      <c r="G2007" s="2367"/>
      <c r="H2007" s="2367"/>
      <c r="I2007" s="2367"/>
      <c r="J2007" s="2367"/>
      <c r="K2007" s="2367"/>
      <c r="L2007" s="2367"/>
      <c r="M2007" s="2367"/>
      <c r="N2007" s="2367"/>
      <c r="O2007" s="2367"/>
      <c r="P2007" s="2367"/>
      <c r="Q2007" s="2367"/>
      <c r="R2007" s="2367"/>
    </row>
    <row r="2008" spans="1:18">
      <c r="A2008" s="2367"/>
      <c r="B2008" s="2367"/>
      <c r="C2008" s="2367"/>
      <c r="D2008" s="2367"/>
      <c r="E2008" s="2367"/>
      <c r="F2008" s="2367"/>
      <c r="G2008" s="2367"/>
      <c r="H2008" s="2367"/>
      <c r="I2008" s="2367"/>
      <c r="J2008" s="2367"/>
      <c r="K2008" s="2367"/>
      <c r="L2008" s="2367"/>
      <c r="M2008" s="2367"/>
      <c r="N2008" s="2367"/>
      <c r="O2008" s="2367"/>
      <c r="P2008" s="2367"/>
      <c r="Q2008" s="2367"/>
      <c r="R2008" s="2367"/>
    </row>
    <row r="2009" spans="1:18">
      <c r="A2009" s="2367"/>
      <c r="B2009" s="2367"/>
      <c r="C2009" s="2367"/>
      <c r="D2009" s="2367"/>
      <c r="E2009" s="2367"/>
      <c r="F2009" s="2367"/>
      <c r="G2009" s="2367"/>
      <c r="H2009" s="2367"/>
      <c r="I2009" s="2367"/>
      <c r="J2009" s="2367"/>
      <c r="K2009" s="2367"/>
      <c r="L2009" s="2367"/>
      <c r="M2009" s="2367"/>
      <c r="N2009" s="2367"/>
      <c r="O2009" s="2367"/>
      <c r="P2009" s="2367"/>
      <c r="Q2009" s="2367"/>
      <c r="R2009" s="2367"/>
    </row>
    <row r="2010" spans="1:18">
      <c r="A2010" s="2367"/>
      <c r="B2010" s="2367"/>
      <c r="C2010" s="2367"/>
      <c r="D2010" s="2367"/>
      <c r="E2010" s="2367"/>
      <c r="F2010" s="2367"/>
      <c r="G2010" s="2367"/>
      <c r="H2010" s="2367"/>
      <c r="I2010" s="2367"/>
      <c r="J2010" s="2367"/>
      <c r="K2010" s="2367"/>
      <c r="L2010" s="2367"/>
      <c r="M2010" s="2367"/>
      <c r="N2010" s="2367"/>
      <c r="O2010" s="2367"/>
      <c r="P2010" s="2367"/>
      <c r="Q2010" s="2367"/>
      <c r="R2010" s="2367"/>
    </row>
    <row r="2011" spans="1:18">
      <c r="A2011" s="2367"/>
      <c r="B2011" s="2367"/>
      <c r="C2011" s="2367"/>
      <c r="D2011" s="2367"/>
      <c r="E2011" s="2367"/>
      <c r="F2011" s="2367"/>
      <c r="G2011" s="2367"/>
      <c r="H2011" s="2367"/>
      <c r="I2011" s="2367"/>
      <c r="J2011" s="2367"/>
      <c r="K2011" s="2367"/>
      <c r="L2011" s="2367"/>
      <c r="M2011" s="2367"/>
      <c r="N2011" s="2367"/>
      <c r="O2011" s="2367"/>
      <c r="P2011" s="2367"/>
      <c r="Q2011" s="2367"/>
      <c r="R2011" s="2367"/>
    </row>
    <row r="2012" spans="1:18">
      <c r="A2012" s="2367"/>
      <c r="B2012" s="2367"/>
      <c r="C2012" s="2367"/>
      <c r="D2012" s="2367"/>
      <c r="E2012" s="2367"/>
      <c r="F2012" s="2367"/>
      <c r="G2012" s="2367"/>
      <c r="H2012" s="2367"/>
      <c r="I2012" s="2367"/>
      <c r="J2012" s="2367"/>
      <c r="K2012" s="2367"/>
      <c r="L2012" s="2367"/>
      <c r="M2012" s="2367"/>
      <c r="N2012" s="2367"/>
      <c r="O2012" s="2367"/>
      <c r="P2012" s="2367"/>
      <c r="Q2012" s="2367"/>
      <c r="R2012" s="2367"/>
    </row>
    <row r="2013" spans="1:18">
      <c r="A2013" s="2367"/>
      <c r="B2013" s="2367"/>
      <c r="C2013" s="2367"/>
      <c r="D2013" s="2367"/>
      <c r="E2013" s="2367"/>
      <c r="F2013" s="2367"/>
      <c r="G2013" s="2367"/>
      <c r="H2013" s="2367"/>
      <c r="I2013" s="2367"/>
      <c r="J2013" s="2367"/>
      <c r="K2013" s="2367"/>
      <c r="L2013" s="2367"/>
      <c r="M2013" s="2367"/>
      <c r="N2013" s="2367"/>
      <c r="O2013" s="2367"/>
      <c r="P2013" s="2367"/>
      <c r="Q2013" s="2367"/>
      <c r="R2013" s="2367"/>
    </row>
    <row r="2014" spans="1:18">
      <c r="A2014" s="2367"/>
      <c r="B2014" s="2367"/>
      <c r="C2014" s="2367"/>
      <c r="D2014" s="2367"/>
      <c r="E2014" s="2367"/>
      <c r="F2014" s="2367"/>
      <c r="G2014" s="2367"/>
      <c r="H2014" s="2367"/>
      <c r="I2014" s="2367"/>
      <c r="J2014" s="2367"/>
      <c r="K2014" s="2367"/>
      <c r="L2014" s="2367"/>
      <c r="M2014" s="2367"/>
      <c r="N2014" s="2367"/>
      <c r="O2014" s="2367"/>
      <c r="P2014" s="2367"/>
      <c r="Q2014" s="2367"/>
      <c r="R2014" s="2367"/>
    </row>
    <row r="2015" spans="1:18">
      <c r="A2015" s="2367"/>
      <c r="B2015" s="2367"/>
      <c r="C2015" s="2367"/>
      <c r="D2015" s="2367"/>
      <c r="E2015" s="2367"/>
      <c r="F2015" s="2367"/>
      <c r="G2015" s="2367"/>
      <c r="H2015" s="2367"/>
      <c r="I2015" s="2367"/>
      <c r="J2015" s="2367"/>
      <c r="K2015" s="2367"/>
      <c r="L2015" s="2367"/>
      <c r="M2015" s="2367"/>
      <c r="N2015" s="2367"/>
      <c r="O2015" s="2367"/>
      <c r="P2015" s="2367"/>
      <c r="Q2015" s="2367"/>
      <c r="R2015" s="2367"/>
    </row>
    <row r="2016" spans="1:18">
      <c r="A2016" s="2367"/>
      <c r="B2016" s="2367"/>
      <c r="C2016" s="2367"/>
      <c r="D2016" s="2367"/>
      <c r="E2016" s="2367"/>
      <c r="F2016" s="2367"/>
      <c r="G2016" s="2367"/>
      <c r="H2016" s="2367"/>
      <c r="I2016" s="2367"/>
      <c r="J2016" s="2367"/>
      <c r="K2016" s="2367"/>
      <c r="L2016" s="2367"/>
      <c r="M2016" s="2367"/>
      <c r="N2016" s="2367"/>
      <c r="O2016" s="2367"/>
      <c r="P2016" s="2367"/>
      <c r="Q2016" s="2367"/>
      <c r="R2016" s="2367"/>
    </row>
    <row r="2017" spans="1:18">
      <c r="A2017" s="2367"/>
      <c r="B2017" s="2367"/>
      <c r="C2017" s="2367"/>
      <c r="D2017" s="2367"/>
      <c r="E2017" s="2367"/>
      <c r="F2017" s="2367"/>
      <c r="G2017" s="2367"/>
      <c r="H2017" s="2367"/>
      <c r="I2017" s="2367"/>
      <c r="J2017" s="2367"/>
      <c r="K2017" s="2367"/>
      <c r="L2017" s="2367"/>
      <c r="M2017" s="2367"/>
      <c r="N2017" s="2367"/>
      <c r="O2017" s="2367"/>
      <c r="P2017" s="2367"/>
      <c r="Q2017" s="2367"/>
      <c r="R2017" s="2367"/>
    </row>
    <row r="2018" spans="1:18">
      <c r="A2018" s="2367"/>
      <c r="B2018" s="2367"/>
      <c r="C2018" s="2367"/>
      <c r="D2018" s="2367"/>
      <c r="E2018" s="2367"/>
      <c r="F2018" s="2367"/>
      <c r="G2018" s="2367"/>
      <c r="H2018" s="2367"/>
      <c r="I2018" s="2367"/>
      <c r="J2018" s="2367"/>
      <c r="K2018" s="2367"/>
      <c r="L2018" s="2367"/>
      <c r="M2018" s="2367"/>
      <c r="N2018" s="2367"/>
      <c r="O2018" s="2367"/>
      <c r="P2018" s="2367"/>
      <c r="Q2018" s="2367"/>
      <c r="R2018" s="2367"/>
    </row>
    <row r="2019" spans="1:18">
      <c r="A2019" s="2367"/>
      <c r="B2019" s="2367"/>
      <c r="C2019" s="2367"/>
      <c r="D2019" s="2367"/>
      <c r="E2019" s="2367"/>
      <c r="F2019" s="2367"/>
      <c r="G2019" s="2367"/>
      <c r="H2019" s="2367"/>
      <c r="I2019" s="2367"/>
      <c r="J2019" s="2367"/>
      <c r="K2019" s="2367"/>
      <c r="L2019" s="2367"/>
      <c r="M2019" s="2367"/>
      <c r="N2019" s="2367"/>
      <c r="O2019" s="2367"/>
      <c r="P2019" s="2367"/>
      <c r="Q2019" s="2367"/>
      <c r="R2019" s="2367"/>
    </row>
    <row r="2020" spans="1:18">
      <c r="A2020" s="2367"/>
      <c r="B2020" s="2367"/>
      <c r="C2020" s="2367"/>
      <c r="D2020" s="2367"/>
      <c r="E2020" s="2367"/>
      <c r="F2020" s="2367"/>
      <c r="G2020" s="2367"/>
      <c r="H2020" s="2367"/>
      <c r="I2020" s="2367"/>
      <c r="J2020" s="2367"/>
      <c r="K2020" s="2367"/>
      <c r="L2020" s="2367"/>
      <c r="M2020" s="2367"/>
      <c r="N2020" s="2367"/>
      <c r="O2020" s="2367"/>
      <c r="P2020" s="2367"/>
      <c r="Q2020" s="2367"/>
      <c r="R2020" s="2367"/>
    </row>
    <row r="2021" spans="1:18">
      <c r="A2021" s="2367"/>
      <c r="B2021" s="2367"/>
      <c r="C2021" s="2367"/>
      <c r="D2021" s="2367"/>
      <c r="E2021" s="2367"/>
      <c r="F2021" s="2367"/>
      <c r="G2021" s="2367"/>
      <c r="H2021" s="2367"/>
      <c r="I2021" s="2367"/>
      <c r="J2021" s="2367"/>
      <c r="K2021" s="2367"/>
      <c r="L2021" s="2367"/>
      <c r="M2021" s="2367"/>
      <c r="N2021" s="2367"/>
      <c r="O2021" s="2367"/>
      <c r="P2021" s="2367"/>
      <c r="Q2021" s="2367"/>
      <c r="R2021" s="2367"/>
    </row>
    <row r="2022" spans="1:18">
      <c r="A2022" s="2367"/>
      <c r="B2022" s="2367"/>
      <c r="C2022" s="2367"/>
      <c r="D2022" s="2367"/>
      <c r="E2022" s="2367"/>
      <c r="F2022" s="2367"/>
      <c r="G2022" s="2367"/>
      <c r="H2022" s="2367"/>
      <c r="I2022" s="2367"/>
      <c r="J2022" s="2367"/>
      <c r="K2022" s="2367"/>
      <c r="L2022" s="2367"/>
      <c r="M2022" s="2367"/>
      <c r="N2022" s="2367"/>
      <c r="O2022" s="2367"/>
      <c r="P2022" s="2367"/>
      <c r="Q2022" s="2367"/>
      <c r="R2022" s="2367"/>
    </row>
    <row r="2023" spans="1:18">
      <c r="A2023" s="2367"/>
      <c r="B2023" s="2367"/>
      <c r="C2023" s="2367"/>
      <c r="D2023" s="2367"/>
      <c r="E2023" s="2367"/>
      <c r="F2023" s="2367"/>
      <c r="G2023" s="2367"/>
      <c r="H2023" s="2367"/>
      <c r="I2023" s="2367"/>
      <c r="J2023" s="2367"/>
      <c r="K2023" s="2367"/>
      <c r="L2023" s="2367"/>
      <c r="M2023" s="2367"/>
      <c r="N2023" s="2367"/>
      <c r="O2023" s="2367"/>
      <c r="P2023" s="2367"/>
      <c r="Q2023" s="2367"/>
      <c r="R2023" s="2367"/>
    </row>
    <row r="2024" spans="1:18">
      <c r="A2024" s="2367"/>
      <c r="B2024" s="2367"/>
      <c r="C2024" s="2367"/>
      <c r="D2024" s="2367"/>
      <c r="E2024" s="2367"/>
      <c r="F2024" s="2367"/>
      <c r="G2024" s="2367"/>
      <c r="H2024" s="2367"/>
      <c r="I2024" s="2367"/>
      <c r="J2024" s="2367"/>
      <c r="K2024" s="2367"/>
      <c r="L2024" s="2367"/>
      <c r="M2024" s="2367"/>
      <c r="N2024" s="2367"/>
      <c r="O2024" s="2367"/>
      <c r="P2024" s="2367"/>
      <c r="Q2024" s="2367"/>
      <c r="R2024" s="2367"/>
    </row>
    <row r="2025" spans="1:18">
      <c r="A2025" s="2367"/>
      <c r="B2025" s="2367"/>
      <c r="C2025" s="2367"/>
      <c r="D2025" s="2367"/>
      <c r="E2025" s="2367"/>
      <c r="F2025" s="2367"/>
      <c r="G2025" s="2367"/>
      <c r="H2025" s="2367"/>
      <c r="I2025" s="2367"/>
      <c r="J2025" s="2367"/>
      <c r="K2025" s="2367"/>
      <c r="L2025" s="2367"/>
      <c r="M2025" s="2367"/>
      <c r="N2025" s="2367"/>
      <c r="O2025" s="2367"/>
      <c r="P2025" s="2367"/>
      <c r="Q2025" s="2367"/>
      <c r="R2025" s="2367"/>
    </row>
    <row r="2026" spans="1:18">
      <c r="A2026" s="2367"/>
      <c r="B2026" s="2367"/>
      <c r="C2026" s="2367"/>
      <c r="D2026" s="2367"/>
      <c r="E2026" s="2367"/>
      <c r="F2026" s="2367"/>
      <c r="G2026" s="2367"/>
      <c r="H2026" s="2367"/>
      <c r="I2026" s="2367"/>
      <c r="J2026" s="2367"/>
      <c r="K2026" s="2367"/>
      <c r="L2026" s="2367"/>
      <c r="M2026" s="2367"/>
      <c r="N2026" s="2367"/>
      <c r="O2026" s="2367"/>
      <c r="P2026" s="2367"/>
      <c r="Q2026" s="2367"/>
      <c r="R2026" s="2367"/>
    </row>
    <row r="2027" spans="1:18">
      <c r="A2027" s="2367"/>
      <c r="B2027" s="2367"/>
      <c r="C2027" s="2367"/>
      <c r="D2027" s="2367"/>
      <c r="E2027" s="2367"/>
      <c r="F2027" s="2367"/>
      <c r="G2027" s="2367"/>
      <c r="H2027" s="2367"/>
      <c r="I2027" s="2367"/>
      <c r="J2027" s="2367"/>
      <c r="K2027" s="2367"/>
      <c r="L2027" s="2367"/>
      <c r="M2027" s="2367"/>
      <c r="N2027" s="2367"/>
      <c r="O2027" s="2367"/>
      <c r="P2027" s="2367"/>
      <c r="Q2027" s="2367"/>
      <c r="R2027" s="2367"/>
    </row>
    <row r="2028" spans="1:18">
      <c r="A2028" s="2367"/>
      <c r="B2028" s="2367"/>
      <c r="C2028" s="2367"/>
      <c r="D2028" s="2367"/>
      <c r="E2028" s="2367"/>
      <c r="F2028" s="2367"/>
      <c r="G2028" s="2367"/>
      <c r="H2028" s="2367"/>
      <c r="I2028" s="2367"/>
      <c r="J2028" s="2367"/>
      <c r="K2028" s="2367"/>
      <c r="L2028" s="2367"/>
      <c r="M2028" s="2367"/>
      <c r="N2028" s="2367"/>
      <c r="O2028" s="2367"/>
      <c r="P2028" s="2367"/>
      <c r="Q2028" s="2367"/>
      <c r="R2028" s="2367"/>
    </row>
    <row r="2029" spans="1:18">
      <c r="A2029" s="2367"/>
      <c r="B2029" s="2367"/>
      <c r="C2029" s="2367"/>
      <c r="D2029" s="2367"/>
      <c r="E2029" s="2367"/>
      <c r="F2029" s="2367"/>
      <c r="G2029" s="2367"/>
      <c r="H2029" s="2367"/>
      <c r="I2029" s="2367"/>
      <c r="J2029" s="2367"/>
      <c r="K2029" s="2367"/>
      <c r="L2029" s="2367"/>
      <c r="M2029" s="2367"/>
      <c r="N2029" s="2367"/>
      <c r="O2029" s="2367"/>
      <c r="P2029" s="2367"/>
      <c r="Q2029" s="2367"/>
      <c r="R2029" s="2367"/>
    </row>
    <row r="2030" spans="1:18">
      <c r="A2030" s="2367"/>
      <c r="B2030" s="2367"/>
      <c r="C2030" s="2367"/>
      <c r="D2030" s="2367"/>
      <c r="E2030" s="2367"/>
      <c r="F2030" s="2367"/>
      <c r="G2030" s="2367"/>
      <c r="H2030" s="2367"/>
      <c r="I2030" s="2367"/>
      <c r="J2030" s="2367"/>
      <c r="K2030" s="2367"/>
      <c r="L2030" s="2367"/>
      <c r="M2030" s="2367"/>
      <c r="N2030" s="2367"/>
      <c r="O2030" s="2367"/>
      <c r="P2030" s="2367"/>
      <c r="Q2030" s="2367"/>
      <c r="R2030" s="2367"/>
    </row>
    <row r="2031" spans="1:18">
      <c r="A2031" s="2367"/>
      <c r="B2031" s="2367"/>
      <c r="C2031" s="2367"/>
      <c r="D2031" s="2367"/>
      <c r="E2031" s="2367"/>
      <c r="F2031" s="2367"/>
      <c r="G2031" s="2367"/>
      <c r="H2031" s="2367"/>
      <c r="I2031" s="2367"/>
      <c r="J2031" s="2367"/>
      <c r="K2031" s="2367"/>
      <c r="L2031" s="2367"/>
      <c r="M2031" s="2367"/>
      <c r="N2031" s="2367"/>
      <c r="O2031" s="2367"/>
      <c r="P2031" s="2367"/>
      <c r="Q2031" s="2367"/>
      <c r="R2031" s="2367"/>
    </row>
    <row r="2032" spans="1:18">
      <c r="A2032" s="2367"/>
      <c r="B2032" s="2367"/>
      <c r="C2032" s="2367"/>
      <c r="D2032" s="2367"/>
      <c r="E2032" s="2367"/>
      <c r="F2032" s="2367"/>
      <c r="G2032" s="2367"/>
      <c r="H2032" s="2367"/>
      <c r="I2032" s="2367"/>
      <c r="J2032" s="2367"/>
      <c r="K2032" s="2367"/>
      <c r="L2032" s="2367"/>
      <c r="M2032" s="2367"/>
      <c r="N2032" s="2367"/>
      <c r="O2032" s="2367"/>
      <c r="P2032" s="2367"/>
      <c r="Q2032" s="2367"/>
      <c r="R2032" s="2367"/>
    </row>
    <row r="2033" spans="1:18">
      <c r="A2033" s="2367"/>
      <c r="B2033" s="2367"/>
      <c r="C2033" s="2367"/>
      <c r="D2033" s="2367"/>
      <c r="E2033" s="2367"/>
      <c r="F2033" s="2367"/>
      <c r="G2033" s="2367"/>
      <c r="H2033" s="2367"/>
      <c r="I2033" s="2367"/>
      <c r="J2033" s="2367"/>
      <c r="K2033" s="2367"/>
      <c r="L2033" s="2367"/>
      <c r="M2033" s="2367"/>
      <c r="N2033" s="2367"/>
      <c r="O2033" s="2367"/>
      <c r="P2033" s="2367"/>
      <c r="Q2033" s="2367"/>
      <c r="R2033" s="2367"/>
    </row>
    <row r="2034" spans="1:18">
      <c r="A2034" s="2367"/>
      <c r="B2034" s="2367"/>
      <c r="C2034" s="2367"/>
      <c r="D2034" s="2367"/>
      <c r="E2034" s="2367"/>
      <c r="F2034" s="2367"/>
      <c r="G2034" s="2367"/>
      <c r="H2034" s="2367"/>
      <c r="I2034" s="2367"/>
      <c r="J2034" s="2367"/>
      <c r="K2034" s="2367"/>
      <c r="L2034" s="2367"/>
      <c r="M2034" s="2367"/>
      <c r="N2034" s="2367"/>
      <c r="O2034" s="2367"/>
      <c r="P2034" s="2367"/>
      <c r="Q2034" s="2367"/>
      <c r="R2034" s="2367"/>
    </row>
    <row r="2035" spans="1:18">
      <c r="A2035" s="2367"/>
      <c r="B2035" s="2367"/>
      <c r="C2035" s="2367"/>
      <c r="D2035" s="2367"/>
      <c r="E2035" s="2367"/>
      <c r="F2035" s="2367"/>
      <c r="G2035" s="2367"/>
      <c r="H2035" s="2367"/>
      <c r="I2035" s="2367"/>
      <c r="J2035" s="2367"/>
      <c r="K2035" s="2367"/>
      <c r="L2035" s="2367"/>
      <c r="M2035" s="2367"/>
      <c r="N2035" s="2367"/>
      <c r="O2035" s="2367"/>
      <c r="P2035" s="2367"/>
      <c r="Q2035" s="2367"/>
      <c r="R2035" s="2367"/>
    </row>
    <row r="2036" spans="1:18">
      <c r="A2036" s="2367"/>
      <c r="B2036" s="2367"/>
      <c r="C2036" s="2367"/>
      <c r="D2036" s="2367"/>
      <c r="E2036" s="2367"/>
      <c r="F2036" s="2367"/>
      <c r="G2036" s="2367"/>
      <c r="H2036" s="2367"/>
      <c r="I2036" s="2367"/>
      <c r="J2036" s="2367"/>
      <c r="K2036" s="2367"/>
      <c r="L2036" s="2367"/>
      <c r="M2036" s="2367"/>
      <c r="N2036" s="2367"/>
      <c r="O2036" s="2367"/>
      <c r="P2036" s="2367"/>
      <c r="Q2036" s="2367"/>
      <c r="R2036" s="2367"/>
    </row>
    <row r="2037" spans="1:18">
      <c r="A2037" s="2367"/>
      <c r="B2037" s="2367"/>
      <c r="C2037" s="2367"/>
      <c r="D2037" s="2367"/>
      <c r="E2037" s="2367"/>
      <c r="F2037" s="2367"/>
      <c r="G2037" s="2367"/>
      <c r="H2037" s="2367"/>
      <c r="I2037" s="2367"/>
      <c r="J2037" s="2367"/>
      <c r="K2037" s="2367"/>
      <c r="L2037" s="2367"/>
      <c r="M2037" s="2367"/>
      <c r="N2037" s="2367"/>
      <c r="O2037" s="2367"/>
      <c r="P2037" s="2367"/>
      <c r="Q2037" s="2367"/>
      <c r="R2037" s="2367"/>
    </row>
    <row r="2038" spans="1:18">
      <c r="A2038" s="2367"/>
      <c r="B2038" s="2367"/>
      <c r="C2038" s="2367"/>
      <c r="D2038" s="2367"/>
      <c r="E2038" s="2367"/>
      <c r="F2038" s="2367"/>
      <c r="G2038" s="2367"/>
      <c r="H2038" s="2367"/>
      <c r="I2038" s="2367"/>
      <c r="J2038" s="2367"/>
      <c r="K2038" s="2367"/>
      <c r="L2038" s="2367"/>
      <c r="M2038" s="2367"/>
      <c r="N2038" s="2367"/>
      <c r="O2038" s="2367"/>
      <c r="P2038" s="2367"/>
      <c r="Q2038" s="2367"/>
      <c r="R2038" s="2367"/>
    </row>
    <row r="2039" spans="1:18">
      <c r="A2039" s="2367"/>
      <c r="B2039" s="2367"/>
      <c r="C2039" s="2367"/>
      <c r="D2039" s="2367"/>
      <c r="E2039" s="2367"/>
      <c r="F2039" s="2367"/>
      <c r="G2039" s="2367"/>
      <c r="H2039" s="2367"/>
      <c r="I2039" s="2367"/>
      <c r="J2039" s="2367"/>
      <c r="K2039" s="2367"/>
      <c r="L2039" s="2367"/>
      <c r="M2039" s="2367"/>
      <c r="N2039" s="2367"/>
      <c r="O2039" s="2367"/>
      <c r="P2039" s="2367"/>
      <c r="Q2039" s="2367"/>
      <c r="R2039" s="2367"/>
    </row>
    <row r="2040" spans="1:18">
      <c r="A2040" s="2367"/>
      <c r="B2040" s="2367"/>
      <c r="C2040" s="2367"/>
      <c r="D2040" s="2367"/>
      <c r="E2040" s="2367"/>
      <c r="F2040" s="2367"/>
      <c r="G2040" s="2367"/>
      <c r="H2040" s="2367"/>
      <c r="I2040" s="2367"/>
      <c r="J2040" s="2367"/>
      <c r="K2040" s="2367"/>
      <c r="L2040" s="2367"/>
      <c r="M2040" s="2367"/>
      <c r="N2040" s="2367"/>
      <c r="O2040" s="2367"/>
      <c r="P2040" s="2367"/>
      <c r="Q2040" s="2367"/>
      <c r="R2040" s="2367"/>
    </row>
    <row r="2041" spans="1:18">
      <c r="A2041" s="2367"/>
      <c r="B2041" s="2367"/>
      <c r="C2041" s="2367"/>
      <c r="D2041" s="2367"/>
      <c r="E2041" s="2367"/>
      <c r="F2041" s="2367"/>
      <c r="G2041" s="2367"/>
      <c r="H2041" s="2367"/>
      <c r="I2041" s="2367"/>
      <c r="J2041" s="2367"/>
      <c r="K2041" s="2367"/>
      <c r="L2041" s="2367"/>
      <c r="M2041" s="2367"/>
      <c r="N2041" s="2367"/>
      <c r="O2041" s="2367"/>
      <c r="P2041" s="2367"/>
      <c r="Q2041" s="2367"/>
      <c r="R2041" s="2367"/>
    </row>
    <row r="2042" spans="1:18">
      <c r="A2042" s="2367"/>
      <c r="B2042" s="2367"/>
      <c r="C2042" s="2367"/>
      <c r="D2042" s="2367"/>
      <c r="E2042" s="2367"/>
      <c r="F2042" s="2367"/>
      <c r="G2042" s="2367"/>
      <c r="H2042" s="2367"/>
      <c r="I2042" s="2367"/>
      <c r="J2042" s="2367"/>
      <c r="K2042" s="2367"/>
      <c r="L2042" s="2367"/>
      <c r="M2042" s="2367"/>
      <c r="N2042" s="2367"/>
      <c r="O2042" s="2367"/>
      <c r="P2042" s="2367"/>
      <c r="Q2042" s="2367"/>
      <c r="R2042" s="2367"/>
    </row>
    <row r="2043" spans="1:18">
      <c r="A2043" s="2367"/>
      <c r="B2043" s="2367"/>
      <c r="C2043" s="2367"/>
      <c r="D2043" s="2367"/>
      <c r="E2043" s="2367"/>
      <c r="F2043" s="2367"/>
      <c r="G2043" s="2367"/>
      <c r="H2043" s="2367"/>
      <c r="I2043" s="2367"/>
      <c r="J2043" s="2367"/>
      <c r="K2043" s="2367"/>
      <c r="L2043" s="2367"/>
      <c r="M2043" s="2367"/>
      <c r="N2043" s="2367"/>
      <c r="O2043" s="2367"/>
      <c r="P2043" s="2367"/>
      <c r="Q2043" s="2367"/>
      <c r="R2043" s="2367"/>
    </row>
    <row r="2044" spans="1:18">
      <c r="A2044" s="2367"/>
      <c r="B2044" s="2367"/>
      <c r="C2044" s="2367"/>
      <c r="D2044" s="2367"/>
      <c r="E2044" s="2367"/>
      <c r="F2044" s="2367"/>
      <c r="G2044" s="2367"/>
      <c r="H2044" s="2367"/>
      <c r="I2044" s="2367"/>
      <c r="J2044" s="2367"/>
      <c r="K2044" s="2367"/>
      <c r="L2044" s="2367"/>
      <c r="M2044" s="2367"/>
      <c r="N2044" s="2367"/>
      <c r="O2044" s="2367"/>
      <c r="P2044" s="2367"/>
      <c r="Q2044" s="2367"/>
      <c r="R2044" s="2367"/>
    </row>
    <row r="2045" spans="1:18">
      <c r="A2045" s="2367"/>
      <c r="B2045" s="2367"/>
      <c r="C2045" s="2367"/>
      <c r="D2045" s="2367"/>
      <c r="E2045" s="2367"/>
      <c r="F2045" s="2367"/>
      <c r="G2045" s="2367"/>
      <c r="H2045" s="2367"/>
      <c r="I2045" s="2367"/>
      <c r="J2045" s="2367"/>
      <c r="K2045" s="2367"/>
      <c r="L2045" s="2367"/>
      <c r="M2045" s="2367"/>
      <c r="N2045" s="2367"/>
      <c r="O2045" s="2367"/>
      <c r="P2045" s="2367"/>
      <c r="Q2045" s="2367"/>
      <c r="R2045" s="2367"/>
    </row>
    <row r="2046" spans="1:18">
      <c r="A2046" s="2367"/>
      <c r="B2046" s="2367"/>
      <c r="C2046" s="2367"/>
      <c r="D2046" s="2367"/>
      <c r="E2046" s="2367"/>
      <c r="F2046" s="2367"/>
      <c r="G2046" s="2367"/>
      <c r="H2046" s="2367"/>
      <c r="I2046" s="2367"/>
      <c r="J2046" s="2367"/>
      <c r="K2046" s="2367"/>
      <c r="L2046" s="2367"/>
      <c r="M2046" s="2367"/>
      <c r="N2046" s="2367"/>
      <c r="O2046" s="2367"/>
      <c r="P2046" s="2367"/>
      <c r="Q2046" s="2367"/>
      <c r="R2046" s="2367"/>
    </row>
    <row r="2047" spans="1:18">
      <c r="A2047" s="2367"/>
      <c r="B2047" s="2367"/>
      <c r="C2047" s="2367"/>
      <c r="D2047" s="2367"/>
      <c r="E2047" s="2367"/>
      <c r="F2047" s="2367"/>
      <c r="G2047" s="2367"/>
      <c r="H2047" s="2367"/>
      <c r="I2047" s="2367"/>
      <c r="J2047" s="2367"/>
      <c r="K2047" s="2367"/>
      <c r="L2047" s="2367"/>
      <c r="M2047" s="2367"/>
      <c r="N2047" s="2367"/>
      <c r="O2047" s="2367"/>
      <c r="P2047" s="2367"/>
      <c r="Q2047" s="2367"/>
      <c r="R2047" s="2367"/>
    </row>
    <row r="2048" spans="1:18">
      <c r="A2048" s="2367"/>
      <c r="B2048" s="2367"/>
      <c r="C2048" s="2367"/>
      <c r="D2048" s="2367"/>
      <c r="E2048" s="2367"/>
      <c r="F2048" s="2367"/>
      <c r="G2048" s="2367"/>
      <c r="H2048" s="2367"/>
      <c r="I2048" s="2367"/>
      <c r="J2048" s="2367"/>
      <c r="K2048" s="2367"/>
      <c r="L2048" s="2367"/>
      <c r="M2048" s="2367"/>
      <c r="N2048" s="2367"/>
      <c r="O2048" s="2367"/>
      <c r="P2048" s="2367"/>
      <c r="Q2048" s="2367"/>
      <c r="R2048" s="2367"/>
    </row>
    <row r="2049" spans="1:18">
      <c r="A2049" s="2367"/>
      <c r="B2049" s="2367"/>
      <c r="C2049" s="2367"/>
      <c r="D2049" s="2367"/>
      <c r="E2049" s="2367"/>
      <c r="F2049" s="2367"/>
      <c r="G2049" s="2367"/>
      <c r="H2049" s="2367"/>
      <c r="I2049" s="2367"/>
      <c r="J2049" s="2367"/>
      <c r="K2049" s="2367"/>
      <c r="L2049" s="2367"/>
      <c r="M2049" s="2367"/>
      <c r="N2049" s="2367"/>
      <c r="O2049" s="2367"/>
      <c r="P2049" s="2367"/>
      <c r="Q2049" s="2367"/>
      <c r="R2049" s="2367"/>
    </row>
    <row r="2050" spans="1:18">
      <c r="A2050" s="2367"/>
      <c r="B2050" s="2367"/>
      <c r="C2050" s="2367"/>
      <c r="D2050" s="2367"/>
      <c r="E2050" s="2367"/>
      <c r="F2050" s="2367"/>
      <c r="G2050" s="2367"/>
      <c r="H2050" s="2367"/>
      <c r="I2050" s="2367"/>
      <c r="J2050" s="2367"/>
      <c r="K2050" s="2367"/>
      <c r="L2050" s="2367"/>
      <c r="M2050" s="2367"/>
      <c r="N2050" s="2367"/>
      <c r="O2050" s="2367"/>
      <c r="P2050" s="2367"/>
      <c r="Q2050" s="2367"/>
      <c r="R2050" s="2367"/>
    </row>
    <row r="2051" spans="1:18">
      <c r="A2051" s="2367"/>
      <c r="B2051" s="2367"/>
      <c r="C2051" s="2367"/>
      <c r="D2051" s="2367"/>
      <c r="E2051" s="2367"/>
      <c r="F2051" s="2367"/>
      <c r="G2051" s="2367"/>
      <c r="H2051" s="2367"/>
      <c r="I2051" s="2367"/>
      <c r="J2051" s="2367"/>
      <c r="K2051" s="2367"/>
      <c r="L2051" s="2367"/>
      <c r="M2051" s="2367"/>
      <c r="N2051" s="2367"/>
      <c r="O2051" s="2367"/>
      <c r="P2051" s="2367"/>
      <c r="Q2051" s="2367"/>
      <c r="R2051" s="2367"/>
    </row>
    <row r="2052" spans="1:18">
      <c r="A2052" s="2367"/>
      <c r="B2052" s="2367"/>
      <c r="C2052" s="2367"/>
      <c r="D2052" s="2367"/>
      <c r="E2052" s="2367"/>
      <c r="F2052" s="2367"/>
      <c r="G2052" s="2367"/>
      <c r="H2052" s="2367"/>
      <c r="I2052" s="2367"/>
      <c r="J2052" s="2367"/>
      <c r="K2052" s="2367"/>
      <c r="L2052" s="2367"/>
      <c r="M2052" s="2367"/>
      <c r="N2052" s="2367"/>
      <c r="O2052" s="2367"/>
      <c r="P2052" s="2367"/>
      <c r="Q2052" s="2367"/>
      <c r="R2052" s="2367"/>
    </row>
    <row r="2053" spans="1:18">
      <c r="A2053" s="2367"/>
      <c r="B2053" s="2367"/>
      <c r="C2053" s="2367"/>
      <c r="D2053" s="2367"/>
      <c r="E2053" s="2367"/>
      <c r="F2053" s="2367"/>
      <c r="G2053" s="2367"/>
      <c r="H2053" s="2367"/>
      <c r="I2053" s="2367"/>
      <c r="J2053" s="2367"/>
      <c r="K2053" s="2367"/>
      <c r="L2053" s="2367"/>
      <c r="M2053" s="2367"/>
      <c r="N2053" s="2367"/>
      <c r="O2053" s="2367"/>
      <c r="P2053" s="2367"/>
      <c r="Q2053" s="2367"/>
      <c r="R2053" s="2367"/>
    </row>
    <row r="2054" spans="1:18">
      <c r="A2054" s="2367"/>
      <c r="B2054" s="2367"/>
      <c r="C2054" s="2367"/>
      <c r="D2054" s="2367"/>
      <c r="E2054" s="2367"/>
      <c r="F2054" s="2367"/>
      <c r="G2054" s="2367"/>
      <c r="H2054" s="2367"/>
      <c r="I2054" s="2367"/>
      <c r="J2054" s="2367"/>
      <c r="K2054" s="2367"/>
      <c r="L2054" s="2367"/>
      <c r="M2054" s="2367"/>
      <c r="N2054" s="2367"/>
      <c r="O2054" s="2367"/>
      <c r="P2054" s="2367"/>
      <c r="Q2054" s="2367"/>
      <c r="R2054" s="2367"/>
    </row>
    <row r="2055" spans="1:18">
      <c r="A2055" s="2367"/>
      <c r="B2055" s="2367"/>
      <c r="C2055" s="2367"/>
      <c r="D2055" s="2367"/>
      <c r="E2055" s="2367"/>
      <c r="F2055" s="2367"/>
      <c r="G2055" s="2367"/>
      <c r="H2055" s="2367"/>
      <c r="I2055" s="2367"/>
      <c r="J2055" s="2367"/>
      <c r="K2055" s="2367"/>
      <c r="L2055" s="2367"/>
      <c r="M2055" s="2367"/>
      <c r="N2055" s="2367"/>
      <c r="O2055" s="2367"/>
      <c r="P2055" s="2367"/>
      <c r="Q2055" s="2367"/>
      <c r="R2055" s="2367"/>
    </row>
    <row r="2056" spans="1:18">
      <c r="A2056" s="2367"/>
      <c r="B2056" s="2367"/>
      <c r="C2056" s="2367"/>
      <c r="D2056" s="2367"/>
      <c r="E2056" s="2367"/>
      <c r="F2056" s="2367"/>
      <c r="G2056" s="2367"/>
      <c r="H2056" s="2367"/>
      <c r="I2056" s="2367"/>
      <c r="J2056" s="2367"/>
      <c r="K2056" s="2367"/>
      <c r="L2056" s="2367"/>
      <c r="M2056" s="2367"/>
      <c r="N2056" s="2367"/>
      <c r="O2056" s="2367"/>
      <c r="P2056" s="2367"/>
      <c r="Q2056" s="2367"/>
      <c r="R2056" s="2367"/>
    </row>
    <row r="2057" spans="1:18">
      <c r="A2057" s="2367"/>
      <c r="B2057" s="2367"/>
      <c r="C2057" s="2367"/>
      <c r="D2057" s="2367"/>
      <c r="E2057" s="2367"/>
      <c r="F2057" s="2367"/>
      <c r="G2057" s="2367"/>
      <c r="H2057" s="2367"/>
      <c r="I2057" s="2367"/>
      <c r="J2057" s="2367"/>
      <c r="K2057" s="2367"/>
      <c r="L2057" s="2367"/>
      <c r="M2057" s="2367"/>
      <c r="N2057" s="2367"/>
      <c r="O2057" s="2367"/>
      <c r="P2057" s="2367"/>
      <c r="Q2057" s="2367"/>
      <c r="R2057" s="2367"/>
    </row>
    <row r="2058" spans="1:18">
      <c r="A2058" s="2367"/>
      <c r="B2058" s="2367"/>
      <c r="C2058" s="2367"/>
      <c r="D2058" s="2367"/>
      <c r="E2058" s="2367"/>
      <c r="F2058" s="2367"/>
      <c r="G2058" s="2367"/>
      <c r="H2058" s="2367"/>
      <c r="I2058" s="2367"/>
      <c r="J2058" s="2367"/>
      <c r="K2058" s="2367"/>
      <c r="L2058" s="2367"/>
      <c r="M2058" s="2367"/>
      <c r="N2058" s="2367"/>
      <c r="O2058" s="2367"/>
      <c r="P2058" s="2367"/>
      <c r="Q2058" s="2367"/>
      <c r="R2058" s="2367"/>
    </row>
    <row r="2059" spans="1:18">
      <c r="A2059" s="2367"/>
      <c r="B2059" s="2367"/>
      <c r="C2059" s="2367"/>
      <c r="D2059" s="2367"/>
      <c r="E2059" s="2367"/>
      <c r="F2059" s="2367"/>
      <c r="G2059" s="2367"/>
      <c r="H2059" s="2367"/>
      <c r="I2059" s="2367"/>
      <c r="J2059" s="2367"/>
      <c r="K2059" s="2367"/>
      <c r="L2059" s="2367"/>
      <c r="M2059" s="2367"/>
      <c r="N2059" s="2367"/>
      <c r="O2059" s="2367"/>
      <c r="P2059" s="2367"/>
      <c r="Q2059" s="2367"/>
      <c r="R2059" s="2367"/>
    </row>
    <row r="2060" spans="1:18">
      <c r="A2060" s="2367"/>
      <c r="B2060" s="2367"/>
      <c r="C2060" s="2367"/>
      <c r="D2060" s="2367"/>
      <c r="E2060" s="2367"/>
      <c r="F2060" s="2367"/>
      <c r="G2060" s="2367"/>
      <c r="H2060" s="2367"/>
      <c r="I2060" s="2367"/>
      <c r="J2060" s="2367"/>
      <c r="K2060" s="2367"/>
      <c r="L2060" s="2367"/>
      <c r="M2060" s="2367"/>
      <c r="N2060" s="2367"/>
      <c r="O2060" s="2367"/>
      <c r="P2060" s="2367"/>
      <c r="Q2060" s="2367"/>
      <c r="R2060" s="2367"/>
    </row>
    <row r="2061" spans="1:18">
      <c r="A2061" s="2367"/>
      <c r="B2061" s="2367"/>
      <c r="C2061" s="2367"/>
      <c r="D2061" s="2367"/>
      <c r="E2061" s="2367"/>
      <c r="F2061" s="2367"/>
      <c r="G2061" s="2367"/>
      <c r="H2061" s="2367"/>
      <c r="I2061" s="2367"/>
      <c r="J2061" s="2367"/>
      <c r="K2061" s="2367"/>
      <c r="L2061" s="2367"/>
      <c r="M2061" s="2367"/>
      <c r="N2061" s="2367"/>
      <c r="O2061" s="2367"/>
      <c r="P2061" s="2367"/>
      <c r="Q2061" s="2367"/>
      <c r="R2061" s="2367"/>
    </row>
    <row r="2062" spans="1:18">
      <c r="A2062" s="2367"/>
      <c r="B2062" s="2367"/>
      <c r="C2062" s="2367"/>
      <c r="D2062" s="2367"/>
      <c r="E2062" s="2367"/>
      <c r="F2062" s="2367"/>
      <c r="G2062" s="2367"/>
      <c r="H2062" s="2367"/>
      <c r="I2062" s="2367"/>
      <c r="J2062" s="2367"/>
      <c r="K2062" s="2367"/>
      <c r="L2062" s="2367"/>
      <c r="M2062" s="2367"/>
      <c r="N2062" s="2367"/>
      <c r="O2062" s="2367"/>
      <c r="P2062" s="2367"/>
      <c r="Q2062" s="2367"/>
      <c r="R2062" s="2367"/>
    </row>
    <row r="2063" spans="1:18">
      <c r="A2063" s="2367"/>
      <c r="B2063" s="2367"/>
      <c r="C2063" s="2367"/>
      <c r="D2063" s="2367"/>
      <c r="E2063" s="2367"/>
      <c r="F2063" s="2367"/>
      <c r="G2063" s="2367"/>
      <c r="H2063" s="2367"/>
      <c r="I2063" s="2367"/>
      <c r="J2063" s="2367"/>
      <c r="K2063" s="2367"/>
      <c r="L2063" s="2367"/>
      <c r="M2063" s="2367"/>
      <c r="N2063" s="2367"/>
      <c r="O2063" s="2367"/>
      <c r="P2063" s="2367"/>
      <c r="Q2063" s="2367"/>
      <c r="R2063" s="2367"/>
    </row>
    <row r="2064" spans="1:18">
      <c r="A2064" s="2367"/>
      <c r="B2064" s="2367"/>
      <c r="C2064" s="2367"/>
      <c r="D2064" s="2367"/>
      <c r="E2064" s="2367"/>
      <c r="F2064" s="2367"/>
      <c r="G2064" s="2367"/>
      <c r="H2064" s="2367"/>
      <c r="I2064" s="2367"/>
      <c r="J2064" s="2367"/>
      <c r="K2064" s="2367"/>
      <c r="L2064" s="2367"/>
      <c r="M2064" s="2367"/>
      <c r="N2064" s="2367"/>
      <c r="O2064" s="2367"/>
      <c r="P2064" s="2367"/>
      <c r="Q2064" s="2367"/>
      <c r="R2064" s="2367"/>
    </row>
    <row r="2065" spans="1:18">
      <c r="A2065" s="2367"/>
      <c r="B2065" s="2367"/>
      <c r="C2065" s="2367"/>
      <c r="D2065" s="2367"/>
      <c r="E2065" s="2367"/>
      <c r="F2065" s="2367"/>
      <c r="G2065" s="2367"/>
      <c r="H2065" s="2367"/>
      <c r="I2065" s="2367"/>
      <c r="J2065" s="2367"/>
      <c r="K2065" s="2367"/>
      <c r="L2065" s="2367"/>
      <c r="M2065" s="2367"/>
      <c r="N2065" s="2367"/>
      <c r="O2065" s="2367"/>
      <c r="P2065" s="2367"/>
      <c r="Q2065" s="2367"/>
      <c r="R2065" s="2367"/>
    </row>
    <row r="2066" spans="1:18">
      <c r="A2066" s="2367"/>
      <c r="B2066" s="2367"/>
      <c r="C2066" s="2367"/>
      <c r="D2066" s="2367"/>
      <c r="E2066" s="2367"/>
      <c r="F2066" s="2367"/>
      <c r="G2066" s="2367"/>
      <c r="H2066" s="2367"/>
      <c r="I2066" s="2367"/>
      <c r="J2066" s="2367"/>
      <c r="K2066" s="2367"/>
      <c r="L2066" s="2367"/>
      <c r="M2066" s="2367"/>
      <c r="N2066" s="2367"/>
      <c r="O2066" s="2367"/>
      <c r="P2066" s="2367"/>
      <c r="Q2066" s="2367"/>
      <c r="R2066" s="2367"/>
    </row>
    <row r="2067" spans="1:18">
      <c r="A2067" s="2367"/>
      <c r="B2067" s="2367"/>
      <c r="C2067" s="2367"/>
      <c r="D2067" s="2367"/>
      <c r="E2067" s="2367"/>
      <c r="F2067" s="2367"/>
      <c r="G2067" s="2367"/>
      <c r="H2067" s="2367"/>
      <c r="I2067" s="2367"/>
      <c r="J2067" s="2367"/>
      <c r="K2067" s="2367"/>
      <c r="L2067" s="2367"/>
      <c r="M2067" s="2367"/>
      <c r="N2067" s="2367"/>
      <c r="O2067" s="2367"/>
      <c r="P2067" s="2367"/>
      <c r="Q2067" s="2367"/>
      <c r="R2067" s="2367"/>
    </row>
    <row r="2068" spans="1:18">
      <c r="A2068" s="2367"/>
      <c r="B2068" s="2367"/>
      <c r="C2068" s="2367"/>
      <c r="D2068" s="2367"/>
      <c r="E2068" s="2367"/>
      <c r="F2068" s="2367"/>
      <c r="G2068" s="2367"/>
      <c r="H2068" s="2367"/>
      <c r="I2068" s="2367"/>
      <c r="J2068" s="2367"/>
      <c r="K2068" s="2367"/>
      <c r="L2068" s="2367"/>
      <c r="M2068" s="2367"/>
      <c r="N2068" s="2367"/>
      <c r="O2068" s="2367"/>
      <c r="P2068" s="2367"/>
      <c r="Q2068" s="2367"/>
      <c r="R2068" s="2367"/>
    </row>
    <row r="2069" spans="1:18">
      <c r="A2069" s="2367"/>
      <c r="B2069" s="2367"/>
      <c r="C2069" s="2367"/>
      <c r="D2069" s="2367"/>
      <c r="E2069" s="2367"/>
      <c r="F2069" s="2367"/>
      <c r="G2069" s="2367"/>
      <c r="H2069" s="2367"/>
      <c r="I2069" s="2367"/>
      <c r="J2069" s="2367"/>
      <c r="K2069" s="2367"/>
      <c r="L2069" s="2367"/>
      <c r="M2069" s="2367"/>
      <c r="N2069" s="2367"/>
      <c r="O2069" s="2367"/>
      <c r="P2069" s="2367"/>
      <c r="Q2069" s="2367"/>
      <c r="R2069" s="2367"/>
    </row>
    <row r="2070" spans="1:18">
      <c r="A2070" s="2367"/>
      <c r="B2070" s="2367"/>
      <c r="C2070" s="2367"/>
      <c r="D2070" s="2367"/>
      <c r="E2070" s="2367"/>
      <c r="F2070" s="2367"/>
      <c r="G2070" s="2367"/>
      <c r="H2070" s="2367"/>
      <c r="I2070" s="2367"/>
      <c r="J2070" s="2367"/>
      <c r="K2070" s="2367"/>
      <c r="L2070" s="2367"/>
      <c r="M2070" s="2367"/>
      <c r="N2070" s="2367"/>
      <c r="O2070" s="2367"/>
      <c r="P2070" s="2367"/>
      <c r="Q2070" s="2367"/>
      <c r="R2070" s="2367"/>
    </row>
    <row r="2071" spans="1:18">
      <c r="A2071" s="2367"/>
      <c r="B2071" s="2367"/>
      <c r="C2071" s="2367"/>
      <c r="D2071" s="2367"/>
      <c r="E2071" s="2367"/>
      <c r="F2071" s="2367"/>
      <c r="G2071" s="2367"/>
      <c r="H2071" s="2367"/>
      <c r="I2071" s="2367"/>
      <c r="J2071" s="2367"/>
      <c r="K2071" s="2367"/>
      <c r="L2071" s="2367"/>
      <c r="M2071" s="2367"/>
      <c r="N2071" s="2367"/>
      <c r="O2071" s="2367"/>
      <c r="P2071" s="2367"/>
      <c r="Q2071" s="2367"/>
      <c r="R2071" s="2367"/>
    </row>
    <row r="2072" spans="1:18">
      <c r="A2072" s="2367"/>
      <c r="B2072" s="2367"/>
      <c r="C2072" s="2367"/>
      <c r="D2072" s="2367"/>
      <c r="E2072" s="2367"/>
      <c r="F2072" s="2367"/>
      <c r="G2072" s="2367"/>
      <c r="H2072" s="2367"/>
      <c r="I2072" s="2367"/>
      <c r="J2072" s="2367"/>
      <c r="K2072" s="2367"/>
      <c r="L2072" s="2367"/>
      <c r="M2072" s="2367"/>
      <c r="N2072" s="2367"/>
      <c r="O2072" s="2367"/>
      <c r="P2072" s="2367"/>
      <c r="Q2072" s="2367"/>
      <c r="R2072" s="2367"/>
    </row>
    <row r="2073" spans="1:18">
      <c r="A2073" s="2367"/>
      <c r="B2073" s="2367"/>
      <c r="C2073" s="2367"/>
      <c r="D2073" s="2367"/>
      <c r="E2073" s="2367"/>
      <c r="F2073" s="2367"/>
      <c r="G2073" s="2367"/>
      <c r="H2073" s="2367"/>
      <c r="I2073" s="2367"/>
      <c r="J2073" s="2367"/>
      <c r="K2073" s="2367"/>
      <c r="L2073" s="2367"/>
      <c r="M2073" s="2367"/>
      <c r="N2073" s="2367"/>
      <c r="O2073" s="2367"/>
      <c r="P2073" s="2367"/>
      <c r="Q2073" s="2367"/>
      <c r="R2073" s="2367"/>
    </row>
    <row r="2074" spans="1:18">
      <c r="A2074" s="2367"/>
      <c r="B2074" s="2367"/>
      <c r="C2074" s="2367"/>
      <c r="D2074" s="2367"/>
      <c r="E2074" s="2367"/>
      <c r="F2074" s="2367"/>
      <c r="G2074" s="2367"/>
      <c r="H2074" s="2367"/>
      <c r="I2074" s="2367"/>
      <c r="J2074" s="2367"/>
      <c r="K2074" s="2367"/>
      <c r="L2074" s="2367"/>
      <c r="M2074" s="2367"/>
      <c r="N2074" s="2367"/>
      <c r="O2074" s="2367"/>
      <c r="P2074" s="2367"/>
      <c r="Q2074" s="2367"/>
      <c r="R2074" s="2367"/>
    </row>
    <row r="2075" spans="1:18">
      <c r="A2075" s="2367"/>
      <c r="B2075" s="2367"/>
      <c r="C2075" s="2367"/>
      <c r="D2075" s="2367"/>
      <c r="E2075" s="2367"/>
      <c r="F2075" s="2367"/>
      <c r="G2075" s="2367"/>
      <c r="H2075" s="2367"/>
      <c r="I2075" s="2367"/>
      <c r="J2075" s="2367"/>
      <c r="K2075" s="2367"/>
      <c r="L2075" s="2367"/>
      <c r="M2075" s="2367"/>
      <c r="N2075" s="2367"/>
      <c r="O2075" s="2367"/>
      <c r="P2075" s="2367"/>
      <c r="Q2075" s="2367"/>
      <c r="R2075" s="2367"/>
    </row>
    <row r="2076" spans="1:18">
      <c r="A2076" s="2367"/>
      <c r="B2076" s="2367"/>
      <c r="C2076" s="2367"/>
      <c r="D2076" s="2367"/>
      <c r="E2076" s="2367"/>
      <c r="F2076" s="2367"/>
      <c r="G2076" s="2367"/>
      <c r="H2076" s="2367"/>
      <c r="I2076" s="2367"/>
      <c r="J2076" s="2367"/>
      <c r="K2076" s="2367"/>
      <c r="L2076" s="2367"/>
      <c r="M2076" s="2367"/>
      <c r="N2076" s="2367"/>
      <c r="O2076" s="2367"/>
      <c r="P2076" s="2367"/>
      <c r="Q2076" s="2367"/>
      <c r="R2076" s="2367"/>
    </row>
    <row r="2077" spans="1:18">
      <c r="A2077" s="2367"/>
      <c r="B2077" s="2367"/>
      <c r="C2077" s="2367"/>
      <c r="D2077" s="2367"/>
      <c r="E2077" s="2367"/>
      <c r="F2077" s="2367"/>
      <c r="G2077" s="2367"/>
      <c r="H2077" s="2367"/>
      <c r="I2077" s="2367"/>
      <c r="J2077" s="2367"/>
      <c r="K2077" s="2367"/>
      <c r="L2077" s="2367"/>
      <c r="M2077" s="2367"/>
      <c r="N2077" s="2367"/>
      <c r="O2077" s="2367"/>
      <c r="P2077" s="2367"/>
      <c r="Q2077" s="2367"/>
      <c r="R2077" s="2367"/>
    </row>
    <row r="2078" spans="1:18">
      <c r="A2078" s="2367"/>
      <c r="B2078" s="2367"/>
      <c r="C2078" s="2367"/>
      <c r="D2078" s="2367"/>
      <c r="E2078" s="2367"/>
      <c r="F2078" s="2367"/>
      <c r="G2078" s="2367"/>
      <c r="H2078" s="2367"/>
      <c r="I2078" s="2367"/>
      <c r="J2078" s="2367"/>
      <c r="K2078" s="2367"/>
      <c r="L2078" s="2367"/>
      <c r="M2078" s="2367"/>
      <c r="N2078" s="2367"/>
      <c r="O2078" s="2367"/>
      <c r="P2078" s="2367"/>
      <c r="Q2078" s="2367"/>
      <c r="R2078" s="2367"/>
    </row>
    <row r="2079" spans="1:18">
      <c r="A2079" s="2367"/>
      <c r="B2079" s="2367"/>
      <c r="C2079" s="2367"/>
      <c r="D2079" s="2367"/>
      <c r="E2079" s="2367"/>
      <c r="F2079" s="2367"/>
      <c r="G2079" s="2367"/>
      <c r="H2079" s="2367"/>
      <c r="I2079" s="2367"/>
      <c r="J2079" s="2367"/>
      <c r="K2079" s="2367"/>
      <c r="L2079" s="2367"/>
      <c r="M2079" s="2367"/>
      <c r="N2079" s="2367"/>
      <c r="O2079" s="2367"/>
      <c r="P2079" s="2367"/>
      <c r="Q2079" s="2367"/>
      <c r="R2079" s="2367"/>
    </row>
    <row r="2080" spans="1:18">
      <c r="A2080" s="2367"/>
      <c r="B2080" s="2367"/>
      <c r="C2080" s="2367"/>
      <c r="D2080" s="2367"/>
      <c r="E2080" s="2367"/>
      <c r="F2080" s="2367"/>
      <c r="G2080" s="2367"/>
      <c r="H2080" s="2367"/>
      <c r="I2080" s="2367"/>
      <c r="J2080" s="2367"/>
      <c r="K2080" s="2367"/>
      <c r="L2080" s="2367"/>
      <c r="M2080" s="2367"/>
      <c r="N2080" s="2367"/>
      <c r="O2080" s="2367"/>
      <c r="P2080" s="2367"/>
      <c r="Q2080" s="2367"/>
      <c r="R2080" s="2367"/>
    </row>
    <row r="2081" spans="1:18">
      <c r="A2081" s="2367"/>
      <c r="B2081" s="2367"/>
      <c r="C2081" s="2367"/>
      <c r="D2081" s="2367"/>
      <c r="E2081" s="2367"/>
      <c r="F2081" s="2367"/>
      <c r="G2081" s="2367"/>
      <c r="H2081" s="2367"/>
      <c r="I2081" s="2367"/>
      <c r="J2081" s="2367"/>
      <c r="K2081" s="2367"/>
      <c r="L2081" s="2367"/>
      <c r="M2081" s="2367"/>
      <c r="N2081" s="2367"/>
      <c r="O2081" s="2367"/>
      <c r="P2081" s="2367"/>
      <c r="Q2081" s="2367"/>
      <c r="R2081" s="2367"/>
    </row>
    <row r="2082" spans="1:18">
      <c r="A2082" s="2367"/>
      <c r="B2082" s="2367"/>
      <c r="C2082" s="2367"/>
      <c r="D2082" s="2367"/>
      <c r="E2082" s="2367"/>
      <c r="F2082" s="2367"/>
      <c r="G2082" s="2367"/>
      <c r="H2082" s="2367"/>
      <c r="I2082" s="2367"/>
      <c r="J2082" s="2367"/>
      <c r="K2082" s="2367"/>
      <c r="L2082" s="2367"/>
      <c r="M2082" s="2367"/>
      <c r="N2082" s="2367"/>
      <c r="O2082" s="2367"/>
      <c r="P2082" s="2367"/>
      <c r="Q2082" s="2367"/>
      <c r="R2082" s="2367"/>
    </row>
    <row r="2083" spans="1:18">
      <c r="A2083" s="2367"/>
      <c r="B2083" s="2367"/>
      <c r="C2083" s="2367"/>
      <c r="D2083" s="2367"/>
      <c r="E2083" s="2367"/>
      <c r="F2083" s="2367"/>
      <c r="G2083" s="2367"/>
      <c r="H2083" s="2367"/>
      <c r="I2083" s="2367"/>
      <c r="J2083" s="2367"/>
      <c r="K2083" s="2367"/>
      <c r="L2083" s="2367"/>
      <c r="M2083" s="2367"/>
      <c r="N2083" s="2367"/>
      <c r="O2083" s="2367"/>
      <c r="P2083" s="2367"/>
      <c r="Q2083" s="2367"/>
      <c r="R2083" s="2367"/>
    </row>
    <row r="2084" spans="1:18">
      <c r="A2084" s="2367"/>
      <c r="B2084" s="2367"/>
      <c r="C2084" s="2367"/>
      <c r="D2084" s="2367"/>
      <c r="E2084" s="2367"/>
      <c r="F2084" s="2367"/>
      <c r="G2084" s="2367"/>
      <c r="H2084" s="2367"/>
      <c r="I2084" s="2367"/>
      <c r="J2084" s="2367"/>
      <c r="K2084" s="2367"/>
      <c r="L2084" s="2367"/>
      <c r="M2084" s="2367"/>
      <c r="N2084" s="2367"/>
      <c r="O2084" s="2367"/>
      <c r="P2084" s="2367"/>
      <c r="Q2084" s="2367"/>
      <c r="R2084" s="2367"/>
    </row>
    <row r="2085" spans="1:18">
      <c r="A2085" s="2367"/>
      <c r="B2085" s="2367"/>
      <c r="C2085" s="2367"/>
      <c r="D2085" s="2367"/>
      <c r="E2085" s="2367"/>
      <c r="F2085" s="2367"/>
      <c r="G2085" s="2367"/>
      <c r="H2085" s="2367"/>
      <c r="I2085" s="2367"/>
      <c r="J2085" s="2367"/>
      <c r="K2085" s="2367"/>
      <c r="L2085" s="2367"/>
      <c r="M2085" s="2367"/>
      <c r="N2085" s="2367"/>
      <c r="O2085" s="2367"/>
      <c r="P2085" s="2367"/>
      <c r="Q2085" s="2367"/>
      <c r="R2085" s="2367"/>
    </row>
    <row r="2086" spans="1:18">
      <c r="A2086" s="2367"/>
      <c r="B2086" s="2367"/>
      <c r="C2086" s="2367"/>
      <c r="D2086" s="2367"/>
      <c r="E2086" s="2367"/>
      <c r="F2086" s="2367"/>
      <c r="G2086" s="2367"/>
      <c r="H2086" s="2367"/>
      <c r="I2086" s="2367"/>
      <c r="J2086" s="2367"/>
      <c r="K2086" s="2367"/>
      <c r="L2086" s="2367"/>
      <c r="M2086" s="2367"/>
      <c r="N2086" s="2367"/>
      <c r="O2086" s="2367"/>
      <c r="P2086" s="2367"/>
      <c r="Q2086" s="2367"/>
      <c r="R2086" s="2367"/>
    </row>
    <row r="2087" spans="1:18">
      <c r="A2087" s="2367"/>
      <c r="B2087" s="2367"/>
      <c r="C2087" s="2367"/>
      <c r="D2087" s="2367"/>
      <c r="E2087" s="2367"/>
      <c r="F2087" s="2367"/>
      <c r="G2087" s="2367"/>
      <c r="H2087" s="2367"/>
      <c r="I2087" s="2367"/>
      <c r="J2087" s="2367"/>
      <c r="K2087" s="2367"/>
      <c r="L2087" s="2367"/>
      <c r="M2087" s="2367"/>
      <c r="N2087" s="2367"/>
      <c r="O2087" s="2367"/>
      <c r="P2087" s="2367"/>
      <c r="Q2087" s="2367"/>
      <c r="R2087" s="2367"/>
    </row>
    <row r="2088" spans="1:18">
      <c r="A2088" s="2367"/>
      <c r="B2088" s="2367"/>
      <c r="C2088" s="2367"/>
      <c r="D2088" s="2367"/>
      <c r="E2088" s="2367"/>
      <c r="F2088" s="2367"/>
      <c r="G2088" s="2367"/>
      <c r="H2088" s="2367"/>
      <c r="I2088" s="2367"/>
      <c r="J2088" s="2367"/>
      <c r="K2088" s="2367"/>
      <c r="L2088" s="2367"/>
      <c r="M2088" s="2367"/>
      <c r="N2088" s="2367"/>
      <c r="O2088" s="2367"/>
      <c r="P2088" s="2367"/>
      <c r="Q2088" s="2367"/>
      <c r="R2088" s="2367"/>
    </row>
    <row r="2089" spans="1:18">
      <c r="A2089" s="2367"/>
      <c r="B2089" s="2367"/>
      <c r="C2089" s="2367"/>
      <c r="D2089" s="2367"/>
      <c r="E2089" s="2367"/>
      <c r="F2089" s="2367"/>
      <c r="G2089" s="2367"/>
      <c r="H2089" s="2367"/>
      <c r="I2089" s="2367"/>
      <c r="J2089" s="2367"/>
      <c r="K2089" s="2367"/>
      <c r="L2089" s="2367"/>
      <c r="M2089" s="2367"/>
      <c r="N2089" s="2367"/>
      <c r="O2089" s="2367"/>
      <c r="P2089" s="2367"/>
      <c r="Q2089" s="2367"/>
      <c r="R2089" s="2367"/>
    </row>
    <row r="2090" spans="1:18">
      <c r="A2090" s="2367"/>
      <c r="B2090" s="2367"/>
      <c r="C2090" s="2367"/>
      <c r="D2090" s="2367"/>
      <c r="E2090" s="2367"/>
      <c r="F2090" s="2367"/>
      <c r="G2090" s="2367"/>
      <c r="H2090" s="2367"/>
      <c r="I2090" s="2367"/>
      <c r="J2090" s="2367"/>
      <c r="K2090" s="2367"/>
      <c r="L2090" s="2367"/>
      <c r="M2090" s="2367"/>
      <c r="N2090" s="2367"/>
      <c r="O2090" s="2367"/>
      <c r="P2090" s="2367"/>
      <c r="Q2090" s="2367"/>
      <c r="R2090" s="2367"/>
    </row>
    <row r="2091" spans="1:18">
      <c r="A2091" s="2367"/>
      <c r="B2091" s="2367"/>
      <c r="C2091" s="2367"/>
      <c r="D2091" s="2367"/>
      <c r="E2091" s="2367"/>
      <c r="F2091" s="2367"/>
      <c r="G2091" s="2367"/>
      <c r="H2091" s="2367"/>
      <c r="I2091" s="2367"/>
      <c r="J2091" s="2367"/>
      <c r="K2091" s="2367"/>
      <c r="L2091" s="2367"/>
      <c r="M2091" s="2367"/>
      <c r="N2091" s="2367"/>
      <c r="O2091" s="2367"/>
      <c r="P2091" s="2367"/>
      <c r="Q2091" s="2367"/>
      <c r="R2091" s="2367"/>
    </row>
    <row r="2092" spans="1:18">
      <c r="A2092" s="2367"/>
      <c r="B2092" s="2367"/>
      <c r="C2092" s="2367"/>
      <c r="D2092" s="2367"/>
      <c r="E2092" s="2367"/>
      <c r="F2092" s="2367"/>
      <c r="G2092" s="2367"/>
      <c r="H2092" s="2367"/>
      <c r="I2092" s="2367"/>
      <c r="J2092" s="2367"/>
      <c r="K2092" s="2367"/>
      <c r="L2092" s="2367"/>
      <c r="M2092" s="2367"/>
      <c r="N2092" s="2367"/>
      <c r="O2092" s="2367"/>
      <c r="P2092" s="2367"/>
      <c r="Q2092" s="2367"/>
      <c r="R2092" s="2367"/>
    </row>
    <row r="2093" spans="1:18">
      <c r="A2093" s="2367"/>
      <c r="B2093" s="2367"/>
      <c r="C2093" s="2367"/>
      <c r="D2093" s="2367"/>
      <c r="E2093" s="2367"/>
      <c r="F2093" s="2367"/>
      <c r="G2093" s="2367"/>
      <c r="H2093" s="2367"/>
      <c r="I2093" s="2367"/>
      <c r="J2093" s="2367"/>
      <c r="K2093" s="2367"/>
      <c r="L2093" s="2367"/>
      <c r="M2093" s="2367"/>
      <c r="N2093" s="2367"/>
      <c r="O2093" s="2367"/>
      <c r="P2093" s="2367"/>
      <c r="Q2093" s="2367"/>
      <c r="R2093" s="2367"/>
    </row>
    <row r="2094" spans="1:18">
      <c r="A2094" s="2367"/>
      <c r="B2094" s="2367"/>
      <c r="C2094" s="2367"/>
      <c r="D2094" s="2367"/>
      <c r="E2094" s="2367"/>
      <c r="F2094" s="2367"/>
      <c r="G2094" s="2367"/>
      <c r="H2094" s="2367"/>
      <c r="I2094" s="2367"/>
      <c r="J2094" s="2367"/>
      <c r="K2094" s="2367"/>
      <c r="L2094" s="2367"/>
      <c r="M2094" s="2367"/>
      <c r="N2094" s="2367"/>
      <c r="O2094" s="2367"/>
      <c r="P2094" s="2367"/>
      <c r="Q2094" s="2367"/>
      <c r="R2094" s="2367"/>
    </row>
    <row r="2095" spans="1:18">
      <c r="A2095" s="2367"/>
      <c r="B2095" s="2367"/>
      <c r="C2095" s="2367"/>
      <c r="D2095" s="2367"/>
      <c r="E2095" s="2367"/>
      <c r="F2095" s="2367"/>
      <c r="G2095" s="2367"/>
      <c r="H2095" s="2367"/>
      <c r="I2095" s="2367"/>
      <c r="J2095" s="2367"/>
      <c r="K2095" s="2367"/>
      <c r="L2095" s="2367"/>
      <c r="M2095" s="2367"/>
      <c r="N2095" s="2367"/>
      <c r="O2095" s="2367"/>
      <c r="P2095" s="2367"/>
      <c r="Q2095" s="2367"/>
      <c r="R2095" s="2367"/>
    </row>
    <row r="2096" spans="1:18">
      <c r="A2096" s="2367"/>
      <c r="B2096" s="2367"/>
      <c r="C2096" s="2367"/>
      <c r="D2096" s="2367"/>
      <c r="E2096" s="2367"/>
      <c r="F2096" s="2367"/>
      <c r="G2096" s="2367"/>
      <c r="H2096" s="2367"/>
      <c r="I2096" s="2367"/>
      <c r="J2096" s="2367"/>
      <c r="K2096" s="2367"/>
      <c r="L2096" s="2367"/>
      <c r="M2096" s="2367"/>
      <c r="N2096" s="2367"/>
      <c r="O2096" s="2367"/>
      <c r="P2096" s="2367"/>
      <c r="Q2096" s="2367"/>
      <c r="R2096" s="2367"/>
    </row>
    <row r="2097" spans="1:18">
      <c r="A2097" s="2367"/>
      <c r="B2097" s="2367"/>
      <c r="C2097" s="2367"/>
      <c r="D2097" s="2367"/>
      <c r="E2097" s="2367"/>
      <c r="F2097" s="2367"/>
      <c r="G2097" s="2367"/>
      <c r="H2097" s="2367"/>
      <c r="I2097" s="2367"/>
      <c r="J2097" s="2367"/>
      <c r="K2097" s="2367"/>
      <c r="L2097" s="2367"/>
      <c r="M2097" s="2367"/>
      <c r="N2097" s="2367"/>
      <c r="O2097" s="2367"/>
      <c r="P2097" s="2367"/>
      <c r="Q2097" s="2367"/>
      <c r="R2097" s="2367"/>
    </row>
    <row r="2098" spans="1:18">
      <c r="A2098" s="2367"/>
      <c r="B2098" s="2367"/>
      <c r="C2098" s="2367"/>
      <c r="D2098" s="2367"/>
      <c r="E2098" s="2367"/>
      <c r="F2098" s="2367"/>
      <c r="G2098" s="2367"/>
      <c r="H2098" s="2367"/>
      <c r="I2098" s="2367"/>
      <c r="J2098" s="2367"/>
      <c r="K2098" s="2367"/>
      <c r="L2098" s="2367"/>
      <c r="M2098" s="2367"/>
      <c r="N2098" s="2367"/>
      <c r="O2098" s="2367"/>
      <c r="P2098" s="2367"/>
      <c r="Q2098" s="2367"/>
      <c r="R2098" s="2367"/>
    </row>
    <row r="2099" spans="1:18">
      <c r="A2099" s="2367"/>
      <c r="B2099" s="2367"/>
      <c r="C2099" s="2367"/>
      <c r="D2099" s="2367"/>
      <c r="E2099" s="2367"/>
      <c r="F2099" s="2367"/>
      <c r="G2099" s="2367"/>
      <c r="H2099" s="2367"/>
      <c r="I2099" s="2367"/>
      <c r="J2099" s="2367"/>
      <c r="K2099" s="2367"/>
      <c r="L2099" s="2367"/>
      <c r="M2099" s="2367"/>
      <c r="N2099" s="2367"/>
      <c r="O2099" s="2367"/>
      <c r="P2099" s="2367"/>
      <c r="Q2099" s="2367"/>
      <c r="R2099" s="2367"/>
    </row>
    <row r="2100" spans="1:18">
      <c r="A2100" s="2367"/>
      <c r="B2100" s="2367"/>
      <c r="C2100" s="2367"/>
      <c r="D2100" s="2367"/>
      <c r="E2100" s="2367"/>
      <c r="F2100" s="2367"/>
      <c r="G2100" s="2367"/>
      <c r="H2100" s="2367"/>
      <c r="I2100" s="2367"/>
      <c r="J2100" s="2367"/>
      <c r="K2100" s="2367"/>
      <c r="L2100" s="2367"/>
      <c r="M2100" s="2367"/>
      <c r="N2100" s="2367"/>
      <c r="O2100" s="2367"/>
      <c r="P2100" s="2367"/>
      <c r="Q2100" s="2367"/>
      <c r="R2100" s="2367"/>
    </row>
    <row r="2101" spans="1:18">
      <c r="A2101" s="2367"/>
      <c r="B2101" s="2367"/>
      <c r="C2101" s="2367"/>
      <c r="D2101" s="2367"/>
      <c r="E2101" s="2367"/>
      <c r="F2101" s="2367"/>
      <c r="G2101" s="2367"/>
      <c r="H2101" s="2367"/>
      <c r="I2101" s="2367"/>
      <c r="J2101" s="2367"/>
      <c r="K2101" s="2367"/>
      <c r="L2101" s="2367"/>
      <c r="M2101" s="2367"/>
      <c r="N2101" s="2367"/>
      <c r="O2101" s="2367"/>
      <c r="P2101" s="2367"/>
      <c r="Q2101" s="2367"/>
      <c r="R2101" s="2367"/>
    </row>
    <row r="2102" spans="1:18">
      <c r="A2102" s="2367"/>
      <c r="B2102" s="2367"/>
      <c r="C2102" s="2367"/>
      <c r="D2102" s="2367"/>
      <c r="E2102" s="2367"/>
      <c r="F2102" s="2367"/>
      <c r="G2102" s="2367"/>
      <c r="H2102" s="2367"/>
      <c r="I2102" s="2367"/>
      <c r="J2102" s="2367"/>
      <c r="K2102" s="2367"/>
      <c r="L2102" s="2367"/>
      <c r="M2102" s="2367"/>
      <c r="N2102" s="2367"/>
      <c r="O2102" s="2367"/>
      <c r="P2102" s="2367"/>
      <c r="Q2102" s="2367"/>
      <c r="R2102" s="2367"/>
    </row>
    <row r="2103" spans="1:18">
      <c r="A2103" s="2367"/>
      <c r="B2103" s="2367"/>
      <c r="C2103" s="2367"/>
      <c r="D2103" s="2367"/>
      <c r="E2103" s="2367"/>
      <c r="F2103" s="2367"/>
      <c r="G2103" s="2367"/>
      <c r="H2103" s="2367"/>
      <c r="I2103" s="2367"/>
      <c r="J2103" s="2367"/>
      <c r="K2103" s="2367"/>
      <c r="L2103" s="2367"/>
      <c r="M2103" s="2367"/>
      <c r="N2103" s="2367"/>
      <c r="O2103" s="2367"/>
      <c r="P2103" s="2367"/>
      <c r="Q2103" s="2367"/>
      <c r="R2103" s="2367"/>
    </row>
    <row r="2104" spans="1:18">
      <c r="A2104" s="2367"/>
      <c r="B2104" s="2367"/>
      <c r="C2104" s="2367"/>
      <c r="D2104" s="2367"/>
      <c r="E2104" s="2367"/>
      <c r="F2104" s="2367"/>
      <c r="G2104" s="2367"/>
      <c r="H2104" s="2367"/>
      <c r="I2104" s="2367"/>
      <c r="J2104" s="2367"/>
      <c r="K2104" s="2367"/>
      <c r="L2104" s="2367"/>
      <c r="M2104" s="2367"/>
      <c r="N2104" s="2367"/>
      <c r="O2104" s="2367"/>
      <c r="P2104" s="2367"/>
      <c r="Q2104" s="2367"/>
      <c r="R2104" s="2367"/>
    </row>
    <row r="2105" spans="1:18">
      <c r="A2105" s="2367"/>
      <c r="B2105" s="2367"/>
      <c r="C2105" s="2367"/>
      <c r="D2105" s="2367"/>
      <c r="E2105" s="2367"/>
      <c r="F2105" s="2367"/>
      <c r="G2105" s="2367"/>
      <c r="H2105" s="2367"/>
      <c r="I2105" s="2367"/>
      <c r="J2105" s="2367"/>
      <c r="K2105" s="2367"/>
      <c r="L2105" s="2367"/>
      <c r="M2105" s="2367"/>
      <c r="N2105" s="2367"/>
      <c r="O2105" s="2367"/>
      <c r="P2105" s="2367"/>
      <c r="Q2105" s="2367"/>
      <c r="R2105" s="2367"/>
    </row>
    <row r="2106" spans="1:18">
      <c r="A2106" s="2367"/>
      <c r="B2106" s="2367"/>
      <c r="C2106" s="2367"/>
      <c r="D2106" s="2367"/>
      <c r="E2106" s="2367"/>
      <c r="F2106" s="2367"/>
      <c r="G2106" s="2367"/>
      <c r="H2106" s="2367"/>
      <c r="I2106" s="2367"/>
      <c r="J2106" s="2367"/>
      <c r="K2106" s="2367"/>
      <c r="L2106" s="2367"/>
      <c r="M2106" s="2367"/>
      <c r="N2106" s="2367"/>
      <c r="O2106" s="2367"/>
      <c r="P2106" s="2367"/>
      <c r="Q2106" s="2367"/>
      <c r="R2106" s="2367"/>
    </row>
    <row r="2107" spans="1:18">
      <c r="A2107" s="2367"/>
      <c r="B2107" s="2367"/>
      <c r="C2107" s="2367"/>
      <c r="D2107" s="2367"/>
      <c r="E2107" s="2367"/>
      <c r="F2107" s="2367"/>
      <c r="G2107" s="2367"/>
      <c r="H2107" s="2367"/>
      <c r="I2107" s="2367"/>
      <c r="J2107" s="2367"/>
      <c r="K2107" s="2367"/>
      <c r="L2107" s="2367"/>
      <c r="M2107" s="2367"/>
      <c r="N2107" s="2367"/>
      <c r="O2107" s="2367"/>
      <c r="P2107" s="2367"/>
      <c r="Q2107" s="2367"/>
      <c r="R2107" s="2367"/>
    </row>
    <row r="2108" spans="1:18">
      <c r="A2108" s="2367"/>
      <c r="B2108" s="2367"/>
      <c r="C2108" s="2367"/>
      <c r="D2108" s="2367"/>
      <c r="E2108" s="2367"/>
      <c r="F2108" s="2367"/>
      <c r="G2108" s="2367"/>
      <c r="H2108" s="2367"/>
      <c r="I2108" s="2367"/>
      <c r="J2108" s="2367"/>
      <c r="K2108" s="2367"/>
      <c r="L2108" s="2367"/>
      <c r="M2108" s="2367"/>
      <c r="N2108" s="2367"/>
      <c r="O2108" s="2367"/>
      <c r="P2108" s="2367"/>
      <c r="Q2108" s="2367"/>
      <c r="R2108" s="2367"/>
    </row>
    <row r="2109" spans="1:18">
      <c r="A2109" s="2367"/>
      <c r="B2109" s="2367"/>
      <c r="C2109" s="2367"/>
      <c r="D2109" s="2367"/>
      <c r="E2109" s="2367"/>
      <c r="F2109" s="2367"/>
      <c r="G2109" s="2367"/>
      <c r="H2109" s="2367"/>
      <c r="I2109" s="2367"/>
      <c r="J2109" s="2367"/>
      <c r="K2109" s="2367"/>
      <c r="L2109" s="2367"/>
      <c r="M2109" s="2367"/>
      <c r="N2109" s="2367"/>
      <c r="O2109" s="2367"/>
      <c r="P2109" s="2367"/>
      <c r="Q2109" s="2367"/>
      <c r="R2109" s="2367"/>
    </row>
    <row r="2110" spans="1:18">
      <c r="A2110" s="2367"/>
      <c r="B2110" s="2367"/>
      <c r="C2110" s="2367"/>
      <c r="D2110" s="2367"/>
      <c r="E2110" s="2367"/>
      <c r="F2110" s="2367"/>
      <c r="G2110" s="2367"/>
      <c r="H2110" s="2367"/>
      <c r="I2110" s="2367"/>
      <c r="J2110" s="2367"/>
      <c r="K2110" s="2367"/>
      <c r="L2110" s="2367"/>
      <c r="M2110" s="2367"/>
      <c r="N2110" s="2367"/>
      <c r="O2110" s="2367"/>
      <c r="P2110" s="2367"/>
      <c r="Q2110" s="2367"/>
      <c r="R2110" s="2367"/>
    </row>
    <row r="2111" spans="1:18">
      <c r="A2111" s="2367"/>
      <c r="B2111" s="2367"/>
      <c r="C2111" s="2367"/>
      <c r="D2111" s="2367"/>
      <c r="E2111" s="2367"/>
      <c r="F2111" s="2367"/>
      <c r="G2111" s="2367"/>
      <c r="H2111" s="2367"/>
      <c r="I2111" s="2367"/>
      <c r="J2111" s="2367"/>
      <c r="K2111" s="2367"/>
      <c r="L2111" s="2367"/>
      <c r="M2111" s="2367"/>
      <c r="N2111" s="2367"/>
      <c r="O2111" s="2367"/>
      <c r="P2111" s="2367"/>
      <c r="Q2111" s="2367"/>
      <c r="R2111" s="2367"/>
    </row>
    <row r="2112" spans="1:18">
      <c r="A2112" s="2367"/>
      <c r="B2112" s="2367"/>
      <c r="C2112" s="2367"/>
      <c r="D2112" s="2367"/>
      <c r="E2112" s="2367"/>
      <c r="F2112" s="2367"/>
      <c r="G2112" s="2367"/>
      <c r="H2112" s="2367"/>
      <c r="I2112" s="2367"/>
      <c r="J2112" s="2367"/>
      <c r="K2112" s="2367"/>
      <c r="L2112" s="2367"/>
      <c r="M2112" s="2367"/>
      <c r="N2112" s="2367"/>
      <c r="O2112" s="2367"/>
      <c r="P2112" s="2367"/>
      <c r="Q2112" s="2367"/>
      <c r="R2112" s="2367"/>
    </row>
    <row r="2113" spans="1:18">
      <c r="A2113" s="2367"/>
      <c r="B2113" s="2367"/>
      <c r="C2113" s="2367"/>
      <c r="D2113" s="2367"/>
      <c r="E2113" s="2367"/>
      <c r="F2113" s="2367"/>
      <c r="G2113" s="2367"/>
      <c r="H2113" s="2367"/>
      <c r="I2113" s="2367"/>
      <c r="J2113" s="2367"/>
      <c r="K2113" s="2367"/>
      <c r="L2113" s="2367"/>
      <c r="M2113" s="2367"/>
      <c r="N2113" s="2367"/>
      <c r="O2113" s="2367"/>
      <c r="P2113" s="2367"/>
      <c r="Q2113" s="2367"/>
      <c r="R2113" s="2367"/>
    </row>
    <row r="2114" spans="1:18">
      <c r="A2114" s="2367"/>
      <c r="B2114" s="2367"/>
      <c r="C2114" s="2367"/>
      <c r="D2114" s="2367"/>
      <c r="E2114" s="2367"/>
      <c r="F2114" s="2367"/>
      <c r="G2114" s="2367"/>
      <c r="H2114" s="2367"/>
      <c r="I2114" s="2367"/>
      <c r="J2114" s="2367"/>
      <c r="K2114" s="2367"/>
      <c r="L2114" s="2367"/>
      <c r="M2114" s="2367"/>
      <c r="N2114" s="2367"/>
      <c r="O2114" s="2367"/>
      <c r="P2114" s="2367"/>
      <c r="Q2114" s="2367"/>
      <c r="R2114" s="2367"/>
    </row>
    <row r="2115" spans="1:18">
      <c r="A2115" s="2367"/>
      <c r="B2115" s="2367"/>
      <c r="C2115" s="2367"/>
      <c r="D2115" s="2367"/>
      <c r="E2115" s="2367"/>
      <c r="F2115" s="2367"/>
      <c r="G2115" s="2367"/>
      <c r="H2115" s="2367"/>
      <c r="I2115" s="2367"/>
      <c r="J2115" s="2367"/>
      <c r="K2115" s="2367"/>
      <c r="L2115" s="2367"/>
      <c r="M2115" s="2367"/>
      <c r="N2115" s="2367"/>
      <c r="O2115" s="2367"/>
      <c r="P2115" s="2367"/>
      <c r="Q2115" s="2367"/>
      <c r="R2115" s="2367"/>
    </row>
    <row r="2116" spans="1:18">
      <c r="A2116" s="2367"/>
      <c r="B2116" s="2367"/>
      <c r="C2116" s="2367"/>
      <c r="D2116" s="2367"/>
      <c r="E2116" s="2367"/>
      <c r="F2116" s="2367"/>
      <c r="G2116" s="2367"/>
      <c r="H2116" s="2367"/>
      <c r="I2116" s="2367"/>
      <c r="J2116" s="2367"/>
      <c r="K2116" s="2367"/>
      <c r="L2116" s="2367"/>
      <c r="M2116" s="2367"/>
      <c r="N2116" s="2367"/>
      <c r="O2116" s="2367"/>
      <c r="P2116" s="2367"/>
      <c r="Q2116" s="2367"/>
      <c r="R2116" s="2367"/>
    </row>
    <row r="2117" spans="1:18">
      <c r="A2117" s="2367"/>
      <c r="B2117" s="2367"/>
      <c r="C2117" s="2367"/>
      <c r="D2117" s="2367"/>
      <c r="E2117" s="2367"/>
      <c r="F2117" s="2367"/>
      <c r="G2117" s="2367"/>
      <c r="H2117" s="2367"/>
      <c r="I2117" s="2367"/>
      <c r="J2117" s="2367"/>
      <c r="K2117" s="2367"/>
      <c r="L2117" s="2367"/>
      <c r="M2117" s="2367"/>
      <c r="N2117" s="2367"/>
      <c r="O2117" s="2367"/>
      <c r="P2117" s="2367"/>
      <c r="Q2117" s="2367"/>
      <c r="R2117" s="2367"/>
    </row>
    <row r="2118" spans="1:18">
      <c r="A2118" s="2367"/>
      <c r="B2118" s="2367"/>
      <c r="C2118" s="2367"/>
      <c r="D2118" s="2367"/>
      <c r="E2118" s="2367"/>
      <c r="F2118" s="2367"/>
      <c r="G2118" s="2367"/>
      <c r="H2118" s="2367"/>
      <c r="I2118" s="2367"/>
      <c r="J2118" s="2367"/>
      <c r="K2118" s="2367"/>
      <c r="L2118" s="2367"/>
      <c r="M2118" s="2367"/>
      <c r="N2118" s="2367"/>
      <c r="O2118" s="2367"/>
      <c r="P2118" s="2367"/>
      <c r="Q2118" s="2367"/>
      <c r="R2118" s="2367"/>
    </row>
    <row r="2119" spans="1:18">
      <c r="A2119" s="2367"/>
      <c r="B2119" s="2367"/>
      <c r="C2119" s="2367"/>
      <c r="D2119" s="2367"/>
      <c r="E2119" s="2367"/>
      <c r="F2119" s="2367"/>
      <c r="G2119" s="2367"/>
      <c r="H2119" s="2367"/>
      <c r="I2119" s="2367"/>
      <c r="J2119" s="2367"/>
      <c r="K2119" s="2367"/>
      <c r="L2119" s="2367"/>
      <c r="M2119" s="2367"/>
      <c r="N2119" s="2367"/>
      <c r="O2119" s="2367"/>
      <c r="P2119" s="2367"/>
      <c r="Q2119" s="2367"/>
      <c r="R2119" s="2367"/>
    </row>
    <row r="2120" spans="1:18">
      <c r="A2120" s="2367"/>
      <c r="B2120" s="2367"/>
      <c r="C2120" s="2367"/>
      <c r="D2120" s="2367"/>
      <c r="E2120" s="2367"/>
      <c r="F2120" s="2367"/>
      <c r="G2120" s="2367"/>
      <c r="H2120" s="2367"/>
      <c r="I2120" s="2367"/>
      <c r="J2120" s="2367"/>
      <c r="K2120" s="2367"/>
      <c r="L2120" s="2367"/>
      <c r="M2120" s="2367"/>
      <c r="N2120" s="2367"/>
      <c r="O2120" s="2367"/>
      <c r="P2120" s="2367"/>
      <c r="Q2120" s="2367"/>
      <c r="R2120" s="2367"/>
    </row>
    <row r="2121" spans="1:18">
      <c r="A2121" s="2367"/>
      <c r="B2121" s="2367"/>
      <c r="C2121" s="2367"/>
      <c r="D2121" s="2367"/>
      <c r="E2121" s="2367"/>
      <c r="F2121" s="2367"/>
      <c r="G2121" s="2367"/>
      <c r="H2121" s="2367"/>
      <c r="I2121" s="2367"/>
      <c r="J2121" s="2367"/>
      <c r="K2121" s="2367"/>
      <c r="L2121" s="2367"/>
      <c r="M2121" s="2367"/>
      <c r="N2121" s="2367"/>
      <c r="O2121" s="2367"/>
      <c r="P2121" s="2367"/>
      <c r="Q2121" s="2367"/>
      <c r="R2121" s="2367"/>
    </row>
    <row r="2122" spans="1:18">
      <c r="A2122" s="2367"/>
      <c r="B2122" s="2367"/>
      <c r="C2122" s="2367"/>
      <c r="D2122" s="2367"/>
      <c r="E2122" s="2367"/>
      <c r="F2122" s="2367"/>
      <c r="G2122" s="2367"/>
      <c r="H2122" s="2367"/>
      <c r="I2122" s="2367"/>
      <c r="J2122" s="2367"/>
      <c r="K2122" s="2367"/>
      <c r="L2122" s="2367"/>
      <c r="M2122" s="2367"/>
      <c r="N2122" s="2367"/>
      <c r="O2122" s="2367"/>
      <c r="P2122" s="2367"/>
      <c r="Q2122" s="2367"/>
      <c r="R2122" s="2367"/>
    </row>
    <row r="2123" spans="1:18">
      <c r="A2123" s="2367"/>
      <c r="B2123" s="2367"/>
      <c r="C2123" s="2367"/>
      <c r="D2123" s="2367"/>
      <c r="E2123" s="2367"/>
      <c r="F2123" s="2367"/>
      <c r="G2123" s="2367"/>
      <c r="H2123" s="2367"/>
      <c r="I2123" s="2367"/>
      <c r="J2123" s="2367"/>
      <c r="K2123" s="2367"/>
      <c r="L2123" s="2367"/>
      <c r="M2123" s="2367"/>
      <c r="N2123" s="2367"/>
      <c r="O2123" s="2367"/>
      <c r="P2123" s="2367"/>
      <c r="Q2123" s="2367"/>
      <c r="R2123" s="2367"/>
    </row>
    <row r="2124" spans="1:18">
      <c r="A2124" s="2367"/>
      <c r="B2124" s="2367"/>
      <c r="C2124" s="2367"/>
      <c r="D2124" s="2367"/>
      <c r="E2124" s="2367"/>
      <c r="F2124" s="2367"/>
      <c r="G2124" s="2367"/>
      <c r="H2124" s="2367"/>
      <c r="I2124" s="2367"/>
      <c r="J2124" s="2367"/>
      <c r="K2124" s="2367"/>
      <c r="L2124" s="2367"/>
      <c r="M2124" s="2367"/>
      <c r="N2124" s="2367"/>
      <c r="O2124" s="2367"/>
      <c r="P2124" s="2367"/>
      <c r="Q2124" s="2367"/>
      <c r="R2124" s="2367"/>
    </row>
    <row r="2125" spans="1:18">
      <c r="A2125" s="2367"/>
      <c r="B2125" s="2367"/>
      <c r="C2125" s="2367"/>
      <c r="D2125" s="2367"/>
      <c r="E2125" s="2367"/>
      <c r="F2125" s="2367"/>
      <c r="G2125" s="2367"/>
      <c r="H2125" s="2367"/>
      <c r="I2125" s="2367"/>
      <c r="J2125" s="2367"/>
      <c r="K2125" s="2367"/>
      <c r="L2125" s="2367"/>
      <c r="M2125" s="2367"/>
      <c r="N2125" s="2367"/>
      <c r="O2125" s="2367"/>
      <c r="P2125" s="2367"/>
      <c r="Q2125" s="2367"/>
      <c r="R2125" s="2367"/>
    </row>
    <row r="2126" spans="1:18">
      <c r="A2126" s="2367"/>
      <c r="B2126" s="2367"/>
      <c r="C2126" s="2367"/>
      <c r="D2126" s="2367"/>
      <c r="E2126" s="2367"/>
      <c r="F2126" s="2367"/>
      <c r="G2126" s="2367"/>
      <c r="H2126" s="2367"/>
      <c r="I2126" s="2367"/>
      <c r="J2126" s="2367"/>
      <c r="K2126" s="2367"/>
      <c r="L2126" s="2367"/>
      <c r="M2126" s="2367"/>
      <c r="N2126" s="2367"/>
      <c r="O2126" s="2367"/>
      <c r="P2126" s="2367"/>
      <c r="Q2126" s="2367"/>
      <c r="R2126" s="2367"/>
    </row>
    <row r="2127" spans="1:18">
      <c r="A2127" s="2367"/>
      <c r="B2127" s="2367"/>
      <c r="C2127" s="2367"/>
      <c r="D2127" s="2367"/>
      <c r="E2127" s="2367"/>
      <c r="F2127" s="2367"/>
      <c r="G2127" s="2367"/>
      <c r="H2127" s="2367"/>
      <c r="I2127" s="2367"/>
      <c r="J2127" s="2367"/>
      <c r="K2127" s="2367"/>
      <c r="L2127" s="2367"/>
      <c r="M2127" s="2367"/>
      <c r="N2127" s="2367"/>
      <c r="O2127" s="2367"/>
      <c r="P2127" s="2367"/>
      <c r="Q2127" s="2367"/>
      <c r="R2127" s="2367"/>
    </row>
    <row r="2128" spans="1:18">
      <c r="A2128" s="2367"/>
      <c r="B2128" s="2367"/>
      <c r="C2128" s="2367"/>
      <c r="D2128" s="2367"/>
      <c r="E2128" s="2367"/>
      <c r="F2128" s="2367"/>
      <c r="G2128" s="2367"/>
      <c r="H2128" s="2367"/>
      <c r="I2128" s="2367"/>
      <c r="J2128" s="2367"/>
      <c r="K2128" s="2367"/>
      <c r="L2128" s="2367"/>
      <c r="M2128" s="2367"/>
      <c r="N2128" s="2367"/>
      <c r="O2128" s="2367"/>
      <c r="P2128" s="2367"/>
      <c r="Q2128" s="2367"/>
      <c r="R2128" s="2367"/>
    </row>
    <row r="2129" spans="1:18">
      <c r="A2129" s="2367"/>
      <c r="B2129" s="2367"/>
      <c r="C2129" s="2367"/>
      <c r="D2129" s="2367"/>
      <c r="E2129" s="2367"/>
      <c r="F2129" s="2367"/>
      <c r="G2129" s="2367"/>
      <c r="H2129" s="2367"/>
      <c r="I2129" s="2367"/>
      <c r="J2129" s="2367"/>
      <c r="K2129" s="2367"/>
      <c r="L2129" s="2367"/>
      <c r="M2129" s="2367"/>
      <c r="N2129" s="2367"/>
      <c r="O2129" s="2367"/>
      <c r="P2129" s="2367"/>
      <c r="Q2129" s="2367"/>
      <c r="R2129" s="2367"/>
    </row>
    <row r="2130" spans="1:18">
      <c r="A2130" s="2367"/>
      <c r="B2130" s="2367"/>
      <c r="C2130" s="2367"/>
      <c r="D2130" s="2367"/>
      <c r="E2130" s="2367"/>
      <c r="F2130" s="2367"/>
      <c r="G2130" s="2367"/>
      <c r="H2130" s="2367"/>
      <c r="I2130" s="2367"/>
      <c r="J2130" s="2367"/>
      <c r="K2130" s="2367"/>
      <c r="L2130" s="2367"/>
      <c r="M2130" s="2367"/>
      <c r="N2130" s="2367"/>
      <c r="O2130" s="2367"/>
      <c r="P2130" s="2367"/>
      <c r="Q2130" s="2367"/>
      <c r="R2130" s="2367"/>
    </row>
    <row r="2131" spans="1:18">
      <c r="A2131" s="2367"/>
      <c r="B2131" s="2367"/>
      <c r="C2131" s="2367"/>
      <c r="D2131" s="2367"/>
      <c r="E2131" s="2367"/>
      <c r="F2131" s="2367"/>
      <c r="G2131" s="2367"/>
      <c r="H2131" s="2367"/>
      <c r="I2131" s="2367"/>
      <c r="J2131" s="2367"/>
      <c r="K2131" s="2367"/>
      <c r="L2131" s="2367"/>
      <c r="M2131" s="2367"/>
      <c r="N2131" s="2367"/>
      <c r="O2131" s="2367"/>
      <c r="P2131" s="2367"/>
      <c r="Q2131" s="2367"/>
      <c r="R2131" s="2367"/>
    </row>
    <row r="2132" spans="1:18">
      <c r="A2132" s="2367"/>
      <c r="B2132" s="2367"/>
      <c r="C2132" s="2367"/>
      <c r="D2132" s="2367"/>
      <c r="E2132" s="2367"/>
      <c r="F2132" s="2367"/>
      <c r="G2132" s="2367"/>
      <c r="H2132" s="2367"/>
      <c r="I2132" s="2367"/>
      <c r="J2132" s="2367"/>
      <c r="K2132" s="2367"/>
      <c r="L2132" s="2367"/>
      <c r="M2132" s="2367"/>
      <c r="N2132" s="2367"/>
      <c r="O2132" s="2367"/>
      <c r="P2132" s="2367"/>
      <c r="Q2132" s="2367"/>
      <c r="R2132" s="2367"/>
    </row>
    <row r="2133" spans="1:18">
      <c r="A2133" s="2367"/>
      <c r="B2133" s="2367"/>
      <c r="C2133" s="2367"/>
      <c r="D2133" s="2367"/>
      <c r="E2133" s="2367"/>
      <c r="F2133" s="2367"/>
      <c r="G2133" s="2367"/>
      <c r="H2133" s="2367"/>
      <c r="I2133" s="2367"/>
      <c r="J2133" s="2367"/>
      <c r="K2133" s="2367"/>
      <c r="L2133" s="2367"/>
      <c r="M2133" s="2367"/>
      <c r="N2133" s="2367"/>
      <c r="O2133" s="2367"/>
      <c r="P2133" s="2367"/>
      <c r="Q2133" s="2367"/>
      <c r="R2133" s="2367"/>
    </row>
    <row r="2134" spans="1:18">
      <c r="A2134" s="2367"/>
      <c r="B2134" s="2367"/>
      <c r="C2134" s="2367"/>
      <c r="D2134" s="2367"/>
      <c r="E2134" s="2367"/>
      <c r="F2134" s="2367"/>
      <c r="G2134" s="2367"/>
      <c r="H2134" s="2367"/>
      <c r="I2134" s="2367"/>
      <c r="J2134" s="2367"/>
      <c r="K2134" s="2367"/>
      <c r="L2134" s="2367"/>
      <c r="M2134" s="2367"/>
      <c r="N2134" s="2367"/>
      <c r="O2134" s="2367"/>
      <c r="P2134" s="2367"/>
      <c r="Q2134" s="2367"/>
      <c r="R2134" s="2367"/>
    </row>
    <row r="2135" spans="1:18">
      <c r="A2135" s="2367"/>
      <c r="B2135" s="2367"/>
      <c r="C2135" s="2367"/>
      <c r="D2135" s="2367"/>
      <c r="E2135" s="2367"/>
      <c r="F2135" s="2367"/>
      <c r="G2135" s="2367"/>
      <c r="H2135" s="2367"/>
      <c r="I2135" s="2367"/>
      <c r="J2135" s="2367"/>
      <c r="K2135" s="2367"/>
      <c r="L2135" s="2367"/>
      <c r="M2135" s="2367"/>
      <c r="N2135" s="2367"/>
      <c r="O2135" s="2367"/>
      <c r="P2135" s="2367"/>
      <c r="Q2135" s="2367"/>
      <c r="R2135" s="2367"/>
    </row>
    <row r="2136" spans="1:18">
      <c r="A2136" s="2367"/>
      <c r="B2136" s="2367"/>
      <c r="C2136" s="2367"/>
      <c r="D2136" s="2367"/>
      <c r="E2136" s="2367"/>
      <c r="F2136" s="2367"/>
      <c r="G2136" s="2367"/>
      <c r="H2136" s="2367"/>
      <c r="I2136" s="2367"/>
      <c r="J2136" s="2367"/>
      <c r="K2136" s="2367"/>
      <c r="L2136" s="2367"/>
      <c r="M2136" s="2367"/>
      <c r="N2136" s="2367"/>
      <c r="O2136" s="2367"/>
      <c r="P2136" s="2367"/>
      <c r="Q2136" s="2367"/>
      <c r="R2136" s="2367"/>
    </row>
    <row r="2137" spans="1:18">
      <c r="A2137" s="2367"/>
      <c r="B2137" s="2367"/>
      <c r="C2137" s="2367"/>
      <c r="D2137" s="2367"/>
      <c r="E2137" s="2367"/>
      <c r="F2137" s="2367"/>
      <c r="G2137" s="2367"/>
      <c r="H2137" s="2367"/>
      <c r="I2137" s="2367"/>
      <c r="J2137" s="2367"/>
      <c r="K2137" s="2367"/>
      <c r="L2137" s="2367"/>
      <c r="M2137" s="2367"/>
      <c r="N2137" s="2367"/>
      <c r="O2137" s="2367"/>
      <c r="P2137" s="2367"/>
      <c r="Q2137" s="2367"/>
      <c r="R2137" s="2367"/>
    </row>
    <row r="2138" spans="1:18">
      <c r="A2138" s="2367"/>
      <c r="B2138" s="2367"/>
      <c r="C2138" s="2367"/>
      <c r="D2138" s="2367"/>
      <c r="E2138" s="2367"/>
      <c r="F2138" s="2367"/>
      <c r="G2138" s="2367"/>
      <c r="H2138" s="2367"/>
      <c r="I2138" s="2367"/>
      <c r="J2138" s="2367"/>
      <c r="K2138" s="2367"/>
      <c r="L2138" s="2367"/>
      <c r="M2138" s="2367"/>
      <c r="N2138" s="2367"/>
      <c r="O2138" s="2367"/>
      <c r="P2138" s="2367"/>
      <c r="Q2138" s="2367"/>
      <c r="R2138" s="2367"/>
    </row>
    <row r="2139" spans="1:18">
      <c r="A2139" s="2367"/>
      <c r="B2139" s="2367"/>
      <c r="C2139" s="2367"/>
      <c r="D2139" s="2367"/>
      <c r="E2139" s="2367"/>
      <c r="F2139" s="2367"/>
      <c r="G2139" s="2367"/>
      <c r="H2139" s="2367"/>
      <c r="I2139" s="2367"/>
      <c r="J2139" s="2367"/>
      <c r="K2139" s="2367"/>
      <c r="L2139" s="2367"/>
      <c r="M2139" s="2367"/>
      <c r="N2139" s="2367"/>
      <c r="O2139" s="2367"/>
      <c r="P2139" s="2367"/>
      <c r="Q2139" s="2367"/>
      <c r="R2139" s="2367"/>
    </row>
    <row r="2140" spans="1:18">
      <c r="A2140" s="2367"/>
      <c r="B2140" s="2367"/>
      <c r="C2140" s="2367"/>
      <c r="D2140" s="2367"/>
      <c r="E2140" s="2367"/>
      <c r="F2140" s="2367"/>
      <c r="G2140" s="2367"/>
      <c r="H2140" s="2367"/>
      <c r="I2140" s="2367"/>
      <c r="J2140" s="2367"/>
      <c r="K2140" s="2367"/>
      <c r="L2140" s="2367"/>
      <c r="M2140" s="2367"/>
      <c r="N2140" s="2367"/>
      <c r="O2140" s="2367"/>
      <c r="P2140" s="2367"/>
      <c r="Q2140" s="2367"/>
      <c r="R2140" s="2367"/>
    </row>
    <row r="2141" spans="1:18">
      <c r="A2141" s="2367"/>
      <c r="B2141" s="2367"/>
      <c r="C2141" s="2367"/>
      <c r="D2141" s="2367"/>
      <c r="E2141" s="2367"/>
      <c r="F2141" s="2367"/>
      <c r="G2141" s="2367"/>
      <c r="H2141" s="2367"/>
      <c r="I2141" s="2367"/>
      <c r="J2141" s="2367"/>
      <c r="K2141" s="2367"/>
      <c r="L2141" s="2367"/>
      <c r="M2141" s="2367"/>
      <c r="N2141" s="2367"/>
      <c r="O2141" s="2367"/>
      <c r="P2141" s="2367"/>
      <c r="Q2141" s="2367"/>
      <c r="R2141" s="2367"/>
    </row>
    <row r="2142" spans="1:18">
      <c r="A2142" s="2367"/>
      <c r="B2142" s="2367"/>
      <c r="C2142" s="2367"/>
      <c r="D2142" s="2367"/>
      <c r="E2142" s="2367"/>
      <c r="F2142" s="2367"/>
      <c r="G2142" s="2367"/>
      <c r="H2142" s="2367"/>
      <c r="I2142" s="2367"/>
      <c r="J2142" s="2367"/>
      <c r="K2142" s="2367"/>
      <c r="L2142" s="2367"/>
      <c r="M2142" s="2367"/>
      <c r="N2142" s="2367"/>
      <c r="O2142" s="2367"/>
      <c r="P2142" s="2367"/>
      <c r="Q2142" s="2367"/>
      <c r="R2142" s="2367"/>
    </row>
    <row r="2143" spans="1:18">
      <c r="A2143" s="2367"/>
      <c r="B2143" s="2367"/>
      <c r="C2143" s="2367"/>
      <c r="D2143" s="2367"/>
      <c r="E2143" s="2367"/>
      <c r="F2143" s="2367"/>
      <c r="G2143" s="2367"/>
      <c r="H2143" s="2367"/>
      <c r="I2143" s="2367"/>
      <c r="J2143" s="2367"/>
      <c r="K2143" s="2367"/>
      <c r="L2143" s="2367"/>
      <c r="M2143" s="2367"/>
      <c r="N2143" s="2367"/>
      <c r="O2143" s="2367"/>
      <c r="P2143" s="2367"/>
      <c r="Q2143" s="2367"/>
      <c r="R2143" s="2367"/>
    </row>
    <row r="2144" spans="1:18">
      <c r="A2144" s="2367"/>
      <c r="B2144" s="2367"/>
      <c r="C2144" s="2367"/>
      <c r="D2144" s="2367"/>
      <c r="E2144" s="2367"/>
      <c r="F2144" s="2367"/>
      <c r="G2144" s="2367"/>
      <c r="H2144" s="2367"/>
      <c r="I2144" s="2367"/>
      <c r="J2144" s="2367"/>
      <c r="K2144" s="2367"/>
      <c r="L2144" s="2367"/>
      <c r="M2144" s="2367"/>
      <c r="N2144" s="2367"/>
      <c r="O2144" s="2367"/>
      <c r="P2144" s="2367"/>
      <c r="Q2144" s="2367"/>
      <c r="R2144" s="2367"/>
    </row>
    <row r="2145" spans="1:18">
      <c r="A2145" s="2367"/>
      <c r="B2145" s="2367"/>
      <c r="C2145" s="2367"/>
      <c r="D2145" s="2367"/>
      <c r="E2145" s="2367"/>
      <c r="F2145" s="2367"/>
      <c r="G2145" s="2367"/>
      <c r="H2145" s="2367"/>
      <c r="I2145" s="2367"/>
      <c r="J2145" s="2367"/>
      <c r="K2145" s="2367"/>
      <c r="L2145" s="2367"/>
      <c r="M2145" s="2367"/>
      <c r="N2145" s="2367"/>
      <c r="O2145" s="2367"/>
      <c r="P2145" s="2367"/>
      <c r="Q2145" s="2367"/>
      <c r="R2145" s="2367"/>
    </row>
    <row r="2146" spans="1:18">
      <c r="A2146" s="2367"/>
      <c r="B2146" s="2367"/>
      <c r="C2146" s="2367"/>
      <c r="D2146" s="2367"/>
      <c r="E2146" s="2367"/>
      <c r="F2146" s="2367"/>
      <c r="G2146" s="2367"/>
      <c r="H2146" s="2367"/>
      <c r="I2146" s="2367"/>
      <c r="J2146" s="2367"/>
      <c r="K2146" s="2367"/>
      <c r="L2146" s="2367"/>
      <c r="M2146" s="2367"/>
      <c r="N2146" s="2367"/>
      <c r="O2146" s="2367"/>
      <c r="P2146" s="2367"/>
      <c r="Q2146" s="2367"/>
      <c r="R2146" s="2367"/>
    </row>
    <row r="2147" spans="1:18">
      <c r="A2147" s="2367"/>
      <c r="B2147" s="2367"/>
      <c r="C2147" s="2367"/>
      <c r="D2147" s="2367"/>
      <c r="E2147" s="2367"/>
      <c r="F2147" s="2367"/>
      <c r="G2147" s="2367"/>
      <c r="H2147" s="2367"/>
      <c r="I2147" s="2367"/>
      <c r="J2147" s="2367"/>
      <c r="K2147" s="2367"/>
      <c r="L2147" s="2367"/>
      <c r="M2147" s="2367"/>
      <c r="N2147" s="2367"/>
      <c r="O2147" s="2367"/>
      <c r="P2147" s="2367"/>
      <c r="Q2147" s="2367"/>
      <c r="R2147" s="2367"/>
    </row>
    <row r="2148" spans="1:18">
      <c r="A2148" s="2367"/>
      <c r="B2148" s="2367"/>
      <c r="C2148" s="2367"/>
      <c r="D2148" s="2367"/>
      <c r="E2148" s="2367"/>
      <c r="F2148" s="2367"/>
      <c r="G2148" s="2367"/>
      <c r="H2148" s="2367"/>
      <c r="I2148" s="2367"/>
      <c r="J2148" s="2367"/>
      <c r="K2148" s="2367"/>
      <c r="L2148" s="2367"/>
      <c r="M2148" s="2367"/>
      <c r="N2148" s="2367"/>
      <c r="O2148" s="2367"/>
      <c r="P2148" s="2367"/>
      <c r="Q2148" s="2367"/>
      <c r="R2148" s="2367"/>
    </row>
    <row r="2149" spans="1:18">
      <c r="A2149" s="2367"/>
      <c r="B2149" s="2367"/>
      <c r="C2149" s="2367"/>
      <c r="D2149" s="2367"/>
      <c r="E2149" s="2367"/>
      <c r="F2149" s="2367"/>
      <c r="G2149" s="2367"/>
      <c r="H2149" s="2367"/>
      <c r="I2149" s="2367"/>
      <c r="J2149" s="2367"/>
      <c r="K2149" s="2367"/>
      <c r="L2149" s="2367"/>
      <c r="M2149" s="2367"/>
      <c r="N2149" s="2367"/>
      <c r="O2149" s="2367"/>
      <c r="P2149" s="2367"/>
      <c r="Q2149" s="2367"/>
      <c r="R2149" s="2367"/>
    </row>
    <row r="2150" spans="1:18">
      <c r="A2150" s="2367"/>
      <c r="B2150" s="2367"/>
      <c r="C2150" s="2367"/>
      <c r="D2150" s="2367"/>
      <c r="E2150" s="2367"/>
      <c r="F2150" s="2367"/>
      <c r="G2150" s="2367"/>
      <c r="H2150" s="2367"/>
      <c r="I2150" s="2367"/>
      <c r="J2150" s="2367"/>
      <c r="K2150" s="2367"/>
      <c r="L2150" s="2367"/>
      <c r="M2150" s="2367"/>
      <c r="N2150" s="2367"/>
      <c r="O2150" s="2367"/>
      <c r="P2150" s="2367"/>
      <c r="Q2150" s="2367"/>
      <c r="R2150" s="2367"/>
    </row>
    <row r="2151" spans="1:18">
      <c r="A2151" s="2367"/>
      <c r="B2151" s="2367"/>
      <c r="C2151" s="2367"/>
      <c r="D2151" s="2367"/>
      <c r="E2151" s="2367"/>
      <c r="F2151" s="2367"/>
      <c r="G2151" s="2367"/>
      <c r="H2151" s="2367"/>
      <c r="I2151" s="2367"/>
      <c r="J2151" s="2367"/>
      <c r="K2151" s="2367"/>
      <c r="L2151" s="2367"/>
      <c r="M2151" s="2367"/>
      <c r="N2151" s="2367"/>
      <c r="O2151" s="2367"/>
      <c r="P2151" s="2367"/>
      <c r="Q2151" s="2367"/>
      <c r="R2151" s="2367"/>
    </row>
    <row r="2152" spans="1:18">
      <c r="A2152" s="2367"/>
      <c r="B2152" s="2367"/>
      <c r="C2152" s="2367"/>
      <c r="D2152" s="2367"/>
      <c r="E2152" s="2367"/>
      <c r="F2152" s="2367"/>
      <c r="G2152" s="2367"/>
      <c r="H2152" s="2367"/>
      <c r="I2152" s="2367"/>
      <c r="J2152" s="2367"/>
      <c r="K2152" s="2367"/>
      <c r="L2152" s="2367"/>
      <c r="M2152" s="2367"/>
      <c r="N2152" s="2367"/>
      <c r="O2152" s="2367"/>
      <c r="P2152" s="2367"/>
      <c r="Q2152" s="2367"/>
      <c r="R2152" s="2367"/>
    </row>
    <row r="2153" spans="1:18">
      <c r="A2153" s="2367"/>
      <c r="B2153" s="2367"/>
      <c r="C2153" s="2367"/>
      <c r="D2153" s="2367"/>
      <c r="E2153" s="2367"/>
      <c r="F2153" s="2367"/>
      <c r="G2153" s="2367"/>
      <c r="H2153" s="2367"/>
      <c r="I2153" s="2367"/>
      <c r="J2153" s="2367"/>
      <c r="K2153" s="2367"/>
      <c r="L2153" s="2367"/>
      <c r="M2153" s="2367"/>
      <c r="N2153" s="2367"/>
      <c r="O2153" s="2367"/>
      <c r="P2153" s="2367"/>
      <c r="Q2153" s="2367"/>
      <c r="R2153" s="2367"/>
    </row>
    <row r="2154" spans="1:18">
      <c r="A2154" s="2367"/>
      <c r="B2154" s="2367"/>
      <c r="C2154" s="2367"/>
      <c r="D2154" s="2367"/>
      <c r="E2154" s="2367"/>
      <c r="F2154" s="2367"/>
      <c r="G2154" s="2367"/>
      <c r="H2154" s="2367"/>
      <c r="I2154" s="2367"/>
      <c r="J2154" s="2367"/>
      <c r="K2154" s="2367"/>
      <c r="L2154" s="2367"/>
      <c r="M2154" s="2367"/>
      <c r="N2154" s="2367"/>
      <c r="O2154" s="2367"/>
      <c r="P2154" s="2367"/>
      <c r="Q2154" s="2367"/>
      <c r="R2154" s="2367"/>
    </row>
    <row r="2155" spans="1:18">
      <c r="A2155" s="2367"/>
      <c r="B2155" s="2367"/>
      <c r="C2155" s="2367"/>
      <c r="D2155" s="2367"/>
      <c r="E2155" s="2367"/>
      <c r="F2155" s="2367"/>
      <c r="G2155" s="2367"/>
      <c r="H2155" s="2367"/>
      <c r="I2155" s="2367"/>
      <c r="J2155" s="2367"/>
      <c r="K2155" s="2367"/>
      <c r="L2155" s="2367"/>
      <c r="M2155" s="2367"/>
      <c r="N2155" s="2367"/>
      <c r="O2155" s="2367"/>
      <c r="P2155" s="2367"/>
      <c r="Q2155" s="2367"/>
      <c r="R2155" s="2367"/>
    </row>
    <row r="2156" spans="1:18">
      <c r="A2156" s="2367"/>
      <c r="B2156" s="2367"/>
      <c r="C2156" s="2367"/>
      <c r="D2156" s="2367"/>
      <c r="E2156" s="2367"/>
      <c r="F2156" s="2367"/>
      <c r="G2156" s="2367"/>
      <c r="H2156" s="2367"/>
      <c r="I2156" s="2367"/>
      <c r="J2156" s="2367"/>
      <c r="K2156" s="2367"/>
      <c r="L2156" s="2367"/>
      <c r="M2156" s="2367"/>
      <c r="N2156" s="2367"/>
      <c r="O2156" s="2367"/>
      <c r="P2156" s="2367"/>
      <c r="Q2156" s="2367"/>
      <c r="R2156" s="2367"/>
    </row>
    <row r="2157" spans="1:18">
      <c r="A2157" s="2367"/>
      <c r="B2157" s="2367"/>
      <c r="C2157" s="2367"/>
      <c r="D2157" s="2367"/>
      <c r="E2157" s="2367"/>
      <c r="F2157" s="2367"/>
      <c r="G2157" s="2367"/>
      <c r="H2157" s="2367"/>
      <c r="I2157" s="2367"/>
      <c r="J2157" s="2367"/>
      <c r="K2157" s="2367"/>
      <c r="L2157" s="2367"/>
      <c r="M2157" s="2367"/>
      <c r="N2157" s="2367"/>
      <c r="O2157" s="2367"/>
      <c r="P2157" s="2367"/>
      <c r="Q2157" s="2367"/>
      <c r="R2157" s="2367"/>
    </row>
    <row r="2158" spans="1:18">
      <c r="A2158" s="2367"/>
      <c r="B2158" s="2367"/>
      <c r="C2158" s="2367"/>
      <c r="D2158" s="2367"/>
      <c r="E2158" s="2367"/>
      <c r="F2158" s="2367"/>
      <c r="G2158" s="2367"/>
      <c r="H2158" s="2367"/>
      <c r="I2158" s="2367"/>
      <c r="J2158" s="2367"/>
      <c r="K2158" s="2367"/>
      <c r="L2158" s="2367"/>
      <c r="M2158" s="2367"/>
      <c r="N2158" s="2367"/>
      <c r="O2158" s="2367"/>
      <c r="P2158" s="2367"/>
      <c r="Q2158" s="2367"/>
      <c r="R2158" s="2367"/>
    </row>
    <row r="2159" spans="1:18">
      <c r="A2159" s="2367"/>
      <c r="B2159" s="2367"/>
      <c r="C2159" s="2367"/>
      <c r="D2159" s="2367"/>
      <c r="E2159" s="2367"/>
      <c r="F2159" s="2367"/>
      <c r="G2159" s="2367"/>
      <c r="H2159" s="2367"/>
      <c r="I2159" s="2367"/>
      <c r="J2159" s="2367"/>
      <c r="K2159" s="2367"/>
      <c r="L2159" s="2367"/>
      <c r="M2159" s="2367"/>
      <c r="N2159" s="2367"/>
      <c r="O2159" s="2367"/>
      <c r="P2159" s="2367"/>
      <c r="Q2159" s="2367"/>
      <c r="R2159" s="2367"/>
    </row>
    <row r="2160" spans="1:18">
      <c r="A2160" s="2367"/>
      <c r="B2160" s="2367"/>
      <c r="C2160" s="2367"/>
      <c r="D2160" s="2367"/>
      <c r="E2160" s="2367"/>
      <c r="F2160" s="2367"/>
      <c r="G2160" s="2367"/>
      <c r="H2160" s="2367"/>
      <c r="I2160" s="2367"/>
      <c r="J2160" s="2367"/>
      <c r="K2160" s="2367"/>
      <c r="L2160" s="2367"/>
      <c r="M2160" s="2367"/>
      <c r="N2160" s="2367"/>
      <c r="O2160" s="2367"/>
      <c r="P2160" s="2367"/>
      <c r="Q2160" s="2367"/>
      <c r="R2160" s="2367"/>
    </row>
    <row r="2161" spans="1:18">
      <c r="A2161" s="2367"/>
      <c r="B2161" s="2367"/>
      <c r="C2161" s="2367"/>
      <c r="D2161" s="2367"/>
      <c r="E2161" s="2367"/>
      <c r="F2161" s="2367"/>
      <c r="G2161" s="2367"/>
      <c r="H2161" s="2367"/>
      <c r="I2161" s="2367"/>
      <c r="J2161" s="2367"/>
      <c r="K2161" s="2367"/>
      <c r="L2161" s="2367"/>
      <c r="M2161" s="2367"/>
      <c r="N2161" s="2367"/>
      <c r="O2161" s="2367"/>
      <c r="P2161" s="2367"/>
      <c r="Q2161" s="2367"/>
      <c r="R2161" s="2367"/>
    </row>
    <row r="2162" spans="1:18">
      <c r="A2162" s="2367"/>
      <c r="B2162" s="2367"/>
      <c r="C2162" s="2367"/>
      <c r="D2162" s="2367"/>
      <c r="E2162" s="2367"/>
      <c r="F2162" s="2367"/>
      <c r="G2162" s="2367"/>
      <c r="H2162" s="2367"/>
      <c r="I2162" s="2367"/>
      <c r="J2162" s="2367"/>
      <c r="K2162" s="2367"/>
      <c r="L2162" s="2367"/>
      <c r="M2162" s="2367"/>
      <c r="N2162" s="2367"/>
      <c r="O2162" s="2367"/>
      <c r="P2162" s="2367"/>
      <c r="Q2162" s="2367"/>
      <c r="R2162" s="2367"/>
    </row>
    <row r="2163" spans="1:18">
      <c r="A2163" s="2367"/>
      <c r="B2163" s="2367"/>
      <c r="C2163" s="2367"/>
      <c r="D2163" s="2367"/>
      <c r="E2163" s="2367"/>
      <c r="F2163" s="2367"/>
      <c r="G2163" s="2367"/>
      <c r="H2163" s="2367"/>
      <c r="I2163" s="2367"/>
      <c r="J2163" s="2367"/>
      <c r="K2163" s="2367"/>
      <c r="L2163" s="2367"/>
      <c r="M2163" s="2367"/>
      <c r="N2163" s="2367"/>
      <c r="O2163" s="2367"/>
      <c r="P2163" s="2367"/>
      <c r="Q2163" s="2367"/>
      <c r="R2163" s="2367"/>
    </row>
    <row r="2164" spans="1:18">
      <c r="A2164" s="2367"/>
      <c r="B2164" s="2367"/>
      <c r="C2164" s="2367"/>
      <c r="D2164" s="2367"/>
      <c r="E2164" s="2367"/>
      <c r="F2164" s="2367"/>
      <c r="G2164" s="2367"/>
      <c r="H2164" s="2367"/>
      <c r="I2164" s="2367"/>
      <c r="J2164" s="2367"/>
      <c r="K2164" s="2367"/>
      <c r="L2164" s="2367"/>
      <c r="M2164" s="2367"/>
      <c r="N2164" s="2367"/>
      <c r="O2164" s="2367"/>
      <c r="P2164" s="2367"/>
      <c r="Q2164" s="2367"/>
      <c r="R2164" s="2367"/>
    </row>
    <row r="2165" spans="1:18">
      <c r="A2165" s="2367"/>
      <c r="B2165" s="2367"/>
      <c r="C2165" s="2367"/>
      <c r="D2165" s="2367"/>
      <c r="E2165" s="2367"/>
      <c r="F2165" s="2367"/>
      <c r="G2165" s="2367"/>
      <c r="H2165" s="2367"/>
      <c r="I2165" s="2367"/>
      <c r="J2165" s="2367"/>
      <c r="K2165" s="2367"/>
      <c r="L2165" s="2367"/>
      <c r="M2165" s="2367"/>
      <c r="N2165" s="2367"/>
      <c r="O2165" s="2367"/>
      <c r="P2165" s="2367"/>
      <c r="Q2165" s="2367"/>
      <c r="R2165" s="2367"/>
    </row>
    <row r="2166" spans="1:18">
      <c r="A2166" s="2367"/>
      <c r="B2166" s="2367"/>
      <c r="C2166" s="2367"/>
      <c r="D2166" s="2367"/>
      <c r="E2166" s="2367"/>
      <c r="F2166" s="2367"/>
      <c r="G2166" s="2367"/>
      <c r="H2166" s="2367"/>
      <c r="I2166" s="2367"/>
      <c r="J2166" s="2367"/>
      <c r="K2166" s="2367"/>
      <c r="L2166" s="2367"/>
      <c r="M2166" s="2367"/>
      <c r="N2166" s="2367"/>
      <c r="O2166" s="2367"/>
      <c r="P2166" s="2367"/>
      <c r="Q2166" s="2367"/>
      <c r="R2166" s="2367"/>
    </row>
    <row r="2167" spans="1:18">
      <c r="A2167" s="2367"/>
      <c r="B2167" s="2367"/>
      <c r="C2167" s="2367"/>
      <c r="D2167" s="2367"/>
      <c r="E2167" s="2367"/>
      <c r="F2167" s="2367"/>
      <c r="G2167" s="2367"/>
      <c r="H2167" s="2367"/>
      <c r="I2167" s="2367"/>
      <c r="J2167" s="2367"/>
      <c r="K2167" s="2367"/>
      <c r="L2167" s="2367"/>
      <c r="M2167" s="2367"/>
      <c r="N2167" s="2367"/>
      <c r="O2167" s="2367"/>
      <c r="P2167" s="2367"/>
      <c r="Q2167" s="2367"/>
      <c r="R2167" s="2367"/>
    </row>
    <row r="2168" spans="1:18">
      <c r="A2168" s="2367"/>
      <c r="B2168" s="2367"/>
      <c r="C2168" s="2367"/>
      <c r="D2168" s="2367"/>
      <c r="E2168" s="2367"/>
      <c r="F2168" s="2367"/>
      <c r="G2168" s="2367"/>
      <c r="H2168" s="2367"/>
      <c r="I2168" s="2367"/>
      <c r="J2168" s="2367"/>
      <c r="K2168" s="2367"/>
      <c r="L2168" s="2367"/>
      <c r="M2168" s="2367"/>
      <c r="N2168" s="2367"/>
      <c r="O2168" s="2367"/>
      <c r="P2168" s="2367"/>
      <c r="Q2168" s="2367"/>
      <c r="R2168" s="2367"/>
    </row>
    <row r="2169" spans="1:18">
      <c r="A2169" s="2367"/>
      <c r="B2169" s="2367"/>
      <c r="C2169" s="2367"/>
      <c r="D2169" s="2367"/>
      <c r="E2169" s="2367"/>
      <c r="F2169" s="2367"/>
      <c r="G2169" s="2367"/>
      <c r="H2169" s="2367"/>
      <c r="I2169" s="2367"/>
      <c r="J2169" s="2367"/>
      <c r="K2169" s="2367"/>
      <c r="L2169" s="2367"/>
      <c r="M2169" s="2367"/>
      <c r="N2169" s="2367"/>
      <c r="O2169" s="2367"/>
      <c r="P2169" s="2367"/>
      <c r="Q2169" s="2367"/>
      <c r="R2169" s="2367"/>
    </row>
    <row r="2170" spans="1:18">
      <c r="A2170" s="2367"/>
      <c r="B2170" s="2367"/>
      <c r="C2170" s="2367"/>
      <c r="D2170" s="2367"/>
      <c r="E2170" s="2367"/>
      <c r="F2170" s="2367"/>
      <c r="G2170" s="2367"/>
      <c r="H2170" s="2367"/>
      <c r="I2170" s="2367"/>
      <c r="J2170" s="2367"/>
      <c r="K2170" s="2367"/>
      <c r="L2170" s="2367"/>
      <c r="M2170" s="2367"/>
      <c r="N2170" s="2367"/>
      <c r="O2170" s="2367"/>
      <c r="P2170" s="2367"/>
      <c r="Q2170" s="2367"/>
      <c r="R2170" s="2367"/>
    </row>
    <row r="2171" spans="1:18">
      <c r="A2171" s="2367"/>
      <c r="B2171" s="2367"/>
      <c r="C2171" s="2367"/>
      <c r="D2171" s="2367"/>
      <c r="E2171" s="2367"/>
      <c r="F2171" s="2367"/>
      <c r="G2171" s="2367"/>
      <c r="H2171" s="2367"/>
      <c r="I2171" s="2367"/>
      <c r="J2171" s="2367"/>
      <c r="K2171" s="2367"/>
      <c r="L2171" s="2367"/>
      <c r="M2171" s="2367"/>
      <c r="N2171" s="2367"/>
      <c r="O2171" s="2367"/>
      <c r="P2171" s="2367"/>
      <c r="Q2171" s="2367"/>
      <c r="R2171" s="2367"/>
    </row>
    <row r="2172" spans="1:18">
      <c r="A2172" s="2367"/>
      <c r="B2172" s="2367"/>
      <c r="C2172" s="2367"/>
      <c r="D2172" s="2367"/>
      <c r="E2172" s="2367"/>
      <c r="F2172" s="2367"/>
      <c r="G2172" s="2367"/>
      <c r="H2172" s="2367"/>
      <c r="I2172" s="2367"/>
      <c r="J2172" s="2367"/>
      <c r="K2172" s="2367"/>
      <c r="L2172" s="2367"/>
      <c r="M2172" s="2367"/>
      <c r="N2172" s="2367"/>
      <c r="O2172" s="2367"/>
      <c r="P2172" s="2367"/>
      <c r="Q2172" s="2367"/>
      <c r="R2172" s="2367"/>
    </row>
    <row r="2173" spans="1:18">
      <c r="A2173" s="2367"/>
      <c r="B2173" s="2367"/>
      <c r="C2173" s="2367"/>
      <c r="D2173" s="2367"/>
      <c r="E2173" s="2367"/>
      <c r="F2173" s="2367"/>
      <c r="G2173" s="2367"/>
      <c r="H2173" s="2367"/>
      <c r="I2173" s="2367"/>
      <c r="J2173" s="2367"/>
      <c r="K2173" s="2367"/>
      <c r="L2173" s="2367"/>
      <c r="M2173" s="2367"/>
      <c r="N2173" s="2367"/>
      <c r="O2173" s="2367"/>
      <c r="P2173" s="2367"/>
      <c r="Q2173" s="2367"/>
      <c r="R2173" s="2367"/>
    </row>
    <row r="2174" spans="1:18">
      <c r="A2174" s="2367"/>
      <c r="B2174" s="2367"/>
      <c r="C2174" s="2367"/>
      <c r="D2174" s="2367"/>
      <c r="E2174" s="2367"/>
      <c r="F2174" s="2367"/>
      <c r="G2174" s="2367"/>
      <c r="H2174" s="2367"/>
      <c r="I2174" s="2367"/>
      <c r="J2174" s="2367"/>
      <c r="K2174" s="2367"/>
      <c r="L2174" s="2367"/>
      <c r="M2174" s="2367"/>
      <c r="N2174" s="2367"/>
      <c r="O2174" s="2367"/>
      <c r="P2174" s="2367"/>
      <c r="Q2174" s="2367"/>
      <c r="R2174" s="2367"/>
    </row>
    <row r="2175" spans="1:18">
      <c r="A2175" s="2367"/>
      <c r="B2175" s="2367"/>
      <c r="C2175" s="2367"/>
      <c r="D2175" s="2367"/>
      <c r="E2175" s="2367"/>
      <c r="F2175" s="2367"/>
      <c r="G2175" s="2367"/>
      <c r="H2175" s="2367"/>
      <c r="I2175" s="2367"/>
      <c r="J2175" s="2367"/>
      <c r="K2175" s="2367"/>
      <c r="L2175" s="2367"/>
      <c r="M2175" s="2367"/>
      <c r="N2175" s="2367"/>
      <c r="O2175" s="2367"/>
      <c r="P2175" s="2367"/>
      <c r="Q2175" s="2367"/>
      <c r="R2175" s="2367"/>
    </row>
    <row r="2176" spans="1:18">
      <c r="A2176" s="2367"/>
      <c r="B2176" s="2367"/>
      <c r="C2176" s="2367"/>
      <c r="D2176" s="2367"/>
      <c r="E2176" s="2367"/>
      <c r="F2176" s="2367"/>
      <c r="G2176" s="2367"/>
      <c r="H2176" s="2367"/>
      <c r="I2176" s="2367"/>
      <c r="J2176" s="2367"/>
      <c r="K2176" s="2367"/>
      <c r="L2176" s="2367"/>
      <c r="M2176" s="2367"/>
      <c r="N2176" s="2367"/>
      <c r="O2176" s="2367"/>
      <c r="P2176" s="2367"/>
      <c r="Q2176" s="2367"/>
      <c r="R2176" s="2367"/>
    </row>
    <row r="2177" spans="1:18">
      <c r="A2177" s="2367"/>
      <c r="B2177" s="2367"/>
      <c r="C2177" s="2367"/>
      <c r="D2177" s="2367"/>
      <c r="E2177" s="2367"/>
      <c r="F2177" s="2367"/>
      <c r="G2177" s="2367"/>
      <c r="H2177" s="2367"/>
      <c r="I2177" s="2367"/>
      <c r="J2177" s="2367"/>
      <c r="K2177" s="2367"/>
      <c r="L2177" s="2367"/>
      <c r="M2177" s="2367"/>
      <c r="N2177" s="2367"/>
      <c r="O2177" s="2367"/>
      <c r="P2177" s="2367"/>
      <c r="Q2177" s="2367"/>
      <c r="R2177" s="2367"/>
    </row>
    <row r="2178" spans="1:18">
      <c r="A2178" s="2367"/>
      <c r="B2178" s="2367"/>
      <c r="C2178" s="2367"/>
      <c r="D2178" s="2367"/>
      <c r="E2178" s="2367"/>
      <c r="F2178" s="2367"/>
      <c r="G2178" s="2367"/>
      <c r="H2178" s="2367"/>
      <c r="I2178" s="2367"/>
      <c r="J2178" s="2367"/>
      <c r="K2178" s="2367"/>
      <c r="L2178" s="2367"/>
      <c r="M2178" s="2367"/>
      <c r="N2178" s="2367"/>
      <c r="O2178" s="2367"/>
      <c r="P2178" s="2367"/>
      <c r="Q2178" s="2367"/>
      <c r="R2178" s="2367"/>
    </row>
    <row r="2179" spans="1:18">
      <c r="A2179" s="2367"/>
      <c r="B2179" s="2367"/>
      <c r="C2179" s="2367"/>
      <c r="D2179" s="2367"/>
      <c r="E2179" s="2367"/>
      <c r="F2179" s="2367"/>
      <c r="G2179" s="2367"/>
      <c r="H2179" s="2367"/>
      <c r="I2179" s="2367"/>
      <c r="J2179" s="2367"/>
      <c r="K2179" s="2367"/>
      <c r="L2179" s="2367"/>
      <c r="M2179" s="2367"/>
      <c r="N2179" s="2367"/>
      <c r="O2179" s="2367"/>
      <c r="P2179" s="2367"/>
      <c r="Q2179" s="2367"/>
      <c r="R2179" s="2367"/>
    </row>
    <row r="2180" spans="1:18">
      <c r="A2180" s="2367"/>
      <c r="B2180" s="2367"/>
      <c r="C2180" s="2367"/>
      <c r="D2180" s="2367"/>
      <c r="E2180" s="2367"/>
      <c r="F2180" s="2367"/>
      <c r="G2180" s="2367"/>
      <c r="H2180" s="2367"/>
      <c r="I2180" s="2367"/>
      <c r="J2180" s="2367"/>
      <c r="K2180" s="2367"/>
      <c r="L2180" s="2367"/>
      <c r="M2180" s="2367"/>
      <c r="N2180" s="2367"/>
      <c r="O2180" s="2367"/>
      <c r="P2180" s="2367"/>
      <c r="Q2180" s="2367"/>
      <c r="R2180" s="2367"/>
    </row>
    <row r="2181" spans="1:18">
      <c r="A2181" s="2367"/>
      <c r="B2181" s="2367"/>
      <c r="C2181" s="2367"/>
      <c r="D2181" s="2367"/>
      <c r="E2181" s="2367"/>
      <c r="F2181" s="2367"/>
      <c r="G2181" s="2367"/>
      <c r="H2181" s="2367"/>
      <c r="I2181" s="2367"/>
      <c r="J2181" s="2367"/>
      <c r="K2181" s="2367"/>
      <c r="L2181" s="2367"/>
      <c r="M2181" s="2367"/>
      <c r="N2181" s="2367"/>
      <c r="O2181" s="2367"/>
      <c r="P2181" s="2367"/>
      <c r="Q2181" s="2367"/>
      <c r="R2181" s="2367"/>
    </row>
    <row r="2182" spans="1:18">
      <c r="A2182" s="2367"/>
      <c r="B2182" s="2367"/>
      <c r="C2182" s="2367"/>
      <c r="D2182" s="2367"/>
      <c r="E2182" s="2367"/>
      <c r="F2182" s="2367"/>
      <c r="G2182" s="2367"/>
      <c r="H2182" s="2367"/>
      <c r="I2182" s="2367"/>
      <c r="J2182" s="2367"/>
      <c r="K2182" s="2367"/>
      <c r="L2182" s="2367"/>
      <c r="M2182" s="2367"/>
      <c r="N2182" s="2367"/>
      <c r="O2182" s="2367"/>
      <c r="P2182" s="2367"/>
      <c r="Q2182" s="2367"/>
      <c r="R2182" s="2367"/>
    </row>
    <row r="2183" spans="1:18">
      <c r="A2183" s="2367"/>
      <c r="B2183" s="2367"/>
      <c r="C2183" s="2367"/>
      <c r="D2183" s="2367"/>
      <c r="E2183" s="2367"/>
      <c r="F2183" s="2367"/>
      <c r="G2183" s="2367"/>
      <c r="H2183" s="2367"/>
      <c r="I2183" s="2367"/>
      <c r="J2183" s="2367"/>
      <c r="K2183" s="2367"/>
      <c r="L2183" s="2367"/>
      <c r="M2183" s="2367"/>
      <c r="N2183" s="2367"/>
      <c r="O2183" s="2367"/>
      <c r="P2183" s="2367"/>
      <c r="Q2183" s="2367"/>
      <c r="R2183" s="2367"/>
    </row>
    <row r="2184" spans="1:18">
      <c r="A2184" s="2367"/>
      <c r="B2184" s="2367"/>
      <c r="C2184" s="2367"/>
      <c r="D2184" s="2367"/>
      <c r="E2184" s="2367"/>
      <c r="F2184" s="2367"/>
      <c r="G2184" s="2367"/>
      <c r="H2184" s="2367"/>
      <c r="I2184" s="2367"/>
      <c r="J2184" s="2367"/>
      <c r="K2184" s="2367"/>
      <c r="L2184" s="2367"/>
      <c r="M2184" s="2367"/>
      <c r="N2184" s="2367"/>
      <c r="O2184" s="2367"/>
      <c r="P2184" s="2367"/>
      <c r="Q2184" s="2367"/>
      <c r="R2184" s="2367"/>
    </row>
    <row r="2185" spans="1:18">
      <c r="A2185" s="2367"/>
      <c r="B2185" s="2367"/>
      <c r="C2185" s="2367"/>
      <c r="D2185" s="2367"/>
      <c r="E2185" s="2367"/>
      <c r="F2185" s="2367"/>
      <c r="G2185" s="2367"/>
      <c r="H2185" s="2367"/>
      <c r="I2185" s="2367"/>
      <c r="J2185" s="2367"/>
      <c r="K2185" s="2367"/>
      <c r="L2185" s="2367"/>
      <c r="M2185" s="2367"/>
      <c r="N2185" s="2367"/>
      <c r="O2185" s="2367"/>
      <c r="P2185" s="2367"/>
      <c r="Q2185" s="2367"/>
      <c r="R2185" s="2367"/>
    </row>
    <row r="2186" spans="1:18">
      <c r="A2186" s="2367"/>
      <c r="B2186" s="2367"/>
      <c r="C2186" s="2367"/>
      <c r="D2186" s="2367"/>
      <c r="E2186" s="2367"/>
      <c r="F2186" s="2367"/>
      <c r="G2186" s="2367"/>
      <c r="H2186" s="2367"/>
      <c r="I2186" s="2367"/>
      <c r="J2186" s="2367"/>
      <c r="K2186" s="2367"/>
      <c r="L2186" s="2367"/>
      <c r="M2186" s="2367"/>
      <c r="N2186" s="2367"/>
      <c r="O2186" s="2367"/>
      <c r="P2186" s="2367"/>
      <c r="Q2186" s="2367"/>
      <c r="R2186" s="2367"/>
    </row>
    <row r="2187" spans="1:18">
      <c r="A2187" s="2367"/>
      <c r="B2187" s="2367"/>
      <c r="C2187" s="2367"/>
      <c r="D2187" s="2367"/>
      <c r="E2187" s="2367"/>
      <c r="F2187" s="2367"/>
      <c r="G2187" s="2367"/>
      <c r="H2187" s="2367"/>
      <c r="I2187" s="2367"/>
      <c r="J2187" s="2367"/>
      <c r="K2187" s="2367"/>
      <c r="L2187" s="2367"/>
      <c r="M2187" s="2367"/>
      <c r="N2187" s="2367"/>
      <c r="O2187" s="2367"/>
      <c r="P2187" s="2367"/>
      <c r="Q2187" s="2367"/>
      <c r="R2187" s="2367"/>
    </row>
    <row r="2188" spans="1:18">
      <c r="A2188" s="2367"/>
      <c r="B2188" s="2367"/>
      <c r="C2188" s="2367"/>
      <c r="D2188" s="2367"/>
      <c r="E2188" s="2367"/>
      <c r="F2188" s="2367"/>
      <c r="G2188" s="2367"/>
      <c r="H2188" s="2367"/>
      <c r="I2188" s="2367"/>
      <c r="J2188" s="2367"/>
      <c r="K2188" s="2367"/>
      <c r="L2188" s="2367"/>
      <c r="M2188" s="2367"/>
      <c r="N2188" s="2367"/>
      <c r="O2188" s="2367"/>
      <c r="P2188" s="2367"/>
      <c r="Q2188" s="2367"/>
      <c r="R2188" s="2367"/>
    </row>
    <row r="2189" spans="1:18">
      <c r="A2189" s="2367"/>
      <c r="B2189" s="2367"/>
      <c r="C2189" s="2367"/>
      <c r="D2189" s="2367"/>
      <c r="E2189" s="2367"/>
      <c r="F2189" s="2367"/>
      <c r="G2189" s="2367"/>
      <c r="H2189" s="2367"/>
      <c r="I2189" s="2367"/>
      <c r="J2189" s="2367"/>
      <c r="K2189" s="2367"/>
      <c r="L2189" s="2367"/>
      <c r="M2189" s="2367"/>
      <c r="N2189" s="2367"/>
      <c r="O2189" s="2367"/>
      <c r="P2189" s="2367"/>
      <c r="Q2189" s="2367"/>
      <c r="R2189" s="2367"/>
    </row>
    <row r="2190" spans="1:18">
      <c r="A2190" s="2367"/>
      <c r="B2190" s="2367"/>
      <c r="C2190" s="2367"/>
      <c r="D2190" s="2367"/>
      <c r="E2190" s="2367"/>
      <c r="F2190" s="2367"/>
      <c r="G2190" s="2367"/>
      <c r="H2190" s="2367"/>
      <c r="I2190" s="2367"/>
      <c r="J2190" s="2367"/>
      <c r="K2190" s="2367"/>
      <c r="L2190" s="2367"/>
      <c r="M2190" s="2367"/>
      <c r="N2190" s="2367"/>
      <c r="O2190" s="2367"/>
      <c r="P2190" s="2367"/>
      <c r="Q2190" s="2367"/>
      <c r="R2190" s="2367"/>
    </row>
    <row r="2191" spans="1:18">
      <c r="A2191" s="2367"/>
      <c r="B2191" s="2367"/>
      <c r="C2191" s="2367"/>
      <c r="D2191" s="2367"/>
      <c r="E2191" s="2367"/>
      <c r="F2191" s="2367"/>
      <c r="G2191" s="2367"/>
      <c r="H2191" s="2367"/>
      <c r="I2191" s="2367"/>
      <c r="J2191" s="2367"/>
      <c r="K2191" s="2367"/>
      <c r="L2191" s="2367"/>
      <c r="M2191" s="2367"/>
      <c r="N2191" s="2367"/>
      <c r="O2191" s="2367"/>
      <c r="P2191" s="2367"/>
      <c r="Q2191" s="2367"/>
      <c r="R2191" s="2367"/>
    </row>
    <row r="2192" spans="1:18">
      <c r="A2192" s="2367"/>
      <c r="B2192" s="2367"/>
      <c r="C2192" s="2367"/>
      <c r="D2192" s="2367"/>
      <c r="E2192" s="2367"/>
      <c r="F2192" s="2367"/>
      <c r="G2192" s="2367"/>
      <c r="H2192" s="2367"/>
      <c r="I2192" s="2367"/>
      <c r="J2192" s="2367"/>
      <c r="K2192" s="2367"/>
      <c r="L2192" s="2367"/>
      <c r="M2192" s="2367"/>
      <c r="N2192" s="2367"/>
      <c r="O2192" s="2367"/>
      <c r="P2192" s="2367"/>
      <c r="Q2192" s="2367"/>
      <c r="R2192" s="2367"/>
    </row>
    <row r="2193" spans="1:18">
      <c r="A2193" s="2367"/>
      <c r="B2193" s="2367"/>
      <c r="C2193" s="2367"/>
      <c r="D2193" s="2367"/>
      <c r="E2193" s="2367"/>
      <c r="F2193" s="2367"/>
      <c r="G2193" s="2367"/>
      <c r="H2193" s="2367"/>
      <c r="I2193" s="2367"/>
      <c r="J2193" s="2367"/>
      <c r="K2193" s="2367"/>
      <c r="L2193" s="2367"/>
      <c r="M2193" s="2367"/>
      <c r="N2193" s="2367"/>
      <c r="O2193" s="2367"/>
      <c r="P2193" s="2367"/>
      <c r="Q2193" s="2367"/>
      <c r="R2193" s="2367"/>
    </row>
    <row r="2194" spans="1:18">
      <c r="A2194" s="2367"/>
      <c r="B2194" s="2367"/>
      <c r="C2194" s="2367"/>
      <c r="D2194" s="2367"/>
      <c r="E2194" s="2367"/>
      <c r="F2194" s="2367"/>
      <c r="G2194" s="2367"/>
      <c r="H2194" s="2367"/>
      <c r="I2194" s="2367"/>
      <c r="J2194" s="2367"/>
      <c r="K2194" s="2367"/>
      <c r="L2194" s="2367"/>
      <c r="M2194" s="2367"/>
      <c r="N2194" s="2367"/>
      <c r="O2194" s="2367"/>
      <c r="P2194" s="2367"/>
      <c r="Q2194" s="2367"/>
      <c r="R2194" s="2367"/>
    </row>
    <row r="2195" spans="1:18">
      <c r="A2195" s="2367"/>
      <c r="B2195" s="2367"/>
      <c r="C2195" s="2367"/>
      <c r="D2195" s="2367"/>
      <c r="E2195" s="2367"/>
      <c r="F2195" s="2367"/>
      <c r="G2195" s="2367"/>
      <c r="H2195" s="2367"/>
      <c r="I2195" s="2367"/>
      <c r="J2195" s="2367"/>
      <c r="K2195" s="2367"/>
      <c r="L2195" s="2367"/>
      <c r="M2195" s="2367"/>
      <c r="N2195" s="2367"/>
      <c r="O2195" s="2367"/>
      <c r="P2195" s="2367"/>
      <c r="Q2195" s="2367"/>
      <c r="R2195" s="2367"/>
    </row>
    <row r="2196" spans="1:18">
      <c r="A2196" s="2367"/>
      <c r="B2196" s="2367"/>
      <c r="C2196" s="2367"/>
      <c r="D2196" s="2367"/>
      <c r="E2196" s="2367"/>
      <c r="F2196" s="2367"/>
      <c r="G2196" s="2367"/>
      <c r="H2196" s="2367"/>
      <c r="I2196" s="2367"/>
      <c r="J2196" s="2367"/>
      <c r="K2196" s="2367"/>
      <c r="L2196" s="2367"/>
      <c r="M2196" s="2367"/>
      <c r="N2196" s="2367"/>
      <c r="O2196" s="2367"/>
      <c r="P2196" s="2367"/>
      <c r="Q2196" s="2367"/>
      <c r="R2196" s="2367"/>
    </row>
    <row r="2197" spans="1:18">
      <c r="A2197" s="2367"/>
      <c r="B2197" s="2367"/>
      <c r="C2197" s="2367"/>
      <c r="D2197" s="2367"/>
      <c r="E2197" s="2367"/>
      <c r="F2197" s="2367"/>
      <c r="G2197" s="2367"/>
      <c r="H2197" s="2367"/>
      <c r="I2197" s="2367"/>
      <c r="J2197" s="2367"/>
      <c r="K2197" s="2367"/>
      <c r="L2197" s="2367"/>
      <c r="M2197" s="2367"/>
      <c r="N2197" s="2367"/>
      <c r="O2197" s="2367"/>
      <c r="P2197" s="2367"/>
      <c r="Q2197" s="2367"/>
      <c r="R2197" s="2367"/>
    </row>
    <row r="2198" spans="1:18">
      <c r="A2198" s="2367"/>
      <c r="B2198" s="2367"/>
      <c r="C2198" s="2367"/>
      <c r="D2198" s="2367"/>
      <c r="E2198" s="2367"/>
      <c r="F2198" s="2367"/>
      <c r="G2198" s="2367"/>
      <c r="H2198" s="2367"/>
      <c r="I2198" s="2367"/>
      <c r="J2198" s="2367"/>
      <c r="K2198" s="2367"/>
      <c r="L2198" s="2367"/>
      <c r="M2198" s="2367"/>
      <c r="N2198" s="2367"/>
      <c r="O2198" s="2367"/>
      <c r="P2198" s="2367"/>
      <c r="Q2198" s="2367"/>
      <c r="R2198" s="2367"/>
    </row>
    <row r="2199" spans="1:18">
      <c r="A2199" s="2367"/>
      <c r="B2199" s="2367"/>
      <c r="C2199" s="2367"/>
      <c r="D2199" s="2367"/>
      <c r="E2199" s="2367"/>
      <c r="F2199" s="2367"/>
      <c r="G2199" s="2367"/>
      <c r="H2199" s="2367"/>
      <c r="I2199" s="2367"/>
      <c r="J2199" s="2367"/>
      <c r="K2199" s="2367"/>
      <c r="L2199" s="2367"/>
      <c r="M2199" s="2367"/>
      <c r="N2199" s="2367"/>
      <c r="O2199" s="2367"/>
      <c r="P2199" s="2367"/>
      <c r="Q2199" s="2367"/>
      <c r="R2199" s="2367"/>
    </row>
    <row r="2200" spans="1:18">
      <c r="A2200" s="2367"/>
      <c r="B2200" s="2367"/>
      <c r="C2200" s="2367"/>
      <c r="D2200" s="2367"/>
      <c r="E2200" s="2367"/>
      <c r="F2200" s="2367"/>
      <c r="G2200" s="2367"/>
      <c r="H2200" s="2367"/>
      <c r="I2200" s="2367"/>
      <c r="J2200" s="2367"/>
      <c r="K2200" s="2367"/>
      <c r="L2200" s="2367"/>
      <c r="M2200" s="2367"/>
      <c r="N2200" s="2367"/>
      <c r="O2200" s="2367"/>
      <c r="P2200" s="2367"/>
      <c r="Q2200" s="2367"/>
      <c r="R2200" s="2367"/>
    </row>
    <row r="2201" spans="1:18">
      <c r="A2201" s="2367"/>
      <c r="B2201" s="2367"/>
      <c r="C2201" s="2367"/>
      <c r="D2201" s="2367"/>
      <c r="E2201" s="2367"/>
      <c r="F2201" s="2367"/>
      <c r="G2201" s="2367"/>
      <c r="H2201" s="2367"/>
      <c r="I2201" s="2367"/>
      <c r="J2201" s="2367"/>
      <c r="K2201" s="2367"/>
      <c r="L2201" s="2367"/>
      <c r="M2201" s="2367"/>
      <c r="N2201" s="2367"/>
      <c r="O2201" s="2367"/>
      <c r="P2201" s="2367"/>
      <c r="Q2201" s="2367"/>
      <c r="R2201" s="2367"/>
    </row>
    <row r="2202" spans="1:18">
      <c r="A2202" s="2367"/>
      <c r="B2202" s="2367"/>
      <c r="C2202" s="2367"/>
      <c r="D2202" s="2367"/>
      <c r="E2202" s="2367"/>
      <c r="F2202" s="2367"/>
      <c r="G2202" s="2367"/>
      <c r="H2202" s="2367"/>
      <c r="I2202" s="2367"/>
      <c r="J2202" s="2367"/>
      <c r="K2202" s="2367"/>
      <c r="L2202" s="2367"/>
      <c r="M2202" s="2367"/>
      <c r="N2202" s="2367"/>
      <c r="O2202" s="2367"/>
      <c r="P2202" s="2367"/>
      <c r="Q2202" s="2367"/>
      <c r="R2202" s="2367"/>
    </row>
    <row r="2203" spans="1:18">
      <c r="A2203" s="2367"/>
      <c r="B2203" s="2367"/>
      <c r="C2203" s="2367"/>
      <c r="D2203" s="2367"/>
      <c r="E2203" s="2367"/>
      <c r="F2203" s="2367"/>
      <c r="G2203" s="2367"/>
      <c r="H2203" s="2367"/>
      <c r="I2203" s="2367"/>
      <c r="J2203" s="2367"/>
      <c r="K2203" s="2367"/>
      <c r="L2203" s="2367"/>
      <c r="M2203" s="2367"/>
      <c r="N2203" s="2367"/>
      <c r="O2203" s="2367"/>
      <c r="P2203" s="2367"/>
      <c r="Q2203" s="2367"/>
      <c r="R2203" s="2367"/>
    </row>
    <row r="2204" spans="1:18">
      <c r="A2204" s="2367"/>
      <c r="B2204" s="2367"/>
      <c r="C2204" s="2367"/>
      <c r="D2204" s="2367"/>
      <c r="E2204" s="2367"/>
      <c r="F2204" s="2367"/>
      <c r="G2204" s="2367"/>
      <c r="H2204" s="2367"/>
      <c r="I2204" s="2367"/>
      <c r="J2204" s="2367"/>
      <c r="K2204" s="2367"/>
      <c r="L2204" s="2367"/>
      <c r="M2204" s="2367"/>
      <c r="N2204" s="2367"/>
      <c r="O2204" s="2367"/>
      <c r="P2204" s="2367"/>
      <c r="Q2204" s="2367"/>
      <c r="R2204" s="2367"/>
    </row>
    <row r="2205" spans="1:18">
      <c r="A2205" s="2367"/>
      <c r="B2205" s="2367"/>
      <c r="C2205" s="2367"/>
      <c r="D2205" s="2367"/>
      <c r="E2205" s="2367"/>
      <c r="F2205" s="2367"/>
      <c r="G2205" s="2367"/>
      <c r="H2205" s="2367"/>
      <c r="I2205" s="2367"/>
      <c r="J2205" s="2367"/>
      <c r="K2205" s="2367"/>
      <c r="L2205" s="2367"/>
      <c r="M2205" s="2367"/>
      <c r="N2205" s="2367"/>
      <c r="O2205" s="2367"/>
      <c r="P2205" s="2367"/>
      <c r="Q2205" s="2367"/>
      <c r="R2205" s="2367"/>
    </row>
    <row r="2206" spans="1:18">
      <c r="A2206" s="2367"/>
      <c r="B2206" s="2367"/>
      <c r="C2206" s="2367"/>
      <c r="D2206" s="2367"/>
      <c r="E2206" s="2367"/>
      <c r="F2206" s="2367"/>
      <c r="G2206" s="2367"/>
      <c r="H2206" s="2367"/>
      <c r="I2206" s="2367"/>
      <c r="J2206" s="2367"/>
      <c r="K2206" s="2367"/>
      <c r="L2206" s="2367"/>
      <c r="M2206" s="2367"/>
      <c r="N2206" s="2367"/>
      <c r="O2206" s="2367"/>
      <c r="P2206" s="2367"/>
      <c r="Q2206" s="2367"/>
      <c r="R2206" s="2367"/>
    </row>
    <row r="2207" spans="1:18">
      <c r="A2207" s="2367"/>
      <c r="B2207" s="2367"/>
      <c r="C2207" s="2367"/>
      <c r="D2207" s="2367"/>
      <c r="E2207" s="2367"/>
      <c r="F2207" s="2367"/>
      <c r="G2207" s="2367"/>
      <c r="H2207" s="2367"/>
      <c r="I2207" s="2367"/>
      <c r="J2207" s="2367"/>
      <c r="K2207" s="2367"/>
      <c r="L2207" s="2367"/>
      <c r="M2207" s="2367"/>
      <c r="N2207" s="2367"/>
      <c r="O2207" s="2367"/>
      <c r="P2207" s="2367"/>
      <c r="Q2207" s="2367"/>
      <c r="R2207" s="2367"/>
    </row>
    <row r="2208" spans="1:18">
      <c r="A2208" s="2367"/>
      <c r="B2208" s="2367"/>
      <c r="C2208" s="2367"/>
      <c r="D2208" s="2367"/>
      <c r="E2208" s="2367"/>
      <c r="F2208" s="2367"/>
      <c r="G2208" s="2367"/>
      <c r="H2208" s="2367"/>
      <c r="I2208" s="2367"/>
      <c r="J2208" s="2367"/>
      <c r="K2208" s="2367"/>
      <c r="L2208" s="2367"/>
      <c r="M2208" s="2367"/>
      <c r="N2208" s="2367"/>
      <c r="O2208" s="2367"/>
      <c r="P2208" s="2367"/>
      <c r="Q2208" s="2367"/>
      <c r="R2208" s="2367"/>
    </row>
    <row r="2209" spans="1:18">
      <c r="A2209" s="2367"/>
      <c r="B2209" s="2367"/>
      <c r="C2209" s="2367"/>
      <c r="D2209" s="2367"/>
      <c r="E2209" s="2367"/>
      <c r="F2209" s="2367"/>
      <c r="G2209" s="2367"/>
      <c r="H2209" s="2367"/>
      <c r="I2209" s="2367"/>
      <c r="J2209" s="2367"/>
      <c r="K2209" s="2367"/>
      <c r="L2209" s="2367"/>
      <c r="M2209" s="2367"/>
      <c r="N2209" s="2367"/>
      <c r="O2209" s="2367"/>
      <c r="P2209" s="2367"/>
      <c r="Q2209" s="2367"/>
      <c r="R2209" s="2367"/>
    </row>
    <row r="2210" spans="1:18">
      <c r="A2210" s="2367"/>
      <c r="B2210" s="2367"/>
      <c r="C2210" s="2367"/>
      <c r="D2210" s="2367"/>
      <c r="E2210" s="2367"/>
      <c r="F2210" s="2367"/>
      <c r="G2210" s="2367"/>
      <c r="H2210" s="2367"/>
      <c r="I2210" s="2367"/>
      <c r="J2210" s="2367"/>
      <c r="K2210" s="2367"/>
      <c r="L2210" s="2367"/>
      <c r="M2210" s="2367"/>
      <c r="N2210" s="2367"/>
      <c r="O2210" s="2367"/>
      <c r="P2210" s="2367"/>
      <c r="Q2210" s="2367"/>
      <c r="R2210" s="2367"/>
    </row>
    <row r="2211" spans="1:18">
      <c r="A2211" s="2367"/>
      <c r="B2211" s="2367"/>
      <c r="C2211" s="2367"/>
      <c r="D2211" s="2367"/>
      <c r="E2211" s="2367"/>
      <c r="F2211" s="2367"/>
      <c r="G2211" s="2367"/>
      <c r="H2211" s="2367"/>
      <c r="I2211" s="2367"/>
      <c r="J2211" s="2367"/>
      <c r="K2211" s="2367"/>
      <c r="L2211" s="2367"/>
      <c r="M2211" s="2367"/>
      <c r="N2211" s="2367"/>
      <c r="O2211" s="2367"/>
      <c r="P2211" s="2367"/>
      <c r="Q2211" s="2367"/>
      <c r="R2211" s="2367"/>
    </row>
    <row r="2212" spans="1:18">
      <c r="A2212" s="2367"/>
      <c r="B2212" s="2367"/>
      <c r="C2212" s="2367"/>
      <c r="D2212" s="2367"/>
      <c r="E2212" s="2367"/>
      <c r="F2212" s="2367"/>
      <c r="G2212" s="2367"/>
      <c r="H2212" s="2367"/>
      <c r="I2212" s="2367"/>
      <c r="J2212" s="2367"/>
      <c r="K2212" s="2367"/>
      <c r="L2212" s="2367"/>
      <c r="M2212" s="2367"/>
      <c r="N2212" s="2367"/>
      <c r="O2212" s="2367"/>
      <c r="P2212" s="2367"/>
      <c r="Q2212" s="2367"/>
      <c r="R2212" s="2367"/>
    </row>
    <row r="2213" spans="1:18">
      <c r="A2213" s="2367"/>
      <c r="B2213" s="2367"/>
      <c r="C2213" s="2367"/>
      <c r="D2213" s="2367"/>
      <c r="E2213" s="2367"/>
      <c r="F2213" s="2367"/>
      <c r="G2213" s="2367"/>
      <c r="H2213" s="2367"/>
      <c r="I2213" s="2367"/>
      <c r="J2213" s="2367"/>
      <c r="K2213" s="2367"/>
      <c r="L2213" s="2367"/>
      <c r="M2213" s="2367"/>
      <c r="N2213" s="2367"/>
      <c r="O2213" s="2367"/>
      <c r="P2213" s="2367"/>
      <c r="Q2213" s="2367"/>
      <c r="R2213" s="2367"/>
    </row>
    <row r="2214" spans="1:18">
      <c r="A2214" s="2367"/>
      <c r="B2214" s="2367"/>
      <c r="C2214" s="2367"/>
      <c r="D2214" s="2367"/>
      <c r="E2214" s="2367"/>
      <c r="F2214" s="2367"/>
      <c r="G2214" s="2367"/>
      <c r="H2214" s="2367"/>
      <c r="I2214" s="2367"/>
      <c r="J2214" s="2367"/>
      <c r="K2214" s="2367"/>
      <c r="L2214" s="2367"/>
      <c r="M2214" s="2367"/>
      <c r="N2214" s="2367"/>
      <c r="O2214" s="2367"/>
      <c r="P2214" s="2367"/>
      <c r="Q2214" s="2367"/>
      <c r="R2214" s="2367"/>
    </row>
    <row r="2215" spans="1:18">
      <c r="A2215" s="2367"/>
      <c r="B2215" s="2367"/>
      <c r="C2215" s="2367"/>
      <c r="D2215" s="2367"/>
      <c r="E2215" s="2367"/>
      <c r="F2215" s="2367"/>
      <c r="G2215" s="2367"/>
      <c r="H2215" s="2367"/>
      <c r="I2215" s="2367"/>
      <c r="J2215" s="2367"/>
      <c r="K2215" s="2367"/>
      <c r="L2215" s="2367"/>
      <c r="M2215" s="2367"/>
      <c r="N2215" s="2367"/>
      <c r="O2215" s="2367"/>
      <c r="P2215" s="2367"/>
      <c r="Q2215" s="2367"/>
      <c r="R2215" s="2367"/>
    </row>
    <row r="2216" spans="1:18">
      <c r="A2216" s="2367"/>
      <c r="B2216" s="2367"/>
      <c r="C2216" s="2367"/>
      <c r="D2216" s="2367"/>
      <c r="E2216" s="2367"/>
      <c r="F2216" s="2367"/>
      <c r="G2216" s="2367"/>
      <c r="H2216" s="2367"/>
      <c r="I2216" s="2367"/>
      <c r="J2216" s="2367"/>
      <c r="K2216" s="2367"/>
      <c r="L2216" s="2367"/>
      <c r="M2216" s="2367"/>
      <c r="N2216" s="2367"/>
      <c r="O2216" s="2367"/>
      <c r="P2216" s="2367"/>
      <c r="Q2216" s="2367"/>
      <c r="R2216" s="2367"/>
    </row>
    <row r="2217" spans="1:18">
      <c r="A2217" s="2367"/>
      <c r="B2217" s="2367"/>
      <c r="C2217" s="2367"/>
      <c r="D2217" s="2367"/>
      <c r="E2217" s="2367"/>
      <c r="F2217" s="2367"/>
      <c r="G2217" s="2367"/>
      <c r="H2217" s="2367"/>
      <c r="I2217" s="2367"/>
      <c r="J2217" s="2367"/>
      <c r="K2217" s="2367"/>
      <c r="L2217" s="2367"/>
      <c r="M2217" s="2367"/>
      <c r="N2217" s="2367"/>
      <c r="O2217" s="2367"/>
      <c r="P2217" s="2367"/>
      <c r="Q2217" s="2367"/>
      <c r="R2217" s="2367"/>
    </row>
    <row r="2218" spans="1:18">
      <c r="A2218" s="2367"/>
      <c r="B2218" s="2367"/>
      <c r="C2218" s="2367"/>
      <c r="D2218" s="2367"/>
      <c r="E2218" s="2367"/>
      <c r="F2218" s="2367"/>
      <c r="G2218" s="2367"/>
      <c r="H2218" s="2367"/>
      <c r="I2218" s="2367"/>
      <c r="J2218" s="2367"/>
      <c r="K2218" s="2367"/>
      <c r="L2218" s="2367"/>
      <c r="M2218" s="2367"/>
      <c r="N2218" s="2367"/>
      <c r="O2218" s="2367"/>
      <c r="P2218" s="2367"/>
      <c r="Q2218" s="2367"/>
      <c r="R2218" s="2367"/>
    </row>
    <row r="2219" spans="1:18">
      <c r="A2219" s="2367"/>
      <c r="B2219" s="2367"/>
      <c r="C2219" s="2367"/>
      <c r="D2219" s="2367"/>
      <c r="E2219" s="2367"/>
      <c r="F2219" s="2367"/>
      <c r="G2219" s="2367"/>
      <c r="H2219" s="2367"/>
      <c r="I2219" s="2367"/>
      <c r="J2219" s="2367"/>
      <c r="K2219" s="2367"/>
      <c r="L2219" s="2367"/>
      <c r="M2219" s="2367"/>
      <c r="N2219" s="2367"/>
      <c r="O2219" s="2367"/>
      <c r="P2219" s="2367"/>
      <c r="Q2219" s="2367"/>
      <c r="R2219" s="2367"/>
    </row>
    <row r="2220" spans="1:18">
      <c r="A2220" s="2367"/>
      <c r="B2220" s="2367"/>
      <c r="C2220" s="2367"/>
      <c r="D2220" s="2367"/>
      <c r="E2220" s="2367"/>
      <c r="F2220" s="2367"/>
      <c r="G2220" s="2367"/>
      <c r="H2220" s="2367"/>
      <c r="I2220" s="2367"/>
      <c r="J2220" s="2367"/>
      <c r="K2220" s="2367"/>
      <c r="L2220" s="2367"/>
      <c r="M2220" s="2367"/>
      <c r="N2220" s="2367"/>
      <c r="O2220" s="2367"/>
      <c r="P2220" s="2367"/>
      <c r="Q2220" s="2367"/>
      <c r="R2220" s="2367"/>
    </row>
    <row r="2221" spans="1:18">
      <c r="A2221" s="2367"/>
      <c r="B2221" s="2367"/>
      <c r="C2221" s="2367"/>
      <c r="D2221" s="2367"/>
      <c r="E2221" s="2367"/>
      <c r="F2221" s="2367"/>
      <c r="G2221" s="2367"/>
      <c r="H2221" s="2367"/>
      <c r="I2221" s="2367"/>
      <c r="J2221" s="2367"/>
      <c r="K2221" s="2367"/>
      <c r="L2221" s="2367"/>
      <c r="M2221" s="2367"/>
      <c r="N2221" s="2367"/>
      <c r="O2221" s="2367"/>
      <c r="P2221" s="2367"/>
      <c r="Q2221" s="2367"/>
      <c r="R2221" s="2367"/>
    </row>
    <row r="2222" spans="1:18">
      <c r="A2222" s="2367"/>
      <c r="B2222" s="2367"/>
      <c r="C2222" s="2367"/>
      <c r="D2222" s="2367"/>
      <c r="E2222" s="2367"/>
      <c r="F2222" s="2367"/>
      <c r="G2222" s="2367"/>
      <c r="H2222" s="2367"/>
      <c r="I2222" s="2367"/>
      <c r="J2222" s="2367"/>
      <c r="K2222" s="2367"/>
      <c r="L2222" s="2367"/>
      <c r="M2222" s="2367"/>
      <c r="N2222" s="2367"/>
      <c r="O2222" s="2367"/>
      <c r="P2222" s="2367"/>
      <c r="Q2222" s="2367"/>
      <c r="R2222" s="2367"/>
    </row>
    <row r="2223" spans="1:18">
      <c r="A2223" s="2367"/>
      <c r="B2223" s="2367"/>
      <c r="C2223" s="2367"/>
      <c r="D2223" s="2367"/>
      <c r="E2223" s="2367"/>
      <c r="F2223" s="2367"/>
      <c r="G2223" s="2367"/>
      <c r="H2223" s="2367"/>
      <c r="I2223" s="2367"/>
      <c r="J2223" s="2367"/>
      <c r="K2223" s="2367"/>
      <c r="L2223" s="2367"/>
      <c r="M2223" s="2367"/>
      <c r="N2223" s="2367"/>
      <c r="O2223" s="2367"/>
      <c r="P2223" s="2367"/>
      <c r="Q2223" s="2367"/>
      <c r="R2223" s="2367"/>
    </row>
    <row r="2224" spans="1:18">
      <c r="A2224" s="2367"/>
      <c r="B2224" s="2367"/>
      <c r="C2224" s="2367"/>
      <c r="D2224" s="2367"/>
      <c r="E2224" s="2367"/>
      <c r="F2224" s="2367"/>
      <c r="G2224" s="2367"/>
      <c r="H2224" s="2367"/>
      <c r="I2224" s="2367"/>
      <c r="J2224" s="2367"/>
      <c r="K2224" s="2367"/>
      <c r="L2224" s="2367"/>
      <c r="M2224" s="2367"/>
      <c r="N2224" s="2367"/>
      <c r="O2224" s="2367"/>
      <c r="P2224" s="2367"/>
      <c r="Q2224" s="2367"/>
      <c r="R2224" s="2367"/>
    </row>
    <row r="2225" spans="1:18">
      <c r="A2225" s="2367"/>
      <c r="B2225" s="2367"/>
      <c r="C2225" s="2367"/>
      <c r="D2225" s="2367"/>
      <c r="E2225" s="2367"/>
      <c r="F2225" s="2367"/>
      <c r="G2225" s="2367"/>
      <c r="H2225" s="2367"/>
      <c r="I2225" s="2367"/>
      <c r="J2225" s="2367"/>
      <c r="K2225" s="2367"/>
      <c r="L2225" s="2367"/>
      <c r="M2225" s="2367"/>
      <c r="N2225" s="2367"/>
      <c r="O2225" s="2367"/>
      <c r="P2225" s="2367"/>
      <c r="Q2225" s="2367"/>
      <c r="R2225" s="2367"/>
    </row>
    <row r="2226" spans="1:18">
      <c r="A2226" s="2367"/>
      <c r="B2226" s="2367"/>
      <c r="C2226" s="2367"/>
      <c r="D2226" s="2367"/>
      <c r="E2226" s="2367"/>
      <c r="F2226" s="2367"/>
      <c r="G2226" s="2367"/>
      <c r="H2226" s="2367"/>
      <c r="I2226" s="2367"/>
      <c r="J2226" s="2367"/>
      <c r="K2226" s="2367"/>
      <c r="L2226" s="2367"/>
      <c r="M2226" s="2367"/>
      <c r="N2226" s="2367"/>
      <c r="O2226" s="2367"/>
      <c r="P2226" s="2367"/>
      <c r="Q2226" s="2367"/>
      <c r="R2226" s="2367"/>
    </row>
    <row r="2227" spans="1:18">
      <c r="A2227" s="2367"/>
      <c r="B2227" s="2367"/>
      <c r="C2227" s="2367"/>
      <c r="D2227" s="2367"/>
      <c r="E2227" s="2367"/>
      <c r="F2227" s="2367"/>
      <c r="G2227" s="2367"/>
      <c r="H2227" s="2367"/>
      <c r="I2227" s="2367"/>
      <c r="J2227" s="2367"/>
      <c r="K2227" s="2367"/>
      <c r="L2227" s="2367"/>
      <c r="M2227" s="2367"/>
      <c r="N2227" s="2367"/>
      <c r="O2227" s="2367"/>
      <c r="P2227" s="2367"/>
      <c r="Q2227" s="2367"/>
      <c r="R2227" s="2367"/>
    </row>
    <row r="2228" spans="1:18">
      <c r="A2228" s="2367"/>
      <c r="B2228" s="2367"/>
      <c r="C2228" s="2367"/>
      <c r="D2228" s="2367"/>
      <c r="E2228" s="2367"/>
      <c r="F2228" s="2367"/>
      <c r="G2228" s="2367"/>
      <c r="H2228" s="2367"/>
      <c r="I2228" s="2367"/>
      <c r="J2228" s="2367"/>
      <c r="K2228" s="2367"/>
      <c r="L2228" s="2367"/>
      <c r="M2228" s="2367"/>
      <c r="N2228" s="2367"/>
      <c r="O2228" s="2367"/>
      <c r="P2228" s="2367"/>
      <c r="Q2228" s="2367"/>
      <c r="R2228" s="2367"/>
    </row>
    <row r="2229" spans="1:18">
      <c r="A2229" s="2367"/>
      <c r="B2229" s="2367"/>
      <c r="C2229" s="2367"/>
      <c r="D2229" s="2367"/>
      <c r="E2229" s="2367"/>
      <c r="F2229" s="2367"/>
      <c r="G2229" s="2367"/>
      <c r="H2229" s="2367"/>
      <c r="I2229" s="2367"/>
      <c r="J2229" s="2367"/>
      <c r="K2229" s="2367"/>
      <c r="L2229" s="2367"/>
      <c r="M2229" s="2367"/>
      <c r="N2229" s="2367"/>
      <c r="O2229" s="2367"/>
      <c r="P2229" s="2367"/>
      <c r="Q2229" s="2367"/>
      <c r="R2229" s="2367"/>
    </row>
    <row r="2230" spans="1:18">
      <c r="A2230" s="2367"/>
      <c r="B2230" s="2367"/>
      <c r="C2230" s="2367"/>
      <c r="D2230" s="2367"/>
      <c r="E2230" s="2367"/>
      <c r="F2230" s="2367"/>
      <c r="G2230" s="2367"/>
      <c r="H2230" s="2367"/>
      <c r="I2230" s="2367"/>
      <c r="J2230" s="2367"/>
      <c r="K2230" s="2367"/>
      <c r="L2230" s="2367"/>
      <c r="M2230" s="2367"/>
      <c r="N2230" s="2367"/>
      <c r="O2230" s="2367"/>
      <c r="P2230" s="2367"/>
      <c r="Q2230" s="2367"/>
      <c r="R2230" s="2367"/>
    </row>
    <row r="2231" spans="1:18">
      <c r="A2231" s="2367"/>
      <c r="B2231" s="2367"/>
      <c r="C2231" s="2367"/>
      <c r="D2231" s="2367"/>
      <c r="E2231" s="2367"/>
      <c r="F2231" s="2367"/>
      <c r="G2231" s="2367"/>
      <c r="H2231" s="2367"/>
      <c r="I2231" s="2367"/>
      <c r="J2231" s="2367"/>
      <c r="K2231" s="2367"/>
      <c r="L2231" s="2367"/>
      <c r="M2231" s="2367"/>
      <c r="N2231" s="2367"/>
      <c r="O2231" s="2367"/>
      <c r="P2231" s="2367"/>
      <c r="Q2231" s="2367"/>
      <c r="R2231" s="2367"/>
    </row>
    <row r="2232" spans="1:18">
      <c r="A2232" s="2367"/>
      <c r="B2232" s="2367"/>
      <c r="C2232" s="2367"/>
      <c r="D2232" s="2367"/>
      <c r="E2232" s="2367"/>
      <c r="F2232" s="2367"/>
      <c r="G2232" s="2367"/>
      <c r="H2232" s="2367"/>
      <c r="I2232" s="2367"/>
      <c r="J2232" s="2367"/>
      <c r="K2232" s="2367"/>
      <c r="L2232" s="2367"/>
      <c r="M2232" s="2367"/>
      <c r="N2232" s="2367"/>
      <c r="O2232" s="2367"/>
      <c r="P2232" s="2367"/>
      <c r="Q2232" s="2367"/>
      <c r="R2232" s="2367"/>
    </row>
    <row r="2233" spans="1:18">
      <c r="A2233" s="2367"/>
      <c r="B2233" s="2367"/>
      <c r="C2233" s="2367"/>
      <c r="D2233" s="2367"/>
      <c r="E2233" s="2367"/>
      <c r="F2233" s="2367"/>
      <c r="G2233" s="2367"/>
      <c r="H2233" s="2367"/>
      <c r="I2233" s="2367"/>
      <c r="J2233" s="2367"/>
      <c r="K2233" s="2367"/>
      <c r="L2233" s="2367"/>
      <c r="M2233" s="2367"/>
      <c r="N2233" s="2367"/>
      <c r="O2233" s="2367"/>
      <c r="P2233" s="2367"/>
      <c r="Q2233" s="2367"/>
      <c r="R2233" s="2367"/>
    </row>
    <row r="2234" spans="1:18">
      <c r="A2234" s="2367"/>
      <c r="B2234" s="2367"/>
      <c r="C2234" s="2367"/>
      <c r="D2234" s="2367"/>
      <c r="E2234" s="2367"/>
      <c r="F2234" s="2367"/>
      <c r="G2234" s="2367"/>
      <c r="H2234" s="2367"/>
      <c r="I2234" s="2367"/>
      <c r="J2234" s="2367"/>
      <c r="K2234" s="2367"/>
      <c r="L2234" s="2367"/>
      <c r="M2234" s="2367"/>
      <c r="N2234" s="2367"/>
      <c r="O2234" s="2367"/>
      <c r="P2234" s="2367"/>
      <c r="Q2234" s="2367"/>
      <c r="R2234" s="2367"/>
    </row>
    <row r="2235" spans="1:18">
      <c r="A2235" s="2367"/>
      <c r="B2235" s="2367"/>
      <c r="C2235" s="2367"/>
      <c r="D2235" s="2367"/>
      <c r="E2235" s="2367"/>
      <c r="F2235" s="2367"/>
      <c r="G2235" s="2367"/>
      <c r="H2235" s="2367"/>
      <c r="I2235" s="2367"/>
      <c r="J2235" s="2367"/>
      <c r="K2235" s="2367"/>
      <c r="L2235" s="2367"/>
      <c r="M2235" s="2367"/>
      <c r="N2235" s="2367"/>
      <c r="O2235" s="2367"/>
      <c r="P2235" s="2367"/>
      <c r="Q2235" s="2367"/>
      <c r="R2235" s="2367"/>
    </row>
    <row r="2236" spans="1:18">
      <c r="A2236" s="2367"/>
      <c r="B2236" s="2367"/>
      <c r="C2236" s="2367"/>
      <c r="D2236" s="2367"/>
      <c r="E2236" s="2367"/>
      <c r="F2236" s="2367"/>
      <c r="G2236" s="2367"/>
      <c r="H2236" s="2367"/>
      <c r="I2236" s="2367"/>
      <c r="J2236" s="2367"/>
      <c r="K2236" s="2367"/>
      <c r="L2236" s="2367"/>
      <c r="M2236" s="2367"/>
      <c r="N2236" s="2367"/>
      <c r="O2236" s="2367"/>
      <c r="P2236" s="2367"/>
      <c r="Q2236" s="2367"/>
      <c r="R2236" s="2367"/>
    </row>
    <row r="2237" spans="1:18">
      <c r="A2237" s="2367"/>
      <c r="B2237" s="2367"/>
      <c r="C2237" s="2367"/>
      <c r="D2237" s="2367"/>
      <c r="E2237" s="2367"/>
      <c r="F2237" s="2367"/>
      <c r="G2237" s="2367"/>
      <c r="H2237" s="2367"/>
      <c r="I2237" s="2367"/>
      <c r="J2237" s="2367"/>
      <c r="K2237" s="2367"/>
      <c r="L2237" s="2367"/>
      <c r="M2237" s="2367"/>
      <c r="N2237" s="2367"/>
      <c r="O2237" s="2367"/>
      <c r="P2237" s="2367"/>
      <c r="Q2237" s="2367"/>
      <c r="R2237" s="2367"/>
    </row>
    <row r="2238" spans="1:18">
      <c r="A2238" s="2367"/>
      <c r="B2238" s="2367"/>
      <c r="C2238" s="2367"/>
      <c r="D2238" s="2367"/>
      <c r="E2238" s="2367"/>
      <c r="F2238" s="2367"/>
      <c r="G2238" s="2367"/>
      <c r="H2238" s="2367"/>
      <c r="I2238" s="2367"/>
      <c r="J2238" s="2367"/>
      <c r="K2238" s="2367"/>
      <c r="L2238" s="2367"/>
      <c r="M2238" s="2367"/>
      <c r="N2238" s="2367"/>
      <c r="O2238" s="2367"/>
      <c r="P2238" s="2367"/>
      <c r="Q2238" s="2367"/>
      <c r="R2238" s="2367"/>
    </row>
    <row r="2239" spans="1:18">
      <c r="A2239" s="2367"/>
      <c r="B2239" s="2367"/>
      <c r="C2239" s="2367"/>
      <c r="D2239" s="2367"/>
      <c r="E2239" s="2367"/>
      <c r="F2239" s="2367"/>
      <c r="G2239" s="2367"/>
      <c r="H2239" s="2367"/>
      <c r="I2239" s="2367"/>
      <c r="J2239" s="2367"/>
      <c r="K2239" s="2367"/>
      <c r="L2239" s="2367"/>
      <c r="M2239" s="2367"/>
      <c r="N2239" s="2367"/>
      <c r="O2239" s="2367"/>
      <c r="P2239" s="2367"/>
      <c r="Q2239" s="2367"/>
      <c r="R2239" s="2367"/>
    </row>
    <row r="2240" spans="1:18">
      <c r="A2240" s="2367"/>
      <c r="B2240" s="2367"/>
      <c r="C2240" s="2367"/>
      <c r="D2240" s="2367"/>
      <c r="E2240" s="2367"/>
      <c r="F2240" s="2367"/>
      <c r="G2240" s="2367"/>
      <c r="H2240" s="2367"/>
      <c r="I2240" s="2367"/>
      <c r="J2240" s="2367"/>
      <c r="K2240" s="2367"/>
      <c r="L2240" s="2367"/>
      <c r="M2240" s="2367"/>
      <c r="N2240" s="2367"/>
      <c r="O2240" s="2367"/>
      <c r="P2240" s="2367"/>
      <c r="Q2240" s="2367"/>
      <c r="R2240" s="2367"/>
    </row>
    <row r="2241" spans="1:18">
      <c r="A2241" s="2367"/>
      <c r="B2241" s="2367"/>
      <c r="C2241" s="2367"/>
      <c r="D2241" s="2367"/>
      <c r="E2241" s="2367"/>
      <c r="F2241" s="2367"/>
      <c r="G2241" s="2367"/>
      <c r="H2241" s="2367"/>
      <c r="I2241" s="2367"/>
      <c r="J2241" s="2367"/>
      <c r="K2241" s="2367"/>
      <c r="L2241" s="2367"/>
      <c r="M2241" s="2367"/>
      <c r="N2241" s="2367"/>
      <c r="O2241" s="2367"/>
      <c r="P2241" s="2367"/>
      <c r="Q2241" s="2367"/>
      <c r="R2241" s="2367"/>
    </row>
    <row r="2242" spans="1:18">
      <c r="A2242" s="2367"/>
      <c r="B2242" s="2367"/>
      <c r="C2242" s="2367"/>
      <c r="D2242" s="2367"/>
      <c r="E2242" s="2367"/>
      <c r="F2242" s="2367"/>
      <c r="G2242" s="2367"/>
      <c r="H2242" s="2367"/>
      <c r="I2242" s="2367"/>
      <c r="J2242" s="2367"/>
      <c r="K2242" s="2367"/>
      <c r="L2242" s="2367"/>
      <c r="M2242" s="2367"/>
      <c r="N2242" s="2367"/>
      <c r="O2242" s="2367"/>
      <c r="P2242" s="2367"/>
      <c r="Q2242" s="2367"/>
      <c r="R2242" s="2367"/>
    </row>
    <row r="2243" spans="1:18">
      <c r="A2243" s="2367"/>
      <c r="B2243" s="2367"/>
      <c r="C2243" s="2367"/>
      <c r="D2243" s="2367"/>
      <c r="E2243" s="2367"/>
      <c r="F2243" s="2367"/>
      <c r="G2243" s="2367"/>
      <c r="H2243" s="2367"/>
      <c r="I2243" s="2367"/>
      <c r="J2243" s="2367"/>
      <c r="K2243" s="2367"/>
      <c r="L2243" s="2367"/>
      <c r="M2243" s="2367"/>
      <c r="N2243" s="2367"/>
      <c r="O2243" s="2367"/>
      <c r="P2243" s="2367"/>
      <c r="Q2243" s="2367"/>
      <c r="R2243" s="2367"/>
    </row>
    <row r="2244" spans="1:18">
      <c r="A2244" s="2367"/>
      <c r="B2244" s="2367"/>
      <c r="C2244" s="2367"/>
      <c r="D2244" s="2367"/>
      <c r="E2244" s="2367"/>
      <c r="F2244" s="2367"/>
      <c r="G2244" s="2367"/>
      <c r="H2244" s="2367"/>
      <c r="I2244" s="2367"/>
      <c r="J2244" s="2367"/>
      <c r="K2244" s="2367"/>
      <c r="L2244" s="2367"/>
      <c r="M2244" s="2367"/>
      <c r="N2244" s="2367"/>
      <c r="O2244" s="2367"/>
      <c r="P2244" s="2367"/>
      <c r="Q2244" s="2367"/>
      <c r="R2244" s="2367"/>
    </row>
    <row r="2245" spans="1:18">
      <c r="A2245" s="2367"/>
      <c r="B2245" s="2367"/>
      <c r="C2245" s="2367"/>
      <c r="D2245" s="2367"/>
      <c r="E2245" s="2367"/>
      <c r="F2245" s="2367"/>
      <c r="G2245" s="2367"/>
      <c r="H2245" s="2367"/>
      <c r="I2245" s="2367"/>
      <c r="J2245" s="2367"/>
      <c r="K2245" s="2367"/>
      <c r="L2245" s="2367"/>
      <c r="M2245" s="2367"/>
      <c r="N2245" s="2367"/>
      <c r="O2245" s="2367"/>
      <c r="P2245" s="2367"/>
      <c r="Q2245" s="2367"/>
      <c r="R2245" s="2367"/>
    </row>
    <row r="2246" spans="1:18">
      <c r="A2246" s="2367"/>
      <c r="B2246" s="2367"/>
      <c r="C2246" s="2367"/>
      <c r="D2246" s="2367"/>
      <c r="E2246" s="2367"/>
      <c r="F2246" s="2367"/>
      <c r="G2246" s="2367"/>
      <c r="H2246" s="2367"/>
      <c r="I2246" s="2367"/>
      <c r="J2246" s="2367"/>
      <c r="K2246" s="2367"/>
      <c r="L2246" s="2367"/>
      <c r="M2246" s="2367"/>
      <c r="N2246" s="2367"/>
      <c r="O2246" s="2367"/>
      <c r="P2246" s="2367"/>
      <c r="Q2246" s="2367"/>
      <c r="R2246" s="2367"/>
    </row>
    <row r="2247" spans="1:18">
      <c r="A2247" s="2367"/>
      <c r="B2247" s="2367"/>
      <c r="C2247" s="2367"/>
      <c r="D2247" s="2367"/>
      <c r="E2247" s="2367"/>
      <c r="F2247" s="2367"/>
      <c r="G2247" s="2367"/>
      <c r="H2247" s="2367"/>
      <c r="I2247" s="2367"/>
      <c r="J2247" s="2367"/>
      <c r="K2247" s="2367"/>
      <c r="L2247" s="2367"/>
      <c r="M2247" s="2367"/>
      <c r="N2247" s="2367"/>
      <c r="O2247" s="2367"/>
      <c r="P2247" s="2367"/>
      <c r="Q2247" s="2367"/>
      <c r="R2247" s="2367"/>
    </row>
    <row r="2248" spans="1:18">
      <c r="A2248" s="2367"/>
      <c r="B2248" s="2367"/>
      <c r="C2248" s="2367"/>
      <c r="D2248" s="2367"/>
      <c r="E2248" s="2367"/>
      <c r="F2248" s="2367"/>
      <c r="G2248" s="2367"/>
      <c r="H2248" s="2367"/>
      <c r="I2248" s="2367"/>
      <c r="J2248" s="2367"/>
      <c r="K2248" s="2367"/>
      <c r="L2248" s="2367"/>
      <c r="M2248" s="2367"/>
      <c r="N2248" s="2367"/>
      <c r="O2248" s="2367"/>
      <c r="P2248" s="2367"/>
      <c r="Q2248" s="2367"/>
      <c r="R2248" s="2367"/>
    </row>
    <row r="2249" spans="1:18">
      <c r="A2249" s="2367"/>
      <c r="B2249" s="2367"/>
      <c r="C2249" s="2367"/>
      <c r="D2249" s="2367"/>
      <c r="E2249" s="2367"/>
      <c r="F2249" s="2367"/>
      <c r="G2249" s="2367"/>
      <c r="H2249" s="2367"/>
      <c r="I2249" s="2367"/>
      <c r="J2249" s="2367"/>
      <c r="K2249" s="2367"/>
      <c r="L2249" s="2367"/>
      <c r="M2249" s="2367"/>
      <c r="N2249" s="2367"/>
      <c r="O2249" s="2367"/>
      <c r="P2249" s="2367"/>
      <c r="Q2249" s="2367"/>
      <c r="R2249" s="2367"/>
    </row>
    <row r="2250" spans="1:18">
      <c r="A2250" s="2367"/>
      <c r="B2250" s="2367"/>
      <c r="C2250" s="2367"/>
      <c r="D2250" s="2367"/>
      <c r="E2250" s="2367"/>
      <c r="F2250" s="2367"/>
      <c r="G2250" s="2367"/>
      <c r="H2250" s="2367"/>
      <c r="I2250" s="2367"/>
      <c r="J2250" s="2367"/>
      <c r="K2250" s="2367"/>
      <c r="L2250" s="2367"/>
      <c r="M2250" s="2367"/>
      <c r="N2250" s="2367"/>
      <c r="O2250" s="2367"/>
      <c r="P2250" s="2367"/>
      <c r="Q2250" s="2367"/>
      <c r="R2250" s="2367"/>
    </row>
    <row r="2251" spans="1:18">
      <c r="A2251" s="2367"/>
      <c r="B2251" s="2367"/>
      <c r="C2251" s="2367"/>
      <c r="D2251" s="2367"/>
      <c r="E2251" s="2367"/>
      <c r="F2251" s="2367"/>
      <c r="G2251" s="2367"/>
      <c r="H2251" s="2367"/>
      <c r="I2251" s="2367"/>
      <c r="J2251" s="2367"/>
      <c r="K2251" s="2367"/>
      <c r="L2251" s="2367"/>
      <c r="M2251" s="2367"/>
      <c r="N2251" s="2367"/>
      <c r="O2251" s="2367"/>
      <c r="P2251" s="2367"/>
      <c r="Q2251" s="2367"/>
      <c r="R2251" s="2367"/>
    </row>
    <row r="2252" spans="1:18">
      <c r="A2252" s="2367"/>
      <c r="B2252" s="2367"/>
      <c r="C2252" s="2367"/>
      <c r="D2252" s="2367"/>
      <c r="E2252" s="2367"/>
      <c r="F2252" s="2367"/>
      <c r="G2252" s="2367"/>
      <c r="H2252" s="2367"/>
      <c r="I2252" s="2367"/>
      <c r="J2252" s="2367"/>
      <c r="K2252" s="2367"/>
      <c r="L2252" s="2367"/>
      <c r="M2252" s="2367"/>
      <c r="N2252" s="2367"/>
      <c r="O2252" s="2367"/>
      <c r="P2252" s="2367"/>
      <c r="Q2252" s="2367"/>
      <c r="R2252" s="2367"/>
    </row>
    <row r="2253" spans="1:18">
      <c r="A2253" s="2367"/>
      <c r="B2253" s="2367"/>
      <c r="C2253" s="2367"/>
      <c r="D2253" s="2367"/>
      <c r="E2253" s="2367"/>
      <c r="F2253" s="2367"/>
      <c r="G2253" s="2367"/>
      <c r="H2253" s="2367"/>
      <c r="I2253" s="2367"/>
      <c r="J2253" s="2367"/>
      <c r="K2253" s="2367"/>
      <c r="L2253" s="2367"/>
      <c r="M2253" s="2367"/>
      <c r="N2253" s="2367"/>
      <c r="O2253" s="2367"/>
      <c r="P2253" s="2367"/>
      <c r="Q2253" s="2367"/>
      <c r="R2253" s="2367"/>
    </row>
    <row r="2254" spans="1:18">
      <c r="A2254" s="2367"/>
      <c r="B2254" s="2367"/>
      <c r="C2254" s="2367"/>
      <c r="D2254" s="2367"/>
      <c r="E2254" s="2367"/>
      <c r="F2254" s="2367"/>
      <c r="G2254" s="2367"/>
      <c r="H2254" s="2367"/>
      <c r="I2254" s="2367"/>
      <c r="J2254" s="2367"/>
      <c r="K2254" s="2367"/>
      <c r="L2254" s="2367"/>
      <c r="M2254" s="2367"/>
      <c r="N2254" s="2367"/>
      <c r="O2254" s="2367"/>
      <c r="P2254" s="2367"/>
      <c r="Q2254" s="2367"/>
      <c r="R2254" s="2367"/>
    </row>
    <row r="2255" spans="1:18">
      <c r="A2255" s="2367"/>
      <c r="B2255" s="2367"/>
      <c r="C2255" s="2367"/>
      <c r="D2255" s="2367"/>
      <c r="E2255" s="2367"/>
      <c r="F2255" s="2367"/>
      <c r="G2255" s="2367"/>
      <c r="H2255" s="2367"/>
      <c r="I2255" s="2367"/>
      <c r="J2255" s="2367"/>
      <c r="K2255" s="2367"/>
      <c r="L2255" s="2367"/>
      <c r="M2255" s="2367"/>
      <c r="N2255" s="2367"/>
      <c r="O2255" s="2367"/>
      <c r="P2255" s="2367"/>
      <c r="Q2255" s="2367"/>
      <c r="R2255" s="2367"/>
    </row>
    <row r="2256" spans="1:18">
      <c r="A2256" s="2367"/>
      <c r="B2256" s="2367"/>
      <c r="C2256" s="2367"/>
      <c r="D2256" s="2367"/>
      <c r="E2256" s="2367"/>
      <c r="F2256" s="2367"/>
      <c r="G2256" s="2367"/>
      <c r="H2256" s="2367"/>
      <c r="I2256" s="2367"/>
      <c r="J2256" s="2367"/>
      <c r="K2256" s="2367"/>
      <c r="L2256" s="2367"/>
      <c r="M2256" s="2367"/>
      <c r="N2256" s="2367"/>
      <c r="O2256" s="2367"/>
      <c r="P2256" s="2367"/>
      <c r="Q2256" s="2367"/>
      <c r="R2256" s="2367"/>
    </row>
    <row r="2257" spans="1:18">
      <c r="A2257" s="2367"/>
      <c r="B2257" s="2367"/>
      <c r="C2257" s="2367"/>
      <c r="D2257" s="2367"/>
      <c r="E2257" s="2367"/>
      <c r="F2257" s="2367"/>
      <c r="G2257" s="2367"/>
      <c r="H2257" s="2367"/>
      <c r="I2257" s="2367"/>
      <c r="J2257" s="2367"/>
      <c r="K2257" s="2367"/>
      <c r="L2257" s="2367"/>
      <c r="M2257" s="2367"/>
      <c r="N2257" s="2367"/>
      <c r="O2257" s="2367"/>
      <c r="P2257" s="2367"/>
      <c r="Q2257" s="2367"/>
      <c r="R2257" s="2367"/>
    </row>
    <row r="2258" spans="1:18">
      <c r="A2258" s="2367"/>
      <c r="B2258" s="2367"/>
      <c r="C2258" s="2367"/>
      <c r="D2258" s="2367"/>
      <c r="E2258" s="2367"/>
      <c r="F2258" s="2367"/>
      <c r="G2258" s="2367"/>
      <c r="H2258" s="2367"/>
      <c r="I2258" s="2367"/>
      <c r="J2258" s="2367"/>
      <c r="K2258" s="2367"/>
      <c r="L2258" s="2367"/>
      <c r="M2258" s="2367"/>
      <c r="N2258" s="2367"/>
      <c r="O2258" s="2367"/>
      <c r="P2258" s="2367"/>
      <c r="Q2258" s="2367"/>
      <c r="R2258" s="2367"/>
    </row>
    <row r="2259" spans="1:18">
      <c r="A2259" s="2367"/>
      <c r="B2259" s="2367"/>
      <c r="C2259" s="2367"/>
      <c r="D2259" s="2367"/>
      <c r="E2259" s="2367"/>
      <c r="F2259" s="2367"/>
      <c r="G2259" s="2367"/>
      <c r="H2259" s="2367"/>
      <c r="I2259" s="2367"/>
      <c r="J2259" s="2367"/>
      <c r="K2259" s="2367"/>
      <c r="L2259" s="2367"/>
      <c r="M2259" s="2367"/>
      <c r="N2259" s="2367"/>
      <c r="O2259" s="2367"/>
      <c r="P2259" s="2367"/>
      <c r="Q2259" s="2367"/>
      <c r="R2259" s="2367"/>
    </row>
    <row r="2260" spans="1:18">
      <c r="A2260" s="2367"/>
      <c r="B2260" s="2367"/>
      <c r="C2260" s="2367"/>
      <c r="D2260" s="2367"/>
      <c r="E2260" s="2367"/>
      <c r="F2260" s="2367"/>
      <c r="G2260" s="2367"/>
      <c r="H2260" s="2367"/>
      <c r="I2260" s="2367"/>
      <c r="J2260" s="2367"/>
      <c r="K2260" s="2367"/>
      <c r="L2260" s="2367"/>
      <c r="M2260" s="2367"/>
      <c r="N2260" s="2367"/>
      <c r="O2260" s="2367"/>
      <c r="P2260" s="2367"/>
      <c r="Q2260" s="2367"/>
      <c r="R2260" s="2367"/>
    </row>
    <row r="2261" spans="1:18">
      <c r="A2261" s="2367"/>
      <c r="B2261" s="2367"/>
      <c r="C2261" s="2367"/>
      <c r="D2261" s="2367"/>
      <c r="E2261" s="2367"/>
      <c r="F2261" s="2367"/>
      <c r="G2261" s="2367"/>
      <c r="H2261" s="2367"/>
      <c r="I2261" s="2367"/>
      <c r="J2261" s="2367"/>
      <c r="K2261" s="2367"/>
      <c r="L2261" s="2367"/>
      <c r="M2261" s="2367"/>
      <c r="N2261" s="2367"/>
      <c r="O2261" s="2367"/>
      <c r="P2261" s="2367"/>
      <c r="Q2261" s="2367"/>
      <c r="R2261" s="2367"/>
    </row>
    <row r="2262" spans="1:18">
      <c r="A2262" s="2367"/>
      <c r="B2262" s="2367"/>
      <c r="C2262" s="2367"/>
      <c r="D2262" s="2367"/>
      <c r="E2262" s="2367"/>
      <c r="F2262" s="2367"/>
      <c r="G2262" s="2367"/>
      <c r="H2262" s="2367"/>
      <c r="I2262" s="2367"/>
      <c r="J2262" s="2367"/>
      <c r="K2262" s="2367"/>
      <c r="L2262" s="2367"/>
      <c r="M2262" s="2367"/>
      <c r="N2262" s="2367"/>
      <c r="O2262" s="2367"/>
      <c r="P2262" s="2367"/>
      <c r="Q2262" s="2367"/>
      <c r="R2262" s="2367"/>
    </row>
    <row r="2263" spans="1:18">
      <c r="A2263" s="2367"/>
      <c r="B2263" s="2367"/>
      <c r="C2263" s="2367"/>
      <c r="D2263" s="2367"/>
      <c r="E2263" s="2367"/>
      <c r="F2263" s="2367"/>
      <c r="G2263" s="2367"/>
      <c r="H2263" s="2367"/>
      <c r="I2263" s="2367"/>
      <c r="J2263" s="2367"/>
      <c r="K2263" s="2367"/>
      <c r="L2263" s="2367"/>
      <c r="M2263" s="2367"/>
      <c r="N2263" s="2367"/>
      <c r="O2263" s="2367"/>
      <c r="P2263" s="2367"/>
      <c r="Q2263" s="2367"/>
      <c r="R2263" s="2367"/>
    </row>
    <row r="2264" spans="1:18">
      <c r="A2264" s="2367"/>
      <c r="B2264" s="2367"/>
      <c r="C2264" s="2367"/>
      <c r="D2264" s="2367"/>
      <c r="E2264" s="2367"/>
      <c r="F2264" s="2367"/>
      <c r="G2264" s="2367"/>
      <c r="H2264" s="2367"/>
      <c r="I2264" s="2367"/>
      <c r="J2264" s="2367"/>
      <c r="K2264" s="2367"/>
      <c r="L2264" s="2367"/>
      <c r="M2264" s="2367"/>
      <c r="N2264" s="2367"/>
      <c r="O2264" s="2367"/>
      <c r="P2264" s="2367"/>
      <c r="Q2264" s="2367"/>
      <c r="R2264" s="2367"/>
    </row>
    <row r="2265" spans="1:18">
      <c r="A2265" s="2367"/>
      <c r="B2265" s="2367"/>
      <c r="C2265" s="2367"/>
      <c r="D2265" s="2367"/>
      <c r="E2265" s="2367"/>
      <c r="F2265" s="2367"/>
      <c r="G2265" s="2367"/>
      <c r="H2265" s="2367"/>
      <c r="I2265" s="2367"/>
      <c r="J2265" s="2367"/>
      <c r="K2265" s="2367"/>
      <c r="L2265" s="2367"/>
      <c r="M2265" s="2367"/>
      <c r="N2265" s="2367"/>
      <c r="O2265" s="2367"/>
      <c r="P2265" s="2367"/>
      <c r="Q2265" s="2367"/>
      <c r="R2265" s="2367"/>
    </row>
    <row r="2266" spans="1:18">
      <c r="A2266" s="2367"/>
      <c r="B2266" s="2367"/>
      <c r="C2266" s="2367"/>
      <c r="D2266" s="2367"/>
      <c r="E2266" s="2367"/>
      <c r="F2266" s="2367"/>
      <c r="G2266" s="2367"/>
      <c r="H2266" s="2367"/>
      <c r="I2266" s="2367"/>
      <c r="J2266" s="2367"/>
      <c r="K2266" s="2367"/>
      <c r="L2266" s="2367"/>
      <c r="M2266" s="2367"/>
      <c r="N2266" s="2367"/>
      <c r="O2266" s="2367"/>
      <c r="P2266" s="2367"/>
      <c r="Q2266" s="2367"/>
      <c r="R2266" s="2367"/>
    </row>
    <row r="2267" spans="1:18">
      <c r="A2267" s="2367"/>
      <c r="B2267" s="2367"/>
      <c r="C2267" s="2367"/>
      <c r="D2267" s="2367"/>
      <c r="E2267" s="2367"/>
      <c r="F2267" s="2367"/>
      <c r="G2267" s="2367"/>
      <c r="H2267" s="2367"/>
      <c r="I2267" s="2367"/>
      <c r="J2267" s="2367"/>
      <c r="K2267" s="2367"/>
      <c r="L2267" s="2367"/>
      <c r="M2267" s="2367"/>
      <c r="N2267" s="2367"/>
      <c r="O2267" s="2367"/>
      <c r="P2267" s="2367"/>
      <c r="Q2267" s="2367"/>
      <c r="R2267" s="2367"/>
    </row>
    <row r="2268" spans="1:18">
      <c r="A2268" s="2367"/>
      <c r="B2268" s="2367"/>
      <c r="C2268" s="2367"/>
      <c r="D2268" s="2367"/>
      <c r="E2268" s="2367"/>
      <c r="F2268" s="2367"/>
      <c r="G2268" s="2367"/>
      <c r="H2268" s="2367"/>
      <c r="I2268" s="2367"/>
      <c r="J2268" s="2367"/>
      <c r="K2268" s="2367"/>
      <c r="L2268" s="2367"/>
      <c r="M2268" s="2367"/>
      <c r="N2268" s="2367"/>
      <c r="O2268" s="2367"/>
      <c r="P2268" s="2367"/>
      <c r="Q2268" s="2367"/>
      <c r="R2268" s="2367"/>
    </row>
    <row r="2269" spans="1:18">
      <c r="A2269" s="2367"/>
      <c r="B2269" s="2367"/>
      <c r="C2269" s="2367"/>
      <c r="D2269" s="2367"/>
      <c r="E2269" s="2367"/>
      <c r="F2269" s="2367"/>
      <c r="G2269" s="2367"/>
      <c r="H2269" s="2367"/>
      <c r="I2269" s="2367"/>
      <c r="J2269" s="2367"/>
      <c r="K2269" s="2367"/>
      <c r="L2269" s="2367"/>
      <c r="M2269" s="2367"/>
      <c r="N2269" s="2367"/>
      <c r="O2269" s="2367"/>
      <c r="P2269" s="2367"/>
      <c r="Q2269" s="2367"/>
      <c r="R2269" s="2367"/>
    </row>
    <row r="2270" spans="1:18">
      <c r="A2270" s="2367"/>
      <c r="B2270" s="2367"/>
      <c r="C2270" s="2367"/>
      <c r="D2270" s="2367"/>
      <c r="E2270" s="2367"/>
      <c r="F2270" s="2367"/>
      <c r="G2270" s="2367"/>
      <c r="H2270" s="2367"/>
      <c r="I2270" s="2367"/>
      <c r="J2270" s="2367"/>
      <c r="K2270" s="2367"/>
      <c r="L2270" s="2367"/>
      <c r="M2270" s="2367"/>
      <c r="N2270" s="2367"/>
      <c r="O2270" s="2367"/>
      <c r="P2270" s="2367"/>
      <c r="Q2270" s="2367"/>
      <c r="R2270" s="2367"/>
    </row>
    <row r="2271" spans="1:18">
      <c r="A2271" s="2367"/>
      <c r="B2271" s="2367"/>
      <c r="C2271" s="2367"/>
      <c r="D2271" s="2367"/>
      <c r="E2271" s="2367"/>
      <c r="F2271" s="2367"/>
      <c r="G2271" s="2367"/>
      <c r="H2271" s="2367"/>
      <c r="I2271" s="2367"/>
      <c r="J2271" s="2367"/>
      <c r="K2271" s="2367"/>
      <c r="L2271" s="2367"/>
      <c r="M2271" s="2367"/>
      <c r="N2271" s="2367"/>
      <c r="O2271" s="2367"/>
      <c r="P2271" s="2367"/>
      <c r="Q2271" s="2367"/>
      <c r="R2271" s="2367"/>
    </row>
    <row r="2272" spans="1:18">
      <c r="A2272" s="2367"/>
      <c r="B2272" s="2367"/>
      <c r="C2272" s="2367"/>
      <c r="D2272" s="2367"/>
      <c r="E2272" s="2367"/>
      <c r="F2272" s="2367"/>
      <c r="G2272" s="2367"/>
      <c r="H2272" s="2367"/>
      <c r="I2272" s="2367"/>
      <c r="J2272" s="2367"/>
      <c r="K2272" s="2367"/>
      <c r="L2272" s="2367"/>
      <c r="M2272" s="2367"/>
      <c r="N2272" s="2367"/>
      <c r="O2272" s="2367"/>
      <c r="P2272" s="2367"/>
      <c r="Q2272" s="2367"/>
      <c r="R2272" s="2367"/>
    </row>
    <row r="2273" spans="1:18">
      <c r="A2273" s="2367"/>
      <c r="B2273" s="2367"/>
      <c r="C2273" s="2367"/>
      <c r="D2273" s="2367"/>
      <c r="E2273" s="2367"/>
      <c r="F2273" s="2367"/>
      <c r="G2273" s="2367"/>
      <c r="H2273" s="2367"/>
      <c r="I2273" s="2367"/>
      <c r="J2273" s="2367"/>
      <c r="K2273" s="2367"/>
      <c r="L2273" s="2367"/>
      <c r="M2273" s="2367"/>
      <c r="N2273" s="2367"/>
      <c r="O2273" s="2367"/>
      <c r="P2273" s="2367"/>
      <c r="Q2273" s="2367"/>
      <c r="R2273" s="2367"/>
    </row>
    <row r="2274" spans="1:18">
      <c r="A2274" s="2367"/>
      <c r="B2274" s="2367"/>
      <c r="C2274" s="2367"/>
      <c r="D2274" s="2367"/>
      <c r="E2274" s="2367"/>
      <c r="F2274" s="2367"/>
      <c r="G2274" s="2367"/>
      <c r="H2274" s="2367"/>
      <c r="I2274" s="2367"/>
      <c r="J2274" s="2367"/>
      <c r="K2274" s="2367"/>
      <c r="L2274" s="2367"/>
      <c r="M2274" s="2367"/>
      <c r="N2274" s="2367"/>
      <c r="O2274" s="2367"/>
      <c r="P2274" s="2367"/>
      <c r="Q2274" s="2367"/>
      <c r="R2274" s="2367"/>
    </row>
    <row r="2275" spans="1:18">
      <c r="A2275" s="2367"/>
      <c r="B2275" s="2367"/>
      <c r="C2275" s="2367"/>
      <c r="D2275" s="2367"/>
      <c r="E2275" s="2367"/>
      <c r="F2275" s="2367"/>
      <c r="G2275" s="2367"/>
      <c r="H2275" s="2367"/>
      <c r="I2275" s="2367"/>
      <c r="J2275" s="2367"/>
      <c r="K2275" s="2367"/>
      <c r="L2275" s="2367"/>
      <c r="M2275" s="2367"/>
      <c r="N2275" s="2367"/>
      <c r="O2275" s="2367"/>
      <c r="P2275" s="2367"/>
      <c r="Q2275" s="2367"/>
      <c r="R2275" s="2367"/>
    </row>
    <row r="2276" spans="1:18">
      <c r="A2276" s="2367"/>
      <c r="B2276" s="2367"/>
      <c r="C2276" s="2367"/>
      <c r="D2276" s="2367"/>
      <c r="E2276" s="2367"/>
      <c r="F2276" s="2367"/>
      <c r="G2276" s="2367"/>
      <c r="H2276" s="2367"/>
      <c r="I2276" s="2367"/>
      <c r="J2276" s="2367"/>
      <c r="K2276" s="2367"/>
      <c r="L2276" s="2367"/>
      <c r="M2276" s="2367"/>
      <c r="N2276" s="2367"/>
      <c r="O2276" s="2367"/>
      <c r="P2276" s="2367"/>
      <c r="Q2276" s="2367"/>
      <c r="R2276" s="2367"/>
    </row>
    <row r="2277" spans="1:18">
      <c r="A2277" s="2367"/>
      <c r="B2277" s="2367"/>
      <c r="C2277" s="2367"/>
      <c r="D2277" s="2367"/>
      <c r="E2277" s="2367"/>
      <c r="F2277" s="2367"/>
      <c r="G2277" s="2367"/>
      <c r="H2277" s="2367"/>
      <c r="I2277" s="2367"/>
      <c r="J2277" s="2367"/>
      <c r="K2277" s="2367"/>
      <c r="L2277" s="2367"/>
      <c r="M2277" s="2367"/>
      <c r="N2277" s="2367"/>
      <c r="O2277" s="2367"/>
      <c r="P2277" s="2367"/>
      <c r="Q2277" s="2367"/>
      <c r="R2277" s="2367"/>
    </row>
    <row r="2278" spans="1:18">
      <c r="A2278" s="2367"/>
      <c r="B2278" s="2367"/>
      <c r="C2278" s="2367"/>
      <c r="D2278" s="2367"/>
      <c r="E2278" s="2367"/>
      <c r="F2278" s="2367"/>
      <c r="G2278" s="2367"/>
      <c r="H2278" s="2367"/>
      <c r="I2278" s="2367"/>
      <c r="J2278" s="2367"/>
      <c r="K2278" s="2367"/>
      <c r="L2278" s="2367"/>
      <c r="M2278" s="2367"/>
      <c r="N2278" s="2367"/>
      <c r="O2278" s="2367"/>
      <c r="P2278" s="2367"/>
      <c r="Q2278" s="2367"/>
      <c r="R2278" s="2367"/>
    </row>
    <row r="2279" spans="1:18">
      <c r="A2279" s="2367"/>
      <c r="B2279" s="2367"/>
      <c r="C2279" s="2367"/>
      <c r="D2279" s="2367"/>
      <c r="E2279" s="2367"/>
      <c r="F2279" s="2367"/>
      <c r="G2279" s="2367"/>
      <c r="H2279" s="2367"/>
      <c r="I2279" s="2367"/>
      <c r="J2279" s="2367"/>
      <c r="K2279" s="2367"/>
      <c r="L2279" s="2367"/>
      <c r="M2279" s="2367"/>
      <c r="N2279" s="2367"/>
      <c r="O2279" s="2367"/>
      <c r="P2279" s="2367"/>
      <c r="Q2279" s="2367"/>
      <c r="R2279" s="2367"/>
    </row>
    <row r="2280" spans="1:18">
      <c r="A2280" s="2367"/>
      <c r="B2280" s="2367"/>
      <c r="C2280" s="2367"/>
      <c r="D2280" s="2367"/>
      <c r="E2280" s="2367"/>
      <c r="F2280" s="2367"/>
      <c r="G2280" s="2367"/>
      <c r="H2280" s="2367"/>
      <c r="I2280" s="2367"/>
      <c r="J2280" s="2367"/>
      <c r="K2280" s="2367"/>
      <c r="L2280" s="2367"/>
      <c r="M2280" s="2367"/>
      <c r="N2280" s="2367"/>
      <c r="O2280" s="2367"/>
      <c r="P2280" s="2367"/>
      <c r="Q2280" s="2367"/>
      <c r="R2280" s="2367"/>
    </row>
    <row r="2281" spans="1:18">
      <c r="A2281" s="2367"/>
      <c r="B2281" s="2367"/>
      <c r="C2281" s="2367"/>
      <c r="D2281" s="2367"/>
      <c r="E2281" s="2367"/>
      <c r="F2281" s="2367"/>
      <c r="G2281" s="2367"/>
      <c r="H2281" s="2367"/>
      <c r="I2281" s="2367"/>
      <c r="J2281" s="2367"/>
      <c r="K2281" s="2367"/>
      <c r="L2281" s="2367"/>
      <c r="M2281" s="2367"/>
      <c r="N2281" s="2367"/>
      <c r="O2281" s="2367"/>
      <c r="P2281" s="2367"/>
      <c r="Q2281" s="2367"/>
      <c r="R2281" s="2367"/>
    </row>
    <row r="2282" spans="1:18">
      <c r="A2282" s="2367"/>
      <c r="B2282" s="2367"/>
      <c r="C2282" s="2367"/>
      <c r="D2282" s="2367"/>
      <c r="E2282" s="2367"/>
      <c r="F2282" s="2367"/>
      <c r="G2282" s="2367"/>
      <c r="H2282" s="2367"/>
      <c r="I2282" s="2367"/>
      <c r="J2282" s="2367"/>
      <c r="K2282" s="2367"/>
      <c r="L2282" s="2367"/>
      <c r="M2282" s="2367"/>
      <c r="N2282" s="2367"/>
      <c r="O2282" s="2367"/>
      <c r="P2282" s="2367"/>
      <c r="Q2282" s="2367"/>
      <c r="R2282" s="2367"/>
    </row>
    <row r="2283" spans="1:18">
      <c r="A2283" s="2367"/>
      <c r="B2283" s="2367"/>
      <c r="C2283" s="2367"/>
      <c r="D2283" s="2367"/>
      <c r="E2283" s="2367"/>
      <c r="F2283" s="2367"/>
      <c r="G2283" s="2367"/>
      <c r="H2283" s="2367"/>
      <c r="I2283" s="2367"/>
      <c r="J2283" s="2367"/>
      <c r="K2283" s="2367"/>
      <c r="L2283" s="2367"/>
      <c r="M2283" s="2367"/>
      <c r="N2283" s="2367"/>
      <c r="O2283" s="2367"/>
      <c r="P2283" s="2367"/>
      <c r="Q2283" s="2367"/>
      <c r="R2283" s="2367"/>
    </row>
    <row r="2284" spans="1:18">
      <c r="A2284" s="2367"/>
      <c r="B2284" s="2367"/>
      <c r="C2284" s="2367"/>
      <c r="D2284" s="2367"/>
      <c r="E2284" s="2367"/>
      <c r="F2284" s="2367"/>
      <c r="G2284" s="2367"/>
      <c r="H2284" s="2367"/>
      <c r="I2284" s="2367"/>
      <c r="J2284" s="2367"/>
      <c r="K2284" s="2367"/>
      <c r="L2284" s="2367"/>
      <c r="M2284" s="2367"/>
      <c r="N2284" s="2367"/>
      <c r="O2284" s="2367"/>
      <c r="P2284" s="2367"/>
      <c r="Q2284" s="2367"/>
      <c r="R2284" s="2367"/>
    </row>
    <row r="2285" spans="1:18">
      <c r="A2285" s="2367"/>
      <c r="B2285" s="2367"/>
      <c r="C2285" s="2367"/>
      <c r="D2285" s="2367"/>
      <c r="E2285" s="2367"/>
      <c r="F2285" s="2367"/>
      <c r="G2285" s="2367"/>
      <c r="H2285" s="2367"/>
      <c r="I2285" s="2367"/>
      <c r="J2285" s="2367"/>
      <c r="K2285" s="2367"/>
      <c r="L2285" s="2367"/>
      <c r="M2285" s="2367"/>
      <c r="N2285" s="2367"/>
      <c r="O2285" s="2367"/>
      <c r="P2285" s="2367"/>
      <c r="Q2285" s="2367"/>
      <c r="R2285" s="2367"/>
    </row>
    <row r="2286" spans="1:18">
      <c r="A2286" s="2367"/>
      <c r="B2286" s="2367"/>
      <c r="C2286" s="2367"/>
      <c r="D2286" s="2367"/>
      <c r="E2286" s="2367"/>
      <c r="F2286" s="2367"/>
      <c r="G2286" s="2367"/>
      <c r="H2286" s="2367"/>
      <c r="I2286" s="2367"/>
      <c r="J2286" s="2367"/>
      <c r="K2286" s="2367"/>
      <c r="L2286" s="2367"/>
      <c r="M2286" s="2367"/>
      <c r="N2286" s="2367"/>
      <c r="O2286" s="2367"/>
      <c r="P2286" s="2367"/>
      <c r="Q2286" s="2367"/>
      <c r="R2286" s="2367"/>
    </row>
    <row r="2287" spans="1:18">
      <c r="A2287" s="2367"/>
      <c r="B2287" s="2367"/>
      <c r="C2287" s="2367"/>
      <c r="D2287" s="2367"/>
      <c r="E2287" s="2367"/>
      <c r="F2287" s="2367"/>
      <c r="G2287" s="2367"/>
      <c r="H2287" s="2367"/>
      <c r="I2287" s="2367"/>
      <c r="J2287" s="2367"/>
      <c r="K2287" s="2367"/>
      <c r="L2287" s="2367"/>
      <c r="M2287" s="2367"/>
      <c r="N2287" s="2367"/>
      <c r="O2287" s="2367"/>
      <c r="P2287" s="2367"/>
      <c r="Q2287" s="2367"/>
      <c r="R2287" s="2367"/>
    </row>
    <row r="2288" spans="1:18">
      <c r="A2288" s="2367"/>
      <c r="B2288" s="2367"/>
      <c r="C2288" s="2367"/>
      <c r="D2288" s="2367"/>
      <c r="E2288" s="2367"/>
      <c r="F2288" s="2367"/>
      <c r="G2288" s="2367"/>
      <c r="H2288" s="2367"/>
      <c r="I2288" s="2367"/>
      <c r="J2288" s="2367"/>
      <c r="K2288" s="2367"/>
      <c r="L2288" s="2367"/>
      <c r="M2288" s="2367"/>
      <c r="N2288" s="2367"/>
      <c r="O2288" s="2367"/>
      <c r="P2288" s="2367"/>
      <c r="Q2288" s="2367"/>
      <c r="R2288" s="2367"/>
    </row>
    <row r="2289" spans="1:18">
      <c r="A2289" s="2367"/>
      <c r="B2289" s="2367"/>
      <c r="C2289" s="2367"/>
      <c r="D2289" s="2367"/>
      <c r="E2289" s="2367"/>
      <c r="F2289" s="2367"/>
      <c r="G2289" s="2367"/>
      <c r="H2289" s="2367"/>
      <c r="I2289" s="2367"/>
      <c r="J2289" s="2367"/>
      <c r="K2289" s="2367"/>
      <c r="L2289" s="2367"/>
      <c r="M2289" s="2367"/>
      <c r="N2289" s="2367"/>
      <c r="O2289" s="2367"/>
      <c r="P2289" s="2367"/>
      <c r="Q2289" s="2367"/>
      <c r="R2289" s="2367"/>
    </row>
    <row r="2290" spans="1:18">
      <c r="A2290" s="2367"/>
      <c r="B2290" s="2367"/>
      <c r="C2290" s="2367"/>
      <c r="D2290" s="2367"/>
      <c r="E2290" s="2367"/>
      <c r="F2290" s="2367"/>
      <c r="G2290" s="2367"/>
      <c r="H2290" s="2367"/>
      <c r="I2290" s="2367"/>
      <c r="J2290" s="2367"/>
      <c r="K2290" s="2367"/>
      <c r="L2290" s="2367"/>
      <c r="M2290" s="2367"/>
      <c r="N2290" s="2367"/>
      <c r="O2290" s="2367"/>
      <c r="P2290" s="2367"/>
      <c r="Q2290" s="2367"/>
      <c r="R2290" s="2367"/>
    </row>
    <row r="2291" spans="1:18">
      <c r="A2291" s="2367"/>
      <c r="B2291" s="2367"/>
      <c r="C2291" s="2367"/>
      <c r="D2291" s="2367"/>
      <c r="E2291" s="2367"/>
      <c r="F2291" s="2367"/>
      <c r="G2291" s="2367"/>
      <c r="H2291" s="2367"/>
      <c r="I2291" s="2367"/>
      <c r="J2291" s="2367"/>
      <c r="K2291" s="2367"/>
      <c r="L2291" s="2367"/>
      <c r="M2291" s="2367"/>
      <c r="N2291" s="2367"/>
      <c r="O2291" s="2367"/>
      <c r="P2291" s="2367"/>
      <c r="Q2291" s="2367"/>
      <c r="R2291" s="2367"/>
    </row>
    <row r="2292" spans="1:18">
      <c r="A2292" s="2367"/>
      <c r="B2292" s="2367"/>
      <c r="C2292" s="2367"/>
      <c r="D2292" s="2367"/>
      <c r="E2292" s="2367"/>
      <c r="F2292" s="2367"/>
      <c r="G2292" s="2367"/>
      <c r="H2292" s="2367"/>
      <c r="I2292" s="2367"/>
      <c r="J2292" s="2367"/>
      <c r="K2292" s="2367"/>
      <c r="L2292" s="2367"/>
      <c r="M2292" s="2367"/>
      <c r="N2292" s="2367"/>
      <c r="O2292" s="2367"/>
      <c r="P2292" s="2367"/>
      <c r="Q2292" s="2367"/>
      <c r="R2292" s="2367"/>
    </row>
    <row r="2293" spans="1:18">
      <c r="A2293" s="2367"/>
      <c r="B2293" s="2367"/>
      <c r="C2293" s="2367"/>
      <c r="D2293" s="2367"/>
      <c r="E2293" s="2367"/>
      <c r="F2293" s="2367"/>
      <c r="G2293" s="2367"/>
      <c r="H2293" s="2367"/>
      <c r="I2293" s="2367"/>
      <c r="J2293" s="2367"/>
      <c r="K2293" s="2367"/>
      <c r="L2293" s="2367"/>
      <c r="M2293" s="2367"/>
      <c r="N2293" s="2367"/>
      <c r="O2293" s="2367"/>
      <c r="P2293" s="2367"/>
      <c r="Q2293" s="2367"/>
      <c r="R2293" s="2367"/>
    </row>
    <row r="2294" spans="1:18">
      <c r="A2294" s="2367"/>
      <c r="B2294" s="2367"/>
      <c r="C2294" s="2367"/>
      <c r="D2294" s="2367"/>
      <c r="E2294" s="2367"/>
      <c r="F2294" s="2367"/>
      <c r="G2294" s="2367"/>
      <c r="H2294" s="2367"/>
      <c r="I2294" s="2367"/>
      <c r="J2294" s="2367"/>
      <c r="K2294" s="2367"/>
      <c r="L2294" s="2367"/>
      <c r="M2294" s="2367"/>
      <c r="N2294" s="2367"/>
      <c r="O2294" s="2367"/>
      <c r="P2294" s="2367"/>
      <c r="Q2294" s="2367"/>
      <c r="R2294" s="2367"/>
    </row>
    <row r="2295" spans="1:18">
      <c r="A2295" s="2367"/>
      <c r="B2295" s="2367"/>
      <c r="C2295" s="2367"/>
      <c r="D2295" s="2367"/>
      <c r="E2295" s="2367"/>
      <c r="F2295" s="2367"/>
      <c r="G2295" s="2367"/>
      <c r="H2295" s="2367"/>
      <c r="I2295" s="2367"/>
      <c r="J2295" s="2367"/>
      <c r="K2295" s="2367"/>
      <c r="L2295" s="2367"/>
      <c r="M2295" s="2367"/>
      <c r="N2295" s="2367"/>
      <c r="O2295" s="2367"/>
      <c r="P2295" s="2367"/>
      <c r="Q2295" s="2367"/>
      <c r="R2295" s="2367"/>
    </row>
    <row r="2296" spans="1:18">
      <c r="A2296" s="2367"/>
      <c r="B2296" s="2367"/>
      <c r="C2296" s="2367"/>
      <c r="D2296" s="2367"/>
      <c r="E2296" s="2367"/>
      <c r="F2296" s="2367"/>
      <c r="G2296" s="2367"/>
      <c r="H2296" s="2367"/>
      <c r="I2296" s="2367"/>
      <c r="J2296" s="2367"/>
      <c r="K2296" s="2367"/>
      <c r="L2296" s="2367"/>
      <c r="M2296" s="2367"/>
      <c r="N2296" s="2367"/>
      <c r="O2296" s="2367"/>
      <c r="P2296" s="2367"/>
      <c r="Q2296" s="2367"/>
      <c r="R2296" s="2367"/>
    </row>
    <row r="2297" spans="1:18">
      <c r="A2297" s="2367"/>
      <c r="B2297" s="2367"/>
      <c r="C2297" s="2367"/>
      <c r="D2297" s="2367"/>
      <c r="E2297" s="2367"/>
      <c r="F2297" s="2367"/>
      <c r="G2297" s="2367"/>
      <c r="H2297" s="2367"/>
      <c r="I2297" s="2367"/>
      <c r="J2297" s="2367"/>
      <c r="K2297" s="2367"/>
      <c r="L2297" s="2367"/>
      <c r="M2297" s="2367"/>
      <c r="N2297" s="2367"/>
      <c r="O2297" s="2367"/>
      <c r="P2297" s="2367"/>
      <c r="Q2297" s="2367"/>
      <c r="R2297" s="2367"/>
    </row>
    <row r="2298" spans="1:18">
      <c r="A2298" s="2367"/>
      <c r="B2298" s="2367"/>
      <c r="C2298" s="2367"/>
      <c r="D2298" s="2367"/>
      <c r="E2298" s="2367"/>
      <c r="F2298" s="2367"/>
      <c r="G2298" s="2367"/>
      <c r="H2298" s="2367"/>
      <c r="I2298" s="2367"/>
      <c r="J2298" s="2367"/>
      <c r="K2298" s="2367"/>
      <c r="L2298" s="2367"/>
      <c r="M2298" s="2367"/>
      <c r="N2298" s="2367"/>
      <c r="O2298" s="2367"/>
      <c r="P2298" s="2367"/>
      <c r="Q2298" s="2367"/>
      <c r="R2298" s="2367"/>
    </row>
    <row r="2299" spans="1:18">
      <c r="A2299" s="2367"/>
      <c r="B2299" s="2367"/>
      <c r="C2299" s="2367"/>
      <c r="D2299" s="2367"/>
      <c r="E2299" s="2367"/>
      <c r="F2299" s="2367"/>
      <c r="G2299" s="2367"/>
      <c r="H2299" s="2367"/>
      <c r="I2299" s="2367"/>
      <c r="J2299" s="2367"/>
      <c r="K2299" s="2367"/>
      <c r="L2299" s="2367"/>
      <c r="M2299" s="2367"/>
      <c r="N2299" s="2367"/>
      <c r="O2299" s="2367"/>
      <c r="P2299" s="2367"/>
      <c r="Q2299" s="2367"/>
      <c r="R2299" s="2367"/>
    </row>
    <row r="2300" spans="1:18">
      <c r="A2300" s="2367"/>
      <c r="B2300" s="2367"/>
      <c r="C2300" s="2367"/>
      <c r="D2300" s="2367"/>
      <c r="E2300" s="2367"/>
      <c r="F2300" s="2367"/>
      <c r="G2300" s="2367"/>
      <c r="H2300" s="2367"/>
      <c r="I2300" s="2367"/>
      <c r="J2300" s="2367"/>
      <c r="K2300" s="2367"/>
      <c r="L2300" s="2367"/>
      <c r="M2300" s="2367"/>
      <c r="N2300" s="2367"/>
      <c r="O2300" s="2367"/>
      <c r="P2300" s="2367"/>
      <c r="Q2300" s="2367"/>
      <c r="R2300" s="2367"/>
    </row>
    <row r="2301" spans="1:18">
      <c r="A2301" s="2367"/>
      <c r="B2301" s="2367"/>
      <c r="C2301" s="2367"/>
      <c r="D2301" s="2367"/>
      <c r="E2301" s="2367"/>
      <c r="F2301" s="2367"/>
      <c r="G2301" s="2367"/>
      <c r="H2301" s="2367"/>
      <c r="I2301" s="2367"/>
      <c r="J2301" s="2367"/>
      <c r="K2301" s="2367"/>
      <c r="L2301" s="2367"/>
      <c r="M2301" s="2367"/>
      <c r="N2301" s="2367"/>
      <c r="O2301" s="2367"/>
      <c r="P2301" s="2367"/>
      <c r="Q2301" s="2367"/>
      <c r="R2301" s="2367"/>
    </row>
    <row r="2302" spans="1:18">
      <c r="A2302" s="2367"/>
      <c r="B2302" s="2367"/>
      <c r="C2302" s="2367"/>
      <c r="D2302" s="2367"/>
      <c r="E2302" s="2367"/>
      <c r="F2302" s="2367"/>
      <c r="G2302" s="2367"/>
      <c r="H2302" s="2367"/>
      <c r="I2302" s="2367"/>
      <c r="J2302" s="2367"/>
      <c r="K2302" s="2367"/>
      <c r="L2302" s="2367"/>
      <c r="M2302" s="2367"/>
      <c r="N2302" s="2367"/>
      <c r="O2302" s="2367"/>
      <c r="P2302" s="2367"/>
      <c r="Q2302" s="2367"/>
      <c r="R2302" s="2367"/>
    </row>
    <row r="2303" spans="1:18">
      <c r="A2303" s="2367"/>
      <c r="B2303" s="2367"/>
      <c r="C2303" s="2367"/>
      <c r="D2303" s="2367"/>
      <c r="E2303" s="2367"/>
      <c r="F2303" s="2367"/>
      <c r="G2303" s="2367"/>
      <c r="H2303" s="2367"/>
      <c r="I2303" s="2367"/>
      <c r="J2303" s="2367"/>
      <c r="K2303" s="2367"/>
      <c r="L2303" s="2367"/>
      <c r="M2303" s="2367"/>
      <c r="N2303" s="2367"/>
      <c r="O2303" s="2367"/>
      <c r="P2303" s="2367"/>
      <c r="Q2303" s="2367"/>
      <c r="R2303" s="2367"/>
    </row>
    <row r="2304" spans="1:18">
      <c r="A2304" s="2367"/>
      <c r="B2304" s="2367"/>
      <c r="C2304" s="2367"/>
      <c r="D2304" s="2367"/>
      <c r="E2304" s="2367"/>
      <c r="F2304" s="2367"/>
      <c r="G2304" s="2367"/>
      <c r="H2304" s="2367"/>
      <c r="I2304" s="2367"/>
      <c r="J2304" s="2367"/>
      <c r="K2304" s="2367"/>
      <c r="L2304" s="2367"/>
      <c r="M2304" s="2367"/>
      <c r="N2304" s="2367"/>
      <c r="O2304" s="2367"/>
      <c r="P2304" s="2367"/>
      <c r="Q2304" s="2367"/>
      <c r="R2304" s="2367"/>
    </row>
    <row r="2305" spans="1:18">
      <c r="A2305" s="2367"/>
      <c r="B2305" s="2367"/>
      <c r="C2305" s="2367"/>
      <c r="D2305" s="2367"/>
      <c r="E2305" s="2367"/>
      <c r="F2305" s="2367"/>
      <c r="G2305" s="2367"/>
      <c r="H2305" s="2367"/>
      <c r="I2305" s="2367"/>
      <c r="J2305" s="2367"/>
      <c r="K2305" s="2367"/>
      <c r="L2305" s="2367"/>
      <c r="M2305" s="2367"/>
      <c r="N2305" s="2367"/>
      <c r="O2305" s="2367"/>
      <c r="P2305" s="2367"/>
      <c r="Q2305" s="2367"/>
      <c r="R2305" s="2367"/>
    </row>
    <row r="2306" spans="1:18">
      <c r="A2306" s="2367"/>
      <c r="B2306" s="2367"/>
      <c r="C2306" s="2367"/>
      <c r="D2306" s="2367"/>
      <c r="E2306" s="2367"/>
      <c r="F2306" s="2367"/>
      <c r="G2306" s="2367"/>
      <c r="H2306" s="2367"/>
      <c r="I2306" s="2367"/>
      <c r="J2306" s="2367"/>
      <c r="K2306" s="2367"/>
      <c r="L2306" s="2367"/>
      <c r="M2306" s="2367"/>
      <c r="N2306" s="2367"/>
      <c r="O2306" s="2367"/>
      <c r="P2306" s="2367"/>
      <c r="Q2306" s="2367"/>
      <c r="R2306" s="2367"/>
    </row>
    <row r="2307" spans="1:18">
      <c r="A2307" s="2367"/>
      <c r="B2307" s="2367"/>
      <c r="C2307" s="2367"/>
      <c r="D2307" s="2367"/>
      <c r="E2307" s="2367"/>
      <c r="F2307" s="2367"/>
      <c r="G2307" s="2367"/>
      <c r="H2307" s="2367"/>
      <c r="I2307" s="2367"/>
      <c r="J2307" s="2367"/>
      <c r="K2307" s="2367"/>
      <c r="L2307" s="2367"/>
      <c r="M2307" s="2367"/>
      <c r="N2307" s="2367"/>
      <c r="O2307" s="2367"/>
      <c r="P2307" s="2367"/>
      <c r="Q2307" s="2367"/>
      <c r="R2307" s="2367"/>
    </row>
    <row r="2308" spans="1:18">
      <c r="A2308" s="2367"/>
      <c r="B2308" s="2367"/>
      <c r="C2308" s="2367"/>
      <c r="D2308" s="2367"/>
      <c r="E2308" s="2367"/>
      <c r="F2308" s="2367"/>
      <c r="G2308" s="2367"/>
      <c r="H2308" s="2367"/>
      <c r="I2308" s="2367"/>
      <c r="J2308" s="2367"/>
      <c r="K2308" s="2367"/>
      <c r="L2308" s="2367"/>
      <c r="M2308" s="2367"/>
      <c r="N2308" s="2367"/>
      <c r="O2308" s="2367"/>
      <c r="P2308" s="2367"/>
      <c r="Q2308" s="2367"/>
      <c r="R2308" s="2367"/>
    </row>
    <row r="2309" spans="1:18">
      <c r="A2309" s="2367"/>
      <c r="B2309" s="2367"/>
      <c r="C2309" s="2367"/>
      <c r="D2309" s="2367"/>
      <c r="E2309" s="2367"/>
      <c r="F2309" s="2367"/>
      <c r="G2309" s="2367"/>
      <c r="H2309" s="2367"/>
      <c r="I2309" s="2367"/>
      <c r="J2309" s="2367"/>
      <c r="K2309" s="2367"/>
      <c r="L2309" s="2367"/>
      <c r="M2309" s="2367"/>
      <c r="N2309" s="2367"/>
      <c r="O2309" s="2367"/>
      <c r="P2309" s="2367"/>
      <c r="Q2309" s="2367"/>
      <c r="R2309" s="2367"/>
    </row>
    <row r="2310" spans="1:18">
      <c r="A2310" s="2367"/>
      <c r="B2310" s="2367"/>
      <c r="C2310" s="2367"/>
      <c r="D2310" s="2367"/>
      <c r="E2310" s="2367"/>
      <c r="F2310" s="2367"/>
      <c r="G2310" s="2367"/>
      <c r="H2310" s="2367"/>
      <c r="I2310" s="2367"/>
      <c r="J2310" s="2367"/>
      <c r="K2310" s="2367"/>
      <c r="L2310" s="2367"/>
      <c r="M2310" s="2367"/>
      <c r="N2310" s="2367"/>
      <c r="O2310" s="2367"/>
      <c r="P2310" s="2367"/>
      <c r="Q2310" s="2367"/>
      <c r="R2310" s="2367"/>
    </row>
    <row r="2311" spans="1:18">
      <c r="A2311" s="2367"/>
      <c r="B2311" s="2367"/>
      <c r="C2311" s="2367"/>
      <c r="D2311" s="2367"/>
      <c r="E2311" s="2367"/>
      <c r="F2311" s="2367"/>
      <c r="G2311" s="2367"/>
      <c r="H2311" s="2367"/>
      <c r="I2311" s="2367"/>
      <c r="J2311" s="2367"/>
      <c r="K2311" s="2367"/>
      <c r="L2311" s="2367"/>
      <c r="M2311" s="2367"/>
      <c r="N2311" s="2367"/>
      <c r="O2311" s="2367"/>
      <c r="P2311" s="2367"/>
      <c r="Q2311" s="2367"/>
      <c r="R2311" s="2367"/>
    </row>
    <row r="2312" spans="1:18">
      <c r="A2312" s="2367"/>
      <c r="B2312" s="2367"/>
      <c r="C2312" s="2367"/>
      <c r="D2312" s="2367"/>
      <c r="E2312" s="2367"/>
      <c r="F2312" s="2367"/>
      <c r="G2312" s="2367"/>
      <c r="H2312" s="2367"/>
      <c r="I2312" s="2367"/>
      <c r="J2312" s="2367"/>
      <c r="K2312" s="2367"/>
      <c r="L2312" s="2367"/>
      <c r="M2312" s="2367"/>
      <c r="N2312" s="2367"/>
      <c r="O2312" s="2367"/>
      <c r="P2312" s="2367"/>
      <c r="Q2312" s="2367"/>
      <c r="R2312" s="2367"/>
    </row>
    <row r="2313" spans="1:18">
      <c r="A2313" s="2367"/>
      <c r="B2313" s="2367"/>
      <c r="C2313" s="2367"/>
      <c r="D2313" s="2367"/>
      <c r="E2313" s="2367"/>
      <c r="F2313" s="2367"/>
      <c r="G2313" s="2367"/>
      <c r="H2313" s="2367"/>
      <c r="I2313" s="2367"/>
      <c r="J2313" s="2367"/>
      <c r="K2313" s="2367"/>
      <c r="L2313" s="2367"/>
      <c r="M2313" s="2367"/>
      <c r="N2313" s="2367"/>
      <c r="O2313" s="2367"/>
      <c r="P2313" s="2367"/>
      <c r="Q2313" s="2367"/>
      <c r="R2313" s="2367"/>
    </row>
    <row r="2314" spans="1:18">
      <c r="A2314" s="2367"/>
      <c r="B2314" s="2367"/>
      <c r="C2314" s="2367"/>
      <c r="D2314" s="2367"/>
      <c r="E2314" s="2367"/>
      <c r="F2314" s="2367"/>
      <c r="G2314" s="2367"/>
      <c r="H2314" s="2367"/>
      <c r="I2314" s="2367"/>
      <c r="J2314" s="2367"/>
      <c r="K2314" s="2367"/>
      <c r="L2314" s="2367"/>
      <c r="M2314" s="2367"/>
      <c r="N2314" s="2367"/>
      <c r="O2314" s="2367"/>
      <c r="P2314" s="2367"/>
      <c r="Q2314" s="2367"/>
      <c r="R2314" s="2367"/>
    </row>
    <row r="2315" spans="1:18">
      <c r="A2315" s="2367"/>
      <c r="B2315" s="2367"/>
      <c r="C2315" s="2367"/>
      <c r="D2315" s="2367"/>
      <c r="E2315" s="2367"/>
      <c r="F2315" s="2367"/>
      <c r="G2315" s="2367"/>
      <c r="H2315" s="2367"/>
      <c r="I2315" s="2367"/>
      <c r="J2315" s="2367"/>
      <c r="K2315" s="2367"/>
      <c r="L2315" s="2367"/>
      <c r="M2315" s="2367"/>
      <c r="N2315" s="2367"/>
      <c r="O2315" s="2367"/>
      <c r="P2315" s="2367"/>
      <c r="Q2315" s="2367"/>
      <c r="R2315" s="2367"/>
    </row>
    <row r="2316" spans="1:18">
      <c r="A2316" s="2367"/>
      <c r="B2316" s="2367"/>
      <c r="C2316" s="2367"/>
      <c r="D2316" s="2367"/>
      <c r="E2316" s="2367"/>
      <c r="F2316" s="2367"/>
      <c r="G2316" s="2367"/>
      <c r="H2316" s="2367"/>
      <c r="I2316" s="2367"/>
      <c r="J2316" s="2367"/>
      <c r="K2316" s="2367"/>
      <c r="L2316" s="2367"/>
      <c r="M2316" s="2367"/>
      <c r="N2316" s="2367"/>
      <c r="O2316" s="2367"/>
      <c r="P2316" s="2367"/>
      <c r="Q2316" s="2367"/>
      <c r="R2316" s="2367"/>
    </row>
    <row r="2317" spans="1:18">
      <c r="A2317" s="2367"/>
      <c r="B2317" s="2367"/>
      <c r="C2317" s="2367"/>
      <c r="D2317" s="2367"/>
      <c r="E2317" s="2367"/>
      <c r="F2317" s="2367"/>
      <c r="G2317" s="2367"/>
      <c r="H2317" s="2367"/>
      <c r="I2317" s="2367"/>
      <c r="J2317" s="2367"/>
      <c r="K2317" s="2367"/>
      <c r="L2317" s="2367"/>
      <c r="M2317" s="2367"/>
      <c r="N2317" s="2367"/>
      <c r="O2317" s="2367"/>
      <c r="P2317" s="2367"/>
      <c r="Q2317" s="2367"/>
      <c r="R2317" s="2367"/>
    </row>
    <row r="2318" spans="1:18">
      <c r="A2318" s="2367"/>
      <c r="B2318" s="2367"/>
      <c r="C2318" s="2367"/>
      <c r="D2318" s="2367"/>
      <c r="E2318" s="2367"/>
      <c r="F2318" s="2367"/>
      <c r="G2318" s="2367"/>
      <c r="H2318" s="2367"/>
      <c r="I2318" s="2367"/>
      <c r="J2318" s="2367"/>
      <c r="K2318" s="2367"/>
      <c r="L2318" s="2367"/>
      <c r="M2318" s="2367"/>
      <c r="N2318" s="2367"/>
      <c r="O2318" s="2367"/>
      <c r="P2318" s="2367"/>
      <c r="Q2318" s="2367"/>
      <c r="R2318" s="2367"/>
    </row>
    <row r="2319" spans="1:18">
      <c r="A2319" s="2367"/>
      <c r="B2319" s="2367"/>
      <c r="C2319" s="2367"/>
      <c r="D2319" s="2367"/>
      <c r="E2319" s="2367"/>
      <c r="F2319" s="2367"/>
      <c r="G2319" s="2367"/>
      <c r="H2319" s="2367"/>
      <c r="I2319" s="2367"/>
      <c r="J2319" s="2367"/>
      <c r="K2319" s="2367"/>
      <c r="L2319" s="2367"/>
      <c r="M2319" s="2367"/>
      <c r="N2319" s="2367"/>
      <c r="O2319" s="2367"/>
      <c r="P2319" s="2367"/>
      <c r="Q2319" s="2367"/>
      <c r="R2319" s="2367"/>
    </row>
    <row r="2320" spans="1:18">
      <c r="A2320" s="2367"/>
      <c r="B2320" s="2367"/>
      <c r="C2320" s="2367"/>
      <c r="D2320" s="2367"/>
      <c r="E2320" s="2367"/>
      <c r="F2320" s="2367"/>
      <c r="G2320" s="2367"/>
      <c r="H2320" s="2367"/>
      <c r="I2320" s="2367"/>
      <c r="J2320" s="2367"/>
      <c r="K2320" s="2367"/>
      <c r="L2320" s="2367"/>
      <c r="M2320" s="2367"/>
      <c r="N2320" s="2367"/>
      <c r="O2320" s="2367"/>
      <c r="P2320" s="2367"/>
      <c r="Q2320" s="2367"/>
      <c r="R2320" s="2367"/>
    </row>
    <row r="2321" spans="1:18">
      <c r="A2321" s="2367"/>
      <c r="B2321" s="2367"/>
      <c r="C2321" s="2367"/>
      <c r="D2321" s="2367"/>
      <c r="E2321" s="2367"/>
      <c r="F2321" s="2367"/>
      <c r="G2321" s="2367"/>
      <c r="H2321" s="2367"/>
      <c r="I2321" s="2367"/>
      <c r="J2321" s="2367"/>
      <c r="K2321" s="2367"/>
      <c r="L2321" s="2367"/>
      <c r="M2321" s="2367"/>
      <c r="N2321" s="2367"/>
      <c r="O2321" s="2367"/>
      <c r="P2321" s="2367"/>
      <c r="Q2321" s="2367"/>
      <c r="R2321" s="2367"/>
    </row>
    <row r="2322" spans="1:18">
      <c r="A2322" s="2367"/>
      <c r="B2322" s="2367"/>
      <c r="C2322" s="2367"/>
      <c r="D2322" s="2367"/>
      <c r="E2322" s="2367"/>
      <c r="F2322" s="2367"/>
      <c r="G2322" s="2367"/>
      <c r="H2322" s="2367"/>
      <c r="I2322" s="2367"/>
      <c r="J2322" s="2367"/>
      <c r="K2322" s="2367"/>
      <c r="L2322" s="2367"/>
      <c r="M2322" s="2367"/>
      <c r="N2322" s="2367"/>
      <c r="O2322" s="2367"/>
      <c r="P2322" s="2367"/>
      <c r="Q2322" s="2367"/>
      <c r="R2322" s="2367"/>
    </row>
    <row r="2323" spans="1:18">
      <c r="A2323" s="2367"/>
      <c r="B2323" s="2367"/>
      <c r="C2323" s="2367"/>
      <c r="D2323" s="2367"/>
      <c r="E2323" s="2367"/>
      <c r="F2323" s="2367"/>
      <c r="G2323" s="2367"/>
      <c r="H2323" s="2367"/>
      <c r="I2323" s="2367"/>
      <c r="J2323" s="2367"/>
      <c r="K2323" s="2367"/>
      <c r="L2323" s="2367"/>
      <c r="M2323" s="2367"/>
      <c r="N2323" s="2367"/>
      <c r="O2323" s="2367"/>
      <c r="P2323" s="2367"/>
      <c r="Q2323" s="2367"/>
      <c r="R2323" s="2367"/>
    </row>
    <row r="2324" spans="1:18">
      <c r="A2324" s="2367"/>
      <c r="B2324" s="2367"/>
      <c r="C2324" s="2367"/>
      <c r="D2324" s="2367"/>
      <c r="E2324" s="2367"/>
      <c r="F2324" s="2367"/>
      <c r="G2324" s="2367"/>
      <c r="H2324" s="2367"/>
      <c r="I2324" s="2367"/>
      <c r="J2324" s="2367"/>
      <c r="K2324" s="2367"/>
      <c r="L2324" s="2367"/>
      <c r="M2324" s="2367"/>
      <c r="N2324" s="2367"/>
      <c r="O2324" s="2367"/>
      <c r="P2324" s="2367"/>
      <c r="Q2324" s="2367"/>
      <c r="R2324" s="2367"/>
    </row>
    <row r="2325" spans="1:18">
      <c r="A2325" s="2367"/>
      <c r="B2325" s="2367"/>
      <c r="C2325" s="2367"/>
      <c r="D2325" s="2367"/>
      <c r="E2325" s="2367"/>
      <c r="F2325" s="2367"/>
      <c r="G2325" s="2367"/>
      <c r="H2325" s="2367"/>
      <c r="I2325" s="2367"/>
      <c r="J2325" s="2367"/>
      <c r="K2325" s="2367"/>
      <c r="L2325" s="2367"/>
      <c r="M2325" s="2367"/>
      <c r="N2325" s="2367"/>
      <c r="O2325" s="2367"/>
      <c r="P2325" s="2367"/>
      <c r="Q2325" s="2367"/>
      <c r="R2325" s="2367"/>
    </row>
    <row r="2326" spans="1:18">
      <c r="A2326" s="2367"/>
      <c r="B2326" s="2367"/>
      <c r="C2326" s="2367"/>
      <c r="D2326" s="2367"/>
      <c r="E2326" s="2367"/>
      <c r="F2326" s="2367"/>
      <c r="G2326" s="2367"/>
      <c r="H2326" s="2367"/>
      <c r="I2326" s="2367"/>
      <c r="J2326" s="2367"/>
      <c r="K2326" s="2367"/>
      <c r="L2326" s="2367"/>
      <c r="M2326" s="2367"/>
      <c r="N2326" s="2367"/>
      <c r="O2326" s="2367"/>
      <c r="P2326" s="2367"/>
      <c r="Q2326" s="2367"/>
      <c r="R2326" s="2367"/>
    </row>
    <row r="2327" spans="1:18">
      <c r="A2327" s="2367"/>
      <c r="B2327" s="2367"/>
      <c r="C2327" s="2367"/>
      <c r="D2327" s="2367"/>
      <c r="E2327" s="2367"/>
      <c r="F2327" s="2367"/>
      <c r="G2327" s="2367"/>
      <c r="H2327" s="2367"/>
      <c r="I2327" s="2367"/>
      <c r="J2327" s="2367"/>
      <c r="K2327" s="2367"/>
      <c r="L2327" s="2367"/>
      <c r="M2327" s="2367"/>
      <c r="N2327" s="2367"/>
      <c r="O2327" s="2367"/>
      <c r="P2327" s="2367"/>
      <c r="Q2327" s="2367"/>
      <c r="R2327" s="2367"/>
    </row>
  </sheetData>
  <pageMargins left="0.75" right="0.75" top="1" bottom="1" header="0.5" footer="0.5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72E7-63C3-C844-8284-B6CBD26B4CF0}">
  <sheetPr codeName="Sheet4">
    <tabColor rgb="FF00B0F0"/>
  </sheetPr>
  <dimension ref="A1:S90"/>
  <sheetViews>
    <sheetView topLeftCell="A3" zoomScale="80" zoomScaleNormal="80" workbookViewId="0">
      <pane xSplit="3" ySplit="4" topLeftCell="D73" activePane="bottomRight" state="frozen"/>
      <selection pane="topRight" activeCell="D3" sqref="D3"/>
      <selection pane="bottomLeft" activeCell="A7" sqref="A7"/>
      <selection pane="bottomRight" activeCell="F83" sqref="F83"/>
    </sheetView>
  </sheetViews>
  <sheetFormatPr baseColWidth="10" defaultColWidth="11" defaultRowHeight="16"/>
  <cols>
    <col min="1" max="1" width="31.1640625" customWidth="1"/>
    <col min="2" max="2" width="18" customWidth="1"/>
    <col min="3" max="3" width="1.5" customWidth="1"/>
    <col min="4" max="5" width="18" customWidth="1"/>
    <col min="6" max="7" width="12.5" customWidth="1"/>
    <col min="8" max="8" width="13.1640625" customWidth="1"/>
    <col min="9" max="9" width="18" customWidth="1"/>
    <col min="10" max="10" width="20.33203125" customWidth="1"/>
    <col min="11" max="13" width="18.1640625" style="63" customWidth="1"/>
    <col min="14" max="14" width="15.83203125" style="63" customWidth="1"/>
    <col min="15" max="15" width="16.33203125" style="131" customWidth="1"/>
    <col min="16" max="16" width="2.1640625" style="63" customWidth="1"/>
    <col min="17" max="17" width="18.6640625" style="63" customWidth="1"/>
    <col min="18" max="18" width="15.5" style="135" customWidth="1"/>
    <col min="19" max="19" width="18.6640625" style="63" customWidth="1"/>
  </cols>
  <sheetData>
    <row r="1" spans="1:19">
      <c r="B1">
        <v>1</v>
      </c>
      <c r="D1">
        <v>4</v>
      </c>
      <c r="E1">
        <v>5</v>
      </c>
      <c r="F1">
        <v>6</v>
      </c>
      <c r="H1">
        <v>7</v>
      </c>
      <c r="I1">
        <v>8</v>
      </c>
      <c r="J1">
        <v>9</v>
      </c>
      <c r="K1">
        <v>10</v>
      </c>
      <c r="L1"/>
      <c r="M1">
        <v>11</v>
      </c>
      <c r="N1">
        <v>12</v>
      </c>
      <c r="O1">
        <v>13</v>
      </c>
      <c r="P1">
        <v>14</v>
      </c>
      <c r="Q1"/>
      <c r="R1"/>
      <c r="S1">
        <v>15</v>
      </c>
    </row>
    <row r="2" spans="1:19" ht="21">
      <c r="A2" s="43"/>
      <c r="B2" s="43"/>
      <c r="C2" s="43"/>
      <c r="D2" s="101" t="s">
        <v>1649</v>
      </c>
      <c r="E2" s="101"/>
      <c r="F2" s="101"/>
      <c r="G2" s="101"/>
      <c r="H2" s="2"/>
      <c r="I2" s="101">
        <f>Cement!V2</f>
        <v>23365.111939825016</v>
      </c>
      <c r="J2" s="101">
        <f>Cement!V2</f>
        <v>23365.111939825016</v>
      </c>
      <c r="K2" s="101"/>
      <c r="L2" s="101" t="s">
        <v>1650</v>
      </c>
      <c r="M2" s="101" t="s">
        <v>1651</v>
      </c>
      <c r="N2" s="128" t="e">
        <f>#REF!</f>
        <v>#REF!</v>
      </c>
      <c r="O2" s="128" t="e">
        <f>#REF!</f>
        <v>#REF!</v>
      </c>
      <c r="P2" s="101"/>
      <c r="Q2" s="101" t="s">
        <v>1650</v>
      </c>
      <c r="R2" s="101"/>
      <c r="S2" s="101" t="s">
        <v>1651</v>
      </c>
    </row>
    <row r="3" spans="1:19" s="30" customFormat="1" ht="28" customHeight="1">
      <c r="A3" s="34"/>
      <c r="B3" s="61"/>
      <c r="C3" s="61"/>
      <c r="D3" s="37" t="s">
        <v>239</v>
      </c>
      <c r="E3" s="37" t="s">
        <v>239</v>
      </c>
      <c r="F3" s="37"/>
      <c r="G3" s="37"/>
      <c r="H3" s="34" t="s">
        <v>236</v>
      </c>
      <c r="I3" s="61"/>
      <c r="J3" s="37" t="s">
        <v>239</v>
      </c>
      <c r="K3" s="41" t="s">
        <v>239</v>
      </c>
      <c r="L3" s="41" t="s">
        <v>234</v>
      </c>
      <c r="M3" s="41" t="s">
        <v>234</v>
      </c>
      <c r="N3" s="41" t="s">
        <v>234</v>
      </c>
      <c r="O3" s="41" t="s">
        <v>234</v>
      </c>
      <c r="P3" s="41"/>
      <c r="Q3" s="41"/>
      <c r="R3" s="132"/>
      <c r="S3" s="41" t="s">
        <v>239</v>
      </c>
    </row>
    <row r="4" spans="1:19" s="31" customFormat="1" ht="64" hidden="1" customHeight="1">
      <c r="A4" s="85" t="s">
        <v>1652</v>
      </c>
      <c r="B4" s="86" t="s">
        <v>1653</v>
      </c>
      <c r="C4" s="86"/>
      <c r="D4" s="86" t="s">
        <v>1654</v>
      </c>
      <c r="E4" s="86" t="s">
        <v>1655</v>
      </c>
      <c r="F4" s="86" t="s">
        <v>1656</v>
      </c>
      <c r="G4" s="86"/>
      <c r="H4" s="121" t="s">
        <v>1657</v>
      </c>
      <c r="I4" s="86" t="s">
        <v>340</v>
      </c>
      <c r="J4" s="85" t="s">
        <v>1658</v>
      </c>
      <c r="K4" s="85" t="s">
        <v>1659</v>
      </c>
      <c r="L4" s="129" t="s">
        <v>1660</v>
      </c>
      <c r="M4" s="129" t="s">
        <v>1660</v>
      </c>
      <c r="N4" s="129" t="s">
        <v>1661</v>
      </c>
      <c r="O4" s="129" t="s">
        <v>1662</v>
      </c>
      <c r="P4" s="85"/>
      <c r="Q4" s="85"/>
      <c r="R4" s="133"/>
      <c r="S4" s="85" t="s">
        <v>1663</v>
      </c>
    </row>
    <row r="5" spans="1:19" s="94" customFormat="1" ht="73" customHeight="1" thickBot="1">
      <c r="A5" s="97" t="s">
        <v>279</v>
      </c>
      <c r="B5" s="280" t="s">
        <v>11</v>
      </c>
      <c r="C5" s="280"/>
      <c r="D5" s="280" t="s">
        <v>1664</v>
      </c>
      <c r="E5" s="280" t="s">
        <v>1665</v>
      </c>
      <c r="F5" s="280" t="s">
        <v>1666</v>
      </c>
      <c r="G5" s="280"/>
      <c r="H5" s="123" t="s">
        <v>1667</v>
      </c>
      <c r="I5" s="280" t="s">
        <v>340</v>
      </c>
      <c r="J5" s="97" t="s">
        <v>1668</v>
      </c>
      <c r="K5" s="97" t="s">
        <v>1669</v>
      </c>
      <c r="L5" s="149" t="s">
        <v>1670</v>
      </c>
      <c r="M5" s="149" t="s">
        <v>1671</v>
      </c>
      <c r="N5" s="149" t="s">
        <v>1672</v>
      </c>
      <c r="O5" s="149" t="s">
        <v>1673</v>
      </c>
      <c r="P5" s="97"/>
      <c r="Q5" s="97" t="s">
        <v>1674</v>
      </c>
      <c r="R5" s="281" t="s">
        <v>1675</v>
      </c>
      <c r="S5" s="97" t="s">
        <v>1674</v>
      </c>
    </row>
    <row r="6" spans="1:19" ht="28" customHeight="1">
      <c r="A6" s="69"/>
      <c r="B6" s="68"/>
      <c r="C6" s="68"/>
      <c r="D6" s="68"/>
      <c r="E6" s="68"/>
      <c r="F6" s="68"/>
      <c r="G6" s="68"/>
      <c r="H6" s="68"/>
      <c r="I6" s="68"/>
      <c r="J6" s="72"/>
      <c r="K6" s="73"/>
      <c r="L6" s="73"/>
      <c r="M6" s="73"/>
      <c r="N6" s="73"/>
      <c r="O6" s="130"/>
      <c r="P6" s="73"/>
      <c r="Q6" s="73"/>
      <c r="R6" s="134"/>
      <c r="S6" s="73"/>
    </row>
    <row r="7" spans="1:19" ht="35" customHeight="1">
      <c r="A7" s="60" t="s">
        <v>74</v>
      </c>
      <c r="B7" s="846" t="s">
        <v>75</v>
      </c>
      <c r="C7" s="388"/>
      <c r="D7" s="1086">
        <v>865</v>
      </c>
      <c r="E7" s="153">
        <v>1902</v>
      </c>
      <c r="F7" s="178" t="str">
        <f t="shared" ref="F7:F39" si="0">IF(D7=E7,"No","")</f>
        <v/>
      </c>
      <c r="G7" s="1819" t="str">
        <f>IFERROR(IF((I7-E7)/E7=0,"",(I7-E7)/E7),"Closed")</f>
        <v>Closed</v>
      </c>
      <c r="H7" s="178" t="str">
        <f t="shared" ref="H7:H39" si="1">IF(G7="Closed", "Closed", IF(G7&gt;=30%,"",
IF(AND(G7&gt;=20%,G7&lt;30%),"Good",
IF(AND(G7&gt;=10%,G7&lt;20%),"Fair",
IF(AND(G7&gt;=0.01%,G7&lt;10%),"Bad",
IF(G7&lt;0%,"Terrible",""))))))</f>
        <v>Closed</v>
      </c>
      <c r="I7" s="278" t="str">
        <f>_xlfn.XLOOKUP(B7,'دیده بان بازار'!$A$3:$A$3152,'دیده بان بازار'!$P$3:$P$3152,"Closed")</f>
        <v>Closed</v>
      </c>
      <c r="J7" s="279" t="str">
        <f>_xlfn.XLOOKUP(B7,'دیده بان بازار'!$A$3:$A$3155,'دیده بان بازار'!$H$3:$H$3155,"")</f>
        <v/>
      </c>
      <c r="K7" s="171" t="str">
        <f>_xlfn.XLOOKUP(B7,'دیده بان بازار'!$A$3:$A$3542,'دیده بان بازار'!$J$3:$J$3542,"")</f>
        <v/>
      </c>
      <c r="L7" s="277" t="str">
        <f t="shared" ref="L7:L32" si="2">IFERROR(R7/Q7*100,"")</f>
        <v/>
      </c>
      <c r="M7" s="247" t="str">
        <f>IFERROR(#REF!/S7*100,"")</f>
        <v/>
      </c>
      <c r="N7" s="169" t="str">
        <f>IFERROR(#REF!/#REF!*100,"")</f>
        <v/>
      </c>
      <c r="O7" s="170" t="str">
        <f>IFERROR(#REF!/#REF!*100,"")</f>
        <v/>
      </c>
      <c r="P7" s="127"/>
      <c r="Q7" s="273">
        <v>20140</v>
      </c>
      <c r="R7" s="246" t="e">
        <f t="shared" ref="R7:R32" si="3">$J7-Q7</f>
        <v>#VALUE!</v>
      </c>
      <c r="S7" s="245">
        <v>19980</v>
      </c>
    </row>
    <row r="8" spans="1:19" ht="35" customHeight="1">
      <c r="A8" s="60" t="s">
        <v>30</v>
      </c>
      <c r="B8" s="846" t="s">
        <v>31</v>
      </c>
      <c r="C8" s="388"/>
      <c r="D8" s="1086">
        <v>1396</v>
      </c>
      <c r="E8" s="153">
        <v>3056</v>
      </c>
      <c r="F8" s="178" t="str">
        <f t="shared" si="0"/>
        <v/>
      </c>
      <c r="G8" s="1819" t="str">
        <f t="shared" ref="G8:G72" si="4">IFERROR(IF((I8-E8)/E8=0,"",(I8-E8)/E8),"Closed")</f>
        <v/>
      </c>
      <c r="H8" s="178" t="str">
        <f>IF(G8="Closed", "Closed", IF(G8&gt;=30%,"",
IF(AND(G8&gt;=20%,G8&lt;30%),"Good",
IF(AND(G8&gt;=10%,G8&lt;20%),"Fair",
IF(AND(G8&gt;=0.01%,G8&lt;10%),"Bad",
IF(G8&lt;0%,"Terrible",""))))))</f>
        <v/>
      </c>
      <c r="I8" s="278">
        <f>_xlfn.XLOOKUP(B8,'دیده بان بازار'!$A$3:$A$3152,'دیده بان بازار'!$P$3:$P$3152,"Closed")</f>
        <v>3056</v>
      </c>
      <c r="J8" s="279">
        <f>_xlfn.XLOOKUP(B8,'دیده بان بازار'!$A$3:$A$3155,'دیده بان بازار'!$H$3:$H$3155,"")</f>
        <v>19720</v>
      </c>
      <c r="K8" s="171">
        <f>_xlfn.XLOOKUP(B8,'دیده بان بازار'!$A$3:$A$3542,'دیده بان بازار'!$J$3:$J$3542,"")</f>
        <v>2.98</v>
      </c>
      <c r="L8" s="277">
        <f t="shared" si="2"/>
        <v>152.49679897567222</v>
      </c>
      <c r="M8" s="247" t="str">
        <f>IFERROR(#REF!/S8*100,"")</f>
        <v/>
      </c>
      <c r="N8" s="169" t="str">
        <f>IFERROR(#REF!/#REF!*100,"")</f>
        <v/>
      </c>
      <c r="O8" s="170" t="str">
        <f>IFERROR(#REF!/#REF!*100,"")</f>
        <v/>
      </c>
      <c r="P8" s="127"/>
      <c r="Q8" s="273">
        <v>7810</v>
      </c>
      <c r="R8" s="246">
        <f t="shared" si="3"/>
        <v>11910</v>
      </c>
      <c r="S8" s="245">
        <v>6740</v>
      </c>
    </row>
    <row r="9" spans="1:19" ht="35" customHeight="1">
      <c r="A9" s="60" t="s">
        <v>36</v>
      </c>
      <c r="B9" s="846" t="s">
        <v>37</v>
      </c>
      <c r="C9" s="389"/>
      <c r="D9" s="1086">
        <v>1537</v>
      </c>
      <c r="E9" s="153">
        <v>2433</v>
      </c>
      <c r="F9" s="178" t="str">
        <f t="shared" si="0"/>
        <v/>
      </c>
      <c r="G9" s="1819" t="str">
        <f t="shared" si="4"/>
        <v/>
      </c>
      <c r="H9" s="178" t="str">
        <f>IF(G9="Closed", "Closed", IF(G9&gt;=30%,"",
IF(AND(G9&gt;=20%,G9&lt;30%),"Good",
IF(AND(G9&gt;=10%,G9&lt;20%),"Fair",
IF(AND(G9&gt;=0.01%,G9&lt;10%),"Bad",
IF(G9&lt;0%,"Terrible",""))))))</f>
        <v/>
      </c>
      <c r="I9" s="278">
        <f>_xlfn.XLOOKUP(B9,'دیده بان بازار'!$A$3:$A$3152,'دیده بان بازار'!$P$3:$P$3152,"Closed")</f>
        <v>2433</v>
      </c>
      <c r="J9" s="279">
        <f>_xlfn.XLOOKUP(B9,'دیده بان بازار'!$A$3:$A$3155,'دیده بان بازار'!$H$3:$H$3155,"")</f>
        <v>19300</v>
      </c>
      <c r="K9" s="171">
        <f>_xlfn.XLOOKUP(B9,'دیده بان بازار'!$A$3:$A$3542,'دیده بان بازار'!$J$3:$J$3542,"")</f>
        <v>2.99</v>
      </c>
      <c r="L9" s="277">
        <f t="shared" si="2"/>
        <v>135.36585365853659</v>
      </c>
      <c r="M9" s="247" t="str">
        <f>IFERROR(#REF!/S9*100,"")</f>
        <v/>
      </c>
      <c r="N9" s="169" t="str">
        <f>IFERROR(#REF!/#REF!*100,"")</f>
        <v/>
      </c>
      <c r="O9" s="170" t="str">
        <f>IFERROR(#REF!/#REF!*100,"")</f>
        <v/>
      </c>
      <c r="P9" s="127"/>
      <c r="Q9" s="273">
        <v>8200</v>
      </c>
      <c r="R9" s="246">
        <f t="shared" si="3"/>
        <v>11100</v>
      </c>
      <c r="S9" s="245">
        <v>7040</v>
      </c>
    </row>
    <row r="10" spans="1:19" ht="35" customHeight="1">
      <c r="A10" s="60" t="s">
        <v>27</v>
      </c>
      <c r="B10" s="846" t="s">
        <v>28</v>
      </c>
      <c r="C10" s="389"/>
      <c r="D10" s="1086">
        <v>5429</v>
      </c>
      <c r="E10" s="153">
        <v>11890</v>
      </c>
      <c r="F10" s="178" t="str">
        <f t="shared" si="0"/>
        <v/>
      </c>
      <c r="G10" s="1819" t="str">
        <f>IFERROR(IF((I10-E10)/E10=0,"",(I10-E10)/E10),"Closed")</f>
        <v/>
      </c>
      <c r="H10" s="178" t="str">
        <f t="shared" si="1"/>
        <v/>
      </c>
      <c r="I10" s="278">
        <f>_xlfn.XLOOKUP(B10,'دیده بان بازار'!$A$3:$A$3152,'دیده بان بازار'!$P$3:$P$3152,"Closed")</f>
        <v>11890</v>
      </c>
      <c r="J10" s="279">
        <f>_xlfn.XLOOKUP(B10,'دیده بان بازار'!$A$3:$A$3155,'دیده بان بازار'!$H$3:$H$3155,"")</f>
        <v>57190</v>
      </c>
      <c r="K10" s="171">
        <f>_xlfn.XLOOKUP(B10,'دیده بان بازار'!$A$3:$A$3542,'دیده بان بازار'!$J$3:$J$3542,"")</f>
        <v>2.99</v>
      </c>
      <c r="L10" s="277">
        <f t="shared" si="2"/>
        <v>274.52521283562538</v>
      </c>
      <c r="M10" s="247" t="str">
        <f>IFERROR(#REF!/S10*100,"")</f>
        <v/>
      </c>
      <c r="N10" s="169" t="str">
        <f>IFERROR(#REF!/#REF!*100,"")</f>
        <v/>
      </c>
      <c r="O10" s="170" t="str">
        <f>IFERROR(#REF!/#REF!*100,"")</f>
        <v/>
      </c>
      <c r="P10" s="127"/>
      <c r="Q10" s="273">
        <v>15270</v>
      </c>
      <c r="R10" s="246">
        <f t="shared" si="3"/>
        <v>41920</v>
      </c>
      <c r="S10" s="245">
        <v>16863</v>
      </c>
    </row>
    <row r="11" spans="1:19" ht="35" customHeight="1">
      <c r="A11" s="60" t="s">
        <v>64</v>
      </c>
      <c r="B11" s="846" t="s">
        <v>65</v>
      </c>
      <c r="C11" s="389"/>
      <c r="D11" s="1086">
        <v>4324</v>
      </c>
      <c r="E11" s="153">
        <v>11804</v>
      </c>
      <c r="F11" s="178" t="str">
        <f t="shared" si="0"/>
        <v/>
      </c>
      <c r="G11" s="1819" t="str">
        <f t="shared" si="4"/>
        <v/>
      </c>
      <c r="H11" s="178" t="str">
        <f t="shared" si="1"/>
        <v/>
      </c>
      <c r="I11" s="278">
        <f>_xlfn.XLOOKUP(B11,'دیده بان بازار'!$A$3:$A$3152,'دیده بان بازار'!$P$3:$P$3152,"Closed")</f>
        <v>11804</v>
      </c>
      <c r="J11" s="279">
        <f>_xlfn.XLOOKUP(B11,'دیده بان بازار'!$A$3:$A$3155,'دیده بان بازار'!$H$3:$H$3155,"")</f>
        <v>75570</v>
      </c>
      <c r="K11" s="171">
        <f>_xlfn.XLOOKUP(B11,'دیده بان بازار'!$A$3:$A$3542,'دیده بان بازار'!$J$3:$J$3542,"")</f>
        <v>3</v>
      </c>
      <c r="L11" s="277">
        <f t="shared" si="2"/>
        <v>465.22064323111448</v>
      </c>
      <c r="M11" s="247" t="str">
        <f>IFERROR(#REF!/S11*100,"")</f>
        <v/>
      </c>
      <c r="N11" s="169" t="str">
        <f>IFERROR(#REF!/#REF!*100,"")</f>
        <v/>
      </c>
      <c r="O11" s="170" t="str">
        <f>IFERROR(#REF!/#REF!*100,"")</f>
        <v/>
      </c>
      <c r="P11" s="127"/>
      <c r="Q11" s="273">
        <v>13370</v>
      </c>
      <c r="R11" s="246">
        <f t="shared" si="3"/>
        <v>62200</v>
      </c>
      <c r="S11" s="245">
        <v>14240</v>
      </c>
    </row>
    <row r="12" spans="1:19" ht="35" customHeight="1">
      <c r="A12" s="60" t="s">
        <v>58</v>
      </c>
      <c r="B12" s="846" t="s">
        <v>59</v>
      </c>
      <c r="C12" s="388"/>
      <c r="D12" s="1086">
        <v>6252</v>
      </c>
      <c r="E12" s="153">
        <v>1143</v>
      </c>
      <c r="F12" s="178" t="str">
        <f t="shared" si="0"/>
        <v/>
      </c>
      <c r="G12" s="1819" t="str">
        <f t="shared" si="4"/>
        <v/>
      </c>
      <c r="H12" s="178" t="str">
        <f t="shared" si="1"/>
        <v/>
      </c>
      <c r="I12" s="278">
        <f>_xlfn.XLOOKUP(B12,'دیده بان بازار'!$A$3:$A$3152,'دیده بان بازار'!$P$3:$P$3152,"Closed")</f>
        <v>1143</v>
      </c>
      <c r="J12" s="279">
        <f>_xlfn.XLOOKUP(B12,'دیده بان بازار'!$A$3:$A$3155,'دیده بان بازار'!$H$3:$H$3155,"")</f>
        <v>19500</v>
      </c>
      <c r="K12" s="171">
        <f>_xlfn.XLOOKUP(B12,'دیده بان بازار'!$A$3:$A$3542,'دیده بان بازار'!$J$3:$J$3542,"")</f>
        <v>2.96</v>
      </c>
      <c r="L12" s="277">
        <f t="shared" si="2"/>
        <v>27.118644067796609</v>
      </c>
      <c r="M12" s="247" t="str">
        <f>IFERROR(#REF!/S12*100,"")</f>
        <v/>
      </c>
      <c r="N12" s="169" t="str">
        <f>IFERROR(#REF!/#REF!*100,"")</f>
        <v/>
      </c>
      <c r="O12" s="170" t="str">
        <f>IFERROR(#REF!/#REF!*100,"")</f>
        <v/>
      </c>
      <c r="P12" s="127"/>
      <c r="Q12" s="273">
        <v>15340</v>
      </c>
      <c r="R12" s="246">
        <f t="shared" si="3"/>
        <v>4160</v>
      </c>
      <c r="S12" s="245">
        <v>16070</v>
      </c>
    </row>
    <row r="13" spans="1:19" ht="35" customHeight="1">
      <c r="A13" s="60" t="s">
        <v>66</v>
      </c>
      <c r="B13" s="846" t="s">
        <v>67</v>
      </c>
      <c r="C13" s="389"/>
      <c r="D13" s="1086">
        <v>5140</v>
      </c>
      <c r="E13" s="153">
        <v>11726</v>
      </c>
      <c r="F13" s="178" t="str">
        <f t="shared" si="0"/>
        <v/>
      </c>
      <c r="G13" s="1819" t="str">
        <f t="shared" si="4"/>
        <v/>
      </c>
      <c r="H13" s="178" t="str">
        <f t="shared" si="1"/>
        <v/>
      </c>
      <c r="I13" s="278">
        <f>_xlfn.XLOOKUP(B13,'دیده بان بازار'!$A$3:$A$3152,'دیده بان بازار'!$P$3:$P$3152,"Closed")</f>
        <v>11726</v>
      </c>
      <c r="J13" s="279">
        <f>_xlfn.XLOOKUP(B13,'دیده بان بازار'!$A$3:$A$3155,'دیده بان بازار'!$H$3:$H$3155,"")</f>
        <v>67910</v>
      </c>
      <c r="K13" s="171">
        <f>_xlfn.XLOOKUP(B13,'دیده بان بازار'!$A$3:$A$3542,'دیده بان بازار'!$J$3:$J$3542,"")</f>
        <v>2.99</v>
      </c>
      <c r="L13" s="277">
        <f t="shared" si="2"/>
        <v>368.99171270718233</v>
      </c>
      <c r="M13" s="247" t="str">
        <f>IFERROR(#REF!/S13*100,"")</f>
        <v/>
      </c>
      <c r="N13" s="169" t="str">
        <f>IFERROR(#REF!/#REF!*100,"")</f>
        <v/>
      </c>
      <c r="O13" s="170" t="str">
        <f>IFERROR(#REF!/#REF!*100,"")</f>
        <v/>
      </c>
      <c r="P13" s="127"/>
      <c r="Q13" s="273">
        <v>14480</v>
      </c>
      <c r="R13" s="246">
        <f t="shared" si="3"/>
        <v>53430</v>
      </c>
      <c r="S13" s="245">
        <v>14180</v>
      </c>
    </row>
    <row r="14" spans="1:19" ht="35" customHeight="1">
      <c r="A14" s="60" t="s">
        <v>84</v>
      </c>
      <c r="B14" s="846" t="s">
        <v>85</v>
      </c>
      <c r="C14" s="388"/>
      <c r="D14" s="1086">
        <v>4467</v>
      </c>
      <c r="E14" s="153">
        <v>11188</v>
      </c>
      <c r="F14" s="178" t="str">
        <f t="shared" si="0"/>
        <v/>
      </c>
      <c r="G14" s="1819" t="str">
        <f t="shared" si="4"/>
        <v/>
      </c>
      <c r="H14" s="178" t="str">
        <f t="shared" si="1"/>
        <v/>
      </c>
      <c r="I14" s="278">
        <f>_xlfn.XLOOKUP(B14,'دیده بان بازار'!$A$3:$A$3152,'دیده بان بازار'!$P$3:$P$3152,"Closed")</f>
        <v>11188</v>
      </c>
      <c r="J14" s="279">
        <f>_xlfn.XLOOKUP(B14,'دیده بان بازار'!$A$3:$A$3155,'دیده بان بازار'!$H$3:$H$3155,"")</f>
        <v>83650</v>
      </c>
      <c r="K14" s="171">
        <f>_xlfn.XLOOKUP(B14,'دیده بان بازار'!$A$3:$A$3542,'دیده بان بازار'!$J$3:$J$3542,"")</f>
        <v>2.99</v>
      </c>
      <c r="L14" s="277">
        <f t="shared" si="2"/>
        <v>280.40018190086403</v>
      </c>
      <c r="M14" s="247" t="str">
        <f>IFERROR(#REF!/S14*100,"")</f>
        <v/>
      </c>
      <c r="N14" s="169" t="str">
        <f>IFERROR(#REF!/#REF!*100,"")</f>
        <v/>
      </c>
      <c r="O14" s="170" t="str">
        <f>IFERROR(#REF!/#REF!*100,"")</f>
        <v/>
      </c>
      <c r="P14" s="127"/>
      <c r="Q14" s="273">
        <v>21990</v>
      </c>
      <c r="R14" s="246">
        <f t="shared" si="3"/>
        <v>61660</v>
      </c>
      <c r="S14" s="245">
        <v>22070</v>
      </c>
    </row>
    <row r="15" spans="1:19" ht="35" customHeight="1">
      <c r="A15" s="60" t="s">
        <v>38</v>
      </c>
      <c r="B15" s="846" t="s">
        <v>39</v>
      </c>
      <c r="C15" s="388"/>
      <c r="D15" s="1086">
        <v>680</v>
      </c>
      <c r="E15" s="153">
        <v>2424</v>
      </c>
      <c r="F15" s="178" t="str">
        <f t="shared" si="0"/>
        <v/>
      </c>
      <c r="G15" s="1819" t="str">
        <f t="shared" si="4"/>
        <v/>
      </c>
      <c r="H15" s="178" t="str">
        <f t="shared" si="1"/>
        <v/>
      </c>
      <c r="I15" s="278">
        <f>_xlfn.XLOOKUP(B15,'دیده بان بازار'!$A$3:$A$3152,'دیده بان بازار'!$P$3:$P$3152,"Closed")</f>
        <v>2424</v>
      </c>
      <c r="J15" s="279">
        <f>_xlfn.XLOOKUP(B15,'دیده بان بازار'!$A$3:$A$3155,'دیده بان بازار'!$H$3:$H$3155,"")</f>
        <v>16660</v>
      </c>
      <c r="K15" s="171">
        <f>_xlfn.XLOOKUP(B15,'دیده بان بازار'!$A$3:$A$3542,'دیده بان بازار'!$J$3:$J$3542,"")</f>
        <v>2.97</v>
      </c>
      <c r="L15" s="277">
        <f t="shared" si="2"/>
        <v>-22.511627906976745</v>
      </c>
      <c r="M15" s="247" t="str">
        <f>IFERROR(#REF!/S15*100,"")</f>
        <v/>
      </c>
      <c r="N15" s="169" t="str">
        <f>IFERROR(#REF!/#REF!*100,"")</f>
        <v/>
      </c>
      <c r="O15" s="170" t="str">
        <f>IFERROR(#REF!/#REF!*100,"")</f>
        <v/>
      </c>
      <c r="P15" s="127"/>
      <c r="Q15" s="273">
        <v>21500</v>
      </c>
      <c r="R15" s="246">
        <f t="shared" si="3"/>
        <v>-4840</v>
      </c>
      <c r="S15" s="245">
        <v>20470</v>
      </c>
    </row>
    <row r="16" spans="1:19" ht="35" customHeight="1">
      <c r="A16" s="60" t="s">
        <v>60</v>
      </c>
      <c r="B16" s="846" t="s">
        <v>61</v>
      </c>
      <c r="C16" s="388"/>
      <c r="D16" s="1086">
        <v>4776</v>
      </c>
      <c r="E16" s="153">
        <v>8087</v>
      </c>
      <c r="F16" s="178" t="str">
        <f t="shared" si="0"/>
        <v/>
      </c>
      <c r="G16" s="1819" t="str">
        <f t="shared" si="4"/>
        <v>Closed</v>
      </c>
      <c r="H16" s="178" t="str">
        <f t="shared" si="1"/>
        <v>Closed</v>
      </c>
      <c r="I16" s="278" t="str">
        <f>_xlfn.XLOOKUP(B16,'دیده بان بازار'!$A$3:$A$3152,'دیده بان بازار'!$P$3:$P$3152,"Closed")</f>
        <v>Closed</v>
      </c>
      <c r="J16" s="279" t="str">
        <f>_xlfn.XLOOKUP(B16,'دیده بان بازار'!$A$3:$A$3155,'دیده بان بازار'!$H$3:$H$3155,"")</f>
        <v/>
      </c>
      <c r="K16" s="171" t="str">
        <f>_xlfn.XLOOKUP(B16,'دیده بان بازار'!$A$3:$A$3542,'دیده بان بازار'!$J$3:$J$3542,"")</f>
        <v/>
      </c>
      <c r="L16" s="277" t="str">
        <f t="shared" si="2"/>
        <v/>
      </c>
      <c r="M16" s="247" t="str">
        <f>IFERROR(#REF!/S16*100,"")</f>
        <v/>
      </c>
      <c r="N16" s="169" t="str">
        <f>IFERROR(#REF!/#REF!*100,"")</f>
        <v/>
      </c>
      <c r="O16" s="170" t="str">
        <f>IFERROR(#REF!/#REF!*100,"")</f>
        <v/>
      </c>
      <c r="P16" s="127"/>
      <c r="Q16" s="273">
        <v>16000</v>
      </c>
      <c r="R16" s="246" t="e">
        <f t="shared" si="3"/>
        <v>#VALUE!</v>
      </c>
      <c r="S16" s="245">
        <v>16280</v>
      </c>
    </row>
    <row r="17" spans="1:19" ht="35" customHeight="1">
      <c r="A17" s="60" t="s">
        <v>50</v>
      </c>
      <c r="B17" s="846" t="s">
        <v>51</v>
      </c>
      <c r="C17" s="389"/>
      <c r="D17" s="1086">
        <v>2771</v>
      </c>
      <c r="E17" s="153">
        <v>2372</v>
      </c>
      <c r="F17" s="178" t="str">
        <f t="shared" si="0"/>
        <v/>
      </c>
      <c r="G17" s="1819" t="str">
        <f t="shared" si="4"/>
        <v/>
      </c>
      <c r="H17" s="178" t="str">
        <f t="shared" si="1"/>
        <v/>
      </c>
      <c r="I17" s="278">
        <f>_xlfn.XLOOKUP(B17,'دیده بان بازار'!$A$3:$A$3152,'دیده بان بازار'!$P$3:$P$3152,"Closed")</f>
        <v>2372</v>
      </c>
      <c r="J17" s="279">
        <f>_xlfn.XLOOKUP(B17,'دیده بان بازار'!$A$3:$A$3155,'دیده بان بازار'!$H$3:$H$3155,"")</f>
        <v>14610</v>
      </c>
      <c r="K17" s="171">
        <f>_xlfn.XLOOKUP(B17,'دیده بان بازار'!$A$3:$A$3542,'دیده بان بازار'!$J$3:$J$3542,"")</f>
        <v>2.96</v>
      </c>
      <c r="L17" s="277">
        <f t="shared" si="2"/>
        <v>114.53744493392071</v>
      </c>
      <c r="M17" s="247" t="str">
        <f>IFERROR(#REF!/S17*100,"")</f>
        <v/>
      </c>
      <c r="N17" s="169" t="str">
        <f>IFERROR(#REF!/#REF!*100,"")</f>
        <v/>
      </c>
      <c r="O17" s="170" t="str">
        <f>IFERROR(#REF!/#REF!*100,"")</f>
        <v/>
      </c>
      <c r="P17" s="127"/>
      <c r="Q17" s="273">
        <v>6810</v>
      </c>
      <c r="R17" s="246">
        <f t="shared" si="3"/>
        <v>7800</v>
      </c>
      <c r="S17" s="245">
        <v>7510</v>
      </c>
    </row>
    <row r="18" spans="1:19" ht="35" customHeight="1">
      <c r="A18" s="60" t="s">
        <v>42</v>
      </c>
      <c r="B18" s="846" t="s">
        <v>43</v>
      </c>
      <c r="C18" s="389"/>
      <c r="D18" s="1086">
        <v>10125</v>
      </c>
      <c r="E18" s="153">
        <v>34336</v>
      </c>
      <c r="F18" s="178" t="str">
        <f t="shared" si="0"/>
        <v/>
      </c>
      <c r="G18" s="1819" t="str">
        <f t="shared" si="4"/>
        <v/>
      </c>
      <c r="H18" s="178" t="str">
        <f t="shared" si="1"/>
        <v/>
      </c>
      <c r="I18" s="278">
        <f>_xlfn.XLOOKUP(B18,'دیده بان بازار'!$A$3:$A$3152,'دیده بان بازار'!$P$3:$P$3152,"Closed")</f>
        <v>34336</v>
      </c>
      <c r="J18" s="279">
        <f>_xlfn.XLOOKUP(B18,'دیده بان بازار'!$A$3:$A$3155,'دیده بان بازار'!$H$3:$H$3155,"")</f>
        <v>205300</v>
      </c>
      <c r="K18" s="171">
        <f>_xlfn.XLOOKUP(B18,'دیده بان بازار'!$A$3:$A$3542,'دیده بان بازار'!$J$3:$J$3542,"")</f>
        <v>2.96</v>
      </c>
      <c r="L18" s="277">
        <f t="shared" si="2"/>
        <v>464.78679504814301</v>
      </c>
      <c r="M18" s="247" t="str">
        <f>IFERROR(#REF!/S18*100,"")</f>
        <v/>
      </c>
      <c r="N18" s="169" t="str">
        <f>IFERROR(#REF!/#REF!*100,"")</f>
        <v/>
      </c>
      <c r="O18" s="170" t="str">
        <f>IFERROR(#REF!/#REF!*100,"")</f>
        <v/>
      </c>
      <c r="P18" s="127"/>
      <c r="Q18" s="273">
        <v>36350</v>
      </c>
      <c r="R18" s="246">
        <f t="shared" si="3"/>
        <v>168950</v>
      </c>
      <c r="S18" s="245">
        <v>41400</v>
      </c>
    </row>
    <row r="19" spans="1:19" ht="35" customHeight="1">
      <c r="A19" s="60" t="s">
        <v>40</v>
      </c>
      <c r="B19" s="846" t="s">
        <v>41</v>
      </c>
      <c r="C19" s="389"/>
      <c r="D19" s="1086">
        <v>5978</v>
      </c>
      <c r="E19" s="153">
        <v>15662</v>
      </c>
      <c r="F19" s="178" t="str">
        <f t="shared" si="0"/>
        <v/>
      </c>
      <c r="G19" s="1819" t="str">
        <f t="shared" si="4"/>
        <v/>
      </c>
      <c r="H19" s="178" t="str">
        <f t="shared" si="1"/>
        <v/>
      </c>
      <c r="I19" s="278">
        <f>_xlfn.XLOOKUP(B19,'دیده بان بازار'!$A$3:$A$3152,'دیده بان بازار'!$P$3:$P$3152,"Closed")</f>
        <v>15662</v>
      </c>
      <c r="J19" s="279">
        <f>_xlfn.XLOOKUP(B19,'دیده بان بازار'!$A$3:$A$3155,'دیده بان بازار'!$H$3:$H$3155,"")</f>
        <v>73770</v>
      </c>
      <c r="K19" s="171">
        <f>_xlfn.XLOOKUP(B19,'دیده بان بازار'!$A$3:$A$3542,'دیده بان بازار'!$J$3:$J$3542,"")</f>
        <v>2.99</v>
      </c>
      <c r="L19" s="277">
        <f t="shared" si="2"/>
        <v>210.74136478517272</v>
      </c>
      <c r="M19" s="247" t="str">
        <f>IFERROR(#REF!/S19*100,"")</f>
        <v/>
      </c>
      <c r="N19" s="169" t="str">
        <f>IFERROR(#REF!/#REF!*100,"")</f>
        <v/>
      </c>
      <c r="O19" s="170" t="str">
        <f>IFERROR(#REF!/#REF!*100,"")</f>
        <v/>
      </c>
      <c r="P19" s="127"/>
      <c r="Q19" s="273">
        <v>23740</v>
      </c>
      <c r="R19" s="246">
        <f t="shared" si="3"/>
        <v>50030</v>
      </c>
      <c r="S19" s="245">
        <v>23240</v>
      </c>
    </row>
    <row r="20" spans="1:19" ht="35" customHeight="1">
      <c r="A20" s="60" t="s">
        <v>52</v>
      </c>
      <c r="B20" s="846" t="s">
        <v>53</v>
      </c>
      <c r="C20" s="389"/>
      <c r="D20" s="1086">
        <v>872</v>
      </c>
      <c r="E20" s="153">
        <v>1489</v>
      </c>
      <c r="F20" s="178" t="str">
        <f t="shared" si="0"/>
        <v/>
      </c>
      <c r="G20" s="1819" t="str">
        <f t="shared" si="4"/>
        <v/>
      </c>
      <c r="H20" s="178" t="str">
        <f t="shared" si="1"/>
        <v/>
      </c>
      <c r="I20" s="278">
        <f>_xlfn.XLOOKUP(B20,'دیده بان بازار'!$A$3:$A$3152,'دیده بان بازار'!$P$3:$P$3152,"Closed")</f>
        <v>1489</v>
      </c>
      <c r="J20" s="279">
        <f>_xlfn.XLOOKUP(B20,'دیده بان بازار'!$A$3:$A$3155,'دیده بان بازار'!$H$3:$H$3155,"")</f>
        <v>10350</v>
      </c>
      <c r="K20" s="171">
        <f>_xlfn.XLOOKUP(B20,'دیده بان بازار'!$A$3:$A$3542,'دیده بان بازار'!$J$3:$J$3542,"")</f>
        <v>2.99</v>
      </c>
      <c r="L20" s="277">
        <f t="shared" si="2"/>
        <v>-80</v>
      </c>
      <c r="M20" s="247" t="str">
        <f>IFERROR(#REF!/S20*100,"")</f>
        <v/>
      </c>
      <c r="N20" s="169" t="str">
        <f>IFERROR(#REF!/#REF!*100,"")</f>
        <v/>
      </c>
      <c r="O20" s="170" t="str">
        <f>IFERROR(#REF!/#REF!*100,"")</f>
        <v/>
      </c>
      <c r="P20" s="127"/>
      <c r="Q20" s="273">
        <v>51750</v>
      </c>
      <c r="R20" s="246">
        <f t="shared" si="3"/>
        <v>-41400</v>
      </c>
      <c r="S20" s="245">
        <v>45014</v>
      </c>
    </row>
    <row r="21" spans="1:19" ht="35" customHeight="1">
      <c r="A21" s="60" t="s">
        <v>62</v>
      </c>
      <c r="B21" s="846" t="s">
        <v>63</v>
      </c>
      <c r="C21" s="388"/>
      <c r="D21" s="1086">
        <v>3865</v>
      </c>
      <c r="E21" s="153">
        <v>8458</v>
      </c>
      <c r="F21" s="178" t="str">
        <f t="shared" si="0"/>
        <v/>
      </c>
      <c r="G21" s="1819" t="str">
        <f t="shared" si="4"/>
        <v/>
      </c>
      <c r="H21" s="178" t="str">
        <f t="shared" si="1"/>
        <v/>
      </c>
      <c r="I21" s="278">
        <f>_xlfn.XLOOKUP(B21,'دیده بان بازار'!$A$3:$A$3152,'دیده بان بازار'!$P$3:$P$3152,"Closed")</f>
        <v>8458</v>
      </c>
      <c r="J21" s="279">
        <f>_xlfn.XLOOKUP(B21,'دیده بان بازار'!$A$3:$A$3155,'دیده بان بازار'!$H$3:$H$3155,"")</f>
        <v>53300</v>
      </c>
      <c r="K21" s="171">
        <f>_xlfn.XLOOKUP(B21,'دیده بان بازار'!$A$3:$A$3542,'دیده بان بازار'!$J$3:$J$3542,"")</f>
        <v>3</v>
      </c>
      <c r="L21" s="277">
        <f t="shared" si="2"/>
        <v>97.407407407407405</v>
      </c>
      <c r="M21" s="247" t="str">
        <f>IFERROR(#REF!/S21*100,"")</f>
        <v/>
      </c>
      <c r="N21" s="169" t="str">
        <f>IFERROR(#REF!/#REF!*100,"")</f>
        <v/>
      </c>
      <c r="O21" s="170" t="str">
        <f>IFERROR(#REF!/#REF!*100,"")</f>
        <v/>
      </c>
      <c r="P21" s="127"/>
      <c r="Q21" s="273">
        <v>27000</v>
      </c>
      <c r="R21" s="246">
        <f t="shared" si="3"/>
        <v>26300</v>
      </c>
      <c r="S21" s="245">
        <v>24370</v>
      </c>
    </row>
    <row r="22" spans="1:19" ht="35" customHeight="1">
      <c r="A22" s="60" t="s">
        <v>80</v>
      </c>
      <c r="B22" s="846" t="s">
        <v>81</v>
      </c>
      <c r="C22" s="389"/>
      <c r="D22" s="1086">
        <v>1664</v>
      </c>
      <c r="E22" s="153">
        <v>8801</v>
      </c>
      <c r="F22" s="178" t="str">
        <f t="shared" si="0"/>
        <v/>
      </c>
      <c r="G22" s="1819" t="str">
        <f t="shared" si="4"/>
        <v/>
      </c>
      <c r="H22" s="178" t="str">
        <f t="shared" si="1"/>
        <v/>
      </c>
      <c r="I22" s="278">
        <f>_xlfn.XLOOKUP(B22,'دیده بان بازار'!$A$3:$A$3152,'دیده بان بازار'!$P$3:$P$3152,"Closed")</f>
        <v>8801</v>
      </c>
      <c r="J22" s="279">
        <f>_xlfn.XLOOKUP(B22,'دیده بان بازار'!$A$3:$A$3155,'دیده بان بازار'!$H$3:$H$3155,"")</f>
        <v>49190</v>
      </c>
      <c r="K22" s="171">
        <f>_xlfn.XLOOKUP(B22,'دیده بان بازار'!$A$3:$A$3542,'دیده بان بازار'!$J$3:$J$3542,"")</f>
        <v>2.99</v>
      </c>
      <c r="L22" s="277">
        <f t="shared" si="2"/>
        <v>26.225301513985116</v>
      </c>
      <c r="M22" s="247" t="str">
        <f>IFERROR(#REF!/S22*100,"")</f>
        <v/>
      </c>
      <c r="N22" s="169" t="str">
        <f>IFERROR(#REF!/#REF!*100,"")</f>
        <v/>
      </c>
      <c r="O22" s="170" t="str">
        <f>IFERROR(#REF!/#REF!*100,"")</f>
        <v/>
      </c>
      <c r="P22" s="127"/>
      <c r="Q22" s="273">
        <v>38970</v>
      </c>
      <c r="R22" s="246">
        <f t="shared" si="3"/>
        <v>10220</v>
      </c>
      <c r="S22" s="245">
        <v>38250</v>
      </c>
    </row>
    <row r="23" spans="1:19" ht="35" customHeight="1">
      <c r="A23" s="60" t="s">
        <v>32</v>
      </c>
      <c r="B23" s="846" t="s">
        <v>33</v>
      </c>
      <c r="C23" s="67"/>
      <c r="D23" s="1086">
        <v>537</v>
      </c>
      <c r="E23" s="153">
        <v>1929</v>
      </c>
      <c r="F23" s="178" t="str">
        <f t="shared" si="0"/>
        <v/>
      </c>
      <c r="G23" s="1819" t="str">
        <f t="shared" si="4"/>
        <v/>
      </c>
      <c r="H23" s="178" t="str">
        <f t="shared" si="1"/>
        <v/>
      </c>
      <c r="I23" s="278">
        <f>_xlfn.XLOOKUP(B23,'دیده بان بازار'!$A$3:$A$3152,'دیده بان بازار'!$P$3:$P$3152,"Closed")</f>
        <v>1929</v>
      </c>
      <c r="J23" s="279">
        <f>_xlfn.XLOOKUP(B23,'دیده بان بازار'!$A$3:$A$3155,'دیده بان بازار'!$H$3:$H$3155,"")</f>
        <v>11560</v>
      </c>
      <c r="K23" s="171">
        <f>_xlfn.XLOOKUP(B23,'دیده بان بازار'!$A$3:$A$3542,'دیده بان بازار'!$J$3:$J$3542,"")</f>
        <v>2.94</v>
      </c>
      <c r="L23" s="277">
        <f t="shared" si="2"/>
        <v>-85.796780931318338</v>
      </c>
      <c r="M23" s="247" t="str">
        <f>IFERROR(#REF!/S23*100,"")</f>
        <v/>
      </c>
      <c r="N23" s="169" t="str">
        <f>IFERROR(#REF!/#REF!*100,"")</f>
        <v/>
      </c>
      <c r="O23" s="170" t="str">
        <f>IFERROR(#REF!/#REF!*100,"")</f>
        <v/>
      </c>
      <c r="P23" s="127"/>
      <c r="Q23" s="273">
        <v>81390</v>
      </c>
      <c r="R23" s="246">
        <f t="shared" si="3"/>
        <v>-69830</v>
      </c>
      <c r="S23" s="245">
        <v>88080</v>
      </c>
    </row>
    <row r="24" spans="1:19" ht="35" customHeight="1">
      <c r="A24" s="60" t="s">
        <v>54</v>
      </c>
      <c r="B24" s="846" t="s">
        <v>55</v>
      </c>
      <c r="C24" s="389"/>
      <c r="D24" s="1086">
        <v>6353</v>
      </c>
      <c r="E24" s="153">
        <v>8478</v>
      </c>
      <c r="F24" s="178" t="str">
        <f t="shared" si="0"/>
        <v/>
      </c>
      <c r="G24" s="1819" t="str">
        <f t="shared" si="4"/>
        <v/>
      </c>
      <c r="H24" s="178" t="str">
        <f t="shared" si="1"/>
        <v/>
      </c>
      <c r="I24" s="278">
        <f>_xlfn.XLOOKUP(B24,'دیده بان بازار'!$A$3:$A$3152,'دیده بان بازار'!$P$3:$P$3152,"Closed")</f>
        <v>8478</v>
      </c>
      <c r="J24" s="279">
        <f>_xlfn.XLOOKUP(B24,'دیده بان بازار'!$A$3:$A$3155,'دیده بان بازار'!$H$3:$H$3155,"")</f>
        <v>56400</v>
      </c>
      <c r="K24" s="171">
        <f>_xlfn.XLOOKUP(B24,'دیده بان بازار'!$A$3:$A$3542,'دیده بان بازار'!$J$3:$J$3542,"")</f>
        <v>2.99</v>
      </c>
      <c r="L24" s="277">
        <f t="shared" si="2"/>
        <v>298.58657243816253</v>
      </c>
      <c r="M24" s="247" t="str">
        <f>IFERROR(#REF!/S24*100,"")</f>
        <v/>
      </c>
      <c r="N24" s="169" t="str">
        <f>IFERROR(#REF!/#REF!*100,"")</f>
        <v/>
      </c>
      <c r="O24" s="170" t="str">
        <f>IFERROR(#REF!/#REF!*100,"")</f>
        <v/>
      </c>
      <c r="P24" s="127"/>
      <c r="Q24" s="273">
        <v>14150</v>
      </c>
      <c r="R24" s="246">
        <f t="shared" si="3"/>
        <v>42250</v>
      </c>
      <c r="S24" s="245">
        <v>15580</v>
      </c>
    </row>
    <row r="25" spans="1:19" ht="35" customHeight="1">
      <c r="A25" s="60" t="s">
        <v>46</v>
      </c>
      <c r="B25" s="846" t="s">
        <v>47</v>
      </c>
      <c r="C25" s="388"/>
      <c r="D25" s="1086" t="s">
        <v>192</v>
      </c>
      <c r="E25" s="153">
        <v>44486</v>
      </c>
      <c r="F25" s="178" t="str">
        <f t="shared" si="0"/>
        <v/>
      </c>
      <c r="G25" s="1819" t="str">
        <f t="shared" si="4"/>
        <v/>
      </c>
      <c r="H25" s="178" t="str">
        <f t="shared" si="1"/>
        <v/>
      </c>
      <c r="I25" s="278">
        <f>_xlfn.XLOOKUP(B25,'دیده بان بازار'!$A$3:$A$3152,'دیده بان بازار'!$P$3:$P$3152,"Closed")</f>
        <v>44486</v>
      </c>
      <c r="J25" s="279">
        <f>_xlfn.XLOOKUP(B25,'دیده بان بازار'!$A$3:$A$3155,'دیده بان بازار'!$H$3:$H$3155,"")</f>
        <v>242800</v>
      </c>
      <c r="K25" s="171">
        <f>_xlfn.XLOOKUP(B25,'دیده بان بازار'!$A$3:$A$3542,'دیده بان بازار'!$J$3:$J$3542,"")</f>
        <v>2.97</v>
      </c>
      <c r="L25" s="277">
        <f t="shared" si="2"/>
        <v>1921.6486261448792</v>
      </c>
      <c r="M25" s="247" t="str">
        <f>IFERROR(#REF!/S25*100,"")</f>
        <v/>
      </c>
      <c r="N25" s="169" t="str">
        <f>IFERROR(#REF!/#REF!*100,"")</f>
        <v/>
      </c>
      <c r="O25" s="170" t="str">
        <f>IFERROR(#REF!/#REF!*100,"")</f>
        <v/>
      </c>
      <c r="P25" s="127"/>
      <c r="Q25" s="273">
        <v>12010</v>
      </c>
      <c r="R25" s="246">
        <f t="shared" si="3"/>
        <v>230790</v>
      </c>
      <c r="S25" s="245">
        <v>12698</v>
      </c>
    </row>
    <row r="26" spans="1:19" ht="35" customHeight="1">
      <c r="A26" s="60" t="s">
        <v>34</v>
      </c>
      <c r="B26" s="846" t="s">
        <v>35</v>
      </c>
      <c r="C26" s="388"/>
      <c r="D26" s="1086">
        <v>467</v>
      </c>
      <c r="E26" s="153">
        <v>989</v>
      </c>
      <c r="F26" s="178" t="str">
        <f t="shared" si="0"/>
        <v/>
      </c>
      <c r="G26" s="1819" t="str">
        <f t="shared" si="4"/>
        <v/>
      </c>
      <c r="H26" s="178" t="str">
        <f t="shared" si="1"/>
        <v/>
      </c>
      <c r="I26" s="278">
        <f>_xlfn.XLOOKUP(B26,'دیده بان بازار'!$A$3:$A$3152,'دیده بان بازار'!$P$3:$P$3152,"Closed")</f>
        <v>989</v>
      </c>
      <c r="J26" s="279">
        <f>_xlfn.XLOOKUP(B26,'دیده بان بازار'!$A$3:$A$3155,'دیده بان بازار'!$H$3:$H$3155,"")</f>
        <v>5460</v>
      </c>
      <c r="K26" s="171">
        <f>_xlfn.XLOOKUP(B26,'دیده بان بازار'!$A$3:$A$3542,'دیده بان بازار'!$J$3:$J$3542,"")</f>
        <v>2.82</v>
      </c>
      <c r="L26" s="277">
        <f t="shared" si="2"/>
        <v>-87.095249350035459</v>
      </c>
      <c r="M26" s="247" t="str">
        <f>IFERROR(#REF!/S26*100,"")</f>
        <v/>
      </c>
      <c r="N26" s="169" t="str">
        <f>IFERROR(#REF!/#REF!*100,"")</f>
        <v/>
      </c>
      <c r="O26" s="170" t="str">
        <f>IFERROR(#REF!/#REF!*100,"")</f>
        <v/>
      </c>
      <c r="P26" s="127"/>
      <c r="Q26" s="273">
        <v>42310</v>
      </c>
      <c r="R26" s="246">
        <f t="shared" si="3"/>
        <v>-36850</v>
      </c>
      <c r="S26" s="245">
        <v>43450</v>
      </c>
    </row>
    <row r="27" spans="1:19" ht="35" customHeight="1">
      <c r="A27" s="60" t="s">
        <v>56</v>
      </c>
      <c r="B27" s="846" t="s">
        <v>57</v>
      </c>
      <c r="C27" s="389"/>
      <c r="D27" s="1086">
        <v>7874</v>
      </c>
      <c r="E27" s="153">
        <v>30922</v>
      </c>
      <c r="F27" s="178" t="str">
        <f t="shared" si="0"/>
        <v/>
      </c>
      <c r="G27" s="1819" t="str">
        <f t="shared" si="4"/>
        <v/>
      </c>
      <c r="H27" s="178" t="str">
        <f t="shared" si="1"/>
        <v/>
      </c>
      <c r="I27" s="278">
        <f>_xlfn.XLOOKUP(B27,'دیده بان بازار'!$A$3:$A$3152,'دیده بان بازار'!$P$3:$P$3152,"Closed")</f>
        <v>30922</v>
      </c>
      <c r="J27" s="279">
        <f>_xlfn.XLOOKUP(B27,'دیده بان بازار'!$A$3:$A$3155,'دیده بان بازار'!$H$3:$H$3155,"")</f>
        <v>167300</v>
      </c>
      <c r="K27" s="171">
        <f>_xlfn.XLOOKUP(B27,'دیده بان بازار'!$A$3:$A$3542,'دیده بان بازار'!$J$3:$J$3542,"")</f>
        <v>2.95</v>
      </c>
      <c r="L27" s="277">
        <f t="shared" si="2"/>
        <v>934.63203463203467</v>
      </c>
      <c r="M27" s="247" t="str">
        <f>IFERROR(#REF!/S27*100,"")</f>
        <v/>
      </c>
      <c r="N27" s="169" t="str">
        <f>IFERROR(#REF!/#REF!*100,"")</f>
        <v/>
      </c>
      <c r="O27" s="170" t="str">
        <f>IFERROR(#REF!/#REF!*100,"")</f>
        <v/>
      </c>
      <c r="P27" s="127"/>
      <c r="Q27" s="273">
        <v>16170</v>
      </c>
      <c r="R27" s="246">
        <f t="shared" si="3"/>
        <v>151130</v>
      </c>
      <c r="S27" s="245">
        <v>13710</v>
      </c>
    </row>
    <row r="28" spans="1:19" ht="35" customHeight="1">
      <c r="A28" s="60" t="s">
        <v>68</v>
      </c>
      <c r="B28" s="846" t="s">
        <v>69</v>
      </c>
      <c r="C28" s="388"/>
      <c r="D28" s="1086">
        <v>5010</v>
      </c>
      <c r="E28" s="153">
        <v>10205</v>
      </c>
      <c r="F28" s="178" t="str">
        <f t="shared" si="0"/>
        <v/>
      </c>
      <c r="G28" s="1819" t="str">
        <f t="shared" si="4"/>
        <v/>
      </c>
      <c r="H28" s="178" t="str">
        <f t="shared" si="1"/>
        <v/>
      </c>
      <c r="I28" s="278">
        <f>_xlfn.XLOOKUP(B28,'دیده بان بازار'!$A$3:$A$3152,'دیده بان بازار'!$P$3:$P$3152,"Closed")</f>
        <v>10205</v>
      </c>
      <c r="J28" s="279">
        <f>_xlfn.XLOOKUP(B28,'دیده بان بازار'!$A$3:$A$3155,'دیده بان بازار'!$H$3:$H$3155,"")</f>
        <v>68880</v>
      </c>
      <c r="K28" s="171">
        <f>_xlfn.XLOOKUP(B28,'دیده بان بازار'!$A$3:$A$3542,'دیده بان بازار'!$J$3:$J$3542,"")</f>
        <v>2.99</v>
      </c>
      <c r="L28" s="277" t="str">
        <f t="shared" si="2"/>
        <v/>
      </c>
      <c r="M28" s="247" t="str">
        <f>IFERROR(#REF!/S28*100,"")</f>
        <v/>
      </c>
      <c r="N28" s="169" t="str">
        <f>IFERROR(#REF!/#REF!*100,"")</f>
        <v/>
      </c>
      <c r="O28" s="170" t="str">
        <f>IFERROR(#REF!/#REF!*100,"")</f>
        <v/>
      </c>
      <c r="P28" s="127"/>
      <c r="Q28" s="273" t="s">
        <v>192</v>
      </c>
      <c r="R28" s="246" t="e">
        <f t="shared" si="3"/>
        <v>#VALUE!</v>
      </c>
      <c r="S28" s="245"/>
    </row>
    <row r="29" spans="1:19" ht="35" customHeight="1">
      <c r="A29" s="60" t="s">
        <v>76</v>
      </c>
      <c r="B29" s="846" t="s">
        <v>77</v>
      </c>
      <c r="C29" s="388"/>
      <c r="D29" s="1086">
        <v>564</v>
      </c>
      <c r="E29" s="153">
        <v>3814</v>
      </c>
      <c r="F29" s="178" t="str">
        <f t="shared" si="0"/>
        <v/>
      </c>
      <c r="G29" s="1819" t="str">
        <f t="shared" si="4"/>
        <v/>
      </c>
      <c r="H29" s="178" t="str">
        <f t="shared" si="1"/>
        <v/>
      </c>
      <c r="I29" s="278">
        <f>_xlfn.XLOOKUP(B29,'دیده بان بازار'!$A$3:$A$3152,'دیده بان بازار'!$P$3:$P$3152,"Closed")</f>
        <v>3814</v>
      </c>
      <c r="J29" s="279">
        <f>_xlfn.XLOOKUP(B29,'دیده بان بازار'!$A$3:$A$3155,'دیده بان بازار'!$H$3:$H$3155,"")</f>
        <v>24280</v>
      </c>
      <c r="K29" s="171">
        <f>_xlfn.XLOOKUP(B29,'دیده بان بازار'!$A$3:$A$3542,'دیده بان بازار'!$J$3:$J$3542,"")</f>
        <v>2.97</v>
      </c>
      <c r="L29" s="277">
        <f t="shared" si="2"/>
        <v>-51.834953382265425</v>
      </c>
      <c r="M29" s="247" t="str">
        <f>IFERROR(#REF!/S29*100,"")</f>
        <v/>
      </c>
      <c r="N29" s="169" t="str">
        <f>IFERROR(#REF!/#REF!*100,"")</f>
        <v/>
      </c>
      <c r="O29" s="170" t="str">
        <f>IFERROR(#REF!/#REF!*100,"")</f>
        <v/>
      </c>
      <c r="P29" s="127"/>
      <c r="Q29" s="273">
        <v>50410</v>
      </c>
      <c r="R29" s="246">
        <f t="shared" si="3"/>
        <v>-26130</v>
      </c>
      <c r="S29" s="245">
        <v>42760</v>
      </c>
    </row>
    <row r="30" spans="1:19" ht="35" customHeight="1">
      <c r="A30" s="60" t="s">
        <v>601</v>
      </c>
      <c r="B30" s="846" t="s">
        <v>71</v>
      </c>
      <c r="C30" s="389"/>
      <c r="D30" s="1086">
        <v>11382</v>
      </c>
      <c r="E30" s="153">
        <v>26819</v>
      </c>
      <c r="F30" s="178" t="str">
        <f t="shared" si="0"/>
        <v/>
      </c>
      <c r="G30" s="1819" t="str">
        <f t="shared" si="4"/>
        <v/>
      </c>
      <c r="H30" s="178" t="str">
        <f t="shared" si="1"/>
        <v/>
      </c>
      <c r="I30" s="278">
        <f>_xlfn.XLOOKUP(B30,'دیده بان بازار'!$A$3:$A$3152,'دیده بان بازار'!$P$3:$P$3152,"Closed")</f>
        <v>26819</v>
      </c>
      <c r="J30" s="279">
        <f>_xlfn.XLOOKUP(B30,'دیده بان بازار'!$A$3:$A$3155,'دیده بان بازار'!$H$3:$H$3155,"")</f>
        <v>135700</v>
      </c>
      <c r="K30" s="171">
        <f>_xlfn.XLOOKUP(B30,'دیده بان بازار'!$A$3:$A$3542,'دیده بان بازار'!$J$3:$J$3542,"")</f>
        <v>2.96</v>
      </c>
      <c r="L30" s="277">
        <f t="shared" si="2"/>
        <v>521.33699633699632</v>
      </c>
      <c r="M30" s="247" t="str">
        <f>IFERROR(#REF!/S30*100,"")</f>
        <v/>
      </c>
      <c r="N30" s="169" t="str">
        <f>IFERROR(#REF!/#REF!*100,"")</f>
        <v/>
      </c>
      <c r="O30" s="170" t="str">
        <f>IFERROR(#REF!/#REF!*100,"")</f>
        <v/>
      </c>
      <c r="P30" s="127"/>
      <c r="Q30" s="273">
        <v>21840</v>
      </c>
      <c r="R30" s="246">
        <f t="shared" si="3"/>
        <v>113860</v>
      </c>
      <c r="S30" s="245">
        <v>20490</v>
      </c>
    </row>
    <row r="31" spans="1:19" ht="35" customHeight="1">
      <c r="A31" s="60" t="s">
        <v>72</v>
      </c>
      <c r="B31" s="846" t="s">
        <v>73</v>
      </c>
      <c r="C31" s="388"/>
      <c r="D31" s="1086">
        <v>543</v>
      </c>
      <c r="E31" s="153">
        <v>1220</v>
      </c>
      <c r="F31" s="178" t="str">
        <f t="shared" si="0"/>
        <v/>
      </c>
      <c r="G31" s="1819" t="str">
        <f t="shared" si="4"/>
        <v/>
      </c>
      <c r="H31" s="178" t="str">
        <f t="shared" si="1"/>
        <v/>
      </c>
      <c r="I31" s="278">
        <f>_xlfn.XLOOKUP(B31,'دیده بان بازار'!$A$3:$A$3152,'دیده بان بازار'!$P$3:$P$3152,"Closed")</f>
        <v>1220</v>
      </c>
      <c r="J31" s="279">
        <f>_xlfn.XLOOKUP(B31,'دیده بان بازار'!$A$3:$A$3155,'دیده بان بازار'!$H$3:$H$3155,"")</f>
        <v>7880</v>
      </c>
      <c r="K31" s="171">
        <f>_xlfn.XLOOKUP(B31,'دیده بان بازار'!$A$3:$A$3542,'دیده بان بازار'!$J$3:$J$3542,"")</f>
        <v>2.87</v>
      </c>
      <c r="L31" s="277">
        <f t="shared" si="2"/>
        <v>-58.7650444793302</v>
      </c>
      <c r="M31" s="247" t="str">
        <f>IFERROR(#REF!/S31*100,"")</f>
        <v/>
      </c>
      <c r="N31" s="169" t="str">
        <f>IFERROR(#REF!/#REF!*100,"")</f>
        <v/>
      </c>
      <c r="O31" s="170" t="str">
        <f>IFERROR(#REF!/#REF!*100,"")</f>
        <v/>
      </c>
      <c r="P31" s="127"/>
      <c r="Q31" s="273">
        <v>19110</v>
      </c>
      <c r="R31" s="246">
        <f t="shared" si="3"/>
        <v>-11230</v>
      </c>
      <c r="S31" s="245">
        <v>13680</v>
      </c>
    </row>
    <row r="32" spans="1:19" ht="35" customHeight="1">
      <c r="A32" s="60" t="s">
        <v>44</v>
      </c>
      <c r="B32" s="846" t="s">
        <v>45</v>
      </c>
      <c r="C32" s="389"/>
      <c r="D32" s="1086">
        <v>5097</v>
      </c>
      <c r="E32" s="153">
        <v>822</v>
      </c>
      <c r="F32" s="178" t="str">
        <f t="shared" si="0"/>
        <v/>
      </c>
      <c r="G32" s="1819" t="str">
        <f t="shared" si="4"/>
        <v/>
      </c>
      <c r="H32" s="178" t="str">
        <f t="shared" si="1"/>
        <v/>
      </c>
      <c r="I32" s="278">
        <f>_xlfn.XLOOKUP(B32,'دیده بان بازار'!$A$3:$A$3152,'دیده بان بازار'!$P$3:$P$3152,"Closed")</f>
        <v>822</v>
      </c>
      <c r="J32" s="279">
        <f>_xlfn.XLOOKUP(B32,'دیده بان بازار'!$A$3:$A$3155,'دیده بان بازار'!$H$3:$H$3155,"")</f>
        <v>5530</v>
      </c>
      <c r="K32" s="171">
        <f>_xlfn.XLOOKUP(B32,'دیده بان بازار'!$A$3:$A$3542,'دیده بان بازار'!$J$3:$J$3542,"")</f>
        <v>2.98</v>
      </c>
      <c r="L32" s="277">
        <f t="shared" si="2"/>
        <v>-71.347150259067362</v>
      </c>
      <c r="M32" s="247" t="str">
        <f>IFERROR(#REF!/S32*100,"")</f>
        <v/>
      </c>
      <c r="N32" s="169" t="str">
        <f>IFERROR(#REF!/#REF!*100,"")</f>
        <v/>
      </c>
      <c r="O32" s="170" t="str">
        <f>IFERROR(#REF!/#REF!*100,"")</f>
        <v/>
      </c>
      <c r="P32" s="127"/>
      <c r="Q32" s="273">
        <v>19300</v>
      </c>
      <c r="R32" s="246">
        <f t="shared" si="3"/>
        <v>-13770</v>
      </c>
      <c r="S32" s="245">
        <v>17800</v>
      </c>
    </row>
    <row r="33" spans="1:19" ht="35" customHeight="1">
      <c r="A33" s="60" t="s">
        <v>48</v>
      </c>
      <c r="B33" s="846" t="s">
        <v>49</v>
      </c>
      <c r="C33" s="389"/>
      <c r="D33" s="1086">
        <v>2843</v>
      </c>
      <c r="E33" s="153">
        <v>5074</v>
      </c>
      <c r="F33" s="178" t="str">
        <f t="shared" si="0"/>
        <v/>
      </c>
      <c r="G33" s="1819" t="str">
        <f t="shared" si="4"/>
        <v/>
      </c>
      <c r="H33" s="178" t="str">
        <f t="shared" si="1"/>
        <v/>
      </c>
      <c r="I33" s="278">
        <f>_xlfn.XLOOKUP(B33,'دیده بان بازار'!$A$3:$A$3152,'دیده بان بازار'!$P$3:$P$3152,"Closed")</f>
        <v>5074</v>
      </c>
      <c r="J33" s="279">
        <f>_xlfn.XLOOKUP(B33,'دیده بان بازار'!$A$3:$A$3155,'دیده بان بازار'!$H$3:$H$3155,"")</f>
        <v>26480</v>
      </c>
      <c r="K33" s="171">
        <f>_xlfn.XLOOKUP(B33,'دیده بان بازار'!$A$3:$A$3542,'دیده بان بازار'!$J$3:$J$3542,"")</f>
        <v>2.99</v>
      </c>
      <c r="L33" s="277" t="str">
        <f>IFERROR(R33/Q33*100,"")</f>
        <v/>
      </c>
      <c r="M33" s="247" t="str">
        <f>IFERROR(#REF!/S33*100,"")</f>
        <v/>
      </c>
      <c r="N33" s="169" t="str">
        <f>IFERROR(#REF!/#REF!*100,"")</f>
        <v/>
      </c>
      <c r="O33" s="170" t="str">
        <f>IFERROR(#REF!/#REF!*100,"")</f>
        <v/>
      </c>
      <c r="P33" s="127"/>
      <c r="Q33" s="273"/>
      <c r="R33" s="246">
        <f>$J33-Q33</f>
        <v>26480</v>
      </c>
      <c r="S33" s="245"/>
    </row>
    <row r="34" spans="1:19" ht="42" customHeight="1">
      <c r="A34" s="60" t="s">
        <v>1676</v>
      </c>
      <c r="B34" s="846" t="s">
        <v>1677</v>
      </c>
      <c r="C34" s="388"/>
      <c r="D34" s="1086">
        <v>5647</v>
      </c>
      <c r="E34" s="153">
        <v>6930</v>
      </c>
      <c r="F34" s="178" t="str">
        <f t="shared" si="0"/>
        <v/>
      </c>
      <c r="G34" s="1819" t="str">
        <f t="shared" si="4"/>
        <v/>
      </c>
      <c r="H34" s="178" t="str">
        <f t="shared" si="1"/>
        <v/>
      </c>
      <c r="I34" s="278">
        <f>_xlfn.XLOOKUP(B34,'دیده بان بازار'!$A$3:$A$3152,'دیده بان بازار'!$P$3:$P$3152,"Closed")</f>
        <v>6930</v>
      </c>
      <c r="J34" s="279">
        <f>_xlfn.XLOOKUP(B34,'دیده بان بازار'!$A$3:$A$3155,'دیده بان بازار'!$H$3:$H$3155,"")</f>
        <v>45840</v>
      </c>
      <c r="K34" s="171">
        <f>_xlfn.XLOOKUP(B34,'دیده بان بازار'!$A$3:$A$3542,'دیده بان بازار'!$J$3:$J$3542,"")</f>
        <v>2.99</v>
      </c>
      <c r="L34" s="277">
        <f>IFERROR(R34/Q34*100,"")</f>
        <v>667.8391959798995</v>
      </c>
      <c r="M34" s="247" t="str">
        <f>IFERROR(#REF!/S34*100,"")</f>
        <v/>
      </c>
      <c r="N34" s="169" t="str">
        <f>IFERROR(#REF!/#REF!*100,"")</f>
        <v/>
      </c>
      <c r="O34" s="170" t="str">
        <f>IFERROR(#REF!/#REF!*100,"")</f>
        <v/>
      </c>
      <c r="P34" s="127"/>
      <c r="Q34" s="273">
        <v>5970</v>
      </c>
      <c r="R34" s="246">
        <f>$J34-Q34</f>
        <v>39870</v>
      </c>
      <c r="S34" s="245">
        <v>5860</v>
      </c>
    </row>
    <row r="35" spans="1:19" ht="41" customHeight="1">
      <c r="A35" s="60" t="s">
        <v>1678</v>
      </c>
      <c r="B35" s="846" t="s">
        <v>1679</v>
      </c>
      <c r="C35" s="388"/>
      <c r="D35" s="1086">
        <v>6398</v>
      </c>
      <c r="E35" s="153">
        <v>2598</v>
      </c>
      <c r="F35" s="178" t="str">
        <f t="shared" si="0"/>
        <v/>
      </c>
      <c r="G35" s="1819">
        <f t="shared" si="4"/>
        <v>0.46227867590454197</v>
      </c>
      <c r="H35" s="178" t="str">
        <f t="shared" si="1"/>
        <v/>
      </c>
      <c r="I35" s="278">
        <f>_xlfn.XLOOKUP(B35,'دیده بان بازار'!$A$3:$A$3152,'دیده بان بازار'!$P$3:$P$3152,"Closed")</f>
        <v>3799</v>
      </c>
      <c r="J35" s="279">
        <f>_xlfn.XLOOKUP(B35,'دیده بان بازار'!$A$3:$A$3155,'دیده بان بازار'!$H$3:$H$3155,"")</f>
        <v>29270</v>
      </c>
      <c r="K35" s="171">
        <f>_xlfn.XLOOKUP(B35,'دیده بان بازار'!$A$3:$A$3542,'دیده بان بازار'!$J$3:$J$3542,"")</f>
        <v>2.99</v>
      </c>
      <c r="L35" s="277">
        <f>IFERROR(R35/Q35*100,"")</f>
        <v>67.832568807339456</v>
      </c>
      <c r="M35" s="247" t="str">
        <f>IFERROR(#REF!/S35*100,"")</f>
        <v/>
      </c>
      <c r="N35" s="169" t="str">
        <f>IFERROR(#REF!/#REF!*100,"")</f>
        <v/>
      </c>
      <c r="O35" s="170" t="str">
        <f>IFERROR(#REF!/#REF!*100,"")</f>
        <v/>
      </c>
      <c r="P35" s="127"/>
      <c r="Q35" s="273">
        <v>17440</v>
      </c>
      <c r="R35" s="246">
        <f>$J35-Q35</f>
        <v>11830</v>
      </c>
      <c r="S35" s="245">
        <v>16180</v>
      </c>
    </row>
    <row r="36" spans="1:19" ht="41" customHeight="1">
      <c r="A36" s="60" t="s">
        <v>78</v>
      </c>
      <c r="B36" s="846" t="s">
        <v>79</v>
      </c>
      <c r="C36" s="388"/>
      <c r="D36" s="1086"/>
      <c r="E36" s="153">
        <v>1761</v>
      </c>
      <c r="F36" s="178" t="str">
        <f t="shared" si="0"/>
        <v/>
      </c>
      <c r="G36" s="1819" t="str">
        <f t="shared" si="4"/>
        <v/>
      </c>
      <c r="H36" s="178" t="str">
        <f t="shared" si="1"/>
        <v/>
      </c>
      <c r="I36" s="278">
        <f>_xlfn.XLOOKUP(B36,'دیده بان بازار'!$A$3:$A$3152,'دیده بان بازار'!$P$3:$P$3152,"Closed")</f>
        <v>1761</v>
      </c>
      <c r="J36" s="279">
        <f>_xlfn.XLOOKUP(B36,'دیده بان بازار'!$A$3:$A$3155,'دیده بان بازار'!$H$3:$H$3155,"")</f>
        <v>8820</v>
      </c>
      <c r="K36" s="171">
        <f>_xlfn.XLOOKUP(B36,'دیده بان بازار'!$A$3:$A$3542,'دیده بان بازار'!$J$3:$J$3542,"")</f>
        <v>2.68</v>
      </c>
      <c r="L36" s="277" t="str">
        <f>IFERROR(R36/Q36*100,"")</f>
        <v/>
      </c>
      <c r="M36" s="247" t="str">
        <f>IFERROR(#REF!/S36*100,"")</f>
        <v/>
      </c>
      <c r="N36" s="169" t="str">
        <f>IFERROR(#REF!/#REF!*100,"")</f>
        <v/>
      </c>
      <c r="O36" s="170" t="str">
        <f>IFERROR(#REF!/#REF!*100,"")</f>
        <v/>
      </c>
      <c r="P36" s="127"/>
      <c r="Q36" s="273"/>
      <c r="R36" s="246"/>
      <c r="S36" s="245"/>
    </row>
    <row r="37" spans="1:19" ht="41" customHeight="1">
      <c r="A37" s="60" t="s">
        <v>82</v>
      </c>
      <c r="B37" s="846" t="s">
        <v>83</v>
      </c>
      <c r="C37" s="388"/>
      <c r="D37" s="1086"/>
      <c r="E37" s="153">
        <v>2014</v>
      </c>
      <c r="F37" s="178" t="str">
        <f t="shared" si="0"/>
        <v/>
      </c>
      <c r="G37" s="1819" t="str">
        <f t="shared" si="4"/>
        <v/>
      </c>
      <c r="H37" s="178" t="str">
        <f t="shared" si="1"/>
        <v/>
      </c>
      <c r="I37" s="278">
        <f>_xlfn.XLOOKUP(B37,'دیده بان بازار'!$A$3:$A$3152,'دیده بان بازار'!$P$3:$P$3152,"Closed")</f>
        <v>2014</v>
      </c>
      <c r="J37" s="279">
        <f>_xlfn.XLOOKUP(B37,'دیده بان بازار'!$A$3:$A$3155,'دیده بان بازار'!$H$3:$H$3155,"")</f>
        <v>13850</v>
      </c>
      <c r="K37" s="171">
        <f>_xlfn.XLOOKUP(B37,'دیده بان بازار'!$A$3:$A$3542,'دیده بان بازار'!$J$3:$J$3542,"")</f>
        <v>2.97</v>
      </c>
      <c r="L37" s="277" t="str">
        <f>IFERROR(R37/Q37*100,"")</f>
        <v/>
      </c>
      <c r="M37" s="247"/>
      <c r="N37" s="169"/>
      <c r="O37" s="170"/>
      <c r="P37" s="127"/>
      <c r="Q37" s="273"/>
      <c r="R37" s="246"/>
      <c r="S37" s="245"/>
    </row>
    <row r="38" spans="1:19" ht="41" customHeight="1">
      <c r="A38" s="60" t="s">
        <v>138</v>
      </c>
      <c r="B38" s="846" t="s">
        <v>139</v>
      </c>
      <c r="C38" s="388"/>
      <c r="D38" s="1086">
        <v>2238</v>
      </c>
      <c r="E38" s="153">
        <v>2884</v>
      </c>
      <c r="F38" s="178" t="str">
        <f t="shared" si="0"/>
        <v/>
      </c>
      <c r="G38" s="1819" t="str">
        <f t="shared" si="4"/>
        <v/>
      </c>
      <c r="H38" s="178" t="str">
        <f t="shared" si="1"/>
        <v/>
      </c>
      <c r="I38" s="278">
        <f>_xlfn.XLOOKUP(B38,'دیده بان بازار'!$A$3:$A$3152,'دیده بان بازار'!$P$3:$P$3152,"Closed")</f>
        <v>2884</v>
      </c>
      <c r="J38" s="279">
        <f>_xlfn.XLOOKUP(B38,'دیده بان بازار'!$A$3:$A$3155,'دیده بان بازار'!$H$3:$H$3155,"")</f>
        <v>11010</v>
      </c>
      <c r="K38" s="171">
        <f>_xlfn.XLOOKUP(B38,'دیده بان بازار'!$A$3:$A$3542,'دیده بان بازار'!$J$3:$J$3542,"")</f>
        <v>2.99</v>
      </c>
      <c r="L38" s="277">
        <f t="shared" ref="L38:L42" si="5">IFERROR(R38/Q38*100,"")</f>
        <v>-89.331395348837205</v>
      </c>
      <c r="M38" s="247" t="str">
        <f>IFERROR(#REF!/S38*100,"")</f>
        <v/>
      </c>
      <c r="N38" s="169" t="str">
        <f>IFERROR(#REF!/#REF!*100,"")</f>
        <v/>
      </c>
      <c r="O38" s="170" t="str">
        <f>IFERROR(#REF!/#REF!*100,"")</f>
        <v/>
      </c>
      <c r="P38" s="127"/>
      <c r="Q38" s="273">
        <v>103200</v>
      </c>
      <c r="R38" s="246">
        <f t="shared" ref="R38:R42" si="6">$J38-Q38</f>
        <v>-92190</v>
      </c>
      <c r="S38" s="245"/>
    </row>
    <row r="39" spans="1:19" ht="41" customHeight="1">
      <c r="A39" s="60" t="s">
        <v>126</v>
      </c>
      <c r="B39" s="846" t="s">
        <v>127</v>
      </c>
      <c r="C39" s="388"/>
      <c r="D39" s="1086">
        <v>741</v>
      </c>
      <c r="E39" s="153">
        <v>1411</v>
      </c>
      <c r="F39" s="178" t="str">
        <f t="shared" si="0"/>
        <v/>
      </c>
      <c r="G39" s="1819" t="str">
        <f t="shared" si="4"/>
        <v/>
      </c>
      <c r="H39" s="178" t="str">
        <f t="shared" si="1"/>
        <v/>
      </c>
      <c r="I39" s="278">
        <f>_xlfn.XLOOKUP(B39,'دیده بان بازار'!$A$3:$A$3152,'دیده بان بازار'!$P$3:$P$3152,"Closed")</f>
        <v>1411</v>
      </c>
      <c r="J39" s="279">
        <f>_xlfn.XLOOKUP(B39,'دیده بان بازار'!$A$3:$A$3155,'دیده بان بازار'!$H$3:$H$3155,"")</f>
        <v>16220</v>
      </c>
      <c r="K39" s="171">
        <f>_xlfn.XLOOKUP(B39,'دیده بان بازار'!$A$3:$A$3542,'دیده بان بازار'!$J$3:$J$3542,"")</f>
        <v>2.98</v>
      </c>
      <c r="L39" s="277">
        <f t="shared" si="5"/>
        <v>119.18918918918919</v>
      </c>
      <c r="M39" s="247" t="str">
        <f>IFERROR(#REF!/S39*100,"")</f>
        <v/>
      </c>
      <c r="N39" s="169" t="str">
        <f>IFERROR(#REF!/#REF!*100,"")</f>
        <v/>
      </c>
      <c r="O39" s="170" t="str">
        <f>IFERROR(#REF!/#REF!*100,"")</f>
        <v/>
      </c>
      <c r="P39" s="127"/>
      <c r="Q39" s="273">
        <v>7400</v>
      </c>
      <c r="R39" s="246">
        <f t="shared" si="6"/>
        <v>8820</v>
      </c>
      <c r="S39" s="245"/>
    </row>
    <row r="40" spans="1:19" ht="41" customHeight="1">
      <c r="A40" s="60" t="s">
        <v>154</v>
      </c>
      <c r="B40" s="846" t="s">
        <v>155</v>
      </c>
      <c r="C40" s="388"/>
      <c r="D40" s="1086" t="s">
        <v>1680</v>
      </c>
      <c r="E40" s="153">
        <v>5589</v>
      </c>
      <c r="F40" s="178" t="str">
        <f t="shared" ref="F40:F69" si="7">IF(D40=E40,"No","")</f>
        <v/>
      </c>
      <c r="G40" s="1819">
        <f t="shared" si="4"/>
        <v>7.1926999463231348E-2</v>
      </c>
      <c r="H40" s="178" t="str">
        <f t="shared" ref="H40:H71" si="8">IF(G40="Closed", "Closed", IF(G40&gt;=30%,"",
IF(AND(G40&gt;=20%,G40&lt;30%),"Good",
IF(AND(G40&gt;=10%,G40&lt;20%),"Fair",
IF(AND(G40&gt;=0.01%,G40&lt;10%),"Bad",
IF(G40&lt;0%,"Terrible",""))))))</f>
        <v>Bad</v>
      </c>
      <c r="I40" s="278">
        <f>_xlfn.XLOOKUP(B40,'دیده بان بازار'!$A$3:$A$3152,'دیده بان بازار'!$P$3:$P$3152,"Closed")</f>
        <v>5991</v>
      </c>
      <c r="J40" s="279">
        <f>_xlfn.XLOOKUP(B40,'دیده بان بازار'!$A$3:$A$3155,'دیده بان بازار'!$H$3:$H$3155,"")</f>
        <v>54190</v>
      </c>
      <c r="K40" s="171">
        <f>_xlfn.XLOOKUP(B40,'دیده بان بازار'!$A$3:$A$3542,'دیده بان بازار'!$J$3:$J$3542,"")</f>
        <v>2.98</v>
      </c>
      <c r="L40" s="277">
        <f t="shared" si="5"/>
        <v>-45.146269865370989</v>
      </c>
      <c r="M40" s="247" t="str">
        <f>IFERROR(#REF!/S40*100,"")</f>
        <v/>
      </c>
      <c r="N40" s="169" t="str">
        <f>IFERROR(#REF!/#REF!*100,"")</f>
        <v/>
      </c>
      <c r="O40" s="170" t="str">
        <f>IFERROR(#REF!/#REF!*100,"")</f>
        <v/>
      </c>
      <c r="P40" s="127"/>
      <c r="Q40" s="273">
        <v>98790</v>
      </c>
      <c r="R40" s="246">
        <f t="shared" si="6"/>
        <v>-44600</v>
      </c>
      <c r="S40" s="245"/>
    </row>
    <row r="41" spans="1:19" ht="41" customHeight="1">
      <c r="A41" s="60" t="s">
        <v>171</v>
      </c>
      <c r="B41" s="846" t="s">
        <v>172</v>
      </c>
      <c r="C41" s="388"/>
      <c r="D41" s="1086">
        <v>575</v>
      </c>
      <c r="E41" s="153">
        <v>1249</v>
      </c>
      <c r="F41" s="178" t="str">
        <f t="shared" si="7"/>
        <v/>
      </c>
      <c r="G41" s="1819" t="str">
        <f t="shared" si="4"/>
        <v/>
      </c>
      <c r="H41" s="178" t="str">
        <f t="shared" si="8"/>
        <v/>
      </c>
      <c r="I41" s="278">
        <f>_xlfn.XLOOKUP(B41,'دیده بان بازار'!$A$3:$A$3152,'دیده بان بازار'!$P$3:$P$3152,"Closed")</f>
        <v>1249</v>
      </c>
      <c r="J41" s="279">
        <f>_xlfn.XLOOKUP(B41,'دیده بان بازار'!$A$3:$A$3155,'دیده بان بازار'!$H$3:$H$3155,"")</f>
        <v>4510</v>
      </c>
      <c r="K41" s="171">
        <f>_xlfn.XLOOKUP(B41,'دیده بان بازار'!$A$3:$A$3542,'دیده بان بازار'!$J$3:$J$3542,"")</f>
        <v>2.97</v>
      </c>
      <c r="L41" s="277">
        <f t="shared" si="5"/>
        <v>-12.596899224806201</v>
      </c>
      <c r="M41" s="247" t="str">
        <f>IFERROR(#REF!/S41*100,"")</f>
        <v/>
      </c>
      <c r="N41" s="169" t="str">
        <f>IFERROR(#REF!/#REF!*100,"")</f>
        <v/>
      </c>
      <c r="O41" s="170" t="str">
        <f>IFERROR(#REF!/#REF!*100,"")</f>
        <v/>
      </c>
      <c r="P41" s="127"/>
      <c r="Q41" s="273">
        <v>5160</v>
      </c>
      <c r="R41" s="246">
        <f t="shared" si="6"/>
        <v>-650</v>
      </c>
      <c r="S41" s="245"/>
    </row>
    <row r="42" spans="1:19" ht="41" customHeight="1">
      <c r="A42" s="60" t="s">
        <v>120</v>
      </c>
      <c r="B42" s="846" t="s">
        <v>121</v>
      </c>
      <c r="C42" s="388"/>
      <c r="D42" s="1086">
        <v>9572</v>
      </c>
      <c r="E42" s="153">
        <v>14832</v>
      </c>
      <c r="F42" s="178" t="str">
        <f t="shared" si="7"/>
        <v/>
      </c>
      <c r="G42" s="1819" t="str">
        <f t="shared" si="4"/>
        <v/>
      </c>
      <c r="H42" s="178" t="str">
        <f t="shared" si="8"/>
        <v/>
      </c>
      <c r="I42" s="278">
        <f>_xlfn.XLOOKUP(B42,'دیده بان بازار'!$A$3:$A$3152,'دیده بان بازار'!$P$3:$P$3152,"Closed")</f>
        <v>14832</v>
      </c>
      <c r="J42" s="279">
        <f>_xlfn.XLOOKUP(B42,'دیده بان بازار'!$A$3:$A$3155,'دیده بان بازار'!$H$3:$H$3155,"")</f>
        <v>67730</v>
      </c>
      <c r="K42" s="171">
        <f>_xlfn.XLOOKUP(B42,'دیده بان بازار'!$A$3:$A$3542,'دیده بان بازار'!$J$3:$J$3542,"")</f>
        <v>3</v>
      </c>
      <c r="L42" s="277">
        <f t="shared" si="5"/>
        <v>129.82694265354598</v>
      </c>
      <c r="M42" s="247" t="str">
        <f>IFERROR(#REF!/S42*100,"")</f>
        <v/>
      </c>
      <c r="N42" s="169" t="str">
        <f>IFERROR(#REF!/#REF!*100,"")</f>
        <v/>
      </c>
      <c r="O42" s="170" t="str">
        <f>IFERROR(#REF!/#REF!*100,"")</f>
        <v/>
      </c>
      <c r="P42" s="127"/>
      <c r="Q42" s="273">
        <v>29470</v>
      </c>
      <c r="R42" s="246">
        <f t="shared" si="6"/>
        <v>38260</v>
      </c>
      <c r="S42" s="245"/>
    </row>
    <row r="43" spans="1:19" ht="41" customHeight="1">
      <c r="A43" s="60" t="s">
        <v>114</v>
      </c>
      <c r="B43" s="846" t="s">
        <v>115</v>
      </c>
      <c r="C43" s="388"/>
      <c r="D43" s="1086">
        <v>713</v>
      </c>
      <c r="E43" s="153">
        <v>1216</v>
      </c>
      <c r="F43" s="178" t="str">
        <f t="shared" si="7"/>
        <v/>
      </c>
      <c r="G43" s="1819" t="str">
        <f t="shared" si="4"/>
        <v/>
      </c>
      <c r="H43" s="178" t="str">
        <f t="shared" si="8"/>
        <v/>
      </c>
      <c r="I43" s="278">
        <f>_xlfn.XLOOKUP(B43,'دیده بان بازار'!$A$3:$A$3152,'دیده بان بازار'!$P$3:$P$3152,"Closed")</f>
        <v>1216</v>
      </c>
      <c r="J43" s="279">
        <f>_xlfn.XLOOKUP(B43,'دیده بان بازار'!$A$3:$A$3155,'دیده بان بازار'!$H$3:$H$3155,"")</f>
        <v>4640</v>
      </c>
      <c r="K43" s="171">
        <f>_xlfn.XLOOKUP(B43,'دیده بان بازار'!$A$3:$A$3542,'دیده بان بازار'!$J$3:$J$3542,"")</f>
        <v>2.88</v>
      </c>
      <c r="L43" s="277">
        <f t="shared" ref="L43:L51" si="9">IFERROR(R43/Q43*100,"")</f>
        <v>-66.352429296591737</v>
      </c>
      <c r="M43" s="247" t="str">
        <f>IFERROR(#REF!/S43*100,"")</f>
        <v/>
      </c>
      <c r="N43" s="169" t="str">
        <f>IFERROR(#REF!/#REF!*100,"")</f>
        <v/>
      </c>
      <c r="O43" s="170" t="str">
        <f>IFERROR(#REF!/#REF!*100,"")</f>
        <v/>
      </c>
      <c r="P43" s="127"/>
      <c r="Q43" s="273">
        <v>13790</v>
      </c>
      <c r="R43" s="246">
        <f>$J43-Q43</f>
        <v>-9150</v>
      </c>
      <c r="S43" s="245"/>
    </row>
    <row r="44" spans="1:19" ht="41" customHeight="1">
      <c r="A44" s="60" t="s">
        <v>148</v>
      </c>
      <c r="B44" s="846" t="s">
        <v>149</v>
      </c>
      <c r="C44" s="388"/>
      <c r="D44" s="1086">
        <v>548</v>
      </c>
      <c r="E44" s="153">
        <v>3871</v>
      </c>
      <c r="F44" s="178" t="str">
        <f t="shared" si="7"/>
        <v/>
      </c>
      <c r="G44" s="1819" t="str">
        <f t="shared" si="4"/>
        <v/>
      </c>
      <c r="H44" s="178" t="str">
        <f t="shared" si="8"/>
        <v/>
      </c>
      <c r="I44" s="278">
        <f>_xlfn.XLOOKUP(B44,'دیده بان بازار'!$A$3:$A$3152,'دیده بان بازار'!$P$3:$P$3152,"Closed")</f>
        <v>3871</v>
      </c>
      <c r="J44" s="279">
        <f>_xlfn.XLOOKUP(B44,'دیده بان بازار'!$A$3:$A$3155,'دیده بان بازار'!$H$3:$H$3155,"")</f>
        <v>19620</v>
      </c>
      <c r="K44" s="171">
        <f>_xlfn.XLOOKUP(B44,'دیده بان بازار'!$A$3:$A$3542,'دیده بان بازار'!$J$3:$J$3542,"")</f>
        <v>2.99</v>
      </c>
      <c r="L44" s="277">
        <f t="shared" si="9"/>
        <v>-53.285714285714278</v>
      </c>
      <c r="M44" s="247" t="str">
        <f>IFERROR(#REF!/S44*100,"")</f>
        <v/>
      </c>
      <c r="N44" s="169" t="str">
        <f>IFERROR(#REF!/#REF!*100,"")</f>
        <v/>
      </c>
      <c r="O44" s="170" t="str">
        <f>IFERROR(#REF!/#REF!*100,"")</f>
        <v/>
      </c>
      <c r="P44" s="127"/>
      <c r="Q44" s="273">
        <v>42000</v>
      </c>
      <c r="R44" s="246">
        <f>$J44-Q44</f>
        <v>-22380</v>
      </c>
      <c r="S44" s="245"/>
    </row>
    <row r="45" spans="1:19" ht="41" customHeight="1">
      <c r="A45" s="60" t="s">
        <v>128</v>
      </c>
      <c r="B45" s="846" t="s">
        <v>129</v>
      </c>
      <c r="C45" s="388"/>
      <c r="D45" s="1086">
        <v>955</v>
      </c>
      <c r="E45" s="153">
        <v>1069</v>
      </c>
      <c r="F45" s="178" t="str">
        <f t="shared" si="7"/>
        <v/>
      </c>
      <c r="G45" s="1819" t="str">
        <f t="shared" si="4"/>
        <v/>
      </c>
      <c r="H45" s="178" t="str">
        <f t="shared" si="8"/>
        <v/>
      </c>
      <c r="I45" s="278">
        <f>_xlfn.XLOOKUP(B45,'دیده بان بازار'!$A$3:$A$3152,'دیده بان بازار'!$P$3:$P$3152,"Closed")</f>
        <v>1069</v>
      </c>
      <c r="J45" s="279">
        <f>_xlfn.XLOOKUP(B45,'دیده بان بازار'!$A$3:$A$3155,'دیده بان بازار'!$H$3:$H$3155,"")</f>
        <v>10800</v>
      </c>
      <c r="K45" s="171">
        <f>_xlfn.XLOOKUP(B45,'دیده بان بازار'!$A$3:$A$3542,'دیده بان بازار'!$J$3:$J$3542,"")</f>
        <v>2.96</v>
      </c>
      <c r="L45" s="277" t="str">
        <f t="shared" si="9"/>
        <v/>
      </c>
      <c r="M45" s="247" t="str">
        <f>IFERROR(#REF!/S45*100,"")</f>
        <v/>
      </c>
      <c r="N45" s="169" t="str">
        <f>IFERROR(#REF!/#REF!*100,"")</f>
        <v/>
      </c>
      <c r="O45" s="170" t="str">
        <f>IFERROR(#REF!/#REF!*100,"")</f>
        <v/>
      </c>
      <c r="P45" s="127"/>
      <c r="Q45" s="273"/>
      <c r="R45" s="246"/>
      <c r="S45" s="245"/>
    </row>
    <row r="46" spans="1:19" ht="41" customHeight="1">
      <c r="A46" s="60" t="s">
        <v>142</v>
      </c>
      <c r="B46" s="846" t="s">
        <v>143</v>
      </c>
      <c r="C46" s="388"/>
      <c r="D46" s="1086" t="s">
        <v>1680</v>
      </c>
      <c r="E46" s="153">
        <v>1879</v>
      </c>
      <c r="F46" s="178" t="str">
        <f t="shared" si="7"/>
        <v/>
      </c>
      <c r="G46" s="1819" t="str">
        <f t="shared" si="4"/>
        <v/>
      </c>
      <c r="H46" s="178" t="str">
        <f t="shared" si="8"/>
        <v/>
      </c>
      <c r="I46" s="278">
        <f>_xlfn.XLOOKUP(B46,'دیده بان بازار'!$A$3:$A$3152,'دیده بان بازار'!$P$3:$P$3152,"Closed")</f>
        <v>1879</v>
      </c>
      <c r="J46" s="279">
        <f>_xlfn.XLOOKUP(B46,'دیده بان بازار'!$A$3:$A$3155,'دیده بان بازار'!$H$3:$H$3155,"")</f>
        <v>10930</v>
      </c>
      <c r="K46" s="171">
        <f>_xlfn.XLOOKUP(B46,'دیده بان بازار'!$A$3:$A$3542,'دیده بان بازار'!$J$3:$J$3542,"")</f>
        <v>2.92</v>
      </c>
      <c r="L46" s="277" t="str">
        <f t="shared" si="9"/>
        <v/>
      </c>
      <c r="M46" s="247"/>
      <c r="N46" s="169"/>
      <c r="O46" s="170"/>
      <c r="P46" s="127"/>
      <c r="Q46" s="273"/>
      <c r="R46" s="246"/>
      <c r="S46" s="245"/>
    </row>
    <row r="47" spans="1:19" ht="41" customHeight="1">
      <c r="A47" s="60" t="s">
        <v>173</v>
      </c>
      <c r="B47" s="846" t="s">
        <v>174</v>
      </c>
      <c r="C47" s="388"/>
      <c r="D47" s="1086">
        <v>1037</v>
      </c>
      <c r="E47" s="153">
        <v>2555</v>
      </c>
      <c r="F47" s="178" t="str">
        <f t="shared" si="7"/>
        <v/>
      </c>
      <c r="G47" s="1819" t="str">
        <f t="shared" si="4"/>
        <v/>
      </c>
      <c r="H47" s="178" t="str">
        <f t="shared" si="8"/>
        <v/>
      </c>
      <c r="I47" s="278">
        <f>_xlfn.XLOOKUP(B47,'دیده بان بازار'!$A$3:$A$3152,'دیده بان بازار'!$P$3:$P$3152,"Closed")</f>
        <v>2555</v>
      </c>
      <c r="J47" s="279">
        <f>_xlfn.XLOOKUP(B47,'دیده بان بازار'!$A$3:$A$3155,'دیده بان بازار'!$H$3:$H$3155,"")</f>
        <v>12730</v>
      </c>
      <c r="K47" s="171">
        <f>_xlfn.XLOOKUP(B47,'دیده بان بازار'!$A$3:$A$3542,'دیده بان بازار'!$J$3:$J$3542,"")</f>
        <v>2.99</v>
      </c>
      <c r="L47" s="277" t="str">
        <f t="shared" si="9"/>
        <v/>
      </c>
      <c r="M47" s="247"/>
      <c r="N47" s="169"/>
      <c r="O47" s="170"/>
      <c r="P47" s="127"/>
      <c r="Q47" s="273"/>
      <c r="R47" s="246"/>
      <c r="S47" s="245"/>
    </row>
    <row r="48" spans="1:19" ht="41" customHeight="1">
      <c r="A48" s="60" t="s">
        <v>146</v>
      </c>
      <c r="B48" s="846" t="s">
        <v>147</v>
      </c>
      <c r="C48" s="388"/>
      <c r="D48" s="1086" t="s">
        <v>1680</v>
      </c>
      <c r="E48" s="153">
        <v>4878</v>
      </c>
      <c r="F48" s="178" t="str">
        <f t="shared" si="7"/>
        <v/>
      </c>
      <c r="G48" s="1819" t="str">
        <f t="shared" si="4"/>
        <v/>
      </c>
      <c r="H48" s="178" t="str">
        <f t="shared" si="8"/>
        <v/>
      </c>
      <c r="I48" s="278">
        <f>_xlfn.XLOOKUP(B48,'دیده بان بازار'!$A$3:$A$3152,'دیده بان بازار'!$P$3:$P$3152,"Closed")</f>
        <v>4878</v>
      </c>
      <c r="J48" s="279">
        <f>_xlfn.XLOOKUP(B48,'دیده بان بازار'!$A$3:$A$3155,'دیده بان بازار'!$H$3:$H$3155,"")</f>
        <v>29010</v>
      </c>
      <c r="K48" s="171">
        <f>_xlfn.XLOOKUP(B48,'دیده بان بازار'!$A$3:$A$3542,'دیده بان بازار'!$J$3:$J$3542,"")</f>
        <v>2.98</v>
      </c>
      <c r="L48" s="277" t="str">
        <f t="shared" si="9"/>
        <v/>
      </c>
      <c r="M48" s="247"/>
      <c r="N48" s="169"/>
      <c r="O48" s="170"/>
      <c r="P48" s="127"/>
      <c r="Q48" s="273"/>
      <c r="R48" s="246"/>
      <c r="S48" s="245"/>
    </row>
    <row r="49" spans="1:19" ht="41" customHeight="1">
      <c r="A49" s="60" t="s">
        <v>175</v>
      </c>
      <c r="B49" s="846" t="s">
        <v>176</v>
      </c>
      <c r="C49" s="388"/>
      <c r="D49" s="1086">
        <v>631</v>
      </c>
      <c r="E49" s="153">
        <v>1816</v>
      </c>
      <c r="F49" s="178" t="str">
        <f t="shared" si="7"/>
        <v/>
      </c>
      <c r="G49" s="1819" t="str">
        <f t="shared" si="4"/>
        <v/>
      </c>
      <c r="H49" s="178" t="str">
        <f t="shared" si="8"/>
        <v/>
      </c>
      <c r="I49" s="278">
        <f>_xlfn.XLOOKUP(B49,'دیده بان بازار'!$A$3:$A$3152,'دیده بان بازار'!$P$3:$P$3152,"Closed")</f>
        <v>1816</v>
      </c>
      <c r="J49" s="279">
        <f>_xlfn.XLOOKUP(B49,'دیده بان بازار'!$A$3:$A$3155,'دیده بان بازار'!$H$3:$H$3155,"")</f>
        <v>11240</v>
      </c>
      <c r="K49" s="171">
        <f>_xlfn.XLOOKUP(B49,'دیده بان بازار'!$A$3:$A$3542,'دیده بان بازار'!$J$3:$J$3542,"")</f>
        <v>2.93</v>
      </c>
      <c r="L49" s="277" t="str">
        <f t="shared" si="9"/>
        <v/>
      </c>
      <c r="M49" s="247"/>
      <c r="N49" s="169"/>
      <c r="O49" s="170"/>
      <c r="P49" s="127"/>
      <c r="Q49" s="273"/>
      <c r="R49" s="246"/>
      <c r="S49" s="245"/>
    </row>
    <row r="50" spans="1:19" ht="41" customHeight="1">
      <c r="A50" s="60" t="s">
        <v>110</v>
      </c>
      <c r="B50" s="846" t="s">
        <v>111</v>
      </c>
      <c r="C50" s="388"/>
      <c r="D50" s="1086">
        <v>1598</v>
      </c>
      <c r="E50" s="153">
        <v>1120</v>
      </c>
      <c r="F50" s="178" t="str">
        <f t="shared" si="7"/>
        <v/>
      </c>
      <c r="G50" s="1819" t="str">
        <f t="shared" si="4"/>
        <v/>
      </c>
      <c r="H50" s="178" t="str">
        <f t="shared" si="8"/>
        <v/>
      </c>
      <c r="I50" s="278">
        <f>_xlfn.XLOOKUP(B50,'دیده بان بازار'!$A$3:$A$3152,'دیده بان بازار'!$P$3:$P$3152,"Closed")</f>
        <v>1120</v>
      </c>
      <c r="J50" s="279">
        <f>_xlfn.XLOOKUP(B50,'دیده بان بازار'!$A$3:$A$3155,'دیده بان بازار'!$H$3:$H$3155,"")</f>
        <v>3380</v>
      </c>
      <c r="K50" s="171">
        <f>_xlfn.XLOOKUP(B50,'دیده بان بازار'!$A$3:$A$3542,'دیده بان بازار'!$J$3:$J$3542,"")</f>
        <v>2.74</v>
      </c>
      <c r="L50" s="277" t="str">
        <f t="shared" si="9"/>
        <v/>
      </c>
      <c r="M50" s="247"/>
      <c r="N50" s="169"/>
      <c r="O50" s="170"/>
      <c r="P50" s="127"/>
      <c r="Q50" s="273"/>
      <c r="R50" s="246"/>
      <c r="S50" s="245"/>
    </row>
    <row r="51" spans="1:19" ht="41" customHeight="1">
      <c r="A51" s="60" t="s">
        <v>118</v>
      </c>
      <c r="B51" s="846" t="s">
        <v>119</v>
      </c>
      <c r="C51" s="388"/>
      <c r="D51" s="1086">
        <v>924</v>
      </c>
      <c r="E51" s="153">
        <v>519</v>
      </c>
      <c r="F51" s="178" t="str">
        <f t="shared" si="7"/>
        <v/>
      </c>
      <c r="G51" s="1819" t="str">
        <f t="shared" si="4"/>
        <v>Closed</v>
      </c>
      <c r="H51" s="178" t="str">
        <f t="shared" si="8"/>
        <v>Closed</v>
      </c>
      <c r="I51" s="278" t="str">
        <f>_xlfn.XLOOKUP(B51,'دیده بان بازار'!$A$3:$A$3152,'دیده بان بازار'!$P$3:$P$3152,"Closed")</f>
        <v>Closed</v>
      </c>
      <c r="J51" s="279" t="str">
        <f>_xlfn.XLOOKUP(B51,'دیده بان بازار'!$A$3:$A$3155,'دیده بان بازار'!$H$3:$H$3155,"")</f>
        <v/>
      </c>
      <c r="K51" s="171" t="str">
        <f>_xlfn.XLOOKUP(B51,'دیده بان بازار'!$A$3:$A$3542,'دیده بان بازار'!$J$3:$J$3542,"")</f>
        <v/>
      </c>
      <c r="L51" s="277" t="str">
        <f t="shared" si="9"/>
        <v/>
      </c>
      <c r="M51" s="247"/>
      <c r="N51" s="169"/>
      <c r="O51" s="170"/>
      <c r="P51" s="127"/>
      <c r="Q51" s="273"/>
      <c r="R51" s="246"/>
      <c r="S51" s="245"/>
    </row>
    <row r="52" spans="1:19" ht="41" customHeight="1">
      <c r="A52" s="60" t="s">
        <v>112</v>
      </c>
      <c r="B52" s="846" t="s">
        <v>113</v>
      </c>
      <c r="C52" s="67"/>
      <c r="D52" s="1086">
        <v>1153</v>
      </c>
      <c r="E52" s="153">
        <v>1478</v>
      </c>
      <c r="F52" s="178" t="str">
        <f t="shared" si="7"/>
        <v/>
      </c>
      <c r="G52" s="1819" t="str">
        <f t="shared" si="4"/>
        <v/>
      </c>
      <c r="H52" s="178" t="str">
        <f t="shared" si="8"/>
        <v/>
      </c>
      <c r="I52" s="278">
        <f>_xlfn.XLOOKUP(B52,'دیده بان بازار'!$A$3:$A$3152,'دیده بان بازار'!$P$3:$P$3152,"Closed")</f>
        <v>1478</v>
      </c>
      <c r="J52" s="279">
        <f>_xlfn.XLOOKUP(B52,'دیده بان بازار'!$A$3:$A$3155,'دیده بان بازار'!$H$3:$H$3155,"")</f>
        <v>7440</v>
      </c>
      <c r="K52" s="171">
        <f>_xlfn.XLOOKUP(B52,'دیده بان بازار'!$A$3:$A$3542,'دیده بان بازار'!$J$3:$J$3542,"")</f>
        <v>2.9</v>
      </c>
      <c r="L52" s="277"/>
      <c r="M52" s="247"/>
      <c r="N52" s="169"/>
      <c r="O52" s="170"/>
      <c r="P52" s="127"/>
      <c r="Q52" s="273"/>
      <c r="R52" s="246"/>
      <c r="S52" s="245"/>
    </row>
    <row r="53" spans="1:19" ht="41" customHeight="1">
      <c r="A53" s="60" t="s">
        <v>122</v>
      </c>
      <c r="B53" s="846" t="s">
        <v>123</v>
      </c>
      <c r="C53" s="67"/>
      <c r="D53" s="1086">
        <v>621</v>
      </c>
      <c r="E53" s="153">
        <v>158</v>
      </c>
      <c r="F53" s="178" t="str">
        <f t="shared" si="7"/>
        <v/>
      </c>
      <c r="G53" s="1819" t="str">
        <f t="shared" si="4"/>
        <v/>
      </c>
      <c r="H53" s="178" t="str">
        <f t="shared" si="8"/>
        <v/>
      </c>
      <c r="I53" s="278">
        <f>_xlfn.XLOOKUP(B53,'دیده بان بازار'!$A$3:$A$3152,'دیده بان بازار'!$P$3:$P$3152,"Closed")</f>
        <v>158</v>
      </c>
      <c r="J53" s="279">
        <f>_xlfn.XLOOKUP(B53,'دیده بان بازار'!$A$3:$A$3155,'دیده بان بازار'!$H$3:$H$3155,"")</f>
        <v>2795</v>
      </c>
      <c r="K53" s="171"/>
      <c r="L53" s="277"/>
      <c r="M53" s="247"/>
      <c r="N53" s="169"/>
      <c r="O53" s="170"/>
      <c r="P53" s="127"/>
      <c r="Q53" s="273"/>
      <c r="R53" s="246"/>
      <c r="S53" s="245"/>
    </row>
    <row r="54" spans="1:19" ht="41" customHeight="1">
      <c r="A54" s="60" t="s">
        <v>92</v>
      </c>
      <c r="B54" s="846" t="s">
        <v>93</v>
      </c>
      <c r="C54" s="67"/>
      <c r="D54" s="1086">
        <v>398</v>
      </c>
      <c r="E54" s="153">
        <v>1886</v>
      </c>
      <c r="F54" s="178" t="str">
        <f t="shared" si="7"/>
        <v/>
      </c>
      <c r="G54" s="1819" t="str">
        <f t="shared" si="4"/>
        <v>Closed</v>
      </c>
      <c r="H54" s="178" t="str">
        <f t="shared" si="8"/>
        <v>Closed</v>
      </c>
      <c r="I54" s="278" t="str">
        <f>_xlfn.XLOOKUP(B54,'دیده بان بازار'!$A$3:$A$3152,'دیده بان بازار'!$P$3:$P$3152,"Closed")</f>
        <v>Closed</v>
      </c>
      <c r="J54" s="279" t="str">
        <f>_xlfn.XLOOKUP(B54,'دیده بان بازار'!$A$3:$A$3155,'دیده بان بازار'!$H$3:$H$3155,"")</f>
        <v/>
      </c>
      <c r="K54" s="171"/>
      <c r="L54" s="277"/>
      <c r="M54" s="247"/>
      <c r="N54" s="169"/>
      <c r="O54" s="170"/>
      <c r="P54" s="127"/>
      <c r="Q54" s="273"/>
      <c r="R54" s="246"/>
      <c r="S54" s="245"/>
    </row>
    <row r="55" spans="1:19" ht="41" customHeight="1">
      <c r="A55" s="60" t="s">
        <v>94</v>
      </c>
      <c r="B55" s="846" t="s">
        <v>95</v>
      </c>
      <c r="C55" s="67"/>
      <c r="D55" s="1086">
        <v>440</v>
      </c>
      <c r="E55" s="153">
        <v>352</v>
      </c>
      <c r="F55" s="178" t="str">
        <f t="shared" si="7"/>
        <v/>
      </c>
      <c r="G55" s="1819" t="str">
        <f t="shared" si="4"/>
        <v/>
      </c>
      <c r="H55" s="178" t="str">
        <f t="shared" si="8"/>
        <v/>
      </c>
      <c r="I55" s="278">
        <f>_xlfn.XLOOKUP(B55,'دیده بان بازار'!$A$3:$A$3152,'دیده بان بازار'!$P$3:$P$3152,"Closed")</f>
        <v>352</v>
      </c>
      <c r="J55" s="279">
        <f>_xlfn.XLOOKUP(B55,'دیده بان بازار'!$A$3:$A$3155,'دیده بان بازار'!$H$3:$H$3155,"")</f>
        <v>2826</v>
      </c>
      <c r="K55" s="171"/>
      <c r="L55" s="277"/>
      <c r="M55" s="247"/>
      <c r="N55" s="169"/>
      <c r="O55" s="170"/>
      <c r="P55" s="127"/>
      <c r="Q55" s="273"/>
      <c r="R55" s="246"/>
      <c r="S55" s="245"/>
    </row>
    <row r="56" spans="1:19" ht="41" customHeight="1">
      <c r="A56" s="60" t="s">
        <v>183</v>
      </c>
      <c r="B56" s="846" t="s">
        <v>184</v>
      </c>
      <c r="C56" s="67"/>
      <c r="D56" s="1086">
        <v>1184</v>
      </c>
      <c r="E56" s="153">
        <v>1338</v>
      </c>
      <c r="F56" s="178" t="str">
        <f t="shared" si="7"/>
        <v/>
      </c>
      <c r="G56" s="1819" t="str">
        <f t="shared" si="4"/>
        <v/>
      </c>
      <c r="H56" s="178" t="str">
        <f t="shared" si="8"/>
        <v/>
      </c>
      <c r="I56" s="278">
        <f>_xlfn.XLOOKUP(B56,'دیده بان بازار'!$A$3:$A$3152,'دیده بان بازار'!$P$3:$P$3152,"Closed")</f>
        <v>1338</v>
      </c>
      <c r="J56" s="279">
        <f>_xlfn.XLOOKUP(B56,'دیده بان بازار'!$A$3:$A$3155,'دیده بان بازار'!$H$3:$H$3155,"")</f>
        <v>6490</v>
      </c>
      <c r="K56" s="171">
        <f>_xlfn.XLOOKUP(B56,'دیده بان بازار'!$A$3:$A$3542,'دیده بان بازار'!$J$3:$J$3542,"")</f>
        <v>2.85</v>
      </c>
      <c r="L56" s="277"/>
      <c r="M56" s="247"/>
      <c r="N56" s="169"/>
      <c r="O56" s="170"/>
      <c r="P56" s="127"/>
      <c r="Q56" s="273"/>
      <c r="R56" s="246"/>
      <c r="S56" s="245"/>
    </row>
    <row r="57" spans="1:19" ht="41" customHeight="1">
      <c r="A57" s="60" t="s">
        <v>152</v>
      </c>
      <c r="B57" s="846" t="s">
        <v>153</v>
      </c>
      <c r="C57" s="67"/>
      <c r="D57" s="1086">
        <v>152</v>
      </c>
      <c r="E57" s="153">
        <v>1099</v>
      </c>
      <c r="F57" s="178" t="str">
        <f t="shared" si="7"/>
        <v/>
      </c>
      <c r="G57" s="1819" t="str">
        <f t="shared" si="4"/>
        <v/>
      </c>
      <c r="H57" s="178" t="str">
        <f t="shared" si="8"/>
        <v/>
      </c>
      <c r="I57" s="278">
        <f>_xlfn.XLOOKUP(B57,'دیده بان بازار'!$A$3:$A$3152,'دیده بان بازار'!$P$3:$P$3152,"Closed")</f>
        <v>1099</v>
      </c>
      <c r="J57" s="279">
        <f>_xlfn.XLOOKUP(B57,'دیده بان بازار'!$A$3:$A$3155,'دیده بان بازار'!$H$3:$H$3155,"")</f>
        <v>8050</v>
      </c>
      <c r="K57" s="171">
        <f>_xlfn.XLOOKUP(B57,'دیده بان بازار'!$A$3:$A$3542,'دیده بان بازار'!$J$3:$J$3542,"")</f>
        <v>2.94</v>
      </c>
      <c r="L57" s="277"/>
      <c r="M57" s="247"/>
      <c r="N57" s="169"/>
      <c r="O57" s="170"/>
      <c r="P57" s="127"/>
      <c r="Q57" s="273"/>
      <c r="R57" s="246"/>
      <c r="S57" s="245"/>
    </row>
    <row r="58" spans="1:19" ht="41" customHeight="1">
      <c r="A58" s="60" t="s">
        <v>144</v>
      </c>
      <c r="B58" s="846" t="s">
        <v>145</v>
      </c>
      <c r="C58" s="67"/>
      <c r="D58" s="1086">
        <v>5038</v>
      </c>
      <c r="E58" s="153">
        <v>9681</v>
      </c>
      <c r="F58" s="178" t="str">
        <f t="shared" si="7"/>
        <v/>
      </c>
      <c r="G58" s="1819" t="str">
        <f t="shared" si="4"/>
        <v/>
      </c>
      <c r="H58" s="178" t="str">
        <f t="shared" si="8"/>
        <v/>
      </c>
      <c r="I58" s="278">
        <f>_xlfn.XLOOKUP(B58,'دیده بان بازار'!$A$3:$A$3152,'دیده بان بازار'!$P$3:$P$3152,"Closed")</f>
        <v>9681</v>
      </c>
      <c r="J58" s="279">
        <f>_xlfn.XLOOKUP(B58,'دیده بان بازار'!$A$3:$A$3155,'دیده بان بازار'!$H$3:$H$3155,"")</f>
        <v>64680</v>
      </c>
      <c r="K58" s="171">
        <f>_xlfn.XLOOKUP(B58,'دیده بان بازار'!$A$3:$A$3542,'دیده بان بازار'!$J$3:$J$3542,"")</f>
        <v>2.99</v>
      </c>
      <c r="L58" s="277"/>
      <c r="M58" s="247"/>
      <c r="N58" s="169"/>
      <c r="O58" s="170"/>
      <c r="P58" s="127"/>
      <c r="Q58" s="273"/>
      <c r="R58" s="246"/>
      <c r="S58" s="245"/>
    </row>
    <row r="59" spans="1:19" ht="41" customHeight="1">
      <c r="A59" s="60" t="s">
        <v>116</v>
      </c>
      <c r="B59" s="846" t="s">
        <v>117</v>
      </c>
      <c r="C59" s="67"/>
      <c r="D59" s="1086">
        <v>738</v>
      </c>
      <c r="E59" s="153">
        <v>1065</v>
      </c>
      <c r="F59" s="178" t="str">
        <f t="shared" si="7"/>
        <v/>
      </c>
      <c r="G59" s="1819" t="str">
        <f t="shared" si="4"/>
        <v/>
      </c>
      <c r="H59" s="178" t="str">
        <f t="shared" si="8"/>
        <v/>
      </c>
      <c r="I59" s="278">
        <f>_xlfn.XLOOKUP(B59,'دیده بان بازار'!$A$3:$A$3152,'دیده بان بازار'!$P$3:$P$3152,"Closed")</f>
        <v>1065</v>
      </c>
      <c r="J59" s="279">
        <f>_xlfn.XLOOKUP(B59,'دیده بان بازار'!$A$3:$A$3155,'دیده بان بازار'!$H$3:$H$3155,"")</f>
        <v>4980</v>
      </c>
      <c r="K59" s="171">
        <f>_xlfn.XLOOKUP(B59,'دیده بان بازار'!$A$3:$A$3542,'دیده بان بازار'!$J$3:$J$3542,"")</f>
        <v>2.89</v>
      </c>
      <c r="L59" s="277"/>
      <c r="M59" s="247"/>
      <c r="N59" s="169"/>
      <c r="O59" s="170"/>
      <c r="P59" s="127"/>
      <c r="Q59" s="273"/>
      <c r="R59" s="246"/>
      <c r="S59" s="245"/>
    </row>
    <row r="60" spans="1:19" ht="41" customHeight="1">
      <c r="A60" s="60" t="s">
        <v>86</v>
      </c>
      <c r="B60" s="846" t="s">
        <v>87</v>
      </c>
      <c r="C60" s="67"/>
      <c r="D60" s="1086">
        <v>780</v>
      </c>
      <c r="E60" s="153">
        <v>1058</v>
      </c>
      <c r="F60" s="178" t="str">
        <f t="shared" si="7"/>
        <v/>
      </c>
      <c r="G60" s="1819" t="str">
        <f t="shared" si="4"/>
        <v/>
      </c>
      <c r="H60" s="178" t="str">
        <f t="shared" si="8"/>
        <v/>
      </c>
      <c r="I60" s="278">
        <f>_xlfn.XLOOKUP(B60,'دیده بان بازار'!$A$3:$A$3152,'دیده بان بازار'!$P$3:$P$3152,"Closed")</f>
        <v>1058</v>
      </c>
      <c r="J60" s="279">
        <f>_xlfn.XLOOKUP(B60,'دیده بان بازار'!$A$3:$A$3155,'دیده بان بازار'!$H$3:$H$3155,"")</f>
        <v>6590</v>
      </c>
      <c r="K60" s="171">
        <f>_xlfn.XLOOKUP(B60,'دیده بان بازار'!$A$3:$A$3542,'دیده بان بازار'!$J$3:$J$3542,"")</f>
        <v>2.97</v>
      </c>
      <c r="L60" s="277"/>
      <c r="M60" s="247"/>
      <c r="N60" s="169"/>
      <c r="O60" s="170"/>
      <c r="P60" s="127"/>
      <c r="Q60" s="273"/>
      <c r="R60" s="246"/>
      <c r="S60" s="245"/>
    </row>
    <row r="61" spans="1:19" ht="41" customHeight="1">
      <c r="A61" s="60" t="s">
        <v>130</v>
      </c>
      <c r="B61" s="846" t="s">
        <v>131</v>
      </c>
      <c r="C61" s="67"/>
      <c r="D61" s="1086">
        <v>611</v>
      </c>
      <c r="E61" s="153">
        <v>612</v>
      </c>
      <c r="F61" s="178" t="str">
        <f t="shared" si="7"/>
        <v/>
      </c>
      <c r="G61" s="1819" t="str">
        <f t="shared" si="4"/>
        <v/>
      </c>
      <c r="H61" s="178" t="str">
        <f t="shared" si="8"/>
        <v/>
      </c>
      <c r="I61" s="278">
        <f>_xlfn.XLOOKUP(B61,'دیده بان بازار'!$A$3:$A$3152,'دیده بان بازار'!$P$3:$P$3152,"Closed")</f>
        <v>612</v>
      </c>
      <c r="J61" s="279">
        <f>_xlfn.XLOOKUP(B61,'دیده بان بازار'!$A$3:$A$3155,'دیده بان بازار'!$H$3:$H$3155,"")</f>
        <v>3640</v>
      </c>
      <c r="K61" s="171">
        <f>_xlfn.XLOOKUP(B61,'دیده بان بازار'!$A$3:$A$3542,'دیده بان بازار'!$J$3:$J$3542,"")</f>
        <v>2.82</v>
      </c>
      <c r="L61" s="277"/>
      <c r="M61" s="247"/>
      <c r="N61" s="169"/>
      <c r="O61" s="170"/>
      <c r="P61" s="127"/>
      <c r="Q61" s="273"/>
      <c r="R61" s="246"/>
      <c r="S61" s="245"/>
    </row>
    <row r="62" spans="1:19" ht="41" customHeight="1">
      <c r="A62" s="60" t="s">
        <v>160</v>
      </c>
      <c r="B62" s="846" t="s">
        <v>161</v>
      </c>
      <c r="C62" s="67"/>
      <c r="D62" s="1086">
        <v>4714</v>
      </c>
      <c r="E62" s="153">
        <v>3000</v>
      </c>
      <c r="F62" s="178" t="str">
        <f t="shared" si="7"/>
        <v/>
      </c>
      <c r="G62" s="1819" t="str">
        <f t="shared" si="4"/>
        <v/>
      </c>
      <c r="H62" s="178" t="str">
        <f t="shared" si="8"/>
        <v/>
      </c>
      <c r="I62" s="278">
        <f>_xlfn.XLOOKUP(B62,'دیده بان بازار'!$A$3:$A$3152,'دیده بان بازار'!$P$3:$P$3152,"Closed")</f>
        <v>3000</v>
      </c>
      <c r="J62" s="279">
        <f>_xlfn.XLOOKUP(B62,'دیده بان بازار'!$A$3:$A$3155,'دیده بان بازار'!$H$3:$H$3155,"")</f>
        <v>21190</v>
      </c>
      <c r="K62" s="171">
        <f>_xlfn.XLOOKUP(B62,'دیده بان بازار'!$A$3:$A$3542,'دیده بان بازار'!$J$3:$J$3542,"")</f>
        <v>2.96</v>
      </c>
      <c r="L62" s="277"/>
      <c r="M62" s="247"/>
      <c r="N62" s="169"/>
      <c r="O62" s="170"/>
      <c r="P62" s="127"/>
      <c r="Q62" s="273"/>
      <c r="R62" s="246"/>
      <c r="S62" s="245"/>
    </row>
    <row r="63" spans="1:19" ht="41" customHeight="1">
      <c r="A63" s="60" t="s">
        <v>158</v>
      </c>
      <c r="B63" s="846" t="s">
        <v>159</v>
      </c>
      <c r="C63" s="67"/>
      <c r="D63" s="1086"/>
      <c r="E63" s="153">
        <v>5324</v>
      </c>
      <c r="F63" s="178" t="str">
        <f t="shared" si="7"/>
        <v/>
      </c>
      <c r="G63" s="1819" t="str">
        <f t="shared" si="4"/>
        <v/>
      </c>
      <c r="H63" s="178" t="str">
        <f t="shared" si="8"/>
        <v/>
      </c>
      <c r="I63" s="278">
        <f>_xlfn.XLOOKUP(B63,'دیده بان بازار'!$A$3:$A$3152,'دیده بان بازار'!$P$3:$P$3152,"Closed")</f>
        <v>5324</v>
      </c>
      <c r="J63" s="279">
        <f>_xlfn.XLOOKUP(B63,'دیده بان بازار'!$A$3:$A$3155,'دیده بان بازار'!$H$3:$H$3155,"")</f>
        <v>49450</v>
      </c>
      <c r="K63" s="171">
        <f>_xlfn.XLOOKUP(B63,'دیده بان بازار'!$A$3:$A$3542,'دیده بان بازار'!$J$3:$J$3542,"")</f>
        <v>3</v>
      </c>
      <c r="L63" s="277"/>
      <c r="M63" s="247"/>
      <c r="N63" s="169"/>
      <c r="O63" s="170"/>
      <c r="P63" s="127"/>
      <c r="Q63" s="273"/>
      <c r="R63" s="246"/>
      <c r="S63" s="245"/>
    </row>
    <row r="64" spans="1:19" ht="41" customHeight="1">
      <c r="A64" s="60" t="s">
        <v>124</v>
      </c>
      <c r="B64" s="846" t="s">
        <v>125</v>
      </c>
      <c r="C64" s="67"/>
      <c r="D64" s="1086">
        <v>381</v>
      </c>
      <c r="E64" s="153">
        <v>813</v>
      </c>
      <c r="F64" s="178" t="str">
        <f t="shared" si="7"/>
        <v/>
      </c>
      <c r="G64" s="1819" t="str">
        <f t="shared" si="4"/>
        <v/>
      </c>
      <c r="H64" s="178" t="str">
        <f t="shared" si="8"/>
        <v/>
      </c>
      <c r="I64" s="278">
        <f>_xlfn.XLOOKUP(B64,'دیده بان بازار'!$A$3:$A$3152,'دیده بان بازار'!$P$3:$P$3152,"Closed")</f>
        <v>813</v>
      </c>
      <c r="J64" s="279">
        <f>_xlfn.XLOOKUP(B64,'دیده بان بازار'!$A$3:$A$3155,'دیده بان بازار'!$H$3:$H$3155,"")</f>
        <v>4100</v>
      </c>
      <c r="K64" s="171">
        <f>_xlfn.XLOOKUP(B64,'دیده بان بازار'!$A$3:$A$3542,'دیده بان بازار'!$J$3:$J$3542,"")</f>
        <v>2.76</v>
      </c>
      <c r="L64" s="277"/>
      <c r="M64" s="247"/>
      <c r="N64" s="169"/>
      <c r="O64" s="170"/>
      <c r="P64" s="127"/>
      <c r="Q64" s="273"/>
      <c r="R64" s="246"/>
      <c r="S64" s="245"/>
    </row>
    <row r="65" spans="1:19" ht="41" customHeight="1">
      <c r="A65" s="60" t="s">
        <v>181</v>
      </c>
      <c r="B65" s="846" t="s">
        <v>182</v>
      </c>
      <c r="C65" s="1081"/>
      <c r="D65" s="1086">
        <v>544</v>
      </c>
      <c r="E65" s="153">
        <v>392</v>
      </c>
      <c r="F65" s="178" t="str">
        <f t="shared" si="7"/>
        <v/>
      </c>
      <c r="G65" s="1819" t="str">
        <f t="shared" si="4"/>
        <v/>
      </c>
      <c r="H65" s="178" t="str">
        <f t="shared" si="8"/>
        <v/>
      </c>
      <c r="I65" s="278">
        <f>_xlfn.XLOOKUP(B65,'دیده بان بازار'!$A$3:$A$3152,'دیده بان بازار'!$P$3:$P$3152,"Closed")</f>
        <v>392</v>
      </c>
      <c r="J65" s="279">
        <f>_xlfn.XLOOKUP(B65,'دیده بان بازار'!$A$3:$A$3155,'دیده بان بازار'!$H$3:$H$3155,"")</f>
        <v>2087</v>
      </c>
      <c r="K65" s="171">
        <f>_xlfn.XLOOKUP(B65,'دیده بان بازار'!$A$3:$A$3542,'دیده بان بازار'!$J$3:$J$3542,"")</f>
        <v>2.96</v>
      </c>
      <c r="L65" s="277"/>
      <c r="M65" s="247"/>
      <c r="N65" s="169"/>
      <c r="O65" s="170"/>
      <c r="P65" s="127"/>
      <c r="Q65" s="273"/>
      <c r="R65" s="246"/>
      <c r="S65" s="245"/>
    </row>
    <row r="66" spans="1:19" ht="41" customHeight="1">
      <c r="A66" s="60" t="s">
        <v>185</v>
      </c>
      <c r="B66" s="846" t="s">
        <v>186</v>
      </c>
      <c r="C66" s="1081"/>
      <c r="D66" s="1086">
        <v>544</v>
      </c>
      <c r="E66" s="153">
        <v>2053</v>
      </c>
      <c r="F66" s="178" t="str">
        <f t="shared" si="7"/>
        <v/>
      </c>
      <c r="G66" s="1819" t="str">
        <f t="shared" si="4"/>
        <v/>
      </c>
      <c r="H66" s="178" t="str">
        <f t="shared" si="8"/>
        <v/>
      </c>
      <c r="I66" s="278">
        <f>_xlfn.XLOOKUP(B66,'دیده بان بازار'!$A$3:$A$3152,'دیده بان بازار'!$P$3:$P$3152,"Closed")</f>
        <v>2053</v>
      </c>
      <c r="J66" s="279">
        <f>_xlfn.XLOOKUP(B66,'دیده بان بازار'!$A$3:$A$3155,'دیده بان بازار'!$H$3:$H$3155,"")</f>
        <v>8200</v>
      </c>
      <c r="K66" s="171">
        <f>_xlfn.XLOOKUP(B66,'دیده بان بازار'!$A$3:$A$3542,'دیده بان بازار'!$J$3:$J$3542,"")</f>
        <v>2.89</v>
      </c>
      <c r="L66" s="277"/>
      <c r="M66" s="247"/>
      <c r="N66" s="169"/>
      <c r="O66" s="170"/>
      <c r="P66" s="127"/>
      <c r="Q66" s="273"/>
      <c r="R66" s="246"/>
      <c r="S66" s="245"/>
    </row>
    <row r="67" spans="1:19" ht="41" customHeight="1">
      <c r="A67" s="60" t="s">
        <v>187</v>
      </c>
      <c r="B67" s="846" t="s">
        <v>188</v>
      </c>
      <c r="C67" s="1081"/>
      <c r="D67" s="1086">
        <v>5988</v>
      </c>
      <c r="E67" s="153">
        <v>953</v>
      </c>
      <c r="F67" s="178" t="str">
        <f t="shared" si="7"/>
        <v/>
      </c>
      <c r="G67" s="1819" t="str">
        <f t="shared" si="4"/>
        <v/>
      </c>
      <c r="H67" s="178" t="str">
        <f t="shared" si="8"/>
        <v/>
      </c>
      <c r="I67" s="278">
        <f>_xlfn.XLOOKUP(B67,'دیده بان بازار'!$A$3:$A$3152,'دیده بان بازار'!$P$3:$P$3152,"Closed")</f>
        <v>953</v>
      </c>
      <c r="J67" s="279">
        <f>_xlfn.XLOOKUP(B67,'دیده بان بازار'!$A$3:$A$3155,'دیده بان بازار'!$H$3:$H$3155,"")</f>
        <v>6510</v>
      </c>
      <c r="K67" s="171">
        <f>_xlfn.XLOOKUP(B67,'دیده بان بازار'!$A$3:$A$3542,'دیده بان بازار'!$J$3:$J$3542,"")</f>
        <v>2.84</v>
      </c>
      <c r="L67" s="277"/>
      <c r="M67" s="247"/>
      <c r="N67" s="169"/>
      <c r="O67" s="170"/>
      <c r="P67" s="127"/>
      <c r="Q67" s="273"/>
      <c r="R67" s="246"/>
      <c r="S67" s="245"/>
    </row>
    <row r="68" spans="1:19" ht="41" customHeight="1">
      <c r="A68" s="60" t="s">
        <v>136</v>
      </c>
      <c r="B68" s="846" t="s">
        <v>137</v>
      </c>
      <c r="C68" s="1081"/>
      <c r="D68" s="1086">
        <v>623</v>
      </c>
      <c r="E68" s="153">
        <v>288</v>
      </c>
      <c r="F68" s="178" t="str">
        <f t="shared" si="7"/>
        <v/>
      </c>
      <c r="G68" s="1819" t="str">
        <f t="shared" si="4"/>
        <v/>
      </c>
      <c r="H68" s="178" t="str">
        <f t="shared" si="8"/>
        <v/>
      </c>
      <c r="I68" s="278">
        <f>_xlfn.XLOOKUP(B68,'دیده بان بازار'!$A$3:$A$3152,'دیده بان بازار'!$P$3:$P$3152,"Closed")</f>
        <v>288</v>
      </c>
      <c r="J68" s="279">
        <f>_xlfn.XLOOKUP(B68,'دیده بان بازار'!$A$3:$A$3155,'دیده بان بازار'!$H$3:$H$3155,"")</f>
        <v>2397</v>
      </c>
      <c r="K68" s="171">
        <f>_xlfn.XLOOKUP(B68,'دیده بان بازار'!$A$3:$A$3542,'دیده بان بازار'!$J$3:$J$3542,"")</f>
        <v>2.96</v>
      </c>
      <c r="L68" s="277"/>
      <c r="M68" s="247"/>
      <c r="N68" s="169"/>
      <c r="O68" s="170"/>
      <c r="P68" s="127"/>
      <c r="Q68" s="273"/>
      <c r="R68" s="246"/>
      <c r="S68" s="245"/>
    </row>
    <row r="69" spans="1:19" ht="41" customHeight="1">
      <c r="A69" s="60" t="s">
        <v>96</v>
      </c>
      <c r="B69" s="846" t="s">
        <v>97</v>
      </c>
      <c r="C69" s="1081"/>
      <c r="D69" s="1086">
        <v>754</v>
      </c>
      <c r="E69" s="153">
        <v>1348</v>
      </c>
      <c r="F69" s="178" t="str">
        <f t="shared" si="7"/>
        <v/>
      </c>
      <c r="G69" s="1819" t="str">
        <f t="shared" si="4"/>
        <v/>
      </c>
      <c r="H69" s="178" t="str">
        <f t="shared" si="8"/>
        <v/>
      </c>
      <c r="I69" s="278">
        <f>_xlfn.XLOOKUP(B69,'دیده بان بازار'!$A$3:$A$3152,'دیده بان بازار'!$P$3:$P$3152,"Closed")</f>
        <v>1348</v>
      </c>
      <c r="J69" s="279">
        <f>_xlfn.XLOOKUP(B69,'دیده بان بازار'!$A$3:$A$3155,'دیده بان بازار'!$H$3:$H$3155,"")</f>
        <v>8140</v>
      </c>
      <c r="K69" s="171">
        <f>_xlfn.XLOOKUP(B69,'دیده بان بازار'!$A$3:$A$3542,'دیده بان بازار'!$J$3:$J$3542,"")</f>
        <v>2.91</v>
      </c>
      <c r="L69" s="277"/>
      <c r="M69" s="247"/>
      <c r="N69" s="169"/>
      <c r="O69" s="170"/>
      <c r="P69" s="127"/>
      <c r="Q69" s="273"/>
      <c r="R69" s="246"/>
      <c r="S69" s="245"/>
    </row>
    <row r="70" spans="1:19" ht="41" customHeight="1">
      <c r="A70" s="60" t="s">
        <v>156</v>
      </c>
      <c r="B70" s="846" t="s">
        <v>157</v>
      </c>
      <c r="C70" s="1081"/>
      <c r="D70" s="1086">
        <v>4783</v>
      </c>
      <c r="E70" s="153">
        <v>1956</v>
      </c>
      <c r="F70" s="178" t="str">
        <f t="shared" ref="F70:F82" si="10">IF(D70=E70,"No","")</f>
        <v/>
      </c>
      <c r="G70" s="1819" t="str">
        <f t="shared" si="4"/>
        <v/>
      </c>
      <c r="H70" s="178" t="str">
        <f t="shared" si="8"/>
        <v/>
      </c>
      <c r="I70" s="278">
        <f>_xlfn.XLOOKUP(B70,'دیده بان بازار'!$A$3:$A$3152,'دیده بان بازار'!$P$3:$P$3152,"Closed")</f>
        <v>1956</v>
      </c>
      <c r="J70" s="279">
        <f>_xlfn.XLOOKUP(B70,'دیده بان بازار'!$A$3:$A$3155,'دیده بان بازار'!$H$3:$H$3155,"")</f>
        <v>12790</v>
      </c>
      <c r="K70" s="171">
        <f>_xlfn.XLOOKUP(B70,'دیده بان بازار'!$A$3:$A$3542,'دیده بان بازار'!$J$3:$J$3542,"")</f>
        <v>2.98</v>
      </c>
      <c r="L70" s="277"/>
      <c r="M70" s="247"/>
      <c r="N70" s="169"/>
      <c r="O70" s="170"/>
      <c r="P70" s="127"/>
      <c r="Q70" s="273"/>
      <c r="R70" s="246"/>
      <c r="S70" s="245"/>
    </row>
    <row r="71" spans="1:19" ht="41" customHeight="1">
      <c r="A71" s="60" t="s">
        <v>162</v>
      </c>
      <c r="B71" s="846" t="s">
        <v>163</v>
      </c>
      <c r="C71" s="1081"/>
      <c r="D71" s="1086"/>
      <c r="E71" s="153">
        <v>841</v>
      </c>
      <c r="F71" s="178" t="str">
        <f t="shared" si="10"/>
        <v/>
      </c>
      <c r="G71" s="1819" t="str">
        <f t="shared" si="4"/>
        <v/>
      </c>
      <c r="H71" s="178" t="str">
        <f t="shared" si="8"/>
        <v/>
      </c>
      <c r="I71" s="278">
        <f>_xlfn.XLOOKUP(B71,'دیده بان بازار'!$A$3:$A$3152,'دیده بان بازار'!$P$3:$P$3152,"Closed")</f>
        <v>841</v>
      </c>
      <c r="J71" s="279">
        <f>_xlfn.XLOOKUP(B71,'دیده بان بازار'!$A$3:$A$3155,'دیده بان بازار'!$H$3:$H$3155,"")</f>
        <v>7100</v>
      </c>
      <c r="K71" s="171">
        <f>_xlfn.XLOOKUP(B71,'دیده بان بازار'!$A$3:$A$3542,'دیده بان بازار'!$J$3:$J$3542,"")</f>
        <v>2.9</v>
      </c>
      <c r="L71" s="277"/>
      <c r="M71" s="247"/>
      <c r="N71" s="169"/>
      <c r="O71" s="170"/>
      <c r="P71" s="127"/>
      <c r="Q71" s="273"/>
      <c r="R71" s="246"/>
      <c r="S71" s="245"/>
    </row>
    <row r="72" spans="1:19" ht="41" customHeight="1">
      <c r="A72" s="60" t="s">
        <v>164</v>
      </c>
      <c r="B72" s="846" t="s">
        <v>165</v>
      </c>
      <c r="C72" s="1081"/>
      <c r="D72" s="1086"/>
      <c r="E72" s="153">
        <v>3831</v>
      </c>
      <c r="F72" s="178" t="str">
        <f t="shared" si="10"/>
        <v/>
      </c>
      <c r="G72" s="1819" t="str">
        <f t="shared" si="4"/>
        <v/>
      </c>
      <c r="H72" s="178" t="str">
        <f t="shared" ref="H72:H88" si="11">IF(G72="Closed", "Closed", IF(G72&gt;=30%,"",
IF(AND(G72&gt;=20%,G72&lt;30%),"Good",
IF(AND(G72&gt;=10%,G72&lt;20%),"Fair",
IF(AND(G72&gt;=0.01%,G72&lt;10%),"Bad",
IF(G72&lt;0%,"Terrible",""))))))</f>
        <v/>
      </c>
      <c r="I72" s="278">
        <f>_xlfn.XLOOKUP(B72,'دیده بان بازار'!$A$3:$A$3152,'دیده بان بازار'!$P$3:$P$3152,"Closed")</f>
        <v>3831</v>
      </c>
      <c r="J72" s="279">
        <f>_xlfn.XLOOKUP(B72,'دیده بان بازار'!$A$3:$A$3155,'دیده بان بازار'!$H$3:$H$3155,"")</f>
        <v>30990</v>
      </c>
      <c r="K72" s="171">
        <f>_xlfn.XLOOKUP(B72,'دیده بان بازار'!$A$3:$A$3542,'دیده بان بازار'!$J$3:$J$3542,"")</f>
        <v>2.99</v>
      </c>
      <c r="L72" s="277"/>
      <c r="M72" s="247"/>
      <c r="N72" s="169"/>
      <c r="O72" s="170"/>
      <c r="P72" s="127"/>
      <c r="Q72" s="273"/>
      <c r="R72" s="246"/>
      <c r="S72" s="245"/>
    </row>
    <row r="73" spans="1:19" ht="41" customHeight="1">
      <c r="A73" s="60" t="s">
        <v>132</v>
      </c>
      <c r="B73" s="846" t="s">
        <v>133</v>
      </c>
      <c r="C73" s="1081"/>
      <c r="D73" s="1086">
        <v>480</v>
      </c>
      <c r="E73" s="153">
        <v>742</v>
      </c>
      <c r="F73" s="178" t="str">
        <f t="shared" si="10"/>
        <v/>
      </c>
      <c r="G73" s="1819" t="str">
        <f t="shared" ref="G73:G88" si="12">IFERROR(IF((I73-E73)/E73=0,"",(I73-E73)/E73),"Closed")</f>
        <v/>
      </c>
      <c r="H73" s="178" t="str">
        <f t="shared" si="11"/>
        <v/>
      </c>
      <c r="I73" s="278">
        <f>_xlfn.XLOOKUP(B73,'دیده بان بازار'!$A$3:$A$3152,'دیده بان بازار'!$P$3:$P$3152,"Closed")</f>
        <v>742</v>
      </c>
      <c r="J73" s="279">
        <f>_xlfn.XLOOKUP(B73,'دیده بان بازار'!$A$3:$A$3155,'دیده بان بازار'!$H$3:$H$3155,"")</f>
        <v>4720</v>
      </c>
      <c r="K73" s="171">
        <f>_xlfn.XLOOKUP(B73,'دیده بان بازار'!$A$3:$A$3542,'دیده بان بازار'!$J$3:$J$3542,"")</f>
        <v>-1.05</v>
      </c>
      <c r="L73" s="277"/>
      <c r="M73" s="247"/>
      <c r="N73" s="169"/>
      <c r="O73" s="170"/>
      <c r="P73" s="127"/>
      <c r="Q73" s="273"/>
      <c r="R73" s="246"/>
      <c r="S73" s="245"/>
    </row>
    <row r="74" spans="1:19" ht="41" customHeight="1">
      <c r="A74" s="60" t="s">
        <v>90</v>
      </c>
      <c r="B74" s="846" t="s">
        <v>91</v>
      </c>
      <c r="C74" s="1081"/>
      <c r="D74" s="1086">
        <v>579</v>
      </c>
      <c r="E74" s="153">
        <v>590</v>
      </c>
      <c r="F74" s="178" t="str">
        <f t="shared" si="10"/>
        <v/>
      </c>
      <c r="G74" s="1819" t="str">
        <f t="shared" si="12"/>
        <v/>
      </c>
      <c r="H74" s="178" t="str">
        <f t="shared" si="11"/>
        <v/>
      </c>
      <c r="I74" s="278">
        <f>_xlfn.XLOOKUP(B74,'دیده بان بازار'!$A$3:$A$3152,'دیده بان بازار'!$P$3:$P$3152,"Closed")</f>
        <v>590</v>
      </c>
      <c r="J74" s="279">
        <f>_xlfn.XLOOKUP(B74,'دیده بان بازار'!$A$3:$A$3155,'دیده بان بازار'!$H$3:$H$3155,"")</f>
        <v>3440</v>
      </c>
      <c r="K74" s="171">
        <f>_xlfn.XLOOKUP(B74,'دیده بان بازار'!$A$3:$A$3542,'دیده بان بازار'!$J$3:$J$3542,"")</f>
        <v>2.99</v>
      </c>
      <c r="L74" s="277"/>
      <c r="M74" s="247"/>
      <c r="N74" s="169"/>
      <c r="O74" s="170"/>
      <c r="P74" s="127"/>
      <c r="Q74" s="273"/>
      <c r="R74" s="246"/>
      <c r="S74" s="245"/>
    </row>
    <row r="75" spans="1:19" ht="41" customHeight="1">
      <c r="A75" s="60" t="s">
        <v>98</v>
      </c>
      <c r="B75" s="846" t="s">
        <v>99</v>
      </c>
      <c r="C75" s="1081"/>
      <c r="D75" s="1086">
        <v>864</v>
      </c>
      <c r="E75" s="153">
        <v>1231</v>
      </c>
      <c r="F75" s="178" t="str">
        <f t="shared" si="10"/>
        <v/>
      </c>
      <c r="G75" s="1819" t="str">
        <f t="shared" si="12"/>
        <v/>
      </c>
      <c r="H75" s="178" t="str">
        <f t="shared" si="11"/>
        <v/>
      </c>
      <c r="I75" s="278">
        <f>_xlfn.XLOOKUP(B75,'دیده بان بازار'!$A$3:$A$3152,'دیده بان بازار'!$P$3:$P$3152,"Closed")</f>
        <v>1231</v>
      </c>
      <c r="J75" s="279">
        <f>_xlfn.XLOOKUP(B75,'دیده بان بازار'!$A$3:$A$3155,'دیده بان بازار'!$H$3:$H$3155,"")</f>
        <v>8410</v>
      </c>
      <c r="K75" s="171">
        <f>_xlfn.XLOOKUP(B75,'دیده بان بازار'!$A$3:$A$3542,'دیده بان بازار'!$J$3:$J$3542,"")</f>
        <v>1.69</v>
      </c>
      <c r="L75" s="277"/>
      <c r="M75" s="247"/>
      <c r="N75" s="169"/>
      <c r="O75" s="170"/>
      <c r="P75" s="127"/>
      <c r="Q75" s="273"/>
      <c r="R75" s="246"/>
      <c r="S75" s="245"/>
    </row>
    <row r="76" spans="1:19" ht="41" customHeight="1">
      <c r="A76" s="60" t="s">
        <v>100</v>
      </c>
      <c r="B76" s="846" t="s">
        <v>101</v>
      </c>
      <c r="C76" s="1081"/>
      <c r="D76" s="1086">
        <v>1317</v>
      </c>
      <c r="E76" s="153">
        <v>2564</v>
      </c>
      <c r="F76" s="178" t="str">
        <f t="shared" si="10"/>
        <v/>
      </c>
      <c r="G76" s="1819" t="str">
        <f t="shared" si="12"/>
        <v/>
      </c>
      <c r="H76" s="178" t="str">
        <f t="shared" si="11"/>
        <v/>
      </c>
      <c r="I76" s="278">
        <f>_xlfn.XLOOKUP(B76,'دیده بان بازار'!$A$3:$A$3152,'دیده بان بازار'!$P$3:$P$3152,"Closed")</f>
        <v>2564</v>
      </c>
      <c r="J76" s="279">
        <f>_xlfn.XLOOKUP(B76,'دیده بان بازار'!$A$3:$A$3155,'دیده بان بازار'!$H$3:$H$3155,"")</f>
        <v>17860</v>
      </c>
      <c r="K76" s="171">
        <f>_xlfn.XLOOKUP(B76,'دیده بان بازار'!$A$3:$A$3542,'دیده بان بازار'!$J$3:$J$3542,"")</f>
        <v>3</v>
      </c>
      <c r="L76" s="277"/>
      <c r="M76" s="247"/>
      <c r="N76" s="169"/>
      <c r="O76" s="170"/>
      <c r="P76" s="127"/>
      <c r="Q76" s="273"/>
      <c r="R76" s="246"/>
      <c r="S76" s="245"/>
    </row>
    <row r="77" spans="1:19" ht="41" customHeight="1">
      <c r="A77" s="60" t="s">
        <v>177</v>
      </c>
      <c r="B77" s="846" t="s">
        <v>178</v>
      </c>
      <c r="C77" s="1081"/>
      <c r="D77" s="1086">
        <v>1317</v>
      </c>
      <c r="E77" s="153">
        <v>13150</v>
      </c>
      <c r="F77" s="178" t="str">
        <f t="shared" si="10"/>
        <v/>
      </c>
      <c r="G77" s="1819" t="str">
        <f t="shared" si="12"/>
        <v/>
      </c>
      <c r="H77" s="178" t="str">
        <f t="shared" si="11"/>
        <v/>
      </c>
      <c r="I77" s="278">
        <f>_xlfn.XLOOKUP(B77,'دیده بان بازار'!$A$3:$A$3152,'دیده بان بازار'!$P$3:$P$3152,"Closed")</f>
        <v>13150</v>
      </c>
      <c r="J77" s="279">
        <f>_xlfn.XLOOKUP(B77,'دیده بان بازار'!$A$3:$A$3155,'دیده بان بازار'!$H$3:$H$3155,"")</f>
        <v>86740</v>
      </c>
      <c r="K77" s="171">
        <f>_xlfn.XLOOKUP(B77,'دیده بان بازار'!$A$3:$A$3542,'دیده بان بازار'!$J$3:$J$3542,"")</f>
        <v>2.99</v>
      </c>
      <c r="L77" s="277"/>
      <c r="M77" s="247"/>
      <c r="N77" s="169"/>
      <c r="O77" s="170"/>
      <c r="P77" s="127"/>
      <c r="Q77" s="273"/>
      <c r="R77" s="246"/>
      <c r="S77" s="245"/>
    </row>
    <row r="78" spans="1:19" ht="41" customHeight="1">
      <c r="A78" s="60" t="s">
        <v>108</v>
      </c>
      <c r="B78" s="846" t="s">
        <v>109</v>
      </c>
      <c r="C78" s="1081"/>
      <c r="D78" s="1086"/>
      <c r="E78" s="153">
        <v>957</v>
      </c>
      <c r="F78" s="178" t="str">
        <f t="shared" si="10"/>
        <v/>
      </c>
      <c r="G78" s="1819" t="str">
        <f t="shared" si="12"/>
        <v/>
      </c>
      <c r="H78" s="178" t="str">
        <f t="shared" si="11"/>
        <v/>
      </c>
      <c r="I78" s="278">
        <f>_xlfn.XLOOKUP(B78,'دیده بان بازار'!$A$3:$A$3152,'دیده بان بازار'!$P$3:$P$3152,"Closed")</f>
        <v>957</v>
      </c>
      <c r="J78" s="279">
        <f>_xlfn.XLOOKUP(B78,'دیده بان بازار'!$A$3:$A$3155,'دیده بان بازار'!$H$3:$H$3155,"")</f>
        <v>3620</v>
      </c>
      <c r="K78" s="171">
        <f>_xlfn.XLOOKUP(B78,'دیده بان بازار'!$A$3:$A$3542,'دیده بان بازار'!$J$3:$J$3542,"")</f>
        <v>2.84</v>
      </c>
      <c r="L78" s="277"/>
      <c r="M78" s="247"/>
      <c r="N78" s="169"/>
      <c r="O78" s="170"/>
      <c r="P78" s="127"/>
      <c r="Q78" s="273"/>
      <c r="R78" s="246"/>
      <c r="S78" s="245"/>
    </row>
    <row r="79" spans="1:19" ht="43" customHeight="1">
      <c r="A79" s="60" t="s">
        <v>104</v>
      </c>
      <c r="B79" s="846" t="s">
        <v>105</v>
      </c>
      <c r="D79" s="1086"/>
      <c r="E79" s="153">
        <v>620</v>
      </c>
      <c r="F79" s="178" t="str">
        <f t="shared" si="10"/>
        <v/>
      </c>
      <c r="G79" s="1819" t="str">
        <f t="shared" si="12"/>
        <v/>
      </c>
      <c r="H79" s="178" t="str">
        <f t="shared" si="11"/>
        <v/>
      </c>
      <c r="I79" s="278">
        <f>_xlfn.XLOOKUP(B79,'دیده بان بازار'!$A$3:$A$3152,'دیده بان بازار'!$P$3:$P$3152,"Closed")</f>
        <v>620</v>
      </c>
      <c r="J79" s="279">
        <f>_xlfn.XLOOKUP(B79,'دیده بان بازار'!$A$3:$A$3155,'دیده بان بازار'!$H$3:$H$3155,"")</f>
        <v>3361</v>
      </c>
      <c r="K79" s="171">
        <f>_xlfn.XLOOKUP(B79,'دیده بان بازار'!$A$3:$A$3542,'دیده بان بازار'!$J$3:$J$3542,"")</f>
        <v>2.97</v>
      </c>
      <c r="L79" s="277"/>
      <c r="M79" s="247"/>
      <c r="N79" s="169"/>
      <c r="O79" s="170"/>
      <c r="P79" s="127"/>
      <c r="Q79" s="273"/>
      <c r="R79" s="246"/>
      <c r="S79" s="245"/>
    </row>
    <row r="80" spans="1:19" ht="43" customHeight="1">
      <c r="A80" s="60" t="s">
        <v>102</v>
      </c>
      <c r="B80" s="846" t="s">
        <v>103</v>
      </c>
      <c r="D80" s="1086"/>
      <c r="E80" s="153">
        <v>2993</v>
      </c>
      <c r="F80" s="178" t="str">
        <f t="shared" si="10"/>
        <v/>
      </c>
      <c r="G80" s="1819" t="str">
        <f t="shared" si="12"/>
        <v/>
      </c>
      <c r="H80" s="178" t="str">
        <f t="shared" si="11"/>
        <v/>
      </c>
      <c r="I80" s="278">
        <f>_xlfn.XLOOKUP(B80,'دیده بان بازار'!$A$3:$A$3152,'دیده بان بازار'!$P$3:$P$3152,"Closed")</f>
        <v>2993</v>
      </c>
      <c r="J80" s="279">
        <f>_xlfn.XLOOKUP(B80,'دیده بان بازار'!$A$3:$A$3155,'دیده بان بازار'!$H$3:$H$3155,"")</f>
        <v>19190</v>
      </c>
      <c r="K80" s="171">
        <f>_xlfn.XLOOKUP(B80,'دیده بان بازار'!$A$3:$A$3542,'دیده بان بازار'!$J$3:$J$3542,"")</f>
        <v>2.95</v>
      </c>
      <c r="L80" s="277"/>
      <c r="M80" s="247"/>
      <c r="N80" s="169"/>
      <c r="O80" s="170"/>
      <c r="P80" s="127"/>
      <c r="Q80" s="273"/>
      <c r="R80" s="246"/>
      <c r="S80" s="245"/>
    </row>
    <row r="81" spans="1:19" ht="43" customHeight="1">
      <c r="A81" s="60" t="s">
        <v>88</v>
      </c>
      <c r="B81" s="846" t="s">
        <v>89</v>
      </c>
      <c r="D81" s="1086"/>
      <c r="E81" s="153">
        <v>16822</v>
      </c>
      <c r="F81" s="178" t="str">
        <f t="shared" si="10"/>
        <v/>
      </c>
      <c r="G81" s="1819" t="str">
        <f t="shared" si="12"/>
        <v/>
      </c>
      <c r="H81" s="178" t="str">
        <f t="shared" si="11"/>
        <v/>
      </c>
      <c r="I81" s="278">
        <f>_xlfn.XLOOKUP(B81,'دیده بان بازار'!$A$3:$A$3152,'دیده بان بازار'!$P$3:$P$3152,"Closed")</f>
        <v>16822</v>
      </c>
      <c r="J81" s="279">
        <f>_xlfn.XLOOKUP(B81,'دیده بان بازار'!$A$3:$A$3155,'دیده بان بازار'!$H$3:$H$3155,"")</f>
        <v>152900</v>
      </c>
      <c r="K81" s="171">
        <f>_xlfn.XLOOKUP(B81,'دیده بان بازار'!$A$3:$A$3542,'دیده بان بازار'!$J$3:$J$3542,"")</f>
        <v>2.96</v>
      </c>
      <c r="L81" s="277"/>
      <c r="M81" s="247"/>
      <c r="N81" s="169"/>
      <c r="O81" s="170"/>
      <c r="P81" s="127"/>
      <c r="Q81" s="273"/>
      <c r="R81" s="246"/>
      <c r="S81" s="245"/>
    </row>
    <row r="82" spans="1:19" ht="43" customHeight="1">
      <c r="A82" s="60" t="s">
        <v>134</v>
      </c>
      <c r="B82" s="846" t="s">
        <v>135</v>
      </c>
      <c r="D82" s="1086"/>
      <c r="E82" s="153">
        <v>1506</v>
      </c>
      <c r="F82" s="178" t="str">
        <f t="shared" si="10"/>
        <v/>
      </c>
      <c r="G82" s="1819" t="str">
        <f t="shared" si="12"/>
        <v/>
      </c>
      <c r="H82" s="178" t="str">
        <f t="shared" si="11"/>
        <v/>
      </c>
      <c r="I82" s="278">
        <f>_xlfn.XLOOKUP(B82,'دیده بان بازار'!$A$3:$A$3152,'دیده بان بازار'!$P$3:$P$3152,"Closed")</f>
        <v>1506</v>
      </c>
      <c r="J82" s="279">
        <f>_xlfn.XLOOKUP(B82,'دیده بان بازار'!$A$3:$A$3155,'دیده بان بازار'!$H$3:$H$3155,"")</f>
        <v>14060</v>
      </c>
      <c r="K82" s="171">
        <f>_xlfn.XLOOKUP(B82,'دیده بان بازار'!$A$3:$A$3542,'دیده بان بازار'!$J$3:$J$3542,"")</f>
        <v>2.78</v>
      </c>
      <c r="L82" s="277"/>
      <c r="M82" s="247"/>
      <c r="N82" s="169"/>
      <c r="O82" s="170"/>
      <c r="P82" s="127"/>
      <c r="Q82" s="273"/>
      <c r="R82" s="246"/>
      <c r="S82" s="245"/>
    </row>
    <row r="83" spans="1:19" ht="43" customHeight="1">
      <c r="A83" s="1571" t="s">
        <v>140</v>
      </c>
      <c r="B83" s="2230" t="s">
        <v>141</v>
      </c>
      <c r="D83" s="1086"/>
      <c r="E83" s="153">
        <v>3275</v>
      </c>
      <c r="F83" s="178" t="str">
        <f t="shared" ref="F83" si="13">IF(D83=E83,"No","")</f>
        <v/>
      </c>
      <c r="G83" s="1819" t="str">
        <f t="shared" si="12"/>
        <v/>
      </c>
      <c r="H83" s="178" t="str">
        <f t="shared" si="11"/>
        <v/>
      </c>
      <c r="I83" s="278">
        <f>_xlfn.XLOOKUP(B83,'دیده بان بازار'!$A$3:$A$3152,'دیده بان بازار'!$P$3:$P$3152,"Closed")</f>
        <v>3275</v>
      </c>
      <c r="J83" s="279">
        <f>_xlfn.XLOOKUP(B83,'دیده بان بازار'!$A$3:$A$3155,'دیده بان بازار'!$H$3:$H$3155,"")</f>
        <v>46610</v>
      </c>
      <c r="K83" s="171">
        <f>_xlfn.XLOOKUP(B83,'دیده بان بازار'!$A$3:$A$3542,'دیده بان بازار'!$J$3:$J$3542,"")</f>
        <v>2.98</v>
      </c>
      <c r="L83" s="277"/>
      <c r="M83" s="247"/>
      <c r="N83" s="169"/>
      <c r="O83" s="170"/>
      <c r="P83" s="127"/>
      <c r="Q83" s="273"/>
      <c r="R83" s="246"/>
      <c r="S83" s="245"/>
    </row>
    <row r="84" spans="1:19" ht="43" customHeight="1">
      <c r="A84" s="1571" t="s">
        <v>179</v>
      </c>
      <c r="B84" s="2230" t="s">
        <v>180</v>
      </c>
      <c r="D84" s="1086"/>
      <c r="E84" s="153">
        <v>4271</v>
      </c>
      <c r="F84" s="178" t="str">
        <f t="shared" ref="F84" si="14">IF(D84=E84,"No","")</f>
        <v/>
      </c>
      <c r="G84" s="1819" t="str">
        <f t="shared" si="12"/>
        <v>Closed</v>
      </c>
      <c r="H84" s="178" t="str">
        <f t="shared" si="11"/>
        <v>Closed</v>
      </c>
      <c r="I84" s="278" t="str">
        <f>_xlfn.XLOOKUP(B84,'دیده بان بازار'!$A$3:$A$3152,'دیده بان بازار'!$P$3:$P$3152,"Closed")</f>
        <v>Closed</v>
      </c>
      <c r="J84" s="279" t="str">
        <f>_xlfn.XLOOKUP(B84,'دیده بان بازار'!$A$3:$A$3155,'دیده بان بازار'!$H$3:$H$3155,"")</f>
        <v/>
      </c>
      <c r="K84" s="171" t="str">
        <f>_xlfn.XLOOKUP(B84,'دیده بان بازار'!$A$3:$A$3542,'دیده بان بازار'!$J$3:$J$3542,"")</f>
        <v/>
      </c>
      <c r="L84" s="277"/>
      <c r="M84" s="247"/>
      <c r="N84" s="169"/>
      <c r="O84" s="170"/>
      <c r="P84" s="127"/>
      <c r="Q84" s="273"/>
      <c r="R84" s="246"/>
      <c r="S84" s="245"/>
    </row>
    <row r="85" spans="1:19" ht="43" customHeight="1">
      <c r="A85" s="1571" t="s">
        <v>169</v>
      </c>
      <c r="B85" s="2230" t="s">
        <v>170</v>
      </c>
      <c r="D85" s="1086"/>
      <c r="E85" s="153">
        <v>5718</v>
      </c>
      <c r="F85" s="178" t="str">
        <f t="shared" ref="F85:F87" si="15">IF(D85=E85,"No","")</f>
        <v/>
      </c>
      <c r="G85" s="1819" t="str">
        <f t="shared" si="12"/>
        <v/>
      </c>
      <c r="H85" s="178" t="str">
        <f t="shared" si="11"/>
        <v/>
      </c>
      <c r="I85" s="278">
        <f>_xlfn.XLOOKUP(B85,'دیده بان بازار'!$A$3:$A$3152,'دیده بان بازار'!$P$3:$P$3152,"Closed")</f>
        <v>5718</v>
      </c>
      <c r="J85" s="279">
        <f>_xlfn.XLOOKUP(B85,'دیده بان بازار'!$A$3:$A$3155,'دیده بان بازار'!$H$3:$H$3155,"")</f>
        <v>44770</v>
      </c>
      <c r="K85" s="171">
        <f>_xlfn.XLOOKUP(B85,'دیده بان بازار'!$A$3:$A$3542,'دیده بان بازار'!$J$3:$J$3542,"")</f>
        <v>2.99</v>
      </c>
      <c r="L85" s="277"/>
      <c r="M85" s="247"/>
      <c r="N85" s="169"/>
      <c r="O85" s="170"/>
      <c r="P85" s="127"/>
      <c r="Q85" s="273"/>
      <c r="R85" s="246"/>
      <c r="S85" s="245"/>
    </row>
    <row r="86" spans="1:19" ht="43" customHeight="1">
      <c r="A86" s="1571" t="s">
        <v>166</v>
      </c>
      <c r="B86" s="2230" t="s">
        <v>167</v>
      </c>
      <c r="D86" s="1086"/>
      <c r="E86" s="153">
        <v>9289</v>
      </c>
      <c r="F86" s="178" t="str">
        <f t="shared" si="15"/>
        <v/>
      </c>
      <c r="G86" s="1819" t="str">
        <f t="shared" si="12"/>
        <v/>
      </c>
      <c r="H86" s="178" t="str">
        <f t="shared" si="11"/>
        <v/>
      </c>
      <c r="I86" s="278">
        <f>_xlfn.XLOOKUP(B86,'دیده بان بازار'!$A$3:$A$3152,'دیده بان بازار'!$P$3:$P$3152,"Closed")</f>
        <v>9289</v>
      </c>
      <c r="J86" s="279">
        <f>_xlfn.XLOOKUP(B86,'دیده بان بازار'!$A$3:$A$3155,'دیده بان بازار'!$H$3:$H$3155,"")</f>
        <v>71870</v>
      </c>
      <c r="K86" s="171">
        <f>_xlfn.XLOOKUP(B86,'دیده بان بازار'!$A$3:$A$3542,'دیده بان بازار'!$J$3:$J$3542,"")</f>
        <v>3</v>
      </c>
      <c r="L86" s="277"/>
      <c r="M86" s="247"/>
      <c r="N86" s="169"/>
      <c r="O86" s="170"/>
      <c r="P86" s="127"/>
      <c r="Q86" s="273"/>
      <c r="R86" s="246"/>
      <c r="S86" s="245"/>
    </row>
    <row r="87" spans="1:19" ht="43" customHeight="1">
      <c r="A87" s="1571" t="s">
        <v>106</v>
      </c>
      <c r="B87" s="2230" t="s">
        <v>107</v>
      </c>
      <c r="D87" s="1086"/>
      <c r="E87" s="153">
        <v>7903</v>
      </c>
      <c r="F87" s="178" t="str">
        <f t="shared" si="15"/>
        <v/>
      </c>
      <c r="G87" s="1819" t="str">
        <f t="shared" si="12"/>
        <v/>
      </c>
      <c r="H87" s="178" t="str">
        <f t="shared" si="11"/>
        <v/>
      </c>
      <c r="I87" s="278">
        <f>_xlfn.XLOOKUP(B87,'دیده بان بازار'!$A$3:$A$3152,'دیده بان بازار'!$P$3:$P$3152,"Closed")</f>
        <v>7903</v>
      </c>
      <c r="J87" s="279">
        <f>_xlfn.XLOOKUP(B87,'دیده بان بازار'!$A$3:$A$3155,'دیده بان بازار'!$H$3:$H$3155,"")</f>
        <v>45770</v>
      </c>
      <c r="K87" s="171">
        <f>_xlfn.XLOOKUP(B87,'دیده بان بازار'!$A$3:$A$3542,'دیده بان بازار'!$J$3:$J$3542,"")</f>
        <v>2.99</v>
      </c>
      <c r="L87" s="277"/>
      <c r="M87" s="247"/>
      <c r="N87" s="169"/>
      <c r="O87" s="170"/>
      <c r="P87" s="127"/>
      <c r="Q87" s="273"/>
      <c r="R87" s="246"/>
      <c r="S87" s="245"/>
    </row>
    <row r="88" spans="1:19" ht="43" customHeight="1">
      <c r="A88" s="1571" t="s">
        <v>150</v>
      </c>
      <c r="B88" s="2230" t="s">
        <v>151</v>
      </c>
      <c r="D88" s="1086"/>
      <c r="E88" s="153">
        <v>9454</v>
      </c>
      <c r="F88" s="178" t="str">
        <f t="shared" ref="F88" si="16">IF(D88=E88,"No","")</f>
        <v/>
      </c>
      <c r="G88" s="1819" t="str">
        <f t="shared" si="12"/>
        <v/>
      </c>
      <c r="H88" s="178" t="str">
        <f t="shared" si="11"/>
        <v/>
      </c>
      <c r="I88" s="278">
        <f>_xlfn.XLOOKUP(B88,'دیده بان بازار'!$A$3:$A$3152,'دیده بان بازار'!$P$3:$P$3152,"Closed")</f>
        <v>9454</v>
      </c>
      <c r="J88" s="279">
        <f>_xlfn.XLOOKUP(B88,'دیده بان بازار'!$A$3:$A$3155,'دیده بان بازار'!$H$3:$H$3155,"")</f>
        <v>55830</v>
      </c>
      <c r="K88" s="171">
        <f>_xlfn.XLOOKUP(B88,'دیده بان بازار'!$A$3:$A$3542,'دیده بان بازار'!$J$3:$J$3542,"")</f>
        <v>2.99</v>
      </c>
      <c r="L88" s="277"/>
      <c r="M88" s="247"/>
      <c r="N88" s="169"/>
      <c r="O88" s="170"/>
      <c r="P88" s="127"/>
      <c r="Q88" s="273"/>
      <c r="R88" s="246"/>
      <c r="S88" s="245"/>
    </row>
    <row r="90" spans="1:19">
      <c r="A90" t="s">
        <v>1681</v>
      </c>
    </row>
  </sheetData>
  <autoFilter ref="A6:S6" xr:uid="{6C7872E7-63C3-C844-8284-B6CBD26B4CF0}"/>
  <phoneticPr fontId="39" type="noConversion"/>
  <conditionalFormatting sqref="A36:B88">
    <cfRule type="expression" dxfId="67" priority="1">
      <formula>ROW()=EVEN(ROW())</formula>
    </cfRule>
  </conditionalFormatting>
  <conditionalFormatting sqref="A7:D35 H7:S88 G8:G88 C47:F64 D65:F88">
    <cfRule type="expression" dxfId="66" priority="14">
      <formula>ROW()=EVEN(ROW())</formula>
    </cfRule>
  </conditionalFormatting>
  <conditionalFormatting sqref="C65:C78">
    <cfRule type="expression" dxfId="65" priority="52">
      <formula>ROW()=EVEN(ROW())</formula>
    </cfRule>
  </conditionalFormatting>
  <conditionalFormatting sqref="E8:F46 C36:D46">
    <cfRule type="expression" dxfId="64" priority="5">
      <formula>ROW()=EVEN(ROW())</formula>
    </cfRule>
  </conditionalFormatting>
  <conditionalFormatting sqref="E7:G7">
    <cfRule type="expression" dxfId="63" priority="133">
      <formula>ROW()=EVEN(ROW())</formula>
    </cfRule>
  </conditionalFormatting>
  <conditionalFormatting sqref="H2">
    <cfRule type="expression" dxfId="62" priority="98">
      <formula>ROW()=EVEN(ROW())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3BF1-FD4D-894E-88D5-5258F7BD8320}">
  <sheetPr codeName="Sheet22"/>
  <dimension ref="A1:M33"/>
  <sheetViews>
    <sheetView zoomScale="130" zoomScaleNormal="130" workbookViewId="0">
      <selection activeCell="G16" sqref="G16"/>
    </sheetView>
  </sheetViews>
  <sheetFormatPr baseColWidth="10" defaultColWidth="11" defaultRowHeight="16"/>
  <cols>
    <col min="1" max="1" width="7" bestFit="1" customWidth="1"/>
    <col min="2" max="2" width="16.33203125" bestFit="1" customWidth="1"/>
    <col min="3" max="3" width="39.83203125" customWidth="1"/>
    <col min="4" max="4" width="37.6640625" customWidth="1"/>
    <col min="5" max="5" width="7.33203125" bestFit="1" customWidth="1"/>
    <col min="6" max="6" width="13" customWidth="1"/>
    <col min="7" max="7" width="13.1640625" customWidth="1"/>
    <col min="8" max="8" width="11.5" style="31" bestFit="1" customWidth="1"/>
    <col min="9" max="9" width="13.1640625" bestFit="1" customWidth="1"/>
    <col min="10" max="10" width="2" customWidth="1"/>
    <col min="12" max="12" width="22.83203125" customWidth="1"/>
    <col min="13" max="13" width="38.33203125" bestFit="1" customWidth="1"/>
  </cols>
  <sheetData>
    <row r="1" spans="1:13">
      <c r="A1" s="2145" t="s">
        <v>1485</v>
      </c>
    </row>
    <row r="2" spans="1:13" s="1187" customFormat="1">
      <c r="A2" s="1186" t="s">
        <v>1486</v>
      </c>
      <c r="B2" s="1186" t="s">
        <v>1487</v>
      </c>
      <c r="C2" s="1186" t="s">
        <v>1488</v>
      </c>
      <c r="D2" s="1186" t="s">
        <v>1489</v>
      </c>
      <c r="E2" s="1186" t="s">
        <v>1490</v>
      </c>
      <c r="F2" s="1186" t="s">
        <v>1491</v>
      </c>
      <c r="G2" s="1186" t="s">
        <v>1492</v>
      </c>
      <c r="H2" s="1188" t="s">
        <v>1493</v>
      </c>
      <c r="I2" s="1186" t="s">
        <v>1494</v>
      </c>
      <c r="J2" s="1186"/>
      <c r="K2" s="1193" t="s">
        <v>1495</v>
      </c>
      <c r="L2" s="1193" t="s">
        <v>1496</v>
      </c>
      <c r="M2" s="1193"/>
    </row>
    <row r="3" spans="1:13" ht="21">
      <c r="A3" s="1305" t="s">
        <v>1497</v>
      </c>
      <c r="B3" s="1305" t="s">
        <v>1498</v>
      </c>
      <c r="C3" s="1303" t="s">
        <v>1499</v>
      </c>
      <c r="D3" s="1303" t="s">
        <v>1499</v>
      </c>
      <c r="E3" s="1306">
        <f>Cement!R42</f>
        <v>10</v>
      </c>
      <c r="F3" s="1305" t="s">
        <v>1500</v>
      </c>
      <c r="G3" s="1305" t="s">
        <v>1500</v>
      </c>
      <c r="H3" s="1307">
        <f>Cement!AT2</f>
        <v>2.426322667676569</v>
      </c>
      <c r="I3" s="1307" t="str">
        <f>MOPFRA!R64</f>
        <v>X</v>
      </c>
      <c r="K3" s="1284" t="s">
        <v>197</v>
      </c>
      <c r="L3" s="1285" t="s">
        <v>1501</v>
      </c>
      <c r="M3" s="1285" t="s">
        <v>1502</v>
      </c>
    </row>
    <row r="4" spans="1:13" ht="21">
      <c r="A4" s="1305" t="s">
        <v>1503</v>
      </c>
      <c r="B4" s="1305" t="s">
        <v>1504</v>
      </c>
      <c r="C4" s="1283" t="s">
        <v>1505</v>
      </c>
      <c r="D4" s="1283" t="s">
        <v>1505</v>
      </c>
      <c r="E4" s="1306">
        <f>Cement!R43</f>
        <v>100</v>
      </c>
      <c r="F4" s="1305" t="s">
        <v>1500</v>
      </c>
      <c r="G4" s="1305" t="s">
        <v>1500</v>
      </c>
      <c r="H4" s="1307">
        <f>Cement!Q43</f>
        <v>0</v>
      </c>
      <c r="I4" s="1307">
        <f>MOPFRA!R65</f>
        <v>0</v>
      </c>
      <c r="K4" s="1284" t="s">
        <v>1506</v>
      </c>
      <c r="L4" s="1285" t="s">
        <v>1507</v>
      </c>
      <c r="M4" s="1285" t="s">
        <v>1508</v>
      </c>
    </row>
    <row r="5" spans="1:13" ht="34">
      <c r="A5" s="1305" t="s">
        <v>1509</v>
      </c>
      <c r="B5" s="1305" t="s">
        <v>1510</v>
      </c>
      <c r="C5" s="1304" t="s">
        <v>1511</v>
      </c>
      <c r="D5" s="552" t="s">
        <v>1511</v>
      </c>
      <c r="E5" s="1306">
        <f>Cement!R44</f>
        <v>30</v>
      </c>
      <c r="F5" s="1305" t="s">
        <v>1512</v>
      </c>
      <c r="G5" s="1305" t="s">
        <v>1512</v>
      </c>
      <c r="H5" s="1307">
        <f>Cement!Q44</f>
        <v>0</v>
      </c>
      <c r="I5" s="1307">
        <f>MOPFRA!R66</f>
        <v>0</v>
      </c>
      <c r="K5" s="1284" t="s">
        <v>1513</v>
      </c>
      <c r="L5" s="1285" t="s">
        <v>17</v>
      </c>
      <c r="M5" s="1285" t="s">
        <v>1514</v>
      </c>
    </row>
    <row r="6" spans="1:13" ht="21">
      <c r="A6" s="1305" t="s">
        <v>1515</v>
      </c>
      <c r="B6" s="1305" t="s">
        <v>1516</v>
      </c>
      <c r="C6" s="1283" t="s">
        <v>1517</v>
      </c>
      <c r="D6" s="3" t="s">
        <v>1517</v>
      </c>
      <c r="E6" s="1308">
        <f>Cement!R45</f>
        <v>5</v>
      </c>
      <c r="F6" s="1305" t="s">
        <v>1500</v>
      </c>
      <c r="G6" s="1305" t="s">
        <v>1500</v>
      </c>
      <c r="H6" s="1307">
        <f>Cement!Q45</f>
        <v>5</v>
      </c>
      <c r="I6" s="1307">
        <f>MOPFRA!R67</f>
        <v>5</v>
      </c>
      <c r="K6" s="1284" t="s">
        <v>771</v>
      </c>
      <c r="L6" s="1285" t="s">
        <v>1518</v>
      </c>
      <c r="M6" s="1285" t="s">
        <v>1519</v>
      </c>
    </row>
    <row r="7" spans="1:13" ht="21">
      <c r="A7" s="1305" t="s">
        <v>1520</v>
      </c>
      <c r="B7" s="1305" t="s">
        <v>425</v>
      </c>
      <c r="C7" s="1283" t="s">
        <v>1521</v>
      </c>
      <c r="D7" s="3" t="s">
        <v>1521</v>
      </c>
      <c r="E7" s="1308">
        <f>Cement!R46</f>
        <v>3</v>
      </c>
      <c r="F7" s="1305" t="s">
        <v>1500</v>
      </c>
      <c r="G7" s="1305" t="s">
        <v>1500</v>
      </c>
      <c r="H7" s="1307">
        <f>Cement!Q46</f>
        <v>5</v>
      </c>
      <c r="I7" s="1307">
        <f>MOPFRA!R68</f>
        <v>5</v>
      </c>
      <c r="K7" s="1284" t="s">
        <v>1522</v>
      </c>
      <c r="L7" s="1285" t="s">
        <v>1523</v>
      </c>
      <c r="M7" s="1285" t="s">
        <v>1524</v>
      </c>
    </row>
    <row r="8" spans="1:13" ht="21">
      <c r="A8" s="1305" t="s">
        <v>1525</v>
      </c>
      <c r="B8" s="1305" t="s">
        <v>501</v>
      </c>
      <c r="C8" s="1283" t="s">
        <v>343</v>
      </c>
      <c r="D8" s="3" t="s">
        <v>343</v>
      </c>
      <c r="E8" s="1308">
        <f>Cement!R47</f>
        <v>4</v>
      </c>
      <c r="F8" s="1305" t="s">
        <v>1500</v>
      </c>
      <c r="G8" s="1305" t="s">
        <v>1500</v>
      </c>
      <c r="H8" s="1307">
        <v>2</v>
      </c>
      <c r="I8" s="1307">
        <f>MOPFRA!R69</f>
        <v>2</v>
      </c>
      <c r="K8" s="1284" t="s">
        <v>1526</v>
      </c>
      <c r="L8" s="1285" t="s">
        <v>1527</v>
      </c>
      <c r="M8" s="1285" t="s">
        <v>1528</v>
      </c>
    </row>
    <row r="9" spans="1:13" ht="21">
      <c r="A9" s="1305" t="s">
        <v>1529</v>
      </c>
      <c r="B9" s="1305" t="s">
        <v>427</v>
      </c>
      <c r="C9" s="1283" t="s">
        <v>1530</v>
      </c>
      <c r="D9" s="3" t="s">
        <v>1530</v>
      </c>
      <c r="E9" s="1308">
        <f>Cement!R48</f>
        <v>15</v>
      </c>
      <c r="F9" s="1305" t="s">
        <v>1500</v>
      </c>
      <c r="G9" s="1305" t="s">
        <v>1500</v>
      </c>
      <c r="H9" s="1307">
        <f>Cement!Q48</f>
        <v>0.4</v>
      </c>
      <c r="I9" s="1307">
        <f>MOPFRA!R70</f>
        <v>0.4</v>
      </c>
      <c r="K9" s="1284" t="s">
        <v>603</v>
      </c>
      <c r="L9" s="1285" t="s">
        <v>1531</v>
      </c>
      <c r="M9" s="1285" t="s">
        <v>1532</v>
      </c>
    </row>
    <row r="10" spans="1:13" ht="21">
      <c r="A10" s="1305" t="s">
        <v>1533</v>
      </c>
      <c r="B10" s="1305" t="s">
        <v>1534</v>
      </c>
      <c r="C10" s="1283" t="s">
        <v>1535</v>
      </c>
      <c r="D10" s="31" t="s">
        <v>1535</v>
      </c>
      <c r="E10" s="1308">
        <f>Cement!R49</f>
        <v>2</v>
      </c>
      <c r="F10" s="1305" t="s">
        <v>1512</v>
      </c>
      <c r="G10" s="1305" t="s">
        <v>1512</v>
      </c>
      <c r="H10" s="1307">
        <f>Cement!Q49</f>
        <v>8.3370370370370388</v>
      </c>
      <c r="I10" s="1307" t="str">
        <f>MOPFRA!R71</f>
        <v>X</v>
      </c>
      <c r="K10" s="1284" t="s">
        <v>1536</v>
      </c>
      <c r="L10" s="1285" t="s">
        <v>1537</v>
      </c>
      <c r="M10" s="1285" t="s">
        <v>1538</v>
      </c>
    </row>
    <row r="11" spans="1:13" ht="21">
      <c r="A11" s="1305" t="s">
        <v>1539</v>
      </c>
      <c r="B11" s="1305" t="s">
        <v>429</v>
      </c>
      <c r="C11" s="1283" t="s">
        <v>1540</v>
      </c>
      <c r="D11" s="3" t="s">
        <v>1540</v>
      </c>
      <c r="E11" s="1308">
        <f>Cement!R50</f>
        <v>8</v>
      </c>
      <c r="F11" s="1305" t="s">
        <v>1541</v>
      </c>
      <c r="G11" s="1305" t="s">
        <v>1541</v>
      </c>
      <c r="H11" s="1307">
        <f>Cement!Q50</f>
        <v>1.2</v>
      </c>
      <c r="I11" s="1307">
        <f>MOPFRA!R72</f>
        <v>1.2</v>
      </c>
      <c r="K11" s="1284" t="s">
        <v>1542</v>
      </c>
      <c r="L11" s="1285" t="s">
        <v>1543</v>
      </c>
      <c r="M11" s="1285" t="s">
        <v>1544</v>
      </c>
    </row>
    <row r="12" spans="1:13" ht="21">
      <c r="A12" s="1305" t="s">
        <v>1545</v>
      </c>
      <c r="B12" s="1305" t="s">
        <v>430</v>
      </c>
      <c r="C12" s="1283" t="s">
        <v>376</v>
      </c>
      <c r="D12" s="3" t="s">
        <v>376</v>
      </c>
      <c r="E12" s="1308">
        <f>Cement!R51</f>
        <v>10</v>
      </c>
      <c r="F12" s="1305" t="s">
        <v>1541</v>
      </c>
      <c r="G12" s="1305" t="s">
        <v>1541</v>
      </c>
      <c r="H12" s="1307">
        <f>Cement!Q51</f>
        <v>0.6001298119587205</v>
      </c>
      <c r="I12" s="1307" t="str">
        <f>MOPFRA!R73</f>
        <v>X</v>
      </c>
      <c r="K12" s="1284" t="s">
        <v>1546</v>
      </c>
      <c r="L12" s="1285" t="s">
        <v>1547</v>
      </c>
      <c r="M12" s="1285" t="s">
        <v>1548</v>
      </c>
    </row>
    <row r="13" spans="1:13" ht="34">
      <c r="A13" s="1305" t="s">
        <v>1549</v>
      </c>
      <c r="B13" s="1305" t="s">
        <v>1550</v>
      </c>
      <c r="C13" s="1304" t="s">
        <v>378</v>
      </c>
      <c r="D13" s="1304" t="s">
        <v>378</v>
      </c>
      <c r="E13" s="1308">
        <v>5</v>
      </c>
      <c r="F13" s="1305" t="s">
        <v>1551</v>
      </c>
      <c r="G13" s="1305" t="s">
        <v>1551</v>
      </c>
      <c r="H13" s="1307" t="s">
        <v>500</v>
      </c>
      <c r="I13" s="1307" t="str">
        <f>MOPFRA!R74</f>
        <v>X</v>
      </c>
      <c r="K13" s="1284" t="s">
        <v>1552</v>
      </c>
      <c r="L13" s="1285" t="s">
        <v>1553</v>
      </c>
      <c r="M13" s="1285" t="s">
        <v>1554</v>
      </c>
    </row>
    <row r="14" spans="1:13" ht="26" customHeight="1">
      <c r="A14" s="1305" t="s">
        <v>1555</v>
      </c>
      <c r="B14" s="1305" t="s">
        <v>432</v>
      </c>
      <c r="C14" s="1304" t="s">
        <v>385</v>
      </c>
      <c r="D14" s="31" t="s">
        <v>1556</v>
      </c>
      <c r="E14" s="1308">
        <f>Cement!R53</f>
        <v>20</v>
      </c>
      <c r="F14" s="1305" t="s">
        <v>1500</v>
      </c>
      <c r="G14" s="1305" t="s">
        <v>1556</v>
      </c>
      <c r="H14" s="1307">
        <f>Cement!Q53</f>
        <v>1</v>
      </c>
      <c r="I14" s="1307" t="s">
        <v>1556</v>
      </c>
      <c r="K14" s="1284" t="s">
        <v>1557</v>
      </c>
      <c r="L14" s="1285" t="s">
        <v>1558</v>
      </c>
      <c r="M14" s="1462" t="s">
        <v>1559</v>
      </c>
    </row>
    <row r="15" spans="1:13" ht="24" customHeight="1">
      <c r="A15" s="1305" t="s">
        <v>1560</v>
      </c>
      <c r="B15" s="1305" t="s">
        <v>1561</v>
      </c>
      <c r="C15" s="1304" t="s">
        <v>387</v>
      </c>
      <c r="D15" s="31" t="s">
        <v>1556</v>
      </c>
      <c r="E15" s="1308">
        <f>Cement!R54</f>
        <v>30</v>
      </c>
      <c r="F15" s="1305" t="s">
        <v>1500</v>
      </c>
      <c r="G15" s="1305" t="s">
        <v>1556</v>
      </c>
      <c r="H15" s="1307">
        <f>Cement!Q54</f>
        <v>2588.5696595154632</v>
      </c>
      <c r="I15" s="1307" t="s">
        <v>1556</v>
      </c>
      <c r="K15" s="1284" t="s">
        <v>1562</v>
      </c>
      <c r="L15" s="1285" t="s">
        <v>1563</v>
      </c>
      <c r="M15" s="1285" t="s">
        <v>1564</v>
      </c>
    </row>
    <row r="16" spans="1:13" ht="21">
      <c r="A16" s="1305" t="s">
        <v>1565</v>
      </c>
      <c r="B16" s="1305" t="s">
        <v>1566</v>
      </c>
      <c r="C16" s="1304" t="s">
        <v>389</v>
      </c>
      <c r="D16" s="31" t="s">
        <v>1556</v>
      </c>
      <c r="E16" s="1308">
        <f>Cement!R55</f>
        <v>30</v>
      </c>
      <c r="F16" s="1305" t="s">
        <v>1500</v>
      </c>
      <c r="G16" s="1305" t="s">
        <v>1556</v>
      </c>
      <c r="H16" s="1307">
        <f>Cement!DZ2</f>
        <v>0.49057106864570721</v>
      </c>
      <c r="I16" s="1307" t="s">
        <v>1556</v>
      </c>
      <c r="K16" s="1284" t="s">
        <v>1567</v>
      </c>
      <c r="L16" s="1285" t="s">
        <v>1568</v>
      </c>
      <c r="M16" s="1285" t="s">
        <v>1569</v>
      </c>
    </row>
    <row r="17" spans="1:13" ht="21">
      <c r="A17" s="1305" t="s">
        <v>1570</v>
      </c>
      <c r="B17" s="1305" t="s">
        <v>1571</v>
      </c>
      <c r="C17" s="1304" t="s">
        <v>391</v>
      </c>
      <c r="D17" s="31" t="s">
        <v>1556</v>
      </c>
      <c r="E17" s="1308">
        <f>Cement!R56</f>
        <v>10</v>
      </c>
      <c r="F17" s="1305" t="s">
        <v>1572</v>
      </c>
      <c r="G17" s="1305" t="s">
        <v>1556</v>
      </c>
      <c r="H17" s="1309">
        <v>0</v>
      </c>
      <c r="I17" s="1307" t="s">
        <v>1556</v>
      </c>
      <c r="K17" s="1284" t="s">
        <v>1573</v>
      </c>
      <c r="L17" s="1285" t="s">
        <v>1574</v>
      </c>
      <c r="M17" s="1285" t="s">
        <v>1575</v>
      </c>
    </row>
    <row r="18" spans="1:13" ht="21">
      <c r="A18" s="1283"/>
      <c r="B18" s="1283"/>
      <c r="C18" s="1283"/>
      <c r="D18" s="3"/>
      <c r="E18" s="1295"/>
      <c r="F18" s="31"/>
      <c r="G18" s="31"/>
      <c r="I18" s="1192"/>
      <c r="K18" s="1284" t="s">
        <v>1576</v>
      </c>
      <c r="L18" s="1285" t="s">
        <v>1577</v>
      </c>
      <c r="M18" s="1285" t="s">
        <v>1578</v>
      </c>
    </row>
    <row r="19" spans="1:13" ht="21">
      <c r="A19" s="1283"/>
      <c r="B19" s="1283"/>
      <c r="C19" s="1283"/>
      <c r="D19" s="3"/>
      <c r="E19" s="1295"/>
      <c r="K19" s="1284" t="s">
        <v>1579</v>
      </c>
      <c r="L19" s="1285" t="s">
        <v>1580</v>
      </c>
      <c r="M19" s="1285" t="s">
        <v>1581</v>
      </c>
    </row>
    <row r="20" spans="1:13" ht="48">
      <c r="A20" s="1283"/>
      <c r="B20" s="1283"/>
      <c r="D20" s="3"/>
      <c r="E20" s="1295"/>
      <c r="K20" s="1284" t="s">
        <v>1582</v>
      </c>
      <c r="L20" s="1316" t="s">
        <v>1583</v>
      </c>
      <c r="M20" s="1317" t="s">
        <v>1584</v>
      </c>
    </row>
    <row r="21" spans="1:13" ht="48">
      <c r="A21" s="1283"/>
      <c r="B21" s="1283"/>
      <c r="K21" s="1284" t="s">
        <v>1585</v>
      </c>
      <c r="L21" s="1316" t="s">
        <v>1586</v>
      </c>
      <c r="M21" s="1316" t="s">
        <v>1587</v>
      </c>
    </row>
    <row r="22" spans="1:13" ht="21">
      <c r="A22" s="1283"/>
      <c r="B22" s="1283"/>
      <c r="K22" s="1284" t="s">
        <v>1588</v>
      </c>
      <c r="L22" s="1285" t="s">
        <v>1589</v>
      </c>
      <c r="M22" s="1285" t="s">
        <v>1590</v>
      </c>
    </row>
    <row r="23" spans="1:13" ht="21">
      <c r="A23" s="1283"/>
      <c r="B23" s="1283"/>
      <c r="K23" s="1284" t="s">
        <v>1591</v>
      </c>
      <c r="L23" s="1285" t="s">
        <v>638</v>
      </c>
      <c r="M23" s="1285" t="s">
        <v>1592</v>
      </c>
    </row>
    <row r="24" spans="1:13" ht="21">
      <c r="A24" s="1283"/>
      <c r="B24" s="1283"/>
      <c r="K24" s="1284" t="s">
        <v>459</v>
      </c>
      <c r="L24" s="1285" t="s">
        <v>1593</v>
      </c>
      <c r="M24" s="1285" t="s">
        <v>355</v>
      </c>
    </row>
    <row r="25" spans="1:13" ht="21">
      <c r="K25" s="1284" t="s">
        <v>467</v>
      </c>
      <c r="L25" s="1285" t="s">
        <v>1594</v>
      </c>
      <c r="M25" s="1285" t="s">
        <v>1595</v>
      </c>
    </row>
    <row r="26" spans="1:13" ht="21">
      <c r="K26" s="1284" t="s">
        <v>1596</v>
      </c>
      <c r="L26" s="1285" t="s">
        <v>1597</v>
      </c>
      <c r="M26" s="1285" t="s">
        <v>1598</v>
      </c>
    </row>
    <row r="27" spans="1:13" ht="21">
      <c r="K27" s="1284" t="s">
        <v>224</v>
      </c>
      <c r="L27" s="1285" t="s">
        <v>1599</v>
      </c>
      <c r="M27" s="1285" t="s">
        <v>1600</v>
      </c>
    </row>
    <row r="28" spans="1:13" ht="21">
      <c r="K28" s="1284" t="s">
        <v>1601</v>
      </c>
      <c r="L28" s="1285" t="s">
        <v>1602</v>
      </c>
      <c r="M28" s="1285" t="s">
        <v>1603</v>
      </c>
    </row>
    <row r="29" spans="1:13" ht="21">
      <c r="K29" s="1284" t="s">
        <v>1604</v>
      </c>
      <c r="L29" s="1285" t="s">
        <v>1605</v>
      </c>
      <c r="M29" s="1285" t="s">
        <v>1606</v>
      </c>
    </row>
    <row r="30" spans="1:13" ht="21">
      <c r="K30" s="1284" t="s">
        <v>1607</v>
      </c>
      <c r="L30" s="1285" t="s">
        <v>1608</v>
      </c>
      <c r="M30" s="1285" t="s">
        <v>1609</v>
      </c>
    </row>
    <row r="31" spans="1:13" ht="21">
      <c r="K31" s="1284" t="s">
        <v>431</v>
      </c>
      <c r="L31" s="1285" t="s">
        <v>1610</v>
      </c>
      <c r="M31" s="1285" t="s">
        <v>375</v>
      </c>
    </row>
    <row r="32" spans="1:13" ht="21">
      <c r="K32" s="1284" t="s">
        <v>1611</v>
      </c>
      <c r="L32" s="1285" t="s">
        <v>1612</v>
      </c>
      <c r="M32" s="1285" t="s">
        <v>1613</v>
      </c>
    </row>
    <row r="33" spans="11:13" ht="21">
      <c r="K33" s="1284" t="s">
        <v>1614</v>
      </c>
      <c r="L33" s="1285" t="s">
        <v>1615</v>
      </c>
      <c r="M33" s="1285" t="s">
        <v>1616</v>
      </c>
    </row>
  </sheetData>
  <phoneticPr fontId="39" type="noConversion"/>
  <pageMargins left="0.7" right="0.7" top="0.75" bottom="0.75" header="0.3" footer="0.3"/>
  <pageSetup paperSize="9" orientation="portrait" horizontalDpi="0" verticalDpi="0" copies="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8149-1428-D44F-BA05-408460D2AE39}">
  <sheetPr codeName="Sheet20">
    <tabColor theme="7"/>
    <pageSetUpPr fitToPage="1"/>
  </sheetPr>
  <dimension ref="A1:BP89"/>
  <sheetViews>
    <sheetView zoomScale="60" zoomScaleNormal="60" workbookViewId="0">
      <pane xSplit="8" ySplit="2" topLeftCell="I77" activePane="bottomRight" state="frozen"/>
      <selection pane="topRight" activeCell="I1" sqref="I1"/>
      <selection pane="bottomLeft" activeCell="A3" sqref="A3"/>
      <selection pane="bottomRight" activeCell="A81" sqref="A81:XFD81"/>
    </sheetView>
  </sheetViews>
  <sheetFormatPr baseColWidth="10" defaultColWidth="11" defaultRowHeight="31"/>
  <cols>
    <col min="1" max="1" width="7.5" bestFit="1" customWidth="1"/>
    <col min="2" max="2" width="14.83203125" customWidth="1"/>
    <col min="3" max="3" width="34.1640625" customWidth="1"/>
    <col min="4" max="4" width="24" customWidth="1"/>
    <col min="5" max="5" width="11.5" customWidth="1"/>
    <col min="6" max="6" width="20" customWidth="1"/>
    <col min="7" max="7" width="13.33203125" customWidth="1"/>
    <col min="8" max="8" width="15.5" style="102" customWidth="1"/>
    <col min="9" max="9" width="39.6640625" customWidth="1"/>
    <col min="10" max="10" width="45.33203125" customWidth="1"/>
    <col min="11" max="11" width="37.1640625" customWidth="1"/>
    <col min="12" max="12" width="42.5" customWidth="1"/>
    <col min="13" max="13" width="38.1640625" customWidth="1"/>
    <col min="14" max="14" width="34.83203125" customWidth="1"/>
    <col min="15" max="15" width="30.5" customWidth="1"/>
    <col min="16" max="16" width="3.83203125" style="102" customWidth="1"/>
    <col min="17" max="17" width="22.1640625" style="2162" customWidth="1"/>
    <col min="18" max="18" width="34.83203125" style="102" customWidth="1"/>
    <col min="19" max="19" width="19" style="2162" customWidth="1"/>
    <col min="20" max="20" width="36.33203125" style="102" customWidth="1"/>
    <col min="21" max="21" width="32.6640625" style="102" customWidth="1"/>
    <col min="63" max="63" width="11.33203125" customWidth="1"/>
    <col min="66" max="66" width="11.33203125" customWidth="1"/>
    <col min="68" max="68" width="13" bestFit="1" customWidth="1"/>
  </cols>
  <sheetData>
    <row r="1" spans="1:68" s="552" customFormat="1" ht="218" customHeight="1" thickBot="1">
      <c r="A1" s="2185"/>
      <c r="B1" s="2178" t="s">
        <v>509</v>
      </c>
      <c r="C1" s="2179" t="s">
        <v>511</v>
      </c>
      <c r="D1" s="2179" t="s">
        <v>11</v>
      </c>
      <c r="E1" s="2179" t="s">
        <v>512</v>
      </c>
      <c r="F1" s="2179" t="s">
        <v>1617</v>
      </c>
      <c r="G1" s="2179" t="s">
        <v>517</v>
      </c>
      <c r="H1" s="2180" t="s">
        <v>518</v>
      </c>
      <c r="I1" s="2179" t="s">
        <v>519</v>
      </c>
      <c r="J1" s="2179" t="s">
        <v>520</v>
      </c>
      <c r="K1" s="2179" t="s">
        <v>1618</v>
      </c>
      <c r="L1" s="2179" t="s">
        <v>1619</v>
      </c>
      <c r="M1" s="2179" t="s">
        <v>1620</v>
      </c>
      <c r="N1" s="2179" t="s">
        <v>1621</v>
      </c>
      <c r="O1" s="2179" t="s">
        <v>1622</v>
      </c>
      <c r="P1" s="2181"/>
      <c r="Q1" s="2182" t="s">
        <v>1623</v>
      </c>
      <c r="R1" s="2183" t="s">
        <v>1624</v>
      </c>
      <c r="S1" s="2163" t="s">
        <v>586</v>
      </c>
      <c r="T1" s="2184" t="s">
        <v>1625</v>
      </c>
      <c r="U1" s="2180" t="s">
        <v>1626</v>
      </c>
      <c r="AH1" s="1970" t="s">
        <v>7810</v>
      </c>
      <c r="AI1" s="1971" t="s">
        <v>7809</v>
      </c>
      <c r="AJ1" s="1970" t="s">
        <v>7808</v>
      </c>
      <c r="AK1" s="1971" t="s">
        <v>7807</v>
      </c>
      <c r="AL1" s="1970" t="s">
        <v>7806</v>
      </c>
      <c r="AM1" s="1971" t="s">
        <v>7805</v>
      </c>
      <c r="AN1" s="1970" t="s">
        <v>7804</v>
      </c>
      <c r="AO1" s="1971" t="s">
        <v>7803</v>
      </c>
      <c r="AP1" s="1970" t="s">
        <v>7802</v>
      </c>
      <c r="AQ1" s="1971" t="s">
        <v>7801</v>
      </c>
      <c r="AR1" s="1970" t="s">
        <v>1627</v>
      </c>
      <c r="AS1" s="1971" t="s">
        <v>7800</v>
      </c>
      <c r="AT1" s="1970" t="s">
        <v>1628</v>
      </c>
      <c r="AU1" s="1971" t="s">
        <v>1629</v>
      </c>
      <c r="AV1" s="1970" t="s">
        <v>1630</v>
      </c>
      <c r="AW1" s="1971" t="s">
        <v>1631</v>
      </c>
      <c r="AX1" s="1970" t="s">
        <v>1632</v>
      </c>
      <c r="AY1" s="1971" t="s">
        <v>1633</v>
      </c>
      <c r="AZ1" s="1970" t="s">
        <v>1634</v>
      </c>
      <c r="BA1" s="1971" t="s">
        <v>1635</v>
      </c>
      <c r="BB1" s="1970" t="s">
        <v>1636</v>
      </c>
      <c r="BC1" s="1971" t="s">
        <v>1637</v>
      </c>
      <c r="BD1" s="1970" t="s">
        <v>1638</v>
      </c>
      <c r="BE1" s="1971" t="s">
        <v>1639</v>
      </c>
      <c r="BF1" s="1970" t="s">
        <v>1640</v>
      </c>
      <c r="BG1" s="1971" t="s">
        <v>1641</v>
      </c>
      <c r="BH1" s="2049" t="s">
        <v>1642</v>
      </c>
      <c r="BI1" s="1970" t="s">
        <v>1643</v>
      </c>
      <c r="BJ1" s="1971" t="s">
        <v>1644</v>
      </c>
      <c r="BK1" s="2049" t="s">
        <v>1642</v>
      </c>
      <c r="BL1" s="1970" t="s">
        <v>1645</v>
      </c>
      <c r="BM1" s="1971" t="s">
        <v>1646</v>
      </c>
      <c r="BN1" s="2049" t="s">
        <v>1642</v>
      </c>
      <c r="BO1" s="552" t="s">
        <v>1647</v>
      </c>
      <c r="BP1" s="552" t="s">
        <v>1648</v>
      </c>
    </row>
    <row r="2" spans="1:68" s="552" customFormat="1" ht="27" customHeight="1">
      <c r="B2" s="1804"/>
      <c r="C2" s="1805"/>
      <c r="D2" s="1805"/>
      <c r="E2" s="1805"/>
      <c r="F2" s="1805"/>
      <c r="G2" s="1805"/>
      <c r="H2" s="1806"/>
      <c r="I2" s="1805"/>
      <c r="J2" s="1805"/>
      <c r="K2" s="1805"/>
      <c r="L2" s="1805"/>
      <c r="M2" s="1805"/>
      <c r="N2" s="1805"/>
      <c r="O2" s="1805"/>
      <c r="P2" s="1807"/>
      <c r="Q2" s="2161"/>
      <c r="R2" s="2051"/>
      <c r="S2" s="2161"/>
      <c r="T2" s="2038"/>
      <c r="U2" s="2038"/>
      <c r="AR2" s="1970">
        <v>6</v>
      </c>
      <c r="AS2" s="1970"/>
      <c r="AT2" s="1970">
        <v>7</v>
      </c>
      <c r="AU2" s="1971">
        <v>7</v>
      </c>
      <c r="AV2" s="1970">
        <v>8</v>
      </c>
      <c r="AW2" s="1971">
        <v>8</v>
      </c>
      <c r="AX2" s="1970">
        <v>9</v>
      </c>
      <c r="AY2" s="1971">
        <v>9</v>
      </c>
      <c r="AZ2" s="1970">
        <v>10</v>
      </c>
      <c r="BA2" s="1971">
        <v>10</v>
      </c>
      <c r="BB2" s="1970">
        <v>11</v>
      </c>
      <c r="BC2" s="1971">
        <v>11</v>
      </c>
      <c r="BD2" s="1970">
        <v>12</v>
      </c>
      <c r="BE2" s="1971">
        <v>12</v>
      </c>
      <c r="BF2" s="1970">
        <v>1</v>
      </c>
      <c r="BG2" s="1971">
        <v>1</v>
      </c>
      <c r="BH2" s="2049">
        <v>1</v>
      </c>
      <c r="BI2" s="1970">
        <v>2</v>
      </c>
      <c r="BJ2" s="1970">
        <v>2</v>
      </c>
      <c r="BK2" s="2049">
        <v>2</v>
      </c>
      <c r="BL2" s="1970">
        <v>3</v>
      </c>
      <c r="BM2" s="1970">
        <v>3</v>
      </c>
      <c r="BN2" s="2049">
        <v>3</v>
      </c>
    </row>
    <row r="3" spans="1:68" ht="100" customHeight="1">
      <c r="A3" s="2146">
        <v>1</v>
      </c>
      <c r="B3" s="2176">
        <f>_xlfn.XLOOKUP(D3,Cement!$Q$7:$Q$35,Cement!$A$7:$A$35,"")</f>
        <v>44.669651090194165</v>
      </c>
      <c r="C3" s="2164" t="str">
        <f>Cement!P7</f>
        <v>سيمان باقران</v>
      </c>
      <c r="D3" s="2164" t="str">
        <f>Cement!Q7</f>
        <v>سباقر</v>
      </c>
      <c r="E3" s="2165">
        <f>_xlfn.XLOOKUP(D3,Cement!$Q$7:$Q$35,Cement!$R$7:$R$35,"")</f>
        <v>12</v>
      </c>
      <c r="F3" s="2166">
        <f>_xlfn.XLOOKUP(D3,Cement!$Q$7:$Q$35,Cement!$AP$7:$AP$35,"")</f>
        <v>2832</v>
      </c>
      <c r="G3" s="2167">
        <v>4</v>
      </c>
      <c r="H3" s="2168">
        <f t="shared" ref="H3:H31" si="0">IF(G3&gt;E3,(G3-E3),((12-E3)+G3))</f>
        <v>4</v>
      </c>
      <c r="I3" s="2147"/>
      <c r="J3" s="2148"/>
      <c r="K3" s="2149"/>
      <c r="L3" s="2150"/>
      <c r="M3" s="2147"/>
      <c r="N3" s="2148"/>
      <c r="O3" s="2149"/>
      <c r="P3" s="2151"/>
      <c r="Q3" s="2186">
        <f>BM3</f>
        <v>340</v>
      </c>
      <c r="R3" s="2187"/>
      <c r="S3" s="2188">
        <f>_xlfn.XLOOKUP(D3,'Sales Rec'!$E$4:$E$93,'Sales Rec'!$CP$4:$CP$93,"")</f>
        <v>1.130890052356021</v>
      </c>
      <c r="T3" s="2152" t="s">
        <v>234</v>
      </c>
      <c r="U3" s="2152" t="s">
        <v>234</v>
      </c>
      <c r="AH3" s="1815">
        <f>_xlfn.XLOOKUP($D3,'Sales Rec'!$E$4:$E$93,'Sales Rec'!$AS$4:$AS$93)</f>
        <v>162</v>
      </c>
      <c r="AI3" s="2048">
        <f t="shared" ref="AI3:AU31" si="1">IF(AF3&gt;AH3,AH3,AH3-AF3)</f>
        <v>162</v>
      </c>
      <c r="AJ3" s="1815">
        <f>_xlfn.XLOOKUP($D3,'Sales Rec'!$E$4:$E$93,'Sales Rec'!$AV$4:$AV$93)</f>
        <v>362</v>
      </c>
      <c r="AK3" s="2048">
        <f t="shared" si="1"/>
        <v>200</v>
      </c>
      <c r="AL3" s="1815">
        <f>_xlfn.XLOOKUP($D3,'Sales Rec'!$E$4:$E$93,'Sales Rec'!$AY$4:$AY$93)</f>
        <v>573</v>
      </c>
      <c r="AM3" s="2048">
        <f t="shared" si="1"/>
        <v>211</v>
      </c>
      <c r="AN3" s="1815">
        <f>_xlfn.XLOOKUP($D3,'Sales Rec'!$E$4:$E$93,'Sales Rec'!$BB$4:$BB$93)</f>
        <v>793</v>
      </c>
      <c r="AO3" s="2048">
        <f t="shared" si="1"/>
        <v>220</v>
      </c>
      <c r="AP3" s="1815">
        <f>_xlfn.XLOOKUP($D3,'Sales Rec'!$E$4:$E$93,'Sales Rec'!$BE$4:$BE$93)</f>
        <v>953</v>
      </c>
      <c r="AQ3" s="2048">
        <f t="shared" si="1"/>
        <v>160</v>
      </c>
      <c r="AR3" s="1815">
        <f>_xlfn.XLOOKUP(D3,'Sales Rec'!$E$4:$E$93,'Sales Rec'!$BH$4:$BH$93)</f>
        <v>1215</v>
      </c>
      <c r="AS3" s="2048">
        <f t="shared" si="1"/>
        <v>262</v>
      </c>
      <c r="AT3" s="1815">
        <f>_xlfn.XLOOKUP($D3,'Sales Rec'!$E$4:$E$93,'Sales Rec'!$BK$4:$BK$93)</f>
        <v>1487</v>
      </c>
      <c r="AU3" s="2048">
        <f t="shared" si="1"/>
        <v>272</v>
      </c>
      <c r="AV3" s="1815">
        <f>_xlfn.XLOOKUP($D3,'Sales Rec'!$E$4:$E$93,'Sales Rec'!$BN$4:$BN$93)</f>
        <v>1823</v>
      </c>
      <c r="AW3" s="2048">
        <f t="shared" ref="AW3:AW31" si="2">IF(AT3&gt;AV3,AV3,AV3-AT3)</f>
        <v>336</v>
      </c>
      <c r="AX3" s="1815">
        <f>_xlfn.XLOOKUP($D3,'Sales Rec'!$E$4:$E$93,'Sales Rec'!$BQ$4:$BQ$93)</f>
        <v>2062</v>
      </c>
      <c r="AY3" s="2048">
        <f t="shared" ref="AY3:AY31" si="3">IF(AV3&gt;AX3,AX3,AX3-AV3)</f>
        <v>239</v>
      </c>
      <c r="AZ3" s="1815">
        <f>_xlfn.XLOOKUP($D3,'Sales Rec'!$E$4:$E$93,'Sales Rec'!$BT$4:$BT$93)</f>
        <v>2300</v>
      </c>
      <c r="BA3" s="2048">
        <f t="shared" ref="BA3:BA31" si="4">IF(AX3&gt;AZ3,AZ3,AZ3-AX3)</f>
        <v>238</v>
      </c>
      <c r="BB3" s="1815">
        <f>_xlfn.XLOOKUP($D3,'Sales Rec'!$E$4:$E$93,'Sales Rec'!$BW$4:$BW$93)</f>
        <v>2504</v>
      </c>
      <c r="BC3" s="2048">
        <f t="shared" ref="BC3:BC31" si="5">IF(AZ3&gt;BB3,BB3,BB3-AZ3)</f>
        <v>204</v>
      </c>
      <c r="BD3" s="1815">
        <f>_xlfn.XLOOKUP($D3,'Sales Rec'!$E$4:$E$93,'Sales Rec'!$BZ$4:$BZ$93)</f>
        <v>2832</v>
      </c>
      <c r="BE3" s="2048">
        <f t="shared" ref="BE3:BE31" si="6">IF(BB3&gt;BD3,BD3,BD3-BB3)</f>
        <v>328</v>
      </c>
      <c r="BF3" s="1815">
        <f>_xlfn.XLOOKUP($D3,'Sales Rec'!$E$4:$E$93,'Sales Rec'!$CH$4:$CH$93)</f>
        <v>426</v>
      </c>
      <c r="BG3" s="2048">
        <f t="shared" ref="BG3:BG31" si="7">IF(BD3&gt;BF3,BF3,BF3-BD3)</f>
        <v>426</v>
      </c>
      <c r="BH3" s="2050">
        <f>IFERROR((BG3-BE3)/BE3,"")</f>
        <v>0.29878048780487804</v>
      </c>
      <c r="BI3" s="1815">
        <f>_xlfn.XLOOKUP($D3,'Sales Rec'!$E$4:$E$93,'Sales Rec'!$CK$4:$CK$93)</f>
        <v>881</v>
      </c>
      <c r="BJ3" s="2048">
        <f t="shared" ref="BJ3:BJ31" si="8">IF(BF3&gt;BI3,BI3,BI3-BF3)</f>
        <v>455</v>
      </c>
      <c r="BK3" s="2050">
        <f>IFERROR((BJ3-BG3)/BG3,"")</f>
        <v>6.8075117370892016E-2</v>
      </c>
      <c r="BL3" s="1815">
        <f>_xlfn.XLOOKUP($D3,'Sales Rec'!$E$4:$E$93,'Sales Rec'!$CN$4:$CN$93)</f>
        <v>1221</v>
      </c>
      <c r="BM3" s="2048">
        <f t="shared" ref="BM3:BM31" si="9">IF(BI3&gt;BL3,BL3,BL3-BI3)</f>
        <v>340</v>
      </c>
      <c r="BN3" s="2050">
        <f>IFERROR((BM3-BJ3)/BJ3,"")</f>
        <v>-0.25274725274725274</v>
      </c>
      <c r="BO3" s="2069">
        <f>((BM3+BJ3+BG3)-(BE3+BC3+BA3))/(BE3+BC3+BA3)</f>
        <v>0.58571428571428574</v>
      </c>
      <c r="BP3" s="1575">
        <f>RANK(BO3,$BO$3:$BO$31, 0)</f>
        <v>6</v>
      </c>
    </row>
    <row r="4" spans="1:68" ht="100" customHeight="1">
      <c r="A4" s="2146">
        <v>2</v>
      </c>
      <c r="B4" s="2176">
        <f>_xlfn.XLOOKUP(D4,Cement!$Q$7:$Q$35,Cement!$A$7:$A$35,"")</f>
        <v>36.791772247933693</v>
      </c>
      <c r="C4" s="2164" t="str">
        <f>Cement!P8</f>
        <v>سيمان فارس نو</v>
      </c>
      <c r="D4" s="2164" t="str">
        <f>Cement!Q8</f>
        <v>سفانو</v>
      </c>
      <c r="E4" s="2165">
        <f>_xlfn.XLOOKUP(D4,Cement!$Q$7:$Q$35,Cement!$R$7:$R$35,"")</f>
        <v>12</v>
      </c>
      <c r="F4" s="2166">
        <f>_xlfn.XLOOKUP(D4,Cement!$Q$7:$Q$35,Cement!$AP$7:$AP$35,"")</f>
        <v>2268</v>
      </c>
      <c r="G4" s="2167">
        <v>4</v>
      </c>
      <c r="H4" s="2168">
        <f t="shared" si="0"/>
        <v>4</v>
      </c>
      <c r="I4" s="2147"/>
      <c r="J4" s="2148"/>
      <c r="K4" s="2149"/>
      <c r="L4" s="2150"/>
      <c r="M4" s="2147"/>
      <c r="N4" s="2148"/>
      <c r="O4" s="2149"/>
      <c r="P4" s="2151"/>
      <c r="Q4" s="2186">
        <f>BM4</f>
        <v>369</v>
      </c>
      <c r="R4" s="2187"/>
      <c r="S4" s="2188">
        <f>_xlfn.XLOOKUP(D4,'Sales Rec'!$E$4:$E$93,'Sales Rec'!$CP$4:$CP$93,"")</f>
        <v>0.85062240663900412</v>
      </c>
      <c r="T4" s="2152" t="s">
        <v>234</v>
      </c>
      <c r="U4" s="2152" t="s">
        <v>234</v>
      </c>
      <c r="AH4" s="1815">
        <f>_xlfn.XLOOKUP($D4,'Sales Rec'!$E$4:$E$93,'Sales Rec'!$AS$4:$AS$93)</f>
        <v>105</v>
      </c>
      <c r="AI4" s="2048">
        <f t="shared" ref="AI4:AI5" si="10">IF(AF4&gt;AH4,AH4,AH4-AF4)</f>
        <v>105</v>
      </c>
      <c r="AJ4" s="1815">
        <f>_xlfn.XLOOKUP($D4,'Sales Rec'!$E$4:$E$93,'Sales Rec'!$AV$4:$AV$93)</f>
        <v>238</v>
      </c>
      <c r="AK4" s="2048">
        <f t="shared" ref="AK4:AK5" si="11">IF(AH4&gt;AJ4,AJ4,AJ4-AH4)</f>
        <v>133</v>
      </c>
      <c r="AL4" s="1815">
        <f>_xlfn.XLOOKUP($D4,'Sales Rec'!$E$4:$E$93,'Sales Rec'!$AY$4:$AY$93)</f>
        <v>482</v>
      </c>
      <c r="AM4" s="2048">
        <f t="shared" ref="AM4:AM5" si="12">IF(AJ4&gt;AL4,AL4,AL4-AJ4)</f>
        <v>244</v>
      </c>
      <c r="AN4" s="1815">
        <f>_xlfn.XLOOKUP($D4,'Sales Rec'!$E$4:$E$93,'Sales Rec'!$BB$4:$BB$93)</f>
        <v>640</v>
      </c>
      <c r="AO4" s="2048">
        <f t="shared" ref="AO4:AO5" si="13">IF(AL4&gt;AN4,AN4,AN4-AL4)</f>
        <v>158</v>
      </c>
      <c r="AP4" s="1815">
        <f>_xlfn.XLOOKUP($D4,'Sales Rec'!$E$4:$E$93,'Sales Rec'!$BE$4:$BE$93)</f>
        <v>809</v>
      </c>
      <c r="AQ4" s="2048">
        <f t="shared" ref="AQ4:AQ5" si="14">IF(AN4&gt;AP4,AP4,AP4-AN4)</f>
        <v>169</v>
      </c>
      <c r="AR4" s="1815">
        <f>_xlfn.XLOOKUP(D4,'Sales Rec'!$E$4:$E$93,'Sales Rec'!$BH$4:$BH$93)</f>
        <v>988</v>
      </c>
      <c r="AS4" s="2048">
        <f t="shared" si="1"/>
        <v>179</v>
      </c>
      <c r="AT4" s="1815">
        <f>_xlfn.XLOOKUP(D4,'Sales Rec'!$E$4:$E$93,'Sales Rec'!$BK$4:$BK$93)</f>
        <v>1163</v>
      </c>
      <c r="AU4" s="2048">
        <f t="shared" si="1"/>
        <v>175</v>
      </c>
      <c r="AV4" s="1815">
        <f>_xlfn.XLOOKUP($D4,'Sales Rec'!$E$4:$E$93,'Sales Rec'!$BN$4:$BN$93)</f>
        <v>1375</v>
      </c>
      <c r="AW4" s="2048">
        <f t="shared" si="2"/>
        <v>212</v>
      </c>
      <c r="AX4" s="1815">
        <f>_xlfn.XLOOKUP($D4,'Sales Rec'!$E$4:$E$93,'Sales Rec'!$BQ$4:$BQ$93)</f>
        <v>1519</v>
      </c>
      <c r="AY4" s="2048">
        <f t="shared" si="3"/>
        <v>144</v>
      </c>
      <c r="AZ4" s="1815">
        <f>_xlfn.XLOOKUP($D4,'Sales Rec'!$E$4:$E$93,'Sales Rec'!$BT$4:$BT$93)</f>
        <v>1740</v>
      </c>
      <c r="BA4" s="2048">
        <f t="shared" si="4"/>
        <v>221</v>
      </c>
      <c r="BB4" s="1815">
        <f>_xlfn.XLOOKUP($D4,'Sales Rec'!$E$4:$E$93,'Sales Rec'!$BW$4:$BW$93)</f>
        <v>2079</v>
      </c>
      <c r="BC4" s="2048">
        <f t="shared" si="5"/>
        <v>339</v>
      </c>
      <c r="BD4" s="1815">
        <f>_xlfn.XLOOKUP($D4,'Sales Rec'!$E$4:$E$93,'Sales Rec'!$BZ$4:$BZ$93)</f>
        <v>2268</v>
      </c>
      <c r="BE4" s="2048">
        <f t="shared" si="6"/>
        <v>189</v>
      </c>
      <c r="BF4" s="1815">
        <f>_xlfn.XLOOKUP($D4,'Sales Rec'!$E$4:$E$93,'Sales Rec'!$CH$4:$CH$93)</f>
        <v>171</v>
      </c>
      <c r="BG4" s="2048">
        <f t="shared" si="7"/>
        <v>171</v>
      </c>
      <c r="BH4" s="2050">
        <f t="shared" ref="BH4:BH32" si="15">IFERROR((BG4-BE4)/BE4,"")</f>
        <v>-9.5238095238095233E-2</v>
      </c>
      <c r="BI4" s="1815">
        <f>_xlfn.XLOOKUP($D4,'Sales Rec'!$E$4:$E$93,'Sales Rec'!$CK$4:$CK$93)</f>
        <v>523</v>
      </c>
      <c r="BJ4" s="2048">
        <f t="shared" si="8"/>
        <v>352</v>
      </c>
      <c r="BK4" s="2050">
        <f t="shared" ref="BK4:BK32" si="16">IFERROR((BJ4-BG4)/BG4,"")</f>
        <v>1.0584795321637428</v>
      </c>
      <c r="BL4" s="1815">
        <f>_xlfn.XLOOKUP($D4,'Sales Rec'!$E$4:$E$93,'Sales Rec'!$CN$4:$CN$93)</f>
        <v>892</v>
      </c>
      <c r="BM4" s="2048">
        <f t="shared" si="9"/>
        <v>369</v>
      </c>
      <c r="BN4" s="2050">
        <f t="shared" ref="BN4:BN68" si="17">IFERROR((BM4-BJ4)/BJ4,"")</f>
        <v>4.8295454545454544E-2</v>
      </c>
      <c r="BO4" s="2069">
        <f t="shared" ref="BO4:BO31" si="18">((BM4+BJ4+BG4)-(BE4+BC4+BA4))/(BE4+BC4+BA4)</f>
        <v>0.19092122830440589</v>
      </c>
      <c r="BP4" s="1575">
        <f t="shared" ref="BP4:BP31" si="19">RANK(BO4,$BO$3:$BO$31, 0)</f>
        <v>24</v>
      </c>
    </row>
    <row r="5" spans="1:68" ht="100" customHeight="1">
      <c r="A5" s="2146">
        <v>3</v>
      </c>
      <c r="B5" s="2176">
        <f>_xlfn.XLOOKUP(D5,Cement!$Q$7:$Q$35,Cement!$A$7:$A$35,"")</f>
        <v>35.869705787560406</v>
      </c>
      <c r="C5" s="2164" t="str">
        <f>Cement!P9</f>
        <v>سيمان‌ بهبهان‌</v>
      </c>
      <c r="D5" s="2164" t="str">
        <f>Cement!Q9</f>
        <v>سبهان</v>
      </c>
      <c r="E5" s="2165">
        <f>_xlfn.XLOOKUP(D5,Cement!$Q$7:$Q$35,Cement!$R$7:$R$35,"")</f>
        <v>12</v>
      </c>
      <c r="F5" s="2166">
        <f>_xlfn.XLOOKUP(D5,Cement!$Q$7:$Q$35,Cement!$AP$7:$AP$35,"")</f>
        <v>1870</v>
      </c>
      <c r="G5" s="2167">
        <v>4</v>
      </c>
      <c r="H5" s="2168">
        <f t="shared" si="0"/>
        <v>4</v>
      </c>
      <c r="I5" s="2147"/>
      <c r="J5" s="2148"/>
      <c r="K5" s="2149"/>
      <c r="L5" s="2150"/>
      <c r="M5" s="2147"/>
      <c r="N5" s="2148"/>
      <c r="O5" s="2149"/>
      <c r="P5" s="2151"/>
      <c r="Q5" s="2186">
        <f>BM5</f>
        <v>260</v>
      </c>
      <c r="R5" s="2187"/>
      <c r="S5" s="2188">
        <f>_xlfn.XLOOKUP(D5,'Sales Rec'!$E$4:$E$93,'Sales Rec'!$CP$4:$CP$93,"")</f>
        <v>0.66075949367088604</v>
      </c>
      <c r="T5" s="2152" t="s">
        <v>234</v>
      </c>
      <c r="U5" s="2152" t="s">
        <v>234</v>
      </c>
      <c r="AH5" s="1815">
        <f>_xlfn.XLOOKUP($D5,'Sales Rec'!$E$4:$E$93,'Sales Rec'!$AS$4:$AS$93)</f>
        <v>117</v>
      </c>
      <c r="AI5" s="2048">
        <f t="shared" si="10"/>
        <v>117</v>
      </c>
      <c r="AJ5" s="1815">
        <f>_xlfn.XLOOKUP($D5,'Sales Rec'!$E$4:$E$93,'Sales Rec'!$AV$4:$AV$93)</f>
        <v>259</v>
      </c>
      <c r="AK5" s="2048">
        <f t="shared" si="11"/>
        <v>142</v>
      </c>
      <c r="AL5" s="1815">
        <f>_xlfn.XLOOKUP($D5,'Sales Rec'!$E$4:$E$93,'Sales Rec'!$AY$4:$AY$93)</f>
        <v>395</v>
      </c>
      <c r="AM5" s="2048">
        <f t="shared" si="12"/>
        <v>136</v>
      </c>
      <c r="AN5" s="1815">
        <f>_xlfn.XLOOKUP($D5,'Sales Rec'!$E$4:$E$93,'Sales Rec'!$BB$4:$BB$93)</f>
        <v>494</v>
      </c>
      <c r="AO5" s="2048">
        <f t="shared" si="13"/>
        <v>99</v>
      </c>
      <c r="AP5" s="1815">
        <f>_xlfn.XLOOKUP($D5,'Sales Rec'!$E$4:$E$93,'Sales Rec'!$BE$4:$BE$93)</f>
        <v>599</v>
      </c>
      <c r="AQ5" s="2048">
        <f t="shared" si="14"/>
        <v>105</v>
      </c>
      <c r="AR5" s="1815">
        <f>_xlfn.XLOOKUP(D5,'Sales Rec'!$E$4:$E$93,'Sales Rec'!$BH$4:$BH$93)</f>
        <v>810</v>
      </c>
      <c r="AS5" s="2048">
        <f t="shared" si="1"/>
        <v>211</v>
      </c>
      <c r="AT5" s="1815">
        <f>_xlfn.XLOOKUP(D5,'Sales Rec'!$E$4:$E$93,'Sales Rec'!$BK$4:$BK$93)</f>
        <v>974</v>
      </c>
      <c r="AU5" s="2048">
        <f t="shared" si="1"/>
        <v>164</v>
      </c>
      <c r="AV5" s="1815">
        <f>_xlfn.XLOOKUP($D5,'Sales Rec'!$E$4:$E$93,'Sales Rec'!$BN$4:$BN$93)</f>
        <v>1144</v>
      </c>
      <c r="AW5" s="2048">
        <f t="shared" si="2"/>
        <v>170</v>
      </c>
      <c r="AX5" s="1815">
        <f>_xlfn.XLOOKUP($D5,'Sales Rec'!$E$4:$E$93,'Sales Rec'!$BQ$4:$BQ$93)</f>
        <v>1333</v>
      </c>
      <c r="AY5" s="2048">
        <f t="shared" si="3"/>
        <v>189</v>
      </c>
      <c r="AZ5" s="1815">
        <f>_xlfn.XLOOKUP($D5,'Sales Rec'!$E$4:$E$93,'Sales Rec'!$BT$4:$BT$93)</f>
        <v>1483</v>
      </c>
      <c r="BA5" s="2048">
        <f t="shared" si="4"/>
        <v>150</v>
      </c>
      <c r="BB5" s="1815">
        <f>_xlfn.XLOOKUP($D5,'Sales Rec'!$E$4:$E$93,'Sales Rec'!$BW$4:$BW$93)</f>
        <v>1672</v>
      </c>
      <c r="BC5" s="2048">
        <f t="shared" si="5"/>
        <v>189</v>
      </c>
      <c r="BD5" s="1815">
        <f>_xlfn.XLOOKUP($D5,'Sales Rec'!$E$4:$E$93,'Sales Rec'!$BZ$4:$BZ$93)</f>
        <v>1844</v>
      </c>
      <c r="BE5" s="2048">
        <f t="shared" si="6"/>
        <v>172</v>
      </c>
      <c r="BF5" s="1815">
        <f>_xlfn.XLOOKUP($D5,'Sales Rec'!$E$4:$E$93,'Sales Rec'!$CH$4:$CH$93)</f>
        <v>143</v>
      </c>
      <c r="BG5" s="2048">
        <f t="shared" si="7"/>
        <v>143</v>
      </c>
      <c r="BH5" s="2050">
        <f t="shared" si="15"/>
        <v>-0.16860465116279069</v>
      </c>
      <c r="BI5" s="1815">
        <f>_xlfn.XLOOKUP($D5,'Sales Rec'!$E$4:$E$93,'Sales Rec'!$CK$4:$CK$93)</f>
        <v>396</v>
      </c>
      <c r="BJ5" s="2048">
        <f t="shared" si="8"/>
        <v>253</v>
      </c>
      <c r="BK5" s="2050">
        <f t="shared" si="16"/>
        <v>0.76923076923076927</v>
      </c>
      <c r="BL5" s="1815">
        <f>_xlfn.XLOOKUP($D5,'Sales Rec'!$E$4:$E$93,'Sales Rec'!$CN$4:$CN$93)</f>
        <v>656</v>
      </c>
      <c r="BM5" s="2048">
        <f t="shared" si="9"/>
        <v>260</v>
      </c>
      <c r="BN5" s="2050">
        <f t="shared" si="17"/>
        <v>2.766798418972332E-2</v>
      </c>
      <c r="BO5" s="2069">
        <f t="shared" si="18"/>
        <v>0.28375733855185908</v>
      </c>
      <c r="BP5" s="1575">
        <f t="shared" si="19"/>
        <v>21</v>
      </c>
    </row>
    <row r="6" spans="1:68" ht="100" customHeight="1">
      <c r="A6" s="2146">
        <v>4</v>
      </c>
      <c r="B6" s="2176">
        <f>_xlfn.XLOOKUP(D6,Cement!$Q$7:$Q$35,Cement!$A$7:$A$35,"")</f>
        <v>36.336966923937055</v>
      </c>
      <c r="C6" s="2164" t="str">
        <f>Cement!P10</f>
        <v>سيمان‌ داراب‌</v>
      </c>
      <c r="D6" s="2164" t="str">
        <f>Cement!Q10</f>
        <v>ساراب</v>
      </c>
      <c r="E6" s="2165">
        <f>_xlfn.XLOOKUP(D6,Cement!$Q$7:$Q$35,Cement!$R$7:$R$35,"")</f>
        <v>12</v>
      </c>
      <c r="F6" s="2166">
        <f>_xlfn.XLOOKUP(D6,Cement!$Q$7:$Q$35,Cement!$AP$7:$AP$35,"")</f>
        <v>1751</v>
      </c>
      <c r="G6" s="2167">
        <v>4</v>
      </c>
      <c r="H6" s="2168">
        <f t="shared" si="0"/>
        <v>4</v>
      </c>
      <c r="I6" s="2147"/>
      <c r="J6" s="2148"/>
      <c r="K6" s="2149"/>
      <c r="L6" s="2150"/>
      <c r="M6" s="2147"/>
      <c r="N6" s="2148"/>
      <c r="O6" s="2149"/>
      <c r="P6" s="2151"/>
      <c r="Q6" s="2186">
        <f t="shared" ref="Q6:Q31" si="20">BM6</f>
        <v>324</v>
      </c>
      <c r="R6" s="2187"/>
      <c r="S6" s="2188">
        <f>_xlfn.XLOOKUP(D6,'Sales Rec'!$E$4:$E$93,'Sales Rec'!$CP$4:$CP$93,"")</f>
        <v>0.68470588235294116</v>
      </c>
      <c r="T6" s="2152" t="s">
        <v>234</v>
      </c>
      <c r="U6" s="2152" t="s">
        <v>234</v>
      </c>
      <c r="AH6" s="1815">
        <f>_xlfn.XLOOKUP($D6,'Sales Rec'!$E$4:$E$93,'Sales Rec'!$AS$4:$AS$93)</f>
        <v>109</v>
      </c>
      <c r="AI6" s="2048">
        <f t="shared" ref="AI6:AI69" si="21">IF(AF6&gt;AH6,AH6,AH6-AF6)</f>
        <v>109</v>
      </c>
      <c r="AJ6" s="1815">
        <f>_xlfn.XLOOKUP($D6,'Sales Rec'!$E$4:$E$93,'Sales Rec'!$AV$4:$AV$93)</f>
        <v>293</v>
      </c>
      <c r="AK6" s="2048">
        <f t="shared" ref="AK6:AK69" si="22">IF(AH6&gt;AJ6,AJ6,AJ6-AH6)</f>
        <v>184</v>
      </c>
      <c r="AL6" s="1815">
        <f>_xlfn.XLOOKUP($D6,'Sales Rec'!$E$4:$E$93,'Sales Rec'!$AY$4:$AY$93)</f>
        <v>425</v>
      </c>
      <c r="AM6" s="2048">
        <f t="shared" ref="AM6:AM69" si="23">IF(AJ6&gt;AL6,AL6,AL6-AJ6)</f>
        <v>132</v>
      </c>
      <c r="AN6" s="1815">
        <f>_xlfn.XLOOKUP($D6,'Sales Rec'!$E$4:$E$93,'Sales Rec'!$BB$4:$BB$93)</f>
        <v>560</v>
      </c>
      <c r="AO6" s="2048">
        <f t="shared" ref="AO6:AO69" si="24">IF(AL6&gt;AN6,AN6,AN6-AL6)</f>
        <v>135</v>
      </c>
      <c r="AP6" s="1815">
        <f>_xlfn.XLOOKUP($D6,'Sales Rec'!$E$4:$E$93,'Sales Rec'!$BE$4:$BE$93)</f>
        <v>673</v>
      </c>
      <c r="AQ6" s="2048">
        <f t="shared" ref="AQ6:AQ69" si="25">IF(AN6&gt;AP6,AP6,AP6-AN6)</f>
        <v>113</v>
      </c>
      <c r="AR6" s="1815">
        <f>_xlfn.XLOOKUP(D6,'Sales Rec'!$E$4:$E$93,'Sales Rec'!$BH$4:$BH$93)</f>
        <v>796</v>
      </c>
      <c r="AS6" s="2048">
        <f t="shared" si="1"/>
        <v>123</v>
      </c>
      <c r="AT6" s="1815">
        <f>_xlfn.XLOOKUP(D6,'Sales Rec'!$E$4:$E$93,'Sales Rec'!$BK$4:$BK$93)</f>
        <v>925</v>
      </c>
      <c r="AU6" s="2048">
        <f t="shared" si="1"/>
        <v>129</v>
      </c>
      <c r="AV6" s="1815">
        <f>_xlfn.XLOOKUP($D6,'Sales Rec'!$E$4:$E$93,'Sales Rec'!$BN$4:$BN$93)</f>
        <v>1047</v>
      </c>
      <c r="AW6" s="2048">
        <f t="shared" si="2"/>
        <v>122</v>
      </c>
      <c r="AX6" s="1815">
        <f>_xlfn.XLOOKUP($D6,'Sales Rec'!$E$4:$E$93,'Sales Rec'!$BQ$4:$BQ$93)</f>
        <v>1176</v>
      </c>
      <c r="AY6" s="2048">
        <f t="shared" si="3"/>
        <v>129</v>
      </c>
      <c r="AZ6" s="1815">
        <f>_xlfn.XLOOKUP($D6,'Sales Rec'!$E$4:$E$93,'Sales Rec'!$BT$4:$BT$93)</f>
        <v>1359</v>
      </c>
      <c r="BA6" s="2048">
        <f t="shared" si="4"/>
        <v>183</v>
      </c>
      <c r="BB6" s="1815">
        <f>_xlfn.XLOOKUP($D6,'Sales Rec'!$E$4:$E$93,'Sales Rec'!$BW$4:$BW$93)</f>
        <v>1593</v>
      </c>
      <c r="BC6" s="2048">
        <f t="shared" si="5"/>
        <v>234</v>
      </c>
      <c r="BD6" s="1815">
        <f>_xlfn.XLOOKUP($D6,'Sales Rec'!$E$4:$E$93,'Sales Rec'!$BZ$4:$BZ$93)</f>
        <v>1751</v>
      </c>
      <c r="BE6" s="2048">
        <f t="shared" si="6"/>
        <v>158</v>
      </c>
      <c r="BF6" s="1815">
        <f>_xlfn.XLOOKUP($D6,'Sales Rec'!$E$4:$E$93,'Sales Rec'!$CH$4:$CH$93)</f>
        <v>138</v>
      </c>
      <c r="BG6" s="2048">
        <f t="shared" si="7"/>
        <v>138</v>
      </c>
      <c r="BH6" s="2050">
        <f t="shared" si="15"/>
        <v>-0.12658227848101267</v>
      </c>
      <c r="BI6" s="1815">
        <f>_xlfn.XLOOKUP($D6,'Sales Rec'!$E$4:$E$93,'Sales Rec'!$CK$4:$CK$93)</f>
        <v>392</v>
      </c>
      <c r="BJ6" s="2048">
        <f t="shared" si="8"/>
        <v>254</v>
      </c>
      <c r="BK6" s="2050">
        <f t="shared" si="16"/>
        <v>0.84057971014492749</v>
      </c>
      <c r="BL6" s="1815">
        <f>_xlfn.XLOOKUP($D6,'Sales Rec'!$E$4:$E$93,'Sales Rec'!$CN$4:$CN$93)</f>
        <v>716</v>
      </c>
      <c r="BM6" s="2048">
        <f t="shared" si="9"/>
        <v>324</v>
      </c>
      <c r="BN6" s="2050">
        <f t="shared" si="17"/>
        <v>0.27559055118110237</v>
      </c>
      <c r="BO6" s="2069">
        <f t="shared" si="18"/>
        <v>0.24521739130434783</v>
      </c>
      <c r="BP6" s="1575">
        <f t="shared" si="19"/>
        <v>22</v>
      </c>
    </row>
    <row r="7" spans="1:68" ht="100" customHeight="1">
      <c r="A7" s="2146">
        <v>5</v>
      </c>
      <c r="B7" s="2176">
        <f>_xlfn.XLOOKUP(D7,Cement!$Q$7:$Q$35,Cement!$A$7:$A$35,"")</f>
        <v>26.677279402578577</v>
      </c>
      <c r="C7" s="2164" t="str">
        <f>Cement!P11</f>
        <v>سيمان‌ قائن‌</v>
      </c>
      <c r="D7" s="2164" t="str">
        <f>Cement!Q11</f>
        <v>سقاين</v>
      </c>
      <c r="E7" s="2165">
        <f>_xlfn.XLOOKUP(D7,Cement!$Q$7:$Q$35,Cement!$R$7:$R$35,"")</f>
        <v>12</v>
      </c>
      <c r="F7" s="2166">
        <f>_xlfn.XLOOKUP(D7,Cement!$Q$7:$Q$35,Cement!$AP$7:$AP$35,"")</f>
        <v>1524</v>
      </c>
      <c r="G7" s="2167">
        <v>4</v>
      </c>
      <c r="H7" s="2168">
        <f t="shared" si="0"/>
        <v>4</v>
      </c>
      <c r="I7" s="2147"/>
      <c r="J7" s="2148"/>
      <c r="K7" s="2149"/>
      <c r="L7" s="2150"/>
      <c r="M7" s="2147"/>
      <c r="N7" s="2148"/>
      <c r="O7" s="2149"/>
      <c r="P7" s="2151"/>
      <c r="Q7" s="2186">
        <f t="shared" si="20"/>
        <v>225</v>
      </c>
      <c r="R7" s="2187"/>
      <c r="S7" s="2188">
        <f>_xlfn.XLOOKUP(D7,'Sales Rec'!$E$4:$E$93,'Sales Rec'!$CP$4:$CP$93,"")</f>
        <v>1.0250896057347669</v>
      </c>
      <c r="T7" s="2152" t="s">
        <v>234</v>
      </c>
      <c r="U7" s="2152" t="s">
        <v>234</v>
      </c>
      <c r="AH7" s="1815">
        <f>_xlfn.XLOOKUP($D7,'Sales Rec'!$E$4:$E$93,'Sales Rec'!$AS$4:$AS$93)</f>
        <v>72</v>
      </c>
      <c r="AI7" s="2048">
        <f t="shared" si="21"/>
        <v>72</v>
      </c>
      <c r="AJ7" s="1815">
        <f>_xlfn.XLOOKUP($D7,'Sales Rec'!$E$4:$E$93,'Sales Rec'!$AV$4:$AV$93)</f>
        <v>190</v>
      </c>
      <c r="AK7" s="2048">
        <f t="shared" si="22"/>
        <v>118</v>
      </c>
      <c r="AL7" s="1815">
        <f>_xlfn.XLOOKUP($D7,'Sales Rec'!$E$4:$E$93,'Sales Rec'!$AY$4:$AY$93)</f>
        <v>279</v>
      </c>
      <c r="AM7" s="2048">
        <f t="shared" si="23"/>
        <v>89</v>
      </c>
      <c r="AN7" s="1815">
        <f>_xlfn.XLOOKUP($D7,'Sales Rec'!$E$4:$E$93,'Sales Rec'!$BB$4:$BB$93)</f>
        <v>370</v>
      </c>
      <c r="AO7" s="2048">
        <f t="shared" si="24"/>
        <v>91</v>
      </c>
      <c r="AP7" s="1815">
        <f>_xlfn.XLOOKUP($D7,'Sales Rec'!$E$4:$E$93,'Sales Rec'!$BE$4:$BE$93)</f>
        <v>505</v>
      </c>
      <c r="AQ7" s="2048">
        <f t="shared" si="25"/>
        <v>135</v>
      </c>
      <c r="AR7" s="1815">
        <f>_xlfn.XLOOKUP(D7,'Sales Rec'!$E$4:$E$93,'Sales Rec'!$BH$4:$BH$93)</f>
        <v>650</v>
      </c>
      <c r="AS7" s="2048">
        <f t="shared" si="1"/>
        <v>145</v>
      </c>
      <c r="AT7" s="1815">
        <f>_xlfn.XLOOKUP(D7,'Sales Rec'!$E$4:$E$93,'Sales Rec'!$BK$4:$BK$93)</f>
        <v>804</v>
      </c>
      <c r="AU7" s="2048">
        <f t="shared" si="1"/>
        <v>154</v>
      </c>
      <c r="AV7" s="1815">
        <f>_xlfn.XLOOKUP($D7,'Sales Rec'!$E$4:$E$93,'Sales Rec'!$BN$4:$BN$93)</f>
        <v>986</v>
      </c>
      <c r="AW7" s="2048">
        <f t="shared" si="2"/>
        <v>182</v>
      </c>
      <c r="AX7" s="1815">
        <f>_xlfn.XLOOKUP($D7,'Sales Rec'!$E$4:$E$93,'Sales Rec'!$BQ$4:$BQ$93)</f>
        <v>1125</v>
      </c>
      <c r="AY7" s="2048">
        <f t="shared" si="3"/>
        <v>139</v>
      </c>
      <c r="AZ7" s="1815">
        <f>_xlfn.XLOOKUP($D7,'Sales Rec'!$E$4:$E$93,'Sales Rec'!$BT$4:$BT$93)</f>
        <v>1251</v>
      </c>
      <c r="BA7" s="2048">
        <f t="shared" si="4"/>
        <v>126</v>
      </c>
      <c r="BB7" s="1815">
        <f>_xlfn.XLOOKUP($D7,'Sales Rec'!$E$4:$E$93,'Sales Rec'!$BW$4:$BW$93)</f>
        <v>1391</v>
      </c>
      <c r="BC7" s="2048">
        <f t="shared" si="5"/>
        <v>140</v>
      </c>
      <c r="BD7" s="1815">
        <f>_xlfn.XLOOKUP($D7,'Sales Rec'!$E$4:$E$93,'Sales Rec'!$BZ$4:$BZ$93)</f>
        <v>1524</v>
      </c>
      <c r="BE7" s="2048">
        <f t="shared" si="6"/>
        <v>133</v>
      </c>
      <c r="BF7" s="1815">
        <f>_xlfn.XLOOKUP($D7,'Sales Rec'!$E$4:$E$93,'Sales Rec'!$CH$4:$CH$93)</f>
        <v>134</v>
      </c>
      <c r="BG7" s="2048">
        <f t="shared" si="7"/>
        <v>134</v>
      </c>
      <c r="BH7" s="2050">
        <f t="shared" si="15"/>
        <v>7.5187969924812026E-3</v>
      </c>
      <c r="BI7" s="1815">
        <f>_xlfn.XLOOKUP($D7,'Sales Rec'!$E$4:$E$93,'Sales Rec'!$CK$4:$CK$93)</f>
        <v>340</v>
      </c>
      <c r="BJ7" s="2048">
        <f t="shared" si="8"/>
        <v>206</v>
      </c>
      <c r="BK7" s="2050">
        <f t="shared" si="16"/>
        <v>0.53731343283582089</v>
      </c>
      <c r="BL7" s="1815">
        <f>_xlfn.XLOOKUP($D7,'Sales Rec'!$E$4:$E$93,'Sales Rec'!$CN$4:$CN$93)</f>
        <v>565</v>
      </c>
      <c r="BM7" s="2048">
        <f t="shared" si="9"/>
        <v>225</v>
      </c>
      <c r="BN7" s="2050">
        <f t="shared" si="17"/>
        <v>9.2233009708737865E-2</v>
      </c>
      <c r="BO7" s="2069">
        <f t="shared" si="18"/>
        <v>0.41604010025062654</v>
      </c>
      <c r="BP7" s="1575">
        <f t="shared" si="19"/>
        <v>13</v>
      </c>
    </row>
    <row r="8" spans="1:68" ht="100" customHeight="1">
      <c r="A8" s="2146">
        <v>6</v>
      </c>
      <c r="B8" s="2176">
        <f>_xlfn.XLOOKUP(D8,Cement!$Q$7:$Q$35,Cement!$A$7:$A$35,"")</f>
        <v>25.396087084183005</v>
      </c>
      <c r="C8" s="2164" t="str">
        <f>Cement!P12</f>
        <v>سيمان‌ شاهرود</v>
      </c>
      <c r="D8" s="2164" t="str">
        <f>Cement!Q12</f>
        <v>سرود</v>
      </c>
      <c r="E8" s="2165">
        <f>_xlfn.XLOOKUP(D8,Cement!$Q$7:$Q$35,Cement!$R$7:$R$35,"")</f>
        <v>12</v>
      </c>
      <c r="F8" s="2166">
        <f>_xlfn.XLOOKUP(D8,Cement!$Q$7:$Q$35,Cement!$AP$7:$AP$35,"")</f>
        <v>4210</v>
      </c>
      <c r="G8" s="2167">
        <v>4</v>
      </c>
      <c r="H8" s="2168">
        <f t="shared" si="0"/>
        <v>4</v>
      </c>
      <c r="I8" s="2147"/>
      <c r="J8" s="2148"/>
      <c r="K8" s="2149"/>
      <c r="L8" s="2150"/>
      <c r="M8" s="2147"/>
      <c r="N8" s="2148"/>
      <c r="O8" s="2149"/>
      <c r="P8" s="2151"/>
      <c r="Q8" s="2186">
        <f t="shared" si="20"/>
        <v>654</v>
      </c>
      <c r="R8" s="2187"/>
      <c r="S8" s="2188">
        <f>_xlfn.XLOOKUP(D8,'Sales Rec'!$E$4:$E$93,'Sales Rec'!$CP$4:$CP$93,"")</f>
        <v>1.1646341463414633</v>
      </c>
      <c r="T8" s="2152" t="s">
        <v>234</v>
      </c>
      <c r="U8" s="2152" t="s">
        <v>234</v>
      </c>
      <c r="AH8" s="1815">
        <f>_xlfn.XLOOKUP($D8,'Sales Rec'!$E$4:$E$93,'Sales Rec'!$AS$4:$AS$93)</f>
        <v>244</v>
      </c>
      <c r="AI8" s="2048">
        <f t="shared" si="21"/>
        <v>244</v>
      </c>
      <c r="AJ8" s="1815">
        <f>_xlfn.XLOOKUP($D8,'Sales Rec'!$E$4:$E$93,'Sales Rec'!$AV$4:$AV$93)</f>
        <v>590</v>
      </c>
      <c r="AK8" s="2048">
        <f t="shared" si="22"/>
        <v>346</v>
      </c>
      <c r="AL8" s="1815">
        <f>_xlfn.XLOOKUP($D8,'Sales Rec'!$E$4:$E$93,'Sales Rec'!$AY$4:$AY$93)</f>
        <v>984</v>
      </c>
      <c r="AM8" s="2048">
        <f t="shared" si="23"/>
        <v>394</v>
      </c>
      <c r="AN8" s="1815">
        <f>_xlfn.XLOOKUP($D8,'Sales Rec'!$E$4:$E$93,'Sales Rec'!$BB$4:$BB$93)</f>
        <v>1398</v>
      </c>
      <c r="AO8" s="2048">
        <f t="shared" si="24"/>
        <v>414</v>
      </c>
      <c r="AP8" s="1815">
        <f>_xlfn.XLOOKUP($D8,'Sales Rec'!$E$4:$E$93,'Sales Rec'!$BE$4:$BE$93)</f>
        <v>1707</v>
      </c>
      <c r="AQ8" s="2048">
        <f t="shared" si="25"/>
        <v>309</v>
      </c>
      <c r="AR8" s="1815">
        <f>_xlfn.XLOOKUP(D8,'Sales Rec'!$E$4:$E$93,'Sales Rec'!$BH$4:$BH$93)</f>
        <v>2102</v>
      </c>
      <c r="AS8" s="2048">
        <f t="shared" si="1"/>
        <v>395</v>
      </c>
      <c r="AT8" s="1815">
        <f>_xlfn.XLOOKUP(D8,'Sales Rec'!$E$4:$E$93,'Sales Rec'!$BK$4:$BK$93)</f>
        <v>2425</v>
      </c>
      <c r="AU8" s="2048">
        <f t="shared" si="1"/>
        <v>323</v>
      </c>
      <c r="AV8" s="1815">
        <f>_xlfn.XLOOKUP($D8,'Sales Rec'!$E$4:$E$93,'Sales Rec'!$BN$4:$BN$93)</f>
        <v>2765</v>
      </c>
      <c r="AW8" s="2048">
        <f t="shared" si="2"/>
        <v>340</v>
      </c>
      <c r="AX8" s="1815">
        <f>_xlfn.XLOOKUP($D8,'Sales Rec'!$E$4:$E$93,'Sales Rec'!$BQ$4:$BQ$93)</f>
        <v>3173</v>
      </c>
      <c r="AY8" s="2048">
        <f t="shared" si="3"/>
        <v>408</v>
      </c>
      <c r="AZ8" s="1815">
        <f>_xlfn.XLOOKUP($D8,'Sales Rec'!$E$4:$E$93,'Sales Rec'!$BT$4:$BT$93)</f>
        <v>3482</v>
      </c>
      <c r="BA8" s="2048">
        <f t="shared" si="4"/>
        <v>309</v>
      </c>
      <c r="BB8" s="1815">
        <f>_xlfn.XLOOKUP($D8,'Sales Rec'!$E$4:$E$93,'Sales Rec'!$BW$4:$BW$93)</f>
        <v>3808</v>
      </c>
      <c r="BC8" s="2048">
        <f t="shared" si="5"/>
        <v>326</v>
      </c>
      <c r="BD8" s="1815">
        <f>_xlfn.XLOOKUP($D8,'Sales Rec'!$E$4:$E$93,'Sales Rec'!$BZ$4:$BZ$93)</f>
        <v>4210</v>
      </c>
      <c r="BE8" s="2048">
        <f t="shared" si="6"/>
        <v>402</v>
      </c>
      <c r="BF8" s="1815">
        <f>_xlfn.XLOOKUP($D8,'Sales Rec'!$E$4:$E$93,'Sales Rec'!$CH$4:$CH$93)</f>
        <v>583</v>
      </c>
      <c r="BG8" s="2048">
        <f t="shared" si="7"/>
        <v>583</v>
      </c>
      <c r="BH8" s="2050">
        <f t="shared" si="15"/>
        <v>0.45024875621890548</v>
      </c>
      <c r="BI8" s="1815">
        <f>_xlfn.XLOOKUP($D8,'Sales Rec'!$E$4:$E$93,'Sales Rec'!$CK$4:$CK$93)</f>
        <v>1476</v>
      </c>
      <c r="BJ8" s="2048">
        <f t="shared" si="8"/>
        <v>893</v>
      </c>
      <c r="BK8" s="2050">
        <f t="shared" si="16"/>
        <v>0.53173241852487141</v>
      </c>
      <c r="BL8" s="1815">
        <f>_xlfn.XLOOKUP($D8,'Sales Rec'!$E$4:$E$93,'Sales Rec'!$CN$4:$CN$93)</f>
        <v>2130</v>
      </c>
      <c r="BM8" s="2048">
        <f t="shared" si="9"/>
        <v>654</v>
      </c>
      <c r="BN8" s="2050">
        <f t="shared" si="17"/>
        <v>-0.26763717805151177</v>
      </c>
      <c r="BO8" s="2069">
        <f t="shared" si="18"/>
        <v>1.0540019286403086</v>
      </c>
      <c r="BP8" s="1575">
        <f t="shared" si="19"/>
        <v>4</v>
      </c>
    </row>
    <row r="9" spans="1:68" ht="100" customHeight="1">
      <c r="A9" s="2146">
        <v>7</v>
      </c>
      <c r="B9" s="2176">
        <f>_xlfn.XLOOKUP(D9,Cement!$Q$7:$Q$35,Cement!$A$7:$A$35,"")</f>
        <v>24.771966889234456</v>
      </c>
      <c r="C9" s="2164" t="str">
        <f>Cement!P13</f>
        <v>سيمان‌ بجنورد</v>
      </c>
      <c r="D9" s="2164" t="str">
        <f>Cement!Q13</f>
        <v>سبجنو</v>
      </c>
      <c r="E9" s="2165">
        <f>_xlfn.XLOOKUP(D9,Cement!$Q$7:$Q$35,Cement!$R$7:$R$35,"")</f>
        <v>12</v>
      </c>
      <c r="F9" s="2166">
        <f>_xlfn.XLOOKUP(D9,Cement!$Q$7:$Q$35,Cement!$AP$7:$AP$35,"")</f>
        <v>3291</v>
      </c>
      <c r="G9" s="2167">
        <v>4</v>
      </c>
      <c r="H9" s="2168">
        <f t="shared" si="0"/>
        <v>4</v>
      </c>
      <c r="I9" s="2147"/>
      <c r="J9" s="2148"/>
      <c r="K9" s="2149"/>
      <c r="L9" s="2150"/>
      <c r="M9" s="2147"/>
      <c r="N9" s="2148"/>
      <c r="O9" s="2149"/>
      <c r="P9" s="2151"/>
      <c r="Q9" s="2186">
        <f t="shared" si="20"/>
        <v>364</v>
      </c>
      <c r="R9" s="2187"/>
      <c r="S9" s="2188">
        <f>_xlfn.XLOOKUP(D9,'Sales Rec'!$E$4:$E$93,'Sales Rec'!$CP$4:$CP$93,"")</f>
        <v>0.53692307692307695</v>
      </c>
      <c r="T9" s="2152" t="s">
        <v>234</v>
      </c>
      <c r="U9" s="2152" t="s">
        <v>234</v>
      </c>
      <c r="AH9" s="1815">
        <f>_xlfn.XLOOKUP($D9,'Sales Rec'!$E$4:$E$93,'Sales Rec'!$AS$4:$AS$93)</f>
        <v>138</v>
      </c>
      <c r="AI9" s="2048">
        <f t="shared" si="21"/>
        <v>138</v>
      </c>
      <c r="AJ9" s="1815">
        <f>_xlfn.XLOOKUP($D9,'Sales Rec'!$E$4:$E$93,'Sales Rec'!$AV$4:$AV$93)</f>
        <v>366</v>
      </c>
      <c r="AK9" s="2048">
        <f t="shared" si="22"/>
        <v>228</v>
      </c>
      <c r="AL9" s="1815">
        <f>_xlfn.XLOOKUP($D9,'Sales Rec'!$E$4:$E$93,'Sales Rec'!$AY$4:$AY$93)</f>
        <v>650</v>
      </c>
      <c r="AM9" s="2048">
        <f t="shared" si="23"/>
        <v>284</v>
      </c>
      <c r="AN9" s="1815">
        <f>_xlfn.XLOOKUP($D9,'Sales Rec'!$E$4:$E$93,'Sales Rec'!$BB$4:$BB$93)</f>
        <v>973</v>
      </c>
      <c r="AO9" s="2048">
        <f t="shared" si="24"/>
        <v>323</v>
      </c>
      <c r="AP9" s="1815">
        <f>_xlfn.XLOOKUP($D9,'Sales Rec'!$E$4:$E$93,'Sales Rec'!$BE$4:$BE$93)</f>
        <v>1331</v>
      </c>
      <c r="AQ9" s="2048">
        <f t="shared" si="25"/>
        <v>358</v>
      </c>
      <c r="AR9" s="1815">
        <f>_xlfn.XLOOKUP(D9,'Sales Rec'!$E$4:$E$93,'Sales Rec'!$BH$4:$BH$93)</f>
        <v>1670</v>
      </c>
      <c r="AS9" s="2048">
        <f t="shared" si="1"/>
        <v>339</v>
      </c>
      <c r="AT9" s="1815">
        <f>_xlfn.XLOOKUP(D9,'Sales Rec'!$E$4:$E$93,'Sales Rec'!$BK$4:$BK$93)</f>
        <v>1961</v>
      </c>
      <c r="AU9" s="2048">
        <f t="shared" si="1"/>
        <v>291</v>
      </c>
      <c r="AV9" s="1815">
        <f>_xlfn.XLOOKUP($D9,'Sales Rec'!$E$4:$E$93,'Sales Rec'!$BN$4:$BN$93)</f>
        <v>2221</v>
      </c>
      <c r="AW9" s="2048">
        <f t="shared" si="2"/>
        <v>260</v>
      </c>
      <c r="AX9" s="1815">
        <f>_xlfn.XLOOKUP($D9,'Sales Rec'!$E$4:$E$93,'Sales Rec'!$BQ$4:$BQ$93)</f>
        <v>2454</v>
      </c>
      <c r="AY9" s="2048">
        <f t="shared" si="3"/>
        <v>233</v>
      </c>
      <c r="AZ9" s="1815">
        <f>_xlfn.XLOOKUP($D9,'Sales Rec'!$E$4:$E$93,'Sales Rec'!$BT$4:$BT$93)</f>
        <v>2669</v>
      </c>
      <c r="BA9" s="2048">
        <f t="shared" si="4"/>
        <v>215</v>
      </c>
      <c r="BB9" s="1815">
        <f>_xlfn.XLOOKUP($D9,'Sales Rec'!$E$4:$E$93,'Sales Rec'!$BW$4:$BW$93)</f>
        <v>2896</v>
      </c>
      <c r="BC9" s="2048">
        <f t="shared" si="5"/>
        <v>227</v>
      </c>
      <c r="BD9" s="1815">
        <f>_xlfn.XLOOKUP($D9,'Sales Rec'!$E$4:$E$93,'Sales Rec'!$BZ$4:$BZ$93)</f>
        <v>3291</v>
      </c>
      <c r="BE9" s="2048">
        <f t="shared" si="6"/>
        <v>395</v>
      </c>
      <c r="BF9" s="1815">
        <f>_xlfn.XLOOKUP($D9,'Sales Rec'!$E$4:$E$93,'Sales Rec'!$CH$4:$CH$93)</f>
        <v>238</v>
      </c>
      <c r="BG9" s="2048">
        <f t="shared" si="7"/>
        <v>238</v>
      </c>
      <c r="BH9" s="2050">
        <f t="shared" si="15"/>
        <v>-0.39746835443037976</v>
      </c>
      <c r="BI9" s="1815">
        <f>_xlfn.XLOOKUP($D9,'Sales Rec'!$E$4:$E$93,'Sales Rec'!$CK$4:$CK$93)</f>
        <v>635</v>
      </c>
      <c r="BJ9" s="2048">
        <f t="shared" si="8"/>
        <v>397</v>
      </c>
      <c r="BK9" s="2050">
        <f t="shared" si="16"/>
        <v>0.66806722689075626</v>
      </c>
      <c r="BL9" s="1815">
        <f>_xlfn.XLOOKUP($D9,'Sales Rec'!$E$4:$E$93,'Sales Rec'!$CN$4:$CN$93)</f>
        <v>999</v>
      </c>
      <c r="BM9" s="2048">
        <f t="shared" si="9"/>
        <v>364</v>
      </c>
      <c r="BN9" s="2050">
        <f t="shared" si="17"/>
        <v>-8.3123425692695208E-2</v>
      </c>
      <c r="BO9" s="2069">
        <f t="shared" si="18"/>
        <v>0.19354838709677419</v>
      </c>
      <c r="BP9" s="1575">
        <f t="shared" si="19"/>
        <v>23</v>
      </c>
    </row>
    <row r="10" spans="1:68" ht="100" customHeight="1">
      <c r="A10" s="2146">
        <v>8</v>
      </c>
      <c r="B10" s="2176">
        <f>_xlfn.XLOOKUP(D10,Cement!$Q$7:$Q$35,Cement!$A$7:$A$35,"")</f>
        <v>23.654691596536299</v>
      </c>
      <c r="C10" s="2164" t="str">
        <f>Cement!P14</f>
        <v>سيمان‌خاش‌</v>
      </c>
      <c r="D10" s="2164" t="str">
        <f>Cement!Q14</f>
        <v>سخاش</v>
      </c>
      <c r="E10" s="2165">
        <f>_xlfn.XLOOKUP(D10,Cement!$Q$7:$Q$35,Cement!$R$7:$R$35,"")</f>
        <v>12</v>
      </c>
      <c r="F10" s="2166">
        <f>_xlfn.XLOOKUP(D10,Cement!$Q$7:$Q$35,Cement!$AP$7:$AP$35,"")</f>
        <v>1971</v>
      </c>
      <c r="G10" s="2167">
        <v>4</v>
      </c>
      <c r="H10" s="2168">
        <f t="shared" si="0"/>
        <v>4</v>
      </c>
      <c r="I10" s="2147"/>
      <c r="J10" s="2148"/>
      <c r="K10" s="2149"/>
      <c r="L10" s="2150"/>
      <c r="M10" s="2147"/>
      <c r="N10" s="2148"/>
      <c r="O10" s="2149"/>
      <c r="P10" s="2151"/>
      <c r="Q10" s="2186">
        <f t="shared" si="20"/>
        <v>236</v>
      </c>
      <c r="R10" s="2187"/>
      <c r="S10" s="2188">
        <f>_xlfn.XLOOKUP(D10,'Sales Rec'!$E$4:$E$93,'Sales Rec'!$CP$4:$CP$93,"")</f>
        <v>1.2984615384615386</v>
      </c>
      <c r="T10" s="2152" t="s">
        <v>234</v>
      </c>
      <c r="U10" s="2152" t="s">
        <v>234</v>
      </c>
      <c r="AH10" s="1815">
        <f>_xlfn.XLOOKUP($D10,'Sales Rec'!$E$4:$E$93,'Sales Rec'!$AS$4:$AS$93)</f>
        <v>85</v>
      </c>
      <c r="AI10" s="2048">
        <f t="shared" si="21"/>
        <v>85</v>
      </c>
      <c r="AJ10" s="1815">
        <f>_xlfn.XLOOKUP($D10,'Sales Rec'!$E$4:$E$93,'Sales Rec'!$AV$4:$AV$93)</f>
        <v>206</v>
      </c>
      <c r="AK10" s="2048">
        <f t="shared" si="22"/>
        <v>121</v>
      </c>
      <c r="AL10" s="1815">
        <f>_xlfn.XLOOKUP($D10,'Sales Rec'!$E$4:$E$93,'Sales Rec'!$AY$4:$AY$93)</f>
        <v>325</v>
      </c>
      <c r="AM10" s="2048">
        <f t="shared" si="23"/>
        <v>119</v>
      </c>
      <c r="AN10" s="1815">
        <f>_xlfn.XLOOKUP($D10,'Sales Rec'!$E$4:$E$93,'Sales Rec'!$BB$4:$BB$93)</f>
        <v>443</v>
      </c>
      <c r="AO10" s="2048">
        <f t="shared" si="24"/>
        <v>118</v>
      </c>
      <c r="AP10" s="1815">
        <f>_xlfn.XLOOKUP($D10,'Sales Rec'!$E$4:$E$93,'Sales Rec'!$BE$4:$BE$93)</f>
        <v>582</v>
      </c>
      <c r="AQ10" s="2048">
        <f t="shared" si="25"/>
        <v>139</v>
      </c>
      <c r="AR10" s="1815">
        <f>_xlfn.XLOOKUP(D10,'Sales Rec'!$E$4:$E$93,'Sales Rec'!$BH$4:$BH$93)</f>
        <v>723</v>
      </c>
      <c r="AS10" s="2048">
        <f t="shared" si="1"/>
        <v>141</v>
      </c>
      <c r="AT10" s="1815">
        <f>_xlfn.XLOOKUP(D10,'Sales Rec'!$E$4:$E$93,'Sales Rec'!$BK$4:$BK$93)</f>
        <v>901</v>
      </c>
      <c r="AU10" s="2048">
        <f t="shared" si="1"/>
        <v>178</v>
      </c>
      <c r="AV10" s="1815">
        <f>_xlfn.XLOOKUP($D10,'Sales Rec'!$E$4:$E$93,'Sales Rec'!$BN$4:$BN$93)</f>
        <v>1085</v>
      </c>
      <c r="AW10" s="2048">
        <f t="shared" si="2"/>
        <v>184</v>
      </c>
      <c r="AX10" s="1815">
        <f>_xlfn.XLOOKUP($D10,'Sales Rec'!$E$4:$E$93,'Sales Rec'!$BQ$4:$BQ$93)</f>
        <v>1294</v>
      </c>
      <c r="AY10" s="2048">
        <f t="shared" si="3"/>
        <v>209</v>
      </c>
      <c r="AZ10" s="1815">
        <f>_xlfn.XLOOKUP($D10,'Sales Rec'!$E$4:$E$93,'Sales Rec'!$BT$4:$BT$93)</f>
        <v>1533</v>
      </c>
      <c r="BA10" s="2048">
        <f t="shared" si="4"/>
        <v>239</v>
      </c>
      <c r="BB10" s="1815">
        <f>_xlfn.XLOOKUP($D10,'Sales Rec'!$E$4:$E$93,'Sales Rec'!$BW$4:$BW$93)</f>
        <v>1799</v>
      </c>
      <c r="BC10" s="2048">
        <f t="shared" si="5"/>
        <v>266</v>
      </c>
      <c r="BD10" s="1815">
        <f>_xlfn.XLOOKUP($D10,'Sales Rec'!$E$4:$E$93,'Sales Rec'!$BZ$4:$BZ$93)</f>
        <v>1971</v>
      </c>
      <c r="BE10" s="2048">
        <f t="shared" si="6"/>
        <v>172</v>
      </c>
      <c r="BF10" s="1815">
        <f>_xlfn.XLOOKUP($D10,'Sales Rec'!$E$4:$E$93,'Sales Rec'!$CH$4:$CH$93)</f>
        <v>193</v>
      </c>
      <c r="BG10" s="2048">
        <f t="shared" si="7"/>
        <v>193</v>
      </c>
      <c r="BH10" s="2050">
        <f t="shared" si="15"/>
        <v>0.12209302325581395</v>
      </c>
      <c r="BI10" s="1815">
        <f>_xlfn.XLOOKUP($D10,'Sales Rec'!$E$4:$E$93,'Sales Rec'!$CK$4:$CK$93)</f>
        <v>511</v>
      </c>
      <c r="BJ10" s="2048">
        <f t="shared" si="8"/>
        <v>318</v>
      </c>
      <c r="BK10" s="2050">
        <f t="shared" si="16"/>
        <v>0.64766839378238339</v>
      </c>
      <c r="BL10" s="1815">
        <f>_xlfn.XLOOKUP($D10,'Sales Rec'!$E$4:$E$93,'Sales Rec'!$CN$4:$CN$93)</f>
        <v>747</v>
      </c>
      <c r="BM10" s="2048">
        <f t="shared" si="9"/>
        <v>236</v>
      </c>
      <c r="BN10" s="2050">
        <f t="shared" si="17"/>
        <v>-0.25786163522012578</v>
      </c>
      <c r="BO10" s="2069">
        <f t="shared" si="18"/>
        <v>0.103397341211226</v>
      </c>
      <c r="BP10" s="1575">
        <f t="shared" si="19"/>
        <v>25</v>
      </c>
    </row>
    <row r="11" spans="1:68" ht="100" customHeight="1">
      <c r="A11" s="2146">
        <v>9</v>
      </c>
      <c r="B11" s="2176">
        <f>_xlfn.XLOOKUP(D11,Cement!$Q$7:$Q$35,Cement!$A$7:$A$35,"")</f>
        <v>21.208110025072855</v>
      </c>
      <c r="C11" s="2164" t="str">
        <f>Cement!P15</f>
        <v>سيمان ‌اروميه‌</v>
      </c>
      <c r="D11" s="2164" t="str">
        <f>Cement!Q15</f>
        <v>ساروم</v>
      </c>
      <c r="E11" s="2165">
        <f>_xlfn.XLOOKUP(D11,Cement!$Q$7:$Q$35,Cement!$R$7:$R$35,"")</f>
        <v>12</v>
      </c>
      <c r="F11" s="2166">
        <f>_xlfn.XLOOKUP(D11,Cement!$Q$7:$Q$35,Cement!$AP$7:$AP$35,"")</f>
        <v>4048</v>
      </c>
      <c r="G11" s="2167">
        <v>4</v>
      </c>
      <c r="H11" s="2168">
        <f t="shared" si="0"/>
        <v>4</v>
      </c>
      <c r="I11" s="2147"/>
      <c r="J11" s="2148"/>
      <c r="K11" s="2149"/>
      <c r="L11" s="2150"/>
      <c r="M11" s="2147"/>
      <c r="N11" s="2148"/>
      <c r="O11" s="2149"/>
      <c r="P11" s="2151"/>
      <c r="Q11" s="2186">
        <f t="shared" si="20"/>
        <v>699</v>
      </c>
      <c r="R11" s="2187"/>
      <c r="S11" s="2188">
        <f>_xlfn.XLOOKUP(D11,'Sales Rec'!$E$4:$E$93,'Sales Rec'!$CP$4:$CP$93,"")</f>
        <v>0.54255319148936165</v>
      </c>
      <c r="T11" s="2152" t="s">
        <v>234</v>
      </c>
      <c r="U11" s="2152" t="s">
        <v>234</v>
      </c>
      <c r="AH11" s="1815">
        <f>_xlfn.XLOOKUP($D11,'Sales Rec'!$E$4:$E$93,'Sales Rec'!$AS$4:$AS$93)</f>
        <v>294</v>
      </c>
      <c r="AI11" s="2048">
        <f t="shared" si="21"/>
        <v>294</v>
      </c>
      <c r="AJ11" s="1815">
        <f>_xlfn.XLOOKUP($D11,'Sales Rec'!$E$4:$E$93,'Sales Rec'!$AV$4:$AV$93)</f>
        <v>689</v>
      </c>
      <c r="AK11" s="2048">
        <f t="shared" si="22"/>
        <v>395</v>
      </c>
      <c r="AL11" s="1815">
        <f>_xlfn.XLOOKUP($D11,'Sales Rec'!$E$4:$E$93,'Sales Rec'!$AY$4:$AY$93)</f>
        <v>1128</v>
      </c>
      <c r="AM11" s="2048">
        <f t="shared" si="23"/>
        <v>439</v>
      </c>
      <c r="AN11" s="1815">
        <f>_xlfn.XLOOKUP($D11,'Sales Rec'!$E$4:$E$93,'Sales Rec'!$BB$4:$BB$93)</f>
        <v>1477</v>
      </c>
      <c r="AO11" s="2048">
        <f t="shared" si="24"/>
        <v>349</v>
      </c>
      <c r="AP11" s="1815">
        <f>_xlfn.XLOOKUP($D11,'Sales Rec'!$E$4:$E$93,'Sales Rec'!$BE$4:$BE$93)</f>
        <v>1862</v>
      </c>
      <c r="AQ11" s="2048">
        <f t="shared" si="25"/>
        <v>385</v>
      </c>
      <c r="AR11" s="1815">
        <f>_xlfn.XLOOKUP(D11,'Sales Rec'!$E$4:$E$93,'Sales Rec'!$BH$4:$BH$93)</f>
        <v>2277</v>
      </c>
      <c r="AS11" s="2048">
        <f t="shared" si="1"/>
        <v>415</v>
      </c>
      <c r="AT11" s="1815">
        <f>_xlfn.XLOOKUP(D11,'Sales Rec'!$E$4:$E$93,'Sales Rec'!$BK$4:$BK$93)</f>
        <v>2671</v>
      </c>
      <c r="AU11" s="2048">
        <f t="shared" si="1"/>
        <v>394</v>
      </c>
      <c r="AV11" s="1815">
        <f>_xlfn.XLOOKUP($D11,'Sales Rec'!$E$4:$E$93,'Sales Rec'!$BN$4:$BN$93)</f>
        <v>3039</v>
      </c>
      <c r="AW11" s="2048">
        <f t="shared" si="2"/>
        <v>368</v>
      </c>
      <c r="AX11" s="1815">
        <f>_xlfn.XLOOKUP($D11,'Sales Rec'!$E$4:$E$93,'Sales Rec'!$BQ$4:$BQ$93)</f>
        <v>3324</v>
      </c>
      <c r="AY11" s="2048">
        <f t="shared" si="3"/>
        <v>285</v>
      </c>
      <c r="AZ11" s="1815">
        <f>_xlfn.XLOOKUP($D11,'Sales Rec'!$E$4:$E$93,'Sales Rec'!$BT$4:$BT$93)</f>
        <v>3494</v>
      </c>
      <c r="BA11" s="2048">
        <f t="shared" si="4"/>
        <v>170</v>
      </c>
      <c r="BB11" s="1815">
        <f>_xlfn.XLOOKUP($D11,'Sales Rec'!$E$4:$E$93,'Sales Rec'!$BW$4:$BW$93)</f>
        <v>3724</v>
      </c>
      <c r="BC11" s="2048">
        <f t="shared" si="5"/>
        <v>230</v>
      </c>
      <c r="BD11" s="1815">
        <f>_xlfn.XLOOKUP($D11,'Sales Rec'!$E$4:$E$93,'Sales Rec'!$BZ$4:$BZ$93)</f>
        <v>4048</v>
      </c>
      <c r="BE11" s="2048">
        <f t="shared" si="6"/>
        <v>324</v>
      </c>
      <c r="BF11" s="1815">
        <f>_xlfn.XLOOKUP($D11,'Sales Rec'!$E$4:$E$93,'Sales Rec'!$CH$4:$CH$93)</f>
        <v>462</v>
      </c>
      <c r="BG11" s="2048">
        <f t="shared" si="7"/>
        <v>462</v>
      </c>
      <c r="BH11" s="2050">
        <f t="shared" si="15"/>
        <v>0.42592592592592593</v>
      </c>
      <c r="BI11" s="1815">
        <f>_xlfn.XLOOKUP($D11,'Sales Rec'!$E$4:$E$93,'Sales Rec'!$CK$4:$CK$93)</f>
        <v>1041</v>
      </c>
      <c r="BJ11" s="2048">
        <f t="shared" si="8"/>
        <v>579</v>
      </c>
      <c r="BK11" s="2050">
        <f t="shared" si="16"/>
        <v>0.25324675324675322</v>
      </c>
      <c r="BL11" s="1815">
        <f>_xlfn.XLOOKUP($D11,'Sales Rec'!$E$4:$E$93,'Sales Rec'!$CN$4:$CN$93)</f>
        <v>1740</v>
      </c>
      <c r="BM11" s="2048">
        <f t="shared" si="9"/>
        <v>699</v>
      </c>
      <c r="BN11" s="2050">
        <f t="shared" si="17"/>
        <v>0.20725388601036268</v>
      </c>
      <c r="BO11" s="2069">
        <f t="shared" si="18"/>
        <v>1.4033149171270718</v>
      </c>
      <c r="BP11" s="1575">
        <f t="shared" si="19"/>
        <v>1</v>
      </c>
    </row>
    <row r="12" spans="1:68" ht="100" customHeight="1">
      <c r="A12" s="2146">
        <v>10</v>
      </c>
      <c r="B12" s="2176">
        <f>_xlfn.XLOOKUP(D12,Cement!$Q$7:$Q$35,Cement!$A$7:$A$35,"")</f>
        <v>21.545827737635289</v>
      </c>
      <c r="C12" s="2164" t="str">
        <f>Cement!P16</f>
        <v>مجتمع سيمان غرب آسيا</v>
      </c>
      <c r="D12" s="2164" t="str">
        <f>Cement!Q16</f>
        <v>سجام</v>
      </c>
      <c r="E12" s="2165">
        <f>_xlfn.XLOOKUP(D12,Cement!$Q$7:$Q$35,Cement!$R$7:$R$35,"")</f>
        <v>9</v>
      </c>
      <c r="F12" s="2166">
        <f>_xlfn.XLOOKUP(D12,Cement!$Q$7:$Q$35,Cement!$AP$7:$AP$35,"")</f>
        <v>1690</v>
      </c>
      <c r="G12" s="2167">
        <v>4</v>
      </c>
      <c r="H12" s="2168">
        <f t="shared" si="0"/>
        <v>7</v>
      </c>
      <c r="I12" s="2147"/>
      <c r="J12" s="2148"/>
      <c r="K12" s="2149"/>
      <c r="L12" s="2150"/>
      <c r="M12" s="2147"/>
      <c r="N12" s="2148"/>
      <c r="O12" s="2149"/>
      <c r="P12" s="2151"/>
      <c r="Q12" s="2186">
        <f t="shared" si="20"/>
        <v>247</v>
      </c>
      <c r="R12" s="2187"/>
      <c r="S12" s="2188">
        <f>_xlfn.XLOOKUP(D12,'Sales Rec'!$E$4:$E$93,'Sales Rec'!$CP$4:$CP$93,"")</f>
        <v>0.91596638655462181</v>
      </c>
      <c r="T12" s="2152" t="s">
        <v>234</v>
      </c>
      <c r="U12" s="2152" t="s">
        <v>234</v>
      </c>
      <c r="AH12" s="1815">
        <f>_xlfn.XLOOKUP($D12,'Sales Rec'!$E$4:$E$93,'Sales Rec'!$AS$4:$AS$93)</f>
        <v>290</v>
      </c>
      <c r="AI12" s="2048">
        <f t="shared" si="21"/>
        <v>290</v>
      </c>
      <c r="AJ12" s="1815">
        <f>_xlfn.XLOOKUP($D12,'Sales Rec'!$E$4:$E$93,'Sales Rec'!$AV$4:$AV$93)</f>
        <v>432</v>
      </c>
      <c r="AK12" s="2048">
        <f t="shared" si="22"/>
        <v>142</v>
      </c>
      <c r="AL12" s="1815">
        <f>_xlfn.XLOOKUP($D12,'Sales Rec'!$E$4:$E$93,'Sales Rec'!$AY$4:$AY$93)</f>
        <v>595</v>
      </c>
      <c r="AM12" s="2048">
        <f t="shared" si="23"/>
        <v>163</v>
      </c>
      <c r="AN12" s="1815">
        <f>_xlfn.XLOOKUP($D12,'Sales Rec'!$E$4:$E$93,'Sales Rec'!$BB$4:$BB$93)</f>
        <v>738</v>
      </c>
      <c r="AO12" s="2048">
        <f t="shared" si="24"/>
        <v>143</v>
      </c>
      <c r="AP12" s="1815">
        <f>_xlfn.XLOOKUP($D12,'Sales Rec'!$E$4:$E$93,'Sales Rec'!$BE$4:$BE$93)</f>
        <v>904</v>
      </c>
      <c r="AQ12" s="2048">
        <f t="shared" si="25"/>
        <v>166</v>
      </c>
      <c r="AR12" s="1815">
        <f>_xlfn.XLOOKUP(D12,'Sales Rec'!$E$4:$E$93,'Sales Rec'!$BH$4:$BH$93)</f>
        <v>1112</v>
      </c>
      <c r="AS12" s="2048">
        <f t="shared" si="1"/>
        <v>208</v>
      </c>
      <c r="AT12" s="1815">
        <f>_xlfn.XLOOKUP(D12,'Sales Rec'!$E$4:$E$93,'Sales Rec'!$BK$4:$BK$93)</f>
        <v>1319</v>
      </c>
      <c r="AU12" s="2048">
        <f t="shared" si="1"/>
        <v>207</v>
      </c>
      <c r="AV12" s="1815">
        <f>_xlfn.XLOOKUP($D12,'Sales Rec'!$E$4:$E$93,'Sales Rec'!$BN$4:$BN$93)</f>
        <v>1511</v>
      </c>
      <c r="AW12" s="2048">
        <f t="shared" si="2"/>
        <v>192</v>
      </c>
      <c r="AX12" s="1815">
        <f>_xlfn.XLOOKUP($D12,'Sales Rec'!$E$4:$E$93,'Sales Rec'!$BQ$4:$BQ$93)</f>
        <v>1690</v>
      </c>
      <c r="AY12" s="2048">
        <f t="shared" si="3"/>
        <v>179</v>
      </c>
      <c r="AZ12" s="1815">
        <f>_xlfn.XLOOKUP($D12,'Sales Rec'!$E$4:$E$93,'Sales Rec'!$BT$4:$BT$93)</f>
        <v>152</v>
      </c>
      <c r="BA12" s="2048">
        <f t="shared" si="4"/>
        <v>152</v>
      </c>
      <c r="BB12" s="1815">
        <f>_xlfn.XLOOKUP($D12,'Sales Rec'!$E$4:$E$93,'Sales Rec'!$BW$4:$BW$93)</f>
        <v>327</v>
      </c>
      <c r="BC12" s="2048">
        <f t="shared" si="5"/>
        <v>175</v>
      </c>
      <c r="BD12" s="1815">
        <f>_xlfn.XLOOKUP($D12,'Sales Rec'!$E$4:$E$93,'Sales Rec'!$BZ$4:$BZ$93)</f>
        <v>460</v>
      </c>
      <c r="BE12" s="2048">
        <f t="shared" si="6"/>
        <v>133</v>
      </c>
      <c r="BF12" s="1815">
        <f>_xlfn.XLOOKUP($D12,'Sales Rec'!$E$4:$E$93,'Sales Rec'!$CH$4:$CH$93)</f>
        <v>653</v>
      </c>
      <c r="BG12" s="2048">
        <f t="shared" si="7"/>
        <v>193</v>
      </c>
      <c r="BH12" s="2050">
        <f t="shared" si="15"/>
        <v>0.45112781954887216</v>
      </c>
      <c r="BI12" s="1815">
        <f>_xlfn.XLOOKUP($D12,'Sales Rec'!$E$4:$E$93,'Sales Rec'!$CK$4:$CK$93)</f>
        <v>893</v>
      </c>
      <c r="BJ12" s="2048">
        <f t="shared" si="8"/>
        <v>240</v>
      </c>
      <c r="BK12" s="2050">
        <f t="shared" si="16"/>
        <v>0.24352331606217617</v>
      </c>
      <c r="BL12" s="1815">
        <f>_xlfn.XLOOKUP($D12,'Sales Rec'!$E$4:$E$93,'Sales Rec'!$CN$4:$CN$93)</f>
        <v>1140</v>
      </c>
      <c r="BM12" s="2048">
        <f t="shared" si="9"/>
        <v>247</v>
      </c>
      <c r="BN12" s="2050">
        <f t="shared" si="17"/>
        <v>2.9166666666666667E-2</v>
      </c>
      <c r="BO12" s="2069">
        <f t="shared" si="18"/>
        <v>0.47826086956521741</v>
      </c>
      <c r="BP12" s="1575">
        <f t="shared" si="19"/>
        <v>11</v>
      </c>
    </row>
    <row r="13" spans="1:68" ht="100" customHeight="1">
      <c r="A13" s="2146">
        <v>11</v>
      </c>
      <c r="B13" s="2176">
        <f>_xlfn.XLOOKUP(D13,Cement!$Q$7:$Q$35,Cement!$A$7:$A$35,"")</f>
        <v>21.12491215339011</v>
      </c>
      <c r="C13" s="2164" t="str">
        <f>Cement!P17</f>
        <v>بين المللي ساروج بوشهر</v>
      </c>
      <c r="D13" s="2164" t="str">
        <f>Cement!Q17</f>
        <v>ساروج</v>
      </c>
      <c r="E13" s="2165">
        <f>_xlfn.XLOOKUP(D13,Cement!$Q$7:$Q$35,Cement!$R$7:$R$35,"")</f>
        <v>9</v>
      </c>
      <c r="F13" s="2166">
        <f>_xlfn.XLOOKUP(D13,Cement!$Q$7:$Q$35,Cement!$AP$7:$AP$35,"")</f>
        <v>3079</v>
      </c>
      <c r="G13" s="2167">
        <v>4</v>
      </c>
      <c r="H13" s="2168">
        <f t="shared" si="0"/>
        <v>7</v>
      </c>
      <c r="I13" s="2147"/>
      <c r="J13" s="2148"/>
      <c r="K13" s="2149"/>
      <c r="L13" s="2150"/>
      <c r="M13" s="2147"/>
      <c r="N13" s="2148"/>
      <c r="O13" s="2149"/>
      <c r="P13" s="2151"/>
      <c r="Q13" s="2186">
        <f t="shared" si="20"/>
        <v>124</v>
      </c>
      <c r="R13" s="2187"/>
      <c r="S13" s="2188">
        <f>_xlfn.XLOOKUP(D13,'Sales Rec'!$E$4:$E$93,'Sales Rec'!$CP$4:$CP$93,"")</f>
        <v>-4.4044665012406947E-2</v>
      </c>
      <c r="T13" s="2152" t="s">
        <v>234</v>
      </c>
      <c r="U13" s="2152" t="s">
        <v>234</v>
      </c>
      <c r="AH13" s="1815">
        <f>_xlfn.XLOOKUP($D13,'Sales Rec'!$E$4:$E$93,'Sales Rec'!$AS$4:$AS$93)</f>
        <v>1025</v>
      </c>
      <c r="AI13" s="2048">
        <f t="shared" si="21"/>
        <v>1025</v>
      </c>
      <c r="AJ13" s="1815">
        <f>_xlfn.XLOOKUP($D13,'Sales Rec'!$E$4:$E$93,'Sales Rec'!$AV$4:$AV$93)</f>
        <v>1369</v>
      </c>
      <c r="AK13" s="2048">
        <f t="shared" si="22"/>
        <v>344</v>
      </c>
      <c r="AL13" s="1815">
        <f>_xlfn.XLOOKUP($D13,'Sales Rec'!$E$4:$E$93,'Sales Rec'!$AY$4:$AY$93)</f>
        <v>1612</v>
      </c>
      <c r="AM13" s="2048">
        <f t="shared" si="23"/>
        <v>243</v>
      </c>
      <c r="AN13" s="1815">
        <f>_xlfn.XLOOKUP($D13,'Sales Rec'!$E$4:$E$93,'Sales Rec'!$BB$4:$BB$93)</f>
        <v>1907</v>
      </c>
      <c r="AO13" s="2048">
        <f t="shared" si="24"/>
        <v>295</v>
      </c>
      <c r="AP13" s="1815">
        <f>_xlfn.XLOOKUP($D13,'Sales Rec'!$E$4:$E$93,'Sales Rec'!$BE$4:$BE$93)</f>
        <v>2018</v>
      </c>
      <c r="AQ13" s="2048">
        <f t="shared" si="25"/>
        <v>111</v>
      </c>
      <c r="AR13" s="1815">
        <f>_xlfn.XLOOKUP(D13,'Sales Rec'!$E$4:$E$93,'Sales Rec'!$BH$4:$BH$93)</f>
        <v>2270</v>
      </c>
      <c r="AS13" s="2048">
        <f t="shared" si="1"/>
        <v>252</v>
      </c>
      <c r="AT13" s="1815">
        <f>_xlfn.XLOOKUP(D13,'Sales Rec'!$E$4:$E$93,'Sales Rec'!$BK$4:$BK$93)</f>
        <v>2564</v>
      </c>
      <c r="AU13" s="2048">
        <f t="shared" si="1"/>
        <v>294</v>
      </c>
      <c r="AV13" s="1815">
        <f>_xlfn.XLOOKUP($D13,'Sales Rec'!$E$4:$E$93,'Sales Rec'!$BN$4:$BN$93)</f>
        <v>2849</v>
      </c>
      <c r="AW13" s="2048">
        <f t="shared" si="2"/>
        <v>285</v>
      </c>
      <c r="AX13" s="1815">
        <f>_xlfn.XLOOKUP($D13,'Sales Rec'!$E$4:$E$93,'Sales Rec'!$BQ$4:$BQ$93)</f>
        <v>3079</v>
      </c>
      <c r="AY13" s="2048">
        <f t="shared" si="3"/>
        <v>230</v>
      </c>
      <c r="AZ13" s="1815">
        <f>_xlfn.XLOOKUP($D13,'Sales Rec'!$E$4:$E$93,'Sales Rec'!$BT$4:$BT$93)</f>
        <v>301</v>
      </c>
      <c r="BA13" s="2048">
        <f t="shared" si="4"/>
        <v>301</v>
      </c>
      <c r="BB13" s="1815">
        <f>_xlfn.XLOOKUP($D13,'Sales Rec'!$E$4:$E$93,'Sales Rec'!$BW$4:$BW$93)</f>
        <v>993</v>
      </c>
      <c r="BC13" s="2048">
        <f t="shared" si="5"/>
        <v>692</v>
      </c>
      <c r="BD13" s="1815">
        <f>_xlfn.XLOOKUP($D13,'Sales Rec'!$E$4:$E$93,'Sales Rec'!$BZ$4:$BZ$93)</f>
        <v>1066</v>
      </c>
      <c r="BE13" s="2048">
        <f t="shared" si="6"/>
        <v>73</v>
      </c>
      <c r="BF13" s="1815">
        <f>_xlfn.XLOOKUP($D13,'Sales Rec'!$E$4:$E$93,'Sales Rec'!$CH$4:$CH$93)</f>
        <v>1127</v>
      </c>
      <c r="BG13" s="2048">
        <f t="shared" si="7"/>
        <v>61</v>
      </c>
      <c r="BH13" s="2050">
        <f t="shared" si="15"/>
        <v>-0.16438356164383561</v>
      </c>
      <c r="BI13" s="1815">
        <f>_xlfn.XLOOKUP($D13,'Sales Rec'!$E$4:$E$93,'Sales Rec'!$CK$4:$CK$93)</f>
        <v>1417</v>
      </c>
      <c r="BJ13" s="2048">
        <f t="shared" si="8"/>
        <v>290</v>
      </c>
      <c r="BK13" s="2050">
        <f t="shared" si="16"/>
        <v>3.7540983606557377</v>
      </c>
      <c r="BL13" s="1815">
        <f>_xlfn.XLOOKUP($D13,'Sales Rec'!$E$4:$E$93,'Sales Rec'!$CN$4:$CN$93)</f>
        <v>1541</v>
      </c>
      <c r="BM13" s="2048">
        <f t="shared" si="9"/>
        <v>124</v>
      </c>
      <c r="BN13" s="2050">
        <f t="shared" si="17"/>
        <v>-0.57241379310344831</v>
      </c>
      <c r="BO13" s="2069">
        <f t="shared" si="18"/>
        <v>-0.5544090056285178</v>
      </c>
      <c r="BP13" s="1575">
        <f t="shared" si="19"/>
        <v>29</v>
      </c>
    </row>
    <row r="14" spans="1:68" ht="100" customHeight="1">
      <c r="A14" s="2146">
        <v>12</v>
      </c>
      <c r="B14" s="2176">
        <f>_xlfn.XLOOKUP(D14,Cement!$Q$7:$Q$35,Cement!$A$7:$A$35,"")</f>
        <v>16.477230296443544</v>
      </c>
      <c r="C14" s="2164" t="str">
        <f>Cement!P18</f>
        <v>سیمان هگمتان</v>
      </c>
      <c r="D14" s="2164" t="str">
        <f>Cement!Q18</f>
        <v>سهگمت</v>
      </c>
      <c r="E14" s="2165">
        <f>_xlfn.XLOOKUP(D14,Cement!$Q$7:$Q$35,Cement!$R$7:$R$35,"")</f>
        <v>10</v>
      </c>
      <c r="F14" s="2166">
        <f>_xlfn.XLOOKUP(D14,Cement!$Q$7:$Q$35,Cement!$AP$7:$AP$35,"")</f>
        <v>3363</v>
      </c>
      <c r="G14" s="2167">
        <v>4</v>
      </c>
      <c r="H14" s="2168">
        <f t="shared" si="0"/>
        <v>6</v>
      </c>
      <c r="I14" s="2147"/>
      <c r="J14" s="2148"/>
      <c r="K14" s="2149"/>
      <c r="L14" s="2150"/>
      <c r="M14" s="2147"/>
      <c r="N14" s="2148"/>
      <c r="O14" s="2149"/>
      <c r="P14" s="2151"/>
      <c r="Q14" s="2186">
        <f t="shared" si="20"/>
        <v>456</v>
      </c>
      <c r="R14" s="2187"/>
      <c r="S14" s="2188">
        <f>_xlfn.XLOOKUP(D14,'Sales Rec'!$E$4:$E$93,'Sales Rec'!$CP$4:$CP$93,"")</f>
        <v>0.16354816354816354</v>
      </c>
      <c r="T14" s="2152" t="s">
        <v>234</v>
      </c>
      <c r="U14" s="2152" t="s">
        <v>234</v>
      </c>
      <c r="AH14" s="1815">
        <f>_xlfn.XLOOKUP($D14,'Sales Rec'!$E$4:$E$93,'Sales Rec'!$AS$4:$AS$93)</f>
        <v>543</v>
      </c>
      <c r="AI14" s="2048">
        <f t="shared" si="21"/>
        <v>543</v>
      </c>
      <c r="AJ14" s="1815">
        <f>_xlfn.XLOOKUP($D14,'Sales Rec'!$E$4:$E$93,'Sales Rec'!$AV$4:$AV$93)</f>
        <v>939</v>
      </c>
      <c r="AK14" s="2048">
        <f t="shared" si="22"/>
        <v>396</v>
      </c>
      <c r="AL14" s="1815">
        <f>_xlfn.XLOOKUP($D14,'Sales Rec'!$E$4:$E$93,'Sales Rec'!$AY$4:$AY$93)</f>
        <v>1443</v>
      </c>
      <c r="AM14" s="2048">
        <f t="shared" si="23"/>
        <v>504</v>
      </c>
      <c r="AN14" s="1815">
        <f>_xlfn.XLOOKUP($D14,'Sales Rec'!$E$4:$E$93,'Sales Rec'!$BB$4:$BB$93)</f>
        <v>1737</v>
      </c>
      <c r="AO14" s="2048">
        <f t="shared" si="24"/>
        <v>294</v>
      </c>
      <c r="AP14" s="1815">
        <f>_xlfn.XLOOKUP($D14,'Sales Rec'!$E$4:$E$93,'Sales Rec'!$BE$4:$BE$93)</f>
        <v>1977</v>
      </c>
      <c r="AQ14" s="2048">
        <f t="shared" si="25"/>
        <v>240</v>
      </c>
      <c r="AR14" s="1815">
        <f>_xlfn.XLOOKUP(D14,'Sales Rec'!$E$4:$E$93,'Sales Rec'!$BH$4:$BH$93)</f>
        <v>2278</v>
      </c>
      <c r="AS14" s="2048">
        <f t="shared" si="1"/>
        <v>301</v>
      </c>
      <c r="AT14" s="1815">
        <f>_xlfn.XLOOKUP(D14,'Sales Rec'!$E$4:$E$93,'Sales Rec'!$BK$4:$BK$93)</f>
        <v>2587</v>
      </c>
      <c r="AU14" s="2048">
        <f t="shared" si="1"/>
        <v>309</v>
      </c>
      <c r="AV14" s="1815">
        <f>_xlfn.XLOOKUP($D14,'Sales Rec'!$E$4:$E$93,'Sales Rec'!$BN$4:$BN$93)</f>
        <v>2880</v>
      </c>
      <c r="AW14" s="2048">
        <f t="shared" si="2"/>
        <v>293</v>
      </c>
      <c r="AX14" s="1815">
        <f>_xlfn.XLOOKUP($D14,'Sales Rec'!$E$4:$E$93,'Sales Rec'!$BQ$4:$BQ$93)</f>
        <v>3142</v>
      </c>
      <c r="AY14" s="2048">
        <f t="shared" si="3"/>
        <v>262</v>
      </c>
      <c r="AZ14" s="1815">
        <f>_xlfn.XLOOKUP($D14,'Sales Rec'!$E$4:$E$93,'Sales Rec'!$BT$4:$BT$93)</f>
        <v>3363</v>
      </c>
      <c r="BA14" s="2048">
        <f t="shared" si="4"/>
        <v>221</v>
      </c>
      <c r="BB14" s="1815">
        <f>_xlfn.XLOOKUP($D14,'Sales Rec'!$E$4:$E$93,'Sales Rec'!$BW$4:$BW$93)</f>
        <v>240</v>
      </c>
      <c r="BC14" s="2048">
        <f t="shared" si="5"/>
        <v>240</v>
      </c>
      <c r="BD14" s="1815">
        <f>_xlfn.XLOOKUP($D14,'Sales Rec'!$E$4:$E$93,'Sales Rec'!$BZ$4:$BZ$93)</f>
        <v>517</v>
      </c>
      <c r="BE14" s="2048">
        <f t="shared" si="6"/>
        <v>277</v>
      </c>
      <c r="BF14" s="1815">
        <f>_xlfn.XLOOKUP($D14,'Sales Rec'!$E$4:$E$93,'Sales Rec'!$CH$4:$CH$93)</f>
        <v>754</v>
      </c>
      <c r="BG14" s="2048">
        <f t="shared" si="7"/>
        <v>237</v>
      </c>
      <c r="BH14" s="2050">
        <f t="shared" si="15"/>
        <v>-0.1444043321299639</v>
      </c>
      <c r="BI14" s="1815">
        <f>_xlfn.XLOOKUP($D14,'Sales Rec'!$E$4:$E$93,'Sales Rec'!$CK$4:$CK$93)</f>
        <v>1223</v>
      </c>
      <c r="BJ14" s="2048">
        <f t="shared" si="8"/>
        <v>469</v>
      </c>
      <c r="BK14" s="2050">
        <f t="shared" si="16"/>
        <v>0.97890295358649793</v>
      </c>
      <c r="BL14" s="1815">
        <f>_xlfn.XLOOKUP($D14,'Sales Rec'!$E$4:$E$93,'Sales Rec'!$CN$4:$CN$93)</f>
        <v>1679</v>
      </c>
      <c r="BM14" s="2048">
        <f t="shared" si="9"/>
        <v>456</v>
      </c>
      <c r="BN14" s="2050">
        <f t="shared" si="17"/>
        <v>-2.7718550106609809E-2</v>
      </c>
      <c r="BO14" s="2069">
        <f t="shared" si="18"/>
        <v>0.57452574525745259</v>
      </c>
      <c r="BP14" s="1575">
        <f t="shared" si="19"/>
        <v>7</v>
      </c>
    </row>
    <row r="15" spans="1:68" ht="100" customHeight="1">
      <c r="A15" s="2146">
        <v>13</v>
      </c>
      <c r="B15" s="2176">
        <f>_xlfn.XLOOKUP(D15,Cement!$Q$7:$Q$35,Cement!$A$7:$A$35,"")</f>
        <v>15.202117459117378</v>
      </c>
      <c r="C15" s="2164" t="str">
        <f>Cement!P19</f>
        <v>سيمان‌ صوفيان‌</v>
      </c>
      <c r="D15" s="2164" t="str">
        <f>Cement!Q19</f>
        <v>سصوفي</v>
      </c>
      <c r="E15" s="2165">
        <f>_xlfn.XLOOKUP(D15,Cement!$Q$7:$Q$35,Cement!$R$7:$R$35,"")</f>
        <v>12</v>
      </c>
      <c r="F15" s="2166">
        <f>_xlfn.XLOOKUP(D15,Cement!$Q$7:$Q$35,Cement!$AP$7:$AP$35,"")</f>
        <v>5049</v>
      </c>
      <c r="G15" s="2167">
        <v>4</v>
      </c>
      <c r="H15" s="2168">
        <f t="shared" si="0"/>
        <v>4</v>
      </c>
      <c r="I15" s="2147"/>
      <c r="J15" s="2148"/>
      <c r="K15" s="2149"/>
      <c r="L15" s="2150"/>
      <c r="M15" s="2147"/>
      <c r="N15" s="2148"/>
      <c r="O15" s="2149"/>
      <c r="P15" s="2151"/>
      <c r="Q15" s="2186">
        <f t="shared" si="20"/>
        <v>613</v>
      </c>
      <c r="R15" s="2187"/>
      <c r="S15" s="2188">
        <f>_xlfn.XLOOKUP(D15,'Sales Rec'!$E$4:$E$93,'Sales Rec'!$CP$4:$CP$93,"")</f>
        <v>0.29941434846266474</v>
      </c>
      <c r="T15" s="2152" t="s">
        <v>234</v>
      </c>
      <c r="U15" s="2152" t="s">
        <v>234</v>
      </c>
      <c r="AH15" s="1815">
        <f>_xlfn.XLOOKUP($D15,'Sales Rec'!$E$4:$E$93,'Sales Rec'!$AS$4:$AS$93)</f>
        <v>342</v>
      </c>
      <c r="AI15" s="2048">
        <f t="shared" si="21"/>
        <v>342</v>
      </c>
      <c r="AJ15" s="1815">
        <f>_xlfn.XLOOKUP($D15,'Sales Rec'!$E$4:$E$93,'Sales Rec'!$AV$4:$AV$93)</f>
        <v>799</v>
      </c>
      <c r="AK15" s="2048">
        <f t="shared" si="22"/>
        <v>457</v>
      </c>
      <c r="AL15" s="1815">
        <f>_xlfn.XLOOKUP($D15,'Sales Rec'!$E$4:$E$93,'Sales Rec'!$AY$4:$AY$93)</f>
        <v>1366</v>
      </c>
      <c r="AM15" s="2048">
        <f t="shared" si="23"/>
        <v>567</v>
      </c>
      <c r="AN15" s="1815">
        <f>_xlfn.XLOOKUP($D15,'Sales Rec'!$E$4:$E$93,'Sales Rec'!$BB$4:$BB$93)</f>
        <v>1763</v>
      </c>
      <c r="AO15" s="2048">
        <f t="shared" si="24"/>
        <v>397</v>
      </c>
      <c r="AP15" s="1815">
        <f>_xlfn.XLOOKUP($D15,'Sales Rec'!$E$4:$E$93,'Sales Rec'!$BE$4:$BE$93)</f>
        <v>2216</v>
      </c>
      <c r="AQ15" s="2048">
        <f t="shared" si="25"/>
        <v>453</v>
      </c>
      <c r="AR15" s="1815">
        <f>_xlfn.XLOOKUP(D15,'Sales Rec'!$E$4:$E$93,'Sales Rec'!$BH$4:$BH$93)</f>
        <v>2716</v>
      </c>
      <c r="AS15" s="2048">
        <f t="shared" si="1"/>
        <v>500</v>
      </c>
      <c r="AT15" s="1815">
        <f>_xlfn.XLOOKUP(D15,'Sales Rec'!$E$4:$E$93,'Sales Rec'!$BK$4:$BK$93)</f>
        <v>3206</v>
      </c>
      <c r="AU15" s="2048">
        <f t="shared" si="1"/>
        <v>490</v>
      </c>
      <c r="AV15" s="1815">
        <f>_xlfn.XLOOKUP($D15,'Sales Rec'!$E$4:$E$93,'Sales Rec'!$BN$4:$BN$93)</f>
        <v>3687</v>
      </c>
      <c r="AW15" s="2048">
        <f t="shared" si="2"/>
        <v>481</v>
      </c>
      <c r="AX15" s="1815">
        <f>_xlfn.XLOOKUP($D15,'Sales Rec'!$E$4:$E$93,'Sales Rec'!$BQ$4:$BQ$93)</f>
        <v>4055</v>
      </c>
      <c r="AY15" s="2048">
        <f t="shared" si="3"/>
        <v>368</v>
      </c>
      <c r="AZ15" s="1815">
        <f>_xlfn.XLOOKUP($D15,'Sales Rec'!$E$4:$E$93,'Sales Rec'!$BT$4:$BT$93)</f>
        <v>4310</v>
      </c>
      <c r="BA15" s="2048">
        <f t="shared" si="4"/>
        <v>255</v>
      </c>
      <c r="BB15" s="1815">
        <f>_xlfn.XLOOKUP($D15,'Sales Rec'!$E$4:$E$93,'Sales Rec'!$BW$4:$BW$93)</f>
        <v>4643</v>
      </c>
      <c r="BC15" s="2048">
        <f t="shared" si="5"/>
        <v>333</v>
      </c>
      <c r="BD15" s="1815">
        <f>_xlfn.XLOOKUP($D15,'Sales Rec'!$E$4:$E$93,'Sales Rec'!$BZ$4:$BZ$93)</f>
        <v>5049</v>
      </c>
      <c r="BE15" s="2048">
        <f t="shared" si="6"/>
        <v>406</v>
      </c>
      <c r="BF15" s="1815">
        <f>_xlfn.XLOOKUP($D15,'Sales Rec'!$E$4:$E$93,'Sales Rec'!$CH$4:$CH$93)</f>
        <v>488</v>
      </c>
      <c r="BG15" s="2048">
        <f t="shared" si="7"/>
        <v>488</v>
      </c>
      <c r="BH15" s="2050">
        <f t="shared" si="15"/>
        <v>0.2019704433497537</v>
      </c>
      <c r="BI15" s="1815">
        <f>_xlfn.XLOOKUP($D15,'Sales Rec'!$E$4:$E$93,'Sales Rec'!$CK$4:$CK$93)</f>
        <v>1162</v>
      </c>
      <c r="BJ15" s="2048">
        <f t="shared" si="8"/>
        <v>674</v>
      </c>
      <c r="BK15" s="2050">
        <f t="shared" si="16"/>
        <v>0.38114754098360654</v>
      </c>
      <c r="BL15" s="1815">
        <f>_xlfn.XLOOKUP($D15,'Sales Rec'!$E$4:$E$93,'Sales Rec'!$CN$4:$CN$93)</f>
        <v>1775</v>
      </c>
      <c r="BM15" s="2048">
        <f t="shared" si="9"/>
        <v>613</v>
      </c>
      <c r="BN15" s="2050">
        <f t="shared" si="17"/>
        <v>-9.050445103857567E-2</v>
      </c>
      <c r="BO15" s="2069">
        <f t="shared" si="18"/>
        <v>0.7857142857142857</v>
      </c>
      <c r="BP15" s="1575">
        <f t="shared" si="19"/>
        <v>5</v>
      </c>
    </row>
    <row r="16" spans="1:68" ht="100" customHeight="1">
      <c r="A16" s="2146">
        <v>14</v>
      </c>
      <c r="B16" s="2176">
        <f>_xlfn.XLOOKUP(D16,Cement!$Q$7:$Q$35,Cement!$A$7:$A$35,"")</f>
        <v>14.841666562736975</v>
      </c>
      <c r="C16" s="2164" t="str">
        <f>Cement!P20</f>
        <v>سيمان ممتازان كرمان</v>
      </c>
      <c r="D16" s="2164" t="str">
        <f>Cement!Q20</f>
        <v>سمتاز</v>
      </c>
      <c r="E16" s="2165">
        <f>_xlfn.XLOOKUP(D16,Cement!$Q$7:$Q$35,Cement!$R$7:$R$35,"")</f>
        <v>12</v>
      </c>
      <c r="F16" s="2166">
        <f>_xlfn.XLOOKUP(D16,Cement!$Q$7:$Q$35,Cement!$AP$7:$AP$35,"")</f>
        <v>2496</v>
      </c>
      <c r="G16" s="2167">
        <v>4</v>
      </c>
      <c r="H16" s="2168">
        <f t="shared" si="0"/>
        <v>4</v>
      </c>
      <c r="I16" s="2147"/>
      <c r="J16" s="2148"/>
      <c r="K16" s="2149"/>
      <c r="L16" s="2150"/>
      <c r="M16" s="2147"/>
      <c r="N16" s="2148"/>
      <c r="O16" s="2149"/>
      <c r="P16" s="2151"/>
      <c r="Q16" s="2186">
        <f t="shared" si="20"/>
        <v>341</v>
      </c>
      <c r="R16" s="2187"/>
      <c r="S16" s="2188">
        <f>_xlfn.XLOOKUP(D16,'Sales Rec'!$E$4:$E$93,'Sales Rec'!$CP$4:$CP$93,"")</f>
        <v>0.82105263157894737</v>
      </c>
      <c r="T16" s="2152" t="s">
        <v>234</v>
      </c>
      <c r="U16" s="2152" t="s">
        <v>234</v>
      </c>
      <c r="AH16" s="1815">
        <f>_xlfn.XLOOKUP($D16,'Sales Rec'!$E$4:$E$93,'Sales Rec'!$AS$4:$AS$93)</f>
        <v>106</v>
      </c>
      <c r="AI16" s="2048">
        <f t="shared" si="21"/>
        <v>106</v>
      </c>
      <c r="AJ16" s="1815">
        <f>_xlfn.XLOOKUP($D16,'Sales Rec'!$E$4:$E$93,'Sales Rec'!$AV$4:$AV$93)</f>
        <v>275</v>
      </c>
      <c r="AK16" s="2048">
        <f t="shared" si="22"/>
        <v>169</v>
      </c>
      <c r="AL16" s="1815">
        <f>_xlfn.XLOOKUP($D16,'Sales Rec'!$E$4:$E$93,'Sales Rec'!$AY$4:$AY$93)</f>
        <v>475</v>
      </c>
      <c r="AM16" s="2048">
        <f t="shared" si="23"/>
        <v>200</v>
      </c>
      <c r="AN16" s="1815">
        <f>_xlfn.XLOOKUP($D16,'Sales Rec'!$E$4:$E$93,'Sales Rec'!$BB$4:$BB$93)</f>
        <v>641</v>
      </c>
      <c r="AO16" s="2048">
        <f t="shared" si="24"/>
        <v>166</v>
      </c>
      <c r="AP16" s="1815">
        <f>_xlfn.XLOOKUP($D16,'Sales Rec'!$E$4:$E$93,'Sales Rec'!$BE$4:$BE$93)</f>
        <v>829</v>
      </c>
      <c r="AQ16" s="2048">
        <f t="shared" si="25"/>
        <v>188</v>
      </c>
      <c r="AR16" s="1815">
        <f>_xlfn.XLOOKUP(D16,'Sales Rec'!$E$4:$E$93,'Sales Rec'!$BH$4:$BH$93)</f>
        <v>1028</v>
      </c>
      <c r="AS16" s="2048">
        <f t="shared" si="1"/>
        <v>199</v>
      </c>
      <c r="AT16" s="1815">
        <f>_xlfn.XLOOKUP(D16,'Sales Rec'!$E$4:$E$93,'Sales Rec'!$BK$4:$BK$93)</f>
        <v>1216</v>
      </c>
      <c r="AU16" s="2048">
        <f t="shared" si="1"/>
        <v>188</v>
      </c>
      <c r="AV16" s="1815">
        <f>_xlfn.XLOOKUP($D16,'Sales Rec'!$E$4:$E$93,'Sales Rec'!$BN$4:$BN$93)</f>
        <v>1437</v>
      </c>
      <c r="AW16" s="2048">
        <f t="shared" si="2"/>
        <v>221</v>
      </c>
      <c r="AX16" s="1815">
        <f>_xlfn.XLOOKUP($D16,'Sales Rec'!$E$4:$E$93,'Sales Rec'!$BQ$4:$BQ$93)</f>
        <v>1648</v>
      </c>
      <c r="AY16" s="2048">
        <f t="shared" si="3"/>
        <v>211</v>
      </c>
      <c r="AZ16" s="1815">
        <f>_xlfn.XLOOKUP($D16,'Sales Rec'!$E$4:$E$93,'Sales Rec'!$BT$4:$BT$93)</f>
        <v>1890</v>
      </c>
      <c r="BA16" s="2048">
        <f t="shared" si="4"/>
        <v>242</v>
      </c>
      <c r="BB16" s="1815">
        <f>_xlfn.XLOOKUP($D16,'Sales Rec'!$E$4:$E$93,'Sales Rec'!$BW$4:$BW$93)</f>
        <v>2181</v>
      </c>
      <c r="BC16" s="2048">
        <f t="shared" si="5"/>
        <v>291</v>
      </c>
      <c r="BD16" s="1815">
        <f>_xlfn.XLOOKUP($D16,'Sales Rec'!$E$4:$E$93,'Sales Rec'!$BZ$4:$BZ$93)</f>
        <v>2495</v>
      </c>
      <c r="BE16" s="2048">
        <f t="shared" si="6"/>
        <v>314</v>
      </c>
      <c r="BF16" s="1815">
        <f>_xlfn.XLOOKUP($D16,'Sales Rec'!$E$4:$E$93,'Sales Rec'!$CH$4:$CH$93)</f>
        <v>227</v>
      </c>
      <c r="BG16" s="2048">
        <f t="shared" si="7"/>
        <v>227</v>
      </c>
      <c r="BH16" s="2050">
        <f t="shared" si="15"/>
        <v>-0.27707006369426751</v>
      </c>
      <c r="BI16" s="1815">
        <f>_xlfn.XLOOKUP($D16,'Sales Rec'!$E$4:$E$93,'Sales Rec'!$CK$4:$CK$93)</f>
        <v>524</v>
      </c>
      <c r="BJ16" s="2048">
        <f t="shared" si="8"/>
        <v>297</v>
      </c>
      <c r="BK16" s="2050">
        <f t="shared" si="16"/>
        <v>0.30837004405286345</v>
      </c>
      <c r="BL16" s="1815">
        <f>_xlfn.XLOOKUP($D16,'Sales Rec'!$E$4:$E$93,'Sales Rec'!$CN$4:$CN$93)</f>
        <v>865</v>
      </c>
      <c r="BM16" s="2048">
        <f t="shared" si="9"/>
        <v>341</v>
      </c>
      <c r="BN16" s="2050">
        <f t="shared" si="17"/>
        <v>0.14814814814814814</v>
      </c>
      <c r="BO16" s="2069">
        <f t="shared" si="18"/>
        <v>2.1251475796930343E-2</v>
      </c>
      <c r="BP16" s="1575">
        <f t="shared" si="19"/>
        <v>26</v>
      </c>
    </row>
    <row r="17" spans="1:68" ht="100" customHeight="1">
      <c r="A17" s="2146">
        <v>15</v>
      </c>
      <c r="B17" s="2176">
        <f>_xlfn.XLOOKUP(D17,Cement!$Q$7:$Q$35,Cement!$A$7:$A$35,"")</f>
        <v>14.380222800984832</v>
      </c>
      <c r="C17" s="2164" t="str">
        <f>Cement!P21</f>
        <v>سيمان‌ كرمان‌</v>
      </c>
      <c r="D17" s="2164" t="str">
        <f>Cement!Q21</f>
        <v>سكرما</v>
      </c>
      <c r="E17" s="2165">
        <f>_xlfn.XLOOKUP(D17,Cement!$Q$7:$Q$35,Cement!$R$7:$R$35,"")</f>
        <v>9</v>
      </c>
      <c r="F17" s="2166">
        <f>_xlfn.XLOOKUP(D17,Cement!$Q$7:$Q$35,Cement!$AP$7:$AP$35,"")</f>
        <v>1852</v>
      </c>
      <c r="G17" s="2167">
        <v>4</v>
      </c>
      <c r="H17" s="2168">
        <f t="shared" si="0"/>
        <v>7</v>
      </c>
      <c r="I17" s="2147"/>
      <c r="J17" s="2148"/>
      <c r="K17" s="2149"/>
      <c r="L17" s="2150"/>
      <c r="M17" s="2147"/>
      <c r="N17" s="2148"/>
      <c r="O17" s="2149"/>
      <c r="P17" s="2151"/>
      <c r="Q17" s="2186">
        <f t="shared" si="20"/>
        <v>325</v>
      </c>
      <c r="R17" s="2187"/>
      <c r="S17" s="2188">
        <f>_xlfn.XLOOKUP(D17,'Sales Rec'!$E$4:$E$93,'Sales Rec'!$CP$4:$CP$93,"")</f>
        <v>0.69988412514484355</v>
      </c>
      <c r="T17" s="2152" t="s">
        <v>234</v>
      </c>
      <c r="U17" s="2152" t="s">
        <v>234</v>
      </c>
      <c r="AH17" s="1815">
        <f>_xlfn.XLOOKUP($D17,'Sales Rec'!$E$4:$E$93,'Sales Rec'!$AS$4:$AS$93)</f>
        <v>537</v>
      </c>
      <c r="AI17" s="2048">
        <f t="shared" si="21"/>
        <v>537</v>
      </c>
      <c r="AJ17" s="1815">
        <f>_xlfn.XLOOKUP($D17,'Sales Rec'!$E$4:$E$93,'Sales Rec'!$AV$4:$AV$93)</f>
        <v>692</v>
      </c>
      <c r="AK17" s="2048">
        <f t="shared" si="22"/>
        <v>155</v>
      </c>
      <c r="AL17" s="1815">
        <f>_xlfn.XLOOKUP($D17,'Sales Rec'!$E$4:$E$93,'Sales Rec'!$AY$4:$AY$93)</f>
        <v>863</v>
      </c>
      <c r="AM17" s="2048">
        <f t="shared" si="23"/>
        <v>171</v>
      </c>
      <c r="AN17" s="1815">
        <f>_xlfn.XLOOKUP($D17,'Sales Rec'!$E$4:$E$93,'Sales Rec'!$BB$4:$BB$93)</f>
        <v>1037</v>
      </c>
      <c r="AO17" s="2048">
        <f t="shared" si="24"/>
        <v>174</v>
      </c>
      <c r="AP17" s="1815">
        <f>_xlfn.XLOOKUP($D17,'Sales Rec'!$E$4:$E$93,'Sales Rec'!$BE$4:$BE$93)</f>
        <v>1182</v>
      </c>
      <c r="AQ17" s="2048">
        <f t="shared" si="25"/>
        <v>145</v>
      </c>
      <c r="AR17" s="1815">
        <f>_xlfn.XLOOKUP(D17,'Sales Rec'!$E$4:$E$93,'Sales Rec'!$BH$4:$BH$93)</f>
        <v>1339</v>
      </c>
      <c r="AS17" s="2048">
        <f t="shared" si="1"/>
        <v>157</v>
      </c>
      <c r="AT17" s="1815">
        <f>_xlfn.XLOOKUP(D17,'Sales Rec'!$E$4:$E$93,'Sales Rec'!$BK$4:$BK$93)</f>
        <v>1514</v>
      </c>
      <c r="AU17" s="2048">
        <f t="shared" si="1"/>
        <v>175</v>
      </c>
      <c r="AV17" s="1815">
        <f>_xlfn.XLOOKUP($D17,'Sales Rec'!$E$4:$E$93,'Sales Rec'!$BN$4:$BN$93)</f>
        <v>1689</v>
      </c>
      <c r="AW17" s="2048">
        <f t="shared" si="2"/>
        <v>175</v>
      </c>
      <c r="AX17" s="1815">
        <f>_xlfn.XLOOKUP($D17,'Sales Rec'!$E$4:$E$93,'Sales Rec'!$BQ$4:$BQ$93)</f>
        <v>1852</v>
      </c>
      <c r="AY17" s="2048">
        <f t="shared" si="3"/>
        <v>163</v>
      </c>
      <c r="AZ17" s="1815">
        <f>_xlfn.XLOOKUP($D17,'Sales Rec'!$E$4:$E$93,'Sales Rec'!$BT$4:$BT$93)</f>
        <v>220</v>
      </c>
      <c r="BA17" s="2048">
        <f t="shared" si="4"/>
        <v>220</v>
      </c>
      <c r="BB17" s="1815">
        <f>_xlfn.XLOOKUP($D17,'Sales Rec'!$E$4:$E$93,'Sales Rec'!$BW$4:$BW$93)</f>
        <v>404</v>
      </c>
      <c r="BC17" s="2048">
        <f t="shared" si="5"/>
        <v>184</v>
      </c>
      <c r="BD17" s="1815">
        <f>_xlfn.XLOOKUP($D17,'Sales Rec'!$E$4:$E$93,'Sales Rec'!$BZ$4:$BZ$93)</f>
        <v>618</v>
      </c>
      <c r="BE17" s="2048">
        <f t="shared" si="6"/>
        <v>214</v>
      </c>
      <c r="BF17" s="1815">
        <f>_xlfn.XLOOKUP($D17,'Sales Rec'!$E$4:$E$93,'Sales Rec'!$CH$4:$CH$93)</f>
        <v>825</v>
      </c>
      <c r="BG17" s="2048">
        <f t="shared" si="7"/>
        <v>207</v>
      </c>
      <c r="BH17" s="2050">
        <f t="shared" si="15"/>
        <v>-3.2710280373831772E-2</v>
      </c>
      <c r="BI17" s="1815">
        <f>_xlfn.XLOOKUP($D17,'Sales Rec'!$E$4:$E$93,'Sales Rec'!$CK$4:$CK$93)</f>
        <v>1142</v>
      </c>
      <c r="BJ17" s="2048">
        <f t="shared" si="8"/>
        <v>317</v>
      </c>
      <c r="BK17" s="2050">
        <f t="shared" si="16"/>
        <v>0.53140096618357491</v>
      </c>
      <c r="BL17" s="1815">
        <f>_xlfn.XLOOKUP($D17,'Sales Rec'!$E$4:$E$93,'Sales Rec'!$CN$4:$CN$93)</f>
        <v>1467</v>
      </c>
      <c r="BM17" s="2048">
        <f t="shared" si="9"/>
        <v>325</v>
      </c>
      <c r="BN17" s="2050">
        <f t="shared" si="17"/>
        <v>2.5236593059936908E-2</v>
      </c>
      <c r="BO17" s="2069">
        <f t="shared" si="18"/>
        <v>0.37378640776699029</v>
      </c>
      <c r="BP17" s="1575">
        <f t="shared" si="19"/>
        <v>15</v>
      </c>
    </row>
    <row r="18" spans="1:68" ht="100" customHeight="1">
      <c r="A18" s="2146">
        <v>16</v>
      </c>
      <c r="B18" s="2176">
        <f>_xlfn.XLOOKUP(D18,Cement!$Q$7:$Q$35,Cement!$A$7:$A$35,"")</f>
        <v>9.2730653097207458</v>
      </c>
      <c r="C18" s="2164" t="str">
        <f>Cement!P22</f>
        <v>سيمان ساوه</v>
      </c>
      <c r="D18" s="2164" t="str">
        <f>Cement!Q22</f>
        <v>ساوه</v>
      </c>
      <c r="E18" s="2165">
        <f>_xlfn.XLOOKUP(D18,Cement!$Q$7:$Q$35,Cement!$R$7:$R$35,"")</f>
        <v>12</v>
      </c>
      <c r="F18" s="2166">
        <f>_xlfn.XLOOKUP(D18,Cement!$Q$7:$Q$35,Cement!$AP$7:$AP$35,"")</f>
        <v>5941</v>
      </c>
      <c r="G18" s="2167">
        <v>4</v>
      </c>
      <c r="H18" s="2168">
        <f t="shared" si="0"/>
        <v>4</v>
      </c>
      <c r="I18" s="2147"/>
      <c r="J18" s="2148"/>
      <c r="K18" s="2149"/>
      <c r="L18" s="2150"/>
      <c r="M18" s="2147"/>
      <c r="N18" s="2148"/>
      <c r="O18" s="2149"/>
      <c r="P18" s="2151"/>
      <c r="Q18" s="2186">
        <f t="shared" si="20"/>
        <v>769</v>
      </c>
      <c r="R18" s="2187"/>
      <c r="S18" s="2188">
        <f>_xlfn.XLOOKUP(D18,'Sales Rec'!$E$4:$E$93,'Sales Rec'!$CP$4:$CP$93,"")</f>
        <v>0.76868953386103778</v>
      </c>
      <c r="T18" s="2152" t="s">
        <v>234</v>
      </c>
      <c r="U18" s="2152" t="s">
        <v>234</v>
      </c>
      <c r="AH18" s="1815">
        <f>_xlfn.XLOOKUP($D18,'Sales Rec'!$E$4:$E$93,'Sales Rec'!$AS$4:$AS$93)</f>
        <v>265</v>
      </c>
      <c r="AI18" s="2048">
        <f t="shared" si="21"/>
        <v>265</v>
      </c>
      <c r="AJ18" s="1815">
        <f>_xlfn.XLOOKUP($D18,'Sales Rec'!$E$4:$E$93,'Sales Rec'!$AV$4:$AV$93)</f>
        <v>618</v>
      </c>
      <c r="AK18" s="2048">
        <f t="shared" si="22"/>
        <v>353</v>
      </c>
      <c r="AL18" s="1815">
        <f>_xlfn.XLOOKUP($D18,'Sales Rec'!$E$4:$E$93,'Sales Rec'!$AY$4:$AY$93)</f>
        <v>1137</v>
      </c>
      <c r="AM18" s="2048">
        <f t="shared" si="23"/>
        <v>519</v>
      </c>
      <c r="AN18" s="1815">
        <f>_xlfn.XLOOKUP($D18,'Sales Rec'!$E$4:$E$93,'Sales Rec'!$BB$4:$BB$93)</f>
        <v>1645</v>
      </c>
      <c r="AO18" s="2048">
        <f t="shared" si="24"/>
        <v>508</v>
      </c>
      <c r="AP18" s="1815">
        <f>_xlfn.XLOOKUP($D18,'Sales Rec'!$E$4:$E$93,'Sales Rec'!$BE$4:$BE$93)</f>
        <v>2205</v>
      </c>
      <c r="AQ18" s="2048">
        <f t="shared" si="25"/>
        <v>560</v>
      </c>
      <c r="AR18" s="1815">
        <f>_xlfn.XLOOKUP(D18,'Sales Rec'!$E$4:$E$93,'Sales Rec'!$BH$4:$BH$93)</f>
        <v>2775</v>
      </c>
      <c r="AS18" s="2048">
        <f t="shared" si="1"/>
        <v>570</v>
      </c>
      <c r="AT18" s="1815">
        <f>_xlfn.XLOOKUP(D18,'Sales Rec'!$E$4:$E$93,'Sales Rec'!$BK$4:$BK$93)</f>
        <v>3354</v>
      </c>
      <c r="AU18" s="2048">
        <f t="shared" si="1"/>
        <v>579</v>
      </c>
      <c r="AV18" s="1815">
        <f>_xlfn.XLOOKUP($D18,'Sales Rec'!$E$4:$E$93,'Sales Rec'!$BN$4:$BN$93)</f>
        <v>3915</v>
      </c>
      <c r="AW18" s="2048">
        <f t="shared" si="2"/>
        <v>561</v>
      </c>
      <c r="AX18" s="1815">
        <f>_xlfn.XLOOKUP($D18,'Sales Rec'!$E$4:$E$93,'Sales Rec'!$BQ$4:$BQ$93)</f>
        <v>4468</v>
      </c>
      <c r="AY18" s="2048">
        <f t="shared" si="3"/>
        <v>553</v>
      </c>
      <c r="AZ18" s="1815">
        <f>_xlfn.XLOOKUP($D18,'Sales Rec'!$E$4:$E$93,'Sales Rec'!$BT$4:$BT$93)</f>
        <v>4957</v>
      </c>
      <c r="BA18" s="2048">
        <f t="shared" si="4"/>
        <v>489</v>
      </c>
      <c r="BB18" s="1815">
        <f>_xlfn.XLOOKUP($D18,'Sales Rec'!$E$4:$E$93,'Sales Rec'!$BW$4:$BW$93)</f>
        <v>5470</v>
      </c>
      <c r="BC18" s="2048">
        <f t="shared" si="5"/>
        <v>513</v>
      </c>
      <c r="BD18" s="1815">
        <f>_xlfn.XLOOKUP($D18,'Sales Rec'!$E$4:$E$93,'Sales Rec'!$BZ$4:$BZ$93)</f>
        <v>5941</v>
      </c>
      <c r="BE18" s="2048">
        <f t="shared" si="6"/>
        <v>471</v>
      </c>
      <c r="BF18" s="1815">
        <f>_xlfn.XLOOKUP($D18,'Sales Rec'!$E$4:$E$93,'Sales Rec'!$CH$4:$CH$93)</f>
        <v>439</v>
      </c>
      <c r="BG18" s="2048">
        <f t="shared" si="7"/>
        <v>439</v>
      </c>
      <c r="BH18" s="2050">
        <f t="shared" si="15"/>
        <v>-6.7940552016985137E-2</v>
      </c>
      <c r="BI18" s="1815">
        <f>_xlfn.XLOOKUP($D18,'Sales Rec'!$E$4:$E$93,'Sales Rec'!$CK$4:$CK$93)</f>
        <v>1242</v>
      </c>
      <c r="BJ18" s="2048">
        <f t="shared" si="8"/>
        <v>803</v>
      </c>
      <c r="BK18" s="2050">
        <f t="shared" si="16"/>
        <v>0.82915717539863321</v>
      </c>
      <c r="BL18" s="1815">
        <f>_xlfn.XLOOKUP($D18,'Sales Rec'!$E$4:$E$93,'Sales Rec'!$CN$4:$CN$93)</f>
        <v>2011</v>
      </c>
      <c r="BM18" s="2048">
        <f t="shared" si="9"/>
        <v>769</v>
      </c>
      <c r="BN18" s="2050">
        <f t="shared" si="17"/>
        <v>-4.2341220423412207E-2</v>
      </c>
      <c r="BO18" s="2069">
        <f t="shared" si="18"/>
        <v>0.36524100475220639</v>
      </c>
      <c r="BP18" s="1575">
        <f t="shared" si="19"/>
        <v>17</v>
      </c>
    </row>
    <row r="19" spans="1:68" ht="100" customHeight="1">
      <c r="A19" s="2146">
        <v>17</v>
      </c>
      <c r="B19" s="2176">
        <f>_xlfn.XLOOKUP(D19,Cement!$Q$7:$Q$35,Cement!$A$7:$A$35,"")</f>
        <v>8.9839762773261249</v>
      </c>
      <c r="C19" s="2164" t="str">
        <f>Cement!P23</f>
        <v>سيمان ‌مازندران‌</v>
      </c>
      <c r="D19" s="2164" t="str">
        <f>Cement!Q23</f>
        <v>سمازن</v>
      </c>
      <c r="E19" s="2165">
        <f>_xlfn.XLOOKUP(D19,Cement!$Q$7:$Q$35,Cement!$R$7:$R$35,"")</f>
        <v>9</v>
      </c>
      <c r="F19" s="2166">
        <f>_xlfn.XLOOKUP(D19,Cement!$Q$7:$Q$35,Cement!$AP$7:$AP$35,"")</f>
        <v>4210</v>
      </c>
      <c r="G19" s="2167">
        <v>4</v>
      </c>
      <c r="H19" s="2168">
        <f t="shared" si="0"/>
        <v>7</v>
      </c>
      <c r="I19" s="2147"/>
      <c r="J19" s="2148"/>
      <c r="K19" s="2149"/>
      <c r="L19" s="2150"/>
      <c r="M19" s="2147"/>
      <c r="N19" s="2148"/>
      <c r="O19" s="2149"/>
      <c r="P19" s="2151"/>
      <c r="Q19" s="2186">
        <f t="shared" si="20"/>
        <v>707</v>
      </c>
      <c r="R19" s="2187"/>
      <c r="S19" s="2188">
        <f>_xlfn.XLOOKUP(D19,'Sales Rec'!$E$4:$E$93,'Sales Rec'!$CP$4:$CP$93,"")</f>
        <v>0.82015590200445432</v>
      </c>
      <c r="T19" s="2152" t="s">
        <v>234</v>
      </c>
      <c r="U19" s="2152" t="s">
        <v>234</v>
      </c>
      <c r="AH19" s="1815">
        <f>_xlfn.XLOOKUP($D19,'Sales Rec'!$E$4:$E$93,'Sales Rec'!$AS$4:$AS$93)</f>
        <v>1049</v>
      </c>
      <c r="AI19" s="2048">
        <f t="shared" si="21"/>
        <v>1049</v>
      </c>
      <c r="AJ19" s="1815">
        <f>_xlfn.XLOOKUP($D19,'Sales Rec'!$E$4:$E$93,'Sales Rec'!$AV$4:$AV$93)</f>
        <v>1329</v>
      </c>
      <c r="AK19" s="2048">
        <f t="shared" si="22"/>
        <v>280</v>
      </c>
      <c r="AL19" s="1815">
        <f>_xlfn.XLOOKUP($D19,'Sales Rec'!$E$4:$E$93,'Sales Rec'!$AY$4:$AY$93)</f>
        <v>1796</v>
      </c>
      <c r="AM19" s="2048">
        <f t="shared" si="23"/>
        <v>467</v>
      </c>
      <c r="AN19" s="1815">
        <f>_xlfn.XLOOKUP($D19,'Sales Rec'!$E$4:$E$93,'Sales Rec'!$BB$4:$BB$93)</f>
        <v>2187</v>
      </c>
      <c r="AO19" s="2048">
        <f t="shared" si="24"/>
        <v>391</v>
      </c>
      <c r="AP19" s="1815">
        <f>_xlfn.XLOOKUP($D19,'Sales Rec'!$E$4:$E$93,'Sales Rec'!$BE$4:$BE$93)</f>
        <v>2555</v>
      </c>
      <c r="AQ19" s="2048">
        <f t="shared" si="25"/>
        <v>368</v>
      </c>
      <c r="AR19" s="1815">
        <f>_xlfn.XLOOKUP(D19,'Sales Rec'!$E$4:$E$93,'Sales Rec'!$BH$4:$BH$93)</f>
        <v>2968</v>
      </c>
      <c r="AS19" s="2048">
        <f t="shared" si="1"/>
        <v>413</v>
      </c>
      <c r="AT19" s="1815">
        <f>_xlfn.XLOOKUP(D19,'Sales Rec'!$E$4:$E$93,'Sales Rec'!$BK$4:$BK$93)</f>
        <v>3364</v>
      </c>
      <c r="AU19" s="2048">
        <f t="shared" si="1"/>
        <v>396</v>
      </c>
      <c r="AV19" s="1815">
        <f>_xlfn.XLOOKUP($D19,'Sales Rec'!$E$4:$E$93,'Sales Rec'!$BN$4:$BN$93)</f>
        <v>3796</v>
      </c>
      <c r="AW19" s="2048">
        <f t="shared" si="2"/>
        <v>432</v>
      </c>
      <c r="AX19" s="1815">
        <f>_xlfn.XLOOKUP($D19,'Sales Rec'!$E$4:$E$93,'Sales Rec'!$BQ$4:$BQ$93)</f>
        <v>4256</v>
      </c>
      <c r="AY19" s="2048">
        <f t="shared" si="3"/>
        <v>460</v>
      </c>
      <c r="AZ19" s="1815">
        <f>_xlfn.XLOOKUP($D19,'Sales Rec'!$E$4:$E$93,'Sales Rec'!$BT$4:$BT$93)</f>
        <v>449</v>
      </c>
      <c r="BA19" s="2048">
        <f t="shared" si="4"/>
        <v>449</v>
      </c>
      <c r="BB19" s="1815">
        <f>_xlfn.XLOOKUP($D19,'Sales Rec'!$E$4:$E$93,'Sales Rec'!$BW$4:$BW$93)</f>
        <v>847</v>
      </c>
      <c r="BC19" s="2048">
        <f t="shared" si="5"/>
        <v>398</v>
      </c>
      <c r="BD19" s="1815">
        <f>_xlfn.XLOOKUP($D19,'Sales Rec'!$E$4:$E$93,'Sales Rec'!$BZ$4:$BZ$93)</f>
        <v>1284</v>
      </c>
      <c r="BE19" s="2048">
        <f t="shared" si="6"/>
        <v>437</v>
      </c>
      <c r="BF19" s="1815">
        <f>_xlfn.XLOOKUP($D19,'Sales Rec'!$E$4:$E$93,'Sales Rec'!$CH$4:$CH$93)</f>
        <v>1777</v>
      </c>
      <c r="BG19" s="2048">
        <f t="shared" si="7"/>
        <v>493</v>
      </c>
      <c r="BH19" s="2050">
        <f t="shared" si="15"/>
        <v>0.12814645308924486</v>
      </c>
      <c r="BI19" s="1815">
        <f>_xlfn.XLOOKUP($D19,'Sales Rec'!$E$4:$E$93,'Sales Rec'!$CK$4:$CK$93)</f>
        <v>2562</v>
      </c>
      <c r="BJ19" s="2048">
        <f t="shared" si="8"/>
        <v>785</v>
      </c>
      <c r="BK19" s="2050">
        <f t="shared" si="16"/>
        <v>0.59229208924949295</v>
      </c>
      <c r="BL19" s="1815">
        <f>_xlfn.XLOOKUP($D19,'Sales Rec'!$E$4:$E$93,'Sales Rec'!$CN$4:$CN$93)</f>
        <v>3269</v>
      </c>
      <c r="BM19" s="2048">
        <f t="shared" si="9"/>
        <v>707</v>
      </c>
      <c r="BN19" s="2050">
        <f t="shared" si="17"/>
        <v>-9.936305732484077E-2</v>
      </c>
      <c r="BO19" s="2069">
        <f t="shared" si="18"/>
        <v>0.54595015576323991</v>
      </c>
      <c r="BP19" s="1575">
        <f t="shared" si="19"/>
        <v>9</v>
      </c>
    </row>
    <row r="20" spans="1:68" ht="100" customHeight="1">
      <c r="A20" s="2146">
        <v>18</v>
      </c>
      <c r="B20" s="2176">
        <f>_xlfn.XLOOKUP(D20,Cement!$Q$7:$Q$35,Cement!$A$7:$A$35,"")</f>
        <v>4.272015472959688</v>
      </c>
      <c r="C20" s="2164" t="str">
        <f>Cement!P24</f>
        <v>سیمان اردستان</v>
      </c>
      <c r="D20" s="2164" t="str">
        <f>Cement!Q24</f>
        <v>اردستان</v>
      </c>
      <c r="E20" s="2165">
        <f>_xlfn.XLOOKUP(D20,Cement!$Q$7:$Q$35,Cement!$R$7:$R$35,"")</f>
        <v>12</v>
      </c>
      <c r="F20" s="2166">
        <f>_xlfn.XLOOKUP(D20,Cement!$Q$7:$Q$35,Cement!$AP$7:$AP$35,"")</f>
        <v>1894</v>
      </c>
      <c r="G20" s="2167">
        <v>4</v>
      </c>
      <c r="H20" s="2168">
        <f t="shared" si="0"/>
        <v>4</v>
      </c>
      <c r="I20" s="2147"/>
      <c r="J20" s="2148"/>
      <c r="K20" s="2149"/>
      <c r="L20" s="2150"/>
      <c r="M20" s="2147"/>
      <c r="N20" s="2148"/>
      <c r="O20" s="2149"/>
      <c r="P20" s="2151"/>
      <c r="Q20" s="2186">
        <f t="shared" si="20"/>
        <v>271</v>
      </c>
      <c r="R20" s="2187"/>
      <c r="S20" s="2188">
        <f>_xlfn.XLOOKUP(D20,'Sales Rec'!$E$4:$E$93,'Sales Rec'!$CP$4:$CP$93,"")</f>
        <v>0.34800838574423482</v>
      </c>
      <c r="T20" s="2152" t="s">
        <v>234</v>
      </c>
      <c r="U20" s="2152" t="s">
        <v>234</v>
      </c>
      <c r="AH20" s="1815">
        <f>_xlfn.XLOOKUP($D20,'Sales Rec'!$E$4:$E$93,'Sales Rec'!$AS$4:$AS$93)</f>
        <v>108</v>
      </c>
      <c r="AI20" s="2048">
        <f t="shared" si="21"/>
        <v>108</v>
      </c>
      <c r="AJ20" s="1815">
        <f>_xlfn.XLOOKUP($D20,'Sales Rec'!$E$4:$E$93,'Sales Rec'!$AV$4:$AV$93)</f>
        <v>314</v>
      </c>
      <c r="AK20" s="2048">
        <f t="shared" si="22"/>
        <v>206</v>
      </c>
      <c r="AL20" s="1815">
        <f>_xlfn.XLOOKUP($D20,'Sales Rec'!$E$4:$E$93,'Sales Rec'!$AY$4:$AY$93)</f>
        <v>477</v>
      </c>
      <c r="AM20" s="2048">
        <f t="shared" si="23"/>
        <v>163</v>
      </c>
      <c r="AN20" s="1815">
        <f>_xlfn.XLOOKUP($D20,'Sales Rec'!$E$4:$E$93,'Sales Rec'!$BB$4:$BB$93)</f>
        <v>626</v>
      </c>
      <c r="AO20" s="2048">
        <f t="shared" si="24"/>
        <v>149</v>
      </c>
      <c r="AP20" s="1815">
        <f>_xlfn.XLOOKUP($D20,'Sales Rec'!$E$4:$E$93,'Sales Rec'!$BE$4:$BE$93)</f>
        <v>765</v>
      </c>
      <c r="AQ20" s="2048">
        <f t="shared" si="25"/>
        <v>139</v>
      </c>
      <c r="AR20" s="1815">
        <f>_xlfn.XLOOKUP(D20,'Sales Rec'!$E$4:$E$93,'Sales Rec'!$BH$4:$BH$93)</f>
        <v>904</v>
      </c>
      <c r="AS20" s="2048">
        <f t="shared" si="1"/>
        <v>139</v>
      </c>
      <c r="AT20" s="1815">
        <f>_xlfn.XLOOKUP(D20,'Sales Rec'!$E$4:$E$93,'Sales Rec'!$BK$4:$BK$93)</f>
        <v>1079</v>
      </c>
      <c r="AU20" s="2048">
        <f t="shared" si="1"/>
        <v>175</v>
      </c>
      <c r="AV20" s="1815">
        <f>_xlfn.XLOOKUP($D20,'Sales Rec'!$E$4:$E$93,'Sales Rec'!$BN$4:$BN$93)</f>
        <v>1245</v>
      </c>
      <c r="AW20" s="2048">
        <f t="shared" si="2"/>
        <v>166</v>
      </c>
      <c r="AX20" s="1815">
        <f>_xlfn.XLOOKUP($D20,'Sales Rec'!$E$4:$E$93,'Sales Rec'!$BQ$4:$BQ$93)</f>
        <v>1405</v>
      </c>
      <c r="AY20" s="2048">
        <f t="shared" si="3"/>
        <v>160</v>
      </c>
      <c r="AZ20" s="1815">
        <f>_xlfn.XLOOKUP($D20,'Sales Rec'!$E$4:$E$93,'Sales Rec'!$BT$4:$BT$93)</f>
        <v>1566</v>
      </c>
      <c r="BA20" s="2048">
        <f t="shared" si="4"/>
        <v>161</v>
      </c>
      <c r="BB20" s="1815">
        <f>_xlfn.XLOOKUP($D20,'Sales Rec'!$E$4:$E$93,'Sales Rec'!$BW$4:$BW$93)</f>
        <v>1731</v>
      </c>
      <c r="BC20" s="2048">
        <f t="shared" si="5"/>
        <v>165</v>
      </c>
      <c r="BD20" s="1815">
        <f>_xlfn.XLOOKUP($D20,'Sales Rec'!$E$4:$E$93,'Sales Rec'!$BZ$4:$BZ$93)</f>
        <v>1894</v>
      </c>
      <c r="BE20" s="2048">
        <f t="shared" si="6"/>
        <v>163</v>
      </c>
      <c r="BF20" s="1815">
        <f>_xlfn.XLOOKUP($D20,'Sales Rec'!$E$4:$E$93,'Sales Rec'!$CH$4:$CH$93)</f>
        <v>128</v>
      </c>
      <c r="BG20" s="2048">
        <f t="shared" si="7"/>
        <v>128</v>
      </c>
      <c r="BH20" s="2050">
        <f t="shared" si="15"/>
        <v>-0.21472392638036811</v>
      </c>
      <c r="BI20" s="1815">
        <f>_xlfn.XLOOKUP($D20,'Sales Rec'!$E$4:$E$93,'Sales Rec'!$CK$4:$CK$93)</f>
        <v>372</v>
      </c>
      <c r="BJ20" s="2048">
        <f t="shared" si="8"/>
        <v>244</v>
      </c>
      <c r="BK20" s="2050">
        <f t="shared" si="16"/>
        <v>0.90625</v>
      </c>
      <c r="BL20" s="1815">
        <f>_xlfn.XLOOKUP($D20,'Sales Rec'!$E$4:$E$93,'Sales Rec'!$CN$4:$CN$93)</f>
        <v>643</v>
      </c>
      <c r="BM20" s="2048">
        <f t="shared" si="9"/>
        <v>271</v>
      </c>
      <c r="BN20" s="2050">
        <f t="shared" si="17"/>
        <v>0.11065573770491803</v>
      </c>
      <c r="BO20" s="2069">
        <f t="shared" si="18"/>
        <v>0.31492842535787319</v>
      </c>
      <c r="BP20" s="1575">
        <f t="shared" si="19"/>
        <v>20</v>
      </c>
    </row>
    <row r="21" spans="1:68" ht="100" customHeight="1">
      <c r="A21" s="2146">
        <v>19</v>
      </c>
      <c r="B21" s="2176">
        <f>_xlfn.XLOOKUP(D21,Cement!$Q$7:$Q$35,Cement!$A$7:$A$35,"")</f>
        <v>0.28480263281042628</v>
      </c>
      <c r="C21" s="2164" t="str">
        <f>Cement!P25</f>
        <v>سيمان‌ خزر</v>
      </c>
      <c r="D21" s="2164" t="str">
        <f>Cement!Q25</f>
        <v>سخزر</v>
      </c>
      <c r="E21" s="2165">
        <f>_xlfn.XLOOKUP(D21,Cement!$Q$7:$Q$35,Cement!$R$7:$R$35,"")</f>
        <v>12</v>
      </c>
      <c r="F21" s="2166">
        <f>_xlfn.XLOOKUP(D21,Cement!$Q$7:$Q$35,Cement!$AP$7:$AP$35,"")</f>
        <v>2306</v>
      </c>
      <c r="G21" s="2167">
        <v>4</v>
      </c>
      <c r="H21" s="2168">
        <f t="shared" si="0"/>
        <v>4</v>
      </c>
      <c r="I21" s="2147"/>
      <c r="J21" s="2148"/>
      <c r="K21" s="2149"/>
      <c r="L21" s="2150"/>
      <c r="M21" s="2147"/>
      <c r="N21" s="2148"/>
      <c r="O21" s="2149"/>
      <c r="P21" s="2151"/>
      <c r="Q21" s="2186">
        <f t="shared" si="20"/>
        <v>324</v>
      </c>
      <c r="R21" s="2187"/>
      <c r="S21" s="2188">
        <f>_xlfn.XLOOKUP(D21,'Sales Rec'!$E$4:$E$93,'Sales Rec'!$CP$4:$CP$93,"")</f>
        <v>0.50362318840579712</v>
      </c>
      <c r="T21" s="2152" t="s">
        <v>234</v>
      </c>
      <c r="U21" s="2152" t="s">
        <v>234</v>
      </c>
      <c r="AH21" s="1815">
        <f>_xlfn.XLOOKUP($D21,'Sales Rec'!$E$4:$E$93,'Sales Rec'!$AS$4:$AS$93)</f>
        <v>115</v>
      </c>
      <c r="AI21" s="2048">
        <f t="shared" si="21"/>
        <v>115</v>
      </c>
      <c r="AJ21" s="1815">
        <f>_xlfn.XLOOKUP($D21,'Sales Rec'!$E$4:$E$93,'Sales Rec'!$AV$4:$AV$93)</f>
        <v>287</v>
      </c>
      <c r="AK21" s="2048">
        <f t="shared" si="22"/>
        <v>172</v>
      </c>
      <c r="AL21" s="1815">
        <f>_xlfn.XLOOKUP($D21,'Sales Rec'!$E$4:$E$93,'Sales Rec'!$AY$4:$AY$93)</f>
        <v>552</v>
      </c>
      <c r="AM21" s="2048">
        <f t="shared" si="23"/>
        <v>265</v>
      </c>
      <c r="AN21" s="1815">
        <f>_xlfn.XLOOKUP($D21,'Sales Rec'!$E$4:$E$93,'Sales Rec'!$BB$4:$BB$93)</f>
        <v>766</v>
      </c>
      <c r="AO21" s="2048">
        <f t="shared" si="24"/>
        <v>214</v>
      </c>
      <c r="AP21" s="1815">
        <f>_xlfn.XLOOKUP($D21,'Sales Rec'!$E$4:$E$93,'Sales Rec'!$BE$4:$BE$93)</f>
        <v>964</v>
      </c>
      <c r="AQ21" s="2048">
        <f t="shared" si="25"/>
        <v>198</v>
      </c>
      <c r="AR21" s="1815">
        <f>_xlfn.XLOOKUP(D21,'Sales Rec'!$E$4:$E$93,'Sales Rec'!$BH$4:$BH$93)</f>
        <v>1142</v>
      </c>
      <c r="AS21" s="2048">
        <f t="shared" si="1"/>
        <v>178</v>
      </c>
      <c r="AT21" s="1815">
        <f>_xlfn.XLOOKUP(D21,'Sales Rec'!$E$4:$E$93,'Sales Rec'!$BK$4:$BK$93)</f>
        <v>1342</v>
      </c>
      <c r="AU21" s="2048">
        <f t="shared" si="1"/>
        <v>200</v>
      </c>
      <c r="AV21" s="1815">
        <f>_xlfn.XLOOKUP($D21,'Sales Rec'!$E$4:$E$93,'Sales Rec'!$BN$4:$BN$93)</f>
        <v>1561</v>
      </c>
      <c r="AW21" s="2048">
        <f t="shared" si="2"/>
        <v>219</v>
      </c>
      <c r="AX21" s="1815">
        <f>_xlfn.XLOOKUP($D21,'Sales Rec'!$E$4:$E$93,'Sales Rec'!$BQ$4:$BQ$93)</f>
        <v>1758</v>
      </c>
      <c r="AY21" s="2048">
        <f t="shared" si="3"/>
        <v>197</v>
      </c>
      <c r="AZ21" s="1815">
        <f>_xlfn.XLOOKUP($D21,'Sales Rec'!$E$4:$E$93,'Sales Rec'!$BT$4:$BT$93)</f>
        <v>1961</v>
      </c>
      <c r="BA21" s="2048">
        <f t="shared" si="4"/>
        <v>203</v>
      </c>
      <c r="BB21" s="1815">
        <f>_xlfn.XLOOKUP($D21,'Sales Rec'!$E$4:$E$93,'Sales Rec'!$BW$4:$BW$93)</f>
        <v>2133</v>
      </c>
      <c r="BC21" s="2048">
        <f t="shared" si="5"/>
        <v>172</v>
      </c>
      <c r="BD21" s="1815">
        <f>_xlfn.XLOOKUP($D21,'Sales Rec'!$E$4:$E$93,'Sales Rec'!$BZ$4:$BZ$93)</f>
        <v>2306</v>
      </c>
      <c r="BE21" s="2048">
        <f t="shared" si="6"/>
        <v>173</v>
      </c>
      <c r="BF21" s="1815">
        <f>_xlfn.XLOOKUP($D21,'Sales Rec'!$E$4:$E$93,'Sales Rec'!$CH$4:$CH$93)</f>
        <v>191</v>
      </c>
      <c r="BG21" s="2048">
        <f t="shared" si="7"/>
        <v>191</v>
      </c>
      <c r="BH21" s="2050">
        <f t="shared" si="15"/>
        <v>0.10404624277456648</v>
      </c>
      <c r="BI21" s="1815">
        <f>_xlfn.XLOOKUP($D21,'Sales Rec'!$E$4:$E$93,'Sales Rec'!$CK$4:$CK$93)</f>
        <v>506</v>
      </c>
      <c r="BJ21" s="2048">
        <f t="shared" si="8"/>
        <v>315</v>
      </c>
      <c r="BK21" s="2050">
        <f t="shared" si="16"/>
        <v>0.64921465968586389</v>
      </c>
      <c r="BL21" s="1815">
        <f>_xlfn.XLOOKUP($D21,'Sales Rec'!$E$4:$E$93,'Sales Rec'!$CN$4:$CN$93)</f>
        <v>830</v>
      </c>
      <c r="BM21" s="2048">
        <f t="shared" si="9"/>
        <v>324</v>
      </c>
      <c r="BN21" s="2050">
        <f t="shared" si="17"/>
        <v>2.8571428571428571E-2</v>
      </c>
      <c r="BO21" s="2069">
        <f t="shared" si="18"/>
        <v>0.51459854014598538</v>
      </c>
      <c r="BP21" s="1575">
        <f t="shared" si="19"/>
        <v>10</v>
      </c>
    </row>
    <row r="22" spans="1:68" ht="100" customHeight="1">
      <c r="A22" s="2146">
        <v>20</v>
      </c>
      <c r="B22" s="2176">
        <f>_xlfn.XLOOKUP(D22,Cement!$Q$7:$Q$35,Cement!$A$7:$A$35,"")</f>
        <v>-0.73633515948652661</v>
      </c>
      <c r="C22" s="2164" t="str">
        <f>Cement!P26</f>
        <v>سيمان‌غرب‌</v>
      </c>
      <c r="D22" s="2164" t="str">
        <f>Cement!Q26</f>
        <v>سغرب</v>
      </c>
      <c r="E22" s="2165">
        <f>_xlfn.XLOOKUP(D22,Cement!$Q$7:$Q$35,Cement!$R$7:$R$35,"")</f>
        <v>12</v>
      </c>
      <c r="F22" s="2166">
        <f>_xlfn.XLOOKUP(D22,Cement!$Q$7:$Q$35,Cement!$AP$7:$AP$35,"")</f>
        <v>1957</v>
      </c>
      <c r="G22" s="2167">
        <v>4</v>
      </c>
      <c r="H22" s="2168">
        <f t="shared" si="0"/>
        <v>4</v>
      </c>
      <c r="I22" s="2147"/>
      <c r="J22" s="2148"/>
      <c r="K22" s="2149"/>
      <c r="L22" s="2150"/>
      <c r="M22" s="2147"/>
      <c r="N22" s="2148"/>
      <c r="O22" s="2149"/>
      <c r="P22" s="2151"/>
      <c r="Q22" s="2186">
        <f t="shared" si="20"/>
        <v>230</v>
      </c>
      <c r="R22" s="2187"/>
      <c r="S22" s="2188">
        <f>_xlfn.XLOOKUP(D22,'Sales Rec'!$E$4:$E$93,'Sales Rec'!$CP$4:$CP$93,"")</f>
        <v>0.18982387475538159</v>
      </c>
      <c r="T22" s="2152" t="s">
        <v>234</v>
      </c>
      <c r="U22" s="2152" t="s">
        <v>234</v>
      </c>
      <c r="AH22" s="1815">
        <f>_xlfn.XLOOKUP($D22,'Sales Rec'!$E$4:$E$93,'Sales Rec'!$AS$4:$AS$93)</f>
        <v>126</v>
      </c>
      <c r="AI22" s="2048">
        <f t="shared" si="21"/>
        <v>126</v>
      </c>
      <c r="AJ22" s="1815">
        <f>_xlfn.XLOOKUP($D22,'Sales Rec'!$E$4:$E$93,'Sales Rec'!$AV$4:$AV$93)</f>
        <v>328</v>
      </c>
      <c r="AK22" s="2048">
        <f t="shared" si="22"/>
        <v>202</v>
      </c>
      <c r="AL22" s="1815">
        <f>_xlfn.XLOOKUP($D22,'Sales Rec'!$E$4:$E$93,'Sales Rec'!$AY$4:$AY$93)</f>
        <v>511</v>
      </c>
      <c r="AM22" s="2048">
        <f t="shared" si="23"/>
        <v>183</v>
      </c>
      <c r="AN22" s="1815">
        <f>_xlfn.XLOOKUP($D22,'Sales Rec'!$E$4:$E$93,'Sales Rec'!$BB$4:$BB$93)</f>
        <v>686</v>
      </c>
      <c r="AO22" s="2048">
        <f t="shared" si="24"/>
        <v>175</v>
      </c>
      <c r="AP22" s="1815">
        <f>_xlfn.XLOOKUP($D22,'Sales Rec'!$E$4:$E$93,'Sales Rec'!$BE$4:$BE$93)</f>
        <v>830</v>
      </c>
      <c r="AQ22" s="2048">
        <f t="shared" si="25"/>
        <v>144</v>
      </c>
      <c r="AR22" s="1815">
        <f>_xlfn.XLOOKUP(D22,'Sales Rec'!$E$4:$E$93,'Sales Rec'!$BH$4:$BH$93)</f>
        <v>1001</v>
      </c>
      <c r="AS22" s="2048">
        <f t="shared" si="1"/>
        <v>171</v>
      </c>
      <c r="AT22" s="1815">
        <f>_xlfn.XLOOKUP(D22,'Sales Rec'!$E$4:$E$93,'Sales Rec'!$BK$4:$BK$93)</f>
        <v>1181</v>
      </c>
      <c r="AU22" s="2048">
        <f t="shared" si="1"/>
        <v>180</v>
      </c>
      <c r="AV22" s="1815">
        <f>_xlfn.XLOOKUP($D22,'Sales Rec'!$E$4:$E$93,'Sales Rec'!$BN$4:$BN$93)</f>
        <v>1359</v>
      </c>
      <c r="AW22" s="2048">
        <f t="shared" si="2"/>
        <v>178</v>
      </c>
      <c r="AX22" s="1815">
        <f>_xlfn.XLOOKUP($D22,'Sales Rec'!$E$4:$E$93,'Sales Rec'!$BQ$4:$BQ$93)</f>
        <v>1513</v>
      </c>
      <c r="AY22" s="2048">
        <f t="shared" si="3"/>
        <v>154</v>
      </c>
      <c r="AZ22" s="1815">
        <f>_xlfn.XLOOKUP($D22,'Sales Rec'!$E$4:$E$93,'Sales Rec'!$BT$4:$BT$93)</f>
        <v>1644</v>
      </c>
      <c r="BA22" s="2048">
        <f t="shared" si="4"/>
        <v>131</v>
      </c>
      <c r="BB22" s="1815">
        <f>_xlfn.XLOOKUP($D22,'Sales Rec'!$E$4:$E$93,'Sales Rec'!$BW$4:$BW$93)</f>
        <v>1794</v>
      </c>
      <c r="BC22" s="2048">
        <f t="shared" si="5"/>
        <v>150</v>
      </c>
      <c r="BD22" s="1815">
        <f>_xlfn.XLOOKUP($D22,'Sales Rec'!$E$4:$E$93,'Sales Rec'!$BZ$4:$BZ$93)</f>
        <v>1957</v>
      </c>
      <c r="BE22" s="2048">
        <f t="shared" si="6"/>
        <v>163</v>
      </c>
      <c r="BF22" s="1815">
        <f>_xlfn.XLOOKUP($D22,'Sales Rec'!$E$4:$E$93,'Sales Rec'!$CH$4:$CH$93)</f>
        <v>140</v>
      </c>
      <c r="BG22" s="2048">
        <f t="shared" si="7"/>
        <v>140</v>
      </c>
      <c r="BH22" s="2050">
        <f t="shared" si="15"/>
        <v>-0.1411042944785276</v>
      </c>
      <c r="BI22" s="1815">
        <f>_xlfn.XLOOKUP($D22,'Sales Rec'!$E$4:$E$93,'Sales Rec'!$CK$4:$CK$93)</f>
        <v>378</v>
      </c>
      <c r="BJ22" s="2048">
        <f t="shared" si="8"/>
        <v>238</v>
      </c>
      <c r="BK22" s="2050">
        <f t="shared" si="16"/>
        <v>0.7</v>
      </c>
      <c r="BL22" s="1815">
        <f>_xlfn.XLOOKUP($D22,'Sales Rec'!$E$4:$E$93,'Sales Rec'!$CN$4:$CN$93)</f>
        <v>608</v>
      </c>
      <c r="BM22" s="2048">
        <f t="shared" si="9"/>
        <v>230</v>
      </c>
      <c r="BN22" s="2050">
        <f t="shared" si="17"/>
        <v>-3.3613445378151259E-2</v>
      </c>
      <c r="BO22" s="2069">
        <f t="shared" si="18"/>
        <v>0.36936936936936937</v>
      </c>
      <c r="BP22" s="1575">
        <f t="shared" si="19"/>
        <v>16</v>
      </c>
    </row>
    <row r="23" spans="1:68" ht="100" customHeight="1">
      <c r="A23" s="2146">
        <v>21</v>
      </c>
      <c r="B23" s="2176">
        <f>_xlfn.XLOOKUP(D23,Cement!$Q$7:$Q$35,Cement!$A$7:$A$35,"")</f>
        <v>-0.3801749626398081</v>
      </c>
      <c r="C23" s="2164" t="str">
        <f>Cement!P27</f>
        <v>سيمان آبيك</v>
      </c>
      <c r="D23" s="2164" t="str">
        <f>Cement!Q27</f>
        <v>سآبيك</v>
      </c>
      <c r="E23" s="2165">
        <f>_xlfn.XLOOKUP(D23,Cement!$Q$7:$Q$35,Cement!$R$7:$R$35,"")</f>
        <v>12</v>
      </c>
      <c r="F23" s="2166">
        <f>_xlfn.XLOOKUP(D23,Cement!$Q$7:$Q$35,Cement!$AP$7:$AP$35,"")</f>
        <v>6056</v>
      </c>
      <c r="G23" s="2167">
        <v>4</v>
      </c>
      <c r="H23" s="2168">
        <f t="shared" si="0"/>
        <v>4</v>
      </c>
      <c r="I23" s="2147"/>
      <c r="J23" s="2148"/>
      <c r="K23" s="2149"/>
      <c r="L23" s="2150"/>
      <c r="M23" s="2147"/>
      <c r="N23" s="2148"/>
      <c r="O23" s="2149"/>
      <c r="P23" s="2151"/>
      <c r="Q23" s="2186">
        <f t="shared" si="20"/>
        <v>841</v>
      </c>
      <c r="R23" s="2187"/>
      <c r="S23" s="2188">
        <f>_xlfn.XLOOKUP(D23,'Sales Rec'!$E$4:$E$93,'Sales Rec'!$CP$4:$CP$93,"")</f>
        <v>0.42947903430749684</v>
      </c>
      <c r="T23" s="2152" t="s">
        <v>234</v>
      </c>
      <c r="U23" s="2152" t="s">
        <v>234</v>
      </c>
      <c r="AH23" s="1815">
        <f>_xlfn.XLOOKUP($D23,'Sales Rec'!$E$4:$E$93,'Sales Rec'!$AS$4:$AS$93)</f>
        <v>388</v>
      </c>
      <c r="AI23" s="2048">
        <f t="shared" si="21"/>
        <v>388</v>
      </c>
      <c r="AJ23" s="1815">
        <f>_xlfn.XLOOKUP($D23,'Sales Rec'!$E$4:$E$93,'Sales Rec'!$AV$4:$AV$93)</f>
        <v>885</v>
      </c>
      <c r="AK23" s="2048">
        <f t="shared" si="22"/>
        <v>497</v>
      </c>
      <c r="AL23" s="1815">
        <f>_xlfn.XLOOKUP($D23,'Sales Rec'!$E$4:$E$93,'Sales Rec'!$AY$4:$AY$93)</f>
        <v>1574</v>
      </c>
      <c r="AM23" s="2048">
        <f t="shared" si="23"/>
        <v>689</v>
      </c>
      <c r="AN23" s="1815">
        <f>_xlfn.XLOOKUP($D23,'Sales Rec'!$E$4:$E$93,'Sales Rec'!$BB$4:$BB$93)</f>
        <v>2104</v>
      </c>
      <c r="AO23" s="2048">
        <f t="shared" si="24"/>
        <v>530</v>
      </c>
      <c r="AP23" s="1815">
        <f>_xlfn.XLOOKUP($D23,'Sales Rec'!$E$4:$E$93,'Sales Rec'!$BE$4:$BE$93)</f>
        <v>2597</v>
      </c>
      <c r="AQ23" s="2048">
        <f t="shared" si="25"/>
        <v>493</v>
      </c>
      <c r="AR23" s="1815">
        <f>_xlfn.XLOOKUP(D23,'Sales Rec'!$E$4:$E$93,'Sales Rec'!$BH$4:$BH$93)</f>
        <v>3086</v>
      </c>
      <c r="AS23" s="2048">
        <f t="shared" si="1"/>
        <v>489</v>
      </c>
      <c r="AT23" s="1815">
        <f>_xlfn.XLOOKUP(D23,'Sales Rec'!$E$4:$E$93,'Sales Rec'!$BK$4:$BK$93)</f>
        <v>3621</v>
      </c>
      <c r="AU23" s="2048">
        <f t="shared" si="1"/>
        <v>535</v>
      </c>
      <c r="AV23" s="1815">
        <f>_xlfn.XLOOKUP($D23,'Sales Rec'!$E$4:$E$93,'Sales Rec'!$BN$4:$BN$93)</f>
        <v>4133</v>
      </c>
      <c r="AW23" s="2048">
        <f t="shared" si="2"/>
        <v>512</v>
      </c>
      <c r="AX23" s="1815">
        <f>_xlfn.XLOOKUP($D23,'Sales Rec'!$E$4:$E$93,'Sales Rec'!$BQ$4:$BQ$93)</f>
        <v>4609</v>
      </c>
      <c r="AY23" s="2048">
        <f t="shared" si="3"/>
        <v>476</v>
      </c>
      <c r="AZ23" s="1815">
        <f>_xlfn.XLOOKUP($D23,'Sales Rec'!$E$4:$E$93,'Sales Rec'!$BT$4:$BT$93)</f>
        <v>5066</v>
      </c>
      <c r="BA23" s="2048">
        <f t="shared" si="4"/>
        <v>457</v>
      </c>
      <c r="BB23" s="1815">
        <f>_xlfn.XLOOKUP($D23,'Sales Rec'!$E$4:$E$93,'Sales Rec'!$BW$4:$BW$93)</f>
        <v>5554</v>
      </c>
      <c r="BC23" s="2048">
        <f t="shared" si="5"/>
        <v>488</v>
      </c>
      <c r="BD23" s="1815">
        <f>_xlfn.XLOOKUP($D23,'Sales Rec'!$E$4:$E$93,'Sales Rec'!$BZ$4:$BZ$93)</f>
        <v>6056</v>
      </c>
      <c r="BE23" s="2048">
        <f t="shared" si="6"/>
        <v>502</v>
      </c>
      <c r="BF23" s="1815">
        <f>_xlfn.XLOOKUP($D23,'Sales Rec'!$E$4:$E$93,'Sales Rec'!$CH$4:$CH$93)</f>
        <v>402</v>
      </c>
      <c r="BG23" s="2048">
        <f t="shared" si="7"/>
        <v>402</v>
      </c>
      <c r="BH23" s="2050">
        <f t="shared" si="15"/>
        <v>-0.19920318725099601</v>
      </c>
      <c r="BI23" s="1815">
        <f>_xlfn.XLOOKUP($D23,'Sales Rec'!$E$4:$E$93,'Sales Rec'!$CK$4:$CK$93)</f>
        <v>1409</v>
      </c>
      <c r="BJ23" s="2048">
        <f t="shared" si="8"/>
        <v>1007</v>
      </c>
      <c r="BK23" s="2050">
        <f t="shared" si="16"/>
        <v>1.5049751243781095</v>
      </c>
      <c r="BL23" s="1815">
        <f>_xlfn.XLOOKUP($D23,'Sales Rec'!$E$4:$E$93,'Sales Rec'!$CN$4:$CN$93)</f>
        <v>2250</v>
      </c>
      <c r="BM23" s="2048">
        <f t="shared" si="9"/>
        <v>841</v>
      </c>
      <c r="BN23" s="2050">
        <f t="shared" si="17"/>
        <v>-0.16484607745779542</v>
      </c>
      <c r="BO23" s="2069">
        <f t="shared" si="18"/>
        <v>0.55494125777470626</v>
      </c>
      <c r="BP23" s="1575">
        <f t="shared" si="19"/>
        <v>8</v>
      </c>
    </row>
    <row r="24" spans="1:68" ht="100" customHeight="1">
      <c r="A24" s="2146">
        <v>22</v>
      </c>
      <c r="B24" s="2176">
        <f>_xlfn.XLOOKUP(D24,Cement!$Q$7:$Q$35,Cement!$A$7:$A$35,"")</f>
        <v>-2.4994308049222735</v>
      </c>
      <c r="C24" s="2164" t="str">
        <f>Cement!P28</f>
        <v>سيمان‌هرمزگان‌</v>
      </c>
      <c r="D24" s="2164" t="str">
        <f>Cement!Q28</f>
        <v>سهرمز</v>
      </c>
      <c r="E24" s="2165">
        <f>_xlfn.XLOOKUP(D24,Cement!$Q$7:$Q$35,Cement!$R$7:$R$35,"")</f>
        <v>9</v>
      </c>
      <c r="F24" s="2166">
        <f>_xlfn.XLOOKUP(D24,Cement!$Q$7:$Q$35,Cement!$AP$7:$AP$35,"")</f>
        <v>3939</v>
      </c>
      <c r="G24" s="2167">
        <v>4</v>
      </c>
      <c r="H24" s="2168">
        <f t="shared" si="0"/>
        <v>7</v>
      </c>
      <c r="I24" s="2147"/>
      <c r="J24" s="2148"/>
      <c r="K24" s="2149"/>
      <c r="L24" s="2150"/>
      <c r="M24" s="2147"/>
      <c r="N24" s="2148"/>
      <c r="O24" s="2149"/>
      <c r="P24" s="2151"/>
      <c r="Q24" s="2186">
        <f t="shared" si="20"/>
        <v>394</v>
      </c>
      <c r="R24" s="2187"/>
      <c r="S24" s="2188">
        <f>_xlfn.XLOOKUP(D24,'Sales Rec'!$E$4:$E$93,'Sales Rec'!$CP$4:$CP$93,"")</f>
        <v>0.40692186680650239</v>
      </c>
      <c r="T24" s="2152" t="s">
        <v>234</v>
      </c>
      <c r="U24" s="2152" t="s">
        <v>234</v>
      </c>
      <c r="AH24" s="1815">
        <f>_xlfn.XLOOKUP($D24,'Sales Rec'!$E$4:$E$93,'Sales Rec'!$AS$4:$AS$93)</f>
        <v>1232</v>
      </c>
      <c r="AI24" s="2048">
        <f t="shared" si="21"/>
        <v>1232</v>
      </c>
      <c r="AJ24" s="1815">
        <f>_xlfn.XLOOKUP($D24,'Sales Rec'!$E$4:$E$93,'Sales Rec'!$AV$4:$AV$93)</f>
        <v>1577</v>
      </c>
      <c r="AK24" s="2048">
        <f t="shared" si="22"/>
        <v>345</v>
      </c>
      <c r="AL24" s="1815">
        <f>_xlfn.XLOOKUP($D24,'Sales Rec'!$E$4:$E$93,'Sales Rec'!$AY$4:$AY$93)</f>
        <v>1907</v>
      </c>
      <c r="AM24" s="2048">
        <f t="shared" si="23"/>
        <v>330</v>
      </c>
      <c r="AN24" s="1815">
        <f>_xlfn.XLOOKUP($D24,'Sales Rec'!$E$4:$E$93,'Sales Rec'!$BB$4:$BB$93)</f>
        <v>2151</v>
      </c>
      <c r="AO24" s="2048">
        <f t="shared" si="24"/>
        <v>244</v>
      </c>
      <c r="AP24" s="1815">
        <f>_xlfn.XLOOKUP($D24,'Sales Rec'!$E$4:$E$93,'Sales Rec'!$BE$4:$BE$93)</f>
        <v>2412</v>
      </c>
      <c r="AQ24" s="2048">
        <f t="shared" si="25"/>
        <v>261</v>
      </c>
      <c r="AR24" s="1815">
        <f>_xlfn.XLOOKUP(D24,'Sales Rec'!$E$4:$E$93,'Sales Rec'!$BH$4:$BH$93)</f>
        <v>2729</v>
      </c>
      <c r="AS24" s="2048">
        <f t="shared" si="1"/>
        <v>317</v>
      </c>
      <c r="AT24" s="1815">
        <f>_xlfn.XLOOKUP(D24,'Sales Rec'!$E$4:$E$93,'Sales Rec'!$BK$4:$BK$93)</f>
        <v>3081</v>
      </c>
      <c r="AU24" s="2048">
        <f t="shared" si="1"/>
        <v>352</v>
      </c>
      <c r="AV24" s="1815">
        <f>_xlfn.XLOOKUP($D24,'Sales Rec'!$E$4:$E$93,'Sales Rec'!$BN$4:$BN$93)</f>
        <v>3566</v>
      </c>
      <c r="AW24" s="2048">
        <f t="shared" si="2"/>
        <v>485</v>
      </c>
      <c r="AX24" s="1815">
        <f>_xlfn.XLOOKUP($D24,'Sales Rec'!$E$4:$E$93,'Sales Rec'!$BQ$4:$BQ$93)</f>
        <v>3939</v>
      </c>
      <c r="AY24" s="2048">
        <f t="shared" si="3"/>
        <v>373</v>
      </c>
      <c r="AZ24" s="1815">
        <f>_xlfn.XLOOKUP($D24,'Sales Rec'!$E$4:$E$93,'Sales Rec'!$BT$4:$BT$93)</f>
        <v>617</v>
      </c>
      <c r="BA24" s="2048">
        <f t="shared" si="4"/>
        <v>617</v>
      </c>
      <c r="BB24" s="1815">
        <f>_xlfn.XLOOKUP($D24,'Sales Rec'!$E$4:$E$93,'Sales Rec'!$BW$4:$BW$93)</f>
        <v>1312</v>
      </c>
      <c r="BC24" s="2048">
        <f t="shared" si="5"/>
        <v>695</v>
      </c>
      <c r="BD24" s="1815">
        <f>_xlfn.XLOOKUP($D24,'Sales Rec'!$E$4:$E$93,'Sales Rec'!$BZ$4:$BZ$93)</f>
        <v>1555</v>
      </c>
      <c r="BE24" s="2048">
        <f t="shared" si="6"/>
        <v>243</v>
      </c>
      <c r="BF24" s="1815">
        <f>_xlfn.XLOOKUP($D24,'Sales Rec'!$E$4:$E$93,'Sales Rec'!$CH$4:$CH$93)</f>
        <v>1844</v>
      </c>
      <c r="BG24" s="2048">
        <f t="shared" si="7"/>
        <v>289</v>
      </c>
      <c r="BH24" s="2050">
        <f t="shared" si="15"/>
        <v>0.18930041152263374</v>
      </c>
      <c r="BI24" s="1815">
        <f>_xlfn.XLOOKUP($D24,'Sales Rec'!$E$4:$E$93,'Sales Rec'!$CK$4:$CK$93)</f>
        <v>2289</v>
      </c>
      <c r="BJ24" s="2048">
        <f t="shared" si="8"/>
        <v>445</v>
      </c>
      <c r="BK24" s="2050">
        <f t="shared" si="16"/>
        <v>0.53979238754325265</v>
      </c>
      <c r="BL24" s="1815">
        <f>_xlfn.XLOOKUP($D24,'Sales Rec'!$E$4:$E$93,'Sales Rec'!$CN$4:$CN$93)</f>
        <v>2683</v>
      </c>
      <c r="BM24" s="2048">
        <f t="shared" si="9"/>
        <v>394</v>
      </c>
      <c r="BN24" s="2050">
        <f t="shared" si="17"/>
        <v>-0.1146067415730337</v>
      </c>
      <c r="BO24" s="2069">
        <f t="shared" si="18"/>
        <v>-0.27459807073954984</v>
      </c>
      <c r="BP24" s="1575">
        <f t="shared" si="19"/>
        <v>28</v>
      </c>
    </row>
    <row r="25" spans="1:68" ht="100" customHeight="1">
      <c r="A25" s="2146">
        <v>23</v>
      </c>
      <c r="B25" s="2176">
        <f>_xlfn.XLOOKUP(D25,Cement!$Q$7:$Q$35,Cement!$A$7:$A$35,"")</f>
        <v>-5.0680802798950131</v>
      </c>
      <c r="C25" s="2164" t="str">
        <f>Cement!P29</f>
        <v>سيمان‌ شرق‌</v>
      </c>
      <c r="D25" s="2164" t="str">
        <f>Cement!Q29</f>
        <v>سشرق</v>
      </c>
      <c r="E25" s="2165">
        <f>_xlfn.XLOOKUP(D25,Cement!$Q$7:$Q$35,Cement!$R$7:$R$35,"")</f>
        <v>6</v>
      </c>
      <c r="F25" s="2166">
        <f>_xlfn.XLOOKUP(D25,Cement!$Q$7:$Q$35,Cement!$AP$7:$AP$35,"")</f>
        <v>2170</v>
      </c>
      <c r="G25" s="2167">
        <v>4</v>
      </c>
      <c r="H25" s="2168">
        <f t="shared" si="0"/>
        <v>10</v>
      </c>
      <c r="I25" s="2147"/>
      <c r="J25" s="2148"/>
      <c r="K25" s="2149"/>
      <c r="L25" s="2150"/>
      <c r="M25" s="2147"/>
      <c r="N25" s="2148"/>
      <c r="O25" s="2149"/>
      <c r="P25" s="2151"/>
      <c r="Q25" s="2186">
        <f t="shared" si="20"/>
        <v>398</v>
      </c>
      <c r="R25" s="2187"/>
      <c r="S25" s="2188">
        <f>_xlfn.XLOOKUP(D25,'Sales Rec'!$E$4:$E$93,'Sales Rec'!$CP$4:$CP$93,"")</f>
        <v>0.79452054794520544</v>
      </c>
      <c r="T25" s="2152" t="s">
        <v>234</v>
      </c>
      <c r="U25" s="2152" t="s">
        <v>234</v>
      </c>
      <c r="AH25" s="1815">
        <f>_xlfn.XLOOKUP($D25,'Sales Rec'!$E$4:$E$93,'Sales Rec'!$AS$4:$AS$93)</f>
        <v>1046</v>
      </c>
      <c r="AI25" s="2048">
        <f t="shared" si="21"/>
        <v>1046</v>
      </c>
      <c r="AJ25" s="1815">
        <f>_xlfn.XLOOKUP($D25,'Sales Rec'!$E$4:$E$93,'Sales Rec'!$AV$4:$AV$93)</f>
        <v>1225</v>
      </c>
      <c r="AK25" s="2048">
        <f t="shared" si="22"/>
        <v>179</v>
      </c>
      <c r="AL25" s="1815">
        <f>_xlfn.XLOOKUP($D25,'Sales Rec'!$E$4:$E$93,'Sales Rec'!$AY$4:$AY$93)</f>
        <v>1533</v>
      </c>
      <c r="AM25" s="2048">
        <f t="shared" si="23"/>
        <v>308</v>
      </c>
      <c r="AN25" s="1815">
        <f>_xlfn.XLOOKUP($D25,'Sales Rec'!$E$4:$E$93,'Sales Rec'!$BB$4:$BB$93)</f>
        <v>1779</v>
      </c>
      <c r="AO25" s="2048">
        <f t="shared" si="24"/>
        <v>246</v>
      </c>
      <c r="AP25" s="1815">
        <f>_xlfn.XLOOKUP($D25,'Sales Rec'!$E$4:$E$93,'Sales Rec'!$BE$4:$BE$93)</f>
        <v>1952</v>
      </c>
      <c r="AQ25" s="2048">
        <f t="shared" si="25"/>
        <v>173</v>
      </c>
      <c r="AR25" s="1815">
        <f>_xlfn.XLOOKUP(D25,'Sales Rec'!$E$4:$E$93,'Sales Rec'!$BH$4:$BH$93)</f>
        <v>2170</v>
      </c>
      <c r="AS25" s="2048">
        <f t="shared" si="1"/>
        <v>218</v>
      </c>
      <c r="AT25" s="1815">
        <f>_xlfn.XLOOKUP(D25,'Sales Rec'!$E$4:$E$93,'Sales Rec'!$BK$4:$BK$93)</f>
        <v>313</v>
      </c>
      <c r="AU25" s="2048">
        <f t="shared" si="1"/>
        <v>313</v>
      </c>
      <c r="AV25" s="1815">
        <f>_xlfn.XLOOKUP($D25,'Sales Rec'!$E$4:$E$93,'Sales Rec'!$BN$4:$BN$93)</f>
        <v>619</v>
      </c>
      <c r="AW25" s="2048">
        <f t="shared" si="2"/>
        <v>306</v>
      </c>
      <c r="AX25" s="1815">
        <f>_xlfn.XLOOKUP($D25,'Sales Rec'!$E$4:$E$93,'Sales Rec'!$BQ$4:$BQ$93)</f>
        <v>895</v>
      </c>
      <c r="AY25" s="2048">
        <f t="shared" si="3"/>
        <v>276</v>
      </c>
      <c r="AZ25" s="1815">
        <f>_xlfn.XLOOKUP($D25,'Sales Rec'!$E$4:$E$93,'Sales Rec'!$BT$4:$BT$93)</f>
        <v>1106</v>
      </c>
      <c r="BA25" s="2048">
        <f t="shared" si="4"/>
        <v>211</v>
      </c>
      <c r="BB25" s="1815">
        <f>_xlfn.XLOOKUP($D25,'Sales Rec'!$E$4:$E$93,'Sales Rec'!$BW$4:$BW$93)</f>
        <v>1358</v>
      </c>
      <c r="BC25" s="2048">
        <f t="shared" si="5"/>
        <v>252</v>
      </c>
      <c r="BD25" s="1815">
        <f>_xlfn.XLOOKUP($D25,'Sales Rec'!$E$4:$E$93,'Sales Rec'!$BZ$4:$BZ$93)</f>
        <v>1671</v>
      </c>
      <c r="BE25" s="2048">
        <f t="shared" si="6"/>
        <v>313</v>
      </c>
      <c r="BF25" s="1815">
        <f>_xlfn.XLOOKUP($D25,'Sales Rec'!$E$4:$E$93,'Sales Rec'!$CH$4:$CH$93)</f>
        <v>1919</v>
      </c>
      <c r="BG25" s="2048">
        <f t="shared" si="7"/>
        <v>248</v>
      </c>
      <c r="BH25" s="2050">
        <f t="shared" si="15"/>
        <v>-0.20766773162939298</v>
      </c>
      <c r="BI25" s="1815">
        <f>_xlfn.XLOOKUP($D25,'Sales Rec'!$E$4:$E$93,'Sales Rec'!$CK$4:$CK$93)</f>
        <v>2353</v>
      </c>
      <c r="BJ25" s="2048">
        <f t="shared" si="8"/>
        <v>434</v>
      </c>
      <c r="BK25" s="2050">
        <f t="shared" si="16"/>
        <v>0.75</v>
      </c>
      <c r="BL25" s="1815">
        <f>_xlfn.XLOOKUP($D25,'Sales Rec'!$E$4:$E$93,'Sales Rec'!$CN$4:$CN$93)</f>
        <v>2751</v>
      </c>
      <c r="BM25" s="2048">
        <f t="shared" si="9"/>
        <v>398</v>
      </c>
      <c r="BN25" s="2050">
        <f t="shared" si="17"/>
        <v>-8.294930875576037E-2</v>
      </c>
      <c r="BO25" s="2069">
        <f t="shared" si="18"/>
        <v>0.39175257731958762</v>
      </c>
      <c r="BP25" s="1575">
        <f t="shared" si="19"/>
        <v>14</v>
      </c>
    </row>
    <row r="26" spans="1:68" ht="100" customHeight="1">
      <c r="A26" s="2146">
        <v>24</v>
      </c>
      <c r="B26" s="2176">
        <f>_xlfn.XLOOKUP(D26,Cement!$Q$7:$Q$35,Cement!$A$7:$A$35,"")</f>
        <v>-5.1465409578434347</v>
      </c>
      <c r="C26" s="2164" t="str">
        <f>Cement!P30</f>
        <v>سيمان‌ شمال‌</v>
      </c>
      <c r="D26" s="2164" t="str">
        <f>Cement!Q30</f>
        <v>سشمال</v>
      </c>
      <c r="E26" s="2165">
        <f>_xlfn.XLOOKUP(D26,Cement!$Q$7:$Q$35,Cement!$R$7:$R$35,"")</f>
        <v>9</v>
      </c>
      <c r="F26" s="2166">
        <f>_xlfn.XLOOKUP(D26,Cement!$Q$7:$Q$35,Cement!$AP$7:$AP$35,"")</f>
        <v>1727</v>
      </c>
      <c r="G26" s="2167">
        <v>4</v>
      </c>
      <c r="H26" s="2168">
        <f t="shared" si="0"/>
        <v>7</v>
      </c>
      <c r="I26" s="2147"/>
      <c r="J26" s="2148"/>
      <c r="K26" s="2149"/>
      <c r="L26" s="2150"/>
      <c r="M26" s="2147"/>
      <c r="N26" s="2148"/>
      <c r="O26" s="2149"/>
      <c r="P26" s="2151"/>
      <c r="Q26" s="2186">
        <f t="shared" si="20"/>
        <v>268</v>
      </c>
      <c r="R26" s="2187"/>
      <c r="S26" s="2188">
        <f>_xlfn.XLOOKUP(D26,'Sales Rec'!$E$4:$E$93,'Sales Rec'!$CP$4:$CP$93,"")</f>
        <v>0.58445040214477206</v>
      </c>
      <c r="T26" s="2152" t="s">
        <v>234</v>
      </c>
      <c r="U26" s="2152" t="s">
        <v>234</v>
      </c>
      <c r="AH26" s="1815">
        <f>_xlfn.XLOOKUP($D26,'Sales Rec'!$E$4:$E$93,'Sales Rec'!$AS$4:$AS$93)</f>
        <v>454</v>
      </c>
      <c r="AI26" s="2048">
        <f t="shared" si="21"/>
        <v>454</v>
      </c>
      <c r="AJ26" s="1815">
        <f>_xlfn.XLOOKUP($D26,'Sales Rec'!$E$4:$E$93,'Sales Rec'!$AV$4:$AV$93)</f>
        <v>597</v>
      </c>
      <c r="AK26" s="2048">
        <f t="shared" si="22"/>
        <v>143</v>
      </c>
      <c r="AL26" s="1815">
        <f>_xlfn.XLOOKUP($D26,'Sales Rec'!$E$4:$E$93,'Sales Rec'!$AY$4:$AY$93)</f>
        <v>746</v>
      </c>
      <c r="AM26" s="2048">
        <f t="shared" si="23"/>
        <v>149</v>
      </c>
      <c r="AN26" s="1815">
        <f>_xlfn.XLOOKUP($D26,'Sales Rec'!$E$4:$E$93,'Sales Rec'!$BB$4:$BB$93)</f>
        <v>883</v>
      </c>
      <c r="AO26" s="2048">
        <f t="shared" si="24"/>
        <v>137</v>
      </c>
      <c r="AP26" s="1815">
        <f>_xlfn.XLOOKUP($D26,'Sales Rec'!$E$4:$E$93,'Sales Rec'!$BE$4:$BE$93)</f>
        <v>1035</v>
      </c>
      <c r="AQ26" s="2048">
        <f t="shared" si="25"/>
        <v>152</v>
      </c>
      <c r="AR26" s="1815">
        <f>_xlfn.XLOOKUP(D26,'Sales Rec'!$E$4:$E$93,'Sales Rec'!$BH$4:$BH$93)</f>
        <v>1164</v>
      </c>
      <c r="AS26" s="2048">
        <f t="shared" si="1"/>
        <v>129</v>
      </c>
      <c r="AT26" s="1815">
        <f>_xlfn.XLOOKUP(D26,'Sales Rec'!$E$4:$E$93,'Sales Rec'!$BK$4:$BK$93)</f>
        <v>1331</v>
      </c>
      <c r="AU26" s="2048">
        <f t="shared" si="1"/>
        <v>167</v>
      </c>
      <c r="AV26" s="1815">
        <f>_xlfn.XLOOKUP($D26,'Sales Rec'!$E$4:$E$93,'Sales Rec'!$BN$4:$BN$93)</f>
        <v>1523</v>
      </c>
      <c r="AW26" s="2048">
        <f t="shared" si="2"/>
        <v>192</v>
      </c>
      <c r="AX26" s="1815">
        <f>_xlfn.XLOOKUP($D26,'Sales Rec'!$E$4:$E$93,'Sales Rec'!$BQ$4:$BQ$93)</f>
        <v>1727</v>
      </c>
      <c r="AY26" s="2048">
        <f t="shared" si="3"/>
        <v>204</v>
      </c>
      <c r="AZ26" s="1815">
        <f>_xlfn.XLOOKUP($D26,'Sales Rec'!$E$4:$E$93,'Sales Rec'!$BT$4:$BT$93)</f>
        <v>169</v>
      </c>
      <c r="BA26" s="2048">
        <f t="shared" si="4"/>
        <v>169</v>
      </c>
      <c r="BB26" s="1815">
        <f>_xlfn.XLOOKUP($D26,'Sales Rec'!$E$4:$E$93,'Sales Rec'!$BW$4:$BW$93)</f>
        <v>348</v>
      </c>
      <c r="BC26" s="2048">
        <f t="shared" si="5"/>
        <v>179</v>
      </c>
      <c r="BD26" s="1815">
        <f>_xlfn.XLOOKUP($D26,'Sales Rec'!$E$4:$E$93,'Sales Rec'!$BZ$4:$BZ$93)</f>
        <v>503</v>
      </c>
      <c r="BE26" s="2048">
        <f t="shared" si="6"/>
        <v>155</v>
      </c>
      <c r="BF26" s="1815">
        <f>_xlfn.XLOOKUP($D26,'Sales Rec'!$E$4:$E$93,'Sales Rec'!$CH$4:$CH$93)</f>
        <v>620</v>
      </c>
      <c r="BG26" s="2048">
        <f t="shared" si="7"/>
        <v>117</v>
      </c>
      <c r="BH26" s="2050">
        <f t="shared" si="15"/>
        <v>-0.24516129032258063</v>
      </c>
      <c r="BI26" s="1815">
        <f>_xlfn.XLOOKUP($D26,'Sales Rec'!$E$4:$E$93,'Sales Rec'!$CK$4:$CK$93)</f>
        <v>914</v>
      </c>
      <c r="BJ26" s="2048">
        <f t="shared" si="8"/>
        <v>294</v>
      </c>
      <c r="BK26" s="2050">
        <f t="shared" si="16"/>
        <v>1.5128205128205128</v>
      </c>
      <c r="BL26" s="1815">
        <f>_xlfn.XLOOKUP($D26,'Sales Rec'!$E$4:$E$93,'Sales Rec'!$CN$4:$CN$93)</f>
        <v>1182</v>
      </c>
      <c r="BM26" s="2048">
        <f t="shared" si="9"/>
        <v>268</v>
      </c>
      <c r="BN26" s="2050">
        <f t="shared" si="17"/>
        <v>-8.8435374149659865E-2</v>
      </c>
      <c r="BO26" s="2069">
        <f t="shared" si="18"/>
        <v>0.3499005964214712</v>
      </c>
      <c r="BP26" s="1575">
        <f t="shared" si="19"/>
        <v>18</v>
      </c>
    </row>
    <row r="27" spans="1:68" ht="100" customHeight="1">
      <c r="A27" s="2146">
        <v>25</v>
      </c>
      <c r="B27" s="2176">
        <f>_xlfn.XLOOKUP(D27,Cement!$Q$7:$Q$35,Cement!$A$7:$A$35,"")</f>
        <v>-6.5171615294243201</v>
      </c>
      <c r="C27" s="2164" t="str">
        <f>Cement!P31</f>
        <v>سيمان كردستان</v>
      </c>
      <c r="D27" s="2164" t="str">
        <f>Cement!Q31</f>
        <v>سكرد</v>
      </c>
      <c r="E27" s="2165">
        <f>_xlfn.XLOOKUP(D27,Cement!$Q$7:$Q$35,Cement!$R$7:$R$35,"")</f>
        <v>6</v>
      </c>
      <c r="F27" s="2166">
        <f>_xlfn.XLOOKUP(D27,Cement!$Q$7:$Q$35,Cement!$AP$7:$AP$35,"")</f>
        <v>1201</v>
      </c>
      <c r="G27" s="2167">
        <v>4</v>
      </c>
      <c r="H27" s="2168">
        <f t="shared" si="0"/>
        <v>10</v>
      </c>
      <c r="I27" s="2147"/>
      <c r="J27" s="2148"/>
      <c r="K27" s="2149"/>
      <c r="L27" s="2150"/>
      <c r="M27" s="2147"/>
      <c r="N27" s="2148"/>
      <c r="O27" s="2149"/>
      <c r="P27" s="2151"/>
      <c r="Q27" s="2186">
        <f t="shared" si="20"/>
        <v>192</v>
      </c>
      <c r="R27" s="2187"/>
      <c r="S27" s="2188">
        <f>_xlfn.XLOOKUP(D27,'Sales Rec'!$E$4:$E$93,'Sales Rec'!$CP$4:$CP$93,"")</f>
        <v>0.62345679012345678</v>
      </c>
      <c r="T27" s="2152" t="s">
        <v>234</v>
      </c>
      <c r="U27" s="2152" t="s">
        <v>234</v>
      </c>
      <c r="AH27" s="1815">
        <f>_xlfn.XLOOKUP($D27,'Sales Rec'!$E$4:$E$93,'Sales Rec'!$AS$4:$AS$93)</f>
        <v>561</v>
      </c>
      <c r="AI27" s="2048">
        <f t="shared" si="21"/>
        <v>561</v>
      </c>
      <c r="AJ27" s="1815">
        <f>_xlfn.XLOOKUP($D27,'Sales Rec'!$E$4:$E$93,'Sales Rec'!$AV$4:$AV$93)</f>
        <v>683</v>
      </c>
      <c r="AK27" s="2048">
        <f t="shared" si="22"/>
        <v>122</v>
      </c>
      <c r="AL27" s="1815">
        <f>_xlfn.XLOOKUP($D27,'Sales Rec'!$E$4:$E$93,'Sales Rec'!$AY$4:$AY$93)</f>
        <v>810</v>
      </c>
      <c r="AM27" s="2048">
        <f t="shared" si="23"/>
        <v>127</v>
      </c>
      <c r="AN27" s="1815">
        <f>_xlfn.XLOOKUP($D27,'Sales Rec'!$E$4:$E$93,'Sales Rec'!$BB$4:$BB$93)</f>
        <v>907</v>
      </c>
      <c r="AO27" s="2048">
        <f t="shared" si="24"/>
        <v>97</v>
      </c>
      <c r="AP27" s="1815">
        <f>_xlfn.XLOOKUP($D27,'Sales Rec'!$E$4:$E$93,'Sales Rec'!$BE$4:$BE$93)</f>
        <v>1051</v>
      </c>
      <c r="AQ27" s="2048">
        <f t="shared" si="25"/>
        <v>144</v>
      </c>
      <c r="AR27" s="1815">
        <f>_xlfn.XLOOKUP(D27,'Sales Rec'!$E$4:$E$93,'Sales Rec'!$BH$4:$BH$93)</f>
        <v>1201</v>
      </c>
      <c r="AS27" s="2048">
        <f t="shared" si="1"/>
        <v>150</v>
      </c>
      <c r="AT27" s="1815">
        <f>_xlfn.XLOOKUP(D27,'Sales Rec'!$E$4:$E$93,'Sales Rec'!$BK$4:$BK$93)</f>
        <v>157</v>
      </c>
      <c r="AU27" s="2048">
        <f t="shared" si="1"/>
        <v>157</v>
      </c>
      <c r="AV27" s="1815">
        <f>_xlfn.XLOOKUP($D27,'Sales Rec'!$E$4:$E$93,'Sales Rec'!$BN$4:$BN$93)</f>
        <v>295</v>
      </c>
      <c r="AW27" s="2048">
        <f t="shared" si="2"/>
        <v>138</v>
      </c>
      <c r="AX27" s="1815">
        <f>_xlfn.XLOOKUP($D27,'Sales Rec'!$E$4:$E$93,'Sales Rec'!$BQ$4:$BQ$93)</f>
        <v>400</v>
      </c>
      <c r="AY27" s="2048">
        <f t="shared" si="3"/>
        <v>105</v>
      </c>
      <c r="AZ27" s="1815">
        <f>_xlfn.XLOOKUP($D27,'Sales Rec'!$E$4:$E$93,'Sales Rec'!$BT$4:$BT$93)</f>
        <v>450</v>
      </c>
      <c r="BA27" s="2048">
        <f t="shared" si="4"/>
        <v>50</v>
      </c>
      <c r="BB27" s="1815">
        <f>_xlfn.XLOOKUP($D27,'Sales Rec'!$E$4:$E$93,'Sales Rec'!$BW$4:$BW$93)</f>
        <v>545</v>
      </c>
      <c r="BC27" s="2048">
        <f t="shared" si="5"/>
        <v>95</v>
      </c>
      <c r="BD27" s="1815">
        <f>_xlfn.XLOOKUP($D27,'Sales Rec'!$E$4:$E$93,'Sales Rec'!$BZ$4:$BZ$93)</f>
        <v>694</v>
      </c>
      <c r="BE27" s="2048">
        <f t="shared" si="6"/>
        <v>149</v>
      </c>
      <c r="BF27" s="1815">
        <f>_xlfn.XLOOKUP($D27,'Sales Rec'!$E$4:$E$93,'Sales Rec'!$CH$4:$CH$93)</f>
        <v>860</v>
      </c>
      <c r="BG27" s="2048">
        <f t="shared" si="7"/>
        <v>166</v>
      </c>
      <c r="BH27" s="2050">
        <f t="shared" si="15"/>
        <v>0.11409395973154363</v>
      </c>
      <c r="BI27" s="1815">
        <f>_xlfn.XLOOKUP($D27,'Sales Rec'!$E$4:$E$93,'Sales Rec'!$CK$4:$CK$93)</f>
        <v>1123</v>
      </c>
      <c r="BJ27" s="2048">
        <f t="shared" si="8"/>
        <v>263</v>
      </c>
      <c r="BK27" s="2050">
        <f t="shared" si="16"/>
        <v>0.58433734939759041</v>
      </c>
      <c r="BL27" s="1815">
        <f>_xlfn.XLOOKUP($D27,'Sales Rec'!$E$4:$E$93,'Sales Rec'!$CN$4:$CN$93)</f>
        <v>1315</v>
      </c>
      <c r="BM27" s="2048">
        <f t="shared" si="9"/>
        <v>192</v>
      </c>
      <c r="BN27" s="2050">
        <f t="shared" si="17"/>
        <v>-0.26996197718631176</v>
      </c>
      <c r="BO27" s="2069">
        <f t="shared" si="18"/>
        <v>1.1122448979591837</v>
      </c>
      <c r="BP27" s="1575">
        <f t="shared" si="19"/>
        <v>3</v>
      </c>
    </row>
    <row r="28" spans="1:68" ht="100" customHeight="1">
      <c r="A28" s="2146">
        <v>26</v>
      </c>
      <c r="B28" s="2176">
        <f>_xlfn.XLOOKUP(D28,Cement!$Q$7:$Q$35,Cement!$A$7:$A$35,"")</f>
        <v>-12.195856599294064</v>
      </c>
      <c r="C28" s="2164" t="str">
        <f>Cement!P32</f>
        <v>سيمان آرتا اردبيل</v>
      </c>
      <c r="D28" s="2164" t="str">
        <f>Cement!Q32</f>
        <v>ساربيل</v>
      </c>
      <c r="E28" s="2165">
        <f>_xlfn.XLOOKUP(D28,Cement!$Q$7:$Q$35,Cement!$R$7:$R$35,"")</f>
        <v>9</v>
      </c>
      <c r="F28" s="2166">
        <f>_xlfn.XLOOKUP(D28,Cement!$Q$7:$Q$35,Cement!$AP$7:$AP$35,"")</f>
        <v>2711</v>
      </c>
      <c r="G28" s="2167">
        <v>4</v>
      </c>
      <c r="H28" s="2168">
        <f t="shared" si="0"/>
        <v>7</v>
      </c>
      <c r="I28" s="2147"/>
      <c r="J28" s="2148"/>
      <c r="K28" s="2149"/>
      <c r="L28" s="2150"/>
      <c r="M28" s="2147"/>
      <c r="N28" s="2148"/>
      <c r="O28" s="2149"/>
      <c r="P28" s="2151"/>
      <c r="Q28" s="2186">
        <f t="shared" si="20"/>
        <v>421</v>
      </c>
      <c r="R28" s="2187"/>
      <c r="S28" s="2188">
        <f>_xlfn.XLOOKUP(D28,'Sales Rec'!$E$4:$E$93,'Sales Rec'!$CP$4:$CP$93,"")</f>
        <v>0.71656686626746502</v>
      </c>
      <c r="T28" s="2152" t="s">
        <v>234</v>
      </c>
      <c r="U28" s="2152" t="s">
        <v>234</v>
      </c>
      <c r="AH28" s="1815">
        <f>_xlfn.XLOOKUP($D28,'Sales Rec'!$E$4:$E$93,'Sales Rec'!$AS$4:$AS$93)</f>
        <v>515</v>
      </c>
      <c r="AI28" s="2048">
        <f t="shared" si="21"/>
        <v>515</v>
      </c>
      <c r="AJ28" s="1815">
        <f>_xlfn.XLOOKUP($D28,'Sales Rec'!$E$4:$E$93,'Sales Rec'!$AV$4:$AV$93)</f>
        <v>750</v>
      </c>
      <c r="AK28" s="2048">
        <f t="shared" si="22"/>
        <v>235</v>
      </c>
      <c r="AL28" s="1815">
        <f>_xlfn.XLOOKUP($D28,'Sales Rec'!$E$4:$E$93,'Sales Rec'!$AY$4:$AY$93)</f>
        <v>1002</v>
      </c>
      <c r="AM28" s="2048">
        <f t="shared" si="23"/>
        <v>252</v>
      </c>
      <c r="AN28" s="1815">
        <f>_xlfn.XLOOKUP($D28,'Sales Rec'!$E$4:$E$93,'Sales Rec'!$BB$4:$BB$93)</f>
        <v>1265</v>
      </c>
      <c r="AO28" s="2048">
        <f t="shared" si="24"/>
        <v>263</v>
      </c>
      <c r="AP28" s="1815">
        <f>_xlfn.XLOOKUP($D28,'Sales Rec'!$E$4:$E$93,'Sales Rec'!$BE$4:$BE$93)</f>
        <v>1551</v>
      </c>
      <c r="AQ28" s="2048">
        <f t="shared" si="25"/>
        <v>286</v>
      </c>
      <c r="AR28" s="1815">
        <f>_xlfn.XLOOKUP(D28,'Sales Rec'!$E$4:$E$93,'Sales Rec'!$BH$4:$BH$93)</f>
        <v>1868</v>
      </c>
      <c r="AS28" s="2048">
        <f t="shared" si="1"/>
        <v>317</v>
      </c>
      <c r="AT28" s="1815">
        <f>_xlfn.XLOOKUP(D28,'Sales Rec'!$E$4:$E$93,'Sales Rec'!$BK$4:$BK$93)</f>
        <v>2165</v>
      </c>
      <c r="AU28" s="2048">
        <f t="shared" si="1"/>
        <v>297</v>
      </c>
      <c r="AV28" s="1815">
        <f>_xlfn.XLOOKUP($D28,'Sales Rec'!$E$4:$E$93,'Sales Rec'!$BN$4:$BN$93)</f>
        <v>2474</v>
      </c>
      <c r="AW28" s="2048">
        <f t="shared" si="2"/>
        <v>309</v>
      </c>
      <c r="AX28" s="1815">
        <f>_xlfn.XLOOKUP($D28,'Sales Rec'!$E$4:$E$93,'Sales Rec'!$BQ$4:$BQ$93)</f>
        <v>2711</v>
      </c>
      <c r="AY28" s="2048">
        <f t="shared" si="3"/>
        <v>237</v>
      </c>
      <c r="AZ28" s="1815">
        <f>_xlfn.XLOOKUP($D28,'Sales Rec'!$E$4:$E$93,'Sales Rec'!$BT$4:$BT$93)</f>
        <v>122</v>
      </c>
      <c r="BA28" s="2048">
        <f t="shared" si="4"/>
        <v>122</v>
      </c>
      <c r="BB28" s="1815">
        <f>_xlfn.XLOOKUP($D28,'Sales Rec'!$E$4:$E$93,'Sales Rec'!$BW$4:$BW$93)</f>
        <v>279</v>
      </c>
      <c r="BC28" s="2048">
        <f t="shared" si="5"/>
        <v>157</v>
      </c>
      <c r="BD28" s="1815">
        <f>_xlfn.XLOOKUP($D28,'Sales Rec'!$E$4:$E$93,'Sales Rec'!$BZ$4:$BZ$93)</f>
        <v>518</v>
      </c>
      <c r="BE28" s="2048">
        <f t="shared" si="6"/>
        <v>239</v>
      </c>
      <c r="BF28" s="1815">
        <f>_xlfn.XLOOKUP($D28,'Sales Rec'!$E$4:$E$93,'Sales Rec'!$CH$4:$CH$93)</f>
        <v>796</v>
      </c>
      <c r="BG28" s="2048">
        <f t="shared" si="7"/>
        <v>278</v>
      </c>
      <c r="BH28" s="2050">
        <f t="shared" si="15"/>
        <v>0.16317991631799164</v>
      </c>
      <c r="BI28" s="1815">
        <f>_xlfn.XLOOKUP($D28,'Sales Rec'!$E$4:$E$93,'Sales Rec'!$CK$4:$CK$93)</f>
        <v>1299</v>
      </c>
      <c r="BJ28" s="2048">
        <f t="shared" si="8"/>
        <v>503</v>
      </c>
      <c r="BK28" s="2050">
        <f t="shared" si="16"/>
        <v>0.80935251798561147</v>
      </c>
      <c r="BL28" s="1815">
        <f>_xlfn.XLOOKUP($D28,'Sales Rec'!$E$4:$E$93,'Sales Rec'!$CN$4:$CN$93)</f>
        <v>1720</v>
      </c>
      <c r="BM28" s="2048">
        <f t="shared" si="9"/>
        <v>421</v>
      </c>
      <c r="BN28" s="2050">
        <f t="shared" si="17"/>
        <v>-0.16302186878727634</v>
      </c>
      <c r="BO28" s="2069">
        <f t="shared" si="18"/>
        <v>1.3204633204633205</v>
      </c>
      <c r="BP28" s="1575">
        <f t="shared" si="19"/>
        <v>2</v>
      </c>
    </row>
    <row r="29" spans="1:68" ht="100" customHeight="1">
      <c r="A29" s="2146">
        <v>27</v>
      </c>
      <c r="B29" s="2176">
        <f>_xlfn.XLOOKUP(D29,Cement!$Q$7:$Q$35,Cement!$A$7:$A$35,"")</f>
        <v>-20.805999036870038</v>
      </c>
      <c r="C29" s="2164" t="str">
        <f>Cement!P33</f>
        <v>سيمان‌ سپاهان‌</v>
      </c>
      <c r="D29" s="2164" t="str">
        <f>Cement!Q33</f>
        <v>سپاها</v>
      </c>
      <c r="E29" s="2165">
        <f>_xlfn.XLOOKUP(D29,Cement!$Q$7:$Q$35,Cement!$R$7:$R$35,"")</f>
        <v>6</v>
      </c>
      <c r="F29" s="2166">
        <f>_xlfn.XLOOKUP(D29,Cement!$Q$7:$Q$35,Cement!$AP$7:$AP$35,"")</f>
        <v>3658</v>
      </c>
      <c r="G29" s="2167">
        <v>4</v>
      </c>
      <c r="H29" s="2168">
        <f t="shared" si="0"/>
        <v>10</v>
      </c>
      <c r="I29" s="2147"/>
      <c r="J29" s="2148"/>
      <c r="K29" s="2149"/>
      <c r="L29" s="2150"/>
      <c r="M29" s="2147"/>
      <c r="N29" s="2148"/>
      <c r="O29" s="2149"/>
      <c r="P29" s="2151"/>
      <c r="Q29" s="2186">
        <f t="shared" si="20"/>
        <v>522</v>
      </c>
      <c r="R29" s="2187"/>
      <c r="S29" s="2188">
        <f>_xlfn.XLOOKUP(D29,'Sales Rec'!$E$4:$E$93,'Sales Rec'!$CP$4:$CP$93,"")</f>
        <v>0.29654359780047135</v>
      </c>
      <c r="T29" s="2152" t="s">
        <v>234</v>
      </c>
      <c r="U29" s="2152" t="s">
        <v>234</v>
      </c>
      <c r="AH29" s="1815">
        <f>_xlfn.XLOOKUP($D29,'Sales Rec'!$E$4:$E$93,'Sales Rec'!$AS$4:$AS$93)</f>
        <v>1864</v>
      </c>
      <c r="AI29" s="2048">
        <f t="shared" si="21"/>
        <v>1864</v>
      </c>
      <c r="AJ29" s="1815">
        <f>_xlfn.XLOOKUP($D29,'Sales Rec'!$E$4:$E$93,'Sales Rec'!$AV$4:$AV$93)</f>
        <v>2254</v>
      </c>
      <c r="AK29" s="2048">
        <f t="shared" si="22"/>
        <v>390</v>
      </c>
      <c r="AL29" s="1815">
        <f>_xlfn.XLOOKUP($D29,'Sales Rec'!$E$4:$E$93,'Sales Rec'!$AY$4:$AY$93)</f>
        <v>2546</v>
      </c>
      <c r="AM29" s="2048">
        <f t="shared" si="23"/>
        <v>292</v>
      </c>
      <c r="AN29" s="1815">
        <f>_xlfn.XLOOKUP($D29,'Sales Rec'!$E$4:$E$93,'Sales Rec'!$BB$4:$BB$93)</f>
        <v>2814</v>
      </c>
      <c r="AO29" s="2048">
        <f t="shared" si="24"/>
        <v>268</v>
      </c>
      <c r="AP29" s="1815">
        <f>_xlfn.XLOOKUP($D29,'Sales Rec'!$E$4:$E$93,'Sales Rec'!$BE$4:$BE$93)</f>
        <v>3217</v>
      </c>
      <c r="AQ29" s="2048">
        <f t="shared" si="25"/>
        <v>403</v>
      </c>
      <c r="AR29" s="1815">
        <f>_xlfn.XLOOKUP(D29,'Sales Rec'!$E$4:$E$93,'Sales Rec'!$BH$4:$BH$93)</f>
        <v>3658</v>
      </c>
      <c r="AS29" s="2048">
        <f t="shared" si="1"/>
        <v>441</v>
      </c>
      <c r="AT29" s="1815">
        <f>_xlfn.XLOOKUP(D29,'Sales Rec'!$E$4:$E$93,'Sales Rec'!$BK$4:$BK$93)</f>
        <v>388</v>
      </c>
      <c r="AU29" s="2048">
        <f t="shared" si="1"/>
        <v>388</v>
      </c>
      <c r="AV29" s="1815">
        <f>_xlfn.XLOOKUP($D29,'Sales Rec'!$E$4:$E$93,'Sales Rec'!$BN$4:$BN$93)</f>
        <v>630</v>
      </c>
      <c r="AW29" s="2048">
        <f t="shared" si="2"/>
        <v>242</v>
      </c>
      <c r="AX29" s="1815">
        <f>_xlfn.XLOOKUP($D29,'Sales Rec'!$E$4:$E$93,'Sales Rec'!$BQ$4:$BQ$93)</f>
        <v>846</v>
      </c>
      <c r="AY29" s="2048">
        <f t="shared" si="3"/>
        <v>216</v>
      </c>
      <c r="AZ29" s="1815">
        <f>_xlfn.XLOOKUP($D29,'Sales Rec'!$E$4:$E$93,'Sales Rec'!$BT$4:$BT$93)</f>
        <v>1135</v>
      </c>
      <c r="BA29" s="2048">
        <f t="shared" si="4"/>
        <v>289</v>
      </c>
      <c r="BB29" s="1815">
        <f>_xlfn.XLOOKUP($D29,'Sales Rec'!$E$4:$E$93,'Sales Rec'!$BW$4:$BW$93)</f>
        <v>1556</v>
      </c>
      <c r="BC29" s="2048">
        <f t="shared" si="5"/>
        <v>421</v>
      </c>
      <c r="BD29" s="1815">
        <f>_xlfn.XLOOKUP($D29,'Sales Rec'!$E$4:$E$93,'Sales Rec'!$BZ$4:$BZ$93)</f>
        <v>1900</v>
      </c>
      <c r="BE29" s="2048">
        <f t="shared" si="6"/>
        <v>344</v>
      </c>
      <c r="BF29" s="1815">
        <f>_xlfn.XLOOKUP($D29,'Sales Rec'!$E$4:$E$93,'Sales Rec'!$CH$4:$CH$93)</f>
        <v>2212</v>
      </c>
      <c r="BG29" s="2048">
        <f t="shared" si="7"/>
        <v>312</v>
      </c>
      <c r="BH29" s="2050">
        <f t="shared" si="15"/>
        <v>-9.3023255813953487E-2</v>
      </c>
      <c r="BI29" s="1815">
        <f>_xlfn.XLOOKUP($D29,'Sales Rec'!$E$4:$E$93,'Sales Rec'!$CK$4:$CK$93)</f>
        <v>2779</v>
      </c>
      <c r="BJ29" s="2048">
        <f t="shared" si="8"/>
        <v>567</v>
      </c>
      <c r="BK29" s="2050">
        <f t="shared" si="16"/>
        <v>0.81730769230769229</v>
      </c>
      <c r="BL29" s="1815">
        <f>_xlfn.XLOOKUP($D29,'Sales Rec'!$E$4:$E$93,'Sales Rec'!$CN$4:$CN$93)</f>
        <v>3301</v>
      </c>
      <c r="BM29" s="2048">
        <f t="shared" si="9"/>
        <v>522</v>
      </c>
      <c r="BN29" s="2050">
        <f t="shared" si="17"/>
        <v>-7.9365079365079361E-2</v>
      </c>
      <c r="BO29" s="2069">
        <f t="shared" si="18"/>
        <v>0.32922201138519924</v>
      </c>
      <c r="BP29" s="1575">
        <f t="shared" si="19"/>
        <v>19</v>
      </c>
    </row>
    <row r="30" spans="1:68" ht="100" customHeight="1">
      <c r="A30" s="2146">
        <v>28</v>
      </c>
      <c r="B30" s="2176">
        <f>_xlfn.XLOOKUP(D30,Cement!$Q$7:$Q$35,Cement!$A$7:$A$35,"")</f>
        <v>-24.973469046703357</v>
      </c>
      <c r="C30" s="2164" t="str">
        <f>Cement!P34</f>
        <v>سيمان‌ تهران‌</v>
      </c>
      <c r="D30" s="2164" t="str">
        <f>Cement!Q34</f>
        <v>ستران</v>
      </c>
      <c r="E30" s="2165">
        <v>6</v>
      </c>
      <c r="F30" s="2166">
        <f>_xlfn.XLOOKUP(D30,Cement!$Q$7:$Q$35,Cement!$AP$7:$AP$35,"")</f>
        <v>6294</v>
      </c>
      <c r="G30" s="2167">
        <v>4</v>
      </c>
      <c r="H30" s="2168">
        <f t="shared" si="0"/>
        <v>10</v>
      </c>
      <c r="I30" s="2147"/>
      <c r="J30" s="2148"/>
      <c r="K30" s="2149"/>
      <c r="L30" s="2150"/>
      <c r="M30" s="2147"/>
      <c r="N30" s="2148"/>
      <c r="O30" s="2149"/>
      <c r="P30" s="2151"/>
      <c r="Q30" s="2186">
        <f t="shared" ref="Q30" si="26">BM30</f>
        <v>988</v>
      </c>
      <c r="R30" s="2187"/>
      <c r="S30" s="2188">
        <f>_xlfn.XLOOKUP(D30,'Sales Rec'!$E$4:$E$93,'Sales Rec'!$CP$4:$CP$93,"")</f>
        <v>0.45989974937343359</v>
      </c>
      <c r="T30" s="2152" t="s">
        <v>234</v>
      </c>
      <c r="U30" s="2152" t="s">
        <v>234</v>
      </c>
      <c r="AH30" s="1815">
        <f>_xlfn.XLOOKUP($D30,'Sales Rec'!$E$4:$E$93,'Sales Rec'!$AS$4:$AS$93)</f>
        <v>324</v>
      </c>
      <c r="AI30" s="2048">
        <f t="shared" si="21"/>
        <v>324</v>
      </c>
      <c r="AJ30" s="1815">
        <f>_xlfn.XLOOKUP($D30,'Sales Rec'!$E$4:$E$93,'Sales Rec'!$AV$4:$AV$93)</f>
        <v>927</v>
      </c>
      <c r="AK30" s="2048">
        <f t="shared" si="22"/>
        <v>603</v>
      </c>
      <c r="AL30" s="1815">
        <f>_xlfn.XLOOKUP($D30,'Sales Rec'!$E$4:$E$93,'Sales Rec'!$AY$4:$AY$93)</f>
        <v>1596</v>
      </c>
      <c r="AM30" s="2048">
        <f t="shared" si="23"/>
        <v>669</v>
      </c>
      <c r="AN30" s="1815">
        <f>_xlfn.XLOOKUP($D30,'Sales Rec'!$E$4:$E$93,'Sales Rec'!$BB$4:$BB$93)</f>
        <v>2063</v>
      </c>
      <c r="AO30" s="2048">
        <f t="shared" si="24"/>
        <v>467</v>
      </c>
      <c r="AP30" s="1815">
        <f>_xlfn.XLOOKUP($D30,'Sales Rec'!$E$4:$E$93,'Sales Rec'!$BE$4:$BE$93)</f>
        <v>2500</v>
      </c>
      <c r="AQ30" s="2048">
        <f t="shared" si="25"/>
        <v>437</v>
      </c>
      <c r="AR30" s="1815">
        <f>_xlfn.XLOOKUP(D30,'Sales Rec'!$E$4:$E$93,'Sales Rec'!$BH$4:$BH$93)</f>
        <v>2969</v>
      </c>
      <c r="AS30" s="2048">
        <f t="shared" si="1"/>
        <v>469</v>
      </c>
      <c r="AT30" s="1815">
        <f>_xlfn.XLOOKUP(D30,'Sales Rec'!$E$4:$E$93,'Sales Rec'!$BK$4:$BK$93)</f>
        <v>3516</v>
      </c>
      <c r="AU30" s="2048">
        <f t="shared" ref="AU30" si="27">IF(AR30&gt;AT30,AT30,AT30-AR30)</f>
        <v>547</v>
      </c>
      <c r="AV30" s="1815">
        <f>_xlfn.XLOOKUP($D30,'Sales Rec'!$E$4:$E$93,'Sales Rec'!$BN$4:$BN$93)</f>
        <v>4089</v>
      </c>
      <c r="AW30" s="2048">
        <f t="shared" ref="AW30" si="28">IF(AT30&gt;AV30,AV30,AV30-AT30)</f>
        <v>573</v>
      </c>
      <c r="AX30" s="1815">
        <f>_xlfn.XLOOKUP($D30,'Sales Rec'!$E$4:$E$93,'Sales Rec'!$BQ$4:$BQ$93)</f>
        <v>4660</v>
      </c>
      <c r="AY30" s="2048">
        <f t="shared" ref="AY30" si="29">IF(AV30&gt;AX30,AX30,AX30-AV30)</f>
        <v>571</v>
      </c>
      <c r="AZ30" s="1815">
        <f>_xlfn.XLOOKUP($D30,'Sales Rec'!$E$4:$E$93,'Sales Rec'!$BT$4:$BT$93)</f>
        <v>5211</v>
      </c>
      <c r="BA30" s="2048">
        <f t="shared" ref="BA30" si="30">IF(AX30&gt;AZ30,AZ30,AZ30-AX30)</f>
        <v>551</v>
      </c>
      <c r="BB30" s="1815">
        <f>_xlfn.XLOOKUP($D30,'Sales Rec'!$E$4:$E$93,'Sales Rec'!$BW$4:$BW$93)</f>
        <v>5803</v>
      </c>
      <c r="BC30" s="2048">
        <f t="shared" ref="BC30" si="31">IF(AZ30&gt;BB30,BB30,BB30-AZ30)</f>
        <v>592</v>
      </c>
      <c r="BD30" s="1815">
        <f>_xlfn.XLOOKUP($D30,'Sales Rec'!$E$4:$E$93,'Sales Rec'!$BZ$4:$BZ$93)</f>
        <v>6294</v>
      </c>
      <c r="BE30" s="2048">
        <f t="shared" ref="BE30" si="32">IF(BB30&gt;BD30,BD30,BD30-BB30)</f>
        <v>491</v>
      </c>
      <c r="BF30" s="1815">
        <f>_xlfn.XLOOKUP($D30,'Sales Rec'!$E$4:$E$93,'Sales Rec'!$CH$4:$CH$93)</f>
        <v>404</v>
      </c>
      <c r="BG30" s="2048">
        <f t="shared" ref="BG30" si="33">IF(BD30&gt;BF30,BF30,BF30-BD30)</f>
        <v>404</v>
      </c>
      <c r="BH30" s="2050">
        <f t="shared" ref="BH30" si="34">IFERROR((BG30-BE30)/BE30,"")</f>
        <v>-0.17718940936863545</v>
      </c>
      <c r="BI30" s="1815">
        <f>_xlfn.XLOOKUP($D30,'Sales Rec'!$E$4:$E$93,'Sales Rec'!$CK$4:$CK$93)</f>
        <v>1342</v>
      </c>
      <c r="BJ30" s="2048">
        <f t="shared" ref="BJ30" si="35">IF(BF30&gt;BI30,BI30,BI30-BF30)</f>
        <v>938</v>
      </c>
      <c r="BK30" s="2050">
        <f t="shared" ref="BK30" si="36">IFERROR((BJ30-BG30)/BG30,"")</f>
        <v>1.3217821782178218</v>
      </c>
      <c r="BL30" s="1815">
        <f>_xlfn.XLOOKUP($D30,'Sales Rec'!$E$4:$E$93,'Sales Rec'!$CN$4:$CN$93)</f>
        <v>2330</v>
      </c>
      <c r="BM30" s="2048">
        <f t="shared" ref="BM30" si="37">IF(BI30&gt;BL30,BL30,BL30-BI30)</f>
        <v>988</v>
      </c>
      <c r="BN30" s="2050">
        <f t="shared" ref="BN30" si="38">IFERROR((BM30-BJ30)/BJ30,"")</f>
        <v>5.3304904051172705E-2</v>
      </c>
      <c r="BO30" s="2069">
        <f t="shared" ref="BO30" si="39">((BM30+BJ30+BG30)-(BE30+BC30+BA30))/(BE30+BC30+BA30)</f>
        <v>0.42594859241126071</v>
      </c>
      <c r="BP30" s="1575">
        <f t="shared" ref="BP30" si="40">RANK(BO30,$BO$3:$BO$31, 0)</f>
        <v>12</v>
      </c>
    </row>
    <row r="31" spans="1:68" ht="100" customHeight="1">
      <c r="A31" s="2146">
        <v>29</v>
      </c>
      <c r="B31" s="2176">
        <f>_xlfn.XLOOKUP(D31,Cement!$Q$7:$Q$35,Cement!$A$7:$A$35,"")</f>
        <v>-29.487824380399573</v>
      </c>
      <c r="C31" s="2164" t="str">
        <f>Cement!P35</f>
        <v>سيمان خوزستان</v>
      </c>
      <c r="D31" s="2164" t="str">
        <f>Cement!Q35</f>
        <v>سخوز</v>
      </c>
      <c r="E31" s="2165">
        <f>_xlfn.XLOOKUP(D31,Cement!$Q$7:$Q$35,Cement!$R$7:$R$35,"")</f>
        <v>12</v>
      </c>
      <c r="F31" s="2166">
        <f>_xlfn.XLOOKUP(D31,Cement!$Q$7:$Q$35,Cement!$AP$7:$AP$35,"")</f>
        <v>4414</v>
      </c>
      <c r="G31" s="2167">
        <v>4</v>
      </c>
      <c r="H31" s="2168">
        <f t="shared" si="0"/>
        <v>4</v>
      </c>
      <c r="I31" s="2147"/>
      <c r="J31" s="2148"/>
      <c r="K31" s="2149"/>
      <c r="L31" s="2150"/>
      <c r="M31" s="2147"/>
      <c r="N31" s="2148"/>
      <c r="O31" s="2149"/>
      <c r="P31" s="2151"/>
      <c r="Q31" s="2186">
        <f t="shared" si="20"/>
        <v>377</v>
      </c>
      <c r="R31" s="2187"/>
      <c r="S31" s="2188">
        <f>_xlfn.XLOOKUP(D31,'Sales Rec'!$E$4:$E$93,'Sales Rec'!$CP$4:$CP$93,"")</f>
        <v>-5.0256410256410255E-2</v>
      </c>
      <c r="T31" s="2152" t="s">
        <v>234</v>
      </c>
      <c r="U31" s="2152" t="s">
        <v>234</v>
      </c>
      <c r="AH31" s="1815">
        <f>_xlfn.XLOOKUP($D31,'Sales Rec'!$E$4:$E$93,'Sales Rec'!$AS$4:$AS$93)</f>
        <v>301</v>
      </c>
      <c r="AI31" s="2048">
        <f t="shared" si="21"/>
        <v>301</v>
      </c>
      <c r="AJ31" s="1815">
        <f>_xlfn.XLOOKUP($D31,'Sales Rec'!$E$4:$E$93,'Sales Rec'!$AV$4:$AV$93)</f>
        <v>629</v>
      </c>
      <c r="AK31" s="2048">
        <f t="shared" si="22"/>
        <v>328</v>
      </c>
      <c r="AL31" s="1815">
        <f>_xlfn.XLOOKUP($D31,'Sales Rec'!$E$4:$E$93,'Sales Rec'!$AY$4:$AY$93)</f>
        <v>975</v>
      </c>
      <c r="AM31" s="2048">
        <f t="shared" si="23"/>
        <v>346</v>
      </c>
      <c r="AN31" s="1815">
        <f>_xlfn.XLOOKUP($D31,'Sales Rec'!$E$4:$E$93,'Sales Rec'!$BB$4:$BB$93)</f>
        <v>1405</v>
      </c>
      <c r="AO31" s="2048">
        <f t="shared" si="24"/>
        <v>430</v>
      </c>
      <c r="AP31" s="1815">
        <f>_xlfn.XLOOKUP($D31,'Sales Rec'!$E$4:$E$93,'Sales Rec'!$BE$4:$BE$93)</f>
        <v>1676</v>
      </c>
      <c r="AQ31" s="2048">
        <f t="shared" si="25"/>
        <v>271</v>
      </c>
      <c r="AR31" s="1815">
        <f>_xlfn.XLOOKUP(D31,'Sales Rec'!$E$4:$E$93,'Sales Rec'!$BH$4:$BH$93)</f>
        <v>2001</v>
      </c>
      <c r="AS31" s="2048">
        <f t="shared" si="1"/>
        <v>325</v>
      </c>
      <c r="AT31" s="1815">
        <f>_xlfn.XLOOKUP(D31,'Sales Rec'!$E$4:$E$93,'Sales Rec'!$BK$4:$BK$93)</f>
        <v>2445</v>
      </c>
      <c r="AU31" s="2048">
        <f t="shared" si="1"/>
        <v>444</v>
      </c>
      <c r="AV31" s="1815">
        <f>_xlfn.XLOOKUP($D31,'Sales Rec'!$E$4:$E$93,'Sales Rec'!$BN$4:$BN$93)</f>
        <v>2930</v>
      </c>
      <c r="AW31" s="2048">
        <f t="shared" si="2"/>
        <v>485</v>
      </c>
      <c r="AX31" s="1815">
        <f>_xlfn.XLOOKUP($D31,'Sales Rec'!$E$4:$E$93,'Sales Rec'!$BQ$4:$BQ$93)</f>
        <v>3394</v>
      </c>
      <c r="AY31" s="2048">
        <f t="shared" si="3"/>
        <v>464</v>
      </c>
      <c r="AZ31" s="1815">
        <f>_xlfn.XLOOKUP($D31,'Sales Rec'!$E$4:$E$93,'Sales Rec'!$BT$4:$BT$93)</f>
        <v>3851</v>
      </c>
      <c r="BA31" s="2048">
        <f t="shared" si="4"/>
        <v>457</v>
      </c>
      <c r="BB31" s="1815">
        <f>_xlfn.XLOOKUP($D31,'Sales Rec'!$E$4:$E$93,'Sales Rec'!$BW$4:$BW$93)</f>
        <v>4158</v>
      </c>
      <c r="BC31" s="2048">
        <f t="shared" si="5"/>
        <v>307</v>
      </c>
      <c r="BD31" s="1815">
        <f>_xlfn.XLOOKUP($D31,'Sales Rec'!$E$4:$E$93,'Sales Rec'!$BZ$4:$BZ$93)</f>
        <v>4414</v>
      </c>
      <c r="BE31" s="2048">
        <f t="shared" si="6"/>
        <v>256</v>
      </c>
      <c r="BF31" s="1815">
        <f>_xlfn.XLOOKUP($D31,'Sales Rec'!$E$4:$E$93,'Sales Rec'!$CH$4:$CH$93)</f>
        <v>165</v>
      </c>
      <c r="BG31" s="2048">
        <f t="shared" si="7"/>
        <v>165</v>
      </c>
      <c r="BH31" s="2050">
        <f t="shared" si="15"/>
        <v>-0.35546875</v>
      </c>
      <c r="BI31" s="1815">
        <f>_xlfn.XLOOKUP($D31,'Sales Rec'!$E$4:$E$93,'Sales Rec'!$CK$4:$CK$93)</f>
        <v>549</v>
      </c>
      <c r="BJ31" s="2048">
        <f t="shared" si="8"/>
        <v>384</v>
      </c>
      <c r="BK31" s="2050">
        <f t="shared" si="16"/>
        <v>1.3272727272727274</v>
      </c>
      <c r="BL31" s="1815">
        <f>_xlfn.XLOOKUP($D31,'Sales Rec'!$E$4:$E$93,'Sales Rec'!$CN$4:$CN$93)</f>
        <v>926</v>
      </c>
      <c r="BM31" s="2048">
        <f t="shared" si="9"/>
        <v>377</v>
      </c>
      <c r="BN31" s="2050">
        <f t="shared" si="17"/>
        <v>-1.8229166666666668E-2</v>
      </c>
      <c r="BO31" s="2069">
        <f t="shared" si="18"/>
        <v>-9.2156862745098045E-2</v>
      </c>
      <c r="BP31" s="1575">
        <f t="shared" si="19"/>
        <v>27</v>
      </c>
    </row>
    <row r="32" spans="1:68" ht="58" customHeight="1">
      <c r="A32" s="2153"/>
      <c r="B32" s="2177"/>
      <c r="C32" s="2169"/>
      <c r="D32" s="2169"/>
      <c r="E32" s="2169"/>
      <c r="F32" s="2169"/>
      <c r="G32" s="2169"/>
      <c r="H32" s="2169"/>
      <c r="I32" s="2169"/>
      <c r="J32" s="2154"/>
      <c r="K32" s="2154"/>
      <c r="L32" s="2154"/>
      <c r="M32" s="2154"/>
      <c r="N32" s="2154"/>
      <c r="O32" s="2154"/>
      <c r="P32" s="2154"/>
      <c r="Q32" s="2189"/>
      <c r="R32" s="2189"/>
      <c r="S32" s="2189"/>
      <c r="T32" s="2155"/>
      <c r="U32" s="2155"/>
      <c r="AH32" s="1815">
        <f>_xlfn.XLOOKUP($D32,'Sales Rec'!$E$4:$E$93,'Sales Rec'!$AS$4:$AS$93)</f>
        <v>0</v>
      </c>
      <c r="AI32" s="2048">
        <f t="shared" si="21"/>
        <v>0</v>
      </c>
      <c r="AJ32" s="1815">
        <f>_xlfn.XLOOKUP($D32,'Sales Rec'!$E$4:$E$93,'Sales Rec'!$AV$4:$AV$93)</f>
        <v>0</v>
      </c>
      <c r="AK32" s="2048">
        <f t="shared" si="22"/>
        <v>0</v>
      </c>
      <c r="AL32" s="1815">
        <f>_xlfn.XLOOKUP($D32,'Sales Rec'!$E$4:$E$93,'Sales Rec'!$AY$4:$AY$93)</f>
        <v>0</v>
      </c>
      <c r="AM32" s="2048">
        <f t="shared" si="23"/>
        <v>0</v>
      </c>
      <c r="AN32" s="1815">
        <f>_xlfn.XLOOKUP($D32,'Sales Rec'!$E$4:$E$93,'Sales Rec'!$BB$4:$BB$93)</f>
        <v>0</v>
      </c>
      <c r="AO32" s="2048">
        <f t="shared" si="24"/>
        <v>0</v>
      </c>
      <c r="AP32" s="1815">
        <f>_xlfn.XLOOKUP($D32,'Sales Rec'!$E$4:$E$93,'Sales Rec'!$BE$4:$BE$93)</f>
        <v>0</v>
      </c>
      <c r="AQ32" s="2048">
        <f t="shared" si="25"/>
        <v>0</v>
      </c>
      <c r="AR32" s="1815">
        <f>_xlfn.XLOOKUP(D32,'Sales Rec'!$E$4:$E$93,'Sales Rec'!$BH$4:$BH$93)</f>
        <v>0</v>
      </c>
      <c r="AS32" s="2048">
        <f t="shared" ref="AS32:AS88" si="41">IF(AP32&gt;AR32,AR32,AR32-AP32)</f>
        <v>0</v>
      </c>
      <c r="AT32" s="1815">
        <f>_xlfn.XLOOKUP(D32,'Sales Rec'!$E$4:$E$93,'Sales Rec'!$BK$4:$BK$93)</f>
        <v>0</v>
      </c>
      <c r="AU32" s="2048">
        <f t="shared" ref="AU32" si="42">IF(AR32&gt;AT32,AT32,AT32-AR32)</f>
        <v>0</v>
      </c>
      <c r="AV32" s="1815">
        <f>_xlfn.XLOOKUP($D32,'Sales Rec'!$E$4:$E$93,'Sales Rec'!$BN$4:$BN$93)</f>
        <v>0</v>
      </c>
      <c r="AW32" s="2048">
        <f t="shared" ref="AW32" si="43">IF(AT32&gt;AV32,AV32,AV32-AT32)</f>
        <v>0</v>
      </c>
      <c r="AX32" s="1815">
        <f>_xlfn.XLOOKUP($D32,'Sales Rec'!$E$4:$E$93,'Sales Rec'!$BQ$4:$BQ$93)</f>
        <v>0</v>
      </c>
      <c r="AY32" s="2048">
        <f t="shared" ref="AY32:BC32" si="44">IF(AV32&gt;AX32,AX32,AX32-AV32)</f>
        <v>0</v>
      </c>
      <c r="AZ32" s="1815">
        <f>_xlfn.XLOOKUP($D32,'Sales Rec'!$E$4:$E$93,'Sales Rec'!$BT$4:$BT$93)</f>
        <v>0</v>
      </c>
      <c r="BA32" s="2048">
        <f t="shared" si="44"/>
        <v>0</v>
      </c>
      <c r="BB32" s="1815">
        <f>_xlfn.XLOOKUP($D32,'Sales Rec'!$E$4:$E$93,'Sales Rec'!$BW$4:$BW$93)</f>
        <v>0</v>
      </c>
      <c r="BC32" s="2048">
        <f t="shared" si="44"/>
        <v>0</v>
      </c>
      <c r="BD32" s="1815">
        <f>_xlfn.XLOOKUP($D32,'Sales Rec'!$E$4:$E$93,'Sales Rec'!$BZ$4:$BZ$93)</f>
        <v>0</v>
      </c>
      <c r="BE32" s="2048">
        <f t="shared" ref="BE32" si="45">IF(BB32&gt;BD32,BD32,BD32-BB32)</f>
        <v>0</v>
      </c>
      <c r="BF32" s="1815">
        <f>_xlfn.XLOOKUP($D32,'Sales Rec'!$E$4:$E$93,'Sales Rec'!$CH$4:$CH$93)</f>
        <v>0</v>
      </c>
      <c r="BG32" s="2048">
        <f t="shared" ref="BG32" si="46">IF(BD32&gt;BF32,BF32,BF32-BD32)</f>
        <v>0</v>
      </c>
      <c r="BH32" s="2050" t="str">
        <f t="shared" si="15"/>
        <v/>
      </c>
      <c r="BI32" s="1815">
        <f>_xlfn.XLOOKUP($D32,'Sales Rec'!$E$4:$E$93,'Sales Rec'!$CK$4:$CK$93)</f>
        <v>0</v>
      </c>
      <c r="BJ32" s="2048">
        <f t="shared" ref="BJ32:BJ63" si="47">IF(BF32&gt;BI32,BI32,BI32-BF32)</f>
        <v>0</v>
      </c>
      <c r="BK32" s="2050" t="str">
        <f t="shared" si="16"/>
        <v/>
      </c>
      <c r="BL32" s="1815">
        <f>_xlfn.XLOOKUP($D32,'Sales Rec'!$E$4:$E$93,'Sales Rec'!$CN$4:$CN$93)</f>
        <v>0</v>
      </c>
      <c r="BM32" s="2048">
        <f t="shared" ref="BM32:BM63" si="48">IF(BI32&gt;BL32,BL32,BL32-BI32)</f>
        <v>0</v>
      </c>
      <c r="BN32" s="2050" t="str">
        <f t="shared" si="17"/>
        <v/>
      </c>
    </row>
    <row r="33" spans="1:68" ht="100" customHeight="1">
      <c r="A33" s="2146">
        <v>1</v>
      </c>
      <c r="B33" s="2176">
        <f>_xlfn.XLOOKUP(D33,MOPFRA!$R$7:$R$56,MOPFRA!$A$7:$A$56,"")</f>
        <v>48.716544797266323</v>
      </c>
      <c r="C33" s="2164" t="str">
        <f>MOPFRA!Q7</f>
        <v>گروه‌صنعتي‌سپاهان‌</v>
      </c>
      <c r="D33" s="2164" t="str">
        <f>MOPFRA!R7</f>
        <v>فسپا</v>
      </c>
      <c r="E33" s="2170">
        <f>_xlfn.XLOOKUP(D33,MOPFRA!$R$7:$R$56,MOPFRA!$S$7:$S$56,"")</f>
        <v>12</v>
      </c>
      <c r="F33" s="2171">
        <f>_xlfn.XLOOKUP(D33,MOPFRA!$R$7:$R$56,MOPFRA!$AQ$7:$AQ$56,"")</f>
        <v>4747</v>
      </c>
      <c r="G33" s="2167">
        <v>4</v>
      </c>
      <c r="H33" s="2168">
        <f t="shared" ref="H33:H64" si="49">IF(G33&gt;E33,(G33-E33),((12-E33)+G33))</f>
        <v>4</v>
      </c>
      <c r="I33" s="2147"/>
      <c r="J33" s="2148"/>
      <c r="K33" s="2149"/>
      <c r="L33" s="2150"/>
      <c r="M33" s="2147"/>
      <c r="N33" s="2148"/>
      <c r="O33" s="2149"/>
      <c r="P33" s="2151"/>
      <c r="Q33" s="2186">
        <f t="shared" ref="Q33:Q64" si="50">BM33</f>
        <v>442</v>
      </c>
      <c r="R33" s="2187"/>
      <c r="S33" s="2188">
        <f>_xlfn.XLOOKUP(D33,'Sales Rec'!$E$4:$E$93,'Sales Rec'!$CP$4:$CP$93,"")</f>
        <v>0.94586894586894588</v>
      </c>
      <c r="T33" s="2152" t="s">
        <v>234</v>
      </c>
      <c r="U33" s="2152" t="s">
        <v>234</v>
      </c>
      <c r="AH33" s="1815">
        <f>_xlfn.XLOOKUP($D33,'Sales Rec'!$E$4:$E$93,'Sales Rec'!$AS$4:$AS$93)</f>
        <v>114</v>
      </c>
      <c r="AI33" s="2048">
        <f t="shared" si="21"/>
        <v>114</v>
      </c>
      <c r="AJ33" s="1815">
        <f>_xlfn.XLOOKUP($D33,'Sales Rec'!$E$4:$E$93,'Sales Rec'!$AV$4:$AV$93)</f>
        <v>403</v>
      </c>
      <c r="AK33" s="2048">
        <f t="shared" si="22"/>
        <v>289</v>
      </c>
      <c r="AL33" s="1815">
        <f>_xlfn.XLOOKUP($D33,'Sales Rec'!$E$4:$E$93,'Sales Rec'!$AY$4:$AY$93)</f>
        <v>702</v>
      </c>
      <c r="AM33" s="2048">
        <f t="shared" si="23"/>
        <v>299</v>
      </c>
      <c r="AN33" s="1815">
        <f>_xlfn.XLOOKUP($D33,'Sales Rec'!$E$4:$E$93,'Sales Rec'!$BB$4:$BB$93)</f>
        <v>921</v>
      </c>
      <c r="AO33" s="2048">
        <f t="shared" si="24"/>
        <v>219</v>
      </c>
      <c r="AP33" s="1815">
        <f>_xlfn.XLOOKUP($D33,'Sales Rec'!$E$4:$E$93,'Sales Rec'!$BE$4:$BE$93)</f>
        <v>1235</v>
      </c>
      <c r="AQ33" s="2048">
        <f t="shared" si="25"/>
        <v>314</v>
      </c>
      <c r="AR33" s="1815">
        <f>_xlfn.XLOOKUP(D33,'Sales Rec'!$E$4:$E$93,'Sales Rec'!$BH$4:$BH$93)</f>
        <v>1618</v>
      </c>
      <c r="AS33" s="2048">
        <f t="shared" si="41"/>
        <v>383</v>
      </c>
      <c r="AT33" s="1815">
        <f>_xlfn.XLOOKUP(D33,'Sales Rec'!$E$4:$E$93,'Sales Rec'!$BK$4:$BK$93)</f>
        <v>2090</v>
      </c>
      <c r="AU33" s="2048">
        <f t="shared" ref="AU33:AU64" si="51">IF(AR33&gt;AT33,AT33,AT33-AR33)</f>
        <v>472</v>
      </c>
      <c r="AV33" s="1815">
        <f>_xlfn.XLOOKUP($D33,'Sales Rec'!$E$4:$E$93,'Sales Rec'!$BN$4:$BN$93)</f>
        <v>2566</v>
      </c>
      <c r="AW33" s="2048">
        <f t="shared" ref="AW33:AW64" si="52">IF(AT33&gt;AV33,AV33,AV33-AT33)</f>
        <v>476</v>
      </c>
      <c r="AX33" s="1815">
        <f>_xlfn.XLOOKUP($D33,'Sales Rec'!$E$4:$E$93,'Sales Rec'!$BQ$4:$BQ$93)</f>
        <v>3118</v>
      </c>
      <c r="AY33" s="2048">
        <f t="shared" ref="AY33:AY64" si="53">IF(AV33&gt;AX33,AX33,AX33-AV33)</f>
        <v>552</v>
      </c>
      <c r="AZ33" s="1815">
        <f>_xlfn.XLOOKUP($D33,'Sales Rec'!$E$4:$E$93,'Sales Rec'!$BT$4:$BT$93)</f>
        <v>3628</v>
      </c>
      <c r="BA33" s="2048">
        <f t="shared" ref="BA33:BA64" si="54">IF(AX33&gt;AZ33,AZ33,AZ33-AX33)</f>
        <v>510</v>
      </c>
      <c r="BB33" s="1815">
        <f>_xlfn.XLOOKUP($D33,'Sales Rec'!$E$4:$E$93,'Sales Rec'!$BW$4:$BW$93)</f>
        <v>4180</v>
      </c>
      <c r="BC33" s="2048">
        <f t="shared" ref="BC33:BC64" si="55">IF(AZ33&gt;BB33,BB33,BB33-AZ33)</f>
        <v>552</v>
      </c>
      <c r="BD33" s="1815">
        <f>_xlfn.XLOOKUP($D33,'Sales Rec'!$E$4:$E$93,'Sales Rec'!$BZ$4:$BZ$93)</f>
        <v>4747</v>
      </c>
      <c r="BE33" s="2048">
        <f t="shared" ref="BE33:BE64" si="56">IF(BB33&gt;BD33,BD33,BD33-BB33)</f>
        <v>567</v>
      </c>
      <c r="BF33" s="1815">
        <f>_xlfn.XLOOKUP($D33,'Sales Rec'!$E$4:$E$93,'Sales Rec'!$CH$4:$CH$93)</f>
        <v>238</v>
      </c>
      <c r="BG33" s="2048">
        <f t="shared" ref="BG33:BG64" si="57">IF(BD33&gt;BF33,BF33,BF33-BD33)</f>
        <v>238</v>
      </c>
      <c r="BH33" s="2050">
        <f t="shared" ref="BH33:BH64" si="58">IFERROR((BG33-BE33)/BE33,"")</f>
        <v>-0.58024691358024694</v>
      </c>
      <c r="BI33" s="1815">
        <f>_xlfn.XLOOKUP($D33,'Sales Rec'!$E$4:$E$93,'Sales Rec'!$CK$4:$CK$93)</f>
        <v>924</v>
      </c>
      <c r="BJ33" s="2048">
        <f t="shared" si="47"/>
        <v>686</v>
      </c>
      <c r="BK33" s="2050">
        <f t="shared" ref="BK33:BK64" si="59">IFERROR((BJ33-BG33)/BG33,"")</f>
        <v>1.8823529411764706</v>
      </c>
      <c r="BL33" s="1815">
        <f>_xlfn.XLOOKUP($D33,'Sales Rec'!$E$4:$E$93,'Sales Rec'!$CN$4:$CN$93)</f>
        <v>1366</v>
      </c>
      <c r="BM33" s="2048">
        <f t="shared" si="48"/>
        <v>442</v>
      </c>
      <c r="BN33" s="2050">
        <f t="shared" si="17"/>
        <v>-0.35568513119533529</v>
      </c>
      <c r="BO33" s="2069">
        <f>IFERROR(((BM33+BJ33+BG33)-(BE33+BC33+BA33))/(BE33+BC33+BA33),"")</f>
        <v>-0.1614487415592388</v>
      </c>
      <c r="BP33" s="1575">
        <f t="shared" ref="BP33:BP64" si="60">RANK(BO33,$BO$33:$BO$82, 0)</f>
        <v>39</v>
      </c>
    </row>
    <row r="34" spans="1:68" ht="100" customHeight="1">
      <c r="A34" s="2146">
        <v>2</v>
      </c>
      <c r="B34" s="2176">
        <f>_xlfn.XLOOKUP(D34,MOPFRA!$R$7:$R$56,MOPFRA!$A$7:$A$56,"")</f>
        <v>40.089609914804811</v>
      </c>
      <c r="C34" s="2164" t="str">
        <f>MOPFRA!Q8</f>
        <v>توليدات پتروشيمي قائد بصير</v>
      </c>
      <c r="D34" s="2164" t="str">
        <f>MOPFRA!R8</f>
        <v>شبصير</v>
      </c>
      <c r="E34" s="2170">
        <f>_xlfn.XLOOKUP(D34,MOPFRA!$R$7:$R$56,MOPFRA!$S$7:$S$56,"")</f>
        <v>12</v>
      </c>
      <c r="F34" s="2171">
        <f>_xlfn.XLOOKUP(D34,MOPFRA!$R$7:$R$56,MOPFRA!$AQ$7:$AQ$56,"")</f>
        <v>6843</v>
      </c>
      <c r="G34" s="2167">
        <v>4</v>
      </c>
      <c r="H34" s="2168">
        <f t="shared" si="49"/>
        <v>4</v>
      </c>
      <c r="I34" s="2147"/>
      <c r="J34" s="2148"/>
      <c r="K34" s="2149"/>
      <c r="L34" s="2150"/>
      <c r="M34" s="2147"/>
      <c r="N34" s="2148"/>
      <c r="O34" s="2149"/>
      <c r="P34" s="2151"/>
      <c r="Q34" s="2186">
        <f t="shared" si="50"/>
        <v>832</v>
      </c>
      <c r="R34" s="2187"/>
      <c r="S34" s="2188">
        <f>_xlfn.XLOOKUP(D34,'Sales Rec'!$E$4:$E$93,'Sales Rec'!$CP$4:$CP$93,"")</f>
        <v>0.93769968051118213</v>
      </c>
      <c r="T34" s="2152" t="s">
        <v>234</v>
      </c>
      <c r="U34" s="2152" t="s">
        <v>234</v>
      </c>
      <c r="AH34" s="1815">
        <f>_xlfn.XLOOKUP($D34,'Sales Rec'!$E$4:$E$93,'Sales Rec'!$AS$4:$AS$93)</f>
        <v>293</v>
      </c>
      <c r="AI34" s="2048">
        <f t="shared" si="21"/>
        <v>293</v>
      </c>
      <c r="AJ34" s="1815">
        <f>_xlfn.XLOOKUP($D34,'Sales Rec'!$E$4:$E$93,'Sales Rec'!$AV$4:$AV$93)</f>
        <v>830</v>
      </c>
      <c r="AK34" s="2048">
        <f t="shared" si="22"/>
        <v>537</v>
      </c>
      <c r="AL34" s="1815">
        <f>_xlfn.XLOOKUP($D34,'Sales Rec'!$E$4:$E$93,'Sales Rec'!$AY$4:$AY$93)</f>
        <v>1252</v>
      </c>
      <c r="AM34" s="2048">
        <f t="shared" si="23"/>
        <v>422</v>
      </c>
      <c r="AN34" s="1815">
        <f>_xlfn.XLOOKUP($D34,'Sales Rec'!$E$4:$E$93,'Sales Rec'!$BB$4:$BB$93)</f>
        <v>1618</v>
      </c>
      <c r="AO34" s="2048">
        <f t="shared" si="24"/>
        <v>366</v>
      </c>
      <c r="AP34" s="1815">
        <f>_xlfn.XLOOKUP($D34,'Sales Rec'!$E$4:$E$93,'Sales Rec'!$BE$4:$BE$93)</f>
        <v>1968</v>
      </c>
      <c r="AQ34" s="2048">
        <f t="shared" si="25"/>
        <v>350</v>
      </c>
      <c r="AR34" s="1815">
        <f>_xlfn.XLOOKUP(D34,'Sales Rec'!$E$4:$E$93,'Sales Rec'!$BH$4:$BH$93)</f>
        <v>2460</v>
      </c>
      <c r="AS34" s="2048">
        <f t="shared" si="41"/>
        <v>492</v>
      </c>
      <c r="AT34" s="1815">
        <f>_xlfn.XLOOKUP(D34,'Sales Rec'!$E$4:$E$93,'Sales Rec'!$BK$4:$BK$93)</f>
        <v>3244</v>
      </c>
      <c r="AU34" s="2048">
        <f t="shared" si="51"/>
        <v>784</v>
      </c>
      <c r="AV34" s="1815">
        <f>_xlfn.XLOOKUP($D34,'Sales Rec'!$E$4:$E$93,'Sales Rec'!$BN$4:$BN$93)</f>
        <v>3923</v>
      </c>
      <c r="AW34" s="2048">
        <f t="shared" si="52"/>
        <v>679</v>
      </c>
      <c r="AX34" s="1815">
        <f>_xlfn.XLOOKUP($D34,'Sales Rec'!$E$4:$E$93,'Sales Rec'!$BQ$4:$BQ$93)</f>
        <v>4724</v>
      </c>
      <c r="AY34" s="2048">
        <f t="shared" si="53"/>
        <v>801</v>
      </c>
      <c r="AZ34" s="1815">
        <f>_xlfn.XLOOKUP($D34,'Sales Rec'!$E$4:$E$93,'Sales Rec'!$BT$4:$BT$93)</f>
        <v>5668</v>
      </c>
      <c r="BA34" s="2048">
        <f t="shared" si="54"/>
        <v>944</v>
      </c>
      <c r="BB34" s="1815">
        <f>_xlfn.XLOOKUP($D34,'Sales Rec'!$E$4:$E$93,'Sales Rec'!$BW$4:$BW$93)</f>
        <v>6603</v>
      </c>
      <c r="BC34" s="2048">
        <f t="shared" si="55"/>
        <v>935</v>
      </c>
      <c r="BD34" s="1815">
        <f>_xlfn.XLOOKUP($D34,'Sales Rec'!$E$4:$E$93,'Sales Rec'!$BZ$4:$BZ$93)</f>
        <v>6843</v>
      </c>
      <c r="BE34" s="2048">
        <f t="shared" si="56"/>
        <v>240</v>
      </c>
      <c r="BF34" s="1815">
        <f>_xlfn.XLOOKUP($D34,'Sales Rec'!$E$4:$E$93,'Sales Rec'!$CH$4:$CH$93)</f>
        <v>418</v>
      </c>
      <c r="BG34" s="2048">
        <f t="shared" si="57"/>
        <v>418</v>
      </c>
      <c r="BH34" s="2050">
        <f t="shared" si="58"/>
        <v>0.7416666666666667</v>
      </c>
      <c r="BI34" s="1815">
        <f>_xlfn.XLOOKUP($D34,'Sales Rec'!$E$4:$E$93,'Sales Rec'!$CK$4:$CK$93)</f>
        <v>1594</v>
      </c>
      <c r="BJ34" s="2048">
        <f t="shared" si="47"/>
        <v>1176</v>
      </c>
      <c r="BK34" s="2050">
        <f t="shared" si="59"/>
        <v>1.8133971291866029</v>
      </c>
      <c r="BL34" s="1815">
        <f>_xlfn.XLOOKUP($D34,'Sales Rec'!$E$4:$E$93,'Sales Rec'!$CN$4:$CN$93)</f>
        <v>2426</v>
      </c>
      <c r="BM34" s="2048">
        <f t="shared" si="48"/>
        <v>832</v>
      </c>
      <c r="BN34" s="2050">
        <f t="shared" si="17"/>
        <v>-0.29251700680272108</v>
      </c>
      <c r="BO34" s="2069">
        <f t="shared" ref="BO34:BO82" si="61">IFERROR(((BM34+BJ34+BG34)-(BE34+BC34+BA34))/(BE34+BC34+BA34),"")</f>
        <v>0.14487966021708354</v>
      </c>
      <c r="BP34" s="1575">
        <f t="shared" si="60"/>
        <v>26</v>
      </c>
    </row>
    <row r="35" spans="1:68" ht="100" customHeight="1">
      <c r="A35" s="2146">
        <v>3</v>
      </c>
      <c r="B35" s="2176">
        <f>_xlfn.XLOOKUP(D35,MOPFRA!$R$7:$R$56,MOPFRA!$A$7:$A$56,"")</f>
        <v>34.139725881635457</v>
      </c>
      <c r="C35" s="2164" t="str">
        <f>MOPFRA!Q9</f>
        <v>پتروشيمي شازند</v>
      </c>
      <c r="D35" s="2164" t="str">
        <f>MOPFRA!R9</f>
        <v>شاراك</v>
      </c>
      <c r="E35" s="2170">
        <f>_xlfn.XLOOKUP(D35,MOPFRA!$R$7:$R$56,MOPFRA!$S$7:$S$56,"")</f>
        <v>12</v>
      </c>
      <c r="F35" s="2171">
        <f>_xlfn.XLOOKUP(D35,MOPFRA!$R$7:$R$56,MOPFRA!$AQ$7:$AQ$56,"")</f>
        <v>48825</v>
      </c>
      <c r="G35" s="2167">
        <v>4</v>
      </c>
      <c r="H35" s="2168">
        <f t="shared" si="49"/>
        <v>4</v>
      </c>
      <c r="I35" s="2147"/>
      <c r="J35" s="2148"/>
      <c r="K35" s="2149"/>
      <c r="L35" s="2150"/>
      <c r="M35" s="2147"/>
      <c r="N35" s="2148"/>
      <c r="O35" s="2149"/>
      <c r="P35" s="2151"/>
      <c r="Q35" s="2186">
        <f t="shared" si="50"/>
        <v>9988</v>
      </c>
      <c r="R35" s="2187"/>
      <c r="S35" s="2188">
        <f>_xlfn.XLOOKUP(D35,'Sales Rec'!$E$4:$E$93,'Sales Rec'!$CP$4:$CP$93,"")</f>
        <v>1.2721327967806841</v>
      </c>
      <c r="T35" s="2152" t="s">
        <v>234</v>
      </c>
      <c r="U35" s="2152" t="s">
        <v>234</v>
      </c>
      <c r="AH35" s="1815">
        <f>_xlfn.XLOOKUP($D35,'Sales Rec'!$E$4:$E$93,'Sales Rec'!$AS$4:$AS$93)</f>
        <v>3344</v>
      </c>
      <c r="AI35" s="2048">
        <f t="shared" si="21"/>
        <v>3344</v>
      </c>
      <c r="AJ35" s="1815">
        <f>_xlfn.XLOOKUP($D35,'Sales Rec'!$E$4:$E$93,'Sales Rec'!$AV$4:$AV$93)</f>
        <v>5553</v>
      </c>
      <c r="AK35" s="2048">
        <f t="shared" si="22"/>
        <v>2209</v>
      </c>
      <c r="AL35" s="1815">
        <f>_xlfn.XLOOKUP($D35,'Sales Rec'!$E$4:$E$93,'Sales Rec'!$AY$4:$AY$93)</f>
        <v>9940</v>
      </c>
      <c r="AM35" s="2048">
        <f t="shared" si="23"/>
        <v>4387</v>
      </c>
      <c r="AN35" s="1815">
        <f>_xlfn.XLOOKUP($D35,'Sales Rec'!$E$4:$E$93,'Sales Rec'!$BB$4:$BB$93)</f>
        <v>11696</v>
      </c>
      <c r="AO35" s="2048">
        <f t="shared" si="24"/>
        <v>1756</v>
      </c>
      <c r="AP35" s="1815">
        <f>_xlfn.XLOOKUP($D35,'Sales Rec'!$E$4:$E$93,'Sales Rec'!$BE$4:$BE$93)</f>
        <v>15046</v>
      </c>
      <c r="AQ35" s="2048">
        <f t="shared" si="25"/>
        <v>3350</v>
      </c>
      <c r="AR35" s="1815">
        <f>_xlfn.XLOOKUP(D35,'Sales Rec'!$E$4:$E$93,'Sales Rec'!$BH$4:$BH$93)</f>
        <v>18770</v>
      </c>
      <c r="AS35" s="2048">
        <f t="shared" si="41"/>
        <v>3724</v>
      </c>
      <c r="AT35" s="1815">
        <f>_xlfn.XLOOKUP(D35,'Sales Rec'!$E$4:$E$93,'Sales Rec'!$BK$4:$BK$93)</f>
        <v>23220</v>
      </c>
      <c r="AU35" s="2048">
        <f t="shared" si="51"/>
        <v>4450</v>
      </c>
      <c r="AV35" s="1815">
        <f>_xlfn.XLOOKUP($D35,'Sales Rec'!$E$4:$E$93,'Sales Rec'!$BN$4:$BN$93)</f>
        <v>27621</v>
      </c>
      <c r="AW35" s="2048">
        <f t="shared" si="52"/>
        <v>4401</v>
      </c>
      <c r="AX35" s="1815">
        <f>_xlfn.XLOOKUP($D35,'Sales Rec'!$E$4:$E$93,'Sales Rec'!$BQ$4:$BQ$93)</f>
        <v>32740</v>
      </c>
      <c r="AY35" s="2048">
        <f t="shared" si="53"/>
        <v>5119</v>
      </c>
      <c r="AZ35" s="1815">
        <f>_xlfn.XLOOKUP($D35,'Sales Rec'!$E$4:$E$93,'Sales Rec'!$BT$4:$BT$93)</f>
        <v>37340</v>
      </c>
      <c r="BA35" s="2048">
        <f t="shared" si="54"/>
        <v>4600</v>
      </c>
      <c r="BB35" s="1815">
        <f>_xlfn.XLOOKUP($D35,'Sales Rec'!$E$4:$E$93,'Sales Rec'!$BW$4:$BW$93)</f>
        <v>43578</v>
      </c>
      <c r="BC35" s="2048">
        <f t="shared" si="55"/>
        <v>6238</v>
      </c>
      <c r="BD35" s="1815">
        <f>_xlfn.XLOOKUP($D35,'Sales Rec'!$E$4:$E$93,'Sales Rec'!$BZ$4:$BZ$93)</f>
        <v>48809</v>
      </c>
      <c r="BE35" s="2048">
        <f t="shared" si="56"/>
        <v>5231</v>
      </c>
      <c r="BF35" s="1815">
        <f>_xlfn.XLOOKUP($D35,'Sales Rec'!$E$4:$E$93,'Sales Rec'!$CH$4:$CH$93)</f>
        <v>3207</v>
      </c>
      <c r="BG35" s="2048">
        <f t="shared" si="57"/>
        <v>3207</v>
      </c>
      <c r="BH35" s="2050">
        <f t="shared" si="58"/>
        <v>-0.38692410628942842</v>
      </c>
      <c r="BI35" s="1815">
        <f>_xlfn.XLOOKUP($D35,'Sales Rec'!$E$4:$E$93,'Sales Rec'!$CK$4:$CK$93)</f>
        <v>12597</v>
      </c>
      <c r="BJ35" s="2048">
        <f t="shared" si="47"/>
        <v>9390</v>
      </c>
      <c r="BK35" s="2050">
        <f t="shared" si="59"/>
        <v>1.9279700654817586</v>
      </c>
      <c r="BL35" s="1815">
        <f>_xlfn.XLOOKUP($D35,'Sales Rec'!$E$4:$E$93,'Sales Rec'!$CN$4:$CN$93)</f>
        <v>22585</v>
      </c>
      <c r="BM35" s="2048">
        <f t="shared" si="48"/>
        <v>9988</v>
      </c>
      <c r="BN35" s="2050">
        <f t="shared" si="17"/>
        <v>6.3684771033013843E-2</v>
      </c>
      <c r="BO35" s="2069">
        <f t="shared" si="61"/>
        <v>0.40550127574833528</v>
      </c>
      <c r="BP35" s="1575">
        <f t="shared" si="60"/>
        <v>13</v>
      </c>
    </row>
    <row r="36" spans="1:68" ht="100" customHeight="1">
      <c r="A36" s="2146">
        <v>4</v>
      </c>
      <c r="B36" s="2176">
        <f>_xlfn.XLOOKUP(D36,MOPFRA!$R$7:$R$56,MOPFRA!$A$7:$A$56,"")</f>
        <v>28.21227651390776</v>
      </c>
      <c r="C36" s="2164" t="str">
        <f>MOPFRA!Q10</f>
        <v>صنايع الكترونيك ماديران</v>
      </c>
      <c r="D36" s="2164" t="str">
        <f>MOPFRA!R10</f>
        <v>الكتروماد</v>
      </c>
      <c r="E36" s="2170">
        <f>_xlfn.XLOOKUP(D36,MOPFRA!$R$7:$R$56,MOPFRA!$S$7:$S$56,"")</f>
        <v>12</v>
      </c>
      <c r="F36" s="2171">
        <f>_xlfn.XLOOKUP(D36,MOPFRA!$R$7:$R$56,MOPFRA!$AQ$7:$AQ$56,"")</f>
        <v>5461</v>
      </c>
      <c r="G36" s="2167">
        <v>4</v>
      </c>
      <c r="H36" s="2168">
        <f t="shared" si="49"/>
        <v>4</v>
      </c>
      <c r="I36" s="2147"/>
      <c r="J36" s="2148"/>
      <c r="K36" s="2149"/>
      <c r="L36" s="2150"/>
      <c r="M36" s="2147"/>
      <c r="N36" s="2148"/>
      <c r="O36" s="2149"/>
      <c r="P36" s="2151"/>
      <c r="Q36" s="2186">
        <f t="shared" si="50"/>
        <v>664</v>
      </c>
      <c r="R36" s="2187"/>
      <c r="S36" s="2188">
        <f>_xlfn.XLOOKUP(D36,'Sales Rec'!$E$4:$E$93,'Sales Rec'!$CP$4:$CP$93,"")</f>
        <v>0.98604187437686941</v>
      </c>
      <c r="T36" s="2152" t="s">
        <v>234</v>
      </c>
      <c r="U36" s="2152" t="s">
        <v>234</v>
      </c>
      <c r="AH36" s="1815">
        <f>_xlfn.XLOOKUP($D36,'Sales Rec'!$E$4:$E$93,'Sales Rec'!$AS$4:$AS$93)</f>
        <v>242</v>
      </c>
      <c r="AI36" s="2048">
        <f t="shared" si="21"/>
        <v>242</v>
      </c>
      <c r="AJ36" s="1815">
        <f>_xlfn.XLOOKUP($D36,'Sales Rec'!$E$4:$E$93,'Sales Rec'!$AV$4:$AV$93)</f>
        <v>746</v>
      </c>
      <c r="AK36" s="2048">
        <f t="shared" si="22"/>
        <v>504</v>
      </c>
      <c r="AL36" s="1815">
        <f>_xlfn.XLOOKUP($D36,'Sales Rec'!$E$4:$E$93,'Sales Rec'!$AY$4:$AY$93)</f>
        <v>1003</v>
      </c>
      <c r="AM36" s="2048">
        <f t="shared" si="23"/>
        <v>257</v>
      </c>
      <c r="AN36" s="1815">
        <f>_xlfn.XLOOKUP($D36,'Sales Rec'!$E$4:$E$93,'Sales Rec'!$BB$4:$BB$93)</f>
        <v>1403</v>
      </c>
      <c r="AO36" s="2048">
        <f t="shared" si="24"/>
        <v>400</v>
      </c>
      <c r="AP36" s="1815">
        <f>_xlfn.XLOOKUP($D36,'Sales Rec'!$E$4:$E$93,'Sales Rec'!$BE$4:$BE$93)</f>
        <v>1926</v>
      </c>
      <c r="AQ36" s="2048">
        <f t="shared" si="25"/>
        <v>523</v>
      </c>
      <c r="AR36" s="1815">
        <f>_xlfn.XLOOKUP(D36,'Sales Rec'!$E$4:$E$93,'Sales Rec'!$BH$4:$BH$93)</f>
        <v>2530</v>
      </c>
      <c r="AS36" s="2048">
        <f t="shared" si="41"/>
        <v>604</v>
      </c>
      <c r="AT36" s="1815">
        <f>_xlfn.XLOOKUP(D36,'Sales Rec'!$E$4:$E$93,'Sales Rec'!$BK$4:$BK$93)</f>
        <v>3018</v>
      </c>
      <c r="AU36" s="2048">
        <f t="shared" si="51"/>
        <v>488</v>
      </c>
      <c r="AV36" s="1815">
        <f>_xlfn.XLOOKUP($D36,'Sales Rec'!$E$4:$E$93,'Sales Rec'!$BN$4:$BN$93)</f>
        <v>3448</v>
      </c>
      <c r="AW36" s="2048">
        <f t="shared" si="52"/>
        <v>430</v>
      </c>
      <c r="AX36" s="1815">
        <f>_xlfn.XLOOKUP($D36,'Sales Rec'!$E$4:$E$93,'Sales Rec'!$BQ$4:$BQ$93)</f>
        <v>4023</v>
      </c>
      <c r="AY36" s="2048">
        <f t="shared" si="53"/>
        <v>575</v>
      </c>
      <c r="AZ36" s="1815">
        <f>_xlfn.XLOOKUP($D36,'Sales Rec'!$E$4:$E$93,'Sales Rec'!$BT$4:$BT$93)</f>
        <v>4668</v>
      </c>
      <c r="BA36" s="2048">
        <f t="shared" si="54"/>
        <v>645</v>
      </c>
      <c r="BB36" s="1815">
        <f>_xlfn.XLOOKUP($D36,'Sales Rec'!$E$4:$E$93,'Sales Rec'!$BW$4:$BW$93)</f>
        <v>5359</v>
      </c>
      <c r="BC36" s="2048">
        <f t="shared" si="55"/>
        <v>691</v>
      </c>
      <c r="BD36" s="1815">
        <f>_xlfn.XLOOKUP($D36,'Sales Rec'!$E$4:$E$93,'Sales Rec'!$BZ$4:$BZ$93)</f>
        <v>5461</v>
      </c>
      <c r="BE36" s="2048">
        <f t="shared" si="56"/>
        <v>102</v>
      </c>
      <c r="BF36" s="1815">
        <f>_xlfn.XLOOKUP($D36,'Sales Rec'!$E$4:$E$93,'Sales Rec'!$CH$4:$CH$93)</f>
        <v>383</v>
      </c>
      <c r="BG36" s="2048">
        <f t="shared" si="57"/>
        <v>383</v>
      </c>
      <c r="BH36" s="2050">
        <f t="shared" si="58"/>
        <v>2.7549019607843137</v>
      </c>
      <c r="BI36" s="1815">
        <f>_xlfn.XLOOKUP($D36,'Sales Rec'!$E$4:$E$93,'Sales Rec'!$CK$4:$CK$93)</f>
        <v>1328</v>
      </c>
      <c r="BJ36" s="2048">
        <f t="shared" si="47"/>
        <v>945</v>
      </c>
      <c r="BK36" s="2050">
        <f t="shared" si="59"/>
        <v>1.4673629242819843</v>
      </c>
      <c r="BL36" s="1815">
        <f>_xlfn.XLOOKUP($D36,'Sales Rec'!$E$4:$E$93,'Sales Rec'!$CN$4:$CN$93)</f>
        <v>1992</v>
      </c>
      <c r="BM36" s="2048">
        <f t="shared" si="48"/>
        <v>664</v>
      </c>
      <c r="BN36" s="2050">
        <f t="shared" si="17"/>
        <v>-0.29735449735449737</v>
      </c>
      <c r="BO36" s="2069">
        <f t="shared" si="61"/>
        <v>0.38525730180806678</v>
      </c>
      <c r="BP36" s="1575">
        <f t="shared" si="60"/>
        <v>14</v>
      </c>
    </row>
    <row r="37" spans="1:68" ht="100" customHeight="1">
      <c r="A37" s="2146">
        <v>5</v>
      </c>
      <c r="B37" s="2176">
        <f>_xlfn.XLOOKUP(D37,MOPFRA!$R$7:$R$56,MOPFRA!$A$7:$A$56,"")</f>
        <v>27.307134554074281</v>
      </c>
      <c r="C37" s="2164" t="str">
        <f>MOPFRA!Q11</f>
        <v>پارس‌ خزر</v>
      </c>
      <c r="D37" s="2164" t="str">
        <f>MOPFRA!R11</f>
        <v>لخزر</v>
      </c>
      <c r="E37" s="2170">
        <f>_xlfn.XLOOKUP(D37,MOPFRA!$R$7:$R$56,MOPFRA!$S$7:$S$56,"")</f>
        <v>12</v>
      </c>
      <c r="F37" s="2171">
        <f>_xlfn.XLOOKUP(D37,MOPFRA!$R$7:$R$56,MOPFRA!$AQ$7:$AQ$56,"")</f>
        <v>4072</v>
      </c>
      <c r="G37" s="2167">
        <v>4</v>
      </c>
      <c r="H37" s="2168">
        <f t="shared" si="49"/>
        <v>4</v>
      </c>
      <c r="I37" s="2147"/>
      <c r="J37" s="2148"/>
      <c r="K37" s="2149"/>
      <c r="L37" s="2150"/>
      <c r="M37" s="2147"/>
      <c r="N37" s="2148"/>
      <c r="O37" s="2149"/>
      <c r="P37" s="2151"/>
      <c r="Q37" s="2186">
        <f t="shared" si="50"/>
        <v>512</v>
      </c>
      <c r="R37" s="2187"/>
      <c r="S37" s="2188">
        <f>_xlfn.XLOOKUP(D37,'Sales Rec'!$E$4:$E$93,'Sales Rec'!$CP$4:$CP$93,"")</f>
        <v>0.90544871794871795</v>
      </c>
      <c r="T37" s="2152" t="s">
        <v>234</v>
      </c>
      <c r="U37" s="2152" t="s">
        <v>234</v>
      </c>
      <c r="AH37" s="1815">
        <f>_xlfn.XLOOKUP($D37,'Sales Rec'!$E$4:$E$93,'Sales Rec'!$AS$4:$AS$93)</f>
        <v>74</v>
      </c>
      <c r="AI37" s="2048">
        <f t="shared" si="21"/>
        <v>74</v>
      </c>
      <c r="AJ37" s="1815">
        <f>_xlfn.XLOOKUP($D37,'Sales Rec'!$E$4:$E$93,'Sales Rec'!$AV$4:$AV$93)</f>
        <v>402</v>
      </c>
      <c r="AK37" s="2048">
        <f t="shared" si="22"/>
        <v>328</v>
      </c>
      <c r="AL37" s="1815">
        <f>_xlfn.XLOOKUP($D37,'Sales Rec'!$E$4:$E$93,'Sales Rec'!$AY$4:$AY$93)</f>
        <v>624</v>
      </c>
      <c r="AM37" s="2048">
        <f t="shared" si="23"/>
        <v>222</v>
      </c>
      <c r="AN37" s="1815">
        <f>_xlfn.XLOOKUP($D37,'Sales Rec'!$E$4:$E$93,'Sales Rec'!$BB$4:$BB$93)</f>
        <v>800</v>
      </c>
      <c r="AO37" s="2048">
        <f t="shared" si="24"/>
        <v>176</v>
      </c>
      <c r="AP37" s="1815">
        <f>_xlfn.XLOOKUP($D37,'Sales Rec'!$E$4:$E$93,'Sales Rec'!$BE$4:$BE$93)</f>
        <v>1125</v>
      </c>
      <c r="AQ37" s="2048">
        <f t="shared" si="25"/>
        <v>325</v>
      </c>
      <c r="AR37" s="1815">
        <f>_xlfn.XLOOKUP(D37,'Sales Rec'!$E$4:$E$93,'Sales Rec'!$BH$4:$BH$93)</f>
        <v>1511</v>
      </c>
      <c r="AS37" s="2048">
        <f t="shared" si="41"/>
        <v>386</v>
      </c>
      <c r="AT37" s="1815">
        <f>_xlfn.XLOOKUP(D37,'Sales Rec'!$E$4:$E$93,'Sales Rec'!$BK$4:$BK$93)</f>
        <v>1893</v>
      </c>
      <c r="AU37" s="2048">
        <f t="shared" si="51"/>
        <v>382</v>
      </c>
      <c r="AV37" s="1815">
        <f>_xlfn.XLOOKUP($D37,'Sales Rec'!$E$4:$E$93,'Sales Rec'!$BN$4:$BN$93)</f>
        <v>2217</v>
      </c>
      <c r="AW37" s="2048">
        <f t="shared" si="52"/>
        <v>324</v>
      </c>
      <c r="AX37" s="1815">
        <f>_xlfn.XLOOKUP($D37,'Sales Rec'!$E$4:$E$93,'Sales Rec'!$BQ$4:$BQ$93)</f>
        <v>2581</v>
      </c>
      <c r="AY37" s="2048">
        <f t="shared" si="53"/>
        <v>364</v>
      </c>
      <c r="AZ37" s="1815">
        <f>_xlfn.XLOOKUP($D37,'Sales Rec'!$E$4:$E$93,'Sales Rec'!$BT$4:$BT$93)</f>
        <v>3080</v>
      </c>
      <c r="BA37" s="2048">
        <f t="shared" si="54"/>
        <v>499</v>
      </c>
      <c r="BB37" s="1815">
        <f>_xlfn.XLOOKUP($D37,'Sales Rec'!$E$4:$E$93,'Sales Rec'!$BW$4:$BW$93)</f>
        <v>3605</v>
      </c>
      <c r="BC37" s="2048">
        <f t="shared" si="55"/>
        <v>525</v>
      </c>
      <c r="BD37" s="1815">
        <f>_xlfn.XLOOKUP($D37,'Sales Rec'!$E$4:$E$93,'Sales Rec'!$BZ$4:$BZ$93)</f>
        <v>3938</v>
      </c>
      <c r="BE37" s="2048">
        <f t="shared" si="56"/>
        <v>333</v>
      </c>
      <c r="BF37" s="1815">
        <f>_xlfn.XLOOKUP($D37,'Sales Rec'!$E$4:$E$93,'Sales Rec'!$CH$4:$CH$93)</f>
        <v>56</v>
      </c>
      <c r="BG37" s="2048">
        <f t="shared" si="57"/>
        <v>56</v>
      </c>
      <c r="BH37" s="2050">
        <f t="shared" si="58"/>
        <v>-0.83183183183183185</v>
      </c>
      <c r="BI37" s="1815">
        <f>_xlfn.XLOOKUP($D37,'Sales Rec'!$E$4:$E$93,'Sales Rec'!$CK$4:$CK$93)</f>
        <v>677</v>
      </c>
      <c r="BJ37" s="2048">
        <f t="shared" si="47"/>
        <v>621</v>
      </c>
      <c r="BK37" s="2050">
        <f t="shared" si="59"/>
        <v>10.089285714285714</v>
      </c>
      <c r="BL37" s="1815">
        <f>_xlfn.XLOOKUP($D37,'Sales Rec'!$E$4:$E$93,'Sales Rec'!$CN$4:$CN$93)</f>
        <v>1189</v>
      </c>
      <c r="BM37" s="2048">
        <f t="shared" si="48"/>
        <v>512</v>
      </c>
      <c r="BN37" s="2050">
        <f t="shared" si="17"/>
        <v>-0.17552334943639292</v>
      </c>
      <c r="BO37" s="2069">
        <f t="shared" si="61"/>
        <v>-0.12380250552689757</v>
      </c>
      <c r="BP37" s="1575">
        <f t="shared" si="60"/>
        <v>38</v>
      </c>
    </row>
    <row r="38" spans="1:68" ht="100" customHeight="1">
      <c r="A38" s="2146">
        <v>6</v>
      </c>
      <c r="B38" s="2176">
        <f>_xlfn.XLOOKUP(D38,MOPFRA!$R$7:$R$56,MOPFRA!$A$7:$A$56,"")</f>
        <v>25.720175838287016</v>
      </c>
      <c r="C38" s="2164" t="str">
        <f>MOPFRA!Q12</f>
        <v>كارخانجات‌داروپخش‌</v>
      </c>
      <c r="D38" s="2164" t="str">
        <f>MOPFRA!R12</f>
        <v>دارو</v>
      </c>
      <c r="E38" s="2170">
        <f>_xlfn.XLOOKUP(D38,MOPFRA!$R$7:$R$56,MOPFRA!$S$7:$S$56,"")</f>
        <v>12</v>
      </c>
      <c r="F38" s="2171">
        <f>_xlfn.XLOOKUP(D38,MOPFRA!$R$7:$R$56,MOPFRA!$AQ$7:$AQ$56,"")</f>
        <v>8636</v>
      </c>
      <c r="G38" s="2167">
        <v>4</v>
      </c>
      <c r="H38" s="2168">
        <f t="shared" si="49"/>
        <v>4</v>
      </c>
      <c r="I38" s="2147"/>
      <c r="J38" s="2148"/>
      <c r="K38" s="2149"/>
      <c r="L38" s="2150"/>
      <c r="M38" s="2147"/>
      <c r="N38" s="2148"/>
      <c r="O38" s="2149"/>
      <c r="P38" s="2151"/>
      <c r="Q38" s="2186">
        <f t="shared" si="50"/>
        <v>2310</v>
      </c>
      <c r="R38" s="2187"/>
      <c r="S38" s="2188">
        <f>_xlfn.XLOOKUP(D38,'Sales Rec'!$E$4:$E$93,'Sales Rec'!$CP$4:$CP$93,"")</f>
        <v>2.2181818181818183</v>
      </c>
      <c r="T38" s="2152" t="s">
        <v>234</v>
      </c>
      <c r="U38" s="2152" t="s">
        <v>234</v>
      </c>
      <c r="AH38" s="1815">
        <f>_xlfn.XLOOKUP($D38,'Sales Rec'!$E$4:$E$93,'Sales Rec'!$AS$4:$AS$93)</f>
        <v>400</v>
      </c>
      <c r="AI38" s="2048">
        <f t="shared" si="21"/>
        <v>400</v>
      </c>
      <c r="AJ38" s="1815">
        <f>_xlfn.XLOOKUP($D38,'Sales Rec'!$E$4:$E$93,'Sales Rec'!$AV$4:$AV$93)</f>
        <v>1050</v>
      </c>
      <c r="AK38" s="2048">
        <f t="shared" si="22"/>
        <v>650</v>
      </c>
      <c r="AL38" s="1815">
        <f>_xlfn.XLOOKUP($D38,'Sales Rec'!$E$4:$E$93,'Sales Rec'!$AY$4:$AY$93)</f>
        <v>1650</v>
      </c>
      <c r="AM38" s="2048">
        <f t="shared" si="23"/>
        <v>600</v>
      </c>
      <c r="AN38" s="1815">
        <f>_xlfn.XLOOKUP($D38,'Sales Rec'!$E$4:$E$93,'Sales Rec'!$BB$4:$BB$93)</f>
        <v>2270</v>
      </c>
      <c r="AO38" s="2048">
        <f t="shared" si="24"/>
        <v>620</v>
      </c>
      <c r="AP38" s="1815">
        <f>_xlfn.XLOOKUP($D38,'Sales Rec'!$E$4:$E$93,'Sales Rec'!$BE$4:$BE$93)</f>
        <v>2910</v>
      </c>
      <c r="AQ38" s="2048">
        <f t="shared" si="25"/>
        <v>640</v>
      </c>
      <c r="AR38" s="1815">
        <f>_xlfn.XLOOKUP(D38,'Sales Rec'!$E$4:$E$93,'Sales Rec'!$BH$4:$BH$93)</f>
        <v>3570</v>
      </c>
      <c r="AS38" s="2048">
        <f t="shared" si="41"/>
        <v>660</v>
      </c>
      <c r="AT38" s="1815">
        <f>_xlfn.XLOOKUP(D38,'Sales Rec'!$E$4:$E$93,'Sales Rec'!$BK$4:$BK$93)</f>
        <v>4271</v>
      </c>
      <c r="AU38" s="2048">
        <f t="shared" si="51"/>
        <v>701</v>
      </c>
      <c r="AV38" s="1815">
        <f>_xlfn.XLOOKUP($D38,'Sales Rec'!$E$4:$E$93,'Sales Rec'!$BN$4:$BN$93)</f>
        <v>5271</v>
      </c>
      <c r="AW38" s="2048">
        <f t="shared" si="52"/>
        <v>1000</v>
      </c>
      <c r="AX38" s="1815">
        <f>_xlfn.XLOOKUP($D38,'Sales Rec'!$E$4:$E$93,'Sales Rec'!$BQ$4:$BQ$93)</f>
        <v>6271</v>
      </c>
      <c r="AY38" s="2048">
        <f t="shared" si="53"/>
        <v>1000</v>
      </c>
      <c r="AZ38" s="1815">
        <f>_xlfn.XLOOKUP($D38,'Sales Rec'!$E$4:$E$93,'Sales Rec'!$BT$4:$BT$93)</f>
        <v>7271</v>
      </c>
      <c r="BA38" s="2048">
        <f t="shared" si="54"/>
        <v>1000</v>
      </c>
      <c r="BB38" s="1815">
        <f>_xlfn.XLOOKUP($D38,'Sales Rec'!$E$4:$E$93,'Sales Rec'!$BW$4:$BW$93)</f>
        <v>8271</v>
      </c>
      <c r="BC38" s="2048">
        <f t="shared" si="55"/>
        <v>1000</v>
      </c>
      <c r="BD38" s="1815">
        <f>_xlfn.XLOOKUP($D38,'Sales Rec'!$E$4:$E$93,'Sales Rec'!$BZ$4:$BZ$93)</f>
        <v>8636</v>
      </c>
      <c r="BE38" s="2048">
        <f t="shared" si="56"/>
        <v>365</v>
      </c>
      <c r="BF38" s="1815">
        <f>_xlfn.XLOOKUP($D38,'Sales Rec'!$E$4:$E$93,'Sales Rec'!$CH$4:$CH$93)</f>
        <v>1000</v>
      </c>
      <c r="BG38" s="2048">
        <f t="shared" si="57"/>
        <v>1000</v>
      </c>
      <c r="BH38" s="2050">
        <f t="shared" si="58"/>
        <v>1.7397260273972603</v>
      </c>
      <c r="BI38" s="1815">
        <f>_xlfn.XLOOKUP($D38,'Sales Rec'!$E$4:$E$93,'Sales Rec'!$CK$4:$CK$93)</f>
        <v>3000</v>
      </c>
      <c r="BJ38" s="2048">
        <f t="shared" si="47"/>
        <v>2000</v>
      </c>
      <c r="BK38" s="2050">
        <f t="shared" si="59"/>
        <v>1</v>
      </c>
      <c r="BL38" s="1815">
        <f>_xlfn.XLOOKUP($D38,'Sales Rec'!$E$4:$E$93,'Sales Rec'!$CN$4:$CN$93)</f>
        <v>5310</v>
      </c>
      <c r="BM38" s="2048">
        <f t="shared" si="48"/>
        <v>2310</v>
      </c>
      <c r="BN38" s="2050">
        <f t="shared" si="17"/>
        <v>0.155</v>
      </c>
      <c r="BO38" s="2069">
        <f t="shared" si="61"/>
        <v>1.2452431289640591</v>
      </c>
      <c r="BP38" s="1575">
        <f t="shared" si="60"/>
        <v>4</v>
      </c>
    </row>
    <row r="39" spans="1:68" ht="100" customHeight="1">
      <c r="A39" s="2146">
        <v>7</v>
      </c>
      <c r="B39" s="2176">
        <f>_xlfn.XLOOKUP(D39,MOPFRA!$R$7:$R$56,MOPFRA!$A$7:$A$56,"")</f>
        <v>24.251489960105612</v>
      </c>
      <c r="C39" s="2164" t="str">
        <f>MOPFRA!Q13</f>
        <v>سالمين‌</v>
      </c>
      <c r="D39" s="2164" t="str">
        <f>MOPFRA!R13</f>
        <v>غسالم</v>
      </c>
      <c r="E39" s="2170">
        <f>_xlfn.XLOOKUP(D39,MOPFRA!$R$7:$R$56,MOPFRA!$S$7:$S$56,"")</f>
        <v>12</v>
      </c>
      <c r="F39" s="2171">
        <f>_xlfn.XLOOKUP(D39,MOPFRA!$R$7:$R$56,MOPFRA!$AQ$7:$AQ$56,"")</f>
        <v>3210</v>
      </c>
      <c r="G39" s="2167">
        <v>4</v>
      </c>
      <c r="H39" s="2168">
        <f t="shared" si="49"/>
        <v>4</v>
      </c>
      <c r="I39" s="2147"/>
      <c r="J39" s="2148"/>
      <c r="K39" s="2149"/>
      <c r="L39" s="2150"/>
      <c r="M39" s="2147"/>
      <c r="N39" s="2148"/>
      <c r="O39" s="2149"/>
      <c r="P39" s="2151"/>
      <c r="Q39" s="2186">
        <f t="shared" si="50"/>
        <v>592</v>
      </c>
      <c r="R39" s="2187"/>
      <c r="S39" s="2188">
        <f>_xlfn.XLOOKUP(D39,'Sales Rec'!$E$4:$E$93,'Sales Rec'!$CP$4:$CP$93,"")</f>
        <v>1.4295081967213115</v>
      </c>
      <c r="T39" s="2152" t="s">
        <v>234</v>
      </c>
      <c r="U39" s="2152" t="s">
        <v>234</v>
      </c>
      <c r="AH39" s="1815">
        <f>_xlfn.XLOOKUP($D39,'Sales Rec'!$E$4:$E$93,'Sales Rec'!$AS$4:$AS$93)</f>
        <v>135</v>
      </c>
      <c r="AI39" s="2048">
        <f t="shared" si="21"/>
        <v>135</v>
      </c>
      <c r="AJ39" s="1815">
        <f>_xlfn.XLOOKUP($D39,'Sales Rec'!$E$4:$E$93,'Sales Rec'!$AV$4:$AV$93)</f>
        <v>405</v>
      </c>
      <c r="AK39" s="2048">
        <f t="shared" si="22"/>
        <v>270</v>
      </c>
      <c r="AL39" s="1815">
        <f>_xlfn.XLOOKUP($D39,'Sales Rec'!$E$4:$E$93,'Sales Rec'!$AY$4:$AY$93)</f>
        <v>610</v>
      </c>
      <c r="AM39" s="2048">
        <f t="shared" si="23"/>
        <v>205</v>
      </c>
      <c r="AN39" s="1815">
        <f>_xlfn.XLOOKUP($D39,'Sales Rec'!$E$4:$E$93,'Sales Rec'!$BB$4:$BB$93)</f>
        <v>871</v>
      </c>
      <c r="AO39" s="2048">
        <f t="shared" si="24"/>
        <v>261</v>
      </c>
      <c r="AP39" s="1815">
        <f>_xlfn.XLOOKUP($D39,'Sales Rec'!$E$4:$E$93,'Sales Rec'!$BE$4:$BE$93)</f>
        <v>1114</v>
      </c>
      <c r="AQ39" s="2048">
        <f t="shared" si="25"/>
        <v>243</v>
      </c>
      <c r="AR39" s="1815">
        <f>_xlfn.XLOOKUP(D39,'Sales Rec'!$E$4:$E$93,'Sales Rec'!$BH$4:$BH$93)</f>
        <v>1376</v>
      </c>
      <c r="AS39" s="2048">
        <f t="shared" si="41"/>
        <v>262</v>
      </c>
      <c r="AT39" s="1815">
        <f>_xlfn.XLOOKUP(D39,'Sales Rec'!$E$4:$E$93,'Sales Rec'!$BK$4:$BK$93)</f>
        <v>1680</v>
      </c>
      <c r="AU39" s="2048">
        <f t="shared" si="51"/>
        <v>304</v>
      </c>
      <c r="AV39" s="1815">
        <f>_xlfn.XLOOKUP($D39,'Sales Rec'!$E$4:$E$93,'Sales Rec'!$BN$4:$BN$93)</f>
        <v>2008</v>
      </c>
      <c r="AW39" s="2048">
        <f t="shared" si="52"/>
        <v>328</v>
      </c>
      <c r="AX39" s="1815">
        <f>_xlfn.XLOOKUP($D39,'Sales Rec'!$E$4:$E$93,'Sales Rec'!$BQ$4:$BQ$93)</f>
        <v>2326</v>
      </c>
      <c r="AY39" s="2048">
        <f t="shared" si="53"/>
        <v>318</v>
      </c>
      <c r="AZ39" s="1815">
        <f>_xlfn.XLOOKUP($D39,'Sales Rec'!$E$4:$E$93,'Sales Rec'!$BT$4:$BT$93)</f>
        <v>2599</v>
      </c>
      <c r="BA39" s="2048">
        <f t="shared" si="54"/>
        <v>273</v>
      </c>
      <c r="BB39" s="1815">
        <f>_xlfn.XLOOKUP($D39,'Sales Rec'!$E$4:$E$93,'Sales Rec'!$BW$4:$BW$93)</f>
        <v>2924</v>
      </c>
      <c r="BC39" s="2048">
        <f t="shared" si="55"/>
        <v>325</v>
      </c>
      <c r="BD39" s="1815">
        <f>_xlfn.XLOOKUP($D39,'Sales Rec'!$E$4:$E$93,'Sales Rec'!$BZ$4:$BZ$93)</f>
        <v>3199</v>
      </c>
      <c r="BE39" s="2048">
        <f t="shared" si="56"/>
        <v>275</v>
      </c>
      <c r="BF39" s="1815">
        <f>_xlfn.XLOOKUP($D39,'Sales Rec'!$E$4:$E$93,'Sales Rec'!$CH$4:$CH$93)</f>
        <v>247</v>
      </c>
      <c r="BG39" s="2048">
        <f t="shared" si="57"/>
        <v>247</v>
      </c>
      <c r="BH39" s="2050">
        <f t="shared" si="58"/>
        <v>-0.10181818181818182</v>
      </c>
      <c r="BI39" s="1815">
        <f>_xlfn.XLOOKUP($D39,'Sales Rec'!$E$4:$E$93,'Sales Rec'!$CK$4:$CK$93)</f>
        <v>890</v>
      </c>
      <c r="BJ39" s="2048">
        <f t="shared" si="47"/>
        <v>643</v>
      </c>
      <c r="BK39" s="2050">
        <f t="shared" si="59"/>
        <v>1.6032388663967612</v>
      </c>
      <c r="BL39" s="1815">
        <f>_xlfn.XLOOKUP($D39,'Sales Rec'!$E$4:$E$93,'Sales Rec'!$CN$4:$CN$93)</f>
        <v>1482</v>
      </c>
      <c r="BM39" s="2048">
        <f t="shared" si="48"/>
        <v>592</v>
      </c>
      <c r="BN39" s="2050">
        <f t="shared" si="17"/>
        <v>-7.9315707620528766E-2</v>
      </c>
      <c r="BO39" s="2069">
        <f t="shared" si="61"/>
        <v>0.69759450171821302</v>
      </c>
      <c r="BP39" s="1575">
        <f t="shared" si="60"/>
        <v>10</v>
      </c>
    </row>
    <row r="40" spans="1:68" ht="100" customHeight="1">
      <c r="A40" s="2146">
        <v>8</v>
      </c>
      <c r="B40" s="2176">
        <f>_xlfn.XLOOKUP(D40,MOPFRA!$R$7:$R$56,MOPFRA!$A$7:$A$56,"")</f>
        <v>22.537123972438035</v>
      </c>
      <c r="C40" s="2164" t="str">
        <f>MOPFRA!Q14</f>
        <v>توليدي برنا باطري</v>
      </c>
      <c r="D40" s="2164" t="str">
        <f>MOPFRA!R14</f>
        <v>خبرنا</v>
      </c>
      <c r="E40" s="2170">
        <f>_xlfn.XLOOKUP(D40,MOPFRA!$R$7:$R$56,MOPFRA!$S$7:$S$56,"")</f>
        <v>12</v>
      </c>
      <c r="F40" s="2171">
        <f>_xlfn.XLOOKUP(D40,MOPFRA!$R$7:$R$56,MOPFRA!$AQ$7:$AQ$56,"")</f>
        <v>2996</v>
      </c>
      <c r="G40" s="2167">
        <v>4</v>
      </c>
      <c r="H40" s="2168">
        <f t="shared" si="49"/>
        <v>4</v>
      </c>
      <c r="I40" s="2147"/>
      <c r="J40" s="2148"/>
      <c r="K40" s="2149"/>
      <c r="L40" s="2150"/>
      <c r="M40" s="2147"/>
      <c r="N40" s="2148"/>
      <c r="O40" s="2149"/>
      <c r="P40" s="2151"/>
      <c r="Q40" s="2186">
        <f t="shared" si="50"/>
        <v>359</v>
      </c>
      <c r="R40" s="2187"/>
      <c r="S40" s="2188">
        <f>_xlfn.XLOOKUP(D40,'Sales Rec'!$E$4:$E$93,'Sales Rec'!$CP$4:$CP$93,"")</f>
        <v>0.31208053691275167</v>
      </c>
      <c r="T40" s="2152" t="s">
        <v>234</v>
      </c>
      <c r="U40" s="2152" t="s">
        <v>234</v>
      </c>
      <c r="AH40" s="1815">
        <f>_xlfn.XLOOKUP($D40,'Sales Rec'!$E$4:$E$93,'Sales Rec'!$AS$4:$AS$93)</f>
        <v>105</v>
      </c>
      <c r="AI40" s="2048">
        <f t="shared" si="21"/>
        <v>105</v>
      </c>
      <c r="AJ40" s="1815">
        <f>_xlfn.XLOOKUP($D40,'Sales Rec'!$E$4:$E$93,'Sales Rec'!$AV$4:$AV$93)</f>
        <v>314</v>
      </c>
      <c r="AK40" s="2048">
        <f t="shared" si="22"/>
        <v>209</v>
      </c>
      <c r="AL40" s="1815">
        <f>_xlfn.XLOOKUP($D40,'Sales Rec'!$E$4:$E$93,'Sales Rec'!$AY$4:$AY$93)</f>
        <v>596</v>
      </c>
      <c r="AM40" s="2048">
        <f t="shared" si="23"/>
        <v>282</v>
      </c>
      <c r="AN40" s="1815">
        <f>_xlfn.XLOOKUP($D40,'Sales Rec'!$E$4:$E$93,'Sales Rec'!$BB$4:$BB$93)</f>
        <v>913</v>
      </c>
      <c r="AO40" s="2048">
        <f t="shared" si="24"/>
        <v>317</v>
      </c>
      <c r="AP40" s="1815">
        <f>_xlfn.XLOOKUP($D40,'Sales Rec'!$E$4:$E$93,'Sales Rec'!$BE$4:$BE$93)</f>
        <v>1366</v>
      </c>
      <c r="AQ40" s="2048">
        <f t="shared" si="25"/>
        <v>453</v>
      </c>
      <c r="AR40" s="1815">
        <f>_xlfn.XLOOKUP(D40,'Sales Rec'!$E$4:$E$93,'Sales Rec'!$BH$4:$BH$93)</f>
        <v>1807</v>
      </c>
      <c r="AS40" s="2048">
        <f t="shared" si="41"/>
        <v>441</v>
      </c>
      <c r="AT40" s="1815">
        <f>_xlfn.XLOOKUP(D40,'Sales Rec'!$E$4:$E$93,'Sales Rec'!$BK$4:$BK$93)</f>
        <v>2221</v>
      </c>
      <c r="AU40" s="2048">
        <f t="shared" si="51"/>
        <v>414</v>
      </c>
      <c r="AV40" s="1815">
        <f>_xlfn.XLOOKUP($D40,'Sales Rec'!$E$4:$E$93,'Sales Rec'!$BN$4:$BN$93)</f>
        <v>2441</v>
      </c>
      <c r="AW40" s="2048">
        <f t="shared" si="52"/>
        <v>220</v>
      </c>
      <c r="AX40" s="1815">
        <f>_xlfn.XLOOKUP($D40,'Sales Rec'!$E$4:$E$93,'Sales Rec'!$BQ$4:$BQ$93)</f>
        <v>2705</v>
      </c>
      <c r="AY40" s="2048">
        <f t="shared" si="53"/>
        <v>264</v>
      </c>
      <c r="AZ40" s="1815">
        <f>_xlfn.XLOOKUP($D40,'Sales Rec'!$E$4:$E$93,'Sales Rec'!$BT$4:$BT$93)</f>
        <v>2878</v>
      </c>
      <c r="BA40" s="2048">
        <f t="shared" si="54"/>
        <v>173</v>
      </c>
      <c r="BB40" s="1815">
        <f>_xlfn.XLOOKUP($D40,'Sales Rec'!$E$4:$E$93,'Sales Rec'!$BW$4:$BW$93)</f>
        <v>2974</v>
      </c>
      <c r="BC40" s="2048">
        <f t="shared" si="55"/>
        <v>96</v>
      </c>
      <c r="BD40" s="1815">
        <f>_xlfn.XLOOKUP($D40,'Sales Rec'!$E$4:$E$93,'Sales Rec'!$BZ$4:$BZ$93)</f>
        <v>2996</v>
      </c>
      <c r="BE40" s="2048">
        <f t="shared" si="56"/>
        <v>22</v>
      </c>
      <c r="BF40" s="1815">
        <f>_xlfn.XLOOKUP($D40,'Sales Rec'!$E$4:$E$93,'Sales Rec'!$CH$4:$CH$93)</f>
        <v>1</v>
      </c>
      <c r="BG40" s="2048">
        <f t="shared" si="57"/>
        <v>1</v>
      </c>
      <c r="BH40" s="2050">
        <f t="shared" si="58"/>
        <v>-0.95454545454545459</v>
      </c>
      <c r="BI40" s="1815">
        <f>_xlfn.XLOOKUP($D40,'Sales Rec'!$E$4:$E$93,'Sales Rec'!$CK$4:$CK$93)</f>
        <v>423</v>
      </c>
      <c r="BJ40" s="2048">
        <f t="shared" si="47"/>
        <v>422</v>
      </c>
      <c r="BK40" s="2050">
        <f t="shared" si="59"/>
        <v>421</v>
      </c>
      <c r="BL40" s="1815">
        <f>_xlfn.XLOOKUP($D40,'Sales Rec'!$E$4:$E$93,'Sales Rec'!$CN$4:$CN$93)</f>
        <v>782</v>
      </c>
      <c r="BM40" s="2048">
        <f t="shared" si="48"/>
        <v>359</v>
      </c>
      <c r="BN40" s="2050">
        <f t="shared" si="17"/>
        <v>-0.14928909952606634</v>
      </c>
      <c r="BO40" s="2069">
        <f t="shared" si="61"/>
        <v>1.6872852233676976</v>
      </c>
      <c r="BP40" s="1575">
        <f t="shared" si="60"/>
        <v>2</v>
      </c>
    </row>
    <row r="41" spans="1:68" ht="100" customHeight="1">
      <c r="A41" s="2146">
        <v>9</v>
      </c>
      <c r="B41" s="2176">
        <f>_xlfn.XLOOKUP(D41,MOPFRA!$R$7:$R$56,MOPFRA!$A$7:$A$56,"")</f>
        <v>21.915394470166301</v>
      </c>
      <c r="C41" s="2164" t="str">
        <f>MOPFRA!Q15</f>
        <v>دارويي و نهاده هاي زاگرس دارو</v>
      </c>
      <c r="D41" s="2164" t="str">
        <f>MOPFRA!R15</f>
        <v>دزاگرس</v>
      </c>
      <c r="E41" s="2170">
        <f>_xlfn.XLOOKUP(D41,MOPFRA!$R$7:$R$56,MOPFRA!$S$7:$S$56,"")</f>
        <v>12</v>
      </c>
      <c r="F41" s="2171">
        <f>_xlfn.XLOOKUP(D41,MOPFRA!$R$7:$R$56,MOPFRA!$AQ$7:$AQ$56,"")</f>
        <v>3615</v>
      </c>
      <c r="G41" s="2167">
        <v>4</v>
      </c>
      <c r="H41" s="2168">
        <f t="shared" si="49"/>
        <v>4</v>
      </c>
      <c r="I41" s="2147"/>
      <c r="J41" s="2148"/>
      <c r="K41" s="2149"/>
      <c r="L41" s="2150"/>
      <c r="M41" s="2147"/>
      <c r="N41" s="2148"/>
      <c r="O41" s="2149"/>
      <c r="P41" s="2151"/>
      <c r="Q41" s="2186">
        <f t="shared" si="50"/>
        <v>1200</v>
      </c>
      <c r="R41" s="2187"/>
      <c r="S41" s="2188">
        <f>_xlfn.XLOOKUP(D41,'Sales Rec'!$E$4:$E$93,'Sales Rec'!$CP$4:$CP$93,"")</f>
        <v>2.4477244772447726</v>
      </c>
      <c r="T41" s="2152" t="s">
        <v>234</v>
      </c>
      <c r="U41" s="2152" t="s">
        <v>234</v>
      </c>
      <c r="AH41" s="1815">
        <f>_xlfn.XLOOKUP($D41,'Sales Rec'!$E$4:$E$93,'Sales Rec'!$AS$4:$AS$93)</f>
        <v>280</v>
      </c>
      <c r="AI41" s="2048">
        <f t="shared" si="21"/>
        <v>280</v>
      </c>
      <c r="AJ41" s="1815">
        <f>_xlfn.XLOOKUP($D41,'Sales Rec'!$E$4:$E$93,'Sales Rec'!$AV$4:$AV$93)</f>
        <v>600</v>
      </c>
      <c r="AK41" s="2048">
        <f t="shared" si="22"/>
        <v>320</v>
      </c>
      <c r="AL41" s="1815">
        <f>_xlfn.XLOOKUP($D41,'Sales Rec'!$E$4:$E$93,'Sales Rec'!$AY$4:$AY$93)</f>
        <v>813</v>
      </c>
      <c r="AM41" s="2048">
        <f t="shared" si="23"/>
        <v>213</v>
      </c>
      <c r="AN41" s="1815">
        <f>_xlfn.XLOOKUP($D41,'Sales Rec'!$E$4:$E$93,'Sales Rec'!$BB$4:$BB$93)</f>
        <v>1113</v>
      </c>
      <c r="AO41" s="2048">
        <f t="shared" si="24"/>
        <v>300</v>
      </c>
      <c r="AP41" s="1815">
        <f>_xlfn.XLOOKUP($D41,'Sales Rec'!$E$4:$E$93,'Sales Rec'!$BE$4:$BE$93)</f>
        <v>1375</v>
      </c>
      <c r="AQ41" s="2048">
        <f t="shared" si="25"/>
        <v>262</v>
      </c>
      <c r="AR41" s="1815">
        <f>_xlfn.XLOOKUP(D41,'Sales Rec'!$E$4:$E$93,'Sales Rec'!$BH$4:$BH$93)</f>
        <v>1806</v>
      </c>
      <c r="AS41" s="2048">
        <f t="shared" si="41"/>
        <v>431</v>
      </c>
      <c r="AT41" s="1815">
        <f>_xlfn.XLOOKUP(D41,'Sales Rec'!$E$4:$E$93,'Sales Rec'!$BK$4:$BK$93)</f>
        <v>2044</v>
      </c>
      <c r="AU41" s="2048">
        <f t="shared" si="51"/>
        <v>238</v>
      </c>
      <c r="AV41" s="1815">
        <f>_xlfn.XLOOKUP($D41,'Sales Rec'!$E$4:$E$93,'Sales Rec'!$BN$4:$BN$93)</f>
        <v>2502</v>
      </c>
      <c r="AW41" s="2048">
        <f t="shared" si="52"/>
        <v>458</v>
      </c>
      <c r="AX41" s="1815">
        <f>_xlfn.XLOOKUP($D41,'Sales Rec'!$E$4:$E$93,'Sales Rec'!$BQ$4:$BQ$93)</f>
        <v>2869</v>
      </c>
      <c r="AY41" s="2048">
        <f t="shared" si="53"/>
        <v>367</v>
      </c>
      <c r="AZ41" s="1815">
        <f>_xlfn.XLOOKUP($D41,'Sales Rec'!$E$4:$E$93,'Sales Rec'!$BT$4:$BT$93)</f>
        <v>3115</v>
      </c>
      <c r="BA41" s="2048">
        <f t="shared" si="54"/>
        <v>246</v>
      </c>
      <c r="BB41" s="1815">
        <f>_xlfn.XLOOKUP($D41,'Sales Rec'!$E$4:$E$93,'Sales Rec'!$BW$4:$BW$93)</f>
        <v>3518</v>
      </c>
      <c r="BC41" s="2048">
        <f t="shared" si="55"/>
        <v>403</v>
      </c>
      <c r="BD41" s="1815">
        <f>_xlfn.XLOOKUP($D41,'Sales Rec'!$E$4:$E$93,'Sales Rec'!$BZ$4:$BZ$93)</f>
        <v>3621</v>
      </c>
      <c r="BE41" s="2048">
        <f t="shared" si="56"/>
        <v>103</v>
      </c>
      <c r="BF41" s="1815">
        <f>_xlfn.XLOOKUP($D41,'Sales Rec'!$E$4:$E$93,'Sales Rec'!$CH$4:$CH$93)</f>
        <v>550</v>
      </c>
      <c r="BG41" s="2048">
        <f t="shared" si="57"/>
        <v>550</v>
      </c>
      <c r="BH41" s="2050">
        <f t="shared" si="58"/>
        <v>4.3398058252427187</v>
      </c>
      <c r="BI41" s="1815">
        <f>_xlfn.XLOOKUP($D41,'Sales Rec'!$E$4:$E$93,'Sales Rec'!$CK$4:$CK$93)</f>
        <v>1603</v>
      </c>
      <c r="BJ41" s="2048">
        <f t="shared" si="47"/>
        <v>1053</v>
      </c>
      <c r="BK41" s="2050">
        <f t="shared" si="59"/>
        <v>0.91454545454545455</v>
      </c>
      <c r="BL41" s="1815">
        <f>_xlfn.XLOOKUP($D41,'Sales Rec'!$E$4:$E$93,'Sales Rec'!$CN$4:$CN$93)</f>
        <v>2803</v>
      </c>
      <c r="BM41" s="2048">
        <f t="shared" si="48"/>
        <v>1200</v>
      </c>
      <c r="BN41" s="2050">
        <f t="shared" si="17"/>
        <v>0.1396011396011396</v>
      </c>
      <c r="BO41" s="2069">
        <f t="shared" si="61"/>
        <v>2.7273936170212765</v>
      </c>
      <c r="BP41" s="1575">
        <f t="shared" si="60"/>
        <v>1</v>
      </c>
    </row>
    <row r="42" spans="1:68" ht="100" customHeight="1">
      <c r="A42" s="2146">
        <v>10</v>
      </c>
      <c r="B42" s="2176">
        <f>_xlfn.XLOOKUP(D42,MOPFRA!$R$7:$R$56,MOPFRA!$A$7:$A$56,"")</f>
        <v>21.973793847562622</v>
      </c>
      <c r="C42" s="2164" t="str">
        <f>MOPFRA!Q16</f>
        <v>فولاد اميركبيركاشان</v>
      </c>
      <c r="D42" s="2164" t="str">
        <f>MOPFRA!R16</f>
        <v>فجر</v>
      </c>
      <c r="E42" s="2170">
        <f>_xlfn.XLOOKUP(D42,MOPFRA!$R$7:$R$56,MOPFRA!$S$7:$S$56,"")</f>
        <v>12</v>
      </c>
      <c r="F42" s="2171">
        <f>_xlfn.XLOOKUP(D42,MOPFRA!$R$7:$R$56,MOPFRA!$AQ$7:$AQ$56,"")</f>
        <v>9834</v>
      </c>
      <c r="G42" s="2167">
        <v>4</v>
      </c>
      <c r="H42" s="2168">
        <f t="shared" si="49"/>
        <v>4</v>
      </c>
      <c r="I42" s="2147"/>
      <c r="J42" s="2148"/>
      <c r="K42" s="2149"/>
      <c r="L42" s="2150"/>
      <c r="M42" s="2147"/>
      <c r="N42" s="2148"/>
      <c r="O42" s="2149"/>
      <c r="P42" s="2151"/>
      <c r="Q42" s="2186">
        <f t="shared" si="50"/>
        <v>1299</v>
      </c>
      <c r="R42" s="2187"/>
      <c r="S42" s="2188">
        <f>_xlfn.XLOOKUP(D42,'Sales Rec'!$E$4:$E$93,'Sales Rec'!$CP$4:$CP$93,"")</f>
        <v>0.56154282473057293</v>
      </c>
      <c r="T42" s="2152" t="s">
        <v>234</v>
      </c>
      <c r="U42" s="2152" t="s">
        <v>234</v>
      </c>
      <c r="AH42" s="1815">
        <f>_xlfn.XLOOKUP($D42,'Sales Rec'!$E$4:$E$93,'Sales Rec'!$AS$4:$AS$93)</f>
        <v>483</v>
      </c>
      <c r="AI42" s="2048">
        <f t="shared" si="21"/>
        <v>483</v>
      </c>
      <c r="AJ42" s="1815">
        <f>_xlfn.XLOOKUP($D42,'Sales Rec'!$E$4:$E$93,'Sales Rec'!$AV$4:$AV$93)</f>
        <v>1105</v>
      </c>
      <c r="AK42" s="2048">
        <f t="shared" si="22"/>
        <v>622</v>
      </c>
      <c r="AL42" s="1815">
        <f>_xlfn.XLOOKUP($D42,'Sales Rec'!$E$4:$E$93,'Sales Rec'!$AY$4:$AY$93)</f>
        <v>1763</v>
      </c>
      <c r="AM42" s="2048">
        <f t="shared" si="23"/>
        <v>658</v>
      </c>
      <c r="AN42" s="1815">
        <f>_xlfn.XLOOKUP($D42,'Sales Rec'!$E$4:$E$93,'Sales Rec'!$BB$4:$BB$93)</f>
        <v>2381</v>
      </c>
      <c r="AO42" s="2048">
        <f t="shared" si="24"/>
        <v>618</v>
      </c>
      <c r="AP42" s="1815">
        <f>_xlfn.XLOOKUP($D42,'Sales Rec'!$E$4:$E$93,'Sales Rec'!$BE$4:$BE$93)</f>
        <v>3109</v>
      </c>
      <c r="AQ42" s="2048">
        <f t="shared" si="25"/>
        <v>728</v>
      </c>
      <c r="AR42" s="1815">
        <f>_xlfn.XLOOKUP(D42,'Sales Rec'!$E$4:$E$93,'Sales Rec'!$BH$4:$BH$93)</f>
        <v>4126</v>
      </c>
      <c r="AS42" s="2048">
        <f t="shared" si="41"/>
        <v>1017</v>
      </c>
      <c r="AT42" s="1815">
        <f>_xlfn.XLOOKUP(D42,'Sales Rec'!$E$4:$E$93,'Sales Rec'!$BK$4:$BK$93)</f>
        <v>5206</v>
      </c>
      <c r="AU42" s="2048">
        <f t="shared" si="51"/>
        <v>1080</v>
      </c>
      <c r="AV42" s="1815">
        <f>_xlfn.XLOOKUP($D42,'Sales Rec'!$E$4:$E$93,'Sales Rec'!$BN$4:$BN$93)</f>
        <v>6132</v>
      </c>
      <c r="AW42" s="2048">
        <f t="shared" si="52"/>
        <v>926</v>
      </c>
      <c r="AX42" s="1815">
        <f>_xlfn.XLOOKUP($D42,'Sales Rec'!$E$4:$E$93,'Sales Rec'!$BQ$4:$BQ$93)</f>
        <v>7140</v>
      </c>
      <c r="AY42" s="2048">
        <f t="shared" si="53"/>
        <v>1008</v>
      </c>
      <c r="AZ42" s="1815">
        <f>_xlfn.XLOOKUP($D42,'Sales Rec'!$E$4:$E$93,'Sales Rec'!$BT$4:$BT$93)</f>
        <v>8124</v>
      </c>
      <c r="BA42" s="2048">
        <f t="shared" si="54"/>
        <v>984</v>
      </c>
      <c r="BB42" s="1815">
        <f>_xlfn.XLOOKUP($D42,'Sales Rec'!$E$4:$E$93,'Sales Rec'!$BW$4:$BW$93)</f>
        <v>9119</v>
      </c>
      <c r="BC42" s="2048">
        <f t="shared" si="55"/>
        <v>995</v>
      </c>
      <c r="BD42" s="1815">
        <f>_xlfn.XLOOKUP($D42,'Sales Rec'!$E$4:$E$93,'Sales Rec'!$BZ$4:$BZ$93)</f>
        <v>9834</v>
      </c>
      <c r="BE42" s="2048">
        <f t="shared" si="56"/>
        <v>715</v>
      </c>
      <c r="BF42" s="1815">
        <f>_xlfn.XLOOKUP($D42,'Sales Rec'!$E$4:$E$93,'Sales Rec'!$CH$4:$CH$93)</f>
        <v>299</v>
      </c>
      <c r="BG42" s="2048">
        <f t="shared" si="57"/>
        <v>299</v>
      </c>
      <c r="BH42" s="2050">
        <f t="shared" si="58"/>
        <v>-0.58181818181818179</v>
      </c>
      <c r="BI42" s="1815">
        <f>_xlfn.XLOOKUP($D42,'Sales Rec'!$E$4:$E$93,'Sales Rec'!$CK$4:$CK$93)</f>
        <v>1454</v>
      </c>
      <c r="BJ42" s="2048">
        <f t="shared" si="47"/>
        <v>1155</v>
      </c>
      <c r="BK42" s="2050">
        <f t="shared" si="59"/>
        <v>2.8628762541806019</v>
      </c>
      <c r="BL42" s="1815">
        <f>_xlfn.XLOOKUP($D42,'Sales Rec'!$E$4:$E$93,'Sales Rec'!$CN$4:$CN$93)</f>
        <v>2753</v>
      </c>
      <c r="BM42" s="2048">
        <f t="shared" si="48"/>
        <v>1299</v>
      </c>
      <c r="BN42" s="2050">
        <f t="shared" si="17"/>
        <v>0.12467532467532468</v>
      </c>
      <c r="BO42" s="2069">
        <f t="shared" si="61"/>
        <v>2.190051967334818E-2</v>
      </c>
      <c r="BP42" s="1575">
        <f t="shared" si="60"/>
        <v>31</v>
      </c>
    </row>
    <row r="43" spans="1:68" ht="100" customHeight="1">
      <c r="A43" s="2146">
        <v>11</v>
      </c>
      <c r="B43" s="2176">
        <f>_xlfn.XLOOKUP(D43,MOPFRA!$R$7:$R$56,MOPFRA!$A$7:$A$56,"")</f>
        <v>18.611866641113266</v>
      </c>
      <c r="C43" s="2164" t="str">
        <f>MOPFRA!Q17</f>
        <v>پالايش نفت تهران</v>
      </c>
      <c r="D43" s="2164" t="str">
        <f>MOPFRA!R17</f>
        <v>شتران</v>
      </c>
      <c r="E43" s="2170">
        <f>_xlfn.XLOOKUP(D43,MOPFRA!$R$7:$R$56,MOPFRA!$S$7:$S$56,"")</f>
        <v>12</v>
      </c>
      <c r="F43" s="2171">
        <f>_xlfn.XLOOKUP(D43,MOPFRA!$R$7:$R$56,MOPFRA!$AQ$7:$AQ$56,"")</f>
        <v>456866</v>
      </c>
      <c r="G43" s="2167">
        <v>4</v>
      </c>
      <c r="H43" s="2168">
        <f t="shared" si="49"/>
        <v>4</v>
      </c>
      <c r="I43" s="2147"/>
      <c r="J43" s="2148"/>
      <c r="K43" s="2149"/>
      <c r="L43" s="2150"/>
      <c r="M43" s="2147"/>
      <c r="N43" s="2148"/>
      <c r="O43" s="2149"/>
      <c r="P43" s="2151"/>
      <c r="Q43" s="2186">
        <f t="shared" si="50"/>
        <v>64976</v>
      </c>
      <c r="R43" s="2187"/>
      <c r="S43" s="2188">
        <f>_xlfn.XLOOKUP(D43,'Sales Rec'!$E$4:$E$93,'Sales Rec'!$CP$4:$CP$93,"")</f>
        <v>0.32827969166697113</v>
      </c>
      <c r="T43" s="2152" t="s">
        <v>234</v>
      </c>
      <c r="U43" s="2152" t="s">
        <v>234</v>
      </c>
      <c r="AH43" s="1815">
        <f>_xlfn.XLOOKUP($D43,'Sales Rec'!$E$4:$E$93,'Sales Rec'!$AS$4:$AS$93)</f>
        <v>36943</v>
      </c>
      <c r="AI43" s="2048">
        <f t="shared" si="21"/>
        <v>36943</v>
      </c>
      <c r="AJ43" s="1815">
        <f>_xlfn.XLOOKUP($D43,'Sales Rec'!$E$4:$E$93,'Sales Rec'!$AV$4:$AV$93)</f>
        <v>72629</v>
      </c>
      <c r="AK43" s="2048">
        <f t="shared" si="22"/>
        <v>35686</v>
      </c>
      <c r="AL43" s="1815">
        <f>_xlfn.XLOOKUP($D43,'Sales Rec'!$E$4:$E$93,'Sales Rec'!$AY$4:$AY$93)</f>
        <v>109492</v>
      </c>
      <c r="AM43" s="2048">
        <f t="shared" si="23"/>
        <v>36863</v>
      </c>
      <c r="AN43" s="1815">
        <f>_xlfn.XLOOKUP($D43,'Sales Rec'!$E$4:$E$93,'Sales Rec'!$BB$4:$BB$93)</f>
        <v>144956</v>
      </c>
      <c r="AO43" s="2048">
        <f t="shared" si="24"/>
        <v>35464</v>
      </c>
      <c r="AP43" s="1815">
        <f>_xlfn.XLOOKUP($D43,'Sales Rec'!$E$4:$E$93,'Sales Rec'!$BE$4:$BE$93)</f>
        <v>180418</v>
      </c>
      <c r="AQ43" s="2048">
        <f t="shared" si="25"/>
        <v>35462</v>
      </c>
      <c r="AR43" s="1815">
        <f>_xlfn.XLOOKUP(D43,'Sales Rec'!$E$4:$E$93,'Sales Rec'!$BH$4:$BH$93)</f>
        <v>215880</v>
      </c>
      <c r="AS43" s="2048">
        <f t="shared" si="41"/>
        <v>35462</v>
      </c>
      <c r="AT43" s="1815">
        <f>_xlfn.XLOOKUP(D43,'Sales Rec'!$E$4:$E$93,'Sales Rec'!$BK$4:$BK$93)</f>
        <v>247139</v>
      </c>
      <c r="AU43" s="2048">
        <f t="shared" si="51"/>
        <v>31259</v>
      </c>
      <c r="AV43" s="1815">
        <f>_xlfn.XLOOKUP($D43,'Sales Rec'!$E$4:$E$93,'Sales Rec'!$BN$4:$BN$93)</f>
        <v>278396</v>
      </c>
      <c r="AW43" s="2048">
        <f t="shared" si="52"/>
        <v>31257</v>
      </c>
      <c r="AX43" s="1815">
        <f>_xlfn.XLOOKUP($D43,'Sales Rec'!$E$4:$E$93,'Sales Rec'!$BQ$4:$BQ$93)</f>
        <v>309653</v>
      </c>
      <c r="AY43" s="2048">
        <f t="shared" si="53"/>
        <v>31257</v>
      </c>
      <c r="AZ43" s="1815">
        <f>_xlfn.XLOOKUP($D43,'Sales Rec'!$E$4:$E$93,'Sales Rec'!$BT$4:$BT$93)</f>
        <v>340910</v>
      </c>
      <c r="BA43" s="2048">
        <f t="shared" si="54"/>
        <v>31257</v>
      </c>
      <c r="BB43" s="1815">
        <f>_xlfn.XLOOKUP($D43,'Sales Rec'!$E$4:$E$93,'Sales Rec'!$BW$4:$BW$93)</f>
        <v>419597</v>
      </c>
      <c r="BC43" s="2048">
        <f t="shared" si="55"/>
        <v>78687</v>
      </c>
      <c r="BD43" s="1815">
        <f>_xlfn.XLOOKUP($D43,'Sales Rec'!$E$4:$E$93,'Sales Rec'!$BZ$4:$BZ$93)</f>
        <v>456866</v>
      </c>
      <c r="BE43" s="2048">
        <f t="shared" si="56"/>
        <v>37269</v>
      </c>
      <c r="BF43" s="1815">
        <f>_xlfn.XLOOKUP($D43,'Sales Rec'!$E$4:$E$93,'Sales Rec'!$CH$4:$CH$93)</f>
        <v>20144</v>
      </c>
      <c r="BG43" s="2048">
        <f t="shared" si="57"/>
        <v>20144</v>
      </c>
      <c r="BH43" s="2050">
        <f t="shared" si="58"/>
        <v>-0.45949716922911804</v>
      </c>
      <c r="BI43" s="1815">
        <f>_xlfn.XLOOKUP($D43,'Sales Rec'!$E$4:$E$93,'Sales Rec'!$CK$4:$CK$93)</f>
        <v>80460</v>
      </c>
      <c r="BJ43" s="2048">
        <f t="shared" si="47"/>
        <v>60316</v>
      </c>
      <c r="BK43" s="2050">
        <f t="shared" si="59"/>
        <v>1.9942414614773629</v>
      </c>
      <c r="BL43" s="1815">
        <f>_xlfn.XLOOKUP($D43,'Sales Rec'!$E$4:$E$93,'Sales Rec'!$CN$4:$CN$93)</f>
        <v>145436</v>
      </c>
      <c r="BM43" s="2048">
        <f t="shared" si="48"/>
        <v>64976</v>
      </c>
      <c r="BN43" s="2050">
        <f t="shared" si="17"/>
        <v>7.7259765236421515E-2</v>
      </c>
      <c r="BO43" s="2069">
        <f t="shared" si="61"/>
        <v>-1.2070944821449194E-2</v>
      </c>
      <c r="BP43" s="1575">
        <f t="shared" si="60"/>
        <v>35</v>
      </c>
    </row>
    <row r="44" spans="1:68" ht="100" customHeight="1">
      <c r="A44" s="2146">
        <v>12</v>
      </c>
      <c r="B44" s="2176">
        <f>_xlfn.XLOOKUP(D44,MOPFRA!$R$7:$R$56,MOPFRA!$A$7:$A$56,"")</f>
        <v>17.984453865135521</v>
      </c>
      <c r="C44" s="2164" t="str">
        <f>MOPFRA!Q18</f>
        <v>صنعت غذايي كورش</v>
      </c>
      <c r="D44" s="2164" t="str">
        <f>MOPFRA!R18</f>
        <v>غكورش</v>
      </c>
      <c r="E44" s="2170">
        <f>_xlfn.XLOOKUP(D44,MOPFRA!$R$7:$R$56,MOPFRA!$S$7:$S$56,"")</f>
        <v>12</v>
      </c>
      <c r="F44" s="2171">
        <f>_xlfn.XLOOKUP(D44,MOPFRA!$R$7:$R$56,MOPFRA!$AQ$7:$AQ$56,"")</f>
        <v>46676</v>
      </c>
      <c r="G44" s="2167">
        <v>4</v>
      </c>
      <c r="H44" s="2168">
        <f t="shared" si="49"/>
        <v>4</v>
      </c>
      <c r="I44" s="2147"/>
      <c r="J44" s="2148"/>
      <c r="K44" s="2149"/>
      <c r="L44" s="2150"/>
      <c r="M44" s="2147"/>
      <c r="N44" s="2148"/>
      <c r="O44" s="2149"/>
      <c r="P44" s="2151"/>
      <c r="Q44" s="2186">
        <f t="shared" si="50"/>
        <v>9502</v>
      </c>
      <c r="R44" s="2187"/>
      <c r="S44" s="2188">
        <f>_xlfn.XLOOKUP(D44,'Sales Rec'!$E$4:$E$93,'Sales Rec'!$CP$4:$CP$93,"")</f>
        <v>4.4098207617625089</v>
      </c>
      <c r="T44" s="2152" t="s">
        <v>234</v>
      </c>
      <c r="U44" s="2152" t="s">
        <v>234</v>
      </c>
      <c r="AH44" s="1815">
        <f>_xlfn.XLOOKUP($D44,'Sales Rec'!$E$4:$E$93,'Sales Rec'!$AS$4:$AS$93)</f>
        <v>1002</v>
      </c>
      <c r="AI44" s="2048">
        <f t="shared" si="21"/>
        <v>1002</v>
      </c>
      <c r="AJ44" s="1815">
        <f>_xlfn.XLOOKUP($D44,'Sales Rec'!$E$4:$E$93,'Sales Rec'!$AV$4:$AV$93)</f>
        <v>3844</v>
      </c>
      <c r="AK44" s="2048">
        <f t="shared" si="22"/>
        <v>2842</v>
      </c>
      <c r="AL44" s="1815">
        <f>_xlfn.XLOOKUP($D44,'Sales Rec'!$E$4:$E$93,'Sales Rec'!$AY$4:$AY$93)</f>
        <v>5356</v>
      </c>
      <c r="AM44" s="2048">
        <f t="shared" si="23"/>
        <v>1512</v>
      </c>
      <c r="AN44" s="1815">
        <f>_xlfn.XLOOKUP($D44,'Sales Rec'!$E$4:$E$93,'Sales Rec'!$BB$4:$BB$93)</f>
        <v>8747</v>
      </c>
      <c r="AO44" s="2048">
        <f t="shared" si="24"/>
        <v>3391</v>
      </c>
      <c r="AP44" s="1815">
        <f>_xlfn.XLOOKUP($D44,'Sales Rec'!$E$4:$E$93,'Sales Rec'!$BE$4:$BE$93)</f>
        <v>11647</v>
      </c>
      <c r="AQ44" s="2048">
        <f t="shared" si="25"/>
        <v>2900</v>
      </c>
      <c r="AR44" s="1815">
        <f>_xlfn.XLOOKUP(D44,'Sales Rec'!$E$4:$E$93,'Sales Rec'!$BH$4:$BH$93)</f>
        <v>14020</v>
      </c>
      <c r="AS44" s="2048">
        <f t="shared" si="41"/>
        <v>2373</v>
      </c>
      <c r="AT44" s="1815">
        <f>_xlfn.XLOOKUP(D44,'Sales Rec'!$E$4:$E$93,'Sales Rec'!$BK$4:$BK$93)</f>
        <v>15895</v>
      </c>
      <c r="AU44" s="2048">
        <f t="shared" si="51"/>
        <v>1875</v>
      </c>
      <c r="AV44" s="1815">
        <f>_xlfn.XLOOKUP($D44,'Sales Rec'!$E$4:$E$93,'Sales Rec'!$BN$4:$BN$93)</f>
        <v>18203</v>
      </c>
      <c r="AW44" s="2048">
        <f t="shared" si="52"/>
        <v>2308</v>
      </c>
      <c r="AX44" s="1815">
        <f>_xlfn.XLOOKUP($D44,'Sales Rec'!$E$4:$E$93,'Sales Rec'!$BQ$4:$BQ$93)</f>
        <v>19878</v>
      </c>
      <c r="AY44" s="2048">
        <f t="shared" si="53"/>
        <v>1675</v>
      </c>
      <c r="AZ44" s="1815">
        <f>_xlfn.XLOOKUP($D44,'Sales Rec'!$E$4:$E$93,'Sales Rec'!$BT$4:$BT$93)</f>
        <v>25389</v>
      </c>
      <c r="BA44" s="2048">
        <f t="shared" si="54"/>
        <v>5511</v>
      </c>
      <c r="BB44" s="1815">
        <f>_xlfn.XLOOKUP($D44,'Sales Rec'!$E$4:$E$93,'Sales Rec'!$BW$4:$BW$93)</f>
        <v>35426</v>
      </c>
      <c r="BC44" s="2048">
        <f t="shared" si="55"/>
        <v>10037</v>
      </c>
      <c r="BD44" s="1815">
        <f>_xlfn.XLOOKUP($D44,'Sales Rec'!$E$4:$E$93,'Sales Rec'!$BZ$4:$BZ$93)</f>
        <v>46101</v>
      </c>
      <c r="BE44" s="2048">
        <f t="shared" si="56"/>
        <v>10675</v>
      </c>
      <c r="BF44" s="1815">
        <f>_xlfn.XLOOKUP($D44,'Sales Rec'!$E$4:$E$93,'Sales Rec'!$CH$4:$CH$93)</f>
        <v>8727</v>
      </c>
      <c r="BG44" s="2048">
        <f t="shared" si="57"/>
        <v>8727</v>
      </c>
      <c r="BH44" s="2050">
        <f t="shared" si="58"/>
        <v>-0.18248243559718968</v>
      </c>
      <c r="BI44" s="1815">
        <f>_xlfn.XLOOKUP($D44,'Sales Rec'!$E$4:$E$93,'Sales Rec'!$CK$4:$CK$93)</f>
        <v>19473</v>
      </c>
      <c r="BJ44" s="2048">
        <f t="shared" si="47"/>
        <v>10746</v>
      </c>
      <c r="BK44" s="2050">
        <f t="shared" si="59"/>
        <v>0.23135097971811619</v>
      </c>
      <c r="BL44" s="1815">
        <f>_xlfn.XLOOKUP($D44,'Sales Rec'!$E$4:$E$93,'Sales Rec'!$CN$4:$CN$93)</f>
        <v>28975</v>
      </c>
      <c r="BM44" s="2048">
        <f t="shared" si="48"/>
        <v>9502</v>
      </c>
      <c r="BN44" s="2050">
        <f t="shared" si="17"/>
        <v>-0.11576400521124139</v>
      </c>
      <c r="BO44" s="2069">
        <f t="shared" si="61"/>
        <v>0.10494603973610953</v>
      </c>
      <c r="BP44" s="1575">
        <f t="shared" si="60"/>
        <v>28</v>
      </c>
    </row>
    <row r="45" spans="1:68" ht="100" customHeight="1">
      <c r="A45" s="2146">
        <v>13</v>
      </c>
      <c r="B45" s="2176">
        <f>_xlfn.XLOOKUP(D45,MOPFRA!$R$7:$R$56,MOPFRA!$A$7:$A$56,"")</f>
        <v>15.917114604278469</v>
      </c>
      <c r="C45" s="2164" t="str">
        <f>MOPFRA!Q19</f>
        <v>فرآورده‌هاي‌نسوزآذر</v>
      </c>
      <c r="D45" s="2164" t="str">
        <f>MOPFRA!R19</f>
        <v>كاذر</v>
      </c>
      <c r="E45" s="2170">
        <f>_xlfn.XLOOKUP(D45,MOPFRA!$R$7:$R$56,MOPFRA!$S$7:$S$56,"")</f>
        <v>12</v>
      </c>
      <c r="F45" s="2171">
        <f>_xlfn.XLOOKUP(D45,MOPFRA!$R$7:$R$56,MOPFRA!$AQ$7:$AQ$56,"")</f>
        <v>1055</v>
      </c>
      <c r="G45" s="2167">
        <v>4</v>
      </c>
      <c r="H45" s="2168">
        <f t="shared" si="49"/>
        <v>4</v>
      </c>
      <c r="I45" s="2147"/>
      <c r="J45" s="2148"/>
      <c r="K45" s="2149"/>
      <c r="L45" s="2150"/>
      <c r="M45" s="2147"/>
      <c r="N45" s="2148"/>
      <c r="O45" s="2149"/>
      <c r="P45" s="2151"/>
      <c r="Q45" s="2186">
        <f t="shared" si="50"/>
        <v>168</v>
      </c>
      <c r="R45" s="2187"/>
      <c r="S45" s="2188">
        <f>_xlfn.XLOOKUP(D45,'Sales Rec'!$E$4:$E$93,'Sales Rec'!$CP$4:$CP$93,"")</f>
        <v>0.52674897119341568</v>
      </c>
      <c r="T45" s="2152" t="s">
        <v>234</v>
      </c>
      <c r="U45" s="2152" t="s">
        <v>234</v>
      </c>
      <c r="AH45" s="1815">
        <f>_xlfn.XLOOKUP($D45,'Sales Rec'!$E$4:$E$93,'Sales Rec'!$AS$4:$AS$93)</f>
        <v>84</v>
      </c>
      <c r="AI45" s="2048">
        <f t="shared" si="21"/>
        <v>84</v>
      </c>
      <c r="AJ45" s="1815">
        <f>_xlfn.XLOOKUP($D45,'Sales Rec'!$E$4:$E$93,'Sales Rec'!$AV$4:$AV$93)</f>
        <v>186</v>
      </c>
      <c r="AK45" s="2048">
        <f t="shared" si="22"/>
        <v>102</v>
      </c>
      <c r="AL45" s="1815">
        <f>_xlfn.XLOOKUP($D45,'Sales Rec'!$E$4:$E$93,'Sales Rec'!$AY$4:$AY$93)</f>
        <v>243</v>
      </c>
      <c r="AM45" s="2048">
        <f t="shared" si="23"/>
        <v>57</v>
      </c>
      <c r="AN45" s="1815">
        <f>_xlfn.XLOOKUP($D45,'Sales Rec'!$E$4:$E$93,'Sales Rec'!$BB$4:$BB$93)</f>
        <v>310</v>
      </c>
      <c r="AO45" s="2048">
        <f t="shared" si="24"/>
        <v>67</v>
      </c>
      <c r="AP45" s="1815">
        <f>_xlfn.XLOOKUP($D45,'Sales Rec'!$E$4:$E$93,'Sales Rec'!$BE$4:$BE$93)</f>
        <v>349</v>
      </c>
      <c r="AQ45" s="2048">
        <f t="shared" si="25"/>
        <v>39</v>
      </c>
      <c r="AR45" s="1815">
        <f>_xlfn.XLOOKUP(D45,'Sales Rec'!$E$4:$E$93,'Sales Rec'!$BH$4:$BH$93)</f>
        <v>415</v>
      </c>
      <c r="AS45" s="2048">
        <f t="shared" si="41"/>
        <v>66</v>
      </c>
      <c r="AT45" s="1815">
        <f>_xlfn.XLOOKUP(D45,'Sales Rec'!$E$4:$E$93,'Sales Rec'!$BK$4:$BK$93)</f>
        <v>510</v>
      </c>
      <c r="AU45" s="2048">
        <f t="shared" si="51"/>
        <v>95</v>
      </c>
      <c r="AV45" s="1815">
        <f>_xlfn.XLOOKUP($D45,'Sales Rec'!$E$4:$E$93,'Sales Rec'!$BN$4:$BN$93)</f>
        <v>650</v>
      </c>
      <c r="AW45" s="2048">
        <f t="shared" si="52"/>
        <v>140</v>
      </c>
      <c r="AX45" s="1815">
        <f>_xlfn.XLOOKUP($D45,'Sales Rec'!$E$4:$E$93,'Sales Rec'!$BQ$4:$BQ$93)</f>
        <v>783</v>
      </c>
      <c r="AY45" s="2048">
        <f t="shared" si="53"/>
        <v>133</v>
      </c>
      <c r="AZ45" s="1815">
        <f>_xlfn.XLOOKUP($D45,'Sales Rec'!$E$4:$E$93,'Sales Rec'!$BT$4:$BT$93)</f>
        <v>900</v>
      </c>
      <c r="BA45" s="2048">
        <f t="shared" si="54"/>
        <v>117</v>
      </c>
      <c r="BB45" s="1815">
        <f>_xlfn.XLOOKUP($D45,'Sales Rec'!$E$4:$E$93,'Sales Rec'!$BW$4:$BW$93)</f>
        <v>1009</v>
      </c>
      <c r="BC45" s="2048">
        <f t="shared" si="55"/>
        <v>109</v>
      </c>
      <c r="BD45" s="1815">
        <f>_xlfn.XLOOKUP($D45,'Sales Rec'!$E$4:$E$93,'Sales Rec'!$BZ$4:$BZ$93)</f>
        <v>1055</v>
      </c>
      <c r="BE45" s="2048">
        <f t="shared" si="56"/>
        <v>46</v>
      </c>
      <c r="BF45" s="1815">
        <f>_xlfn.XLOOKUP($D45,'Sales Rec'!$E$4:$E$93,'Sales Rec'!$CH$4:$CH$93)</f>
        <v>83</v>
      </c>
      <c r="BG45" s="2048">
        <f t="shared" si="57"/>
        <v>83</v>
      </c>
      <c r="BH45" s="2050">
        <f t="shared" si="58"/>
        <v>0.80434782608695654</v>
      </c>
      <c r="BI45" s="1815">
        <f>_xlfn.XLOOKUP($D45,'Sales Rec'!$E$4:$E$93,'Sales Rec'!$CK$4:$CK$93)</f>
        <v>203</v>
      </c>
      <c r="BJ45" s="2048">
        <f t="shared" si="47"/>
        <v>120</v>
      </c>
      <c r="BK45" s="2050">
        <f t="shared" si="59"/>
        <v>0.44578313253012047</v>
      </c>
      <c r="BL45" s="1815">
        <f>_xlfn.XLOOKUP($D45,'Sales Rec'!$E$4:$E$93,'Sales Rec'!$CN$4:$CN$93)</f>
        <v>371</v>
      </c>
      <c r="BM45" s="2048">
        <f t="shared" si="48"/>
        <v>168</v>
      </c>
      <c r="BN45" s="2050">
        <f t="shared" si="17"/>
        <v>0.4</v>
      </c>
      <c r="BO45" s="2069">
        <f t="shared" si="61"/>
        <v>0.3639705882352941</v>
      </c>
      <c r="BP45" s="1575">
        <f t="shared" si="60"/>
        <v>16</v>
      </c>
    </row>
    <row r="46" spans="1:68" ht="100" customHeight="1">
      <c r="A46" s="2146">
        <v>14</v>
      </c>
      <c r="B46" s="2176">
        <f>_xlfn.XLOOKUP(D46,MOPFRA!$R$7:$R$56,MOPFRA!$A$7:$A$56,"")</f>
        <v>16.038839843918019</v>
      </c>
      <c r="C46" s="2164" t="str">
        <f>MOPFRA!Q20</f>
        <v>ايران‌ياساتايرورابر</v>
      </c>
      <c r="D46" s="2164" t="str">
        <f>MOPFRA!R20</f>
        <v>پاسا</v>
      </c>
      <c r="E46" s="2170">
        <f>_xlfn.XLOOKUP(D46,MOPFRA!$R$7:$R$56,MOPFRA!$S$7:$S$56,"")</f>
        <v>12</v>
      </c>
      <c r="F46" s="2171">
        <f>_xlfn.XLOOKUP(D46,MOPFRA!$R$7:$R$56,MOPFRA!$AQ$7:$AQ$56,"")</f>
        <v>4479</v>
      </c>
      <c r="G46" s="2167">
        <v>4</v>
      </c>
      <c r="H46" s="2168">
        <f t="shared" si="49"/>
        <v>4</v>
      </c>
      <c r="I46" s="2147"/>
      <c r="J46" s="2148"/>
      <c r="K46" s="2149"/>
      <c r="L46" s="2150"/>
      <c r="M46" s="2147"/>
      <c r="N46" s="2148"/>
      <c r="O46" s="2149"/>
      <c r="P46" s="2151"/>
      <c r="Q46" s="2186">
        <f t="shared" si="50"/>
        <v>462</v>
      </c>
      <c r="R46" s="2187"/>
      <c r="S46" s="2188">
        <f>_xlfn.XLOOKUP(D46,'Sales Rec'!$E$4:$E$93,'Sales Rec'!$CP$4:$CP$93,"")</f>
        <v>0.5209876543209877</v>
      </c>
      <c r="T46" s="2152" t="s">
        <v>234</v>
      </c>
      <c r="U46" s="2152" t="s">
        <v>234</v>
      </c>
      <c r="AH46" s="1815">
        <f>_xlfn.XLOOKUP($D46,'Sales Rec'!$E$4:$E$93,'Sales Rec'!$AS$4:$AS$93)</f>
        <v>89</v>
      </c>
      <c r="AI46" s="2048">
        <f t="shared" si="21"/>
        <v>89</v>
      </c>
      <c r="AJ46" s="1815">
        <f>_xlfn.XLOOKUP($D46,'Sales Rec'!$E$4:$E$93,'Sales Rec'!$AV$4:$AV$93)</f>
        <v>429</v>
      </c>
      <c r="AK46" s="2048">
        <f t="shared" si="22"/>
        <v>340</v>
      </c>
      <c r="AL46" s="1815">
        <f>_xlfn.XLOOKUP($D46,'Sales Rec'!$E$4:$E$93,'Sales Rec'!$AY$4:$AY$93)</f>
        <v>810</v>
      </c>
      <c r="AM46" s="2048">
        <f t="shared" si="23"/>
        <v>381</v>
      </c>
      <c r="AN46" s="1815">
        <f>_xlfn.XLOOKUP($D46,'Sales Rec'!$E$4:$E$93,'Sales Rec'!$BB$4:$BB$93)</f>
        <v>1148</v>
      </c>
      <c r="AO46" s="2048">
        <f t="shared" si="24"/>
        <v>338</v>
      </c>
      <c r="AP46" s="1815">
        <f>_xlfn.XLOOKUP($D46,'Sales Rec'!$E$4:$E$93,'Sales Rec'!$BE$4:$BE$93)</f>
        <v>1498</v>
      </c>
      <c r="AQ46" s="2048">
        <f t="shared" si="25"/>
        <v>350</v>
      </c>
      <c r="AR46" s="1815">
        <f>_xlfn.XLOOKUP(D46,'Sales Rec'!$E$4:$E$93,'Sales Rec'!$BH$4:$BH$93)</f>
        <v>2080</v>
      </c>
      <c r="AS46" s="2048">
        <f t="shared" si="41"/>
        <v>582</v>
      </c>
      <c r="AT46" s="1815">
        <f>_xlfn.XLOOKUP(D46,'Sales Rec'!$E$4:$E$93,'Sales Rec'!$BK$4:$BK$93)</f>
        <v>2486</v>
      </c>
      <c r="AU46" s="2048">
        <f t="shared" si="51"/>
        <v>406</v>
      </c>
      <c r="AV46" s="1815">
        <f>_xlfn.XLOOKUP($D46,'Sales Rec'!$E$4:$E$93,'Sales Rec'!$BN$4:$BN$93)</f>
        <v>2882</v>
      </c>
      <c r="AW46" s="2048">
        <f t="shared" si="52"/>
        <v>396</v>
      </c>
      <c r="AX46" s="1815">
        <f>_xlfn.XLOOKUP($D46,'Sales Rec'!$E$4:$E$93,'Sales Rec'!$BQ$4:$BQ$93)</f>
        <v>3356</v>
      </c>
      <c r="AY46" s="2048">
        <f t="shared" si="53"/>
        <v>474</v>
      </c>
      <c r="AZ46" s="1815">
        <f>_xlfn.XLOOKUP($D46,'Sales Rec'!$E$4:$E$93,'Sales Rec'!$BT$4:$BT$93)</f>
        <v>3839</v>
      </c>
      <c r="BA46" s="2048">
        <f t="shared" si="54"/>
        <v>483</v>
      </c>
      <c r="BB46" s="1815">
        <f>_xlfn.XLOOKUP($D46,'Sales Rec'!$E$4:$E$93,'Sales Rec'!$BW$4:$BW$93)</f>
        <v>4358</v>
      </c>
      <c r="BC46" s="2048">
        <f t="shared" si="55"/>
        <v>519</v>
      </c>
      <c r="BD46" s="1815">
        <f>_xlfn.XLOOKUP($D46,'Sales Rec'!$E$4:$E$93,'Sales Rec'!$BZ$4:$BZ$93)</f>
        <v>4479</v>
      </c>
      <c r="BE46" s="2048">
        <f t="shared" si="56"/>
        <v>121</v>
      </c>
      <c r="BF46" s="1815">
        <f>_xlfn.XLOOKUP($D46,'Sales Rec'!$E$4:$E$93,'Sales Rec'!$CH$4:$CH$93)</f>
        <v>234</v>
      </c>
      <c r="BG46" s="2048">
        <f t="shared" si="57"/>
        <v>234</v>
      </c>
      <c r="BH46" s="2050">
        <f t="shared" si="58"/>
        <v>0.93388429752066116</v>
      </c>
      <c r="BI46" s="1815">
        <f>_xlfn.XLOOKUP($D46,'Sales Rec'!$E$4:$E$93,'Sales Rec'!$CK$4:$CK$93)</f>
        <v>770</v>
      </c>
      <c r="BJ46" s="2048">
        <f t="shared" si="47"/>
        <v>536</v>
      </c>
      <c r="BK46" s="2050">
        <f t="shared" si="59"/>
        <v>1.2905982905982907</v>
      </c>
      <c r="BL46" s="1815">
        <f>_xlfn.XLOOKUP($D46,'Sales Rec'!$E$4:$E$93,'Sales Rec'!$CN$4:$CN$93)</f>
        <v>1232</v>
      </c>
      <c r="BM46" s="2048">
        <f t="shared" si="48"/>
        <v>462</v>
      </c>
      <c r="BN46" s="2050">
        <f t="shared" si="17"/>
        <v>-0.13805970149253732</v>
      </c>
      <c r="BO46" s="2069">
        <f t="shared" si="61"/>
        <v>9.7061442564559217E-2</v>
      </c>
      <c r="BP46" s="1575">
        <f t="shared" si="60"/>
        <v>29</v>
      </c>
    </row>
    <row r="47" spans="1:68" ht="100" customHeight="1">
      <c r="A47" s="2146">
        <v>15</v>
      </c>
      <c r="B47" s="2176">
        <f>_xlfn.XLOOKUP(D47,MOPFRA!$R$7:$R$56,MOPFRA!$A$7:$A$56,"")</f>
        <v>16.387529442051104</v>
      </c>
      <c r="C47" s="2164" t="str">
        <f>MOPFRA!Q21</f>
        <v>پالايش نفت اصفهان</v>
      </c>
      <c r="D47" s="2164" t="str">
        <f>MOPFRA!R21</f>
        <v>شپنا</v>
      </c>
      <c r="E47" s="2170">
        <f>_xlfn.XLOOKUP(D47,MOPFRA!$R$7:$R$56,MOPFRA!$S$7:$S$56,"")</f>
        <v>12</v>
      </c>
      <c r="F47" s="2171">
        <f>_xlfn.XLOOKUP(D47,MOPFRA!$R$7:$R$56,MOPFRA!$AQ$7:$AQ$56,"")</f>
        <v>847187</v>
      </c>
      <c r="G47" s="2167">
        <v>4</v>
      </c>
      <c r="H47" s="2168">
        <f t="shared" si="49"/>
        <v>4</v>
      </c>
      <c r="I47" s="2147"/>
      <c r="J47" s="2148"/>
      <c r="K47" s="2149"/>
      <c r="L47" s="2150"/>
      <c r="M47" s="2147"/>
      <c r="N47" s="2148"/>
      <c r="O47" s="2149"/>
      <c r="P47" s="2151"/>
      <c r="Q47" s="2186">
        <f t="shared" si="50"/>
        <v>143879</v>
      </c>
      <c r="R47" s="2187"/>
      <c r="S47" s="2188">
        <f>_xlfn.XLOOKUP(D47,'Sales Rec'!$E$4:$E$93,'Sales Rec'!$CP$4:$CP$93,"")</f>
        <v>1.3879858700888059</v>
      </c>
      <c r="T47" s="2152" t="s">
        <v>234</v>
      </c>
      <c r="U47" s="2152" t="s">
        <v>234</v>
      </c>
      <c r="AH47" s="1815">
        <f>_xlfn.XLOOKUP($D47,'Sales Rec'!$E$4:$E$93,'Sales Rec'!$AS$4:$AS$93)</f>
        <v>60095</v>
      </c>
      <c r="AI47" s="2048">
        <f t="shared" si="21"/>
        <v>60095</v>
      </c>
      <c r="AJ47" s="1815">
        <f>_xlfn.XLOOKUP($D47,'Sales Rec'!$E$4:$E$93,'Sales Rec'!$AV$4:$AV$93)</f>
        <v>112467</v>
      </c>
      <c r="AK47" s="2048">
        <f t="shared" si="22"/>
        <v>52372</v>
      </c>
      <c r="AL47" s="1815">
        <f>_xlfn.XLOOKUP($D47,'Sales Rec'!$E$4:$E$93,'Sales Rec'!$AY$4:$AY$93)</f>
        <v>161926</v>
      </c>
      <c r="AM47" s="2048">
        <f t="shared" si="23"/>
        <v>49459</v>
      </c>
      <c r="AN47" s="1815">
        <f>_xlfn.XLOOKUP($D47,'Sales Rec'!$E$4:$E$93,'Sales Rec'!$BB$4:$BB$93)</f>
        <v>222923</v>
      </c>
      <c r="AO47" s="2048">
        <f t="shared" si="24"/>
        <v>60997</v>
      </c>
      <c r="AP47" s="1815">
        <f>_xlfn.XLOOKUP($D47,'Sales Rec'!$E$4:$E$93,'Sales Rec'!$BE$4:$BE$93)</f>
        <v>285335</v>
      </c>
      <c r="AQ47" s="2048">
        <f t="shared" si="25"/>
        <v>62412</v>
      </c>
      <c r="AR47" s="1815">
        <f>_xlfn.XLOOKUP(D47,'Sales Rec'!$E$4:$E$93,'Sales Rec'!$BH$4:$BH$93)</f>
        <v>347746</v>
      </c>
      <c r="AS47" s="2048">
        <f t="shared" si="41"/>
        <v>62411</v>
      </c>
      <c r="AT47" s="1815">
        <f>_xlfn.XLOOKUP(D47,'Sales Rec'!$E$4:$E$93,'Sales Rec'!$BK$4:$BK$93)</f>
        <v>412967</v>
      </c>
      <c r="AU47" s="2048">
        <f t="shared" si="51"/>
        <v>65221</v>
      </c>
      <c r="AV47" s="1815">
        <f>_xlfn.XLOOKUP($D47,'Sales Rec'!$E$4:$E$93,'Sales Rec'!$BN$4:$BN$93)</f>
        <v>478188</v>
      </c>
      <c r="AW47" s="2048">
        <f t="shared" si="52"/>
        <v>65221</v>
      </c>
      <c r="AX47" s="1815">
        <f>_xlfn.XLOOKUP($D47,'Sales Rec'!$E$4:$E$93,'Sales Rec'!$BQ$4:$BQ$93)</f>
        <v>543411</v>
      </c>
      <c r="AY47" s="2048">
        <f t="shared" si="53"/>
        <v>65223</v>
      </c>
      <c r="AZ47" s="1815">
        <f>_xlfn.XLOOKUP($D47,'Sales Rec'!$E$4:$E$93,'Sales Rec'!$BT$4:$BT$93)</f>
        <v>608631</v>
      </c>
      <c r="BA47" s="2048">
        <f t="shared" si="54"/>
        <v>65220</v>
      </c>
      <c r="BB47" s="1815">
        <f>_xlfn.XLOOKUP($D47,'Sales Rec'!$E$4:$E$93,'Sales Rec'!$BW$4:$BW$93)</f>
        <v>732326</v>
      </c>
      <c r="BC47" s="2048">
        <f t="shared" si="55"/>
        <v>123695</v>
      </c>
      <c r="BD47" s="1815">
        <f>_xlfn.XLOOKUP($D47,'Sales Rec'!$E$4:$E$93,'Sales Rec'!$BZ$4:$BZ$93)</f>
        <v>847187</v>
      </c>
      <c r="BE47" s="2048">
        <f t="shared" si="56"/>
        <v>114861</v>
      </c>
      <c r="BF47" s="1815">
        <f>_xlfn.XLOOKUP($D47,'Sales Rec'!$E$4:$E$93,'Sales Rec'!$CH$4:$CH$93)</f>
        <v>108560</v>
      </c>
      <c r="BG47" s="2048">
        <f t="shared" si="57"/>
        <v>108560</v>
      </c>
      <c r="BH47" s="2050">
        <f t="shared" si="58"/>
        <v>-5.4857610503129872E-2</v>
      </c>
      <c r="BI47" s="1815">
        <f>_xlfn.XLOOKUP($D47,'Sales Rec'!$E$4:$E$93,'Sales Rec'!$CK$4:$CK$93)</f>
        <v>242798</v>
      </c>
      <c r="BJ47" s="2048">
        <f t="shared" si="47"/>
        <v>134238</v>
      </c>
      <c r="BK47" s="2050">
        <f t="shared" si="59"/>
        <v>0.23653279292557111</v>
      </c>
      <c r="BL47" s="1815">
        <f>_xlfn.XLOOKUP($D47,'Sales Rec'!$E$4:$E$93,'Sales Rec'!$CN$4:$CN$93)</f>
        <v>386677</v>
      </c>
      <c r="BM47" s="2048">
        <f t="shared" si="48"/>
        <v>143879</v>
      </c>
      <c r="BN47" s="2050">
        <f t="shared" si="17"/>
        <v>7.1820199943384136E-2</v>
      </c>
      <c r="BO47" s="2069">
        <f t="shared" si="61"/>
        <v>0.27290174338986622</v>
      </c>
      <c r="BP47" s="1575">
        <f t="shared" si="60"/>
        <v>20</v>
      </c>
    </row>
    <row r="48" spans="1:68" ht="100" customHeight="1">
      <c r="A48" s="2146">
        <v>16</v>
      </c>
      <c r="B48" s="2176">
        <f>_xlfn.XLOOKUP(D48,MOPFRA!$R$7:$R$56,MOPFRA!$A$7:$A$56,"")</f>
        <v>13.754050345773464</v>
      </c>
      <c r="C48" s="2164" t="str">
        <f>MOPFRA!Q22</f>
        <v>پتروشيمي‌شيراز</v>
      </c>
      <c r="D48" s="2164" t="str">
        <f>MOPFRA!R22</f>
        <v>شيراز</v>
      </c>
      <c r="E48" s="2170">
        <f>_xlfn.XLOOKUP(D48,MOPFRA!$R$7:$R$56,MOPFRA!$S$7:$S$56,"")</f>
        <v>12</v>
      </c>
      <c r="F48" s="2171">
        <f>_xlfn.XLOOKUP(D48,MOPFRA!$R$7:$R$56,MOPFRA!$AQ$7:$AQ$56,"")</f>
        <v>47988</v>
      </c>
      <c r="G48" s="2167">
        <v>4</v>
      </c>
      <c r="H48" s="2168">
        <f t="shared" si="49"/>
        <v>4</v>
      </c>
      <c r="I48" s="2147"/>
      <c r="J48" s="2148"/>
      <c r="K48" s="2149"/>
      <c r="L48" s="2150"/>
      <c r="M48" s="2147"/>
      <c r="N48" s="2148"/>
      <c r="O48" s="2149"/>
      <c r="P48" s="2151"/>
      <c r="Q48" s="2186">
        <f t="shared" si="50"/>
        <v>1428</v>
      </c>
      <c r="R48" s="2187"/>
      <c r="S48" s="2188">
        <f>_xlfn.XLOOKUP(D48,'Sales Rec'!$E$4:$E$93,'Sales Rec'!$CP$4:$CP$93,"")</f>
        <v>0.18927712547743669</v>
      </c>
      <c r="T48" s="2152" t="s">
        <v>234</v>
      </c>
      <c r="U48" s="2152" t="s">
        <v>234</v>
      </c>
      <c r="AH48" s="1815">
        <f>_xlfn.XLOOKUP($D48,'Sales Rec'!$E$4:$E$93,'Sales Rec'!$AS$4:$AS$93)</f>
        <v>1622</v>
      </c>
      <c r="AI48" s="2048">
        <f t="shared" si="21"/>
        <v>1622</v>
      </c>
      <c r="AJ48" s="1815">
        <f>_xlfn.XLOOKUP($D48,'Sales Rec'!$E$4:$E$93,'Sales Rec'!$AV$4:$AV$93)</f>
        <v>4484</v>
      </c>
      <c r="AK48" s="2048">
        <f t="shared" si="22"/>
        <v>2862</v>
      </c>
      <c r="AL48" s="1815">
        <f>_xlfn.XLOOKUP($D48,'Sales Rec'!$E$4:$E$93,'Sales Rec'!$AY$4:$AY$93)</f>
        <v>7069</v>
      </c>
      <c r="AM48" s="2048">
        <f t="shared" si="23"/>
        <v>2585</v>
      </c>
      <c r="AN48" s="1815">
        <f>_xlfn.XLOOKUP($D48,'Sales Rec'!$E$4:$E$93,'Sales Rec'!$BB$4:$BB$93)</f>
        <v>7574</v>
      </c>
      <c r="AO48" s="2048">
        <f t="shared" si="24"/>
        <v>505</v>
      </c>
      <c r="AP48" s="1815">
        <f>_xlfn.XLOOKUP($D48,'Sales Rec'!$E$4:$E$93,'Sales Rec'!$BE$4:$BE$93)</f>
        <v>11191</v>
      </c>
      <c r="AQ48" s="2048">
        <f t="shared" si="25"/>
        <v>3617</v>
      </c>
      <c r="AR48" s="1815">
        <f>_xlfn.XLOOKUP(D48,'Sales Rec'!$E$4:$E$93,'Sales Rec'!$BH$4:$BH$93)</f>
        <v>18097</v>
      </c>
      <c r="AS48" s="2048">
        <f t="shared" si="41"/>
        <v>6906</v>
      </c>
      <c r="AT48" s="1815">
        <f>_xlfn.XLOOKUP(D48,'Sales Rec'!$E$4:$E$93,'Sales Rec'!$BK$4:$BK$93)</f>
        <v>22808</v>
      </c>
      <c r="AU48" s="2048">
        <f t="shared" si="51"/>
        <v>4711</v>
      </c>
      <c r="AV48" s="1815">
        <f>_xlfn.XLOOKUP($D48,'Sales Rec'!$E$4:$E$93,'Sales Rec'!$BN$4:$BN$93)</f>
        <v>27694</v>
      </c>
      <c r="AW48" s="2048">
        <f t="shared" si="52"/>
        <v>4886</v>
      </c>
      <c r="AX48" s="1815">
        <f>_xlfn.XLOOKUP($D48,'Sales Rec'!$E$4:$E$93,'Sales Rec'!$BQ$4:$BQ$93)</f>
        <v>32303</v>
      </c>
      <c r="AY48" s="2048">
        <f t="shared" si="53"/>
        <v>4609</v>
      </c>
      <c r="AZ48" s="1815">
        <f>_xlfn.XLOOKUP($D48,'Sales Rec'!$E$4:$E$93,'Sales Rec'!$BT$4:$BT$93)</f>
        <v>38577</v>
      </c>
      <c r="BA48" s="2048">
        <f t="shared" si="54"/>
        <v>6274</v>
      </c>
      <c r="BB48" s="1815">
        <f>_xlfn.XLOOKUP($D48,'Sales Rec'!$E$4:$E$93,'Sales Rec'!$BW$4:$BW$93)</f>
        <v>41204</v>
      </c>
      <c r="BC48" s="2048">
        <f t="shared" si="55"/>
        <v>2627</v>
      </c>
      <c r="BD48" s="1815">
        <f>_xlfn.XLOOKUP($D48,'Sales Rec'!$E$4:$E$93,'Sales Rec'!$BZ$4:$BZ$93)</f>
        <v>47960</v>
      </c>
      <c r="BE48" s="2048">
        <f t="shared" si="56"/>
        <v>6756</v>
      </c>
      <c r="BF48" s="1815">
        <f>_xlfn.XLOOKUP($D48,'Sales Rec'!$E$4:$E$93,'Sales Rec'!$CH$4:$CH$93)</f>
        <v>4012</v>
      </c>
      <c r="BG48" s="2048">
        <f t="shared" si="57"/>
        <v>4012</v>
      </c>
      <c r="BH48" s="2050">
        <f t="shared" si="58"/>
        <v>-0.40615748963883958</v>
      </c>
      <c r="BI48" s="1815">
        <f>_xlfn.XLOOKUP($D48,'Sales Rec'!$E$4:$E$93,'Sales Rec'!$CK$4:$CK$93)</f>
        <v>6979</v>
      </c>
      <c r="BJ48" s="2048">
        <f t="shared" si="47"/>
        <v>2967</v>
      </c>
      <c r="BK48" s="2050">
        <f t="shared" si="59"/>
        <v>-0.26046859421734797</v>
      </c>
      <c r="BL48" s="1815">
        <f>_xlfn.XLOOKUP($D48,'Sales Rec'!$E$4:$E$93,'Sales Rec'!$CN$4:$CN$93)</f>
        <v>8407</v>
      </c>
      <c r="BM48" s="2048">
        <f t="shared" si="48"/>
        <v>1428</v>
      </c>
      <c r="BN48" s="2050">
        <f t="shared" si="17"/>
        <v>-0.51870576339737107</v>
      </c>
      <c r="BO48" s="2069">
        <f t="shared" si="61"/>
        <v>-0.46305167017947246</v>
      </c>
      <c r="BP48" s="1575">
        <f t="shared" si="60"/>
        <v>45</v>
      </c>
    </row>
    <row r="49" spans="1:68" ht="100" customHeight="1">
      <c r="A49" s="2146">
        <v>17</v>
      </c>
      <c r="B49" s="2176">
        <f>_xlfn.XLOOKUP(D49,MOPFRA!$R$7:$R$56,MOPFRA!$A$7:$A$56,"")</f>
        <v>12.65688189714186</v>
      </c>
      <c r="C49" s="2164" t="str">
        <f>MOPFRA!Q23</f>
        <v>شركت صنايع غذايي مينو شرق</v>
      </c>
      <c r="D49" s="2164" t="str">
        <f>MOPFRA!R23</f>
        <v>غمينو</v>
      </c>
      <c r="E49" s="2170">
        <f>_xlfn.XLOOKUP(D49,MOPFRA!$R$7:$R$56,MOPFRA!$S$7:$S$56,"")</f>
        <v>12</v>
      </c>
      <c r="F49" s="2171">
        <f>_xlfn.XLOOKUP(D49,MOPFRA!$R$7:$R$56,MOPFRA!$AQ$7:$AQ$56,"")</f>
        <v>1820</v>
      </c>
      <c r="G49" s="2167">
        <v>4</v>
      </c>
      <c r="H49" s="2168">
        <f t="shared" si="49"/>
        <v>4</v>
      </c>
      <c r="I49" s="2147"/>
      <c r="J49" s="2148"/>
      <c r="K49" s="2149"/>
      <c r="L49" s="2150"/>
      <c r="M49" s="2147"/>
      <c r="N49" s="2148"/>
      <c r="O49" s="2149"/>
      <c r="P49" s="2151"/>
      <c r="Q49" s="2186">
        <f t="shared" si="50"/>
        <v>318</v>
      </c>
      <c r="R49" s="2187"/>
      <c r="S49" s="2188">
        <f>_xlfn.XLOOKUP(D49,'Sales Rec'!$E$4:$E$93,'Sales Rec'!$CP$4:$CP$93,"")</f>
        <v>1.9339339339339339</v>
      </c>
      <c r="T49" s="2152" t="s">
        <v>234</v>
      </c>
      <c r="U49" s="2152" t="s">
        <v>234</v>
      </c>
      <c r="AH49" s="1815">
        <f>_xlfn.XLOOKUP($D49,'Sales Rec'!$E$4:$E$93,'Sales Rec'!$AS$4:$AS$93)</f>
        <v>60</v>
      </c>
      <c r="AI49" s="2048">
        <f t="shared" si="21"/>
        <v>60</v>
      </c>
      <c r="AJ49" s="1815">
        <f>_xlfn.XLOOKUP($D49,'Sales Rec'!$E$4:$E$93,'Sales Rec'!$AV$4:$AV$93)</f>
        <v>159</v>
      </c>
      <c r="AK49" s="2048">
        <f t="shared" si="22"/>
        <v>99</v>
      </c>
      <c r="AL49" s="1815">
        <f>_xlfn.XLOOKUP($D49,'Sales Rec'!$E$4:$E$93,'Sales Rec'!$AY$4:$AY$93)</f>
        <v>333</v>
      </c>
      <c r="AM49" s="2048">
        <f t="shared" si="23"/>
        <v>174</v>
      </c>
      <c r="AN49" s="1815">
        <f>_xlfn.XLOOKUP($D49,'Sales Rec'!$E$4:$E$93,'Sales Rec'!$BB$4:$BB$93)</f>
        <v>412</v>
      </c>
      <c r="AO49" s="2048">
        <f t="shared" si="24"/>
        <v>79</v>
      </c>
      <c r="AP49" s="1815">
        <f>_xlfn.XLOOKUP($D49,'Sales Rec'!$E$4:$E$93,'Sales Rec'!$BE$4:$BE$93)</f>
        <v>501</v>
      </c>
      <c r="AQ49" s="2048">
        <f t="shared" si="25"/>
        <v>89</v>
      </c>
      <c r="AR49" s="1815">
        <f>_xlfn.XLOOKUP(D49,'Sales Rec'!$E$4:$E$93,'Sales Rec'!$BH$4:$BH$93)</f>
        <v>732</v>
      </c>
      <c r="AS49" s="2048">
        <f t="shared" si="41"/>
        <v>231</v>
      </c>
      <c r="AT49" s="1815">
        <f>_xlfn.XLOOKUP(D49,'Sales Rec'!$E$4:$E$93,'Sales Rec'!$BK$4:$BK$93)</f>
        <v>875</v>
      </c>
      <c r="AU49" s="2048">
        <f t="shared" si="51"/>
        <v>143</v>
      </c>
      <c r="AV49" s="1815">
        <f>_xlfn.XLOOKUP($D49,'Sales Rec'!$E$4:$E$93,'Sales Rec'!$BN$4:$BN$93)</f>
        <v>1027</v>
      </c>
      <c r="AW49" s="2048">
        <f t="shared" si="52"/>
        <v>152</v>
      </c>
      <c r="AX49" s="1815">
        <f>_xlfn.XLOOKUP($D49,'Sales Rec'!$E$4:$E$93,'Sales Rec'!$BQ$4:$BQ$93)</f>
        <v>1189</v>
      </c>
      <c r="AY49" s="2048">
        <f t="shared" si="53"/>
        <v>162</v>
      </c>
      <c r="AZ49" s="1815">
        <f>_xlfn.XLOOKUP($D49,'Sales Rec'!$E$4:$E$93,'Sales Rec'!$BT$4:$BT$93)</f>
        <v>1364</v>
      </c>
      <c r="BA49" s="2048">
        <f t="shared" si="54"/>
        <v>175</v>
      </c>
      <c r="BB49" s="1815">
        <f>_xlfn.XLOOKUP($D49,'Sales Rec'!$E$4:$E$93,'Sales Rec'!$BW$4:$BW$93)</f>
        <v>1578</v>
      </c>
      <c r="BC49" s="2048">
        <f t="shared" si="55"/>
        <v>214</v>
      </c>
      <c r="BD49" s="1815">
        <f>_xlfn.XLOOKUP($D49,'Sales Rec'!$E$4:$E$93,'Sales Rec'!$BZ$4:$BZ$93)</f>
        <v>1820</v>
      </c>
      <c r="BE49" s="2048">
        <f t="shared" si="56"/>
        <v>242</v>
      </c>
      <c r="BF49" s="1815">
        <f>_xlfn.XLOOKUP($D49,'Sales Rec'!$E$4:$E$93,'Sales Rec'!$CH$4:$CH$93)</f>
        <v>218</v>
      </c>
      <c r="BG49" s="2048">
        <f t="shared" si="57"/>
        <v>218</v>
      </c>
      <c r="BH49" s="2050">
        <f t="shared" si="58"/>
        <v>-9.9173553719008267E-2</v>
      </c>
      <c r="BI49" s="1815">
        <f>_xlfn.XLOOKUP($D49,'Sales Rec'!$E$4:$E$93,'Sales Rec'!$CK$4:$CK$93)</f>
        <v>659</v>
      </c>
      <c r="BJ49" s="2048">
        <f t="shared" si="47"/>
        <v>441</v>
      </c>
      <c r="BK49" s="2050">
        <f t="shared" si="59"/>
        <v>1.0229357798165137</v>
      </c>
      <c r="BL49" s="1815">
        <f>_xlfn.XLOOKUP($D49,'Sales Rec'!$E$4:$E$93,'Sales Rec'!$CN$4:$CN$93)</f>
        <v>977</v>
      </c>
      <c r="BM49" s="2048">
        <f t="shared" si="48"/>
        <v>318</v>
      </c>
      <c r="BN49" s="2050">
        <f t="shared" si="17"/>
        <v>-0.27891156462585032</v>
      </c>
      <c r="BO49" s="2069">
        <f t="shared" si="61"/>
        <v>0.5483359746434231</v>
      </c>
      <c r="BP49" s="1575">
        <f t="shared" si="60"/>
        <v>12</v>
      </c>
    </row>
    <row r="50" spans="1:68" ht="100" customHeight="1">
      <c r="A50" s="2146">
        <v>18</v>
      </c>
      <c r="B50" s="2176">
        <f>_xlfn.XLOOKUP(D50,MOPFRA!$R$7:$R$56,MOPFRA!$A$7:$A$56,"")</f>
        <v>13.443311016965691</v>
      </c>
      <c r="C50" s="2164" t="str">
        <f>MOPFRA!Q24</f>
        <v>پالايش نفت بندرعباس</v>
      </c>
      <c r="D50" s="2164" t="str">
        <f>MOPFRA!R24</f>
        <v>شبندر</v>
      </c>
      <c r="E50" s="2170">
        <f>_xlfn.XLOOKUP(D50,MOPFRA!$R$7:$R$56,MOPFRA!$S$7:$S$56,"")</f>
        <v>12</v>
      </c>
      <c r="F50" s="2171">
        <f>_xlfn.XLOOKUP(D50,MOPFRA!$R$7:$R$56,MOPFRA!$AQ$7:$AQ$56,"")</f>
        <v>654407</v>
      </c>
      <c r="G50" s="2167">
        <v>4</v>
      </c>
      <c r="H50" s="2168">
        <f t="shared" si="49"/>
        <v>4</v>
      </c>
      <c r="I50" s="2147"/>
      <c r="J50" s="2148"/>
      <c r="K50" s="2149"/>
      <c r="L50" s="2150"/>
      <c r="M50" s="2147"/>
      <c r="N50" s="2148"/>
      <c r="O50" s="2149"/>
      <c r="P50" s="2151"/>
      <c r="Q50" s="2186">
        <f t="shared" si="50"/>
        <v>92092</v>
      </c>
      <c r="R50" s="2187"/>
      <c r="S50" s="2188">
        <f>_xlfn.XLOOKUP(D50,'Sales Rec'!$E$4:$E$93,'Sales Rec'!$CP$4:$CP$93,"")</f>
        <v>0.84650734019989737</v>
      </c>
      <c r="T50" s="2152" t="s">
        <v>234</v>
      </c>
      <c r="U50" s="2152" t="s">
        <v>234</v>
      </c>
      <c r="AH50" s="1815">
        <f>_xlfn.XLOOKUP($D50,'Sales Rec'!$E$4:$E$93,'Sales Rec'!$AS$4:$AS$93)</f>
        <v>49510</v>
      </c>
      <c r="AI50" s="2048">
        <f t="shared" si="21"/>
        <v>49510</v>
      </c>
      <c r="AJ50" s="1815">
        <f>_xlfn.XLOOKUP($D50,'Sales Rec'!$E$4:$E$93,'Sales Rec'!$AV$4:$AV$93)</f>
        <v>97546</v>
      </c>
      <c r="AK50" s="2048">
        <f t="shared" si="22"/>
        <v>48036</v>
      </c>
      <c r="AL50" s="1815">
        <f>_xlfn.XLOOKUP($D50,'Sales Rec'!$E$4:$E$93,'Sales Rec'!$AY$4:$AY$93)</f>
        <v>144274</v>
      </c>
      <c r="AM50" s="2048">
        <f t="shared" si="23"/>
        <v>46728</v>
      </c>
      <c r="AN50" s="1815">
        <f>_xlfn.XLOOKUP($D50,'Sales Rec'!$E$4:$E$93,'Sales Rec'!$BB$4:$BB$93)</f>
        <v>194305</v>
      </c>
      <c r="AO50" s="2048">
        <f t="shared" si="24"/>
        <v>50031</v>
      </c>
      <c r="AP50" s="1815">
        <f>_xlfn.XLOOKUP($D50,'Sales Rec'!$E$4:$E$93,'Sales Rec'!$BE$4:$BE$93)</f>
        <v>242301</v>
      </c>
      <c r="AQ50" s="2048">
        <f t="shared" si="25"/>
        <v>47996</v>
      </c>
      <c r="AR50" s="1815">
        <f>_xlfn.XLOOKUP(D50,'Sales Rec'!$E$4:$E$93,'Sales Rec'!$BH$4:$BH$93)</f>
        <v>291322</v>
      </c>
      <c r="AS50" s="2048">
        <f t="shared" si="41"/>
        <v>49021</v>
      </c>
      <c r="AT50" s="1815">
        <f>_xlfn.XLOOKUP(D50,'Sales Rec'!$E$4:$E$93,'Sales Rec'!$BK$4:$BK$93)</f>
        <v>337107</v>
      </c>
      <c r="AU50" s="2048">
        <f t="shared" si="51"/>
        <v>45785</v>
      </c>
      <c r="AV50" s="1815">
        <f>_xlfn.XLOOKUP($D50,'Sales Rec'!$E$4:$E$93,'Sales Rec'!$BN$4:$BN$93)</f>
        <v>382892</v>
      </c>
      <c r="AW50" s="2048">
        <f t="shared" si="52"/>
        <v>45785</v>
      </c>
      <c r="AX50" s="1815">
        <f>_xlfn.XLOOKUP($D50,'Sales Rec'!$E$4:$E$93,'Sales Rec'!$BQ$4:$BQ$93)</f>
        <v>428677</v>
      </c>
      <c r="AY50" s="2048">
        <f t="shared" si="53"/>
        <v>45785</v>
      </c>
      <c r="AZ50" s="1815">
        <f>_xlfn.XLOOKUP($D50,'Sales Rec'!$E$4:$E$93,'Sales Rec'!$BT$4:$BT$93)</f>
        <v>474462</v>
      </c>
      <c r="BA50" s="2048">
        <f t="shared" si="54"/>
        <v>45785</v>
      </c>
      <c r="BB50" s="1815">
        <f>_xlfn.XLOOKUP($D50,'Sales Rec'!$E$4:$E$93,'Sales Rec'!$BW$4:$BW$93)</f>
        <v>572383</v>
      </c>
      <c r="BC50" s="2048">
        <f t="shared" si="55"/>
        <v>97921</v>
      </c>
      <c r="BD50" s="1815">
        <f>_xlfn.XLOOKUP($D50,'Sales Rec'!$E$4:$E$93,'Sales Rec'!$BZ$4:$BZ$93)</f>
        <v>654407</v>
      </c>
      <c r="BE50" s="2048">
        <f t="shared" si="56"/>
        <v>82024</v>
      </c>
      <c r="BF50" s="1815">
        <f>_xlfn.XLOOKUP($D50,'Sales Rec'!$E$4:$E$93,'Sales Rec'!$CH$4:$CH$93)</f>
        <v>83806</v>
      </c>
      <c r="BG50" s="2048">
        <f t="shared" si="57"/>
        <v>83806</v>
      </c>
      <c r="BH50" s="2050">
        <f t="shared" si="58"/>
        <v>2.1725348678435581E-2</v>
      </c>
      <c r="BI50" s="1815">
        <f>_xlfn.XLOOKUP($D50,'Sales Rec'!$E$4:$E$93,'Sales Rec'!$CK$4:$CK$93)</f>
        <v>174311</v>
      </c>
      <c r="BJ50" s="2048">
        <f t="shared" si="47"/>
        <v>90505</v>
      </c>
      <c r="BK50" s="2050">
        <f t="shared" si="59"/>
        <v>7.993461088704866E-2</v>
      </c>
      <c r="BL50" s="1815">
        <f>_xlfn.XLOOKUP($D50,'Sales Rec'!$E$4:$E$93,'Sales Rec'!$CN$4:$CN$93)</f>
        <v>266403</v>
      </c>
      <c r="BM50" s="2048">
        <f t="shared" si="48"/>
        <v>92092</v>
      </c>
      <c r="BN50" s="2050">
        <f t="shared" si="17"/>
        <v>1.7534942820838628E-2</v>
      </c>
      <c r="BO50" s="2069">
        <f t="shared" si="61"/>
        <v>0.18018429096708458</v>
      </c>
      <c r="BP50" s="1575">
        <f t="shared" si="60"/>
        <v>23</v>
      </c>
    </row>
    <row r="51" spans="1:68" ht="100" customHeight="1">
      <c r="A51" s="2146">
        <v>19</v>
      </c>
      <c r="B51" s="2176">
        <f>_xlfn.XLOOKUP(D51,MOPFRA!$R$7:$R$56,MOPFRA!$A$7:$A$56,"")</f>
        <v>11.948830102828419</v>
      </c>
      <c r="C51" s="2164" t="str">
        <f>MOPFRA!Q25</f>
        <v>نفت ايرانول</v>
      </c>
      <c r="D51" s="2164" t="str">
        <f>MOPFRA!R25</f>
        <v>شرانل</v>
      </c>
      <c r="E51" s="2170">
        <f>_xlfn.XLOOKUP(D51,MOPFRA!$R$7:$R$56,MOPFRA!$S$7:$S$56,"")</f>
        <v>12</v>
      </c>
      <c r="F51" s="2171">
        <f>_xlfn.XLOOKUP(D51,MOPFRA!$R$7:$R$56,MOPFRA!$AQ$7:$AQ$56,"")</f>
        <v>34215</v>
      </c>
      <c r="G51" s="2167">
        <v>4</v>
      </c>
      <c r="H51" s="2168">
        <f t="shared" si="49"/>
        <v>4</v>
      </c>
      <c r="I51" s="2147"/>
      <c r="J51" s="2148"/>
      <c r="K51" s="2149"/>
      <c r="L51" s="2150"/>
      <c r="M51" s="2147"/>
      <c r="N51" s="2148"/>
      <c r="O51" s="2149"/>
      <c r="P51" s="2151"/>
      <c r="Q51" s="2186">
        <f t="shared" si="50"/>
        <v>3772</v>
      </c>
      <c r="R51" s="2187"/>
      <c r="S51" s="2188">
        <f>_xlfn.XLOOKUP(D51,'Sales Rec'!$E$4:$E$93,'Sales Rec'!$CP$4:$CP$93,"")</f>
        <v>0.48224272930648771</v>
      </c>
      <c r="T51" s="2152" t="s">
        <v>234</v>
      </c>
      <c r="U51" s="2152" t="s">
        <v>234</v>
      </c>
      <c r="AH51" s="1815">
        <f>_xlfn.XLOOKUP($D51,'Sales Rec'!$E$4:$E$93,'Sales Rec'!$AS$4:$AS$93)</f>
        <v>1969</v>
      </c>
      <c r="AI51" s="2048">
        <f t="shared" si="21"/>
        <v>1969</v>
      </c>
      <c r="AJ51" s="1815">
        <f>_xlfn.XLOOKUP($D51,'Sales Rec'!$E$4:$E$93,'Sales Rec'!$AV$4:$AV$93)</f>
        <v>4752</v>
      </c>
      <c r="AK51" s="2048">
        <f t="shared" si="22"/>
        <v>2783</v>
      </c>
      <c r="AL51" s="1815">
        <f>_xlfn.XLOOKUP($D51,'Sales Rec'!$E$4:$E$93,'Sales Rec'!$AY$4:$AY$93)</f>
        <v>7152</v>
      </c>
      <c r="AM51" s="2048">
        <f t="shared" si="23"/>
        <v>2400</v>
      </c>
      <c r="AN51" s="1815">
        <f>_xlfn.XLOOKUP($D51,'Sales Rec'!$E$4:$E$93,'Sales Rec'!$BB$4:$BB$93)</f>
        <v>9687</v>
      </c>
      <c r="AO51" s="2048">
        <f t="shared" si="24"/>
        <v>2535</v>
      </c>
      <c r="AP51" s="1815">
        <f>_xlfn.XLOOKUP($D51,'Sales Rec'!$E$4:$E$93,'Sales Rec'!$BE$4:$BE$93)</f>
        <v>12432</v>
      </c>
      <c r="AQ51" s="2048">
        <f t="shared" si="25"/>
        <v>2745</v>
      </c>
      <c r="AR51" s="1815">
        <f>_xlfn.XLOOKUP(D51,'Sales Rec'!$E$4:$E$93,'Sales Rec'!$BH$4:$BH$93)</f>
        <v>15233</v>
      </c>
      <c r="AS51" s="2048">
        <f t="shared" si="41"/>
        <v>2801</v>
      </c>
      <c r="AT51" s="1815">
        <f>_xlfn.XLOOKUP(D51,'Sales Rec'!$E$4:$E$93,'Sales Rec'!$BK$4:$BK$93)</f>
        <v>18463</v>
      </c>
      <c r="AU51" s="2048">
        <f t="shared" si="51"/>
        <v>3230</v>
      </c>
      <c r="AV51" s="1815">
        <f>_xlfn.XLOOKUP($D51,'Sales Rec'!$E$4:$E$93,'Sales Rec'!$BN$4:$BN$93)</f>
        <v>21022</v>
      </c>
      <c r="AW51" s="2048">
        <f t="shared" si="52"/>
        <v>2559</v>
      </c>
      <c r="AX51" s="1815">
        <f>_xlfn.XLOOKUP($D51,'Sales Rec'!$E$4:$E$93,'Sales Rec'!$BQ$4:$BQ$93)</f>
        <v>23770</v>
      </c>
      <c r="AY51" s="2048">
        <f t="shared" si="53"/>
        <v>2748</v>
      </c>
      <c r="AZ51" s="1815">
        <f>_xlfn.XLOOKUP($D51,'Sales Rec'!$E$4:$E$93,'Sales Rec'!$BT$4:$BT$93)</f>
        <v>27304</v>
      </c>
      <c r="BA51" s="2048">
        <f t="shared" si="54"/>
        <v>3534</v>
      </c>
      <c r="BB51" s="1815">
        <f>_xlfn.XLOOKUP($D51,'Sales Rec'!$E$4:$E$93,'Sales Rec'!$BW$4:$BW$93)</f>
        <v>32044</v>
      </c>
      <c r="BC51" s="2048">
        <f t="shared" si="55"/>
        <v>4740</v>
      </c>
      <c r="BD51" s="1815">
        <f>_xlfn.XLOOKUP($D51,'Sales Rec'!$E$4:$E$93,'Sales Rec'!$BZ$4:$BZ$93)</f>
        <v>34215</v>
      </c>
      <c r="BE51" s="2048">
        <f t="shared" si="56"/>
        <v>2171</v>
      </c>
      <c r="BF51" s="1815">
        <f>_xlfn.XLOOKUP($D51,'Sales Rec'!$E$4:$E$93,'Sales Rec'!$CH$4:$CH$93)</f>
        <v>2138</v>
      </c>
      <c r="BG51" s="2048">
        <f t="shared" si="57"/>
        <v>2138</v>
      </c>
      <c r="BH51" s="2050">
        <f t="shared" si="58"/>
        <v>-1.5200368493781667E-2</v>
      </c>
      <c r="BI51" s="1815">
        <f>_xlfn.XLOOKUP($D51,'Sales Rec'!$E$4:$E$93,'Sales Rec'!$CK$4:$CK$93)</f>
        <v>6829</v>
      </c>
      <c r="BJ51" s="2048">
        <f t="shared" si="47"/>
        <v>4691</v>
      </c>
      <c r="BK51" s="2050">
        <f t="shared" si="59"/>
        <v>1.1941066417212347</v>
      </c>
      <c r="BL51" s="1815">
        <f>_xlfn.XLOOKUP($D51,'Sales Rec'!$E$4:$E$93,'Sales Rec'!$CN$4:$CN$93)</f>
        <v>10601</v>
      </c>
      <c r="BM51" s="2048">
        <f t="shared" si="48"/>
        <v>3772</v>
      </c>
      <c r="BN51" s="2050">
        <f t="shared" si="17"/>
        <v>-0.19590705606480494</v>
      </c>
      <c r="BO51" s="2069">
        <f t="shared" si="61"/>
        <v>1.4935375777884155E-2</v>
      </c>
      <c r="BP51" s="1575">
        <f t="shared" si="60"/>
        <v>33</v>
      </c>
    </row>
    <row r="52" spans="1:68" ht="100" customHeight="1">
      <c r="A52" s="2146">
        <v>20</v>
      </c>
      <c r="B52" s="2176">
        <f>_xlfn.XLOOKUP(D52,MOPFRA!$R$7:$R$56,MOPFRA!$A$7:$A$56,"")</f>
        <v>11.736609338117248</v>
      </c>
      <c r="C52" s="2164" t="str">
        <f>MOPFRA!Q26</f>
        <v>داروسازي كاسپين تامين</v>
      </c>
      <c r="D52" s="2164" t="str">
        <f>MOPFRA!R26</f>
        <v>كاسپين</v>
      </c>
      <c r="E52" s="2170">
        <f>_xlfn.XLOOKUP(D52,MOPFRA!$R$7:$R$56,MOPFRA!$S$7:$S$56,"")</f>
        <v>12</v>
      </c>
      <c r="F52" s="2171">
        <f>_xlfn.XLOOKUP(D52,MOPFRA!$R$7:$R$56,MOPFRA!$AQ$7:$AQ$56,"")</f>
        <v>4859</v>
      </c>
      <c r="G52" s="2167">
        <v>4</v>
      </c>
      <c r="H52" s="2168">
        <f t="shared" si="49"/>
        <v>4</v>
      </c>
      <c r="I52" s="2147"/>
      <c r="J52" s="2148"/>
      <c r="K52" s="2149"/>
      <c r="L52" s="2150"/>
      <c r="M52" s="2147"/>
      <c r="N52" s="2148"/>
      <c r="O52" s="2149"/>
      <c r="P52" s="2151"/>
      <c r="Q52" s="2186">
        <f t="shared" si="50"/>
        <v>1251</v>
      </c>
      <c r="R52" s="2187"/>
      <c r="S52" s="2188">
        <f>_xlfn.XLOOKUP(D52,'Sales Rec'!$E$4:$E$93,'Sales Rec'!$CP$4:$CP$93,"")</f>
        <v>1.7532338308457711</v>
      </c>
      <c r="T52" s="2152" t="s">
        <v>234</v>
      </c>
      <c r="U52" s="2152" t="s">
        <v>234</v>
      </c>
      <c r="AH52" s="1815">
        <f>_xlfn.XLOOKUP($D52,'Sales Rec'!$E$4:$E$93,'Sales Rec'!$AS$4:$AS$93)</f>
        <v>316</v>
      </c>
      <c r="AI52" s="2048">
        <f t="shared" si="21"/>
        <v>316</v>
      </c>
      <c r="AJ52" s="1815">
        <f>_xlfn.XLOOKUP($D52,'Sales Rec'!$E$4:$E$93,'Sales Rec'!$AV$4:$AV$93)</f>
        <v>639</v>
      </c>
      <c r="AK52" s="2048">
        <f t="shared" si="22"/>
        <v>323</v>
      </c>
      <c r="AL52" s="1815">
        <f>_xlfn.XLOOKUP($D52,'Sales Rec'!$E$4:$E$93,'Sales Rec'!$AY$4:$AY$93)</f>
        <v>1005</v>
      </c>
      <c r="AM52" s="2048">
        <f t="shared" si="23"/>
        <v>366</v>
      </c>
      <c r="AN52" s="1815">
        <f>_xlfn.XLOOKUP($D52,'Sales Rec'!$E$4:$E$93,'Sales Rec'!$BB$4:$BB$93)</f>
        <v>1387</v>
      </c>
      <c r="AO52" s="2048">
        <f t="shared" si="24"/>
        <v>382</v>
      </c>
      <c r="AP52" s="1815">
        <f>_xlfn.XLOOKUP($D52,'Sales Rec'!$E$4:$E$93,'Sales Rec'!$BE$4:$BE$93)</f>
        <v>1772</v>
      </c>
      <c r="AQ52" s="2048">
        <f t="shared" si="25"/>
        <v>385</v>
      </c>
      <c r="AR52" s="1815">
        <f>_xlfn.XLOOKUP(D52,'Sales Rec'!$E$4:$E$93,'Sales Rec'!$BH$4:$BH$93)</f>
        <v>2196</v>
      </c>
      <c r="AS52" s="2048">
        <f t="shared" si="41"/>
        <v>424</v>
      </c>
      <c r="AT52" s="1815">
        <f>_xlfn.XLOOKUP(D52,'Sales Rec'!$E$4:$E$93,'Sales Rec'!$BK$4:$BK$93)</f>
        <v>2619</v>
      </c>
      <c r="AU52" s="2048">
        <f t="shared" si="51"/>
        <v>423</v>
      </c>
      <c r="AV52" s="1815">
        <f>_xlfn.XLOOKUP($D52,'Sales Rec'!$E$4:$E$93,'Sales Rec'!$BN$4:$BN$93)</f>
        <v>3043</v>
      </c>
      <c r="AW52" s="2048">
        <f t="shared" si="52"/>
        <v>424</v>
      </c>
      <c r="AX52" s="1815">
        <f>_xlfn.XLOOKUP($D52,'Sales Rec'!$E$4:$E$93,'Sales Rec'!$BQ$4:$BQ$93)</f>
        <v>3490</v>
      </c>
      <c r="AY52" s="2048">
        <f t="shared" si="53"/>
        <v>447</v>
      </c>
      <c r="AZ52" s="1815">
        <f>_xlfn.XLOOKUP($D52,'Sales Rec'!$E$4:$E$93,'Sales Rec'!$BT$4:$BT$93)</f>
        <v>3954</v>
      </c>
      <c r="BA52" s="2048">
        <f t="shared" si="54"/>
        <v>464</v>
      </c>
      <c r="BB52" s="1815">
        <f>_xlfn.XLOOKUP($D52,'Sales Rec'!$E$4:$E$93,'Sales Rec'!$BW$4:$BW$93)</f>
        <v>4462</v>
      </c>
      <c r="BC52" s="2048">
        <f t="shared" si="55"/>
        <v>508</v>
      </c>
      <c r="BD52" s="1815">
        <f>_xlfn.XLOOKUP($D52,'Sales Rec'!$E$4:$E$93,'Sales Rec'!$BZ$4:$BZ$93)</f>
        <v>4859</v>
      </c>
      <c r="BE52" s="2048">
        <f t="shared" si="56"/>
        <v>397</v>
      </c>
      <c r="BF52" s="1815">
        <f>_xlfn.XLOOKUP($D52,'Sales Rec'!$E$4:$E$93,'Sales Rec'!$CH$4:$CH$93)</f>
        <v>616</v>
      </c>
      <c r="BG52" s="2048">
        <f t="shared" si="57"/>
        <v>616</v>
      </c>
      <c r="BH52" s="2050">
        <f t="shared" si="58"/>
        <v>0.55163727959697728</v>
      </c>
      <c r="BI52" s="1815">
        <f>_xlfn.XLOOKUP($D52,'Sales Rec'!$E$4:$E$93,'Sales Rec'!$CK$4:$CK$93)</f>
        <v>1516</v>
      </c>
      <c r="BJ52" s="2048">
        <f t="shared" si="47"/>
        <v>900</v>
      </c>
      <c r="BK52" s="2050">
        <f t="shared" si="59"/>
        <v>0.46103896103896103</v>
      </c>
      <c r="BL52" s="1815">
        <f>_xlfn.XLOOKUP($D52,'Sales Rec'!$E$4:$E$93,'Sales Rec'!$CN$4:$CN$93)</f>
        <v>2767</v>
      </c>
      <c r="BM52" s="2048">
        <f t="shared" si="48"/>
        <v>1251</v>
      </c>
      <c r="BN52" s="2050">
        <f t="shared" si="17"/>
        <v>0.39</v>
      </c>
      <c r="BO52" s="2069">
        <f t="shared" si="61"/>
        <v>1.0211833455076698</v>
      </c>
      <c r="BP52" s="1575">
        <f t="shared" si="60"/>
        <v>5</v>
      </c>
    </row>
    <row r="53" spans="1:68" ht="100" customHeight="1">
      <c r="A53" s="2146">
        <v>21</v>
      </c>
      <c r="B53" s="2176">
        <f>_xlfn.XLOOKUP(D53,MOPFRA!$R$7:$R$56,MOPFRA!$A$7:$A$56,"")</f>
        <v>10.895140384574557</v>
      </c>
      <c r="C53" s="2164" t="str">
        <f>MOPFRA!Q27</f>
        <v>ايران‌ تاير</v>
      </c>
      <c r="D53" s="2164" t="str">
        <f>MOPFRA!R27</f>
        <v>پتاير</v>
      </c>
      <c r="E53" s="2170">
        <f>_xlfn.XLOOKUP(D53,MOPFRA!$R$7:$R$56,MOPFRA!$S$7:$S$56,"")</f>
        <v>12</v>
      </c>
      <c r="F53" s="2171">
        <f>_xlfn.XLOOKUP(D53,MOPFRA!$R$7:$R$56,MOPFRA!$AQ$7:$AQ$56,"")</f>
        <v>5814</v>
      </c>
      <c r="G53" s="2167">
        <v>4</v>
      </c>
      <c r="H53" s="2168">
        <f t="shared" si="49"/>
        <v>4</v>
      </c>
      <c r="I53" s="2147"/>
      <c r="J53" s="2148"/>
      <c r="K53" s="2149"/>
      <c r="L53" s="2150"/>
      <c r="M53" s="2147"/>
      <c r="N53" s="2148"/>
      <c r="O53" s="2149"/>
      <c r="P53" s="2151"/>
      <c r="Q53" s="2186">
        <f t="shared" si="50"/>
        <v>791</v>
      </c>
      <c r="R53" s="2187"/>
      <c r="S53" s="2188">
        <f>_xlfn.XLOOKUP(D53,'Sales Rec'!$E$4:$E$93,'Sales Rec'!$CP$4:$CP$93,"")</f>
        <v>0.48151191454396058</v>
      </c>
      <c r="T53" s="2152" t="s">
        <v>234</v>
      </c>
      <c r="U53" s="2152" t="s">
        <v>234</v>
      </c>
      <c r="AH53" s="1815">
        <f>_xlfn.XLOOKUP($D53,'Sales Rec'!$E$4:$E$93,'Sales Rec'!$AS$4:$AS$93)</f>
        <v>346</v>
      </c>
      <c r="AI53" s="2048">
        <f t="shared" si="21"/>
        <v>346</v>
      </c>
      <c r="AJ53" s="1815">
        <f>_xlfn.XLOOKUP($D53,'Sales Rec'!$E$4:$E$93,'Sales Rec'!$AV$4:$AV$93)</f>
        <v>871</v>
      </c>
      <c r="AK53" s="2048">
        <f t="shared" si="22"/>
        <v>525</v>
      </c>
      <c r="AL53" s="1815">
        <f>_xlfn.XLOOKUP($D53,'Sales Rec'!$E$4:$E$93,'Sales Rec'!$AY$4:$AY$93)</f>
        <v>1217</v>
      </c>
      <c r="AM53" s="2048">
        <f t="shared" si="23"/>
        <v>346</v>
      </c>
      <c r="AN53" s="1815">
        <f>_xlfn.XLOOKUP($D53,'Sales Rec'!$E$4:$E$93,'Sales Rec'!$BB$4:$BB$93)</f>
        <v>1672</v>
      </c>
      <c r="AO53" s="2048">
        <f t="shared" si="24"/>
        <v>455</v>
      </c>
      <c r="AP53" s="1815">
        <f>_xlfn.XLOOKUP($D53,'Sales Rec'!$E$4:$E$93,'Sales Rec'!$BE$4:$BE$93)</f>
        <v>2103</v>
      </c>
      <c r="AQ53" s="2048">
        <f t="shared" si="25"/>
        <v>431</v>
      </c>
      <c r="AR53" s="1815">
        <f>_xlfn.XLOOKUP(D53,'Sales Rec'!$E$4:$E$93,'Sales Rec'!$BH$4:$BH$93)</f>
        <v>2567</v>
      </c>
      <c r="AS53" s="2048">
        <f t="shared" si="41"/>
        <v>464</v>
      </c>
      <c r="AT53" s="1815">
        <f>_xlfn.XLOOKUP(D53,'Sales Rec'!$E$4:$E$93,'Sales Rec'!$BK$4:$BK$93)</f>
        <v>3116</v>
      </c>
      <c r="AU53" s="2048">
        <f t="shared" si="51"/>
        <v>549</v>
      </c>
      <c r="AV53" s="1815">
        <f>_xlfn.XLOOKUP($D53,'Sales Rec'!$E$4:$E$93,'Sales Rec'!$BN$4:$BN$93)</f>
        <v>3639</v>
      </c>
      <c r="AW53" s="2048">
        <f t="shared" si="52"/>
        <v>523</v>
      </c>
      <c r="AX53" s="1815">
        <f>_xlfn.XLOOKUP($D53,'Sales Rec'!$E$4:$E$93,'Sales Rec'!$BQ$4:$BQ$93)</f>
        <v>4252</v>
      </c>
      <c r="AY53" s="2048">
        <f t="shared" si="53"/>
        <v>613</v>
      </c>
      <c r="AZ53" s="1815">
        <f>_xlfn.XLOOKUP($D53,'Sales Rec'!$E$4:$E$93,'Sales Rec'!$BT$4:$BT$93)</f>
        <v>4720</v>
      </c>
      <c r="BA53" s="2048">
        <f t="shared" si="54"/>
        <v>468</v>
      </c>
      <c r="BB53" s="1815">
        <f>_xlfn.XLOOKUP($D53,'Sales Rec'!$E$4:$E$93,'Sales Rec'!$BW$4:$BW$93)</f>
        <v>5434</v>
      </c>
      <c r="BC53" s="2048">
        <f t="shared" si="55"/>
        <v>714</v>
      </c>
      <c r="BD53" s="1815">
        <f>_xlfn.XLOOKUP($D53,'Sales Rec'!$E$4:$E$93,'Sales Rec'!$BZ$4:$BZ$93)</f>
        <v>5814</v>
      </c>
      <c r="BE53" s="2048">
        <f t="shared" si="56"/>
        <v>380</v>
      </c>
      <c r="BF53" s="1815">
        <f>_xlfn.XLOOKUP($D53,'Sales Rec'!$E$4:$E$93,'Sales Rec'!$CH$4:$CH$93)</f>
        <v>240</v>
      </c>
      <c r="BG53" s="2048">
        <f t="shared" si="57"/>
        <v>240</v>
      </c>
      <c r="BH53" s="2050">
        <f t="shared" si="58"/>
        <v>-0.36842105263157893</v>
      </c>
      <c r="BI53" s="1815">
        <f>_xlfn.XLOOKUP($D53,'Sales Rec'!$E$4:$E$93,'Sales Rec'!$CK$4:$CK$93)</f>
        <v>1012</v>
      </c>
      <c r="BJ53" s="2048">
        <f t="shared" si="47"/>
        <v>772</v>
      </c>
      <c r="BK53" s="2050">
        <f t="shared" si="59"/>
        <v>2.2166666666666668</v>
      </c>
      <c r="BL53" s="1815">
        <f>_xlfn.XLOOKUP($D53,'Sales Rec'!$E$4:$E$93,'Sales Rec'!$CN$4:$CN$93)</f>
        <v>1803</v>
      </c>
      <c r="BM53" s="2048">
        <f t="shared" si="48"/>
        <v>791</v>
      </c>
      <c r="BN53" s="2050">
        <f t="shared" si="17"/>
        <v>2.4611398963730571E-2</v>
      </c>
      <c r="BO53" s="2069">
        <f t="shared" si="61"/>
        <v>0.15428937259923176</v>
      </c>
      <c r="BP53" s="1575">
        <f t="shared" si="60"/>
        <v>25</v>
      </c>
    </row>
    <row r="54" spans="1:68" ht="100" customHeight="1">
      <c r="A54" s="2146">
        <v>22</v>
      </c>
      <c r="B54" s="2176">
        <f>_xlfn.XLOOKUP(D54,MOPFRA!$R$7:$R$56,MOPFRA!$A$7:$A$56,"")</f>
        <v>11.047850751719084</v>
      </c>
      <c r="C54" s="2164" t="str">
        <f>MOPFRA!Q28</f>
        <v>داروسازي‌ فارابي‌</v>
      </c>
      <c r="D54" s="2164" t="str">
        <f>MOPFRA!R28</f>
        <v>دفارا</v>
      </c>
      <c r="E54" s="2170">
        <f>_xlfn.XLOOKUP(D54,MOPFRA!$R$7:$R$56,MOPFRA!$S$7:$S$56,"")</f>
        <v>12</v>
      </c>
      <c r="F54" s="2171">
        <f>_xlfn.XLOOKUP(D54,MOPFRA!$R$7:$R$56,MOPFRA!$AQ$7:$AQ$56,"")</f>
        <v>4060</v>
      </c>
      <c r="G54" s="2167">
        <v>4</v>
      </c>
      <c r="H54" s="2168">
        <f t="shared" si="49"/>
        <v>4</v>
      </c>
      <c r="I54" s="2147"/>
      <c r="J54" s="2148"/>
      <c r="K54" s="2149"/>
      <c r="L54" s="2150"/>
      <c r="M54" s="2147"/>
      <c r="N54" s="2148"/>
      <c r="O54" s="2149"/>
      <c r="P54" s="2151"/>
      <c r="Q54" s="2186">
        <f t="shared" si="50"/>
        <v>667</v>
      </c>
      <c r="R54" s="2187"/>
      <c r="S54" s="2188">
        <f>_xlfn.XLOOKUP(D54,'Sales Rec'!$E$4:$E$93,'Sales Rec'!$CP$4:$CP$93,"")</f>
        <v>0.67523364485981308</v>
      </c>
      <c r="T54" s="2152" t="s">
        <v>234</v>
      </c>
      <c r="U54" s="2152" t="s">
        <v>234</v>
      </c>
      <c r="AH54" s="1815">
        <f>_xlfn.XLOOKUP($D54,'Sales Rec'!$E$4:$E$93,'Sales Rec'!$AS$4:$AS$93)</f>
        <v>150</v>
      </c>
      <c r="AI54" s="2048">
        <f t="shared" si="21"/>
        <v>150</v>
      </c>
      <c r="AJ54" s="1815">
        <f>_xlfn.XLOOKUP($D54,'Sales Rec'!$E$4:$E$93,'Sales Rec'!$AV$4:$AV$93)</f>
        <v>525</v>
      </c>
      <c r="AK54" s="2048">
        <f t="shared" si="22"/>
        <v>375</v>
      </c>
      <c r="AL54" s="1815">
        <f>_xlfn.XLOOKUP($D54,'Sales Rec'!$E$4:$E$93,'Sales Rec'!$AY$4:$AY$93)</f>
        <v>856</v>
      </c>
      <c r="AM54" s="2048">
        <f t="shared" si="23"/>
        <v>331</v>
      </c>
      <c r="AN54" s="1815">
        <f>_xlfn.XLOOKUP($D54,'Sales Rec'!$E$4:$E$93,'Sales Rec'!$BB$4:$BB$93)</f>
        <v>1106</v>
      </c>
      <c r="AO54" s="2048">
        <f t="shared" si="24"/>
        <v>250</v>
      </c>
      <c r="AP54" s="1815">
        <f>_xlfn.XLOOKUP($D54,'Sales Rec'!$E$4:$E$93,'Sales Rec'!$BE$4:$BE$93)</f>
        <v>1392</v>
      </c>
      <c r="AQ54" s="2048">
        <f t="shared" si="25"/>
        <v>286</v>
      </c>
      <c r="AR54" s="1815">
        <f>_xlfn.XLOOKUP(D54,'Sales Rec'!$E$4:$E$93,'Sales Rec'!$BH$4:$BH$93)</f>
        <v>1793</v>
      </c>
      <c r="AS54" s="2048">
        <f t="shared" si="41"/>
        <v>401</v>
      </c>
      <c r="AT54" s="1815">
        <f>_xlfn.XLOOKUP(D54,'Sales Rec'!$E$4:$E$93,'Sales Rec'!$BK$4:$BK$93)</f>
        <v>2244</v>
      </c>
      <c r="AU54" s="2048">
        <f t="shared" si="51"/>
        <v>451</v>
      </c>
      <c r="AV54" s="1815">
        <f>_xlfn.XLOOKUP($D54,'Sales Rec'!$E$4:$E$93,'Sales Rec'!$BN$4:$BN$93)</f>
        <v>2674</v>
      </c>
      <c r="AW54" s="2048">
        <f t="shared" si="52"/>
        <v>430</v>
      </c>
      <c r="AX54" s="1815">
        <f>_xlfn.XLOOKUP($D54,'Sales Rec'!$E$4:$E$93,'Sales Rec'!$BQ$4:$BQ$93)</f>
        <v>2979</v>
      </c>
      <c r="AY54" s="2048">
        <f t="shared" si="53"/>
        <v>305</v>
      </c>
      <c r="AZ54" s="1815">
        <f>_xlfn.XLOOKUP($D54,'Sales Rec'!$E$4:$E$93,'Sales Rec'!$BT$4:$BT$93)</f>
        <v>3260</v>
      </c>
      <c r="BA54" s="2048">
        <f t="shared" si="54"/>
        <v>281</v>
      </c>
      <c r="BB54" s="1815">
        <f>_xlfn.XLOOKUP($D54,'Sales Rec'!$E$4:$E$93,'Sales Rec'!$BW$4:$BW$93)</f>
        <v>3962</v>
      </c>
      <c r="BC54" s="2048">
        <f t="shared" si="55"/>
        <v>702</v>
      </c>
      <c r="BD54" s="1815">
        <f>_xlfn.XLOOKUP($D54,'Sales Rec'!$E$4:$E$93,'Sales Rec'!$BZ$4:$BZ$93)</f>
        <v>4060</v>
      </c>
      <c r="BE54" s="2048">
        <f t="shared" si="56"/>
        <v>98</v>
      </c>
      <c r="BF54" s="1815">
        <f>_xlfn.XLOOKUP($D54,'Sales Rec'!$E$4:$E$93,'Sales Rec'!$CH$4:$CH$93)</f>
        <v>222</v>
      </c>
      <c r="BG54" s="2048">
        <f t="shared" si="57"/>
        <v>222</v>
      </c>
      <c r="BH54" s="2050">
        <f t="shared" si="58"/>
        <v>1.2653061224489797</v>
      </c>
      <c r="BI54" s="1815">
        <f>_xlfn.XLOOKUP($D54,'Sales Rec'!$E$4:$E$93,'Sales Rec'!$CK$4:$CK$93)</f>
        <v>767</v>
      </c>
      <c r="BJ54" s="2048">
        <f t="shared" si="47"/>
        <v>545</v>
      </c>
      <c r="BK54" s="2050">
        <f t="shared" si="59"/>
        <v>1.454954954954955</v>
      </c>
      <c r="BL54" s="1815">
        <f>_xlfn.XLOOKUP($D54,'Sales Rec'!$E$4:$E$93,'Sales Rec'!$CN$4:$CN$93)</f>
        <v>1434</v>
      </c>
      <c r="BM54" s="2048">
        <f t="shared" si="48"/>
        <v>667</v>
      </c>
      <c r="BN54" s="2050">
        <f t="shared" si="17"/>
        <v>0.22385321100917432</v>
      </c>
      <c r="BO54" s="2069">
        <f t="shared" si="61"/>
        <v>0.3265494912118409</v>
      </c>
      <c r="BP54" s="1575">
        <f t="shared" si="60"/>
        <v>18</v>
      </c>
    </row>
    <row r="55" spans="1:68" ht="100" customHeight="1">
      <c r="A55" s="2146">
        <v>23</v>
      </c>
      <c r="B55" s="2176">
        <f>_xlfn.XLOOKUP(D55,MOPFRA!$R$7:$R$56,MOPFRA!$A$7:$A$56,"")</f>
        <v>6.5163029754594088</v>
      </c>
      <c r="C55" s="2164" t="str">
        <f>MOPFRA!Q29</f>
        <v>فولاد سيرجان ايرانيان</v>
      </c>
      <c r="D55" s="2164" t="str">
        <f>MOPFRA!R29</f>
        <v>سيسكو</v>
      </c>
      <c r="E55" s="2170">
        <f>_xlfn.XLOOKUP(D55,MOPFRA!$R$7:$R$56,MOPFRA!$S$7:$S$56,"")</f>
        <v>9</v>
      </c>
      <c r="F55" s="2171">
        <f>_xlfn.XLOOKUP(D55,MOPFRA!$R$7:$R$56,MOPFRA!$AQ$7:$AQ$56,"")</f>
        <v>41084</v>
      </c>
      <c r="G55" s="2167">
        <v>4</v>
      </c>
      <c r="H55" s="2168">
        <f t="shared" si="49"/>
        <v>7</v>
      </c>
      <c r="I55" s="2147"/>
      <c r="J55" s="2148"/>
      <c r="K55" s="2149"/>
      <c r="L55" s="2150"/>
      <c r="M55" s="2147"/>
      <c r="N55" s="2148"/>
      <c r="O55" s="2149"/>
      <c r="P55" s="2151"/>
      <c r="Q55" s="2186">
        <f t="shared" si="50"/>
        <v>6643</v>
      </c>
      <c r="R55" s="2187"/>
      <c r="S55" s="2188">
        <f>_xlfn.XLOOKUP(D55,'Sales Rec'!$E$4:$E$93,'Sales Rec'!$CP$4:$CP$93,"")</f>
        <v>1.1947361424963445</v>
      </c>
      <c r="T55" s="2152" t="s">
        <v>234</v>
      </c>
      <c r="U55" s="2152" t="s">
        <v>234</v>
      </c>
      <c r="AH55" s="1815">
        <f>_xlfn.XLOOKUP($D55,'Sales Rec'!$E$4:$E$93,'Sales Rec'!$AS$4:$AS$93)</f>
        <v>9676</v>
      </c>
      <c r="AI55" s="2048">
        <f t="shared" si="21"/>
        <v>9676</v>
      </c>
      <c r="AJ55" s="1815">
        <f>_xlfn.XLOOKUP($D55,'Sales Rec'!$E$4:$E$93,'Sales Rec'!$AV$4:$AV$93)</f>
        <v>12592</v>
      </c>
      <c r="AK55" s="2048">
        <f t="shared" si="22"/>
        <v>2916</v>
      </c>
      <c r="AL55" s="1815">
        <f>_xlfn.XLOOKUP($D55,'Sales Rec'!$E$4:$E$93,'Sales Rec'!$AY$4:$AY$93)</f>
        <v>15046</v>
      </c>
      <c r="AM55" s="2048">
        <f t="shared" si="23"/>
        <v>2454</v>
      </c>
      <c r="AN55" s="1815">
        <f>_xlfn.XLOOKUP($D55,'Sales Rec'!$E$4:$E$93,'Sales Rec'!$BB$4:$BB$93)</f>
        <v>18124</v>
      </c>
      <c r="AO55" s="2048">
        <f t="shared" si="24"/>
        <v>3078</v>
      </c>
      <c r="AP55" s="1815">
        <f>_xlfn.XLOOKUP($D55,'Sales Rec'!$E$4:$E$93,'Sales Rec'!$BE$4:$BE$93)</f>
        <v>22539</v>
      </c>
      <c r="AQ55" s="2048">
        <f t="shared" si="25"/>
        <v>4415</v>
      </c>
      <c r="AR55" s="1815">
        <f>_xlfn.XLOOKUP(D55,'Sales Rec'!$E$4:$E$93,'Sales Rec'!$BH$4:$BH$93)</f>
        <v>26917</v>
      </c>
      <c r="AS55" s="2048">
        <f t="shared" si="41"/>
        <v>4378</v>
      </c>
      <c r="AT55" s="1815">
        <f>_xlfn.XLOOKUP(D55,'Sales Rec'!$E$4:$E$93,'Sales Rec'!$BK$4:$BK$93)</f>
        <v>31688</v>
      </c>
      <c r="AU55" s="2048">
        <f t="shared" si="51"/>
        <v>4771</v>
      </c>
      <c r="AV55" s="1815">
        <f>_xlfn.XLOOKUP($D55,'Sales Rec'!$E$4:$E$93,'Sales Rec'!$BN$4:$BN$93)</f>
        <v>36441</v>
      </c>
      <c r="AW55" s="2048">
        <f t="shared" si="52"/>
        <v>4753</v>
      </c>
      <c r="AX55" s="1815">
        <f>_xlfn.XLOOKUP($D55,'Sales Rec'!$E$4:$E$93,'Sales Rec'!$BQ$4:$BQ$93)</f>
        <v>41084</v>
      </c>
      <c r="AY55" s="2048">
        <f t="shared" si="53"/>
        <v>4643</v>
      </c>
      <c r="AZ55" s="1815">
        <f>_xlfn.XLOOKUP($D55,'Sales Rec'!$E$4:$E$93,'Sales Rec'!$BT$4:$BT$93)</f>
        <v>3476</v>
      </c>
      <c r="BA55" s="2048">
        <f t="shared" si="54"/>
        <v>3476</v>
      </c>
      <c r="BB55" s="1815">
        <f>_xlfn.XLOOKUP($D55,'Sales Rec'!$E$4:$E$93,'Sales Rec'!$BW$4:$BW$93)</f>
        <v>8071</v>
      </c>
      <c r="BC55" s="2048">
        <f t="shared" si="55"/>
        <v>4595</v>
      </c>
      <c r="BD55" s="1815">
        <f>_xlfn.XLOOKUP($D55,'Sales Rec'!$E$4:$E$93,'Sales Rec'!$BZ$4:$BZ$93)</f>
        <v>12132</v>
      </c>
      <c r="BE55" s="2048">
        <f t="shared" si="56"/>
        <v>4061</v>
      </c>
      <c r="BF55" s="1815">
        <f>_xlfn.XLOOKUP($D55,'Sales Rec'!$E$4:$E$93,'Sales Rec'!$CH$4:$CH$93)</f>
        <v>14637</v>
      </c>
      <c r="BG55" s="2048">
        <f t="shared" si="57"/>
        <v>2505</v>
      </c>
      <c r="BH55" s="2050">
        <f t="shared" si="58"/>
        <v>-0.38315685791676929</v>
      </c>
      <c r="BI55" s="1815">
        <f>_xlfn.XLOOKUP($D55,'Sales Rec'!$E$4:$E$93,'Sales Rec'!$CK$4:$CK$93)</f>
        <v>26379</v>
      </c>
      <c r="BJ55" s="2048">
        <f t="shared" si="47"/>
        <v>11742</v>
      </c>
      <c r="BK55" s="2050">
        <f t="shared" si="59"/>
        <v>3.6874251497005988</v>
      </c>
      <c r="BL55" s="1815">
        <f>_xlfn.XLOOKUP($D55,'Sales Rec'!$E$4:$E$93,'Sales Rec'!$CN$4:$CN$93)</f>
        <v>33022</v>
      </c>
      <c r="BM55" s="2048">
        <f t="shared" si="48"/>
        <v>6643</v>
      </c>
      <c r="BN55" s="2050">
        <f t="shared" si="17"/>
        <v>-0.43425310849940385</v>
      </c>
      <c r="BO55" s="2069">
        <f t="shared" si="61"/>
        <v>0.72189251566106161</v>
      </c>
      <c r="BP55" s="1575">
        <f t="shared" si="60"/>
        <v>8</v>
      </c>
    </row>
    <row r="56" spans="1:68" ht="100" customHeight="1">
      <c r="A56" s="2146">
        <v>24</v>
      </c>
      <c r="B56" s="2176">
        <f>_xlfn.XLOOKUP(D56,MOPFRA!$R$7:$R$56,MOPFRA!$A$7:$A$56,"")</f>
        <v>8.9948642701746628</v>
      </c>
      <c r="C56" s="2164" t="str">
        <f>MOPFRA!Q30</f>
        <v>صنايع بهداشتي ساينا</v>
      </c>
      <c r="D56" s="2164" t="str">
        <f>MOPFRA!R30</f>
        <v>ساينا</v>
      </c>
      <c r="E56" s="2170">
        <f>_xlfn.XLOOKUP(D56,MOPFRA!$R$7:$R$56,MOPFRA!$S$7:$S$56,"")</f>
        <v>9</v>
      </c>
      <c r="F56" s="2171">
        <f>_xlfn.XLOOKUP(D56,MOPFRA!$R$7:$R$56,MOPFRA!$AQ$7:$AQ$56,"")</f>
        <v>1600</v>
      </c>
      <c r="G56" s="2167">
        <v>4</v>
      </c>
      <c r="H56" s="2168">
        <f t="shared" si="49"/>
        <v>7</v>
      </c>
      <c r="I56" s="2147"/>
      <c r="J56" s="2148"/>
      <c r="K56" s="2149"/>
      <c r="L56" s="2150"/>
      <c r="M56" s="2147"/>
      <c r="N56" s="2148"/>
      <c r="O56" s="2149"/>
      <c r="P56" s="2151"/>
      <c r="Q56" s="2186">
        <f t="shared" si="50"/>
        <v>381</v>
      </c>
      <c r="R56" s="2187"/>
      <c r="S56" s="2188">
        <f>_xlfn.XLOOKUP(D56,'Sales Rec'!$E$4:$E$93,'Sales Rec'!$CP$4:$CP$93,"")</f>
        <v>1.0956399437412097</v>
      </c>
      <c r="T56" s="2152" t="s">
        <v>234</v>
      </c>
      <c r="U56" s="2152" t="s">
        <v>234</v>
      </c>
      <c r="AH56" s="1815">
        <f>_xlfn.XLOOKUP($D56,'Sales Rec'!$E$4:$E$93,'Sales Rec'!$AS$4:$AS$93)</f>
        <v>412</v>
      </c>
      <c r="AI56" s="2048">
        <f t="shared" si="21"/>
        <v>412</v>
      </c>
      <c r="AJ56" s="1815">
        <f>_xlfn.XLOOKUP($D56,'Sales Rec'!$E$4:$E$93,'Sales Rec'!$AV$4:$AV$93)</f>
        <v>575</v>
      </c>
      <c r="AK56" s="2048">
        <f t="shared" si="22"/>
        <v>163</v>
      </c>
      <c r="AL56" s="1815">
        <f>_xlfn.XLOOKUP($D56,'Sales Rec'!$E$4:$E$93,'Sales Rec'!$AY$4:$AY$93)</f>
        <v>711</v>
      </c>
      <c r="AM56" s="2048">
        <f t="shared" si="23"/>
        <v>136</v>
      </c>
      <c r="AN56" s="1815">
        <f>_xlfn.XLOOKUP($D56,'Sales Rec'!$E$4:$E$93,'Sales Rec'!$BB$4:$BB$93)</f>
        <v>834</v>
      </c>
      <c r="AO56" s="2048">
        <f t="shared" si="24"/>
        <v>123</v>
      </c>
      <c r="AP56" s="1815">
        <f>_xlfn.XLOOKUP($D56,'Sales Rec'!$E$4:$E$93,'Sales Rec'!$BE$4:$BE$93)</f>
        <v>975</v>
      </c>
      <c r="AQ56" s="2048">
        <f t="shared" si="25"/>
        <v>141</v>
      </c>
      <c r="AR56" s="1815">
        <f>_xlfn.XLOOKUP(D56,'Sales Rec'!$E$4:$E$93,'Sales Rec'!$BH$4:$BH$93)</f>
        <v>1090</v>
      </c>
      <c r="AS56" s="2048">
        <f t="shared" si="41"/>
        <v>115</v>
      </c>
      <c r="AT56" s="1815">
        <f>_xlfn.XLOOKUP(D56,'Sales Rec'!$E$4:$E$93,'Sales Rec'!$BK$4:$BK$93)</f>
        <v>1252</v>
      </c>
      <c r="AU56" s="2048">
        <f t="shared" si="51"/>
        <v>162</v>
      </c>
      <c r="AV56" s="1815">
        <f>_xlfn.XLOOKUP($D56,'Sales Rec'!$E$4:$E$93,'Sales Rec'!$BN$4:$BN$93)</f>
        <v>1569</v>
      </c>
      <c r="AW56" s="2048">
        <f t="shared" si="52"/>
        <v>317</v>
      </c>
      <c r="AX56" s="1815">
        <f>_xlfn.XLOOKUP($D56,'Sales Rec'!$E$4:$E$93,'Sales Rec'!$BQ$4:$BQ$93)</f>
        <v>1600</v>
      </c>
      <c r="AY56" s="2048">
        <f t="shared" si="53"/>
        <v>31</v>
      </c>
      <c r="AZ56" s="1815">
        <f>_xlfn.XLOOKUP($D56,'Sales Rec'!$E$4:$E$93,'Sales Rec'!$BT$4:$BT$93)</f>
        <v>108</v>
      </c>
      <c r="BA56" s="2048">
        <f t="shared" si="54"/>
        <v>108</v>
      </c>
      <c r="BB56" s="1815">
        <f>_xlfn.XLOOKUP($D56,'Sales Rec'!$E$4:$E$93,'Sales Rec'!$BW$4:$BW$93)</f>
        <v>371</v>
      </c>
      <c r="BC56" s="2048">
        <f t="shared" si="55"/>
        <v>263</v>
      </c>
      <c r="BD56" s="1815">
        <f>_xlfn.XLOOKUP($D56,'Sales Rec'!$E$4:$E$93,'Sales Rec'!$BZ$4:$BZ$93)</f>
        <v>572</v>
      </c>
      <c r="BE56" s="2048">
        <f t="shared" si="56"/>
        <v>201</v>
      </c>
      <c r="BF56" s="1815">
        <f>_xlfn.XLOOKUP($D56,'Sales Rec'!$E$4:$E$93,'Sales Rec'!$CH$4:$CH$93)</f>
        <v>731</v>
      </c>
      <c r="BG56" s="2048">
        <f t="shared" si="57"/>
        <v>159</v>
      </c>
      <c r="BH56" s="2050">
        <f t="shared" si="58"/>
        <v>-0.20895522388059701</v>
      </c>
      <c r="BI56" s="1815">
        <f>_xlfn.XLOOKUP($D56,'Sales Rec'!$E$4:$E$93,'Sales Rec'!$CK$4:$CK$93)</f>
        <v>1109</v>
      </c>
      <c r="BJ56" s="2048">
        <f t="shared" si="47"/>
        <v>378</v>
      </c>
      <c r="BK56" s="2050">
        <f t="shared" si="59"/>
        <v>1.3773584905660377</v>
      </c>
      <c r="BL56" s="1815">
        <f>_xlfn.XLOOKUP($D56,'Sales Rec'!$E$4:$E$93,'Sales Rec'!$CN$4:$CN$93)</f>
        <v>1490</v>
      </c>
      <c r="BM56" s="2048">
        <f t="shared" si="48"/>
        <v>381</v>
      </c>
      <c r="BN56" s="2050">
        <f t="shared" si="17"/>
        <v>7.9365079365079361E-3</v>
      </c>
      <c r="BO56" s="2069">
        <f t="shared" si="61"/>
        <v>0.6048951048951049</v>
      </c>
      <c r="BP56" s="1575">
        <f t="shared" si="60"/>
        <v>11</v>
      </c>
    </row>
    <row r="57" spans="1:68" ht="100" customHeight="1">
      <c r="A57" s="2146">
        <v>25</v>
      </c>
      <c r="B57" s="2176">
        <f>_xlfn.XLOOKUP(D57,MOPFRA!$R$7:$R$56,MOPFRA!$A$7:$A$56,"")</f>
        <v>5.6361761382487128</v>
      </c>
      <c r="C57" s="2164" t="str">
        <f>MOPFRA!Q31</f>
        <v>توليدي‌مهرام‌</v>
      </c>
      <c r="D57" s="2164" t="str">
        <f>MOPFRA!R31</f>
        <v>غمهرا</v>
      </c>
      <c r="E57" s="2170">
        <f>_xlfn.XLOOKUP(D57,MOPFRA!$R$7:$R$56,MOPFRA!$S$7:$S$56,"")</f>
        <v>12</v>
      </c>
      <c r="F57" s="2171">
        <f>_xlfn.XLOOKUP(D57,MOPFRA!$R$7:$R$56,MOPFRA!$AQ$7:$AQ$56,"")</f>
        <v>7000</v>
      </c>
      <c r="G57" s="2167">
        <v>4</v>
      </c>
      <c r="H57" s="2168">
        <f t="shared" si="49"/>
        <v>4</v>
      </c>
      <c r="I57" s="2147"/>
      <c r="J57" s="2148"/>
      <c r="K57" s="2149"/>
      <c r="L57" s="2150"/>
      <c r="M57" s="2147"/>
      <c r="N57" s="2148"/>
      <c r="O57" s="2149"/>
      <c r="P57" s="2151"/>
      <c r="Q57" s="2186">
        <f t="shared" si="50"/>
        <v>1607</v>
      </c>
      <c r="R57" s="2187"/>
      <c r="S57" s="2188">
        <f>_xlfn.XLOOKUP(D57,'Sales Rec'!$E$4:$E$93,'Sales Rec'!$CP$4:$CP$93,"")</f>
        <v>1.9059288537549408</v>
      </c>
      <c r="T57" s="2152" t="s">
        <v>234</v>
      </c>
      <c r="U57" s="2152" t="s">
        <v>234</v>
      </c>
      <c r="AH57" s="1815">
        <f>_xlfn.XLOOKUP($D57,'Sales Rec'!$E$4:$E$93,'Sales Rec'!$AS$4:$AS$93)</f>
        <v>262</v>
      </c>
      <c r="AI57" s="2048">
        <f t="shared" si="21"/>
        <v>262</v>
      </c>
      <c r="AJ57" s="1815">
        <f>_xlfn.XLOOKUP($D57,'Sales Rec'!$E$4:$E$93,'Sales Rec'!$AV$4:$AV$93)</f>
        <v>780</v>
      </c>
      <c r="AK57" s="2048">
        <f t="shared" si="22"/>
        <v>518</v>
      </c>
      <c r="AL57" s="1815">
        <f>_xlfn.XLOOKUP($D57,'Sales Rec'!$E$4:$E$93,'Sales Rec'!$AY$4:$AY$93)</f>
        <v>1265</v>
      </c>
      <c r="AM57" s="2048">
        <f t="shared" si="23"/>
        <v>485</v>
      </c>
      <c r="AN57" s="1815">
        <f>_xlfn.XLOOKUP($D57,'Sales Rec'!$E$4:$E$93,'Sales Rec'!$BB$4:$BB$93)</f>
        <v>1732</v>
      </c>
      <c r="AO57" s="2048">
        <f t="shared" si="24"/>
        <v>467</v>
      </c>
      <c r="AP57" s="1815">
        <f>_xlfn.XLOOKUP($D57,'Sales Rec'!$E$4:$E$93,'Sales Rec'!$BE$4:$BE$93)</f>
        <v>2192</v>
      </c>
      <c r="AQ57" s="2048">
        <f t="shared" si="25"/>
        <v>460</v>
      </c>
      <c r="AR57" s="1815">
        <f>_xlfn.XLOOKUP(D57,'Sales Rec'!$E$4:$E$93,'Sales Rec'!$BH$4:$BH$93)</f>
        <v>2729</v>
      </c>
      <c r="AS57" s="2048">
        <f t="shared" si="41"/>
        <v>537</v>
      </c>
      <c r="AT57" s="1815">
        <f>_xlfn.XLOOKUP(D57,'Sales Rec'!$E$4:$E$93,'Sales Rec'!$BK$4:$BK$93)</f>
        <v>3321</v>
      </c>
      <c r="AU57" s="2048">
        <f t="shared" si="51"/>
        <v>592</v>
      </c>
      <c r="AV57" s="1815">
        <f>_xlfn.XLOOKUP($D57,'Sales Rec'!$E$4:$E$93,'Sales Rec'!$BN$4:$BN$93)</f>
        <v>3855</v>
      </c>
      <c r="AW57" s="2048">
        <f t="shared" si="52"/>
        <v>534</v>
      </c>
      <c r="AX57" s="1815">
        <f>_xlfn.XLOOKUP($D57,'Sales Rec'!$E$4:$E$93,'Sales Rec'!$BQ$4:$BQ$93)</f>
        <v>4215</v>
      </c>
      <c r="AY57" s="2048">
        <f t="shared" si="53"/>
        <v>360</v>
      </c>
      <c r="AZ57" s="1815">
        <f>_xlfn.XLOOKUP($D57,'Sales Rec'!$E$4:$E$93,'Sales Rec'!$BT$4:$BT$93)</f>
        <v>4824</v>
      </c>
      <c r="BA57" s="2048">
        <f t="shared" si="54"/>
        <v>609</v>
      </c>
      <c r="BB57" s="1815">
        <f>_xlfn.XLOOKUP($D57,'Sales Rec'!$E$4:$E$93,'Sales Rec'!$BW$4:$BW$93)</f>
        <v>5944</v>
      </c>
      <c r="BC57" s="2048">
        <f t="shared" si="55"/>
        <v>1120</v>
      </c>
      <c r="BD57" s="1815">
        <f>_xlfn.XLOOKUP($D57,'Sales Rec'!$E$4:$E$93,'Sales Rec'!$BZ$4:$BZ$93)</f>
        <v>7000</v>
      </c>
      <c r="BE57" s="2048">
        <f t="shared" si="56"/>
        <v>1056</v>
      </c>
      <c r="BF57" s="1815">
        <f>_xlfn.XLOOKUP($D57,'Sales Rec'!$E$4:$E$93,'Sales Rec'!$CH$4:$CH$93)</f>
        <v>693</v>
      </c>
      <c r="BG57" s="2048">
        <f t="shared" si="57"/>
        <v>693</v>
      </c>
      <c r="BH57" s="2050">
        <f t="shared" si="58"/>
        <v>-0.34375</v>
      </c>
      <c r="BI57" s="1815">
        <f>_xlfn.XLOOKUP($D57,'Sales Rec'!$E$4:$E$93,'Sales Rec'!$CK$4:$CK$93)</f>
        <v>2069</v>
      </c>
      <c r="BJ57" s="2048">
        <f t="shared" si="47"/>
        <v>1376</v>
      </c>
      <c r="BK57" s="2050">
        <f t="shared" si="59"/>
        <v>0.98556998556998554</v>
      </c>
      <c r="BL57" s="1815">
        <f>_xlfn.XLOOKUP($D57,'Sales Rec'!$E$4:$E$93,'Sales Rec'!$CN$4:$CN$93)</f>
        <v>3676</v>
      </c>
      <c r="BM57" s="2048">
        <f t="shared" si="48"/>
        <v>1607</v>
      </c>
      <c r="BN57" s="2050">
        <f t="shared" si="17"/>
        <v>0.16787790697674418</v>
      </c>
      <c r="BO57" s="2069">
        <f t="shared" si="61"/>
        <v>0.31992818671454221</v>
      </c>
      <c r="BP57" s="1575">
        <f t="shared" si="60"/>
        <v>19</v>
      </c>
    </row>
    <row r="58" spans="1:68" ht="100" customHeight="1">
      <c r="A58" s="2146">
        <v>26</v>
      </c>
      <c r="B58" s="2176">
        <f>_xlfn.XLOOKUP(D58,MOPFRA!$R$7:$R$56,MOPFRA!$A$7:$A$56,"")</f>
        <v>6.6054331585631454</v>
      </c>
      <c r="C58" s="2164" t="str">
        <f>MOPFRA!Q32</f>
        <v>نفت‌ بهران‌</v>
      </c>
      <c r="D58" s="2164" t="str">
        <f>MOPFRA!R32</f>
        <v>شبهرن</v>
      </c>
      <c r="E58" s="2170">
        <f>_xlfn.XLOOKUP(D58,MOPFRA!$R$7:$R$56,MOPFRA!$S$7:$S$56,"")</f>
        <v>12</v>
      </c>
      <c r="F58" s="2171">
        <f>_xlfn.XLOOKUP(D58,MOPFRA!$R$7:$R$56,MOPFRA!$AQ$7:$AQ$56,"")</f>
        <v>44617</v>
      </c>
      <c r="G58" s="2167">
        <v>4</v>
      </c>
      <c r="H58" s="2168">
        <f t="shared" si="49"/>
        <v>4</v>
      </c>
      <c r="I58" s="2147"/>
      <c r="J58" s="2148"/>
      <c r="K58" s="2149"/>
      <c r="L58" s="2150"/>
      <c r="M58" s="2147"/>
      <c r="N58" s="2148"/>
      <c r="O58" s="2149"/>
      <c r="P58" s="2151"/>
      <c r="Q58" s="2186">
        <f t="shared" si="50"/>
        <v>8602</v>
      </c>
      <c r="R58" s="2187"/>
      <c r="S58" s="2188">
        <f>_xlfn.XLOOKUP(D58,'Sales Rec'!$E$4:$E$93,'Sales Rec'!$CP$4:$CP$93,"")</f>
        <v>1.1644712081294692</v>
      </c>
      <c r="T58" s="2152" t="s">
        <v>234</v>
      </c>
      <c r="U58" s="2152" t="s">
        <v>234</v>
      </c>
      <c r="AH58" s="1815">
        <f>_xlfn.XLOOKUP($D58,'Sales Rec'!$E$4:$E$93,'Sales Rec'!$AS$4:$AS$93)</f>
        <v>1681</v>
      </c>
      <c r="AI58" s="2048">
        <f t="shared" si="21"/>
        <v>1681</v>
      </c>
      <c r="AJ58" s="1815">
        <f>_xlfn.XLOOKUP($D58,'Sales Rec'!$E$4:$E$93,'Sales Rec'!$AV$4:$AV$93)</f>
        <v>5111</v>
      </c>
      <c r="AK58" s="2048">
        <f t="shared" si="22"/>
        <v>3430</v>
      </c>
      <c r="AL58" s="1815">
        <f>_xlfn.XLOOKUP($D58,'Sales Rec'!$E$4:$E$93,'Sales Rec'!$AY$4:$AY$93)</f>
        <v>7971</v>
      </c>
      <c r="AM58" s="2048">
        <f t="shared" si="23"/>
        <v>2860</v>
      </c>
      <c r="AN58" s="1815">
        <f>_xlfn.XLOOKUP($D58,'Sales Rec'!$E$4:$E$93,'Sales Rec'!$BB$4:$BB$93)</f>
        <v>11897</v>
      </c>
      <c r="AO58" s="2048">
        <f t="shared" si="24"/>
        <v>3926</v>
      </c>
      <c r="AP58" s="1815">
        <f>_xlfn.XLOOKUP($D58,'Sales Rec'!$E$4:$E$93,'Sales Rec'!$BE$4:$BE$93)</f>
        <v>15270</v>
      </c>
      <c r="AQ58" s="2048">
        <f t="shared" si="25"/>
        <v>3373</v>
      </c>
      <c r="AR58" s="1815">
        <f>_xlfn.XLOOKUP(D58,'Sales Rec'!$E$4:$E$93,'Sales Rec'!$BH$4:$BH$93)</f>
        <v>19787</v>
      </c>
      <c r="AS58" s="2048">
        <f t="shared" si="41"/>
        <v>4517</v>
      </c>
      <c r="AT58" s="1815">
        <f>_xlfn.XLOOKUP(D58,'Sales Rec'!$E$4:$E$93,'Sales Rec'!$BK$4:$BK$93)</f>
        <v>23767</v>
      </c>
      <c r="AU58" s="2048">
        <f t="shared" si="51"/>
        <v>3980</v>
      </c>
      <c r="AV58" s="1815">
        <f>_xlfn.XLOOKUP($D58,'Sales Rec'!$E$4:$E$93,'Sales Rec'!$BN$4:$BN$93)</f>
        <v>27417</v>
      </c>
      <c r="AW58" s="2048">
        <f t="shared" si="52"/>
        <v>3650</v>
      </c>
      <c r="AX58" s="1815">
        <f>_xlfn.XLOOKUP($D58,'Sales Rec'!$E$4:$E$93,'Sales Rec'!$BQ$4:$BQ$93)</f>
        <v>31286</v>
      </c>
      <c r="AY58" s="2048">
        <f t="shared" si="53"/>
        <v>3869</v>
      </c>
      <c r="AZ58" s="1815">
        <f>_xlfn.XLOOKUP($D58,'Sales Rec'!$E$4:$E$93,'Sales Rec'!$BT$4:$BT$93)</f>
        <v>35001</v>
      </c>
      <c r="BA58" s="2048">
        <f t="shared" si="54"/>
        <v>3715</v>
      </c>
      <c r="BB58" s="1815">
        <f>_xlfn.XLOOKUP($D58,'Sales Rec'!$E$4:$E$93,'Sales Rec'!$BW$4:$BW$93)</f>
        <v>41177</v>
      </c>
      <c r="BC58" s="2048">
        <f t="shared" si="55"/>
        <v>6176</v>
      </c>
      <c r="BD58" s="1815">
        <f>_xlfn.XLOOKUP($D58,'Sales Rec'!$E$4:$E$93,'Sales Rec'!$BZ$4:$BZ$93)</f>
        <v>44054</v>
      </c>
      <c r="BE58" s="2048">
        <f t="shared" si="56"/>
        <v>2877</v>
      </c>
      <c r="BF58" s="1815">
        <f>_xlfn.XLOOKUP($D58,'Sales Rec'!$E$4:$E$93,'Sales Rec'!$CH$4:$CH$93)</f>
        <v>1984</v>
      </c>
      <c r="BG58" s="2048">
        <f t="shared" si="57"/>
        <v>1984</v>
      </c>
      <c r="BH58" s="2050">
        <f t="shared" si="58"/>
        <v>-0.31039277024678485</v>
      </c>
      <c r="BI58" s="1815">
        <f>_xlfn.XLOOKUP($D58,'Sales Rec'!$E$4:$E$93,'Sales Rec'!$CK$4:$CK$93)</f>
        <v>8651</v>
      </c>
      <c r="BJ58" s="2048">
        <f t="shared" si="47"/>
        <v>6667</v>
      </c>
      <c r="BK58" s="2050">
        <f t="shared" si="59"/>
        <v>2.360383064516129</v>
      </c>
      <c r="BL58" s="1815">
        <f>_xlfn.XLOOKUP($D58,'Sales Rec'!$E$4:$E$93,'Sales Rec'!$CN$4:$CN$93)</f>
        <v>17253</v>
      </c>
      <c r="BM58" s="2048">
        <f t="shared" si="48"/>
        <v>8602</v>
      </c>
      <c r="BN58" s="2050">
        <f t="shared" si="17"/>
        <v>0.2902354882255887</v>
      </c>
      <c r="BO58" s="2069">
        <f t="shared" si="61"/>
        <v>0.3512687969924812</v>
      </c>
      <c r="BP58" s="1575">
        <f t="shared" si="60"/>
        <v>17</v>
      </c>
    </row>
    <row r="59" spans="1:68" ht="100" customHeight="1">
      <c r="A59" s="2146">
        <v>28</v>
      </c>
      <c r="B59" s="2176">
        <f>_xlfn.XLOOKUP(D59,MOPFRA!$R$7:$R$56,MOPFRA!$A$7:$A$56,"")</f>
        <v>3.7897457124291933</v>
      </c>
      <c r="C59" s="2164" t="str">
        <f>MOPFRA!Q33</f>
        <v>پتروشيمي پرديس</v>
      </c>
      <c r="D59" s="2164" t="str">
        <f>MOPFRA!R33</f>
        <v>شپديس</v>
      </c>
      <c r="E59" s="2170">
        <f>_xlfn.XLOOKUP(D59,MOPFRA!$R$7:$R$56,MOPFRA!$S$7:$S$56,"")</f>
        <v>6</v>
      </c>
      <c r="F59" s="2171">
        <f>_xlfn.XLOOKUP(D59,MOPFRA!$R$7:$R$56,MOPFRA!$AQ$7:$AQ$56,"")</f>
        <v>60047</v>
      </c>
      <c r="G59" s="2167">
        <v>4</v>
      </c>
      <c r="H59" s="2168">
        <f t="shared" si="49"/>
        <v>10</v>
      </c>
      <c r="I59" s="2147"/>
      <c r="J59" s="2148"/>
      <c r="K59" s="2149"/>
      <c r="L59" s="2150"/>
      <c r="M59" s="2147"/>
      <c r="N59" s="2148"/>
      <c r="O59" s="2149"/>
      <c r="P59" s="2151"/>
      <c r="Q59" s="2186">
        <f t="shared" si="50"/>
        <v>3910</v>
      </c>
      <c r="R59" s="2187"/>
      <c r="S59" s="2188">
        <f>_xlfn.XLOOKUP(D59,'Sales Rec'!$E$4:$E$93,'Sales Rec'!$CP$4:$CP$93,"")</f>
        <v>0.72316398915084501</v>
      </c>
      <c r="T59" s="2152" t="s">
        <v>234</v>
      </c>
      <c r="U59" s="2152" t="s">
        <v>234</v>
      </c>
      <c r="AH59" s="1815">
        <f>_xlfn.XLOOKUP($D59,'Sales Rec'!$E$4:$E$93,'Sales Rec'!$AS$4:$AS$93)</f>
        <v>27429</v>
      </c>
      <c r="AI59" s="2048">
        <f t="shared" si="21"/>
        <v>27429</v>
      </c>
      <c r="AJ59" s="1815">
        <f>_xlfn.XLOOKUP($D59,'Sales Rec'!$E$4:$E$93,'Sales Rec'!$AV$4:$AV$93)</f>
        <v>34670</v>
      </c>
      <c r="AK59" s="2048">
        <f t="shared" si="22"/>
        <v>7241</v>
      </c>
      <c r="AL59" s="1815">
        <f>_xlfn.XLOOKUP($D59,'Sales Rec'!$E$4:$E$93,'Sales Rec'!$AY$4:$AY$93)</f>
        <v>38344</v>
      </c>
      <c r="AM59" s="2048">
        <f t="shared" si="23"/>
        <v>3674</v>
      </c>
      <c r="AN59" s="1815">
        <f>_xlfn.XLOOKUP($D59,'Sales Rec'!$E$4:$E$93,'Sales Rec'!$BB$4:$BB$93)</f>
        <v>44361</v>
      </c>
      <c r="AO59" s="2048">
        <f t="shared" si="24"/>
        <v>6017</v>
      </c>
      <c r="AP59" s="1815">
        <f>_xlfn.XLOOKUP($D59,'Sales Rec'!$E$4:$E$93,'Sales Rec'!$BE$4:$BE$93)</f>
        <v>53424</v>
      </c>
      <c r="AQ59" s="2048">
        <f t="shared" si="25"/>
        <v>9063</v>
      </c>
      <c r="AR59" s="1815">
        <f>_xlfn.XLOOKUP(D59,'Sales Rec'!$E$4:$E$93,'Sales Rec'!$BH$4:$BH$93)</f>
        <v>60115</v>
      </c>
      <c r="AS59" s="2048">
        <f t="shared" si="41"/>
        <v>6691</v>
      </c>
      <c r="AT59" s="1815">
        <f>_xlfn.XLOOKUP(D59,'Sales Rec'!$E$4:$E$93,'Sales Rec'!$BK$4:$BK$93)</f>
        <v>7988</v>
      </c>
      <c r="AU59" s="2048">
        <f t="shared" si="51"/>
        <v>7988</v>
      </c>
      <c r="AV59" s="1815">
        <f>_xlfn.XLOOKUP($D59,'Sales Rec'!$E$4:$E$93,'Sales Rec'!$BN$4:$BN$93)</f>
        <v>16381</v>
      </c>
      <c r="AW59" s="2048">
        <f t="shared" si="52"/>
        <v>8393</v>
      </c>
      <c r="AX59" s="1815">
        <f>_xlfn.XLOOKUP($D59,'Sales Rec'!$E$4:$E$93,'Sales Rec'!$BQ$4:$BQ$93)</f>
        <v>24585</v>
      </c>
      <c r="AY59" s="2048">
        <f t="shared" si="53"/>
        <v>8204</v>
      </c>
      <c r="AZ59" s="1815">
        <f>_xlfn.XLOOKUP($D59,'Sales Rec'!$E$4:$E$93,'Sales Rec'!$BT$4:$BT$93)</f>
        <v>33659</v>
      </c>
      <c r="BA59" s="2048">
        <f t="shared" si="54"/>
        <v>9074</v>
      </c>
      <c r="BB59" s="1815">
        <f>_xlfn.XLOOKUP($D59,'Sales Rec'!$E$4:$E$93,'Sales Rec'!$BW$4:$BW$93)</f>
        <v>39912</v>
      </c>
      <c r="BC59" s="2048">
        <f t="shared" si="55"/>
        <v>6253</v>
      </c>
      <c r="BD59" s="1815">
        <f>_xlfn.XLOOKUP($D59,'Sales Rec'!$E$4:$E$93,'Sales Rec'!$BZ$4:$BZ$93)</f>
        <v>56586</v>
      </c>
      <c r="BE59" s="2048">
        <f t="shared" si="56"/>
        <v>16674</v>
      </c>
      <c r="BF59" s="1815">
        <f>_xlfn.XLOOKUP($D59,'Sales Rec'!$E$4:$E$93,'Sales Rec'!$CH$4:$CH$93)</f>
        <v>61637</v>
      </c>
      <c r="BG59" s="2048">
        <f t="shared" si="57"/>
        <v>5051</v>
      </c>
      <c r="BH59" s="2050">
        <f t="shared" si="58"/>
        <v>-0.6970732877533885</v>
      </c>
      <c r="BI59" s="1815">
        <f>_xlfn.XLOOKUP($D59,'Sales Rec'!$E$4:$E$93,'Sales Rec'!$CK$4:$CK$93)</f>
        <v>62163</v>
      </c>
      <c r="BJ59" s="2048">
        <f t="shared" si="47"/>
        <v>526</v>
      </c>
      <c r="BK59" s="2050">
        <f t="shared" si="59"/>
        <v>-0.89586220550386064</v>
      </c>
      <c r="BL59" s="1815">
        <f>_xlfn.XLOOKUP($D59,'Sales Rec'!$E$4:$E$93,'Sales Rec'!$CN$4:$CN$93)</f>
        <v>66073</v>
      </c>
      <c r="BM59" s="2048">
        <f t="shared" si="48"/>
        <v>3910</v>
      </c>
      <c r="BN59" s="2050">
        <f t="shared" si="17"/>
        <v>6.4334600760456278</v>
      </c>
      <c r="BO59" s="2069">
        <f t="shared" si="61"/>
        <v>-0.70354051435892628</v>
      </c>
      <c r="BP59" s="1575">
        <f t="shared" si="60"/>
        <v>48</v>
      </c>
    </row>
    <row r="60" spans="1:68" ht="100" customHeight="1">
      <c r="A60" s="2146">
        <v>29</v>
      </c>
      <c r="B60" s="2176">
        <f>_xlfn.XLOOKUP(D60,MOPFRA!$R$7:$R$56,MOPFRA!$A$7:$A$56,"")</f>
        <v>2.361815286894287</v>
      </c>
      <c r="C60" s="2164" t="str">
        <f>MOPFRA!Q34</f>
        <v>صنعتي زر ماكارون</v>
      </c>
      <c r="D60" s="2164" t="str">
        <f>MOPFRA!R34</f>
        <v>غزر</v>
      </c>
      <c r="E60" s="2170">
        <f>_xlfn.XLOOKUP(D60,MOPFRA!$R$7:$R$56,MOPFRA!$S$7:$S$56,"")</f>
        <v>12</v>
      </c>
      <c r="F60" s="2171">
        <f>_xlfn.XLOOKUP(D60,MOPFRA!$R$7:$R$56,MOPFRA!$AQ$7:$AQ$56,"")</f>
        <v>11147</v>
      </c>
      <c r="G60" s="2167">
        <v>4</v>
      </c>
      <c r="H60" s="2168">
        <f t="shared" si="49"/>
        <v>4</v>
      </c>
      <c r="I60" s="2147"/>
      <c r="J60" s="2148"/>
      <c r="K60" s="2149"/>
      <c r="L60" s="2150"/>
      <c r="M60" s="2147"/>
      <c r="N60" s="2148"/>
      <c r="O60" s="2149"/>
      <c r="P60" s="2151"/>
      <c r="Q60" s="2186">
        <f t="shared" si="50"/>
        <v>1368</v>
      </c>
      <c r="R60" s="2187"/>
      <c r="S60" s="2188">
        <f>_xlfn.XLOOKUP(D60,'Sales Rec'!$E$4:$E$93,'Sales Rec'!$CP$4:$CP$93,"")</f>
        <v>0.5645526613816535</v>
      </c>
      <c r="T60" s="2152" t="s">
        <v>234</v>
      </c>
      <c r="U60" s="2152" t="s">
        <v>234</v>
      </c>
      <c r="AH60" s="1815">
        <f>_xlfn.XLOOKUP($D60,'Sales Rec'!$E$4:$E$93,'Sales Rec'!$AS$4:$AS$93)</f>
        <v>383</v>
      </c>
      <c r="AI60" s="2048">
        <f t="shared" si="21"/>
        <v>383</v>
      </c>
      <c r="AJ60" s="1815">
        <f>_xlfn.XLOOKUP($D60,'Sales Rec'!$E$4:$E$93,'Sales Rec'!$AV$4:$AV$93)</f>
        <v>930</v>
      </c>
      <c r="AK60" s="2048">
        <f t="shared" si="22"/>
        <v>547</v>
      </c>
      <c r="AL60" s="1815">
        <f>_xlfn.XLOOKUP($D60,'Sales Rec'!$E$4:$E$93,'Sales Rec'!$AY$4:$AY$93)</f>
        <v>1766</v>
      </c>
      <c r="AM60" s="2048">
        <f t="shared" si="23"/>
        <v>836</v>
      </c>
      <c r="AN60" s="1815">
        <f>_xlfn.XLOOKUP($D60,'Sales Rec'!$E$4:$E$93,'Sales Rec'!$BB$4:$BB$93)</f>
        <v>2808</v>
      </c>
      <c r="AO60" s="2048">
        <f t="shared" si="24"/>
        <v>1042</v>
      </c>
      <c r="AP60" s="1815">
        <f>_xlfn.XLOOKUP($D60,'Sales Rec'!$E$4:$E$93,'Sales Rec'!$BE$4:$BE$93)</f>
        <v>3613</v>
      </c>
      <c r="AQ60" s="2048">
        <f t="shared" si="25"/>
        <v>805</v>
      </c>
      <c r="AR60" s="1815">
        <f>_xlfn.XLOOKUP(D60,'Sales Rec'!$E$4:$E$93,'Sales Rec'!$BH$4:$BH$93)</f>
        <v>4590</v>
      </c>
      <c r="AS60" s="2048">
        <f t="shared" si="41"/>
        <v>977</v>
      </c>
      <c r="AT60" s="1815">
        <f>_xlfn.XLOOKUP(D60,'Sales Rec'!$E$4:$E$93,'Sales Rec'!$BK$4:$BK$93)</f>
        <v>5702</v>
      </c>
      <c r="AU60" s="2048">
        <f t="shared" si="51"/>
        <v>1112</v>
      </c>
      <c r="AV60" s="1815">
        <f>_xlfn.XLOOKUP($D60,'Sales Rec'!$E$4:$E$93,'Sales Rec'!$BN$4:$BN$93)</f>
        <v>6594</v>
      </c>
      <c r="AW60" s="2048">
        <f t="shared" si="52"/>
        <v>892</v>
      </c>
      <c r="AX60" s="1815">
        <f>_xlfn.XLOOKUP($D60,'Sales Rec'!$E$4:$E$93,'Sales Rec'!$BQ$4:$BQ$93)</f>
        <v>7550</v>
      </c>
      <c r="AY60" s="2048">
        <f t="shared" si="53"/>
        <v>956</v>
      </c>
      <c r="AZ60" s="1815">
        <f>_xlfn.XLOOKUP($D60,'Sales Rec'!$E$4:$E$93,'Sales Rec'!$BT$4:$BT$93)</f>
        <v>8722</v>
      </c>
      <c r="BA60" s="2048">
        <f t="shared" si="54"/>
        <v>1172</v>
      </c>
      <c r="BB60" s="1815">
        <f>_xlfn.XLOOKUP($D60,'Sales Rec'!$E$4:$E$93,'Sales Rec'!$BW$4:$BW$93)</f>
        <v>10236</v>
      </c>
      <c r="BC60" s="2048">
        <f t="shared" si="55"/>
        <v>1514</v>
      </c>
      <c r="BD60" s="1815">
        <f>_xlfn.XLOOKUP($D60,'Sales Rec'!$E$4:$E$93,'Sales Rec'!$BZ$4:$BZ$93)</f>
        <v>11147</v>
      </c>
      <c r="BE60" s="2048">
        <f t="shared" si="56"/>
        <v>911</v>
      </c>
      <c r="BF60" s="1815">
        <f>_xlfn.XLOOKUP($D60,'Sales Rec'!$E$4:$E$93,'Sales Rec'!$CH$4:$CH$93)</f>
        <v>382</v>
      </c>
      <c r="BG60" s="2048">
        <f t="shared" si="57"/>
        <v>382</v>
      </c>
      <c r="BH60" s="2050">
        <f t="shared" si="58"/>
        <v>-0.58068057080131719</v>
      </c>
      <c r="BI60" s="1815">
        <f>_xlfn.XLOOKUP($D60,'Sales Rec'!$E$4:$E$93,'Sales Rec'!$CK$4:$CK$93)</f>
        <v>1395</v>
      </c>
      <c r="BJ60" s="2048">
        <f t="shared" si="47"/>
        <v>1013</v>
      </c>
      <c r="BK60" s="2050">
        <f t="shared" si="59"/>
        <v>1.6518324607329844</v>
      </c>
      <c r="BL60" s="1815">
        <f>_xlfn.XLOOKUP($D60,'Sales Rec'!$E$4:$E$93,'Sales Rec'!$CN$4:$CN$93)</f>
        <v>2763</v>
      </c>
      <c r="BM60" s="2048">
        <f t="shared" si="48"/>
        <v>1368</v>
      </c>
      <c r="BN60" s="2050">
        <f t="shared" si="17"/>
        <v>0.3504442250740375</v>
      </c>
      <c r="BO60" s="2069">
        <f t="shared" si="61"/>
        <v>-0.23185988323603002</v>
      </c>
      <c r="BP60" s="1575">
        <f t="shared" si="60"/>
        <v>41</v>
      </c>
    </row>
    <row r="61" spans="1:68" ht="100" customHeight="1">
      <c r="A61" s="2146">
        <v>30</v>
      </c>
      <c r="B61" s="2176">
        <f>_xlfn.XLOOKUP(D61,MOPFRA!$R$7:$R$56,MOPFRA!$A$7:$A$56,"")</f>
        <v>3.3763719181679717</v>
      </c>
      <c r="C61" s="2164" t="str">
        <f>MOPFRA!Q35</f>
        <v>توليدمواداوليه‌داروپخش‌</v>
      </c>
      <c r="D61" s="2164" t="str">
        <f>MOPFRA!R35</f>
        <v>دتماد</v>
      </c>
      <c r="E61" s="2170">
        <f>_xlfn.XLOOKUP(D61,MOPFRA!$R$7:$R$56,MOPFRA!$S$7:$S$56,"")</f>
        <v>12</v>
      </c>
      <c r="F61" s="2171">
        <f>_xlfn.XLOOKUP(D61,MOPFRA!$R$7:$R$56,MOPFRA!$AQ$7:$AQ$56,"")</f>
        <v>3120</v>
      </c>
      <c r="G61" s="2167">
        <v>4</v>
      </c>
      <c r="H61" s="2168">
        <f t="shared" si="49"/>
        <v>4</v>
      </c>
      <c r="I61" s="2147"/>
      <c r="J61" s="2148"/>
      <c r="K61" s="2149"/>
      <c r="L61" s="2150"/>
      <c r="M61" s="2147"/>
      <c r="N61" s="2148"/>
      <c r="O61" s="2149"/>
      <c r="P61" s="2151"/>
      <c r="Q61" s="2186">
        <f t="shared" si="50"/>
        <v>709</v>
      </c>
      <c r="R61" s="2187"/>
      <c r="S61" s="2188">
        <f>_xlfn.XLOOKUP(D61,'Sales Rec'!$E$4:$E$93,'Sales Rec'!$CP$4:$CP$93,"")</f>
        <v>1.353731343283582</v>
      </c>
      <c r="T61" s="2152" t="s">
        <v>234</v>
      </c>
      <c r="U61" s="2152" t="s">
        <v>234</v>
      </c>
      <c r="AH61" s="1815">
        <f>_xlfn.XLOOKUP($D61,'Sales Rec'!$E$4:$E$93,'Sales Rec'!$AS$4:$AS$93)</f>
        <v>206</v>
      </c>
      <c r="AI61" s="2048">
        <f t="shared" si="21"/>
        <v>206</v>
      </c>
      <c r="AJ61" s="1815">
        <f>_xlfn.XLOOKUP($D61,'Sales Rec'!$E$4:$E$93,'Sales Rec'!$AV$4:$AV$93)</f>
        <v>429</v>
      </c>
      <c r="AK61" s="2048">
        <f t="shared" si="22"/>
        <v>223</v>
      </c>
      <c r="AL61" s="1815">
        <f>_xlfn.XLOOKUP($D61,'Sales Rec'!$E$4:$E$93,'Sales Rec'!$AY$4:$AY$93)</f>
        <v>670</v>
      </c>
      <c r="AM61" s="2048">
        <f t="shared" si="23"/>
        <v>241</v>
      </c>
      <c r="AN61" s="1815">
        <f>_xlfn.XLOOKUP($D61,'Sales Rec'!$E$4:$E$93,'Sales Rec'!$BB$4:$BB$93)</f>
        <v>936</v>
      </c>
      <c r="AO61" s="2048">
        <f t="shared" si="24"/>
        <v>266</v>
      </c>
      <c r="AP61" s="1815">
        <f>_xlfn.XLOOKUP($D61,'Sales Rec'!$E$4:$E$93,'Sales Rec'!$BE$4:$BE$93)</f>
        <v>1200</v>
      </c>
      <c r="AQ61" s="2048">
        <f t="shared" si="25"/>
        <v>264</v>
      </c>
      <c r="AR61" s="1815">
        <f>_xlfn.XLOOKUP(D61,'Sales Rec'!$E$4:$E$93,'Sales Rec'!$BH$4:$BH$93)</f>
        <v>1502</v>
      </c>
      <c r="AS61" s="2048">
        <f t="shared" si="41"/>
        <v>302</v>
      </c>
      <c r="AT61" s="1815">
        <f>_xlfn.XLOOKUP(D61,'Sales Rec'!$E$4:$E$93,'Sales Rec'!$BK$4:$BK$93)</f>
        <v>1824</v>
      </c>
      <c r="AU61" s="2048">
        <f t="shared" si="51"/>
        <v>322</v>
      </c>
      <c r="AV61" s="1815">
        <f>_xlfn.XLOOKUP($D61,'Sales Rec'!$E$4:$E$93,'Sales Rec'!$BN$4:$BN$93)</f>
        <v>2165</v>
      </c>
      <c r="AW61" s="2048">
        <f t="shared" si="52"/>
        <v>341</v>
      </c>
      <c r="AX61" s="1815">
        <f>_xlfn.XLOOKUP($D61,'Sales Rec'!$E$4:$E$93,'Sales Rec'!$BQ$4:$BQ$93)</f>
        <v>2515</v>
      </c>
      <c r="AY61" s="2048">
        <f t="shared" si="53"/>
        <v>350</v>
      </c>
      <c r="AZ61" s="1815">
        <f>_xlfn.XLOOKUP($D61,'Sales Rec'!$E$4:$E$93,'Sales Rec'!$BT$4:$BT$93)</f>
        <v>2815</v>
      </c>
      <c r="BA61" s="2048">
        <f t="shared" si="54"/>
        <v>300</v>
      </c>
      <c r="BB61" s="1815">
        <f>_xlfn.XLOOKUP($D61,'Sales Rec'!$E$4:$E$93,'Sales Rec'!$BW$4:$BW$93)</f>
        <v>3019</v>
      </c>
      <c r="BC61" s="2048">
        <f t="shared" si="55"/>
        <v>204</v>
      </c>
      <c r="BD61" s="1815">
        <f>_xlfn.XLOOKUP($D61,'Sales Rec'!$E$4:$E$93,'Sales Rec'!$BZ$4:$BZ$93)</f>
        <v>3120</v>
      </c>
      <c r="BE61" s="2048">
        <f t="shared" si="56"/>
        <v>101</v>
      </c>
      <c r="BF61" s="1815">
        <f>_xlfn.XLOOKUP($D61,'Sales Rec'!$E$4:$E$93,'Sales Rec'!$CH$4:$CH$93)</f>
        <v>215</v>
      </c>
      <c r="BG61" s="2048">
        <f t="shared" si="57"/>
        <v>215</v>
      </c>
      <c r="BH61" s="2050">
        <f t="shared" si="58"/>
        <v>1.1287128712871286</v>
      </c>
      <c r="BI61" s="1815">
        <f>_xlfn.XLOOKUP($D61,'Sales Rec'!$E$4:$E$93,'Sales Rec'!$CK$4:$CK$93)</f>
        <v>868</v>
      </c>
      <c r="BJ61" s="2048">
        <f t="shared" si="47"/>
        <v>653</v>
      </c>
      <c r="BK61" s="2050">
        <f t="shared" si="59"/>
        <v>2.0372093023255813</v>
      </c>
      <c r="BL61" s="1815">
        <f>_xlfn.XLOOKUP($D61,'Sales Rec'!$E$4:$E$93,'Sales Rec'!$CN$4:$CN$93)</f>
        <v>1577</v>
      </c>
      <c r="BM61" s="2048">
        <f t="shared" si="48"/>
        <v>709</v>
      </c>
      <c r="BN61" s="2050">
        <f t="shared" si="17"/>
        <v>8.575803981623277E-2</v>
      </c>
      <c r="BO61" s="2069">
        <f t="shared" si="61"/>
        <v>1.6066115702479338</v>
      </c>
      <c r="BP61" s="1575">
        <f t="shared" si="60"/>
        <v>3</v>
      </c>
    </row>
    <row r="62" spans="1:68" ht="100" customHeight="1">
      <c r="A62" s="2146">
        <v>31</v>
      </c>
      <c r="B62" s="2176">
        <f>_xlfn.XLOOKUP(D62,MOPFRA!$R$7:$R$56,MOPFRA!$A$7:$A$56,"")</f>
        <v>1.0347963292789695</v>
      </c>
      <c r="C62" s="2164" t="str">
        <f>MOPFRA!Q36</f>
        <v>پارس فولاد سبزوار</v>
      </c>
      <c r="D62" s="2164" t="str">
        <f>MOPFRA!R36</f>
        <v>فسبزوار</v>
      </c>
      <c r="E62" s="2170">
        <f>_xlfn.XLOOKUP(D62,MOPFRA!$R$7:$R$56,MOPFRA!$S$7:$S$56,"")</f>
        <v>9</v>
      </c>
      <c r="F62" s="2171">
        <f>_xlfn.XLOOKUP(D62,MOPFRA!$R$7:$R$56,MOPFRA!$AQ$7:$AQ$56,"")</f>
        <v>14130</v>
      </c>
      <c r="G62" s="2167">
        <v>4</v>
      </c>
      <c r="H62" s="2168">
        <f t="shared" si="49"/>
        <v>7</v>
      </c>
      <c r="I62" s="2147"/>
      <c r="J62" s="2148"/>
      <c r="K62" s="2149"/>
      <c r="L62" s="2150"/>
      <c r="M62" s="2147"/>
      <c r="N62" s="2148"/>
      <c r="O62" s="2149"/>
      <c r="P62" s="2151"/>
      <c r="Q62" s="2186">
        <f t="shared" si="50"/>
        <v>3162</v>
      </c>
      <c r="R62" s="2187"/>
      <c r="S62" s="2188">
        <f>_xlfn.XLOOKUP(D62,'Sales Rec'!$E$4:$E$93,'Sales Rec'!$CP$4:$CP$93,"")</f>
        <v>0.83283358320839584</v>
      </c>
      <c r="T62" s="2152" t="s">
        <v>234</v>
      </c>
      <c r="U62" s="2152" t="s">
        <v>234</v>
      </c>
      <c r="AH62" s="1815">
        <f>_xlfn.XLOOKUP($D62,'Sales Rec'!$E$4:$E$93,'Sales Rec'!$AS$4:$AS$93)</f>
        <v>3724</v>
      </c>
      <c r="AI62" s="2048">
        <f t="shared" si="21"/>
        <v>3724</v>
      </c>
      <c r="AJ62" s="1815">
        <f>_xlfn.XLOOKUP($D62,'Sales Rec'!$E$4:$E$93,'Sales Rec'!$AV$4:$AV$93)</f>
        <v>5352</v>
      </c>
      <c r="AK62" s="2048">
        <f t="shared" si="22"/>
        <v>1628</v>
      </c>
      <c r="AL62" s="1815">
        <f>_xlfn.XLOOKUP($D62,'Sales Rec'!$E$4:$E$93,'Sales Rec'!$AY$4:$AY$93)</f>
        <v>6670</v>
      </c>
      <c r="AM62" s="2048">
        <f t="shared" si="23"/>
        <v>1318</v>
      </c>
      <c r="AN62" s="1815">
        <f>_xlfn.XLOOKUP($D62,'Sales Rec'!$E$4:$E$93,'Sales Rec'!$BB$4:$BB$93)</f>
        <v>7954</v>
      </c>
      <c r="AO62" s="2048">
        <f t="shared" si="24"/>
        <v>1284</v>
      </c>
      <c r="AP62" s="1815">
        <f>_xlfn.XLOOKUP($D62,'Sales Rec'!$E$4:$E$93,'Sales Rec'!$BE$4:$BE$93)</f>
        <v>8920</v>
      </c>
      <c r="AQ62" s="2048">
        <f t="shared" si="25"/>
        <v>966</v>
      </c>
      <c r="AR62" s="1815">
        <f>_xlfn.XLOOKUP(D62,'Sales Rec'!$E$4:$E$93,'Sales Rec'!$BH$4:$BH$93)</f>
        <v>10414</v>
      </c>
      <c r="AS62" s="2048">
        <f t="shared" si="41"/>
        <v>1494</v>
      </c>
      <c r="AT62" s="1815">
        <f>_xlfn.XLOOKUP(D62,'Sales Rec'!$E$4:$E$93,'Sales Rec'!$BK$4:$BK$93)</f>
        <v>12142</v>
      </c>
      <c r="AU62" s="2048">
        <f t="shared" si="51"/>
        <v>1728</v>
      </c>
      <c r="AV62" s="1815">
        <f>_xlfn.XLOOKUP($D62,'Sales Rec'!$E$4:$E$93,'Sales Rec'!$BN$4:$BN$93)</f>
        <v>13719</v>
      </c>
      <c r="AW62" s="2048">
        <f t="shared" si="52"/>
        <v>1577</v>
      </c>
      <c r="AX62" s="1815">
        <f>_xlfn.XLOOKUP($D62,'Sales Rec'!$E$4:$E$93,'Sales Rec'!$BQ$4:$BQ$93)</f>
        <v>14464</v>
      </c>
      <c r="AY62" s="2048">
        <f t="shared" si="53"/>
        <v>745</v>
      </c>
      <c r="AZ62" s="1815">
        <f>_xlfn.XLOOKUP($D62,'Sales Rec'!$E$4:$E$93,'Sales Rec'!$BT$4:$BT$93)</f>
        <v>592</v>
      </c>
      <c r="BA62" s="2048">
        <f t="shared" si="54"/>
        <v>592</v>
      </c>
      <c r="BB62" s="1815">
        <f>_xlfn.XLOOKUP($D62,'Sales Rec'!$E$4:$E$93,'Sales Rec'!$BW$4:$BW$93)</f>
        <v>2853</v>
      </c>
      <c r="BC62" s="2048">
        <f t="shared" si="55"/>
        <v>2261</v>
      </c>
      <c r="BD62" s="1815">
        <f>_xlfn.XLOOKUP($D62,'Sales Rec'!$E$4:$E$93,'Sales Rec'!$BZ$4:$BZ$93)</f>
        <v>5401</v>
      </c>
      <c r="BE62" s="2048">
        <f t="shared" si="56"/>
        <v>2548</v>
      </c>
      <c r="BF62" s="1815">
        <f>_xlfn.XLOOKUP($D62,'Sales Rec'!$E$4:$E$93,'Sales Rec'!$CH$4:$CH$93)</f>
        <v>6621</v>
      </c>
      <c r="BG62" s="2048">
        <f t="shared" si="57"/>
        <v>1220</v>
      </c>
      <c r="BH62" s="2050">
        <f t="shared" si="58"/>
        <v>-0.52119309262166402</v>
      </c>
      <c r="BI62" s="1815">
        <f>_xlfn.XLOOKUP($D62,'Sales Rec'!$E$4:$E$93,'Sales Rec'!$CK$4:$CK$93)</f>
        <v>9063</v>
      </c>
      <c r="BJ62" s="2048">
        <f t="shared" si="47"/>
        <v>2442</v>
      </c>
      <c r="BK62" s="2050">
        <f t="shared" si="59"/>
        <v>1.0016393442622951</v>
      </c>
      <c r="BL62" s="1815">
        <f>_xlfn.XLOOKUP($D62,'Sales Rec'!$E$4:$E$93,'Sales Rec'!$CN$4:$CN$93)</f>
        <v>12225</v>
      </c>
      <c r="BM62" s="2048">
        <f t="shared" si="48"/>
        <v>3162</v>
      </c>
      <c r="BN62" s="2050">
        <f t="shared" si="17"/>
        <v>0.29484029484029484</v>
      </c>
      <c r="BO62" s="2069">
        <f t="shared" si="61"/>
        <v>0.26346972782817996</v>
      </c>
      <c r="BP62" s="1575">
        <f t="shared" si="60"/>
        <v>22</v>
      </c>
    </row>
    <row r="63" spans="1:68" ht="100" customHeight="1">
      <c r="A63" s="2146">
        <v>32</v>
      </c>
      <c r="B63" s="2176">
        <f>_xlfn.XLOOKUP(D63,MOPFRA!$R$7:$R$56,MOPFRA!$A$7:$A$56,"")</f>
        <v>1.5067957015240805</v>
      </c>
      <c r="C63" s="2164" t="str">
        <f>MOPFRA!Q37</f>
        <v>پارس‌ دارو</v>
      </c>
      <c r="D63" s="2164" t="str">
        <f>MOPFRA!R37</f>
        <v>دپارس</v>
      </c>
      <c r="E63" s="2170">
        <f>_xlfn.XLOOKUP(D63,MOPFRA!$R$7:$R$56,MOPFRA!$S$7:$S$56,"")</f>
        <v>12</v>
      </c>
      <c r="F63" s="2171">
        <f>_xlfn.XLOOKUP(D63,MOPFRA!$R$7:$R$56,MOPFRA!$AQ$7:$AQ$56,"")</f>
        <v>2410</v>
      </c>
      <c r="G63" s="2167">
        <v>4</v>
      </c>
      <c r="H63" s="2168">
        <f t="shared" si="49"/>
        <v>4</v>
      </c>
      <c r="I63" s="2147"/>
      <c r="J63" s="2148"/>
      <c r="K63" s="2149"/>
      <c r="L63" s="2150"/>
      <c r="M63" s="2147"/>
      <c r="N63" s="2148"/>
      <c r="O63" s="2149"/>
      <c r="P63" s="2151"/>
      <c r="Q63" s="2186">
        <f t="shared" si="50"/>
        <v>804</v>
      </c>
      <c r="R63" s="2187"/>
      <c r="S63" s="2188">
        <f>_xlfn.XLOOKUP(D63,'Sales Rec'!$E$4:$E$93,'Sales Rec'!$CP$4:$CP$93,"")</f>
        <v>1.8123711340206186</v>
      </c>
      <c r="T63" s="2152" t="s">
        <v>234</v>
      </c>
      <c r="U63" s="2152" t="s">
        <v>234</v>
      </c>
      <c r="AH63" s="1815">
        <f>_xlfn.XLOOKUP($D63,'Sales Rec'!$E$4:$E$93,'Sales Rec'!$AS$4:$AS$93)</f>
        <v>113</v>
      </c>
      <c r="AI63" s="2048">
        <f t="shared" si="21"/>
        <v>113</v>
      </c>
      <c r="AJ63" s="1815">
        <f>_xlfn.XLOOKUP($D63,'Sales Rec'!$E$4:$E$93,'Sales Rec'!$AV$4:$AV$93)</f>
        <v>296</v>
      </c>
      <c r="AK63" s="2048">
        <f t="shared" si="22"/>
        <v>183</v>
      </c>
      <c r="AL63" s="1815">
        <f>_xlfn.XLOOKUP($D63,'Sales Rec'!$E$4:$E$93,'Sales Rec'!$AY$4:$AY$93)</f>
        <v>485</v>
      </c>
      <c r="AM63" s="2048">
        <f t="shared" si="23"/>
        <v>189</v>
      </c>
      <c r="AN63" s="1815">
        <f>_xlfn.XLOOKUP($D63,'Sales Rec'!$E$4:$E$93,'Sales Rec'!$BB$4:$BB$93)</f>
        <v>672</v>
      </c>
      <c r="AO63" s="2048">
        <f t="shared" si="24"/>
        <v>187</v>
      </c>
      <c r="AP63" s="1815">
        <f>_xlfn.XLOOKUP($D63,'Sales Rec'!$E$4:$E$93,'Sales Rec'!$BE$4:$BE$93)</f>
        <v>881</v>
      </c>
      <c r="AQ63" s="2048">
        <f t="shared" si="25"/>
        <v>209</v>
      </c>
      <c r="AR63" s="1815">
        <f>_xlfn.XLOOKUP(D63,'Sales Rec'!$E$4:$E$93,'Sales Rec'!$BH$4:$BH$93)</f>
        <v>1006</v>
      </c>
      <c r="AS63" s="2048">
        <f t="shared" si="41"/>
        <v>125</v>
      </c>
      <c r="AT63" s="1815">
        <f>_xlfn.XLOOKUP(D63,'Sales Rec'!$E$4:$E$93,'Sales Rec'!$BK$4:$BK$93)</f>
        <v>1205</v>
      </c>
      <c r="AU63" s="2048">
        <f t="shared" si="51"/>
        <v>199</v>
      </c>
      <c r="AV63" s="1815">
        <f>_xlfn.XLOOKUP($D63,'Sales Rec'!$E$4:$E$93,'Sales Rec'!$BN$4:$BN$93)</f>
        <v>1474</v>
      </c>
      <c r="AW63" s="2048">
        <f t="shared" si="52"/>
        <v>269</v>
      </c>
      <c r="AX63" s="1815">
        <f>_xlfn.XLOOKUP($D63,'Sales Rec'!$E$4:$E$93,'Sales Rec'!$BQ$4:$BQ$93)</f>
        <v>1730</v>
      </c>
      <c r="AY63" s="2048">
        <f t="shared" si="53"/>
        <v>256</v>
      </c>
      <c r="AZ63" s="1815">
        <f>_xlfn.XLOOKUP($D63,'Sales Rec'!$E$4:$E$93,'Sales Rec'!$BT$4:$BT$93)</f>
        <v>1983</v>
      </c>
      <c r="BA63" s="2048">
        <f t="shared" si="54"/>
        <v>253</v>
      </c>
      <c r="BB63" s="1815">
        <f>_xlfn.XLOOKUP($D63,'Sales Rec'!$E$4:$E$93,'Sales Rec'!$BW$4:$BW$93)</f>
        <v>2271</v>
      </c>
      <c r="BC63" s="2048">
        <f t="shared" si="55"/>
        <v>288</v>
      </c>
      <c r="BD63" s="1815">
        <f>_xlfn.XLOOKUP($D63,'Sales Rec'!$E$4:$E$93,'Sales Rec'!$BZ$4:$BZ$93)</f>
        <v>2410</v>
      </c>
      <c r="BE63" s="2048">
        <f t="shared" si="56"/>
        <v>139</v>
      </c>
      <c r="BF63" s="1815">
        <f>_xlfn.XLOOKUP($D63,'Sales Rec'!$E$4:$E$93,'Sales Rec'!$CH$4:$CH$93)</f>
        <v>159</v>
      </c>
      <c r="BG63" s="2048">
        <f t="shared" si="57"/>
        <v>159</v>
      </c>
      <c r="BH63" s="2050">
        <f t="shared" si="58"/>
        <v>0.14388489208633093</v>
      </c>
      <c r="BI63" s="1815">
        <f>_xlfn.XLOOKUP($D63,'Sales Rec'!$E$4:$E$93,'Sales Rec'!$CK$4:$CK$93)</f>
        <v>560</v>
      </c>
      <c r="BJ63" s="2048">
        <f t="shared" si="47"/>
        <v>401</v>
      </c>
      <c r="BK63" s="2050">
        <f t="shared" si="59"/>
        <v>1.5220125786163523</v>
      </c>
      <c r="BL63" s="1815">
        <f>_xlfn.XLOOKUP($D63,'Sales Rec'!$E$4:$E$93,'Sales Rec'!$CN$4:$CN$93)</f>
        <v>1364</v>
      </c>
      <c r="BM63" s="2048">
        <f t="shared" si="48"/>
        <v>804</v>
      </c>
      <c r="BN63" s="2050">
        <f t="shared" si="17"/>
        <v>1.0049875311720697</v>
      </c>
      <c r="BO63" s="2069">
        <f t="shared" si="61"/>
        <v>1.0058823529411764</v>
      </c>
      <c r="BP63" s="1575">
        <f t="shared" si="60"/>
        <v>6</v>
      </c>
    </row>
    <row r="64" spans="1:68" ht="100" customHeight="1">
      <c r="A64" s="2146">
        <v>33</v>
      </c>
      <c r="B64" s="2176">
        <f>_xlfn.XLOOKUP(D64,MOPFRA!$R$7:$R$56,MOPFRA!$A$7:$A$56,"")</f>
        <v>1.2283214162342571E-2</v>
      </c>
      <c r="C64" s="2164" t="str">
        <f>MOPFRA!Q38</f>
        <v>كشاورزي و دامپروري فجر اصفهان</v>
      </c>
      <c r="D64" s="2164" t="str">
        <f>MOPFRA!R38</f>
        <v>زفجر</v>
      </c>
      <c r="E64" s="2170">
        <f>_xlfn.XLOOKUP(D64,MOPFRA!$R$7:$R$56,MOPFRA!$S$7:$S$56,"")</f>
        <v>12</v>
      </c>
      <c r="F64" s="2171">
        <f>_xlfn.XLOOKUP(D64,MOPFRA!$R$7:$R$56,MOPFRA!$AQ$7:$AQ$56,"")</f>
        <v>2136</v>
      </c>
      <c r="G64" s="2167">
        <v>4</v>
      </c>
      <c r="H64" s="2168">
        <f t="shared" si="49"/>
        <v>4</v>
      </c>
      <c r="I64" s="2147"/>
      <c r="J64" s="2148"/>
      <c r="K64" s="2149"/>
      <c r="L64" s="2150"/>
      <c r="M64" s="2147"/>
      <c r="N64" s="2148"/>
      <c r="O64" s="2149"/>
      <c r="P64" s="2151"/>
      <c r="Q64" s="2186">
        <f t="shared" si="50"/>
        <v>365</v>
      </c>
      <c r="R64" s="2187"/>
      <c r="S64" s="2188">
        <f>_xlfn.XLOOKUP(D64,'Sales Rec'!$E$4:$E$93,'Sales Rec'!$CP$4:$CP$93,"")</f>
        <v>1.5555555555555556</v>
      </c>
      <c r="T64" s="2152" t="s">
        <v>234</v>
      </c>
      <c r="U64" s="2152" t="s">
        <v>234</v>
      </c>
      <c r="AH64" s="1815">
        <f>_xlfn.XLOOKUP($D64,'Sales Rec'!$E$4:$E$93,'Sales Rec'!$AS$4:$AS$93)</f>
        <v>152</v>
      </c>
      <c r="AI64" s="2048">
        <f t="shared" si="21"/>
        <v>152</v>
      </c>
      <c r="AJ64" s="1815">
        <f>_xlfn.XLOOKUP($D64,'Sales Rec'!$E$4:$E$93,'Sales Rec'!$AV$4:$AV$93)</f>
        <v>209</v>
      </c>
      <c r="AK64" s="2048">
        <f t="shared" si="22"/>
        <v>57</v>
      </c>
      <c r="AL64" s="1815">
        <f>_xlfn.XLOOKUP($D64,'Sales Rec'!$E$4:$E$93,'Sales Rec'!$AY$4:$AY$93)</f>
        <v>342</v>
      </c>
      <c r="AM64" s="2048">
        <f t="shared" si="23"/>
        <v>133</v>
      </c>
      <c r="AN64" s="1815">
        <f>_xlfn.XLOOKUP($D64,'Sales Rec'!$E$4:$E$93,'Sales Rec'!$BB$4:$BB$93)</f>
        <v>479</v>
      </c>
      <c r="AO64" s="2048">
        <f t="shared" si="24"/>
        <v>137</v>
      </c>
      <c r="AP64" s="1815">
        <f>_xlfn.XLOOKUP($D64,'Sales Rec'!$E$4:$E$93,'Sales Rec'!$BE$4:$BE$93)</f>
        <v>600</v>
      </c>
      <c r="AQ64" s="2048">
        <f t="shared" si="25"/>
        <v>121</v>
      </c>
      <c r="AR64" s="1815">
        <f>_xlfn.XLOOKUP(D64,'Sales Rec'!$E$4:$E$93,'Sales Rec'!$BH$4:$BH$93)</f>
        <v>746</v>
      </c>
      <c r="AS64" s="2048">
        <f t="shared" si="41"/>
        <v>146</v>
      </c>
      <c r="AT64" s="1815">
        <f>_xlfn.XLOOKUP(D64,'Sales Rec'!$E$4:$E$93,'Sales Rec'!$BK$4:$BK$93)</f>
        <v>890</v>
      </c>
      <c r="AU64" s="2048">
        <f t="shared" si="51"/>
        <v>144</v>
      </c>
      <c r="AV64" s="1815">
        <f>_xlfn.XLOOKUP($D64,'Sales Rec'!$E$4:$E$93,'Sales Rec'!$BN$4:$BN$93)</f>
        <v>1105</v>
      </c>
      <c r="AW64" s="2048">
        <f t="shared" si="52"/>
        <v>215</v>
      </c>
      <c r="AX64" s="1815">
        <f>_xlfn.XLOOKUP($D64,'Sales Rec'!$E$4:$E$93,'Sales Rec'!$BQ$4:$BQ$93)</f>
        <v>1326</v>
      </c>
      <c r="AY64" s="2048">
        <f t="shared" si="53"/>
        <v>221</v>
      </c>
      <c r="AZ64" s="1815">
        <f>_xlfn.XLOOKUP($D64,'Sales Rec'!$E$4:$E$93,'Sales Rec'!$BT$4:$BT$93)</f>
        <v>1543</v>
      </c>
      <c r="BA64" s="2048">
        <f t="shared" si="54"/>
        <v>217</v>
      </c>
      <c r="BB64" s="1815">
        <f>_xlfn.XLOOKUP($D64,'Sales Rec'!$E$4:$E$93,'Sales Rec'!$BW$4:$BW$93)</f>
        <v>1807</v>
      </c>
      <c r="BC64" s="2048">
        <f t="shared" si="55"/>
        <v>264</v>
      </c>
      <c r="BD64" s="1815">
        <f>_xlfn.XLOOKUP($D64,'Sales Rec'!$E$4:$E$93,'Sales Rec'!$BZ$4:$BZ$93)</f>
        <v>2069</v>
      </c>
      <c r="BE64" s="2048">
        <f t="shared" si="56"/>
        <v>262</v>
      </c>
      <c r="BF64" s="1815">
        <f>_xlfn.XLOOKUP($D64,'Sales Rec'!$E$4:$E$93,'Sales Rec'!$CH$4:$CH$93)</f>
        <v>240</v>
      </c>
      <c r="BG64" s="2048">
        <f t="shared" si="57"/>
        <v>240</v>
      </c>
      <c r="BH64" s="2050">
        <f t="shared" si="58"/>
        <v>-8.3969465648854963E-2</v>
      </c>
      <c r="BI64" s="1815">
        <f>_xlfn.XLOOKUP($D64,'Sales Rec'!$E$4:$E$93,'Sales Rec'!$CK$4:$CK$93)</f>
        <v>509</v>
      </c>
      <c r="BJ64" s="2048">
        <f t="shared" ref="BJ64:BJ86" si="62">IF(BF64&gt;BI64,BI64,BI64-BF64)</f>
        <v>269</v>
      </c>
      <c r="BK64" s="2050">
        <f t="shared" si="59"/>
        <v>0.12083333333333333</v>
      </c>
      <c r="BL64" s="1815">
        <f>_xlfn.XLOOKUP($D64,'Sales Rec'!$E$4:$E$93,'Sales Rec'!$CN$4:$CN$93)</f>
        <v>874</v>
      </c>
      <c r="BM64" s="2048">
        <f t="shared" ref="BM64:BM86" si="63">IF(BI64&gt;BL64,BL64,BL64-BI64)</f>
        <v>365</v>
      </c>
      <c r="BN64" s="2050">
        <f t="shared" si="17"/>
        <v>0.35687732342007433</v>
      </c>
      <c r="BO64" s="2069">
        <f t="shared" si="61"/>
        <v>0.17631224764468373</v>
      </c>
      <c r="BP64" s="1575">
        <f t="shared" si="60"/>
        <v>24</v>
      </c>
    </row>
    <row r="65" spans="1:68" ht="100" customHeight="1">
      <c r="A65" s="2146">
        <v>34</v>
      </c>
      <c r="B65" s="2176">
        <f>_xlfn.XLOOKUP(D65,MOPFRA!$R$7:$R$56,MOPFRA!$A$7:$A$56,"")</f>
        <v>-1.2993818292259467</v>
      </c>
      <c r="C65" s="2164" t="str">
        <f>MOPFRA!Q39</f>
        <v>داروسازي‌ سينا</v>
      </c>
      <c r="D65" s="2164" t="str">
        <f>MOPFRA!R39</f>
        <v>دسينا</v>
      </c>
      <c r="E65" s="2170">
        <f>_xlfn.XLOOKUP(D65,MOPFRA!$R$7:$R$56,MOPFRA!$S$7:$S$56,"")</f>
        <v>12</v>
      </c>
      <c r="F65" s="2171">
        <f>_xlfn.XLOOKUP(D65,MOPFRA!$R$7:$R$56,MOPFRA!$AQ$7:$AQ$56,"")</f>
        <v>4221</v>
      </c>
      <c r="G65" s="2167">
        <v>4</v>
      </c>
      <c r="H65" s="2168">
        <f t="shared" ref="H65:H82" si="64">IF(G65&gt;E65,(G65-E65),((12-E65)+G65))</f>
        <v>4</v>
      </c>
      <c r="I65" s="2147"/>
      <c r="J65" s="2148"/>
      <c r="K65" s="2149"/>
      <c r="L65" s="2150"/>
      <c r="M65" s="2147"/>
      <c r="N65" s="2148"/>
      <c r="O65" s="2149"/>
      <c r="P65" s="2151"/>
      <c r="Q65" s="2186">
        <f t="shared" ref="Q65:Q82" si="65">BM65</f>
        <v>659</v>
      </c>
      <c r="R65" s="2187"/>
      <c r="S65" s="2188">
        <f>_xlfn.XLOOKUP(D65,'Sales Rec'!$E$4:$E$93,'Sales Rec'!$CP$4:$CP$93,"")</f>
        <v>0.6894618834080718</v>
      </c>
      <c r="T65" s="2152" t="s">
        <v>234</v>
      </c>
      <c r="U65" s="2152" t="s">
        <v>234</v>
      </c>
      <c r="AH65" s="1815">
        <f>_xlfn.XLOOKUP($D65,'Sales Rec'!$E$4:$E$93,'Sales Rec'!$AS$4:$AS$93)</f>
        <v>240</v>
      </c>
      <c r="AI65" s="2048">
        <f t="shared" si="21"/>
        <v>240</v>
      </c>
      <c r="AJ65" s="1815">
        <f>_xlfn.XLOOKUP($D65,'Sales Rec'!$E$4:$E$93,'Sales Rec'!$AV$4:$AV$93)</f>
        <v>591</v>
      </c>
      <c r="AK65" s="2048">
        <f t="shared" si="22"/>
        <v>351</v>
      </c>
      <c r="AL65" s="1815">
        <f>_xlfn.XLOOKUP($D65,'Sales Rec'!$E$4:$E$93,'Sales Rec'!$AY$4:$AY$93)</f>
        <v>892</v>
      </c>
      <c r="AM65" s="2048">
        <f t="shared" si="23"/>
        <v>301</v>
      </c>
      <c r="AN65" s="1815">
        <f>_xlfn.XLOOKUP($D65,'Sales Rec'!$E$4:$E$93,'Sales Rec'!$BB$4:$BB$93)</f>
        <v>1238</v>
      </c>
      <c r="AO65" s="2048">
        <f t="shared" si="24"/>
        <v>346</v>
      </c>
      <c r="AP65" s="1815">
        <f>_xlfn.XLOOKUP($D65,'Sales Rec'!$E$4:$E$93,'Sales Rec'!$BE$4:$BE$93)</f>
        <v>1579</v>
      </c>
      <c r="AQ65" s="2048">
        <f t="shared" si="25"/>
        <v>341</v>
      </c>
      <c r="AR65" s="1815">
        <f>_xlfn.XLOOKUP(D65,'Sales Rec'!$E$4:$E$93,'Sales Rec'!$BH$4:$BH$93)</f>
        <v>1999</v>
      </c>
      <c r="AS65" s="2048">
        <f t="shared" si="41"/>
        <v>420</v>
      </c>
      <c r="AT65" s="1815">
        <f>_xlfn.XLOOKUP(D65,'Sales Rec'!$E$4:$E$93,'Sales Rec'!$BK$4:$BK$93)</f>
        <v>2455</v>
      </c>
      <c r="AU65" s="2048">
        <f t="shared" ref="AU65:AU86" si="66">IF(AR65&gt;AT65,AT65,AT65-AR65)</f>
        <v>456</v>
      </c>
      <c r="AV65" s="1815">
        <f>_xlfn.XLOOKUP($D65,'Sales Rec'!$E$4:$E$93,'Sales Rec'!$BN$4:$BN$93)</f>
        <v>2918</v>
      </c>
      <c r="AW65" s="2048">
        <f t="shared" ref="AW65:AW86" si="67">IF(AT65&gt;AV65,AV65,AV65-AT65)</f>
        <v>463</v>
      </c>
      <c r="AX65" s="1815">
        <f>_xlfn.XLOOKUP($D65,'Sales Rec'!$E$4:$E$93,'Sales Rec'!$BQ$4:$BQ$93)</f>
        <v>3339</v>
      </c>
      <c r="AY65" s="2048">
        <f t="shared" ref="AY65:AY86" si="68">IF(AV65&gt;AX65,AX65,AX65-AV65)</f>
        <v>421</v>
      </c>
      <c r="AZ65" s="1815">
        <f>_xlfn.XLOOKUP($D65,'Sales Rec'!$E$4:$E$93,'Sales Rec'!$BT$4:$BT$93)</f>
        <v>3739</v>
      </c>
      <c r="BA65" s="2048">
        <f t="shared" ref="BA65:BA86" si="69">IF(AX65&gt;AZ65,AZ65,AZ65-AX65)</f>
        <v>400</v>
      </c>
      <c r="BB65" s="1815">
        <f>_xlfn.XLOOKUP($D65,'Sales Rec'!$E$4:$E$93,'Sales Rec'!$BW$4:$BW$93)</f>
        <v>4142</v>
      </c>
      <c r="BC65" s="2048">
        <f t="shared" ref="BC65:BC86" si="70">IF(AZ65&gt;BB65,BB65,BB65-AZ65)</f>
        <v>403</v>
      </c>
      <c r="BD65" s="1815">
        <f>_xlfn.XLOOKUP($D65,'Sales Rec'!$E$4:$E$93,'Sales Rec'!$BZ$4:$BZ$93)</f>
        <v>4221</v>
      </c>
      <c r="BE65" s="2048">
        <f t="shared" ref="BE65:BE86" si="71">IF(BB65&gt;BD65,BD65,BD65-BB65)</f>
        <v>79</v>
      </c>
      <c r="BF65" s="1815">
        <f>_xlfn.XLOOKUP($D65,'Sales Rec'!$E$4:$E$93,'Sales Rec'!$CH$4:$CH$93)</f>
        <v>286</v>
      </c>
      <c r="BG65" s="2048">
        <f t="shared" ref="BG65:BG86" si="72">IF(BD65&gt;BF65,BF65,BF65-BD65)</f>
        <v>286</v>
      </c>
      <c r="BH65" s="2050">
        <f t="shared" ref="BH65:BH86" si="73">IFERROR((BG65-BE65)/BE65,"")</f>
        <v>2.6202531645569622</v>
      </c>
      <c r="BI65" s="1815">
        <f>_xlfn.XLOOKUP($D65,'Sales Rec'!$E$4:$E$93,'Sales Rec'!$CK$4:$CK$93)</f>
        <v>848</v>
      </c>
      <c r="BJ65" s="2048">
        <f t="shared" si="62"/>
        <v>562</v>
      </c>
      <c r="BK65" s="2050">
        <f t="shared" ref="BK65:BK86" si="74">IFERROR((BJ65-BG65)/BG65,"")</f>
        <v>0.965034965034965</v>
      </c>
      <c r="BL65" s="1815">
        <f>_xlfn.XLOOKUP($D65,'Sales Rec'!$E$4:$E$93,'Sales Rec'!$CN$4:$CN$93)</f>
        <v>1507</v>
      </c>
      <c r="BM65" s="2048">
        <f t="shared" si="63"/>
        <v>659</v>
      </c>
      <c r="BN65" s="2050">
        <f t="shared" si="17"/>
        <v>0.17259786476868327</v>
      </c>
      <c r="BO65" s="2069">
        <f t="shared" si="61"/>
        <v>0.70861678004535145</v>
      </c>
      <c r="BP65" s="1575">
        <f t="shared" ref="BP65:BP82" si="75">RANK(BO65,$BO$33:$BO$82, 0)</f>
        <v>9</v>
      </c>
    </row>
    <row r="66" spans="1:68" ht="100" customHeight="1">
      <c r="A66" s="2146">
        <v>35</v>
      </c>
      <c r="B66" s="2176">
        <f>_xlfn.XLOOKUP(D66,MOPFRA!$R$7:$R$56,MOPFRA!$A$7:$A$56,"")</f>
        <v>-2.1757077800753883</v>
      </c>
      <c r="C66" s="2164" t="str">
        <f>MOPFRA!Q40</f>
        <v>كوير تاير</v>
      </c>
      <c r="D66" s="2164" t="str">
        <f>MOPFRA!R40</f>
        <v>پكوير</v>
      </c>
      <c r="E66" s="2170">
        <f>_xlfn.XLOOKUP(D66,MOPFRA!$R$7:$R$56,MOPFRA!$S$7:$S$56,"")</f>
        <v>9</v>
      </c>
      <c r="F66" s="2171">
        <f>_xlfn.XLOOKUP(D66,MOPFRA!$R$7:$R$56,MOPFRA!$AQ$7:$AQ$56,"")</f>
        <v>9231</v>
      </c>
      <c r="G66" s="2167">
        <v>4</v>
      </c>
      <c r="H66" s="2168">
        <f t="shared" si="64"/>
        <v>7</v>
      </c>
      <c r="I66" s="2147"/>
      <c r="J66" s="2148"/>
      <c r="K66" s="2149"/>
      <c r="L66" s="2150"/>
      <c r="M66" s="2147"/>
      <c r="N66" s="2148"/>
      <c r="O66" s="2149"/>
      <c r="P66" s="2151"/>
      <c r="Q66" s="2186">
        <f t="shared" si="65"/>
        <v>1268</v>
      </c>
      <c r="R66" s="2187"/>
      <c r="S66" s="2188">
        <f>_xlfn.XLOOKUP(D66,'Sales Rec'!$E$4:$E$93,'Sales Rec'!$CP$4:$CP$93,"")</f>
        <v>0.31503792949576082</v>
      </c>
      <c r="T66" s="2152" t="s">
        <v>234</v>
      </c>
      <c r="U66" s="2152" t="s">
        <v>234</v>
      </c>
      <c r="AH66" s="1815">
        <f>_xlfn.XLOOKUP($D66,'Sales Rec'!$E$4:$E$93,'Sales Rec'!$AS$4:$AS$93)</f>
        <v>2935</v>
      </c>
      <c r="AI66" s="2048">
        <f t="shared" si="21"/>
        <v>2935</v>
      </c>
      <c r="AJ66" s="1815">
        <f>_xlfn.XLOOKUP($D66,'Sales Rec'!$E$4:$E$93,'Sales Rec'!$AV$4:$AV$93)</f>
        <v>3728</v>
      </c>
      <c r="AK66" s="2048">
        <f t="shared" si="22"/>
        <v>793</v>
      </c>
      <c r="AL66" s="1815">
        <f>_xlfn.XLOOKUP($D66,'Sales Rec'!$E$4:$E$93,'Sales Rec'!$AY$4:$AY$93)</f>
        <v>4482</v>
      </c>
      <c r="AM66" s="2048">
        <f t="shared" si="23"/>
        <v>754</v>
      </c>
      <c r="AN66" s="1815">
        <f>_xlfn.XLOOKUP($D66,'Sales Rec'!$E$4:$E$93,'Sales Rec'!$BB$4:$BB$93)</f>
        <v>5215</v>
      </c>
      <c r="AO66" s="2048">
        <f t="shared" si="24"/>
        <v>733</v>
      </c>
      <c r="AP66" s="1815">
        <f>_xlfn.XLOOKUP($D66,'Sales Rec'!$E$4:$E$93,'Sales Rec'!$BE$4:$BE$93)</f>
        <v>6002</v>
      </c>
      <c r="AQ66" s="2048">
        <f t="shared" si="25"/>
        <v>787</v>
      </c>
      <c r="AR66" s="1815">
        <f>_xlfn.XLOOKUP(D66,'Sales Rec'!$E$4:$E$93,'Sales Rec'!$BH$4:$BH$93)</f>
        <v>6780</v>
      </c>
      <c r="AS66" s="2048">
        <f t="shared" si="41"/>
        <v>778</v>
      </c>
      <c r="AT66" s="1815">
        <f>_xlfn.XLOOKUP(D66,'Sales Rec'!$E$4:$E$93,'Sales Rec'!$BK$4:$BK$93)</f>
        <v>7691</v>
      </c>
      <c r="AU66" s="2048">
        <f t="shared" si="66"/>
        <v>911</v>
      </c>
      <c r="AV66" s="1815">
        <f>_xlfn.XLOOKUP($D66,'Sales Rec'!$E$4:$E$93,'Sales Rec'!$BN$4:$BN$93)</f>
        <v>8469</v>
      </c>
      <c r="AW66" s="2048">
        <f t="shared" si="67"/>
        <v>778</v>
      </c>
      <c r="AX66" s="1815">
        <f>_xlfn.XLOOKUP($D66,'Sales Rec'!$E$4:$E$93,'Sales Rec'!$BQ$4:$BQ$93)</f>
        <v>9231</v>
      </c>
      <c r="AY66" s="2048">
        <f t="shared" si="68"/>
        <v>762</v>
      </c>
      <c r="AZ66" s="1815">
        <f>_xlfn.XLOOKUP($D66,'Sales Rec'!$E$4:$E$93,'Sales Rec'!$BT$4:$BT$93)</f>
        <v>906</v>
      </c>
      <c r="BA66" s="2048">
        <f t="shared" si="69"/>
        <v>906</v>
      </c>
      <c r="BB66" s="1815">
        <f>_xlfn.XLOOKUP($D66,'Sales Rec'!$E$4:$E$93,'Sales Rec'!$BW$4:$BW$93)</f>
        <v>1992</v>
      </c>
      <c r="BC66" s="2048">
        <f t="shared" si="70"/>
        <v>1086</v>
      </c>
      <c r="BD66" s="1815">
        <f>_xlfn.XLOOKUP($D66,'Sales Rec'!$E$4:$E$93,'Sales Rec'!$BZ$4:$BZ$93)</f>
        <v>2947</v>
      </c>
      <c r="BE66" s="2048">
        <f t="shared" si="71"/>
        <v>955</v>
      </c>
      <c r="BF66" s="1815">
        <f>_xlfn.XLOOKUP($D66,'Sales Rec'!$E$4:$E$93,'Sales Rec'!$CH$4:$CH$93)</f>
        <v>3519</v>
      </c>
      <c r="BG66" s="2048">
        <f t="shared" si="72"/>
        <v>572</v>
      </c>
      <c r="BH66" s="2050">
        <f t="shared" si="73"/>
        <v>-0.40104712041884816</v>
      </c>
      <c r="BI66" s="1815">
        <f>_xlfn.XLOOKUP($D66,'Sales Rec'!$E$4:$E$93,'Sales Rec'!$CK$4:$CK$93)</f>
        <v>4626</v>
      </c>
      <c r="BJ66" s="2048">
        <f t="shared" si="62"/>
        <v>1107</v>
      </c>
      <c r="BK66" s="2050">
        <f t="shared" si="74"/>
        <v>0.93531468531468531</v>
      </c>
      <c r="BL66" s="1815">
        <f>_xlfn.XLOOKUP($D66,'Sales Rec'!$E$4:$E$93,'Sales Rec'!$CN$4:$CN$93)</f>
        <v>5894</v>
      </c>
      <c r="BM66" s="2048">
        <f t="shared" si="63"/>
        <v>1268</v>
      </c>
      <c r="BN66" s="2050">
        <f t="shared" si="17"/>
        <v>0.14543812104787715</v>
      </c>
      <c r="BO66" s="2069">
        <f t="shared" si="61"/>
        <v>0</v>
      </c>
      <c r="BP66" s="1575">
        <f t="shared" si="75"/>
        <v>34</v>
      </c>
    </row>
    <row r="67" spans="1:68" ht="100" customHeight="1">
      <c r="A67" s="2146">
        <v>36</v>
      </c>
      <c r="B67" s="2176">
        <f>_xlfn.XLOOKUP(D67,MOPFRA!$R$7:$R$56,MOPFRA!$A$7:$A$56,"")</f>
        <v>-1.4993665976421144</v>
      </c>
      <c r="C67" s="2164" t="str">
        <f>MOPFRA!Q41</f>
        <v>ملي‌ صنايع‌ مس‌ ايران‌</v>
      </c>
      <c r="D67" s="2164" t="str">
        <f>MOPFRA!R41</f>
        <v>فملي</v>
      </c>
      <c r="E67" s="2170">
        <f>_xlfn.XLOOKUP(D67,MOPFRA!$R$7:$R$56,MOPFRA!$S$7:$S$56,"")</f>
        <v>12</v>
      </c>
      <c r="F67" s="2171">
        <f>_xlfn.XLOOKUP(D67,MOPFRA!$R$7:$R$56,MOPFRA!$AQ$7:$AQ$56,"")</f>
        <v>321889</v>
      </c>
      <c r="G67" s="2167">
        <v>4</v>
      </c>
      <c r="H67" s="2168">
        <f t="shared" si="64"/>
        <v>4</v>
      </c>
      <c r="I67" s="2147"/>
      <c r="J67" s="2148"/>
      <c r="K67" s="2149"/>
      <c r="L67" s="2150"/>
      <c r="M67" s="2147"/>
      <c r="N67" s="2148"/>
      <c r="O67" s="2149"/>
      <c r="P67" s="2151"/>
      <c r="Q67" s="2186">
        <f t="shared" si="65"/>
        <v>41943</v>
      </c>
      <c r="R67" s="2187"/>
      <c r="S67" s="2188">
        <f>_xlfn.XLOOKUP(D67,'Sales Rec'!$E$4:$E$93,'Sales Rec'!$CP$4:$CP$93,"")</f>
        <v>1.8275659185007627</v>
      </c>
      <c r="T67" s="2152" t="s">
        <v>234</v>
      </c>
      <c r="U67" s="2152" t="s">
        <v>234</v>
      </c>
      <c r="AH67" s="1815">
        <f>_xlfn.XLOOKUP($D67,'Sales Rec'!$E$4:$E$93,'Sales Rec'!$AS$4:$AS$93)</f>
        <v>14353</v>
      </c>
      <c r="AI67" s="2048">
        <f t="shared" si="21"/>
        <v>14353</v>
      </c>
      <c r="AJ67" s="1815">
        <f>_xlfn.XLOOKUP($D67,'Sales Rec'!$E$4:$E$93,'Sales Rec'!$AV$4:$AV$93)</f>
        <v>31166</v>
      </c>
      <c r="AK67" s="2048">
        <f t="shared" si="22"/>
        <v>16813</v>
      </c>
      <c r="AL67" s="1815">
        <f>_xlfn.XLOOKUP($D67,'Sales Rec'!$E$4:$E$93,'Sales Rec'!$AY$4:$AY$93)</f>
        <v>45890</v>
      </c>
      <c r="AM67" s="2048">
        <f t="shared" si="23"/>
        <v>14724</v>
      </c>
      <c r="AN67" s="1815">
        <f>_xlfn.XLOOKUP($D67,'Sales Rec'!$E$4:$E$93,'Sales Rec'!$BB$4:$BB$93)</f>
        <v>60482</v>
      </c>
      <c r="AO67" s="2048">
        <f t="shared" si="24"/>
        <v>14592</v>
      </c>
      <c r="AP67" s="1815">
        <f>_xlfn.XLOOKUP($D67,'Sales Rec'!$E$4:$E$93,'Sales Rec'!$BE$4:$BE$93)</f>
        <v>79317</v>
      </c>
      <c r="AQ67" s="2048">
        <f t="shared" si="25"/>
        <v>18835</v>
      </c>
      <c r="AR67" s="1815">
        <f>_xlfn.XLOOKUP(D67,'Sales Rec'!$E$4:$E$93,'Sales Rec'!$BH$4:$BH$93)</f>
        <v>101269</v>
      </c>
      <c r="AS67" s="2048">
        <f t="shared" si="41"/>
        <v>21952</v>
      </c>
      <c r="AT67" s="1815">
        <f>_xlfn.XLOOKUP(D67,'Sales Rec'!$E$4:$E$93,'Sales Rec'!$BK$4:$BK$93)</f>
        <v>130484</v>
      </c>
      <c r="AU67" s="2048">
        <f t="shared" si="66"/>
        <v>29215</v>
      </c>
      <c r="AV67" s="1815">
        <f>_xlfn.XLOOKUP($D67,'Sales Rec'!$E$4:$E$93,'Sales Rec'!$BN$4:$BN$93)</f>
        <v>161083</v>
      </c>
      <c r="AW67" s="2048">
        <f t="shared" si="67"/>
        <v>30599</v>
      </c>
      <c r="AX67" s="1815">
        <f>_xlfn.XLOOKUP($D67,'Sales Rec'!$E$4:$E$93,'Sales Rec'!$BQ$4:$BQ$93)</f>
        <v>189472</v>
      </c>
      <c r="AY67" s="2048">
        <f t="shared" si="68"/>
        <v>28389</v>
      </c>
      <c r="AZ67" s="1815">
        <f>_xlfn.XLOOKUP($D67,'Sales Rec'!$E$4:$E$93,'Sales Rec'!$BT$4:$BT$93)</f>
        <v>228970</v>
      </c>
      <c r="BA67" s="2048">
        <f t="shared" si="69"/>
        <v>39498</v>
      </c>
      <c r="BB67" s="1815">
        <f>_xlfn.XLOOKUP($D67,'Sales Rec'!$E$4:$E$93,'Sales Rec'!$BW$4:$BW$93)</f>
        <v>271400</v>
      </c>
      <c r="BC67" s="2048">
        <f t="shared" si="70"/>
        <v>42430</v>
      </c>
      <c r="BD67" s="1815">
        <f>_xlfn.XLOOKUP($D67,'Sales Rec'!$E$4:$E$93,'Sales Rec'!$BZ$4:$BZ$93)</f>
        <v>320989</v>
      </c>
      <c r="BE67" s="2048">
        <f t="shared" si="71"/>
        <v>49589</v>
      </c>
      <c r="BF67" s="1815">
        <f>_xlfn.XLOOKUP($D67,'Sales Rec'!$E$4:$E$93,'Sales Rec'!$CH$4:$CH$93)</f>
        <v>25448</v>
      </c>
      <c r="BG67" s="2048">
        <f t="shared" si="72"/>
        <v>25448</v>
      </c>
      <c r="BH67" s="2050">
        <f t="shared" si="73"/>
        <v>-0.48682167416160843</v>
      </c>
      <c r="BI67" s="1815">
        <f>_xlfn.XLOOKUP($D67,'Sales Rec'!$E$4:$E$93,'Sales Rec'!$CK$4:$CK$93)</f>
        <v>87814</v>
      </c>
      <c r="BJ67" s="2048">
        <f t="shared" si="62"/>
        <v>62366</v>
      </c>
      <c r="BK67" s="2050">
        <f t="shared" si="74"/>
        <v>1.4507230430682176</v>
      </c>
      <c r="BL67" s="1815">
        <f>_xlfn.XLOOKUP($D67,'Sales Rec'!$E$4:$E$93,'Sales Rec'!$CN$4:$CN$93)</f>
        <v>129757</v>
      </c>
      <c r="BM67" s="2048">
        <f t="shared" si="63"/>
        <v>41943</v>
      </c>
      <c r="BN67" s="2050">
        <f t="shared" si="17"/>
        <v>-0.32747009588557868</v>
      </c>
      <c r="BO67" s="2069">
        <f t="shared" si="61"/>
        <v>-1.3382300387022211E-2</v>
      </c>
      <c r="BP67" s="1575">
        <f t="shared" si="75"/>
        <v>37</v>
      </c>
    </row>
    <row r="68" spans="1:68" ht="100" customHeight="1">
      <c r="A68" s="2146">
        <v>37</v>
      </c>
      <c r="B68" s="2176">
        <f>_xlfn.XLOOKUP(D68,MOPFRA!$R$7:$R$56,MOPFRA!$A$7:$A$56,"")</f>
        <v>-5.9376752563919073</v>
      </c>
      <c r="C68" s="2164" t="str">
        <f>MOPFRA!Q42</f>
        <v>پاكسان‌</v>
      </c>
      <c r="D68" s="2164" t="str">
        <f>MOPFRA!R42</f>
        <v>شپاكسا</v>
      </c>
      <c r="E68" s="2170">
        <f>_xlfn.XLOOKUP(D68,MOPFRA!$R$7:$R$56,MOPFRA!$S$7:$S$56,"")</f>
        <v>9</v>
      </c>
      <c r="F68" s="2171">
        <f>_xlfn.XLOOKUP(D68,MOPFRA!$R$7:$R$56,MOPFRA!$AQ$7:$AQ$56,"")</f>
        <v>5721</v>
      </c>
      <c r="G68" s="2167">
        <v>4</v>
      </c>
      <c r="H68" s="2168">
        <f t="shared" si="64"/>
        <v>7</v>
      </c>
      <c r="I68" s="2147"/>
      <c r="J68" s="2148"/>
      <c r="K68" s="2149"/>
      <c r="L68" s="2150"/>
      <c r="M68" s="2147"/>
      <c r="N68" s="2148"/>
      <c r="O68" s="2149"/>
      <c r="P68" s="2151"/>
      <c r="Q68" s="2186">
        <f t="shared" si="65"/>
        <v>1440</v>
      </c>
      <c r="R68" s="2187"/>
      <c r="S68" s="2188">
        <f>_xlfn.XLOOKUP(D68,'Sales Rec'!$E$4:$E$93,'Sales Rec'!$CP$4:$CP$93,"")</f>
        <v>1.1752190237797246</v>
      </c>
      <c r="T68" s="2152" t="s">
        <v>234</v>
      </c>
      <c r="U68" s="2152" t="s">
        <v>234</v>
      </c>
      <c r="AH68" s="1815">
        <f>_xlfn.XLOOKUP($D68,'Sales Rec'!$E$4:$E$93,'Sales Rec'!$AS$4:$AS$93)</f>
        <v>1378</v>
      </c>
      <c r="AI68" s="2048">
        <f t="shared" si="21"/>
        <v>1378</v>
      </c>
      <c r="AJ68" s="1815">
        <f>_xlfn.XLOOKUP($D68,'Sales Rec'!$E$4:$E$93,'Sales Rec'!$AV$4:$AV$93)</f>
        <v>1895</v>
      </c>
      <c r="AK68" s="2048">
        <f t="shared" si="22"/>
        <v>517</v>
      </c>
      <c r="AL68" s="1815">
        <f>_xlfn.XLOOKUP($D68,'Sales Rec'!$E$4:$E$93,'Sales Rec'!$AY$4:$AY$93)</f>
        <v>2397</v>
      </c>
      <c r="AM68" s="2048">
        <f t="shared" si="23"/>
        <v>502</v>
      </c>
      <c r="AN68" s="1815">
        <f>_xlfn.XLOOKUP($D68,'Sales Rec'!$E$4:$E$93,'Sales Rec'!$BB$4:$BB$93)</f>
        <v>2906</v>
      </c>
      <c r="AO68" s="2048">
        <f t="shared" si="24"/>
        <v>509</v>
      </c>
      <c r="AP68" s="1815">
        <f>_xlfn.XLOOKUP($D68,'Sales Rec'!$E$4:$E$93,'Sales Rec'!$BE$4:$BE$93)</f>
        <v>3462</v>
      </c>
      <c r="AQ68" s="2048">
        <f t="shared" si="25"/>
        <v>556</v>
      </c>
      <c r="AR68" s="1815">
        <f>_xlfn.XLOOKUP(D68,'Sales Rec'!$E$4:$E$93,'Sales Rec'!$BH$4:$BH$93)</f>
        <v>4032</v>
      </c>
      <c r="AS68" s="2048">
        <f t="shared" si="41"/>
        <v>570</v>
      </c>
      <c r="AT68" s="1815">
        <f>_xlfn.XLOOKUP(D68,'Sales Rec'!$E$4:$E$93,'Sales Rec'!$BK$4:$BK$93)</f>
        <v>4631</v>
      </c>
      <c r="AU68" s="2048">
        <f t="shared" si="66"/>
        <v>599</v>
      </c>
      <c r="AV68" s="1815">
        <f>_xlfn.XLOOKUP($D68,'Sales Rec'!$E$4:$E$93,'Sales Rec'!$BN$4:$BN$93)</f>
        <v>5234</v>
      </c>
      <c r="AW68" s="2048">
        <f t="shared" si="67"/>
        <v>603</v>
      </c>
      <c r="AX68" s="1815">
        <f>_xlfn.XLOOKUP($D68,'Sales Rec'!$E$4:$E$93,'Sales Rec'!$BQ$4:$BQ$93)</f>
        <v>5721</v>
      </c>
      <c r="AY68" s="2048">
        <f t="shared" si="68"/>
        <v>487</v>
      </c>
      <c r="AZ68" s="1815">
        <f>_xlfn.XLOOKUP($D68,'Sales Rec'!$E$4:$E$93,'Sales Rec'!$BT$4:$BT$93)</f>
        <v>479</v>
      </c>
      <c r="BA68" s="2048">
        <f t="shared" si="69"/>
        <v>479</v>
      </c>
      <c r="BB68" s="1815">
        <f>_xlfn.XLOOKUP($D68,'Sales Rec'!$E$4:$E$93,'Sales Rec'!$BW$4:$BW$93)</f>
        <v>1560</v>
      </c>
      <c r="BC68" s="2048">
        <f t="shared" si="70"/>
        <v>1081</v>
      </c>
      <c r="BD68" s="1815">
        <f>_xlfn.XLOOKUP($D68,'Sales Rec'!$E$4:$E$93,'Sales Rec'!$BZ$4:$BZ$93)</f>
        <v>2299</v>
      </c>
      <c r="BE68" s="2048">
        <f t="shared" si="71"/>
        <v>739</v>
      </c>
      <c r="BF68" s="1815">
        <f>_xlfn.XLOOKUP($D68,'Sales Rec'!$E$4:$E$93,'Sales Rec'!$CH$4:$CH$93)</f>
        <v>2706</v>
      </c>
      <c r="BG68" s="2048">
        <f t="shared" si="72"/>
        <v>407</v>
      </c>
      <c r="BH68" s="2050">
        <f t="shared" si="73"/>
        <v>-0.44925575101488496</v>
      </c>
      <c r="BI68" s="1815">
        <f>_xlfn.XLOOKUP($D68,'Sales Rec'!$E$4:$E$93,'Sales Rec'!$CK$4:$CK$93)</f>
        <v>3774</v>
      </c>
      <c r="BJ68" s="2048">
        <f t="shared" si="62"/>
        <v>1068</v>
      </c>
      <c r="BK68" s="2050">
        <f t="shared" si="74"/>
        <v>1.624078624078624</v>
      </c>
      <c r="BL68" s="1815">
        <f>_xlfn.XLOOKUP($D68,'Sales Rec'!$E$4:$E$93,'Sales Rec'!$CN$4:$CN$93)</f>
        <v>5214</v>
      </c>
      <c r="BM68" s="2048">
        <f t="shared" si="63"/>
        <v>1440</v>
      </c>
      <c r="BN68" s="2050">
        <f t="shared" si="17"/>
        <v>0.34831460674157305</v>
      </c>
      <c r="BO68" s="2069">
        <f t="shared" si="61"/>
        <v>0.26794258373205743</v>
      </c>
      <c r="BP68" s="1575">
        <f t="shared" si="75"/>
        <v>21</v>
      </c>
    </row>
    <row r="69" spans="1:68" ht="100" customHeight="1">
      <c r="A69" s="2146">
        <v>38</v>
      </c>
      <c r="B69" s="2176">
        <f>_xlfn.XLOOKUP(D69,MOPFRA!$R$7:$R$56,MOPFRA!$A$7:$A$56,"")</f>
        <v>-5.7512781330747558</v>
      </c>
      <c r="C69" s="2164" t="str">
        <f>MOPFRA!Q43</f>
        <v>شيشه‌ همدان‌</v>
      </c>
      <c r="D69" s="2164" t="str">
        <f>MOPFRA!R43</f>
        <v>كهمدا</v>
      </c>
      <c r="E69" s="2170">
        <f>_xlfn.XLOOKUP(D69,MOPFRA!$R$7:$R$56,MOPFRA!$S$7:$S$56,"")</f>
        <v>3</v>
      </c>
      <c r="F69" s="2171">
        <f>_xlfn.XLOOKUP(D69,MOPFRA!$R$7:$R$56,MOPFRA!$AQ$7:$AQ$56,"")</f>
        <v>3002</v>
      </c>
      <c r="G69" s="2167">
        <v>4</v>
      </c>
      <c r="H69" s="2168">
        <f t="shared" si="64"/>
        <v>1</v>
      </c>
      <c r="I69" s="2147"/>
      <c r="J69" s="2148"/>
      <c r="K69" s="2149"/>
      <c r="L69" s="2150"/>
      <c r="M69" s="2147"/>
      <c r="N69" s="2148"/>
      <c r="O69" s="2149"/>
      <c r="P69" s="2151"/>
      <c r="Q69" s="2186">
        <f t="shared" si="65"/>
        <v>374</v>
      </c>
      <c r="R69" s="2187"/>
      <c r="S69" s="2188">
        <f>_xlfn.XLOOKUP(D69,'Sales Rec'!$E$4:$E$93,'Sales Rec'!$CP$4:$CP$93,"")</f>
        <v>0.32831858407079645</v>
      </c>
      <c r="T69" s="2152" t="s">
        <v>234</v>
      </c>
      <c r="U69" s="2152" t="s">
        <v>234</v>
      </c>
      <c r="AH69" s="1815">
        <f>_xlfn.XLOOKUP($D69,'Sales Rec'!$E$4:$E$93,'Sales Rec'!$AS$4:$AS$93)</f>
        <v>1889</v>
      </c>
      <c r="AI69" s="2048">
        <f t="shared" si="21"/>
        <v>1889</v>
      </c>
      <c r="AJ69" s="1815">
        <f>_xlfn.XLOOKUP($D69,'Sales Rec'!$E$4:$E$93,'Sales Rec'!$AV$4:$AV$93)</f>
        <v>2097</v>
      </c>
      <c r="AK69" s="2048">
        <f t="shared" si="22"/>
        <v>208</v>
      </c>
      <c r="AL69" s="1815">
        <f>_xlfn.XLOOKUP($D69,'Sales Rec'!$E$4:$E$93,'Sales Rec'!$AY$4:$AY$93)</f>
        <v>2260</v>
      </c>
      <c r="AM69" s="2048">
        <f t="shared" si="23"/>
        <v>163</v>
      </c>
      <c r="AN69" s="1815">
        <f>_xlfn.XLOOKUP($D69,'Sales Rec'!$E$4:$E$93,'Sales Rec'!$BB$4:$BB$93)</f>
        <v>280</v>
      </c>
      <c r="AO69" s="2048">
        <f t="shared" si="24"/>
        <v>280</v>
      </c>
      <c r="AP69" s="1815">
        <f>_xlfn.XLOOKUP($D69,'Sales Rec'!$E$4:$E$93,'Sales Rec'!$BE$4:$BE$93)</f>
        <v>520</v>
      </c>
      <c r="AQ69" s="2048">
        <f t="shared" si="25"/>
        <v>240</v>
      </c>
      <c r="AR69" s="1815">
        <f>_xlfn.XLOOKUP(D69,'Sales Rec'!$E$4:$E$93,'Sales Rec'!$BH$4:$BH$93)</f>
        <v>771</v>
      </c>
      <c r="AS69" s="2048">
        <f t="shared" si="41"/>
        <v>251</v>
      </c>
      <c r="AT69" s="1815">
        <f>_xlfn.XLOOKUP(D69,'Sales Rec'!$E$4:$E$93,'Sales Rec'!$BK$4:$BK$93)</f>
        <v>1010</v>
      </c>
      <c r="AU69" s="2048">
        <f t="shared" si="66"/>
        <v>239</v>
      </c>
      <c r="AV69" s="1815">
        <f>_xlfn.XLOOKUP($D69,'Sales Rec'!$E$4:$E$93,'Sales Rec'!$BN$4:$BN$93)</f>
        <v>1185</v>
      </c>
      <c r="AW69" s="2048">
        <f t="shared" si="67"/>
        <v>175</v>
      </c>
      <c r="AX69" s="1815">
        <f>_xlfn.XLOOKUP($D69,'Sales Rec'!$E$4:$E$93,'Sales Rec'!$BQ$4:$BQ$93)</f>
        <v>1396</v>
      </c>
      <c r="AY69" s="2048">
        <f t="shared" si="68"/>
        <v>211</v>
      </c>
      <c r="AZ69" s="1815">
        <f>_xlfn.XLOOKUP($D69,'Sales Rec'!$E$4:$E$93,'Sales Rec'!$BT$4:$BT$93)</f>
        <v>1610</v>
      </c>
      <c r="BA69" s="2048">
        <f t="shared" si="69"/>
        <v>214</v>
      </c>
      <c r="BB69" s="1815">
        <f>_xlfn.XLOOKUP($D69,'Sales Rec'!$E$4:$E$93,'Sales Rec'!$BW$4:$BW$93)</f>
        <v>1916</v>
      </c>
      <c r="BC69" s="2048">
        <f t="shared" si="70"/>
        <v>306</v>
      </c>
      <c r="BD69" s="1815">
        <f>_xlfn.XLOOKUP($D69,'Sales Rec'!$E$4:$E$93,'Sales Rec'!$BZ$4:$BZ$93)</f>
        <v>2204</v>
      </c>
      <c r="BE69" s="2048">
        <f t="shared" si="71"/>
        <v>288</v>
      </c>
      <c r="BF69" s="1815">
        <f>_xlfn.XLOOKUP($D69,'Sales Rec'!$E$4:$E$93,'Sales Rec'!$CH$4:$CH$93)</f>
        <v>2403</v>
      </c>
      <c r="BG69" s="2048">
        <f t="shared" si="72"/>
        <v>199</v>
      </c>
      <c r="BH69" s="2050">
        <f t="shared" si="73"/>
        <v>-0.30902777777777779</v>
      </c>
      <c r="BI69" s="1815">
        <f>_xlfn.XLOOKUP($D69,'Sales Rec'!$E$4:$E$93,'Sales Rec'!$CK$4:$CK$93)</f>
        <v>2628</v>
      </c>
      <c r="BJ69" s="2048">
        <f t="shared" si="62"/>
        <v>225</v>
      </c>
      <c r="BK69" s="2050">
        <f t="shared" si="74"/>
        <v>0.1306532663316583</v>
      </c>
      <c r="BL69" s="1815">
        <f>_xlfn.XLOOKUP($D69,'Sales Rec'!$E$4:$E$93,'Sales Rec'!$CN$4:$CN$93)</f>
        <v>3002</v>
      </c>
      <c r="BM69" s="2048">
        <f t="shared" si="63"/>
        <v>374</v>
      </c>
      <c r="BN69" s="2050">
        <f t="shared" ref="BN69:BN88" si="76">IFERROR((BM69-BJ69)/BJ69,"")</f>
        <v>0.66222222222222227</v>
      </c>
      <c r="BO69" s="2069">
        <f t="shared" si="61"/>
        <v>-1.2376237623762377E-2</v>
      </c>
      <c r="BP69" s="1575">
        <f t="shared" si="75"/>
        <v>36</v>
      </c>
    </row>
    <row r="70" spans="1:68" ht="100" customHeight="1">
      <c r="A70" s="2146">
        <v>39</v>
      </c>
      <c r="B70" s="2176">
        <f>_xlfn.XLOOKUP(D70,MOPFRA!$R$7:$R$56,MOPFRA!$A$7:$A$56,"")</f>
        <v>-8.6546666382605597</v>
      </c>
      <c r="C70" s="2164" t="str">
        <f>MOPFRA!Q44</f>
        <v>آلوميناي ايران</v>
      </c>
      <c r="D70" s="2164" t="str">
        <f>MOPFRA!R44</f>
        <v>آلومينا</v>
      </c>
      <c r="E70" s="2170">
        <f>_xlfn.XLOOKUP(D70,MOPFRA!$R$7:$R$56,MOPFRA!$S$7:$S$56,"")</f>
        <v>12</v>
      </c>
      <c r="F70" s="2171">
        <f>_xlfn.XLOOKUP(D70,MOPFRA!$R$7:$R$56,MOPFRA!$AQ$7:$AQ$56,"")</f>
        <v>19019</v>
      </c>
      <c r="G70" s="2167">
        <v>4</v>
      </c>
      <c r="H70" s="2168">
        <f t="shared" si="64"/>
        <v>4</v>
      </c>
      <c r="I70" s="2147"/>
      <c r="J70" s="2148"/>
      <c r="K70" s="2149"/>
      <c r="L70" s="2150"/>
      <c r="M70" s="2147"/>
      <c r="N70" s="2148"/>
      <c r="O70" s="2149"/>
      <c r="P70" s="2151"/>
      <c r="Q70" s="2186">
        <f t="shared" si="65"/>
        <v>1972</v>
      </c>
      <c r="R70" s="2187"/>
      <c r="S70" s="2188">
        <f>_xlfn.XLOOKUP(D70,'Sales Rec'!$E$4:$E$93,'Sales Rec'!$CP$4:$CP$93,"")</f>
        <v>0.34649029229784511</v>
      </c>
      <c r="T70" s="2152" t="s">
        <v>234</v>
      </c>
      <c r="U70" s="2152" t="s">
        <v>234</v>
      </c>
      <c r="AH70" s="1815">
        <f>_xlfn.XLOOKUP($D70,'Sales Rec'!$E$4:$E$93,'Sales Rec'!$AS$4:$AS$93)</f>
        <v>1214</v>
      </c>
      <c r="AI70" s="2048">
        <f t="shared" ref="AI70:AI88" si="77">IF(AF70&gt;AH70,AH70,AH70-AF70)</f>
        <v>1214</v>
      </c>
      <c r="AJ70" s="1815">
        <f>_xlfn.XLOOKUP($D70,'Sales Rec'!$E$4:$E$93,'Sales Rec'!$AV$4:$AV$93)</f>
        <v>3336</v>
      </c>
      <c r="AK70" s="2048">
        <f t="shared" ref="AK70:AK88" si="78">IF(AH70&gt;AJ70,AJ70,AJ70-AH70)</f>
        <v>2122</v>
      </c>
      <c r="AL70" s="1815">
        <f>_xlfn.XLOOKUP($D70,'Sales Rec'!$E$4:$E$93,'Sales Rec'!$AY$4:$AY$93)</f>
        <v>4687</v>
      </c>
      <c r="AM70" s="2048">
        <f t="shared" ref="AM70:AM88" si="79">IF(AJ70&gt;AL70,AL70,AL70-AJ70)</f>
        <v>1351</v>
      </c>
      <c r="AN70" s="1815">
        <f>_xlfn.XLOOKUP($D70,'Sales Rec'!$E$4:$E$93,'Sales Rec'!$BB$4:$BB$93)</f>
        <v>6201</v>
      </c>
      <c r="AO70" s="2048">
        <f t="shared" ref="AO70:AO88" si="80">IF(AL70&gt;AN70,AN70,AN70-AL70)</f>
        <v>1514</v>
      </c>
      <c r="AP70" s="1815">
        <f>_xlfn.XLOOKUP($D70,'Sales Rec'!$E$4:$E$93,'Sales Rec'!$BE$4:$BE$93)</f>
        <v>7213</v>
      </c>
      <c r="AQ70" s="2048">
        <f t="shared" ref="AQ70:AQ88" si="81">IF(AN70&gt;AP70,AP70,AP70-AN70)</f>
        <v>1012</v>
      </c>
      <c r="AR70" s="1815">
        <f>_xlfn.XLOOKUP(D70,'Sales Rec'!$E$4:$E$93,'Sales Rec'!$BH$4:$BH$93)</f>
        <v>8303</v>
      </c>
      <c r="AS70" s="2048">
        <f t="shared" si="41"/>
        <v>1090</v>
      </c>
      <c r="AT70" s="1815">
        <f>_xlfn.XLOOKUP(D70,'Sales Rec'!$E$4:$E$93,'Sales Rec'!$BK$4:$BK$93)</f>
        <v>9476</v>
      </c>
      <c r="AU70" s="2048">
        <f t="shared" si="66"/>
        <v>1173</v>
      </c>
      <c r="AV70" s="1815">
        <f>_xlfn.XLOOKUP($D70,'Sales Rec'!$E$4:$E$93,'Sales Rec'!$BN$4:$BN$93)</f>
        <v>11731</v>
      </c>
      <c r="AW70" s="2048">
        <f t="shared" si="67"/>
        <v>2255</v>
      </c>
      <c r="AX70" s="1815">
        <f>_xlfn.XLOOKUP($D70,'Sales Rec'!$E$4:$E$93,'Sales Rec'!$BQ$4:$BQ$93)</f>
        <v>12766</v>
      </c>
      <c r="AY70" s="2048">
        <f t="shared" si="68"/>
        <v>1035</v>
      </c>
      <c r="AZ70" s="1815">
        <f>_xlfn.XLOOKUP($D70,'Sales Rec'!$E$4:$E$93,'Sales Rec'!$BT$4:$BT$93)</f>
        <v>14946</v>
      </c>
      <c r="BA70" s="2048">
        <f t="shared" si="69"/>
        <v>2180</v>
      </c>
      <c r="BB70" s="1815">
        <f>_xlfn.XLOOKUP($D70,'Sales Rec'!$E$4:$E$93,'Sales Rec'!$BW$4:$BW$93)</f>
        <v>16559</v>
      </c>
      <c r="BC70" s="2048">
        <f t="shared" si="70"/>
        <v>1613</v>
      </c>
      <c r="BD70" s="1815">
        <f>_xlfn.XLOOKUP($D70,'Sales Rec'!$E$4:$E$93,'Sales Rec'!$BZ$4:$BZ$93)</f>
        <v>18461</v>
      </c>
      <c r="BE70" s="2048">
        <f t="shared" si="71"/>
        <v>1902</v>
      </c>
      <c r="BF70" s="1815">
        <f>_xlfn.XLOOKUP($D70,'Sales Rec'!$E$4:$E$93,'Sales Rec'!$CH$4:$CH$93)</f>
        <v>762</v>
      </c>
      <c r="BG70" s="2048">
        <f t="shared" si="72"/>
        <v>762</v>
      </c>
      <c r="BH70" s="2050">
        <f t="shared" si="73"/>
        <v>-0.59936908517350163</v>
      </c>
      <c r="BI70" s="1815">
        <f>_xlfn.XLOOKUP($D70,'Sales Rec'!$E$4:$E$93,'Sales Rec'!$CK$4:$CK$93)</f>
        <v>4339</v>
      </c>
      <c r="BJ70" s="2048">
        <f t="shared" si="62"/>
        <v>3577</v>
      </c>
      <c r="BK70" s="2050">
        <f t="shared" si="74"/>
        <v>3.6942257217847767</v>
      </c>
      <c r="BL70" s="1815">
        <f>_xlfn.XLOOKUP($D70,'Sales Rec'!$E$4:$E$93,'Sales Rec'!$CN$4:$CN$93)</f>
        <v>6311</v>
      </c>
      <c r="BM70" s="2048">
        <f t="shared" si="63"/>
        <v>1972</v>
      </c>
      <c r="BN70" s="2050">
        <f t="shared" si="76"/>
        <v>-0.44870002795638803</v>
      </c>
      <c r="BO70" s="2069">
        <f t="shared" si="61"/>
        <v>0.10816505706760315</v>
      </c>
      <c r="BP70" s="1575">
        <f t="shared" si="75"/>
        <v>27</v>
      </c>
    </row>
    <row r="71" spans="1:68" ht="100" customHeight="1">
      <c r="A71" s="2146">
        <v>40</v>
      </c>
      <c r="B71" s="2176">
        <f>_xlfn.XLOOKUP(D71,MOPFRA!$R$7:$R$56,MOPFRA!$A$7:$A$56,"")</f>
        <v>-12.256156490777114</v>
      </c>
      <c r="C71" s="2164" t="str">
        <f>MOPFRA!Q45</f>
        <v>صبا فولاد خليج فارس</v>
      </c>
      <c r="D71" s="2164" t="str">
        <f>MOPFRA!R45</f>
        <v>فصبا</v>
      </c>
      <c r="E71" s="2170">
        <f>_xlfn.XLOOKUP(D71,MOPFRA!$R$7:$R$56,MOPFRA!$S$7:$S$56,"")</f>
        <v>9</v>
      </c>
      <c r="F71" s="2171">
        <f>_xlfn.XLOOKUP(D71,MOPFRA!$R$7:$R$56,MOPFRA!$AQ$7:$AQ$56,"")</f>
        <v>18602</v>
      </c>
      <c r="G71" s="2167">
        <v>4</v>
      </c>
      <c r="H71" s="2168">
        <f t="shared" si="64"/>
        <v>7</v>
      </c>
      <c r="I71" s="2147"/>
      <c r="J71" s="2148"/>
      <c r="K71" s="2149"/>
      <c r="L71" s="2150"/>
      <c r="M71" s="2147"/>
      <c r="N71" s="2148"/>
      <c r="O71" s="2149"/>
      <c r="P71" s="2151"/>
      <c r="Q71" s="2186">
        <f t="shared" si="65"/>
        <v>1857</v>
      </c>
      <c r="R71" s="2187"/>
      <c r="S71" s="2188">
        <f>_xlfn.XLOOKUP(D71,'Sales Rec'!$E$4:$E$93,'Sales Rec'!$CP$4:$CP$93,"")</f>
        <v>0.88402588555858308</v>
      </c>
      <c r="T71" s="2152" t="s">
        <v>234</v>
      </c>
      <c r="U71" s="2152" t="s">
        <v>234</v>
      </c>
      <c r="AH71" s="1815">
        <f>_xlfn.XLOOKUP($D71,'Sales Rec'!$E$4:$E$93,'Sales Rec'!$AS$4:$AS$93)</f>
        <v>3096</v>
      </c>
      <c r="AI71" s="2048">
        <f t="shared" si="77"/>
        <v>3096</v>
      </c>
      <c r="AJ71" s="1815">
        <f>_xlfn.XLOOKUP($D71,'Sales Rec'!$E$4:$E$93,'Sales Rec'!$AV$4:$AV$93)</f>
        <v>4149</v>
      </c>
      <c r="AK71" s="2048">
        <f t="shared" si="78"/>
        <v>1053</v>
      </c>
      <c r="AL71" s="1815">
        <f>_xlfn.XLOOKUP($D71,'Sales Rec'!$E$4:$E$93,'Sales Rec'!$AY$4:$AY$93)</f>
        <v>5872</v>
      </c>
      <c r="AM71" s="2048">
        <f t="shared" si="79"/>
        <v>1723</v>
      </c>
      <c r="AN71" s="1815">
        <f>_xlfn.XLOOKUP($D71,'Sales Rec'!$E$4:$E$93,'Sales Rec'!$BB$4:$BB$93)</f>
        <v>6571</v>
      </c>
      <c r="AO71" s="2048">
        <f t="shared" si="80"/>
        <v>699</v>
      </c>
      <c r="AP71" s="1815">
        <f>_xlfn.XLOOKUP($D71,'Sales Rec'!$E$4:$E$93,'Sales Rec'!$BE$4:$BE$93)</f>
        <v>7950</v>
      </c>
      <c r="AQ71" s="2048">
        <f t="shared" si="81"/>
        <v>1379</v>
      </c>
      <c r="AR71" s="1815">
        <f>_xlfn.XLOOKUP(D71,'Sales Rec'!$E$4:$E$93,'Sales Rec'!$BH$4:$BH$93)</f>
        <v>10564</v>
      </c>
      <c r="AS71" s="2048">
        <f t="shared" si="41"/>
        <v>2614</v>
      </c>
      <c r="AT71" s="1815">
        <f>_xlfn.XLOOKUP(D71,'Sales Rec'!$E$4:$E$93,'Sales Rec'!$BK$4:$BK$93)</f>
        <v>13990</v>
      </c>
      <c r="AU71" s="2048">
        <f t="shared" si="66"/>
        <v>3426</v>
      </c>
      <c r="AV71" s="1815">
        <f>_xlfn.XLOOKUP($D71,'Sales Rec'!$E$4:$E$93,'Sales Rec'!$BN$4:$BN$93)</f>
        <v>16530</v>
      </c>
      <c r="AW71" s="2048">
        <f t="shared" si="67"/>
        <v>2540</v>
      </c>
      <c r="AX71" s="1815">
        <f>_xlfn.XLOOKUP($D71,'Sales Rec'!$E$4:$E$93,'Sales Rec'!$BQ$4:$BQ$93)</f>
        <v>18602</v>
      </c>
      <c r="AY71" s="2048">
        <f t="shared" si="68"/>
        <v>2072</v>
      </c>
      <c r="AZ71" s="1815">
        <f>_xlfn.XLOOKUP($D71,'Sales Rec'!$E$4:$E$93,'Sales Rec'!$BT$4:$BT$93)</f>
        <v>3742</v>
      </c>
      <c r="BA71" s="2048">
        <f t="shared" si="69"/>
        <v>3742</v>
      </c>
      <c r="BB71" s="1815">
        <f>_xlfn.XLOOKUP($D71,'Sales Rec'!$E$4:$E$93,'Sales Rec'!$BW$4:$BW$93)</f>
        <v>6142</v>
      </c>
      <c r="BC71" s="2048">
        <f t="shared" si="70"/>
        <v>2400</v>
      </c>
      <c r="BD71" s="1815">
        <f>_xlfn.XLOOKUP($D71,'Sales Rec'!$E$4:$E$93,'Sales Rec'!$BZ$4:$BZ$93)</f>
        <v>6162</v>
      </c>
      <c r="BE71" s="2048">
        <f t="shared" si="71"/>
        <v>20</v>
      </c>
      <c r="BF71" s="1815">
        <f>_xlfn.XLOOKUP($D71,'Sales Rec'!$E$4:$E$93,'Sales Rec'!$CH$4:$CH$93)</f>
        <v>7667</v>
      </c>
      <c r="BG71" s="2048">
        <f t="shared" si="72"/>
        <v>1505</v>
      </c>
      <c r="BH71" s="2050">
        <f t="shared" si="73"/>
        <v>74.25</v>
      </c>
      <c r="BI71" s="1815">
        <f>_xlfn.XLOOKUP($D71,'Sales Rec'!$E$4:$E$93,'Sales Rec'!$CK$4:$CK$93)</f>
        <v>9206</v>
      </c>
      <c r="BJ71" s="2048">
        <f t="shared" si="62"/>
        <v>1539</v>
      </c>
      <c r="BK71" s="2050">
        <f t="shared" si="74"/>
        <v>2.2591362126245847E-2</v>
      </c>
      <c r="BL71" s="1815">
        <f>_xlfn.XLOOKUP($D71,'Sales Rec'!$E$4:$E$93,'Sales Rec'!$CN$4:$CN$93)</f>
        <v>11063</v>
      </c>
      <c r="BM71" s="2048">
        <f t="shared" si="63"/>
        <v>1857</v>
      </c>
      <c r="BN71" s="2050">
        <f t="shared" si="76"/>
        <v>0.20662768031189083</v>
      </c>
      <c r="BO71" s="2069">
        <f t="shared" si="61"/>
        <v>-0.20464135021097046</v>
      </c>
      <c r="BP71" s="1575">
        <f t="shared" si="75"/>
        <v>40</v>
      </c>
    </row>
    <row r="72" spans="1:68" ht="100" customHeight="1">
      <c r="A72" s="2146">
        <v>41</v>
      </c>
      <c r="B72" s="2176">
        <f>_xlfn.XLOOKUP(D72,MOPFRA!$R$7:$R$56,MOPFRA!$A$7:$A$56,"")</f>
        <v>-16.082359578665564</v>
      </c>
      <c r="C72" s="2164" t="str">
        <f>MOPFRA!Q46</f>
        <v>گروه‌ صنعتي‌ بارز</v>
      </c>
      <c r="D72" s="2164" t="str">
        <f>MOPFRA!R46</f>
        <v>پكرمان</v>
      </c>
      <c r="E72" s="2170">
        <f>_xlfn.XLOOKUP(D72,MOPFRA!$R$7:$R$56,MOPFRA!$S$7:$S$56,"")</f>
        <v>12</v>
      </c>
      <c r="F72" s="2171">
        <f>_xlfn.XLOOKUP(D72,MOPFRA!$R$7:$R$56,MOPFRA!$AQ$7:$AQ$56,"")</f>
        <v>18091</v>
      </c>
      <c r="G72" s="2167">
        <v>4</v>
      </c>
      <c r="H72" s="2168">
        <f t="shared" si="64"/>
        <v>4</v>
      </c>
      <c r="I72" s="2147"/>
      <c r="J72" s="2148"/>
      <c r="K72" s="2149"/>
      <c r="L72" s="2150"/>
      <c r="M72" s="2147"/>
      <c r="N72" s="2148"/>
      <c r="O72" s="2149"/>
      <c r="P72" s="2151"/>
      <c r="Q72" s="2186">
        <f t="shared" si="65"/>
        <v>1948</v>
      </c>
      <c r="R72" s="2187"/>
      <c r="S72" s="2188">
        <f>_xlfn.XLOOKUP(D72,'Sales Rec'!$E$4:$E$93,'Sales Rec'!$CP$4:$CP$93,"")</f>
        <v>0.53759496987162692</v>
      </c>
      <c r="T72" s="2152" t="s">
        <v>234</v>
      </c>
      <c r="U72" s="2152" t="s">
        <v>234</v>
      </c>
      <c r="AH72" s="1815">
        <f>_xlfn.XLOOKUP($D72,'Sales Rec'!$E$4:$E$93,'Sales Rec'!$AS$4:$AS$93)</f>
        <v>910</v>
      </c>
      <c r="AI72" s="2048">
        <f t="shared" si="77"/>
        <v>910</v>
      </c>
      <c r="AJ72" s="1815">
        <f>_xlfn.XLOOKUP($D72,'Sales Rec'!$E$4:$E$93,'Sales Rec'!$AV$4:$AV$93)</f>
        <v>2402</v>
      </c>
      <c r="AK72" s="2048">
        <f t="shared" si="78"/>
        <v>1492</v>
      </c>
      <c r="AL72" s="1815">
        <f>_xlfn.XLOOKUP($D72,'Sales Rec'!$E$4:$E$93,'Sales Rec'!$AY$4:$AY$93)</f>
        <v>3817</v>
      </c>
      <c r="AM72" s="2048">
        <f t="shared" si="79"/>
        <v>1415</v>
      </c>
      <c r="AN72" s="1815">
        <f>_xlfn.XLOOKUP($D72,'Sales Rec'!$E$4:$E$93,'Sales Rec'!$BB$4:$BB$93)</f>
        <v>5529</v>
      </c>
      <c r="AO72" s="2048">
        <f t="shared" si="80"/>
        <v>1712</v>
      </c>
      <c r="AP72" s="1815">
        <f>_xlfn.XLOOKUP($D72,'Sales Rec'!$E$4:$E$93,'Sales Rec'!$BE$4:$BE$93)</f>
        <v>7123</v>
      </c>
      <c r="AQ72" s="2048">
        <f t="shared" si="81"/>
        <v>1594</v>
      </c>
      <c r="AR72" s="1815">
        <f>_xlfn.XLOOKUP(D72,'Sales Rec'!$E$4:$E$93,'Sales Rec'!$BH$4:$BH$93)</f>
        <v>8766</v>
      </c>
      <c r="AS72" s="2048">
        <f t="shared" si="41"/>
        <v>1643</v>
      </c>
      <c r="AT72" s="1815">
        <f>_xlfn.XLOOKUP(D72,'Sales Rec'!$E$4:$E$93,'Sales Rec'!$BK$4:$BK$93)</f>
        <v>10551</v>
      </c>
      <c r="AU72" s="2048">
        <f t="shared" si="66"/>
        <v>1785</v>
      </c>
      <c r="AV72" s="1815">
        <f>_xlfn.XLOOKUP($D72,'Sales Rec'!$E$4:$E$93,'Sales Rec'!$BN$4:$BN$93)</f>
        <v>11950</v>
      </c>
      <c r="AW72" s="2048">
        <f t="shared" si="67"/>
        <v>1399</v>
      </c>
      <c r="AX72" s="1815">
        <f>_xlfn.XLOOKUP($D72,'Sales Rec'!$E$4:$E$93,'Sales Rec'!$BQ$4:$BQ$93)</f>
        <v>13800</v>
      </c>
      <c r="AY72" s="2048">
        <f t="shared" si="68"/>
        <v>1850</v>
      </c>
      <c r="AZ72" s="1815">
        <f>_xlfn.XLOOKUP($D72,'Sales Rec'!$E$4:$E$93,'Sales Rec'!$BT$4:$BT$93)</f>
        <v>15066</v>
      </c>
      <c r="BA72" s="2048">
        <f t="shared" si="69"/>
        <v>1266</v>
      </c>
      <c r="BB72" s="1815">
        <f>_xlfn.XLOOKUP($D72,'Sales Rec'!$E$4:$E$93,'Sales Rec'!$BW$4:$BW$93)</f>
        <v>16565</v>
      </c>
      <c r="BC72" s="2048">
        <f t="shared" si="70"/>
        <v>1499</v>
      </c>
      <c r="BD72" s="1815">
        <f>_xlfn.XLOOKUP($D72,'Sales Rec'!$E$4:$E$93,'Sales Rec'!$BZ$4:$BZ$93)</f>
        <v>18091</v>
      </c>
      <c r="BE72" s="2048">
        <f t="shared" si="71"/>
        <v>1526</v>
      </c>
      <c r="BF72" s="1815">
        <f>_xlfn.XLOOKUP($D72,'Sales Rec'!$E$4:$E$93,'Sales Rec'!$CH$4:$CH$93)</f>
        <v>1252</v>
      </c>
      <c r="BG72" s="2048">
        <f t="shared" si="72"/>
        <v>1252</v>
      </c>
      <c r="BH72" s="2050">
        <f t="shared" si="73"/>
        <v>-0.17955439056356487</v>
      </c>
      <c r="BI72" s="1815">
        <f>_xlfn.XLOOKUP($D72,'Sales Rec'!$E$4:$E$93,'Sales Rec'!$CK$4:$CK$93)</f>
        <v>3921</v>
      </c>
      <c r="BJ72" s="2048">
        <f t="shared" si="62"/>
        <v>2669</v>
      </c>
      <c r="BK72" s="2050">
        <f t="shared" si="74"/>
        <v>1.1317891373801916</v>
      </c>
      <c r="BL72" s="1815">
        <f>_xlfn.XLOOKUP($D72,'Sales Rec'!$E$4:$E$93,'Sales Rec'!$CN$4:$CN$93)</f>
        <v>5869</v>
      </c>
      <c r="BM72" s="2048">
        <f t="shared" si="63"/>
        <v>1948</v>
      </c>
      <c r="BN72" s="2050">
        <f t="shared" si="76"/>
        <v>-0.27013862869988758</v>
      </c>
      <c r="BO72" s="2069">
        <f t="shared" si="61"/>
        <v>0.36774644604987183</v>
      </c>
      <c r="BP72" s="1575">
        <f t="shared" si="75"/>
        <v>15</v>
      </c>
    </row>
    <row r="73" spans="1:68" ht="100" customHeight="1">
      <c r="A73" s="2146">
        <v>42</v>
      </c>
      <c r="B73" s="2176">
        <f>_xlfn.XLOOKUP(D73,MOPFRA!$R$7:$R$56,MOPFRA!$A$7:$A$56,"")</f>
        <v>-21.000719895593619</v>
      </c>
      <c r="C73" s="2164" t="str">
        <f>MOPFRA!Q47</f>
        <v>معدني‌وصنعتي‌چادرملو</v>
      </c>
      <c r="D73" s="2164" t="str">
        <f>MOPFRA!R47</f>
        <v>كچاد</v>
      </c>
      <c r="E73" s="2170">
        <f>_xlfn.XLOOKUP(D73,MOPFRA!$R$7:$R$56,MOPFRA!$S$7:$S$56,"")</f>
        <v>9</v>
      </c>
      <c r="F73" s="2171">
        <f>_xlfn.XLOOKUP(D73,MOPFRA!$R$7:$R$56,MOPFRA!$AQ$7:$AQ$56,"")</f>
        <v>65676</v>
      </c>
      <c r="G73" s="2167">
        <v>4</v>
      </c>
      <c r="H73" s="2168">
        <f t="shared" si="64"/>
        <v>7</v>
      </c>
      <c r="I73" s="2147"/>
      <c r="J73" s="2148"/>
      <c r="K73" s="2149"/>
      <c r="L73" s="2150"/>
      <c r="M73" s="2147"/>
      <c r="N73" s="2148"/>
      <c r="O73" s="2149"/>
      <c r="P73" s="2151"/>
      <c r="Q73" s="2186">
        <f t="shared" si="65"/>
        <v>11168</v>
      </c>
      <c r="R73" s="2187"/>
      <c r="S73" s="2188">
        <f>_xlfn.XLOOKUP(D73,'Sales Rec'!$E$4:$E$93,'Sales Rec'!$CP$4:$CP$93,"")</f>
        <v>0.23906112037672914</v>
      </c>
      <c r="T73" s="2152" t="s">
        <v>234</v>
      </c>
      <c r="U73" s="2152" t="s">
        <v>234</v>
      </c>
      <c r="AH73" s="1815">
        <f>_xlfn.XLOOKUP($D73,'Sales Rec'!$E$4:$E$93,'Sales Rec'!$AS$4:$AS$93)</f>
        <v>26184</v>
      </c>
      <c r="AI73" s="2048">
        <f t="shared" si="77"/>
        <v>26184</v>
      </c>
      <c r="AJ73" s="1815">
        <f>_xlfn.XLOOKUP($D73,'Sales Rec'!$E$4:$E$93,'Sales Rec'!$AV$4:$AV$93)</f>
        <v>34199</v>
      </c>
      <c r="AK73" s="2048">
        <f t="shared" si="78"/>
        <v>8015</v>
      </c>
      <c r="AL73" s="1815">
        <f>_xlfn.XLOOKUP($D73,'Sales Rec'!$E$4:$E$93,'Sales Rec'!$AY$4:$AY$93)</f>
        <v>40772</v>
      </c>
      <c r="AM73" s="2048">
        <f t="shared" si="79"/>
        <v>6573</v>
      </c>
      <c r="AN73" s="1815">
        <f>_xlfn.XLOOKUP($D73,'Sales Rec'!$E$4:$E$93,'Sales Rec'!$BB$4:$BB$93)</f>
        <v>45841</v>
      </c>
      <c r="AO73" s="2048">
        <f t="shared" si="80"/>
        <v>5069</v>
      </c>
      <c r="AP73" s="1815">
        <f>_xlfn.XLOOKUP($D73,'Sales Rec'!$E$4:$E$93,'Sales Rec'!$BE$4:$BE$93)</f>
        <v>52763</v>
      </c>
      <c r="AQ73" s="2048">
        <f t="shared" si="81"/>
        <v>6922</v>
      </c>
      <c r="AR73" s="1815">
        <f>_xlfn.XLOOKUP(D73,'Sales Rec'!$E$4:$E$93,'Sales Rec'!$BH$4:$BH$93)</f>
        <v>61290</v>
      </c>
      <c r="AS73" s="2048">
        <f t="shared" si="41"/>
        <v>8527</v>
      </c>
      <c r="AT73" s="1815">
        <f>_xlfn.XLOOKUP(D73,'Sales Rec'!$E$4:$E$93,'Sales Rec'!$BK$4:$BK$93)</f>
        <v>68521</v>
      </c>
      <c r="AU73" s="2048">
        <f t="shared" si="66"/>
        <v>7231</v>
      </c>
      <c r="AV73" s="1815">
        <f>_xlfn.XLOOKUP($D73,'Sales Rec'!$E$4:$E$93,'Sales Rec'!$BN$4:$BN$93)</f>
        <v>77043</v>
      </c>
      <c r="AW73" s="2048">
        <f t="shared" si="67"/>
        <v>8522</v>
      </c>
      <c r="AX73" s="1815">
        <f>_xlfn.XLOOKUP($D73,'Sales Rec'!$E$4:$E$93,'Sales Rec'!$BQ$4:$BQ$93)</f>
        <v>84606</v>
      </c>
      <c r="AY73" s="2048">
        <f t="shared" si="68"/>
        <v>7563</v>
      </c>
      <c r="AZ73" s="1815">
        <f>_xlfn.XLOOKUP($D73,'Sales Rec'!$E$4:$E$93,'Sales Rec'!$BT$4:$BT$93)</f>
        <v>8522</v>
      </c>
      <c r="BA73" s="2048">
        <f t="shared" si="69"/>
        <v>8522</v>
      </c>
      <c r="BB73" s="1815">
        <f>_xlfn.XLOOKUP($D73,'Sales Rec'!$E$4:$E$93,'Sales Rec'!$BW$4:$BW$93)</f>
        <v>16899</v>
      </c>
      <c r="BC73" s="2048">
        <f t="shared" si="70"/>
        <v>8377</v>
      </c>
      <c r="BD73" s="1815">
        <f>_xlfn.XLOOKUP($D73,'Sales Rec'!$E$4:$E$93,'Sales Rec'!$BZ$4:$BZ$93)</f>
        <v>25053</v>
      </c>
      <c r="BE73" s="2048">
        <f t="shared" si="71"/>
        <v>8154</v>
      </c>
      <c r="BF73" s="1815">
        <f>_xlfn.XLOOKUP($D73,'Sales Rec'!$E$4:$E$93,'Sales Rec'!$CH$4:$CH$93)</f>
        <v>30267</v>
      </c>
      <c r="BG73" s="2048">
        <f t="shared" si="72"/>
        <v>5214</v>
      </c>
      <c r="BH73" s="2050">
        <f t="shared" si="73"/>
        <v>-0.36055923473142015</v>
      </c>
      <c r="BI73" s="1815">
        <f>_xlfn.XLOOKUP($D73,'Sales Rec'!$E$4:$E$93,'Sales Rec'!$CK$4:$CK$93)</f>
        <v>39351</v>
      </c>
      <c r="BJ73" s="2048">
        <f t="shared" si="62"/>
        <v>9084</v>
      </c>
      <c r="BK73" s="2050">
        <f t="shared" si="74"/>
        <v>0.74223245109321057</v>
      </c>
      <c r="BL73" s="1815">
        <f>_xlfn.XLOOKUP($D73,'Sales Rec'!$E$4:$E$93,'Sales Rec'!$CN$4:$CN$93)</f>
        <v>50519</v>
      </c>
      <c r="BM73" s="2048">
        <f t="shared" si="63"/>
        <v>11168</v>
      </c>
      <c r="BN73" s="2050">
        <f t="shared" si="76"/>
        <v>0.22941435490973139</v>
      </c>
      <c r="BO73" s="2069">
        <f t="shared" si="61"/>
        <v>1.6485051690416318E-2</v>
      </c>
      <c r="BP73" s="1575">
        <f t="shared" si="75"/>
        <v>32</v>
      </c>
    </row>
    <row r="74" spans="1:68" ht="100" customHeight="1">
      <c r="A74" s="2146">
        <v>43</v>
      </c>
      <c r="B74" s="2176">
        <f>_xlfn.XLOOKUP(D74,MOPFRA!$R$7:$R$56,MOPFRA!$A$7:$A$56,"")</f>
        <v>-19.430894563608156</v>
      </c>
      <c r="C74" s="2164" t="str">
        <f>MOPFRA!Q48</f>
        <v>گلتاش‌</v>
      </c>
      <c r="D74" s="2164" t="str">
        <f>MOPFRA!R48</f>
        <v>شگل</v>
      </c>
      <c r="E74" s="2170">
        <f>_xlfn.XLOOKUP(D74,MOPFRA!$R$7:$R$56,MOPFRA!$S$7:$S$56,"")</f>
        <v>9</v>
      </c>
      <c r="F74" s="2171">
        <f>_xlfn.XLOOKUP(D74,MOPFRA!$R$7:$R$56,MOPFRA!$AQ$7:$AQ$56,"")</f>
        <v>3315</v>
      </c>
      <c r="G74" s="2167">
        <v>4</v>
      </c>
      <c r="H74" s="2168">
        <f t="shared" si="64"/>
        <v>7</v>
      </c>
      <c r="I74" s="2147"/>
      <c r="J74" s="2148"/>
      <c r="K74" s="2149"/>
      <c r="L74" s="2150"/>
      <c r="M74" s="2147"/>
      <c r="N74" s="2148"/>
      <c r="O74" s="2149"/>
      <c r="P74" s="2151"/>
      <c r="Q74" s="2186">
        <f t="shared" si="65"/>
        <v>801</v>
      </c>
      <c r="R74" s="2187"/>
      <c r="S74" s="2188">
        <f>_xlfn.XLOOKUP(D74,'Sales Rec'!$E$4:$E$93,'Sales Rec'!$CP$4:$CP$93,"")</f>
        <v>1.3320581484315226</v>
      </c>
      <c r="T74" s="2152" t="s">
        <v>234</v>
      </c>
      <c r="U74" s="2152" t="s">
        <v>234</v>
      </c>
      <c r="AH74" s="1815">
        <f>_xlfn.XLOOKUP($D74,'Sales Rec'!$E$4:$E$93,'Sales Rec'!$AS$4:$AS$93)</f>
        <v>713</v>
      </c>
      <c r="AI74" s="2048">
        <f t="shared" si="77"/>
        <v>713</v>
      </c>
      <c r="AJ74" s="1815">
        <f>_xlfn.XLOOKUP($D74,'Sales Rec'!$E$4:$E$93,'Sales Rec'!$AV$4:$AV$93)</f>
        <v>995</v>
      </c>
      <c r="AK74" s="2048">
        <f t="shared" si="78"/>
        <v>282</v>
      </c>
      <c r="AL74" s="1815">
        <f>_xlfn.XLOOKUP($D74,'Sales Rec'!$E$4:$E$93,'Sales Rec'!$AY$4:$AY$93)</f>
        <v>1307</v>
      </c>
      <c r="AM74" s="2048">
        <f t="shared" si="79"/>
        <v>312</v>
      </c>
      <c r="AN74" s="1815">
        <f>_xlfn.XLOOKUP($D74,'Sales Rec'!$E$4:$E$93,'Sales Rec'!$BB$4:$BB$93)</f>
        <v>1668</v>
      </c>
      <c r="AO74" s="2048">
        <f t="shared" si="80"/>
        <v>361</v>
      </c>
      <c r="AP74" s="1815">
        <f>_xlfn.XLOOKUP($D74,'Sales Rec'!$E$4:$E$93,'Sales Rec'!$BE$4:$BE$93)</f>
        <v>1998</v>
      </c>
      <c r="AQ74" s="2048">
        <f t="shared" si="81"/>
        <v>330</v>
      </c>
      <c r="AR74" s="1815">
        <f>_xlfn.XLOOKUP(D74,'Sales Rec'!$E$4:$E$93,'Sales Rec'!$BH$4:$BH$93)</f>
        <v>2317</v>
      </c>
      <c r="AS74" s="2048">
        <f t="shared" si="41"/>
        <v>319</v>
      </c>
      <c r="AT74" s="1815">
        <f>_xlfn.XLOOKUP(D74,'Sales Rec'!$E$4:$E$93,'Sales Rec'!$BK$4:$BK$93)</f>
        <v>2671</v>
      </c>
      <c r="AU74" s="2048">
        <f t="shared" si="66"/>
        <v>354</v>
      </c>
      <c r="AV74" s="1815">
        <f>_xlfn.XLOOKUP($D74,'Sales Rec'!$E$4:$E$93,'Sales Rec'!$BN$4:$BN$93)</f>
        <v>3008</v>
      </c>
      <c r="AW74" s="2048">
        <f t="shared" si="67"/>
        <v>337</v>
      </c>
      <c r="AX74" s="1815">
        <f>_xlfn.XLOOKUP($D74,'Sales Rec'!$E$4:$E$93,'Sales Rec'!$BQ$4:$BQ$93)</f>
        <v>3315</v>
      </c>
      <c r="AY74" s="2048">
        <f t="shared" si="68"/>
        <v>307</v>
      </c>
      <c r="AZ74" s="1815">
        <f>_xlfn.XLOOKUP($D74,'Sales Rec'!$E$4:$E$93,'Sales Rec'!$BT$4:$BT$93)</f>
        <v>268</v>
      </c>
      <c r="BA74" s="2048">
        <f t="shared" si="69"/>
        <v>268</v>
      </c>
      <c r="BB74" s="1815">
        <f>_xlfn.XLOOKUP($D74,'Sales Rec'!$E$4:$E$93,'Sales Rec'!$BW$4:$BW$93)</f>
        <v>871</v>
      </c>
      <c r="BC74" s="2048">
        <f t="shared" si="70"/>
        <v>603</v>
      </c>
      <c r="BD74" s="1815">
        <f>_xlfn.XLOOKUP($D74,'Sales Rec'!$E$4:$E$93,'Sales Rec'!$BZ$4:$BZ$93)</f>
        <v>1117</v>
      </c>
      <c r="BE74" s="2048">
        <f t="shared" si="71"/>
        <v>246</v>
      </c>
      <c r="BF74" s="1815">
        <f>_xlfn.XLOOKUP($D74,'Sales Rec'!$E$4:$E$93,'Sales Rec'!$CH$4:$CH$93)</f>
        <v>1489</v>
      </c>
      <c r="BG74" s="2048">
        <f t="shared" si="72"/>
        <v>372</v>
      </c>
      <c r="BH74" s="2050">
        <f t="shared" si="73"/>
        <v>0.51219512195121952</v>
      </c>
      <c r="BI74" s="1815">
        <f>_xlfn.XLOOKUP($D74,'Sales Rec'!$E$4:$E$93,'Sales Rec'!$CK$4:$CK$93)</f>
        <v>2247</v>
      </c>
      <c r="BJ74" s="2048">
        <f t="shared" si="62"/>
        <v>758</v>
      </c>
      <c r="BK74" s="2050">
        <f t="shared" si="74"/>
        <v>1.0376344086021505</v>
      </c>
      <c r="BL74" s="1815">
        <f>_xlfn.XLOOKUP($D74,'Sales Rec'!$E$4:$E$93,'Sales Rec'!$CN$4:$CN$93)</f>
        <v>3048</v>
      </c>
      <c r="BM74" s="2048">
        <f t="shared" si="63"/>
        <v>801</v>
      </c>
      <c r="BN74" s="2050">
        <f t="shared" si="76"/>
        <v>5.6728232189973617E-2</v>
      </c>
      <c r="BO74" s="2069">
        <f t="shared" si="61"/>
        <v>0.72873769024171886</v>
      </c>
      <c r="BP74" s="1575">
        <f t="shared" si="75"/>
        <v>7</v>
      </c>
    </row>
    <row r="75" spans="1:68" ht="100" customHeight="1">
      <c r="A75" s="2146">
        <v>44</v>
      </c>
      <c r="B75" s="2176">
        <f>_xlfn.XLOOKUP(D75,MOPFRA!$R$7:$R$56,MOPFRA!$A$7:$A$56,"")</f>
        <v>-19.324231968038298</v>
      </c>
      <c r="C75" s="2164" t="str">
        <f>MOPFRA!Q49</f>
        <v>فولاد مباركه اصفهان</v>
      </c>
      <c r="D75" s="2164" t="str">
        <f>MOPFRA!R49</f>
        <v>فولاد</v>
      </c>
      <c r="E75" s="2170">
        <f>_xlfn.XLOOKUP(D75,MOPFRA!$R$7:$R$56,MOPFRA!$S$7:$S$56,"")</f>
        <v>12</v>
      </c>
      <c r="F75" s="2171">
        <f>_xlfn.XLOOKUP(D75,MOPFRA!$R$7:$R$56,MOPFRA!$AQ$7:$AQ$56,"")</f>
        <v>366886</v>
      </c>
      <c r="G75" s="2167">
        <v>4</v>
      </c>
      <c r="H75" s="2168">
        <f t="shared" si="64"/>
        <v>4</v>
      </c>
      <c r="I75" s="2147"/>
      <c r="J75" s="2148"/>
      <c r="K75" s="2149"/>
      <c r="L75" s="2150"/>
      <c r="M75" s="2147"/>
      <c r="N75" s="2148"/>
      <c r="O75" s="2149"/>
      <c r="P75" s="2151"/>
      <c r="Q75" s="2186">
        <f t="shared" si="65"/>
        <v>54529</v>
      </c>
      <c r="R75" s="2187"/>
      <c r="S75" s="2188">
        <f>_xlfn.XLOOKUP(D75,'Sales Rec'!$E$4:$E$93,'Sales Rec'!$CP$4:$CP$93,"")</f>
        <v>1.4912575028893114E-2</v>
      </c>
      <c r="T75" s="2152" t="s">
        <v>234</v>
      </c>
      <c r="U75" s="2152" t="s">
        <v>234</v>
      </c>
      <c r="AH75" s="1815">
        <f>_xlfn.XLOOKUP($D75,'Sales Rec'!$E$4:$E$93,'Sales Rec'!$AS$4:$AS$93)</f>
        <v>24057</v>
      </c>
      <c r="AI75" s="2048">
        <f t="shared" si="77"/>
        <v>24057</v>
      </c>
      <c r="AJ75" s="1815">
        <f>_xlfn.XLOOKUP($D75,'Sales Rec'!$E$4:$E$93,'Sales Rec'!$AV$4:$AV$93)</f>
        <v>56788</v>
      </c>
      <c r="AK75" s="2048">
        <f t="shared" si="78"/>
        <v>32731</v>
      </c>
      <c r="AL75" s="1815">
        <f>_xlfn.XLOOKUP($D75,'Sales Rec'!$E$4:$E$93,'Sales Rec'!$AY$4:$AY$93)</f>
        <v>80469</v>
      </c>
      <c r="AM75" s="2048">
        <f t="shared" si="79"/>
        <v>23681</v>
      </c>
      <c r="AN75" s="1815">
        <f>_xlfn.XLOOKUP($D75,'Sales Rec'!$E$4:$E$93,'Sales Rec'!$BB$4:$BB$93)</f>
        <v>105495</v>
      </c>
      <c r="AO75" s="2048">
        <f t="shared" si="80"/>
        <v>25026</v>
      </c>
      <c r="AP75" s="1815">
        <f>_xlfn.XLOOKUP($D75,'Sales Rec'!$E$4:$E$93,'Sales Rec'!$BE$4:$BE$93)</f>
        <v>127444</v>
      </c>
      <c r="AQ75" s="2048">
        <f t="shared" si="81"/>
        <v>21949</v>
      </c>
      <c r="AR75" s="1815">
        <f>_xlfn.XLOOKUP(D75,'Sales Rec'!$E$4:$E$93,'Sales Rec'!$BH$4:$BH$93)</f>
        <v>152895</v>
      </c>
      <c r="AS75" s="2048">
        <f t="shared" si="41"/>
        <v>25451</v>
      </c>
      <c r="AT75" s="1815">
        <f>_xlfn.XLOOKUP(D75,'Sales Rec'!$E$4:$E$93,'Sales Rec'!$BK$4:$BK$93)</f>
        <v>179828</v>
      </c>
      <c r="AU75" s="2048">
        <f t="shared" si="66"/>
        <v>26933</v>
      </c>
      <c r="AV75" s="1815">
        <f>_xlfn.XLOOKUP($D75,'Sales Rec'!$E$4:$E$93,'Sales Rec'!$BN$4:$BN$93)</f>
        <v>209702</v>
      </c>
      <c r="AW75" s="2048">
        <f t="shared" si="67"/>
        <v>29874</v>
      </c>
      <c r="AX75" s="1815">
        <f>_xlfn.XLOOKUP($D75,'Sales Rec'!$E$4:$E$93,'Sales Rec'!$BQ$4:$BQ$93)</f>
        <v>236229</v>
      </c>
      <c r="AY75" s="2048">
        <f t="shared" si="68"/>
        <v>26527</v>
      </c>
      <c r="AZ75" s="1815">
        <f>_xlfn.XLOOKUP($D75,'Sales Rec'!$E$4:$E$93,'Sales Rec'!$BT$4:$BT$93)</f>
        <v>281630</v>
      </c>
      <c r="BA75" s="2048">
        <f t="shared" si="69"/>
        <v>45401</v>
      </c>
      <c r="BB75" s="1815">
        <f>_xlfn.XLOOKUP($D75,'Sales Rec'!$E$4:$E$93,'Sales Rec'!$BW$4:$BW$93)</f>
        <v>325759</v>
      </c>
      <c r="BC75" s="2048">
        <f t="shared" si="70"/>
        <v>44129</v>
      </c>
      <c r="BD75" s="1815">
        <f>_xlfn.XLOOKUP($D75,'Sales Rec'!$E$4:$E$93,'Sales Rec'!$BZ$4:$BZ$93)</f>
        <v>361460</v>
      </c>
      <c r="BE75" s="2048">
        <f t="shared" si="71"/>
        <v>35701</v>
      </c>
      <c r="BF75" s="1815">
        <f>_xlfn.XLOOKUP($D75,'Sales Rec'!$E$4:$E$93,'Sales Rec'!$CH$4:$CH$93)</f>
        <v>4905</v>
      </c>
      <c r="BG75" s="2048">
        <f t="shared" si="72"/>
        <v>4905</v>
      </c>
      <c r="BH75" s="2050">
        <f t="shared" si="73"/>
        <v>-0.86260889050726874</v>
      </c>
      <c r="BI75" s="1815">
        <f>_xlfn.XLOOKUP($D75,'Sales Rec'!$E$4:$E$93,'Sales Rec'!$CK$4:$CK$93)</f>
        <v>27140</v>
      </c>
      <c r="BJ75" s="2048">
        <f t="shared" si="62"/>
        <v>22235</v>
      </c>
      <c r="BK75" s="2050">
        <f t="shared" si="74"/>
        <v>3.5331294597349645</v>
      </c>
      <c r="BL75" s="1815">
        <f>_xlfn.XLOOKUP($D75,'Sales Rec'!$E$4:$E$93,'Sales Rec'!$CN$4:$CN$93)</f>
        <v>81669</v>
      </c>
      <c r="BM75" s="2048">
        <f t="shared" si="63"/>
        <v>54529</v>
      </c>
      <c r="BN75" s="2050">
        <f t="shared" si="76"/>
        <v>1.4523948729480549</v>
      </c>
      <c r="BO75" s="2069">
        <f t="shared" si="61"/>
        <v>-0.34785316734674321</v>
      </c>
      <c r="BP75" s="1575">
        <f t="shared" si="75"/>
        <v>43</v>
      </c>
    </row>
    <row r="76" spans="1:68" ht="100" customHeight="1">
      <c r="A76" s="2146">
        <v>45</v>
      </c>
      <c r="B76" s="2176">
        <f>_xlfn.XLOOKUP(D76,MOPFRA!$R$7:$R$56,MOPFRA!$A$7:$A$56,"")</f>
        <v>-22.462275219400578</v>
      </c>
      <c r="C76" s="2164" t="str">
        <f>MOPFRA!Q50</f>
        <v>مس‌ شهيدباهنر</v>
      </c>
      <c r="D76" s="2164" t="str">
        <f>MOPFRA!R50</f>
        <v>فباهنر</v>
      </c>
      <c r="E76" s="2170">
        <f>_xlfn.XLOOKUP(D76,MOPFRA!$R$7:$R$56,MOPFRA!$S$7:$S$56,"")</f>
        <v>12</v>
      </c>
      <c r="F76" s="2171">
        <f>_xlfn.XLOOKUP(D76,MOPFRA!$R$7:$R$56,MOPFRA!$AQ$7:$AQ$56,"")</f>
        <v>21022</v>
      </c>
      <c r="G76" s="2167">
        <v>4</v>
      </c>
      <c r="H76" s="2168">
        <f t="shared" si="64"/>
        <v>4</v>
      </c>
      <c r="I76" s="2147"/>
      <c r="J76" s="2148"/>
      <c r="K76" s="2149"/>
      <c r="L76" s="2150"/>
      <c r="M76" s="2147"/>
      <c r="N76" s="2148"/>
      <c r="O76" s="2149"/>
      <c r="P76" s="2151"/>
      <c r="Q76" s="2186">
        <f t="shared" si="65"/>
        <v>2572</v>
      </c>
      <c r="R76" s="2187"/>
      <c r="S76" s="2188">
        <f>_xlfn.XLOOKUP(D76,'Sales Rec'!$E$4:$E$93,'Sales Rec'!$CP$4:$CP$93,"")</f>
        <v>0.80786026200873362</v>
      </c>
      <c r="T76" s="2152" t="s">
        <v>234</v>
      </c>
      <c r="U76" s="2152" t="s">
        <v>234</v>
      </c>
      <c r="AH76" s="1815">
        <f>_xlfn.XLOOKUP($D76,'Sales Rec'!$E$4:$E$93,'Sales Rec'!$AS$4:$AS$93)</f>
        <v>705</v>
      </c>
      <c r="AI76" s="2048">
        <f t="shared" si="77"/>
        <v>705</v>
      </c>
      <c r="AJ76" s="1815">
        <f>_xlfn.XLOOKUP($D76,'Sales Rec'!$E$4:$E$93,'Sales Rec'!$AV$4:$AV$93)</f>
        <v>2799</v>
      </c>
      <c r="AK76" s="2048">
        <f t="shared" si="78"/>
        <v>2094</v>
      </c>
      <c r="AL76" s="1815">
        <f>_xlfn.XLOOKUP($D76,'Sales Rec'!$E$4:$E$93,'Sales Rec'!$AY$4:$AY$93)</f>
        <v>3893</v>
      </c>
      <c r="AM76" s="2048">
        <f t="shared" si="79"/>
        <v>1094</v>
      </c>
      <c r="AN76" s="1815">
        <f>_xlfn.XLOOKUP($D76,'Sales Rec'!$E$4:$E$93,'Sales Rec'!$BB$4:$BB$93)</f>
        <v>5334</v>
      </c>
      <c r="AO76" s="2048">
        <f t="shared" si="80"/>
        <v>1441</v>
      </c>
      <c r="AP76" s="1815">
        <f>_xlfn.XLOOKUP($D76,'Sales Rec'!$E$4:$E$93,'Sales Rec'!$BE$4:$BE$93)</f>
        <v>6637</v>
      </c>
      <c r="AQ76" s="2048">
        <f t="shared" si="81"/>
        <v>1303</v>
      </c>
      <c r="AR76" s="1815">
        <f>_xlfn.XLOOKUP(D76,'Sales Rec'!$E$4:$E$93,'Sales Rec'!$BH$4:$BH$93)</f>
        <v>8343</v>
      </c>
      <c r="AS76" s="2048">
        <f t="shared" si="41"/>
        <v>1706</v>
      </c>
      <c r="AT76" s="1815">
        <f>_xlfn.XLOOKUP(D76,'Sales Rec'!$E$4:$E$93,'Sales Rec'!$BK$4:$BK$93)</f>
        <v>10536</v>
      </c>
      <c r="AU76" s="2048">
        <f t="shared" si="66"/>
        <v>2193</v>
      </c>
      <c r="AV76" s="1815">
        <f>_xlfn.XLOOKUP($D76,'Sales Rec'!$E$4:$E$93,'Sales Rec'!$BN$4:$BN$93)</f>
        <v>12390</v>
      </c>
      <c r="AW76" s="2048">
        <f t="shared" si="67"/>
        <v>1854</v>
      </c>
      <c r="AX76" s="1815">
        <f>_xlfn.XLOOKUP($D76,'Sales Rec'!$E$4:$E$93,'Sales Rec'!$BQ$4:$BQ$93)</f>
        <v>14786</v>
      </c>
      <c r="AY76" s="2048">
        <f t="shared" si="68"/>
        <v>2396</v>
      </c>
      <c r="AZ76" s="1815">
        <f>_xlfn.XLOOKUP($D76,'Sales Rec'!$E$4:$E$93,'Sales Rec'!$BT$4:$BT$93)</f>
        <v>17308</v>
      </c>
      <c r="BA76" s="2048">
        <f t="shared" si="69"/>
        <v>2522</v>
      </c>
      <c r="BB76" s="1815">
        <f>_xlfn.XLOOKUP($D76,'Sales Rec'!$E$4:$E$93,'Sales Rec'!$BW$4:$BW$93)</f>
        <v>20101</v>
      </c>
      <c r="BC76" s="2048">
        <f t="shared" si="70"/>
        <v>2793</v>
      </c>
      <c r="BD76" s="1815">
        <f>_xlfn.XLOOKUP($D76,'Sales Rec'!$E$4:$E$93,'Sales Rec'!$BZ$4:$BZ$93)</f>
        <v>21428</v>
      </c>
      <c r="BE76" s="2048">
        <f t="shared" si="71"/>
        <v>1327</v>
      </c>
      <c r="BF76" s="1815">
        <f>_xlfn.XLOOKUP($D76,'Sales Rec'!$E$4:$E$93,'Sales Rec'!$CH$4:$CH$93)</f>
        <v>496</v>
      </c>
      <c r="BG76" s="2048">
        <f t="shared" si="72"/>
        <v>496</v>
      </c>
      <c r="BH76" s="2050">
        <f t="shared" si="73"/>
        <v>-0.62622456669178594</v>
      </c>
      <c r="BI76" s="1815">
        <f>_xlfn.XLOOKUP($D76,'Sales Rec'!$E$4:$E$93,'Sales Rec'!$CK$4:$CK$93)</f>
        <v>4466</v>
      </c>
      <c r="BJ76" s="2048">
        <f t="shared" si="62"/>
        <v>3970</v>
      </c>
      <c r="BK76" s="2050">
        <f t="shared" si="74"/>
        <v>7.004032258064516</v>
      </c>
      <c r="BL76" s="1815">
        <f>_xlfn.XLOOKUP($D76,'Sales Rec'!$E$4:$E$93,'Sales Rec'!$CN$4:$CN$93)</f>
        <v>7038</v>
      </c>
      <c r="BM76" s="2048">
        <f t="shared" si="63"/>
        <v>2572</v>
      </c>
      <c r="BN76" s="2050">
        <f t="shared" si="76"/>
        <v>-0.35214105793450884</v>
      </c>
      <c r="BO76" s="2069">
        <f t="shared" si="61"/>
        <v>5.9620596205962058E-2</v>
      </c>
      <c r="BP76" s="1575">
        <f t="shared" si="75"/>
        <v>30</v>
      </c>
    </row>
    <row r="77" spans="1:68" ht="100" customHeight="1">
      <c r="A77" s="2146">
        <v>47</v>
      </c>
      <c r="B77" s="2176">
        <f>_xlfn.XLOOKUP(D77,MOPFRA!$R$7:$R$56,MOPFRA!$A$7:$A$56,"")</f>
        <v>-24.01592737459827</v>
      </c>
      <c r="C77" s="2164" t="str">
        <f>MOPFRA!Q51</f>
        <v>توسعه فن افزار توسن</v>
      </c>
      <c r="D77" s="2164" t="str">
        <f>MOPFRA!R51</f>
        <v>فن‌ افزار</v>
      </c>
      <c r="E77" s="2170">
        <f>_xlfn.XLOOKUP(D77,MOPFRA!$R$7:$R$56,MOPFRA!$S$7:$S$56,"")</f>
        <v>9</v>
      </c>
      <c r="F77" s="2171">
        <f>_xlfn.XLOOKUP(D77,MOPFRA!$R$7:$R$56,MOPFRA!$AQ$7:$AQ$56,"")</f>
        <v>5066</v>
      </c>
      <c r="G77" s="2167">
        <v>4</v>
      </c>
      <c r="H77" s="2168">
        <f t="shared" si="64"/>
        <v>7</v>
      </c>
      <c r="I77" s="2147"/>
      <c r="J77" s="2148"/>
      <c r="K77" s="2149"/>
      <c r="L77" s="2150"/>
      <c r="M77" s="2147"/>
      <c r="N77" s="2148"/>
      <c r="O77" s="2149"/>
      <c r="P77" s="2151"/>
      <c r="Q77" s="2186">
        <f t="shared" si="65"/>
        <v>871</v>
      </c>
      <c r="R77" s="2187"/>
      <c r="S77" s="2188">
        <f>_xlfn.XLOOKUP(D77,'Sales Rec'!$E$4:$E$93,'Sales Rec'!$CP$4:$CP$93,"")</f>
        <v>1.123002421307506</v>
      </c>
      <c r="T77" s="2152" t="s">
        <v>234</v>
      </c>
      <c r="U77" s="2152" t="s">
        <v>234</v>
      </c>
      <c r="AH77" s="1815">
        <f>_xlfn.XLOOKUP($D77,'Sales Rec'!$E$4:$E$93,'Sales Rec'!$AS$4:$AS$93)</f>
        <v>754</v>
      </c>
      <c r="AI77" s="2048">
        <f t="shared" si="77"/>
        <v>754</v>
      </c>
      <c r="AJ77" s="1815">
        <f>_xlfn.XLOOKUP($D77,'Sales Rec'!$E$4:$E$93,'Sales Rec'!$AV$4:$AV$93)</f>
        <v>1119</v>
      </c>
      <c r="AK77" s="2048">
        <f t="shared" si="78"/>
        <v>365</v>
      </c>
      <c r="AL77" s="1815">
        <f>_xlfn.XLOOKUP($D77,'Sales Rec'!$E$4:$E$93,'Sales Rec'!$AY$4:$AY$93)</f>
        <v>2065</v>
      </c>
      <c r="AM77" s="2048">
        <f t="shared" si="79"/>
        <v>946</v>
      </c>
      <c r="AN77" s="1815">
        <f>_xlfn.XLOOKUP($D77,'Sales Rec'!$E$4:$E$93,'Sales Rec'!$BB$4:$BB$93)</f>
        <v>2549</v>
      </c>
      <c r="AO77" s="2048">
        <f t="shared" si="80"/>
        <v>484</v>
      </c>
      <c r="AP77" s="1815">
        <f>_xlfn.XLOOKUP($D77,'Sales Rec'!$E$4:$E$93,'Sales Rec'!$BE$4:$BE$93)</f>
        <v>2823</v>
      </c>
      <c r="AQ77" s="2048">
        <f t="shared" si="81"/>
        <v>274</v>
      </c>
      <c r="AR77" s="1815">
        <f>_xlfn.XLOOKUP(D77,'Sales Rec'!$E$4:$E$93,'Sales Rec'!$BH$4:$BH$93)</f>
        <v>3130</v>
      </c>
      <c r="AS77" s="2048">
        <f t="shared" si="41"/>
        <v>307</v>
      </c>
      <c r="AT77" s="1815">
        <f>_xlfn.XLOOKUP(D77,'Sales Rec'!$E$4:$E$93,'Sales Rec'!$BK$4:$BK$93)</f>
        <v>3390</v>
      </c>
      <c r="AU77" s="2048">
        <f t="shared" si="66"/>
        <v>260</v>
      </c>
      <c r="AV77" s="1815">
        <f>_xlfn.XLOOKUP($D77,'Sales Rec'!$E$4:$E$93,'Sales Rec'!$BN$4:$BN$93)</f>
        <v>4375</v>
      </c>
      <c r="AW77" s="2048">
        <f t="shared" si="67"/>
        <v>985</v>
      </c>
      <c r="AX77" s="1815">
        <f>_xlfn.XLOOKUP($D77,'Sales Rec'!$E$4:$E$93,'Sales Rec'!$BQ$4:$BQ$93)</f>
        <v>5066</v>
      </c>
      <c r="AY77" s="2048">
        <f t="shared" si="68"/>
        <v>691</v>
      </c>
      <c r="AZ77" s="1815">
        <f>_xlfn.XLOOKUP($D77,'Sales Rec'!$E$4:$E$93,'Sales Rec'!$BT$4:$BT$93)</f>
        <v>667</v>
      </c>
      <c r="BA77" s="2048">
        <f t="shared" si="69"/>
        <v>667</v>
      </c>
      <c r="BB77" s="1815">
        <f>_xlfn.XLOOKUP($D77,'Sales Rec'!$E$4:$E$93,'Sales Rec'!$BW$4:$BW$93)</f>
        <v>1492</v>
      </c>
      <c r="BC77" s="2048">
        <f t="shared" si="70"/>
        <v>825</v>
      </c>
      <c r="BD77" s="1815">
        <f>_xlfn.XLOOKUP($D77,'Sales Rec'!$E$4:$E$93,'Sales Rec'!$BZ$4:$BZ$93)</f>
        <v>2492</v>
      </c>
      <c r="BE77" s="2048">
        <f t="shared" si="71"/>
        <v>1000</v>
      </c>
      <c r="BF77" s="1815">
        <f>_xlfn.XLOOKUP($D77,'Sales Rec'!$E$4:$E$93,'Sales Rec'!$CH$4:$CH$93)</f>
        <v>2613</v>
      </c>
      <c r="BG77" s="2048">
        <f t="shared" si="72"/>
        <v>121</v>
      </c>
      <c r="BH77" s="2050">
        <f t="shared" si="73"/>
        <v>-0.879</v>
      </c>
      <c r="BI77" s="1815">
        <f>_xlfn.XLOOKUP($D77,'Sales Rec'!$E$4:$E$93,'Sales Rec'!$CK$4:$CK$93)</f>
        <v>3513</v>
      </c>
      <c r="BJ77" s="2048">
        <f t="shared" si="62"/>
        <v>900</v>
      </c>
      <c r="BK77" s="2050">
        <f t="shared" si="74"/>
        <v>6.4380165289256199</v>
      </c>
      <c r="BL77" s="1815">
        <f>_xlfn.XLOOKUP($D77,'Sales Rec'!$E$4:$E$93,'Sales Rec'!$CN$4:$CN$93)</f>
        <v>4384</v>
      </c>
      <c r="BM77" s="2048">
        <f t="shared" si="63"/>
        <v>871</v>
      </c>
      <c r="BN77" s="2050">
        <f t="shared" si="76"/>
        <v>-3.2222222222222222E-2</v>
      </c>
      <c r="BO77" s="2069">
        <f t="shared" si="61"/>
        <v>-0.24077046548956663</v>
      </c>
      <c r="BP77" s="1575">
        <f t="shared" si="75"/>
        <v>42</v>
      </c>
    </row>
    <row r="78" spans="1:68" ht="100" customHeight="1">
      <c r="A78" s="2146">
        <v>49</v>
      </c>
      <c r="B78" s="2176">
        <f>_xlfn.XLOOKUP(D78,MOPFRA!$R$7:$R$56,MOPFRA!$A$7:$A$56,"")</f>
        <v>-37.21765493050718</v>
      </c>
      <c r="C78" s="2164" t="str">
        <f>MOPFRA!Q52</f>
        <v>پتروشيمي مارون</v>
      </c>
      <c r="D78" s="2164" t="str">
        <f>MOPFRA!R52</f>
        <v>مارون</v>
      </c>
      <c r="E78" s="2170">
        <f>_xlfn.XLOOKUP(D78,MOPFRA!$R$7:$R$56,MOPFRA!$S$7:$S$56,"")</f>
        <v>12</v>
      </c>
      <c r="F78" s="2171">
        <f>_xlfn.XLOOKUP(D78,MOPFRA!$R$7:$R$56,MOPFRA!$AQ$7:$AQ$56,"")</f>
        <v>88332</v>
      </c>
      <c r="G78" s="2167">
        <v>4</v>
      </c>
      <c r="H78" s="2168">
        <f t="shared" si="64"/>
        <v>4</v>
      </c>
      <c r="I78" s="2147"/>
      <c r="J78" s="2148"/>
      <c r="K78" s="2149"/>
      <c r="L78" s="2150"/>
      <c r="M78" s="2147"/>
      <c r="N78" s="2148"/>
      <c r="O78" s="2149"/>
      <c r="P78" s="2151"/>
      <c r="Q78" s="2186">
        <f t="shared" si="65"/>
        <v>9622</v>
      </c>
      <c r="R78" s="2187"/>
      <c r="S78" s="2188">
        <f>_xlfn.XLOOKUP(D78,'Sales Rec'!$E$4:$E$93,'Sales Rec'!$CP$4:$CP$93,"")</f>
        <v>0.22520013922728854</v>
      </c>
      <c r="T78" s="2152" t="s">
        <v>234</v>
      </c>
      <c r="U78" s="2152" t="s">
        <v>234</v>
      </c>
      <c r="AH78" s="1815">
        <f>_xlfn.XLOOKUP($D78,'Sales Rec'!$E$4:$E$93,'Sales Rec'!$AS$4:$AS$93)</f>
        <v>5790</v>
      </c>
      <c r="AI78" s="2048">
        <f t="shared" si="77"/>
        <v>5790</v>
      </c>
      <c r="AJ78" s="1815">
        <f>_xlfn.XLOOKUP($D78,'Sales Rec'!$E$4:$E$93,'Sales Rec'!$AV$4:$AV$93)</f>
        <v>9708</v>
      </c>
      <c r="AK78" s="2048">
        <f t="shared" si="78"/>
        <v>3918</v>
      </c>
      <c r="AL78" s="1815">
        <f>_xlfn.XLOOKUP($D78,'Sales Rec'!$E$4:$E$93,'Sales Rec'!$AY$4:$AY$93)</f>
        <v>14365</v>
      </c>
      <c r="AM78" s="2048">
        <f t="shared" si="79"/>
        <v>4657</v>
      </c>
      <c r="AN78" s="1815">
        <f>_xlfn.XLOOKUP($D78,'Sales Rec'!$E$4:$E$93,'Sales Rec'!$BB$4:$BB$93)</f>
        <v>21375</v>
      </c>
      <c r="AO78" s="2048">
        <f t="shared" si="80"/>
        <v>7010</v>
      </c>
      <c r="AP78" s="1815">
        <f>_xlfn.XLOOKUP($D78,'Sales Rec'!$E$4:$E$93,'Sales Rec'!$BE$4:$BE$93)</f>
        <v>28060</v>
      </c>
      <c r="AQ78" s="2048">
        <f t="shared" si="81"/>
        <v>6685</v>
      </c>
      <c r="AR78" s="1815">
        <f>_xlfn.XLOOKUP(D78,'Sales Rec'!$E$4:$E$93,'Sales Rec'!$BH$4:$BH$93)</f>
        <v>35626</v>
      </c>
      <c r="AS78" s="2048">
        <f t="shared" si="41"/>
        <v>7566</v>
      </c>
      <c r="AT78" s="1815">
        <f>_xlfn.XLOOKUP(D78,'Sales Rec'!$E$4:$E$93,'Sales Rec'!$BK$4:$BK$93)</f>
        <v>42993</v>
      </c>
      <c r="AU78" s="2048">
        <f t="shared" si="66"/>
        <v>7367</v>
      </c>
      <c r="AV78" s="1815">
        <f>_xlfn.XLOOKUP($D78,'Sales Rec'!$E$4:$E$93,'Sales Rec'!$BN$4:$BN$93)</f>
        <v>50217</v>
      </c>
      <c r="AW78" s="2048">
        <f t="shared" si="67"/>
        <v>7224</v>
      </c>
      <c r="AX78" s="1815">
        <f>_xlfn.XLOOKUP($D78,'Sales Rec'!$E$4:$E$93,'Sales Rec'!$BQ$4:$BQ$93)</f>
        <v>58277</v>
      </c>
      <c r="AY78" s="2048">
        <f t="shared" si="68"/>
        <v>8060</v>
      </c>
      <c r="AZ78" s="1815">
        <f>_xlfn.XLOOKUP($D78,'Sales Rec'!$E$4:$E$93,'Sales Rec'!$BT$4:$BT$93)</f>
        <v>68940</v>
      </c>
      <c r="BA78" s="2048">
        <f t="shared" si="69"/>
        <v>10663</v>
      </c>
      <c r="BB78" s="1815">
        <f>_xlfn.XLOOKUP($D78,'Sales Rec'!$E$4:$E$93,'Sales Rec'!$BW$4:$BW$93)</f>
        <v>78550</v>
      </c>
      <c r="BC78" s="2048">
        <f t="shared" si="70"/>
        <v>9610</v>
      </c>
      <c r="BD78" s="1815">
        <f>_xlfn.XLOOKUP($D78,'Sales Rec'!$E$4:$E$93,'Sales Rec'!$BZ$4:$BZ$93)</f>
        <v>88332</v>
      </c>
      <c r="BE78" s="2048">
        <f t="shared" si="71"/>
        <v>9782</v>
      </c>
      <c r="BF78" s="1815">
        <f>_xlfn.XLOOKUP($D78,'Sales Rec'!$E$4:$E$93,'Sales Rec'!$CH$4:$CH$93)</f>
        <v>4901</v>
      </c>
      <c r="BG78" s="2048">
        <f t="shared" si="72"/>
        <v>4901</v>
      </c>
      <c r="BH78" s="2050">
        <f t="shared" si="73"/>
        <v>-0.49897771416888159</v>
      </c>
      <c r="BI78" s="1815">
        <f>_xlfn.XLOOKUP($D78,'Sales Rec'!$E$4:$E$93,'Sales Rec'!$CK$4:$CK$93)</f>
        <v>7978</v>
      </c>
      <c r="BJ78" s="2048">
        <f t="shared" si="62"/>
        <v>3077</v>
      </c>
      <c r="BK78" s="2050">
        <f t="shared" si="74"/>
        <v>-0.37216894511324222</v>
      </c>
      <c r="BL78" s="1815">
        <f>_xlfn.XLOOKUP($D78,'Sales Rec'!$E$4:$E$93,'Sales Rec'!$CN$4:$CN$93)</f>
        <v>17600</v>
      </c>
      <c r="BM78" s="2048">
        <f t="shared" si="63"/>
        <v>9622</v>
      </c>
      <c r="BN78" s="2050">
        <f t="shared" si="76"/>
        <v>2.1270718232044197</v>
      </c>
      <c r="BO78" s="2069">
        <f t="shared" si="61"/>
        <v>-0.41440692064548329</v>
      </c>
      <c r="BP78" s="1575">
        <f t="shared" si="75"/>
        <v>44</v>
      </c>
    </row>
    <row r="79" spans="1:68" ht="100" customHeight="1">
      <c r="A79" s="2146">
        <v>50</v>
      </c>
      <c r="B79" s="2176">
        <f>_xlfn.XLOOKUP(D79,MOPFRA!$R$7:$R$56,MOPFRA!$A$7:$A$56,"")</f>
        <v>-38.669656839078094</v>
      </c>
      <c r="C79" s="2164" t="str">
        <f>MOPFRA!Q53</f>
        <v>پتروشيمي تندگويان</v>
      </c>
      <c r="D79" s="2164" t="str">
        <f>MOPFRA!R53</f>
        <v>شگويا</v>
      </c>
      <c r="E79" s="2170">
        <f>_xlfn.XLOOKUP(D79,MOPFRA!$R$7:$R$56,MOPFRA!$S$7:$S$56,"")</f>
        <v>12</v>
      </c>
      <c r="F79" s="2171">
        <f>_xlfn.XLOOKUP(D79,MOPFRA!$R$7:$R$56,MOPFRA!$AQ$7:$AQ$56,"")</f>
        <v>48139</v>
      </c>
      <c r="G79" s="2167">
        <v>4</v>
      </c>
      <c r="H79" s="2168">
        <f t="shared" si="64"/>
        <v>4</v>
      </c>
      <c r="I79" s="2147"/>
      <c r="J79" s="2148"/>
      <c r="K79" s="2149"/>
      <c r="L79" s="2150"/>
      <c r="M79" s="2147"/>
      <c r="N79" s="2148"/>
      <c r="O79" s="2149"/>
      <c r="P79" s="2151"/>
      <c r="Q79" s="2186">
        <f t="shared" si="65"/>
        <v>3901</v>
      </c>
      <c r="R79" s="2187"/>
      <c r="S79" s="2188">
        <f>_xlfn.XLOOKUP(D79,'Sales Rec'!$E$4:$E$93,'Sales Rec'!$CP$4:$CP$93,"")</f>
        <v>-5.8391648502925317E-2</v>
      </c>
      <c r="T79" s="2152" t="s">
        <v>234</v>
      </c>
      <c r="U79" s="2152" t="s">
        <v>234</v>
      </c>
      <c r="AH79" s="1815">
        <f>_xlfn.XLOOKUP($D79,'Sales Rec'!$E$4:$E$93,'Sales Rec'!$AS$4:$AS$93)</f>
        <v>2844</v>
      </c>
      <c r="AI79" s="2048">
        <f t="shared" si="77"/>
        <v>2844</v>
      </c>
      <c r="AJ79" s="1815">
        <f>_xlfn.XLOOKUP($D79,'Sales Rec'!$E$4:$E$93,'Sales Rec'!$AV$4:$AV$93)</f>
        <v>6287</v>
      </c>
      <c r="AK79" s="2048">
        <f t="shared" si="78"/>
        <v>3443</v>
      </c>
      <c r="AL79" s="1815">
        <f>_xlfn.XLOOKUP($D79,'Sales Rec'!$E$4:$E$93,'Sales Rec'!$AY$4:$AY$93)</f>
        <v>8717</v>
      </c>
      <c r="AM79" s="2048">
        <f t="shared" si="79"/>
        <v>2430</v>
      </c>
      <c r="AN79" s="1815">
        <f>_xlfn.XLOOKUP($D79,'Sales Rec'!$E$4:$E$93,'Sales Rec'!$BB$4:$BB$93)</f>
        <v>11173</v>
      </c>
      <c r="AO79" s="2048">
        <f t="shared" si="80"/>
        <v>2456</v>
      </c>
      <c r="AP79" s="1815">
        <f>_xlfn.XLOOKUP($D79,'Sales Rec'!$E$4:$E$93,'Sales Rec'!$BE$4:$BE$93)</f>
        <v>15145</v>
      </c>
      <c r="AQ79" s="2048">
        <f t="shared" si="81"/>
        <v>3972</v>
      </c>
      <c r="AR79" s="1815">
        <f>_xlfn.XLOOKUP(D79,'Sales Rec'!$E$4:$E$93,'Sales Rec'!$BH$4:$BH$93)</f>
        <v>18245</v>
      </c>
      <c r="AS79" s="2048">
        <f t="shared" si="41"/>
        <v>3100</v>
      </c>
      <c r="AT79" s="1815">
        <f>_xlfn.XLOOKUP(D79,'Sales Rec'!$E$4:$E$93,'Sales Rec'!$BK$4:$BK$93)</f>
        <v>22578</v>
      </c>
      <c r="AU79" s="2048">
        <f t="shared" si="66"/>
        <v>4333</v>
      </c>
      <c r="AV79" s="1815">
        <f>_xlfn.XLOOKUP($D79,'Sales Rec'!$E$4:$E$93,'Sales Rec'!$BN$4:$BN$93)</f>
        <v>26577</v>
      </c>
      <c r="AW79" s="2048">
        <f t="shared" si="67"/>
        <v>3999</v>
      </c>
      <c r="AX79" s="1815">
        <f>_xlfn.XLOOKUP($D79,'Sales Rec'!$E$4:$E$93,'Sales Rec'!$BQ$4:$BQ$93)</f>
        <v>32139</v>
      </c>
      <c r="AY79" s="2048">
        <f t="shared" si="68"/>
        <v>5562</v>
      </c>
      <c r="AZ79" s="1815">
        <f>_xlfn.XLOOKUP($D79,'Sales Rec'!$E$4:$E$93,'Sales Rec'!$BT$4:$BT$93)</f>
        <v>37146</v>
      </c>
      <c r="BA79" s="2048">
        <f t="shared" si="69"/>
        <v>5007</v>
      </c>
      <c r="BB79" s="1815">
        <f>_xlfn.XLOOKUP($D79,'Sales Rec'!$E$4:$E$93,'Sales Rec'!$BW$4:$BW$93)</f>
        <v>43007</v>
      </c>
      <c r="BC79" s="2048">
        <f t="shared" si="70"/>
        <v>5861</v>
      </c>
      <c r="BD79" s="1815">
        <f>_xlfn.XLOOKUP($D79,'Sales Rec'!$E$4:$E$93,'Sales Rec'!$BZ$4:$BZ$93)</f>
        <v>48242</v>
      </c>
      <c r="BE79" s="2048">
        <f t="shared" si="71"/>
        <v>5235</v>
      </c>
      <c r="BF79" s="1815">
        <f>_xlfn.XLOOKUP($D79,'Sales Rec'!$E$4:$E$93,'Sales Rec'!$CH$4:$CH$93)</f>
        <v>2887</v>
      </c>
      <c r="BG79" s="2048">
        <f t="shared" si="72"/>
        <v>2887</v>
      </c>
      <c r="BH79" s="2050">
        <f t="shared" si="73"/>
        <v>-0.44851957975167145</v>
      </c>
      <c r="BI79" s="1815">
        <f>_xlfn.XLOOKUP($D79,'Sales Rec'!$E$4:$E$93,'Sales Rec'!$CK$4:$CK$93)</f>
        <v>4307</v>
      </c>
      <c r="BJ79" s="2048">
        <f t="shared" si="62"/>
        <v>1420</v>
      </c>
      <c r="BK79" s="2050">
        <f t="shared" si="74"/>
        <v>-0.50813993765154142</v>
      </c>
      <c r="BL79" s="1815">
        <f>_xlfn.XLOOKUP($D79,'Sales Rec'!$E$4:$E$93,'Sales Rec'!$CN$4:$CN$93)</f>
        <v>8208</v>
      </c>
      <c r="BM79" s="2048">
        <f t="shared" si="63"/>
        <v>3901</v>
      </c>
      <c r="BN79" s="2050">
        <f t="shared" si="76"/>
        <v>1.7471830985915493</v>
      </c>
      <c r="BO79" s="2069">
        <f t="shared" si="61"/>
        <v>-0.49028131404086195</v>
      </c>
      <c r="BP79" s="1575">
        <f t="shared" si="75"/>
        <v>47</v>
      </c>
    </row>
    <row r="80" spans="1:68" ht="100" customHeight="1">
      <c r="A80" s="2146">
        <v>52</v>
      </c>
      <c r="B80" s="2176">
        <f>_xlfn.XLOOKUP(D80,MOPFRA!$R$7:$R$56,MOPFRA!$A$7:$A$56,"")</f>
        <v>-40.294632979004746</v>
      </c>
      <c r="C80" s="2164" t="str">
        <f>MOPFRA!Q54</f>
        <v>معدنكاران نسوز</v>
      </c>
      <c r="D80" s="2164" t="str">
        <f>MOPFRA!R54</f>
        <v>كانسار</v>
      </c>
      <c r="E80" s="2170">
        <f>_xlfn.XLOOKUP(D80,MOPFRA!$R$7:$R$56,MOPFRA!$S$7:$S$56,"")</f>
        <v>12</v>
      </c>
      <c r="F80" s="2171">
        <f>_xlfn.XLOOKUP(D80,MOPFRA!$R$7:$R$56,MOPFRA!$AQ$7:$AQ$56,"")</f>
        <v>1266</v>
      </c>
      <c r="G80" s="2167">
        <v>4</v>
      </c>
      <c r="H80" s="2168">
        <f t="shared" si="64"/>
        <v>4</v>
      </c>
      <c r="I80" s="2147"/>
      <c r="J80" s="2148"/>
      <c r="K80" s="2149"/>
      <c r="L80" s="2150"/>
      <c r="M80" s="2147"/>
      <c r="N80" s="2148"/>
      <c r="O80" s="2149"/>
      <c r="P80" s="2151"/>
      <c r="Q80" s="2186">
        <f t="shared" si="65"/>
        <v>94</v>
      </c>
      <c r="R80" s="2187"/>
      <c r="S80" s="2188">
        <f>_xlfn.XLOOKUP(D80,'Sales Rec'!$E$4:$E$93,'Sales Rec'!$CP$4:$CP$93,"")</f>
        <v>0.2348993288590604</v>
      </c>
      <c r="T80" s="2152" t="s">
        <v>234</v>
      </c>
      <c r="U80" s="2152" t="s">
        <v>234</v>
      </c>
      <c r="AH80" s="1815">
        <f>_xlfn.XLOOKUP($D80,'Sales Rec'!$E$4:$E$93,'Sales Rec'!$AS$4:$AS$93)</f>
        <v>34</v>
      </c>
      <c r="AI80" s="2048">
        <f t="shared" si="77"/>
        <v>34</v>
      </c>
      <c r="AJ80" s="1815">
        <f>_xlfn.XLOOKUP($D80,'Sales Rec'!$E$4:$E$93,'Sales Rec'!$AV$4:$AV$93)</f>
        <v>96</v>
      </c>
      <c r="AK80" s="2048">
        <f t="shared" si="78"/>
        <v>62</v>
      </c>
      <c r="AL80" s="1815">
        <f>_xlfn.XLOOKUP($D80,'Sales Rec'!$E$4:$E$93,'Sales Rec'!$AY$4:$AY$93)</f>
        <v>149</v>
      </c>
      <c r="AM80" s="2048">
        <f t="shared" si="79"/>
        <v>53</v>
      </c>
      <c r="AN80" s="1815">
        <f>_xlfn.XLOOKUP($D80,'Sales Rec'!$E$4:$E$93,'Sales Rec'!$BB$4:$BB$93)</f>
        <v>195</v>
      </c>
      <c r="AO80" s="2048">
        <f t="shared" si="80"/>
        <v>46</v>
      </c>
      <c r="AP80" s="1815">
        <f>_xlfn.XLOOKUP($D80,'Sales Rec'!$E$4:$E$93,'Sales Rec'!$BE$4:$BE$93)</f>
        <v>248</v>
      </c>
      <c r="AQ80" s="2048">
        <f t="shared" si="81"/>
        <v>53</v>
      </c>
      <c r="AR80" s="1815">
        <f>_xlfn.XLOOKUP(D80,'Sales Rec'!$E$4:$E$93,'Sales Rec'!$BH$4:$BH$93)</f>
        <v>302</v>
      </c>
      <c r="AS80" s="2048">
        <f t="shared" si="41"/>
        <v>54</v>
      </c>
      <c r="AT80" s="1815">
        <f>_xlfn.XLOOKUP(D80,'Sales Rec'!$E$4:$E$93,'Sales Rec'!$BK$4:$BK$93)</f>
        <v>355</v>
      </c>
      <c r="AU80" s="2048">
        <f t="shared" si="66"/>
        <v>53</v>
      </c>
      <c r="AV80" s="1815">
        <f>_xlfn.XLOOKUP($D80,'Sales Rec'!$E$4:$E$93,'Sales Rec'!$BN$4:$BN$93)</f>
        <v>414</v>
      </c>
      <c r="AW80" s="2048">
        <f t="shared" si="67"/>
        <v>59</v>
      </c>
      <c r="AX80" s="1815">
        <f>_xlfn.XLOOKUP($D80,'Sales Rec'!$E$4:$E$93,'Sales Rec'!$BQ$4:$BQ$93)</f>
        <v>483</v>
      </c>
      <c r="AY80" s="2048">
        <f t="shared" si="68"/>
        <v>69</v>
      </c>
      <c r="AZ80" s="1815">
        <f>_xlfn.XLOOKUP($D80,'Sales Rec'!$E$4:$E$93,'Sales Rec'!$BT$4:$BT$93)</f>
        <v>550</v>
      </c>
      <c r="BA80" s="2048">
        <f t="shared" si="69"/>
        <v>67</v>
      </c>
      <c r="BB80" s="1815">
        <f>_xlfn.XLOOKUP($D80,'Sales Rec'!$E$4:$E$93,'Sales Rec'!$BW$4:$BW$93)</f>
        <v>619</v>
      </c>
      <c r="BC80" s="2048">
        <f t="shared" si="70"/>
        <v>69</v>
      </c>
      <c r="BD80" s="1815">
        <f>_xlfn.XLOOKUP($D80,'Sales Rec'!$E$4:$E$93,'Sales Rec'!$BZ$4:$BZ$93)</f>
        <v>1266</v>
      </c>
      <c r="BE80" s="2048">
        <f t="shared" si="71"/>
        <v>647</v>
      </c>
      <c r="BF80" s="1815">
        <f>_xlfn.XLOOKUP($D80,'Sales Rec'!$E$4:$E$93,'Sales Rec'!$CH$4:$CH$93)</f>
        <v>26</v>
      </c>
      <c r="BG80" s="2048">
        <f t="shared" si="72"/>
        <v>26</v>
      </c>
      <c r="BH80" s="2050">
        <f t="shared" si="73"/>
        <v>-0.95981452859350846</v>
      </c>
      <c r="BI80" s="1815">
        <f>_xlfn.XLOOKUP($D80,'Sales Rec'!$E$4:$E$93,'Sales Rec'!$CK$4:$CK$93)</f>
        <v>90</v>
      </c>
      <c r="BJ80" s="2048">
        <f t="shared" si="62"/>
        <v>64</v>
      </c>
      <c r="BK80" s="2050">
        <f t="shared" si="74"/>
        <v>1.4615384615384615</v>
      </c>
      <c r="BL80" s="1815">
        <f>_xlfn.XLOOKUP($D80,'Sales Rec'!$E$4:$E$93,'Sales Rec'!$CN$4:$CN$93)</f>
        <v>184</v>
      </c>
      <c r="BM80" s="2048">
        <f t="shared" si="63"/>
        <v>94</v>
      </c>
      <c r="BN80" s="2050">
        <f t="shared" si="76"/>
        <v>0.46875</v>
      </c>
      <c r="BO80" s="2069">
        <f t="shared" si="61"/>
        <v>-0.76500638569604085</v>
      </c>
      <c r="BP80" s="1575">
        <f t="shared" si="75"/>
        <v>50</v>
      </c>
    </row>
    <row r="81" spans="1:68" ht="100" customHeight="1">
      <c r="A81" s="2146">
        <v>54</v>
      </c>
      <c r="B81" s="2176">
        <f>_xlfn.XLOOKUP(D81,MOPFRA!$R$7:$R$56,MOPFRA!$A$7:$A$56,"")</f>
        <v>-54.028353963789172</v>
      </c>
      <c r="C81" s="2164" t="str">
        <f>MOPFRA!Q55</f>
        <v>پليمر آريا ساسول</v>
      </c>
      <c r="D81" s="2164" t="str">
        <f>MOPFRA!R55</f>
        <v>آريا</v>
      </c>
      <c r="E81" s="2170">
        <f>_xlfn.XLOOKUP(D81,MOPFRA!$R$7:$R$56,MOPFRA!$S$7:$S$56,"")</f>
        <v>12</v>
      </c>
      <c r="F81" s="2171">
        <f>_xlfn.XLOOKUP(D81,MOPFRA!$R$7:$R$56,MOPFRA!$AQ$7:$AQ$56,"")</f>
        <v>68119</v>
      </c>
      <c r="G81" s="2167">
        <v>5</v>
      </c>
      <c r="H81" s="2168">
        <f t="shared" si="64"/>
        <v>5</v>
      </c>
      <c r="I81" s="2147"/>
      <c r="J81" s="2148"/>
      <c r="K81" s="2149"/>
      <c r="L81" s="2150"/>
      <c r="M81" s="2147"/>
      <c r="N81" s="2148"/>
      <c r="O81" s="2149"/>
      <c r="P81" s="2151"/>
      <c r="Q81" s="2186">
        <f t="shared" si="65"/>
        <v>645</v>
      </c>
      <c r="R81" s="2187"/>
      <c r="S81" s="2188">
        <f>_xlfn.XLOOKUP(D81,'Sales Rec'!$E$4:$E$93,'Sales Rec'!$CP$4:$CP$93,"")</f>
        <v>-0.61001317523056653</v>
      </c>
      <c r="T81" s="2152" t="s">
        <v>234</v>
      </c>
      <c r="U81" s="2152" t="s">
        <v>234</v>
      </c>
      <c r="AH81" s="1815">
        <f>_xlfn.XLOOKUP($D81,'Sales Rec'!$E$4:$E$93,'Sales Rec'!$AS$4:$AS$93)</f>
        <v>4526</v>
      </c>
      <c r="AI81" s="2048">
        <f t="shared" si="77"/>
        <v>4526</v>
      </c>
      <c r="AJ81" s="1815">
        <f>_xlfn.XLOOKUP($D81,'Sales Rec'!$E$4:$E$93,'Sales Rec'!$AV$4:$AV$93)</f>
        <v>9621</v>
      </c>
      <c r="AK81" s="2048">
        <f t="shared" si="78"/>
        <v>5095</v>
      </c>
      <c r="AL81" s="1815">
        <f>_xlfn.XLOOKUP($D81,'Sales Rec'!$E$4:$E$93,'Sales Rec'!$AY$4:$AY$93)</f>
        <v>14421</v>
      </c>
      <c r="AM81" s="2048">
        <f t="shared" si="79"/>
        <v>4800</v>
      </c>
      <c r="AN81" s="1815">
        <f>_xlfn.XLOOKUP($D81,'Sales Rec'!$E$4:$E$93,'Sales Rec'!$BB$4:$BB$93)</f>
        <v>20175</v>
      </c>
      <c r="AO81" s="2048">
        <f t="shared" si="80"/>
        <v>5754</v>
      </c>
      <c r="AP81" s="1815">
        <f>_xlfn.XLOOKUP($D81,'Sales Rec'!$E$4:$E$93,'Sales Rec'!$BE$4:$BE$93)</f>
        <v>25516</v>
      </c>
      <c r="AQ81" s="2048">
        <f t="shared" si="81"/>
        <v>5341</v>
      </c>
      <c r="AR81" s="1815">
        <f>_xlfn.XLOOKUP(D81,'Sales Rec'!$E$4:$E$93,'Sales Rec'!$BH$4:$BH$93)</f>
        <v>29846</v>
      </c>
      <c r="AS81" s="2048">
        <f t="shared" si="41"/>
        <v>4330</v>
      </c>
      <c r="AT81" s="1815">
        <f>_xlfn.XLOOKUP(D81,'Sales Rec'!$E$4:$E$93,'Sales Rec'!$BK$4:$BK$93)</f>
        <v>34532</v>
      </c>
      <c r="AU81" s="2048">
        <f t="shared" si="66"/>
        <v>4686</v>
      </c>
      <c r="AV81" s="1815">
        <f>_xlfn.XLOOKUP($D81,'Sales Rec'!$E$4:$E$93,'Sales Rec'!$BN$4:$BN$93)</f>
        <v>39424</v>
      </c>
      <c r="AW81" s="2048">
        <f t="shared" si="67"/>
        <v>4892</v>
      </c>
      <c r="AX81" s="1815">
        <f>_xlfn.XLOOKUP($D81,'Sales Rec'!$E$4:$E$93,'Sales Rec'!$BQ$4:$BQ$93)</f>
        <v>45386</v>
      </c>
      <c r="AY81" s="2048">
        <f t="shared" si="68"/>
        <v>5962</v>
      </c>
      <c r="AZ81" s="1815">
        <f>_xlfn.XLOOKUP($D81,'Sales Rec'!$E$4:$E$93,'Sales Rec'!$BT$4:$BT$93)</f>
        <v>52394</v>
      </c>
      <c r="BA81" s="2048">
        <f t="shared" si="69"/>
        <v>7008</v>
      </c>
      <c r="BB81" s="1815">
        <f>_xlfn.XLOOKUP($D81,'Sales Rec'!$E$4:$E$93,'Sales Rec'!$BW$4:$BW$93)</f>
        <v>61321</v>
      </c>
      <c r="BC81" s="2048">
        <f t="shared" si="70"/>
        <v>8927</v>
      </c>
      <c r="BD81" s="1815">
        <f>_xlfn.XLOOKUP($D81,'Sales Rec'!$E$4:$E$93,'Sales Rec'!$BZ$4:$BZ$93)</f>
        <v>68119</v>
      </c>
      <c r="BE81" s="2048">
        <f t="shared" si="71"/>
        <v>6798</v>
      </c>
      <c r="BF81" s="1815">
        <f>_xlfn.XLOOKUP($D81,'Sales Rec'!$E$4:$E$93,'Sales Rec'!$CH$4:$CH$93)</f>
        <v>1992</v>
      </c>
      <c r="BG81" s="2048">
        <f t="shared" si="72"/>
        <v>1992</v>
      </c>
      <c r="BH81" s="2050">
        <f t="shared" si="73"/>
        <v>-0.706972639011474</v>
      </c>
      <c r="BI81" s="1815">
        <f>_xlfn.XLOOKUP($D81,'Sales Rec'!$E$4:$E$93,'Sales Rec'!$CK$4:$CK$93)</f>
        <v>4979</v>
      </c>
      <c r="BJ81" s="2048">
        <f t="shared" si="62"/>
        <v>2987</v>
      </c>
      <c r="BK81" s="2050">
        <f t="shared" si="74"/>
        <v>0.49949799196787148</v>
      </c>
      <c r="BL81" s="1815">
        <f>_xlfn.XLOOKUP($D81,'Sales Rec'!$E$4:$E$93,'Sales Rec'!$CN$4:$CN$93)</f>
        <v>5624</v>
      </c>
      <c r="BM81" s="2048">
        <f t="shared" si="63"/>
        <v>645</v>
      </c>
      <c r="BN81" s="2050">
        <f t="shared" ref="BN81" si="82">IFERROR((BM81-BJ81)/BJ81,"")</f>
        <v>-0.78406427854034144</v>
      </c>
      <c r="BO81" s="2069">
        <f t="shared" ref="BO81" si="83">IFERROR(((BM81+BJ81+BG81)-(BE81+BC81+BA81))/(BE81+BC81+BA81),"")</f>
        <v>-0.75260634320151321</v>
      </c>
      <c r="BP81" s="1575">
        <f t="shared" si="75"/>
        <v>49</v>
      </c>
    </row>
    <row r="82" spans="1:68" ht="100" customHeight="1">
      <c r="A82" s="2146">
        <v>54</v>
      </c>
      <c r="B82" s="2176">
        <f>_xlfn.XLOOKUP(D82,MOPFRA!$R$7:$R$56,MOPFRA!$A$7:$A$56,"")</f>
        <v>-65.423574066630209</v>
      </c>
      <c r="C82" s="2164" t="str">
        <f>MOPFRA!Q56</f>
        <v>پتروشيمي اروند</v>
      </c>
      <c r="D82" s="2164" t="str">
        <f>MOPFRA!R56</f>
        <v>اروند</v>
      </c>
      <c r="E82" s="2170">
        <f>_xlfn.XLOOKUP(D82,MOPFRA!$R$7:$R$56,MOPFRA!$S$7:$S$56,"")</f>
        <v>12</v>
      </c>
      <c r="F82" s="2171">
        <f>_xlfn.XLOOKUP(D82,MOPFRA!$R$7:$R$56,MOPFRA!$AQ$7:$AQ$56,"")</f>
        <v>35014</v>
      </c>
      <c r="G82" s="2167">
        <v>4</v>
      </c>
      <c r="H82" s="2168">
        <f t="shared" si="64"/>
        <v>4</v>
      </c>
      <c r="I82" s="2147"/>
      <c r="J82" s="2148"/>
      <c r="K82" s="2149"/>
      <c r="L82" s="2150"/>
      <c r="M82" s="2147"/>
      <c r="N82" s="2148"/>
      <c r="O82" s="2149"/>
      <c r="P82" s="2151"/>
      <c r="Q82" s="2186">
        <f t="shared" si="65"/>
        <v>2938</v>
      </c>
      <c r="R82" s="2187"/>
      <c r="S82" s="2188">
        <f>_xlfn.XLOOKUP(D82,'Sales Rec'!$E$4:$E$93,'Sales Rec'!$CP$4:$CP$93,"")</f>
        <v>-0.44765252322370075</v>
      </c>
      <c r="T82" s="2152" t="s">
        <v>234</v>
      </c>
      <c r="U82" s="2152" t="s">
        <v>234</v>
      </c>
      <c r="AH82" s="1815">
        <f>_xlfn.XLOOKUP($D82,'Sales Rec'!$E$4:$E$93,'Sales Rec'!$AS$4:$AS$93)</f>
        <v>2151</v>
      </c>
      <c r="AI82" s="2048">
        <f t="shared" si="77"/>
        <v>2151</v>
      </c>
      <c r="AJ82" s="1815">
        <f>_xlfn.XLOOKUP($D82,'Sales Rec'!$E$4:$E$93,'Sales Rec'!$AV$4:$AV$93)</f>
        <v>5499</v>
      </c>
      <c r="AK82" s="2048">
        <f t="shared" si="78"/>
        <v>3348</v>
      </c>
      <c r="AL82" s="1815">
        <f>_xlfn.XLOOKUP($D82,'Sales Rec'!$E$4:$E$93,'Sales Rec'!$AY$4:$AY$93)</f>
        <v>7966</v>
      </c>
      <c r="AM82" s="2048">
        <f t="shared" si="79"/>
        <v>2467</v>
      </c>
      <c r="AN82" s="1815">
        <f>_xlfn.XLOOKUP($D82,'Sales Rec'!$E$4:$E$93,'Sales Rec'!$BB$4:$BB$93)</f>
        <v>10575</v>
      </c>
      <c r="AO82" s="2048">
        <f t="shared" si="80"/>
        <v>2609</v>
      </c>
      <c r="AP82" s="1815">
        <f>_xlfn.XLOOKUP($D82,'Sales Rec'!$E$4:$E$93,'Sales Rec'!$BE$4:$BE$93)</f>
        <v>13300</v>
      </c>
      <c r="AQ82" s="2048">
        <f t="shared" si="81"/>
        <v>2725</v>
      </c>
      <c r="AR82" s="1815">
        <f>_xlfn.XLOOKUP(D82,'Sales Rec'!$E$4:$E$93,'Sales Rec'!$BH$4:$BH$93)</f>
        <v>16045</v>
      </c>
      <c r="AS82" s="2048">
        <f t="shared" si="41"/>
        <v>2745</v>
      </c>
      <c r="AT82" s="1815">
        <f>_xlfn.XLOOKUP(D82,'Sales Rec'!$E$4:$E$93,'Sales Rec'!$BK$4:$BK$93)</f>
        <v>19565</v>
      </c>
      <c r="AU82" s="2048">
        <f t="shared" si="66"/>
        <v>3520</v>
      </c>
      <c r="AV82" s="1815">
        <f>_xlfn.XLOOKUP($D82,'Sales Rec'!$E$4:$E$93,'Sales Rec'!$BN$4:$BN$93)</f>
        <v>23173</v>
      </c>
      <c r="AW82" s="2048">
        <f t="shared" si="67"/>
        <v>3608</v>
      </c>
      <c r="AX82" s="1815">
        <f>_xlfn.XLOOKUP($D82,'Sales Rec'!$E$4:$E$93,'Sales Rec'!$BQ$4:$BQ$93)</f>
        <v>26459</v>
      </c>
      <c r="AY82" s="2048">
        <f t="shared" si="68"/>
        <v>3286</v>
      </c>
      <c r="AZ82" s="1815">
        <f>_xlfn.XLOOKUP($D82,'Sales Rec'!$E$4:$E$93,'Sales Rec'!$BT$4:$BT$93)</f>
        <v>29962</v>
      </c>
      <c r="BA82" s="2048">
        <f t="shared" si="69"/>
        <v>3503</v>
      </c>
      <c r="BB82" s="1815">
        <f>_xlfn.XLOOKUP($D82,'Sales Rec'!$E$4:$E$93,'Sales Rec'!$BW$4:$BW$93)</f>
        <v>33488</v>
      </c>
      <c r="BC82" s="2048">
        <f t="shared" si="70"/>
        <v>3526</v>
      </c>
      <c r="BD82" s="1815">
        <f>_xlfn.XLOOKUP($D82,'Sales Rec'!$E$4:$E$93,'Sales Rec'!$BZ$4:$BZ$93)</f>
        <v>35014</v>
      </c>
      <c r="BE82" s="2048">
        <f t="shared" si="71"/>
        <v>1526</v>
      </c>
      <c r="BF82" s="1815">
        <f>_xlfn.XLOOKUP($D82,'Sales Rec'!$E$4:$E$93,'Sales Rec'!$CH$4:$CH$93)</f>
        <v>406</v>
      </c>
      <c r="BG82" s="2048">
        <f t="shared" si="72"/>
        <v>406</v>
      </c>
      <c r="BH82" s="2050">
        <f t="shared" si="73"/>
        <v>-0.73394495412844041</v>
      </c>
      <c r="BI82" s="1815">
        <f>_xlfn.XLOOKUP($D82,'Sales Rec'!$E$4:$E$93,'Sales Rec'!$CK$4:$CK$93)</f>
        <v>1462</v>
      </c>
      <c r="BJ82" s="2048">
        <f t="shared" si="62"/>
        <v>1056</v>
      </c>
      <c r="BK82" s="2050">
        <f t="shared" si="74"/>
        <v>1.6009852216748768</v>
      </c>
      <c r="BL82" s="1815">
        <f>_xlfn.XLOOKUP($D82,'Sales Rec'!$E$4:$E$93,'Sales Rec'!$CN$4:$CN$93)</f>
        <v>4400</v>
      </c>
      <c r="BM82" s="2048">
        <f t="shared" si="63"/>
        <v>2938</v>
      </c>
      <c r="BN82" s="2050">
        <f t="shared" si="76"/>
        <v>1.7821969696969697</v>
      </c>
      <c r="BO82" s="2069">
        <f t="shared" si="61"/>
        <v>-0.48568088836937462</v>
      </c>
      <c r="BP82" s="1575">
        <f t="shared" si="75"/>
        <v>46</v>
      </c>
    </row>
    <row r="83" spans="1:68" ht="27" customHeight="1">
      <c r="A83" s="2156"/>
      <c r="B83" s="2156"/>
      <c r="C83" s="2172"/>
      <c r="D83" s="2172"/>
      <c r="E83" s="2173"/>
      <c r="F83" s="2174"/>
      <c r="G83" s="2167"/>
      <c r="H83" s="2175"/>
      <c r="I83" s="2157"/>
      <c r="J83" s="2157"/>
      <c r="K83" s="2157"/>
      <c r="L83" s="2157"/>
      <c r="M83" s="2157"/>
      <c r="N83" s="2157"/>
      <c r="O83" s="2157"/>
      <c r="P83" s="2157"/>
      <c r="Q83" s="2186"/>
      <c r="R83" s="2190"/>
      <c r="S83" s="2190"/>
      <c r="T83" s="2158"/>
      <c r="U83" s="2158"/>
      <c r="AH83" s="1815">
        <f>_xlfn.XLOOKUP($D83,'Sales Rec'!$E$4:$E$93,'Sales Rec'!$AS$4:$AS$93)</f>
        <v>0</v>
      </c>
      <c r="AI83" s="2048">
        <f t="shared" si="77"/>
        <v>0</v>
      </c>
      <c r="AJ83" s="1815">
        <f>_xlfn.XLOOKUP($D83,'Sales Rec'!$E$4:$E$93,'Sales Rec'!$AV$4:$AV$93)</f>
        <v>0</v>
      </c>
      <c r="AK83" s="2048">
        <f t="shared" si="78"/>
        <v>0</v>
      </c>
      <c r="AL83" s="1815">
        <f>_xlfn.XLOOKUP($D83,'Sales Rec'!$E$4:$E$93,'Sales Rec'!$AY$4:$AY$93)</f>
        <v>0</v>
      </c>
      <c r="AM83" s="2048">
        <f t="shared" si="79"/>
        <v>0</v>
      </c>
      <c r="AN83" s="1815">
        <f>_xlfn.XLOOKUP($D83,'Sales Rec'!$E$4:$E$93,'Sales Rec'!$BB$4:$BB$93)</f>
        <v>0</v>
      </c>
      <c r="AO83" s="2048">
        <f t="shared" si="80"/>
        <v>0</v>
      </c>
      <c r="AP83" s="1815">
        <f>_xlfn.XLOOKUP($D83,'Sales Rec'!$E$4:$E$93,'Sales Rec'!$BE$4:$BE$93)</f>
        <v>0</v>
      </c>
      <c r="AQ83" s="2048">
        <f t="shared" si="81"/>
        <v>0</v>
      </c>
      <c r="AR83" s="1815"/>
      <c r="AS83" s="2048">
        <f t="shared" si="41"/>
        <v>0</v>
      </c>
      <c r="AT83" s="1815"/>
      <c r="AU83" s="2048">
        <f t="shared" si="66"/>
        <v>0</v>
      </c>
      <c r="AV83" s="1815"/>
      <c r="AW83" s="2048">
        <f t="shared" si="67"/>
        <v>0</v>
      </c>
      <c r="AX83" s="1815"/>
      <c r="AY83" s="2048">
        <f t="shared" si="68"/>
        <v>0</v>
      </c>
      <c r="AZ83" s="1815">
        <f>_xlfn.XLOOKUP($D83,'Sales Rec'!$E$4:$E$93,'Sales Rec'!$BT$4:$BT$93)</f>
        <v>0</v>
      </c>
      <c r="BA83" s="2048">
        <f t="shared" si="69"/>
        <v>0</v>
      </c>
      <c r="BB83" s="1815">
        <f>_xlfn.XLOOKUP($D83,'Sales Rec'!$E$4:$E$93,'Sales Rec'!$BW$4:$BW$93)</f>
        <v>0</v>
      </c>
      <c r="BC83" s="2048">
        <f t="shared" si="70"/>
        <v>0</v>
      </c>
      <c r="BD83" s="1815">
        <f>_xlfn.XLOOKUP($D83,'Sales Rec'!$E$4:$E$93,'Sales Rec'!$BZ$4:$BZ$93)</f>
        <v>0</v>
      </c>
      <c r="BE83" s="2048">
        <f t="shared" si="71"/>
        <v>0</v>
      </c>
      <c r="BF83" s="1815">
        <f>_xlfn.XLOOKUP($D83,'Sales Rec'!$E$4:$E$93,'Sales Rec'!$CH$4:$CH$93)</f>
        <v>0</v>
      </c>
      <c r="BG83" s="2048">
        <f t="shared" si="72"/>
        <v>0</v>
      </c>
      <c r="BH83" s="2050" t="str">
        <f t="shared" si="73"/>
        <v/>
      </c>
      <c r="BI83" s="1815">
        <f>_xlfn.XLOOKUP($D83,'Sales Rec'!$E$4:$E$93,'Sales Rec'!$CK$4:$CK$93)</f>
        <v>0</v>
      </c>
      <c r="BJ83" s="2048">
        <f t="shared" si="62"/>
        <v>0</v>
      </c>
      <c r="BK83" s="2050" t="str">
        <f t="shared" si="74"/>
        <v/>
      </c>
      <c r="BL83" s="1815">
        <f>_xlfn.XLOOKUP($D83,'Sales Rec'!$E$4:$E$93,'Sales Rec'!$CN$4:$CN$93)</f>
        <v>0</v>
      </c>
      <c r="BM83" s="2048">
        <f t="shared" si="63"/>
        <v>0</v>
      </c>
      <c r="BN83" s="2050" t="str">
        <f t="shared" si="76"/>
        <v/>
      </c>
    </row>
    <row r="84" spans="1:68" ht="65" customHeight="1">
      <c r="A84" s="2159">
        <v>1</v>
      </c>
      <c r="B84" s="2160" t="str">
        <f>_xlfn.XLOOKUP(D84,MOPFRA!$R$7:$R$56,MOPFRA!$A$7:$A$56,"")</f>
        <v/>
      </c>
      <c r="C84" s="2164" t="str">
        <f>'MOPFRA Portfolio'!O64</f>
        <v>بانك ملت</v>
      </c>
      <c r="D84" s="2164" t="str">
        <f>'MOPFRA Portfolio'!P64</f>
        <v>وبملت</v>
      </c>
      <c r="E84" s="2170">
        <v>12</v>
      </c>
      <c r="F84" s="2171">
        <v>19294</v>
      </c>
      <c r="G84" s="2167">
        <v>4</v>
      </c>
      <c r="H84" s="2168">
        <f>IF(G84&gt;E84,(G84-E84),((12-E84)+G84))</f>
        <v>4</v>
      </c>
      <c r="I84" s="2147"/>
      <c r="J84" s="2148"/>
      <c r="K84" s="2149"/>
      <c r="L84" s="2150"/>
      <c r="M84" s="2147"/>
      <c r="N84" s="2148"/>
      <c r="O84" s="2149"/>
      <c r="P84" s="2151"/>
      <c r="Q84" s="2186">
        <f>BM84</f>
        <v>0</v>
      </c>
      <c r="R84" s="2187"/>
      <c r="S84" s="2188" t="str">
        <f>_xlfn.XLOOKUP(D84,'Sales Rec'!$E$4:$E$93,'Sales Rec'!$CP$4:$CP$93,"")</f>
        <v/>
      </c>
      <c r="T84" s="2152" t="s">
        <v>234</v>
      </c>
      <c r="U84" s="2152" t="s">
        <v>234</v>
      </c>
      <c r="AH84" s="1815">
        <f>_xlfn.XLOOKUP($D84,'Sales Rec'!$E$4:$E$93,'Sales Rec'!$AS$4:$AS$93)</f>
        <v>0</v>
      </c>
      <c r="AI84" s="2048">
        <f t="shared" si="77"/>
        <v>0</v>
      </c>
      <c r="AJ84" s="1815">
        <f>_xlfn.XLOOKUP($D84,'Sales Rec'!$E$4:$E$93,'Sales Rec'!$AV$4:$AV$93)</f>
        <v>0</v>
      </c>
      <c r="AK84" s="2048">
        <f t="shared" si="78"/>
        <v>0</v>
      </c>
      <c r="AL84" s="1815">
        <f>_xlfn.XLOOKUP($D84,'Sales Rec'!$E$4:$E$93,'Sales Rec'!$AY$4:$AY$93)</f>
        <v>0</v>
      </c>
      <c r="AM84" s="2048">
        <f t="shared" si="79"/>
        <v>0</v>
      </c>
      <c r="AN84" s="1815">
        <f>_xlfn.XLOOKUP($D84,'Sales Rec'!$E$4:$E$93,'Sales Rec'!$BB$4:$BB$93)</f>
        <v>0</v>
      </c>
      <c r="AO84" s="2048">
        <f t="shared" si="80"/>
        <v>0</v>
      </c>
      <c r="AP84" s="1815">
        <f>_xlfn.XLOOKUP($D84,'Sales Rec'!$E$4:$E$93,'Sales Rec'!$BE$4:$BE$93)</f>
        <v>0</v>
      </c>
      <c r="AQ84" s="2048">
        <f t="shared" si="81"/>
        <v>0</v>
      </c>
      <c r="AR84" s="1815">
        <f>_xlfn.XLOOKUP(D84,'Sales Rec'!$E$4:$E$93,'Sales Rec'!$BH$4:$BH$93)</f>
        <v>0</v>
      </c>
      <c r="AS84" s="2048">
        <f t="shared" si="41"/>
        <v>0</v>
      </c>
      <c r="AT84" s="1815">
        <f>_xlfn.XLOOKUP(D84,'Sales Rec'!$E$4:$E$93,'Sales Rec'!$BK$4:$BK$93)</f>
        <v>0</v>
      </c>
      <c r="AU84" s="2048">
        <f t="shared" si="66"/>
        <v>0</v>
      </c>
      <c r="AV84" s="1815">
        <f>_xlfn.XLOOKUP($D84,'Sales Rec'!$E$4:$E$93,'Sales Rec'!$BN$4:$BN$93)</f>
        <v>0</v>
      </c>
      <c r="AW84" s="2048">
        <f t="shared" si="67"/>
        <v>0</v>
      </c>
      <c r="AX84" s="1815">
        <f>_xlfn.XLOOKUP($D84,'Sales Rec'!$E$4:$E$93,'Sales Rec'!$BQ$4:$BQ$93)</f>
        <v>0</v>
      </c>
      <c r="AY84" s="2048">
        <f t="shared" si="68"/>
        <v>0</v>
      </c>
      <c r="AZ84" s="1815">
        <f>_xlfn.XLOOKUP($D84,'Sales Rec'!$E$4:$E$93,'Sales Rec'!$BT$4:$BT$93)</f>
        <v>0</v>
      </c>
      <c r="BA84" s="2048">
        <f t="shared" si="69"/>
        <v>0</v>
      </c>
      <c r="BB84" s="1815">
        <f>_xlfn.XLOOKUP($D84,'Sales Rec'!$E$4:$E$93,'Sales Rec'!$BW$4:$BW$93)</f>
        <v>0</v>
      </c>
      <c r="BC84" s="2048">
        <f t="shared" si="70"/>
        <v>0</v>
      </c>
      <c r="BD84" s="1815">
        <f>_xlfn.XLOOKUP($D84,'Sales Rec'!$E$4:$E$93,'Sales Rec'!$BZ$4:$BZ$93)</f>
        <v>0</v>
      </c>
      <c r="BE84" s="2048">
        <f t="shared" si="71"/>
        <v>0</v>
      </c>
      <c r="BF84" s="1815">
        <f>_xlfn.XLOOKUP($D84,'Sales Rec'!$E$4:$E$93,'Sales Rec'!$CH$4:$CH$93)</f>
        <v>0</v>
      </c>
      <c r="BG84" s="2048">
        <f t="shared" si="72"/>
        <v>0</v>
      </c>
      <c r="BH84" s="2050" t="str">
        <f t="shared" si="73"/>
        <v/>
      </c>
      <c r="BI84" s="1815">
        <f>_xlfn.XLOOKUP($D84,'Sales Rec'!$E$4:$E$93,'Sales Rec'!$CK$4:$CK$93)</f>
        <v>0</v>
      </c>
      <c r="BJ84" s="2048">
        <f t="shared" si="62"/>
        <v>0</v>
      </c>
      <c r="BK84" s="2050" t="str">
        <f t="shared" si="74"/>
        <v/>
      </c>
      <c r="BL84" s="1815">
        <f>_xlfn.XLOOKUP($D84,'Sales Rec'!$E$4:$E$93,'Sales Rec'!$CN$4:$CN$93)</f>
        <v>0</v>
      </c>
      <c r="BM84" s="2048">
        <f t="shared" si="63"/>
        <v>0</v>
      </c>
      <c r="BN84" s="2050" t="str">
        <f t="shared" si="76"/>
        <v/>
      </c>
    </row>
    <row r="85" spans="1:68" ht="65" customHeight="1">
      <c r="A85" s="2159">
        <v>2</v>
      </c>
      <c r="B85" s="2160"/>
      <c r="C85" s="2164" t="str">
        <f>'MOPFRA Portfolio'!O65</f>
        <v>بانك تجارت</v>
      </c>
      <c r="D85" s="2164" t="str">
        <f>'MOPFRA Portfolio'!P65</f>
        <v>وتجارت</v>
      </c>
      <c r="E85" s="2170">
        <v>12</v>
      </c>
      <c r="F85" s="2171">
        <v>19294</v>
      </c>
      <c r="G85" s="2167">
        <v>4</v>
      </c>
      <c r="H85" s="2168">
        <f>IF(G85&gt;E85,(G85-E85),((12-E85)+G85))</f>
        <v>4</v>
      </c>
      <c r="I85" s="2147"/>
      <c r="J85" s="2148"/>
      <c r="K85" s="2149"/>
      <c r="L85" s="2150"/>
      <c r="M85" s="2147"/>
      <c r="N85" s="2148"/>
      <c r="O85" s="2149"/>
      <c r="P85" s="2151"/>
      <c r="Q85" s="2186">
        <f>BM85</f>
        <v>0</v>
      </c>
      <c r="R85" s="2187"/>
      <c r="S85" s="2188" t="str">
        <f>_xlfn.XLOOKUP(D85,'Sales Rec'!$E$4:$E$93,'Sales Rec'!$CP$4:$CP$93,"")</f>
        <v/>
      </c>
      <c r="T85" s="2152" t="s">
        <v>234</v>
      </c>
      <c r="U85" s="2152" t="s">
        <v>234</v>
      </c>
      <c r="AH85" s="1815">
        <f>_xlfn.XLOOKUP($D85,'Sales Rec'!$E$4:$E$93,'Sales Rec'!$AS$4:$AS$93)</f>
        <v>0</v>
      </c>
      <c r="AI85" s="2048">
        <f t="shared" si="77"/>
        <v>0</v>
      </c>
      <c r="AJ85" s="1815">
        <f>_xlfn.XLOOKUP($D85,'Sales Rec'!$E$4:$E$93,'Sales Rec'!$AV$4:$AV$93)</f>
        <v>0</v>
      </c>
      <c r="AK85" s="2048">
        <f t="shared" si="78"/>
        <v>0</v>
      </c>
      <c r="AL85" s="1815">
        <f>_xlfn.XLOOKUP($D85,'Sales Rec'!$E$4:$E$93,'Sales Rec'!$AY$4:$AY$93)</f>
        <v>0</v>
      </c>
      <c r="AM85" s="2048">
        <f t="shared" si="79"/>
        <v>0</v>
      </c>
      <c r="AN85" s="1815">
        <f>_xlfn.XLOOKUP($D85,'Sales Rec'!$E$4:$E$93,'Sales Rec'!$BB$4:$BB$93)</f>
        <v>0</v>
      </c>
      <c r="AO85" s="2048">
        <f t="shared" si="80"/>
        <v>0</v>
      </c>
      <c r="AP85" s="1815">
        <f>_xlfn.XLOOKUP($D85,'Sales Rec'!$E$4:$E$93,'Sales Rec'!$BE$4:$BE$93)</f>
        <v>0</v>
      </c>
      <c r="AQ85" s="2048">
        <f t="shared" si="81"/>
        <v>0</v>
      </c>
      <c r="AR85" s="1815">
        <f>_xlfn.XLOOKUP(D85,'Sales Rec'!$E$4:$E$93,'Sales Rec'!$BH$4:$BH$93)</f>
        <v>0</v>
      </c>
      <c r="AS85" s="2048">
        <f t="shared" si="41"/>
        <v>0</v>
      </c>
      <c r="AT85" s="1815">
        <f>_xlfn.XLOOKUP(D85,'Sales Rec'!$E$4:$E$93,'Sales Rec'!$BK$4:$BK$93)</f>
        <v>0</v>
      </c>
      <c r="AU85" s="2048">
        <f t="shared" si="66"/>
        <v>0</v>
      </c>
      <c r="AV85" s="1815">
        <f>_xlfn.XLOOKUP($D85,'Sales Rec'!$E$4:$E$93,'Sales Rec'!$BN$4:$BN$93)</f>
        <v>0</v>
      </c>
      <c r="AW85" s="2048">
        <f t="shared" si="67"/>
        <v>0</v>
      </c>
      <c r="AX85" s="1815">
        <f>_xlfn.XLOOKUP($D85,'Sales Rec'!$E$4:$E$93,'Sales Rec'!$BQ$4:$BQ$93)</f>
        <v>0</v>
      </c>
      <c r="AY85" s="2048">
        <f t="shared" si="68"/>
        <v>0</v>
      </c>
      <c r="AZ85" s="1815">
        <f>_xlfn.XLOOKUP($D85,'Sales Rec'!$E$4:$E$93,'Sales Rec'!$BT$4:$BT$93)</f>
        <v>0</v>
      </c>
      <c r="BA85" s="2048">
        <f t="shared" si="69"/>
        <v>0</v>
      </c>
      <c r="BB85" s="1815">
        <f>_xlfn.XLOOKUP($D85,'Sales Rec'!$E$4:$E$93,'Sales Rec'!$BW$4:$BW$93)</f>
        <v>0</v>
      </c>
      <c r="BC85" s="2048">
        <f t="shared" si="70"/>
        <v>0</v>
      </c>
      <c r="BD85" s="1815">
        <f>_xlfn.XLOOKUP($D85,'Sales Rec'!$E$4:$E$93,'Sales Rec'!$BZ$4:$BZ$93)</f>
        <v>0</v>
      </c>
      <c r="BE85" s="2048">
        <f t="shared" si="71"/>
        <v>0</v>
      </c>
      <c r="BF85" s="1815">
        <f>_xlfn.XLOOKUP($D85,'Sales Rec'!$E$4:$E$93,'Sales Rec'!$CH$4:$CH$93)</f>
        <v>0</v>
      </c>
      <c r="BG85" s="2048">
        <f t="shared" si="72"/>
        <v>0</v>
      </c>
      <c r="BH85" s="2050" t="str">
        <f t="shared" si="73"/>
        <v/>
      </c>
      <c r="BI85" s="1815">
        <f>_xlfn.XLOOKUP($D85,'Sales Rec'!$E$4:$E$93,'Sales Rec'!$CK$4:$CK$93)</f>
        <v>0</v>
      </c>
      <c r="BJ85" s="2048">
        <f t="shared" si="62"/>
        <v>0</v>
      </c>
      <c r="BK85" s="2050" t="str">
        <f t="shared" si="74"/>
        <v/>
      </c>
      <c r="BL85" s="1815">
        <f>_xlfn.XLOOKUP($D85,'Sales Rec'!$E$4:$E$93,'Sales Rec'!$CN$4:$CN$93)</f>
        <v>0</v>
      </c>
      <c r="BM85" s="2048">
        <f t="shared" si="63"/>
        <v>0</v>
      </c>
      <c r="BN85" s="2050" t="str">
        <f t="shared" si="76"/>
        <v/>
      </c>
    </row>
    <row r="86" spans="1:68" ht="65" customHeight="1">
      <c r="A86" s="2159">
        <v>3</v>
      </c>
      <c r="B86" s="2160"/>
      <c r="C86" s="2164" t="str">
        <f>'MOPFRA Portfolio'!O66</f>
        <v>بانك سامان</v>
      </c>
      <c r="D86" s="2164" t="str">
        <f>'MOPFRA Portfolio'!P66</f>
        <v>سامان</v>
      </c>
      <c r="E86" s="2170">
        <v>12</v>
      </c>
      <c r="F86" s="2171">
        <v>19294</v>
      </c>
      <c r="G86" s="2167">
        <v>4</v>
      </c>
      <c r="H86" s="2168">
        <f>IF(G86&gt;E86,(G86-E86),((12-E86)+G86))</f>
        <v>4</v>
      </c>
      <c r="I86" s="2147"/>
      <c r="J86" s="2148"/>
      <c r="K86" s="2149"/>
      <c r="L86" s="2150"/>
      <c r="M86" s="2147"/>
      <c r="N86" s="2148"/>
      <c r="O86" s="2149"/>
      <c r="P86" s="2151"/>
      <c r="Q86" s="2186">
        <f>BM86</f>
        <v>0</v>
      </c>
      <c r="R86" s="2187"/>
      <c r="S86" s="2188" t="str">
        <f>_xlfn.XLOOKUP(D86,'Sales Rec'!$E$4:$E$93,'Sales Rec'!$CP$4:$CP$93,"")</f>
        <v/>
      </c>
      <c r="T86" s="2152" t="s">
        <v>234</v>
      </c>
      <c r="U86" s="2152" t="s">
        <v>234</v>
      </c>
      <c r="AH86" s="1815">
        <f>_xlfn.XLOOKUP($D86,'Sales Rec'!$E$4:$E$93,'Sales Rec'!$AS$4:$AS$93)</f>
        <v>0</v>
      </c>
      <c r="AI86" s="2048">
        <f t="shared" si="77"/>
        <v>0</v>
      </c>
      <c r="AJ86" s="1815">
        <f>_xlfn.XLOOKUP($D86,'Sales Rec'!$E$4:$E$93,'Sales Rec'!$AV$4:$AV$93)</f>
        <v>0</v>
      </c>
      <c r="AK86" s="2048">
        <f t="shared" si="78"/>
        <v>0</v>
      </c>
      <c r="AL86" s="1815">
        <f>_xlfn.XLOOKUP($D86,'Sales Rec'!$E$4:$E$93,'Sales Rec'!$AY$4:$AY$93)</f>
        <v>0</v>
      </c>
      <c r="AM86" s="2048">
        <f t="shared" si="79"/>
        <v>0</v>
      </c>
      <c r="AN86" s="1815">
        <f>_xlfn.XLOOKUP($D86,'Sales Rec'!$E$4:$E$93,'Sales Rec'!$BB$4:$BB$93)</f>
        <v>0</v>
      </c>
      <c r="AO86" s="2048">
        <f t="shared" si="80"/>
        <v>0</v>
      </c>
      <c r="AP86" s="1815">
        <f>_xlfn.XLOOKUP($D86,'Sales Rec'!$E$4:$E$93,'Sales Rec'!$BE$4:$BE$93)</f>
        <v>0</v>
      </c>
      <c r="AQ86" s="2048">
        <f t="shared" si="81"/>
        <v>0</v>
      </c>
      <c r="AR86" s="1815">
        <f>_xlfn.XLOOKUP(D86,'Sales Rec'!$E$4:$E$93,'Sales Rec'!$BH$4:$BH$93)</f>
        <v>0</v>
      </c>
      <c r="AS86" s="2048">
        <f t="shared" si="41"/>
        <v>0</v>
      </c>
      <c r="AT86" s="1815">
        <f>_xlfn.XLOOKUP(D86,'Sales Rec'!$E$4:$E$93,'Sales Rec'!$BK$4:$BK$93)</f>
        <v>0</v>
      </c>
      <c r="AU86" s="2048">
        <f t="shared" si="66"/>
        <v>0</v>
      </c>
      <c r="AV86" s="1815">
        <f>_xlfn.XLOOKUP($D86,'Sales Rec'!$E$4:$E$93,'Sales Rec'!$BN$4:$BN$93)</f>
        <v>0</v>
      </c>
      <c r="AW86" s="2048">
        <f t="shared" si="67"/>
        <v>0</v>
      </c>
      <c r="AX86" s="1815">
        <f>_xlfn.XLOOKUP($D86,'Sales Rec'!$E$4:$E$93,'Sales Rec'!$BQ$4:$BQ$93)</f>
        <v>0</v>
      </c>
      <c r="AY86" s="2048">
        <f t="shared" si="68"/>
        <v>0</v>
      </c>
      <c r="AZ86" s="1815">
        <f>_xlfn.XLOOKUP($D86,'Sales Rec'!$E$4:$E$93,'Sales Rec'!$BT$4:$BT$93)</f>
        <v>0</v>
      </c>
      <c r="BA86" s="2048">
        <f t="shared" si="69"/>
        <v>0</v>
      </c>
      <c r="BB86" s="1815">
        <f>_xlfn.XLOOKUP($D86,'Sales Rec'!$E$4:$E$93,'Sales Rec'!$BW$4:$BW$93)</f>
        <v>0</v>
      </c>
      <c r="BC86" s="2048">
        <f t="shared" si="70"/>
        <v>0</v>
      </c>
      <c r="BD86" s="1815">
        <f>_xlfn.XLOOKUP($D86,'Sales Rec'!$E$4:$E$93,'Sales Rec'!$BZ$4:$BZ$93)</f>
        <v>0</v>
      </c>
      <c r="BE86" s="2048">
        <f t="shared" si="71"/>
        <v>0</v>
      </c>
      <c r="BF86" s="1815">
        <f>_xlfn.XLOOKUP($D86,'Sales Rec'!$E$4:$E$93,'Sales Rec'!$CH$4:$CH$93)</f>
        <v>0</v>
      </c>
      <c r="BG86" s="2048">
        <f t="shared" si="72"/>
        <v>0</v>
      </c>
      <c r="BH86" s="2050" t="str">
        <f t="shared" si="73"/>
        <v/>
      </c>
      <c r="BI86" s="1815">
        <f>_xlfn.XLOOKUP($D86,'Sales Rec'!$E$4:$E$93,'Sales Rec'!$CK$4:$CK$93)</f>
        <v>0</v>
      </c>
      <c r="BJ86" s="2048">
        <f t="shared" si="62"/>
        <v>0</v>
      </c>
      <c r="BK86" s="2050" t="str">
        <f t="shared" si="74"/>
        <v/>
      </c>
      <c r="BL86" s="1815">
        <f>_xlfn.XLOOKUP($D86,'Sales Rec'!$E$4:$E$93,'Sales Rec'!$CN$4:$CN$93)</f>
        <v>0</v>
      </c>
      <c r="BM86" s="2048">
        <f t="shared" si="63"/>
        <v>0</v>
      </c>
      <c r="BN86" s="2050" t="str">
        <f t="shared" si="76"/>
        <v/>
      </c>
    </row>
    <row r="87" spans="1:68" ht="65" customHeight="1">
      <c r="A87" s="2126"/>
      <c r="B87" s="2160"/>
      <c r="C87" s="2164"/>
      <c r="D87" s="2164"/>
      <c r="E87" s="2170"/>
      <c r="F87" s="2171"/>
      <c r="G87" s="2167"/>
      <c r="H87" s="2168"/>
      <c r="I87" s="2147"/>
      <c r="J87" s="2148"/>
      <c r="K87" s="2149"/>
      <c r="L87" s="2150"/>
      <c r="M87" s="2147"/>
      <c r="N87" s="2148"/>
      <c r="O87" s="2149"/>
      <c r="P87" s="2151"/>
      <c r="Q87" s="2186">
        <f t="shared" ref="Q87:Q88" si="84">BM87</f>
        <v>0</v>
      </c>
      <c r="R87" s="2187"/>
      <c r="S87" s="2188" t="str">
        <f>_xlfn.XLOOKUP(D87,'Sales Rec'!$E$4:$E$93,'Sales Rec'!$CP$4:$CP$93,"")</f>
        <v/>
      </c>
      <c r="T87" s="2152" t="s">
        <v>234</v>
      </c>
      <c r="U87" s="2152" t="s">
        <v>234</v>
      </c>
      <c r="AH87" s="1815">
        <f>_xlfn.XLOOKUP($D87,'Sales Rec'!$E$4:$E$93,'Sales Rec'!$AS$4:$AS$93)</f>
        <v>0</v>
      </c>
      <c r="AI87" s="2048">
        <f t="shared" si="77"/>
        <v>0</v>
      </c>
      <c r="AJ87" s="1815">
        <f>_xlfn.XLOOKUP($D87,'Sales Rec'!$E$4:$E$93,'Sales Rec'!$AV$4:$AV$93)</f>
        <v>0</v>
      </c>
      <c r="AK87" s="2048">
        <f t="shared" si="78"/>
        <v>0</v>
      </c>
      <c r="AL87" s="1815">
        <f>_xlfn.XLOOKUP($D87,'Sales Rec'!$E$4:$E$93,'Sales Rec'!$AY$4:$AY$93)</f>
        <v>0</v>
      </c>
      <c r="AM87" s="2048">
        <f t="shared" si="79"/>
        <v>0</v>
      </c>
      <c r="AN87" s="1815">
        <f>_xlfn.XLOOKUP($D87,'Sales Rec'!$E$4:$E$93,'Sales Rec'!$BB$4:$BB$93)</f>
        <v>0</v>
      </c>
      <c r="AO87" s="2048">
        <f t="shared" si="80"/>
        <v>0</v>
      </c>
      <c r="AP87" s="1815">
        <f>_xlfn.XLOOKUP($D87,'Sales Rec'!$E$4:$E$93,'Sales Rec'!$BE$4:$BE$93)</f>
        <v>0</v>
      </c>
      <c r="AQ87" s="2048">
        <f t="shared" si="81"/>
        <v>0</v>
      </c>
      <c r="AR87" s="1815">
        <f>_xlfn.XLOOKUP(D87,'Sales Rec'!$E$4:$E$93,'Sales Rec'!$BH$4:$BH$93)</f>
        <v>0</v>
      </c>
      <c r="AS87" s="2048">
        <f t="shared" si="41"/>
        <v>0</v>
      </c>
      <c r="AT87" s="1815">
        <f>_xlfn.XLOOKUP(D87,'Sales Rec'!$E$4:$E$93,'Sales Rec'!$BK$4:$BK$93)</f>
        <v>0</v>
      </c>
      <c r="AU87" s="2048">
        <f t="shared" ref="AU87:AU88" si="85">IF(AR87&gt;AT87,AT87,AT87-AR87)</f>
        <v>0</v>
      </c>
      <c r="AV87" s="1815">
        <f>_xlfn.XLOOKUP($D87,'Sales Rec'!$E$4:$E$93,'Sales Rec'!$BN$4:$BN$93)</f>
        <v>0</v>
      </c>
      <c r="AW87" s="2048">
        <f t="shared" ref="AW87:AW88" si="86">IF(AT87&gt;AV87,AV87,AV87-AT87)</f>
        <v>0</v>
      </c>
      <c r="AX87" s="1815">
        <f>_xlfn.XLOOKUP($D87,'Sales Rec'!$E$4:$E$93,'Sales Rec'!$BQ$4:$BQ$93)</f>
        <v>0</v>
      </c>
      <c r="AY87" s="2048">
        <f t="shared" ref="AY87:BC88" si="87">IF(AV87&gt;AX87,AX87,AX87-AV87)</f>
        <v>0</v>
      </c>
      <c r="AZ87" s="1815">
        <f>_xlfn.XLOOKUP($D87,'Sales Rec'!$E$4:$E$93,'Sales Rec'!$BT$4:$BT$93)</f>
        <v>0</v>
      </c>
      <c r="BA87" s="2048">
        <f t="shared" si="87"/>
        <v>0</v>
      </c>
      <c r="BB87" s="1815">
        <f>_xlfn.XLOOKUP($D87,'Sales Rec'!$E$4:$E$93,'Sales Rec'!$BW$4:$BW$93)</f>
        <v>0</v>
      </c>
      <c r="BC87" s="2048">
        <f t="shared" si="87"/>
        <v>0</v>
      </c>
      <c r="BD87" s="1815">
        <f>_xlfn.XLOOKUP($D87,'Sales Rec'!$E$4:$E$93,'Sales Rec'!$BZ$4:$BZ$93)</f>
        <v>0</v>
      </c>
      <c r="BE87" s="2048">
        <f t="shared" ref="BE87:BE88" si="88">IF(BB87&gt;BD87,BD87,BD87-BB87)</f>
        <v>0</v>
      </c>
      <c r="BF87" s="1815">
        <f>_xlfn.XLOOKUP($D87,'Sales Rec'!$E$4:$E$93,'Sales Rec'!$CH$4:$CH$93)</f>
        <v>0</v>
      </c>
      <c r="BG87" s="2048">
        <f t="shared" ref="BG87:BG88" si="89">IF(BD87&gt;BF87,BF87,BF87-BD87)</f>
        <v>0</v>
      </c>
      <c r="BH87" s="2050" t="str">
        <f t="shared" ref="BH87:BH88" si="90">IFERROR((BG87-BE87)/BE87,"")</f>
        <v/>
      </c>
      <c r="BI87" s="1815">
        <f>_xlfn.XLOOKUP($D87,'Sales Rec'!$E$4:$E$93,'Sales Rec'!$CK$4:$CK$93)</f>
        <v>0</v>
      </c>
      <c r="BJ87" s="2048">
        <f t="shared" ref="BJ87:BJ88" si="91">IF(BF87&gt;BI87,BI87,BI87-BF87)</f>
        <v>0</v>
      </c>
      <c r="BK87" s="2050" t="str">
        <f t="shared" ref="BK87:BK88" si="92">IFERROR((BJ87-BG87)/BG87,"")</f>
        <v/>
      </c>
      <c r="BL87" s="1815">
        <f>_xlfn.XLOOKUP($D87,'Sales Rec'!$E$4:$E$93,'Sales Rec'!$CN$4:$CN$93)</f>
        <v>0</v>
      </c>
      <c r="BM87" s="2048">
        <f t="shared" ref="BM87:BM88" si="93">IF(BI87&gt;BL87,BL87,BL87-BI87)</f>
        <v>0</v>
      </c>
      <c r="BN87" s="2050" t="str">
        <f t="shared" si="76"/>
        <v/>
      </c>
    </row>
    <row r="88" spans="1:68" ht="65" customHeight="1">
      <c r="A88" s="2159"/>
      <c r="B88" s="2160"/>
      <c r="C88" s="2164"/>
      <c r="D88" s="2164"/>
      <c r="E88" s="2164"/>
      <c r="F88" s="2171"/>
      <c r="G88" s="2167"/>
      <c r="H88" s="2168"/>
      <c r="I88" s="2147"/>
      <c r="J88" s="2148"/>
      <c r="K88" s="2149"/>
      <c r="L88" s="2150"/>
      <c r="M88" s="2147"/>
      <c r="N88" s="2148"/>
      <c r="O88" s="2149"/>
      <c r="P88" s="2151"/>
      <c r="Q88" s="2186">
        <f t="shared" si="84"/>
        <v>0</v>
      </c>
      <c r="R88" s="2187"/>
      <c r="S88" s="2188" t="str">
        <f>_xlfn.XLOOKUP(D88,'Sales Rec'!$E$4:$E$93,'Sales Rec'!$CP$4:$CP$93,"")</f>
        <v/>
      </c>
      <c r="T88" s="2152" t="s">
        <v>234</v>
      </c>
      <c r="U88" s="2152" t="s">
        <v>234</v>
      </c>
      <c r="AH88" s="1815">
        <f>_xlfn.XLOOKUP($D88,'Sales Rec'!$E$4:$E$93,'Sales Rec'!$AS$4:$AS$93)</f>
        <v>0</v>
      </c>
      <c r="AI88" s="2048">
        <f t="shared" si="77"/>
        <v>0</v>
      </c>
      <c r="AJ88" s="1815">
        <f>_xlfn.XLOOKUP($D88,'Sales Rec'!$E$4:$E$93,'Sales Rec'!$AV$4:$AV$93)</f>
        <v>0</v>
      </c>
      <c r="AK88" s="2048">
        <f t="shared" si="78"/>
        <v>0</v>
      </c>
      <c r="AL88" s="1815">
        <f>_xlfn.XLOOKUP($D88,'Sales Rec'!$E$4:$E$93,'Sales Rec'!$AY$4:$AY$93)</f>
        <v>0</v>
      </c>
      <c r="AM88" s="2048">
        <f t="shared" si="79"/>
        <v>0</v>
      </c>
      <c r="AN88" s="1815">
        <f>_xlfn.XLOOKUP($D88,'Sales Rec'!$E$4:$E$93,'Sales Rec'!$BB$4:$BB$93)</f>
        <v>0</v>
      </c>
      <c r="AO88" s="2048">
        <f t="shared" si="80"/>
        <v>0</v>
      </c>
      <c r="AP88" s="1815">
        <f>_xlfn.XLOOKUP($D88,'Sales Rec'!$E$4:$E$93,'Sales Rec'!$BE$4:$BE$93)</f>
        <v>0</v>
      </c>
      <c r="AQ88" s="2048">
        <f t="shared" si="81"/>
        <v>0</v>
      </c>
      <c r="AR88" s="1815">
        <f>_xlfn.XLOOKUP(D88,'Sales Rec'!$E$4:$E$93,'Sales Rec'!$BH$4:$BH$93)</f>
        <v>0</v>
      </c>
      <c r="AS88" s="2048">
        <f t="shared" si="41"/>
        <v>0</v>
      </c>
      <c r="AT88" s="1815">
        <f>_xlfn.XLOOKUP(D88,'Sales Rec'!$E$4:$E$93,'Sales Rec'!$BK$4:$BK$93)</f>
        <v>0</v>
      </c>
      <c r="AU88" s="2048">
        <f t="shared" si="85"/>
        <v>0</v>
      </c>
      <c r="AV88" s="1815">
        <f>_xlfn.XLOOKUP($D88,'Sales Rec'!$E$4:$E$93,'Sales Rec'!$BN$4:$BN$93)</f>
        <v>0</v>
      </c>
      <c r="AW88" s="2048">
        <f t="shared" si="86"/>
        <v>0</v>
      </c>
      <c r="AX88" s="1815">
        <f>_xlfn.XLOOKUP($D88,'Sales Rec'!$E$4:$E$93,'Sales Rec'!$BQ$4:$BQ$93)</f>
        <v>0</v>
      </c>
      <c r="AY88" s="2048">
        <f t="shared" si="87"/>
        <v>0</v>
      </c>
      <c r="AZ88" s="1815">
        <f>_xlfn.XLOOKUP($D88,'Sales Rec'!$E$4:$E$93,'Sales Rec'!$BT$4:$BT$93)</f>
        <v>0</v>
      </c>
      <c r="BA88" s="2048">
        <f t="shared" si="87"/>
        <v>0</v>
      </c>
      <c r="BB88" s="1815">
        <f>_xlfn.XLOOKUP($D88,'Sales Rec'!$E$4:$E$93,'Sales Rec'!$BW$4:$BW$93)</f>
        <v>0</v>
      </c>
      <c r="BC88" s="2048">
        <f t="shared" si="87"/>
        <v>0</v>
      </c>
      <c r="BD88" s="1815">
        <f>_xlfn.XLOOKUP($D88,'Sales Rec'!$E$4:$E$93,'Sales Rec'!$BZ$4:$BZ$93)</f>
        <v>0</v>
      </c>
      <c r="BE88" s="2048">
        <f t="shared" si="88"/>
        <v>0</v>
      </c>
      <c r="BF88" s="1815">
        <f>_xlfn.XLOOKUP($D88,'Sales Rec'!$E$4:$E$93,'Sales Rec'!$CH$4:$CH$93)</f>
        <v>0</v>
      </c>
      <c r="BG88" s="2048">
        <f t="shared" si="89"/>
        <v>0</v>
      </c>
      <c r="BH88" s="2050" t="str">
        <f t="shared" si="90"/>
        <v/>
      </c>
      <c r="BI88" s="1815">
        <f>_xlfn.XLOOKUP($D88,'Sales Rec'!$E$4:$E$93,'Sales Rec'!$CK$4:$CK$93)</f>
        <v>0</v>
      </c>
      <c r="BJ88" s="2048">
        <f t="shared" si="91"/>
        <v>0</v>
      </c>
      <c r="BK88" s="2050" t="str">
        <f t="shared" si="92"/>
        <v/>
      </c>
      <c r="BL88" s="1815">
        <f>_xlfn.XLOOKUP($D88,'Sales Rec'!$E$4:$E$93,'Sales Rec'!$CN$4:$CN$93)</f>
        <v>0</v>
      </c>
      <c r="BM88" s="2048">
        <f t="shared" si="93"/>
        <v>0</v>
      </c>
      <c r="BN88" s="2050" t="str">
        <f t="shared" si="76"/>
        <v/>
      </c>
    </row>
    <row r="89" spans="1:68" ht="36" customHeight="1"/>
  </sheetData>
  <autoFilter ref="A32:BN32" xr:uid="{B9968149-1428-D44F-BA05-408460D2AE39}"/>
  <phoneticPr fontId="39" type="noConversion"/>
  <conditionalFormatting sqref="A33:F86 G33:U88 A88:F88">
    <cfRule type="expression" dxfId="61" priority="11">
      <formula>ROW()=EVEN(ROW())</formula>
    </cfRule>
  </conditionalFormatting>
  <conditionalFormatting sqref="A3:U31">
    <cfRule type="expression" dxfId="60" priority="6">
      <formula>ROW()=EVEN(ROW())</formula>
    </cfRule>
  </conditionalFormatting>
  <conditionalFormatting sqref="B87:F87">
    <cfRule type="expression" dxfId="59" priority="12">
      <formula>ROW()=EVEN(ROW())</formula>
    </cfRule>
  </conditionalFormatting>
  <conditionalFormatting sqref="BO3:BO31 BO33:BO82">
    <cfRule type="cellIs" dxfId="58" priority="3" operator="lessThan">
      <formula>0</formula>
    </cfRule>
    <cfRule type="cellIs" dxfId="57" priority="4" operator="greaterThan">
      <formula>0</formula>
    </cfRule>
    <cfRule type="expression" dxfId="56" priority="5" stopIfTrue="1">
      <formula>ROW()=EVEN(ROW())</formula>
    </cfRule>
  </conditionalFormatting>
  <conditionalFormatting sqref="BP3:BP31 BP33:BP82">
    <cfRule type="expression" dxfId="55" priority="2" stopIfTrue="1">
      <formula>ROW()=EVEN(ROW())</formula>
    </cfRule>
  </conditionalFormatting>
  <pageMargins left="0.25" right="0.25" top="0.75" bottom="0.75" header="0.3" footer="0.3"/>
  <pageSetup paperSize="9" scale="16" fitToHeight="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8FFE-874B-C24F-874E-D042CA4A21B1}">
  <sheetPr>
    <tabColor rgb="FF7030A0"/>
    <pageSetUpPr fitToPage="1"/>
  </sheetPr>
  <dimension ref="A1:ET37"/>
  <sheetViews>
    <sheetView zoomScale="70" zoomScaleNormal="70" workbookViewId="0">
      <selection activeCell="P16" sqref="P16"/>
    </sheetView>
  </sheetViews>
  <sheetFormatPr baseColWidth="10" defaultColWidth="11" defaultRowHeight="21"/>
  <cols>
    <col min="1" max="1" width="12.1640625" customWidth="1"/>
    <col min="2" max="2" width="10.83203125" customWidth="1"/>
    <col min="3" max="3" width="11.83203125" customWidth="1"/>
    <col min="4" max="4" width="11" customWidth="1"/>
    <col min="5" max="5" width="11.6640625" customWidth="1"/>
    <col min="6" max="6" width="12.6640625" style="11" customWidth="1"/>
    <col min="7" max="7" width="9.33203125" style="11" customWidth="1"/>
    <col min="8" max="10" width="8.6640625" style="11" customWidth="1"/>
    <col min="11" max="11" width="10.33203125" style="3" customWidth="1"/>
    <col min="12" max="14" width="10" customWidth="1"/>
    <col min="15" max="15" width="11.6640625" hidden="1" customWidth="1"/>
    <col min="16" max="16" width="27.1640625" customWidth="1"/>
    <col min="17" max="17" width="13.33203125" customWidth="1"/>
    <col min="18" max="18" width="7.5" customWidth="1"/>
    <col min="19" max="19" width="12.6640625" style="11" customWidth="1"/>
    <col min="20" max="20" width="12.5" style="11" customWidth="1"/>
    <col min="21" max="21" width="13" style="11" customWidth="1"/>
    <col min="22" max="22" width="14.6640625" customWidth="1"/>
    <col min="23" max="23" width="11" style="63" customWidth="1"/>
    <col min="24" max="24" width="14" style="63" hidden="1" customWidth="1"/>
    <col min="25" max="25" width="11.1640625" style="63" customWidth="1"/>
    <col min="26" max="26" width="11.1640625" style="63" hidden="1" customWidth="1"/>
    <col min="27" max="27" width="13.6640625" style="63" hidden="1" customWidth="1"/>
    <col min="28" max="28" width="11.83203125" style="63" hidden="1" customWidth="1"/>
    <col min="29" max="30" width="13" style="63" hidden="1" customWidth="1"/>
    <col min="31" max="31" width="13" style="63" customWidth="1"/>
    <col min="32" max="32" width="11.6640625" style="11" customWidth="1"/>
    <col min="33" max="33" width="13.5" style="11" customWidth="1"/>
    <col min="34" max="34" width="12.33203125" style="188" customWidth="1"/>
    <col min="35" max="35" width="12.6640625" style="11" hidden="1" customWidth="1"/>
    <col min="36" max="36" width="16.5" style="11" hidden="1" customWidth="1"/>
    <col min="37" max="37" width="19.5" style="11" hidden="1" customWidth="1"/>
    <col min="38" max="38" width="12.33203125" style="5" hidden="1" customWidth="1"/>
    <col min="39" max="39" width="12.6640625" customWidth="1"/>
    <col min="40" max="41" width="10.33203125" hidden="1" customWidth="1"/>
    <col min="42" max="42" width="12.5" style="11" customWidth="1"/>
    <col min="43" max="43" width="10.6640625" style="3" customWidth="1"/>
    <col min="44" max="44" width="10.83203125" style="11" hidden="1" customWidth="1"/>
    <col min="45" max="45" width="11.6640625" style="11" hidden="1" customWidth="1"/>
    <col min="46" max="46" width="12.1640625" style="12" customWidth="1"/>
    <col min="47" max="47" width="12.5" style="12" customWidth="1"/>
    <col min="48" max="48" width="11.83203125" style="11" hidden="1" customWidth="1"/>
    <col min="49" max="49" width="11" style="11" hidden="1" customWidth="1"/>
    <col min="50" max="51" width="10.1640625" hidden="1" customWidth="1"/>
    <col min="52" max="52" width="11.6640625" style="11" hidden="1" customWidth="1"/>
    <col min="53" max="53" width="12.1640625" style="11" customWidth="1"/>
    <col min="54" max="54" width="11.83203125" style="11" customWidth="1"/>
    <col min="55" max="55" width="12" style="11" customWidth="1"/>
    <col min="56" max="56" width="11" style="11" hidden="1" customWidth="1"/>
    <col min="57" max="57" width="11.6640625" style="12" hidden="1" customWidth="1"/>
    <col min="58" max="58" width="12.1640625" style="11" hidden="1" customWidth="1"/>
    <col min="59" max="60" width="11.6640625" style="12" hidden="1" customWidth="1"/>
    <col min="61" max="61" width="1.33203125" style="12" customWidth="1"/>
    <col min="62" max="62" width="11.83203125" style="11" customWidth="1"/>
    <col min="63" max="63" width="8.6640625" style="441" hidden="1" customWidth="1"/>
    <col min="64" max="64" width="11.6640625" style="11" hidden="1" customWidth="1"/>
    <col min="65" max="65" width="11.83203125" style="11" hidden="1" customWidth="1"/>
    <col min="66" max="66" width="11.6640625" style="11" hidden="1" customWidth="1"/>
    <col min="67" max="68" width="12" style="11" hidden="1" customWidth="1"/>
    <col min="69" max="69" width="1.1640625" style="11" customWidth="1"/>
    <col min="70" max="70" width="14.5" style="11" customWidth="1"/>
    <col min="71" max="71" width="11.33203125" style="11" hidden="1" customWidth="1"/>
    <col min="72" max="72" width="12" style="12" hidden="1" customWidth="1"/>
    <col min="73" max="73" width="12.33203125" style="12" hidden="1" customWidth="1"/>
    <col min="74" max="74" width="13.1640625" style="11" hidden="1" customWidth="1"/>
    <col min="75" max="75" width="13.5" style="11" customWidth="1"/>
    <col min="76" max="76" width="12.33203125" style="11" customWidth="1"/>
    <col min="77" max="79" width="11.33203125" style="11" hidden="1" customWidth="1"/>
    <col min="80" max="81" width="12" style="12" hidden="1" customWidth="1"/>
    <col min="82" max="82" width="0.83203125" style="11" customWidth="1"/>
    <col min="83" max="83" width="13" style="11" customWidth="1"/>
    <col min="84" max="84" width="10.6640625" style="11" customWidth="1"/>
    <col min="85" max="86" width="10.5" style="11" hidden="1" customWidth="1"/>
    <col min="87" max="87" width="11.5" style="11" hidden="1" customWidth="1"/>
    <col min="88" max="89" width="10.6640625" style="11" hidden="1" customWidth="1"/>
    <col min="90" max="90" width="12.33203125" style="11" hidden="1" customWidth="1"/>
    <col min="91" max="91" width="11.1640625" style="11" hidden="1" customWidth="1"/>
    <col min="92" max="92" width="9.5" style="11" hidden="1" customWidth="1"/>
    <col min="93" max="93" width="8.83203125" style="56" hidden="1" customWidth="1"/>
    <col min="94" max="94" width="11.1640625" style="11" customWidth="1"/>
    <col min="95" max="96" width="9.6640625" style="11" customWidth="1"/>
    <col min="97" max="97" width="10.33203125" style="11" customWidth="1"/>
    <col min="98" max="98" width="10.6640625" style="11" customWidth="1"/>
    <col min="99" max="99" width="10.5" style="11" hidden="1" customWidth="1"/>
    <col min="100" max="100" width="11" style="11" hidden="1" customWidth="1"/>
    <col min="101" max="101" width="10.6640625" style="11" customWidth="1"/>
    <col min="102" max="102" width="10.6640625" style="11" hidden="1" customWidth="1"/>
    <col min="103" max="103" width="10.33203125" style="11" hidden="1" customWidth="1"/>
    <col min="104" max="105" width="9.83203125" style="11" hidden="1" customWidth="1"/>
    <col min="106" max="111" width="10.33203125" style="11" hidden="1" customWidth="1"/>
    <col min="112" max="115" width="11.6640625" style="11" hidden="1" customWidth="1"/>
    <col min="116" max="117" width="10.33203125" style="11" hidden="1" customWidth="1"/>
    <col min="118" max="118" width="9.6640625" style="11" hidden="1" customWidth="1"/>
    <col min="119" max="119" width="12.6640625" style="11" hidden="1" customWidth="1"/>
    <col min="120" max="120" width="14.33203125" style="11" hidden="1" customWidth="1"/>
    <col min="121" max="121" width="13" style="11" hidden="1" customWidth="1"/>
    <col min="122" max="122" width="11.1640625" style="11" hidden="1" customWidth="1"/>
    <col min="123" max="123" width="12.83203125" style="12" hidden="1" customWidth="1"/>
    <col min="124" max="124" width="12.1640625" style="12" hidden="1" customWidth="1"/>
    <col min="125" max="128" width="12" style="12" hidden="1" customWidth="1"/>
    <col min="129" max="131" width="13" style="188" hidden="1" customWidth="1"/>
    <col min="132" max="132" width="10" style="188" hidden="1" customWidth="1"/>
    <col min="133" max="133" width="13.33203125" style="188" hidden="1" customWidth="1"/>
    <col min="134" max="135" width="12.5" style="188" customWidth="1"/>
    <col min="136" max="136" width="12.5" style="188" hidden="1" customWidth="1"/>
    <col min="137" max="137" width="12.33203125" style="188" hidden="1" customWidth="1"/>
    <col min="138" max="138" width="12" style="290" hidden="1" customWidth="1"/>
    <col min="139" max="142" width="11.6640625" style="290" hidden="1" customWidth="1"/>
    <col min="143" max="143" width="12.33203125" style="290" hidden="1" customWidth="1"/>
    <col min="144" max="144" width="11.6640625" style="290" hidden="1" customWidth="1"/>
    <col min="145" max="145" width="12.33203125" style="290" hidden="1" customWidth="1"/>
    <col min="146" max="147" width="11.6640625" style="290" hidden="1" customWidth="1"/>
    <col min="148" max="149" width="12.33203125" style="290" hidden="1" customWidth="1"/>
    <col min="150" max="150" width="11.5" style="290" hidden="1" customWidth="1"/>
  </cols>
  <sheetData>
    <row r="1" spans="1:150" ht="16" customHeight="1">
      <c r="A1" s="497">
        <f>Cement!A1</f>
        <v>0</v>
      </c>
      <c r="B1" s="497">
        <f>Cement!B1</f>
        <v>0</v>
      </c>
      <c r="C1" s="497">
        <f>Cement!C1</f>
        <v>0</v>
      </c>
      <c r="D1" s="497">
        <f>Cement!D1</f>
        <v>0</v>
      </c>
      <c r="E1" s="497">
        <f>Cement!E1</f>
        <v>0</v>
      </c>
      <c r="F1" s="497">
        <f>Cement!F1</f>
        <v>0</v>
      </c>
      <c r="G1" s="497">
        <f>Cement!H1</f>
        <v>0</v>
      </c>
      <c r="H1" s="497">
        <f>Cement!G1</f>
        <v>0</v>
      </c>
      <c r="I1" s="497"/>
      <c r="J1" s="497"/>
      <c r="K1" s="1159">
        <f>Cement!K1</f>
        <v>0</v>
      </c>
      <c r="L1" s="497">
        <f>Cement!L1</f>
        <v>0</v>
      </c>
      <c r="M1" s="497">
        <f>Cement!M1</f>
        <v>0</v>
      </c>
      <c r="N1" s="497">
        <f>Cement!N1</f>
        <v>0</v>
      </c>
      <c r="O1" s="782">
        <f>Cement!O1</f>
        <v>0</v>
      </c>
      <c r="P1" s="782">
        <f>Cement!P1</f>
        <v>0</v>
      </c>
      <c r="Q1" s="497">
        <f>Cement!Q1</f>
        <v>1</v>
      </c>
      <c r="R1" s="497">
        <f>Cement!R1</f>
        <v>2</v>
      </c>
      <c r="S1" s="497">
        <f>Cement!S1</f>
        <v>3</v>
      </c>
      <c r="T1" s="497">
        <f>Cement!T1</f>
        <v>4</v>
      </c>
      <c r="U1" s="497">
        <f>Cement!U1</f>
        <v>5</v>
      </c>
      <c r="V1" s="497">
        <f>Cement!V1</f>
        <v>6</v>
      </c>
      <c r="W1" s="497">
        <f>Cement!W1</f>
        <v>7</v>
      </c>
      <c r="X1" s="497">
        <f>Cement!Y1</f>
        <v>8</v>
      </c>
      <c r="Y1" s="497">
        <f>Cement!Z1</f>
        <v>9</v>
      </c>
      <c r="Z1" s="497">
        <f>Cement!AA1</f>
        <v>10</v>
      </c>
      <c r="AA1" s="497">
        <f>Cement!AB1</f>
        <v>11</v>
      </c>
      <c r="AB1" s="497">
        <f>Cement!AD1</f>
        <v>13</v>
      </c>
      <c r="AC1" s="497">
        <f>Cement!AE1</f>
        <v>14</v>
      </c>
      <c r="AD1" s="497">
        <f>Cement!AF1</f>
        <v>15</v>
      </c>
      <c r="AE1" s="497">
        <f>Cement!AG1</f>
        <v>16</v>
      </c>
      <c r="AF1" s="497">
        <f>Cement!AH1</f>
        <v>17</v>
      </c>
      <c r="AG1" s="497">
        <f>Cement!AI1</f>
        <v>18</v>
      </c>
      <c r="AH1" s="497">
        <f>Cement!AJ1</f>
        <v>19</v>
      </c>
      <c r="AI1" s="497">
        <f>Cement!AK1</f>
        <v>20</v>
      </c>
      <c r="AJ1" s="497">
        <f>Cement!AL1</f>
        <v>21</v>
      </c>
      <c r="AK1" s="497">
        <f>Cement!AM1</f>
        <v>22</v>
      </c>
      <c r="AL1" s="497">
        <f>Cement!AN1</f>
        <v>23</v>
      </c>
      <c r="AM1" s="497">
        <f>Cement!AO1</f>
        <v>24</v>
      </c>
      <c r="AN1" s="497">
        <f>Cement!AP1</f>
        <v>25</v>
      </c>
      <c r="AO1" s="497">
        <f>Cement!AQ1</f>
        <v>26</v>
      </c>
      <c r="AP1" s="497">
        <f>Cement!AR1</f>
        <v>27</v>
      </c>
      <c r="AQ1" s="497">
        <f>Cement!AS1</f>
        <v>28</v>
      </c>
      <c r="AR1" s="497">
        <f>Cement!AT1</f>
        <v>29</v>
      </c>
      <c r="AS1" s="497">
        <f>Cement!AU1</f>
        <v>30</v>
      </c>
      <c r="AT1" s="497">
        <f>Cement!AV1</f>
        <v>31</v>
      </c>
      <c r="AU1" s="497">
        <f>Cement!AW1</f>
        <v>32</v>
      </c>
      <c r="AV1" s="497">
        <f>Cement!AX1</f>
        <v>33</v>
      </c>
      <c r="AW1" s="497">
        <f>Cement!AY1</f>
        <v>34</v>
      </c>
      <c r="AX1" s="497">
        <f>Cement!AZ1</f>
        <v>35</v>
      </c>
      <c r="AY1" s="497">
        <f>Cement!BA1</f>
        <v>36</v>
      </c>
      <c r="AZ1" s="497">
        <f>Cement!BB1</f>
        <v>37</v>
      </c>
      <c r="BA1" s="497">
        <f>Cement!BC1</f>
        <v>38</v>
      </c>
      <c r="BB1" s="497">
        <f>Cement!BD1</f>
        <v>39</v>
      </c>
      <c r="BC1" s="497">
        <f>Cement!BE1</f>
        <v>40</v>
      </c>
      <c r="BD1" s="497">
        <f>Cement!BF1</f>
        <v>41</v>
      </c>
      <c r="BE1" s="497">
        <f>Cement!BG1</f>
        <v>42</v>
      </c>
      <c r="BF1" s="497">
        <f>Cement!BJ1</f>
        <v>44</v>
      </c>
      <c r="BG1" s="497">
        <f>Cement!BK1</f>
        <v>45</v>
      </c>
      <c r="BH1" s="497">
        <f>Cement!BL1</f>
        <v>46</v>
      </c>
      <c r="BI1" s="497">
        <f>Cement!BM1</f>
        <v>47</v>
      </c>
      <c r="BJ1" s="497">
        <f>Cement!BN1</f>
        <v>48</v>
      </c>
      <c r="BK1" s="497">
        <f>Cement!BO1</f>
        <v>49</v>
      </c>
      <c r="BL1" s="497">
        <f>Cement!BP1</f>
        <v>50</v>
      </c>
      <c r="BM1" s="497">
        <f>Cement!BQ1</f>
        <v>51</v>
      </c>
      <c r="BN1" s="497">
        <f>Cement!BR1</f>
        <v>52</v>
      </c>
      <c r="BO1" s="497">
        <f>Cement!BS1</f>
        <v>53</v>
      </c>
      <c r="BP1" s="497">
        <f>Cement!BT1</f>
        <v>54</v>
      </c>
      <c r="BQ1" s="497">
        <f>Cement!BU1</f>
        <v>55</v>
      </c>
      <c r="BR1" s="497">
        <f>Cement!BV1</f>
        <v>56</v>
      </c>
      <c r="BS1" s="497">
        <f>Cement!BW1</f>
        <v>57</v>
      </c>
      <c r="BT1" s="497">
        <f>Cement!BX1</f>
        <v>58</v>
      </c>
      <c r="BU1" s="497">
        <f>Cement!BY1</f>
        <v>59</v>
      </c>
      <c r="BV1" s="497">
        <f>Cement!BZ1</f>
        <v>60</v>
      </c>
      <c r="BW1" s="497">
        <f>Cement!CB1</f>
        <v>61</v>
      </c>
      <c r="BX1" s="497">
        <f>Cement!CC1</f>
        <v>62</v>
      </c>
      <c r="BY1" s="497">
        <f>Cement!CD1</f>
        <v>63</v>
      </c>
      <c r="BZ1" s="497">
        <f>Cement!CE1</f>
        <v>64</v>
      </c>
      <c r="CA1" s="497">
        <f>Cement!CF1</f>
        <v>65</v>
      </c>
      <c r="CB1" s="497">
        <f>Cement!CG1</f>
        <v>66</v>
      </c>
      <c r="CC1" s="497">
        <f>Cement!CH1</f>
        <v>67</v>
      </c>
      <c r="CD1" s="497">
        <f>Cement!CI1</f>
        <v>68</v>
      </c>
      <c r="CE1" s="497">
        <f>Cement!CJ1</f>
        <v>69</v>
      </c>
      <c r="CF1" s="497">
        <f>Cement!CK1</f>
        <v>70</v>
      </c>
      <c r="CG1" s="497">
        <f>Cement!CL1</f>
        <v>71</v>
      </c>
      <c r="CH1" s="497">
        <f>Cement!CM1</f>
        <v>72</v>
      </c>
      <c r="CI1" s="497">
        <f>Cement!CN1</f>
        <v>73</v>
      </c>
      <c r="CJ1" s="497">
        <f>Cement!CO1</f>
        <v>74</v>
      </c>
      <c r="CK1" s="497">
        <f>Cement!CP1</f>
        <v>75</v>
      </c>
      <c r="CL1" s="497">
        <f>Cement!CQ1</f>
        <v>76</v>
      </c>
      <c r="CM1" s="497">
        <f>Cement!CR1</f>
        <v>77</v>
      </c>
      <c r="CN1" s="497">
        <f>Cement!CS1</f>
        <v>78</v>
      </c>
      <c r="CO1" s="497">
        <f>Cement!CT1</f>
        <v>79</v>
      </c>
      <c r="CP1" s="497">
        <f>Cement!CU1</f>
        <v>80</v>
      </c>
      <c r="CQ1" s="497">
        <f>Cement!CV1</f>
        <v>81</v>
      </c>
      <c r="CR1" s="497">
        <f>Cement!CW1</f>
        <v>82</v>
      </c>
      <c r="CS1" s="497">
        <f>Cement!CX1</f>
        <v>83</v>
      </c>
      <c r="CT1" s="497">
        <f>Cement!CY1</f>
        <v>84</v>
      </c>
      <c r="CU1" s="497">
        <f>Cement!CZ1</f>
        <v>85</v>
      </c>
      <c r="CV1" s="497">
        <f>Cement!DA1</f>
        <v>86</v>
      </c>
      <c r="CW1" s="497">
        <f>Cement!DB1</f>
        <v>87</v>
      </c>
      <c r="CX1" s="497">
        <f>Cement!DC1</f>
        <v>88</v>
      </c>
      <c r="CY1" s="497">
        <f>Cement!DD1</f>
        <v>89</v>
      </c>
      <c r="CZ1" s="497">
        <f>Cement!DE1</f>
        <v>90</v>
      </c>
      <c r="DA1" s="497">
        <f>Cement!DF1</f>
        <v>91</v>
      </c>
      <c r="DB1" s="497">
        <f>Cement!DG1</f>
        <v>92</v>
      </c>
      <c r="DC1" s="497">
        <f>Cement!DH1</f>
        <v>93</v>
      </c>
      <c r="DD1" s="497">
        <f>Cement!DI1</f>
        <v>94</v>
      </c>
      <c r="DE1" s="497">
        <f>Cement!DJ1</f>
        <v>95</v>
      </c>
      <c r="DF1" s="497">
        <f>Cement!DK1</f>
        <v>96</v>
      </c>
      <c r="DG1" s="497">
        <f>Cement!DL1</f>
        <v>97</v>
      </c>
      <c r="DH1" s="497">
        <f>Cement!DM1</f>
        <v>98</v>
      </c>
      <c r="DI1" s="497">
        <f>Cement!DN1</f>
        <v>99</v>
      </c>
      <c r="DJ1" s="497">
        <f>Cement!DO1</f>
        <v>100</v>
      </c>
      <c r="DK1" s="497">
        <f>Cement!DP1</f>
        <v>101</v>
      </c>
      <c r="DL1" s="497">
        <f>Cement!DQ1</f>
        <v>102</v>
      </c>
      <c r="DM1" s="497">
        <f>Cement!DR1</f>
        <v>103</v>
      </c>
      <c r="DN1" s="497">
        <f>Cement!DS1</f>
        <v>104</v>
      </c>
      <c r="DO1" s="497">
        <f>Cement!DT1</f>
        <v>105</v>
      </c>
      <c r="DP1" s="497">
        <f>Cement!DU1</f>
        <v>106</v>
      </c>
      <c r="DQ1" s="497">
        <f>Cement!DV1</f>
        <v>107</v>
      </c>
      <c r="DR1" s="497">
        <f>Cement!DW1</f>
        <v>108</v>
      </c>
      <c r="DS1" s="497">
        <f>Cement!DX1</f>
        <v>109</v>
      </c>
      <c r="DT1" s="497">
        <f>Cement!DY1</f>
        <v>110</v>
      </c>
      <c r="DU1" s="497">
        <f>Cement!DZ1</f>
        <v>111</v>
      </c>
      <c r="DV1" s="497">
        <f>Cement!EA1</f>
        <v>112</v>
      </c>
      <c r="DW1" s="497">
        <f>Cement!EB1</f>
        <v>113</v>
      </c>
      <c r="DX1" s="497">
        <f>Cement!EC1</f>
        <v>114</v>
      </c>
      <c r="DY1" s="497">
        <f>Cement!ED1</f>
        <v>115</v>
      </c>
      <c r="DZ1" s="497">
        <f>Cement!EE1</f>
        <v>116</v>
      </c>
      <c r="EA1" s="497">
        <f>Cement!EF1</f>
        <v>117</v>
      </c>
      <c r="EB1" s="497">
        <f>Cement!EG1</f>
        <v>118</v>
      </c>
      <c r="EC1" s="497">
        <f>Cement!EH1</f>
        <v>119</v>
      </c>
      <c r="ED1" s="497">
        <f>Cement!EI1</f>
        <v>120</v>
      </c>
      <c r="EE1" s="497">
        <f>Cement!EJ1</f>
        <v>121</v>
      </c>
      <c r="EF1" s="497">
        <f>Cement!EK1</f>
        <v>122</v>
      </c>
      <c r="EG1" s="497">
        <f>Cement!EL1</f>
        <v>123</v>
      </c>
      <c r="EH1" s="497">
        <f>Cement!EM1</f>
        <v>124</v>
      </c>
      <c r="EI1" s="497">
        <f>Cement!EN1</f>
        <v>125</v>
      </c>
      <c r="EJ1" s="497">
        <f>Cement!EO1</f>
        <v>126</v>
      </c>
      <c r="EK1" s="497">
        <f>Cement!EP1</f>
        <v>127</v>
      </c>
      <c r="EL1" s="497">
        <f>Cement!EQ1</f>
        <v>128</v>
      </c>
      <c r="EM1" s="497">
        <f>Cement!ER1</f>
        <v>129</v>
      </c>
      <c r="EN1" s="497">
        <f>Cement!ES1</f>
        <v>130</v>
      </c>
      <c r="EO1" s="497">
        <f>Cement!ET1</f>
        <v>131</v>
      </c>
      <c r="EP1" s="497">
        <f>Cement!EU1</f>
        <v>132</v>
      </c>
      <c r="EQ1" s="497">
        <f>Cement!EV1</f>
        <v>133</v>
      </c>
      <c r="ER1" s="497">
        <f>Cement!EW1</f>
        <v>134</v>
      </c>
      <c r="ES1" s="497">
        <f>Cement!EX1</f>
        <v>135</v>
      </c>
      <c r="ET1" s="497">
        <f>Cement!EY1</f>
        <v>136</v>
      </c>
    </row>
    <row r="2" spans="1:150" ht="24">
      <c r="A2" s="472">
        <f>Cement!A2</f>
        <v>189000</v>
      </c>
      <c r="B2" s="471"/>
      <c r="C2" s="473"/>
      <c r="D2" s="471"/>
      <c r="E2" s="1237"/>
      <c r="F2" s="1234"/>
      <c r="G2" s="1374"/>
      <c r="H2" s="1374"/>
      <c r="I2" s="1374"/>
      <c r="J2" s="1374"/>
      <c r="K2" s="1387"/>
      <c r="L2" s="471"/>
      <c r="M2" s="471"/>
      <c r="N2" s="471"/>
      <c r="O2" s="471">
        <f>Cement!O2</f>
        <v>0</v>
      </c>
      <c r="P2" s="848" t="str">
        <f>Cement!U2</f>
        <v>1405/05/14</v>
      </c>
      <c r="Q2" s="848" t="str">
        <f>Cement!W2</f>
        <v xml:space="preserve"> 13:37:15</v>
      </c>
      <c r="R2" s="474">
        <f>Cement!R2</f>
        <v>0</v>
      </c>
      <c r="S2" s="66">
        <f>Cement!S2</f>
        <v>329404.23839199997</v>
      </c>
      <c r="T2" s="849">
        <f>Cement!T2</f>
        <v>6607.2457806037501</v>
      </c>
      <c r="U2" s="563" t="str">
        <f>Cement!U2</f>
        <v>1405/05/14</v>
      </c>
      <c r="V2" s="1014">
        <f>Cement!V2</f>
        <v>23365.111939825016</v>
      </c>
      <c r="W2" s="1313" t="str">
        <f>Cement!W2</f>
        <v xml:space="preserve"> 13:37:15</v>
      </c>
      <c r="X2" s="475">
        <f>Cement!Y2</f>
        <v>0</v>
      </c>
      <c r="Y2" s="476">
        <f>Cement!Z2</f>
        <v>0.24133914574053547</v>
      </c>
      <c r="Z2" s="655">
        <f>Cement!AA2</f>
        <v>0.9</v>
      </c>
      <c r="AA2" s="658">
        <f>Cement!AB2</f>
        <v>0</v>
      </c>
      <c r="AB2" s="668">
        <f>Cement!AD2</f>
        <v>0</v>
      </c>
      <c r="AC2" s="668">
        <f>Cement!AE2</f>
        <v>0</v>
      </c>
      <c r="AD2" s="668">
        <f>Cement!AF2</f>
        <v>0</v>
      </c>
      <c r="AE2" s="666">
        <f>Cement!AG2</f>
        <v>4.9663731557362336</v>
      </c>
      <c r="AF2" s="474">
        <f>Cement!AH2</f>
        <v>0</v>
      </c>
      <c r="AG2" s="474">
        <f>Cement!AI2</f>
        <v>0</v>
      </c>
      <c r="AH2" s="495">
        <f>Cement!AJ2</f>
        <v>0</v>
      </c>
      <c r="AI2" s="474">
        <f>Cement!AK2</f>
        <v>49855000</v>
      </c>
      <c r="AJ2" s="474">
        <f>Cement!AL2</f>
        <v>51895000</v>
      </c>
      <c r="AK2" s="986">
        <f>Cement!AM2</f>
        <v>140981.23699999999</v>
      </c>
      <c r="AL2" s="477">
        <f>Cement!AN2</f>
        <v>45063</v>
      </c>
      <c r="AM2" s="478">
        <f>Cement!AO2</f>
        <v>101748</v>
      </c>
      <c r="AN2" s="478">
        <f>Cement!AP2</f>
        <v>89772</v>
      </c>
      <c r="AO2" s="478">
        <f>Cement!AQ2</f>
        <v>44685</v>
      </c>
      <c r="AP2" s="478">
        <f>Cement!AR2</f>
        <v>129053.14037514341</v>
      </c>
      <c r="AQ2" s="479">
        <f>Cement!AS2</f>
        <v>0</v>
      </c>
      <c r="AR2" s="1189">
        <f>Cement!AT2</f>
        <v>2.426322667676569</v>
      </c>
      <c r="AS2" s="474">
        <f>Cement!AU2</f>
        <v>0</v>
      </c>
      <c r="AT2" s="1082">
        <f>Cement!AV2</f>
        <v>43276</v>
      </c>
      <c r="AU2" s="1082">
        <f>Cement!AW2</f>
        <v>21203</v>
      </c>
      <c r="AV2" s="1084">
        <f>Cement!AX2</f>
        <v>0.48994823920879932</v>
      </c>
      <c r="AW2" s="1084">
        <f>Cement!AY2</f>
        <v>0.49776099451944927</v>
      </c>
      <c r="AX2" s="1368">
        <f>Cement!AZ2</f>
        <v>0</v>
      </c>
      <c r="AY2" s="1085">
        <f>Cement!BA2</f>
        <v>0.39641379310344826</v>
      </c>
      <c r="AZ2" s="474">
        <f>Cement!BB2</f>
        <v>0</v>
      </c>
      <c r="BA2" s="1232">
        <f>Cement!BC2</f>
        <v>0.41020689655172421</v>
      </c>
      <c r="BB2" s="1233">
        <f>Cement!BD2</f>
        <v>0</v>
      </c>
      <c r="BC2" s="1233">
        <f>Cement!BE2</f>
        <v>0</v>
      </c>
      <c r="BD2" s="1233">
        <f>Cement!BF2</f>
        <v>0</v>
      </c>
      <c r="BE2" s="1315">
        <f>Cement!BG2</f>
        <v>8.3370370370370388</v>
      </c>
      <c r="BF2" s="491">
        <f>Cement!BJ2</f>
        <v>0</v>
      </c>
      <c r="BG2" s="474">
        <f>Cement!BK2</f>
        <v>0</v>
      </c>
      <c r="BH2" s="474">
        <f>Cement!BL2</f>
        <v>0</v>
      </c>
      <c r="BI2" s="480">
        <f>Cement!BM2</f>
        <v>0</v>
      </c>
      <c r="BJ2" s="481">
        <f>Cement!BN2</f>
        <v>0</v>
      </c>
      <c r="BK2" s="837">
        <f>Cement!BO2</f>
        <v>0</v>
      </c>
      <c r="BL2" s="481">
        <f>Cement!BP2</f>
        <v>0</v>
      </c>
      <c r="BM2" s="481">
        <f>Cement!BQ2</f>
        <v>0</v>
      </c>
      <c r="BN2" s="481">
        <f>Cement!BR2</f>
        <v>0</v>
      </c>
      <c r="BO2" s="1238">
        <f>Cement!BS2</f>
        <v>0</v>
      </c>
      <c r="BP2" s="1238">
        <f>Cement!BT2</f>
        <v>4491590607.9047947</v>
      </c>
      <c r="BQ2" s="482">
        <f>Cement!BU2</f>
        <v>0</v>
      </c>
      <c r="BR2" s="483">
        <f>Cement!BV2</f>
        <v>5.201968295753519E-6</v>
      </c>
      <c r="BS2" s="484">
        <f>Cement!BW2</f>
        <v>24.999973990158519</v>
      </c>
      <c r="BT2" s="474">
        <f>Cement!BX2</f>
        <v>62095.020377440953</v>
      </c>
      <c r="BU2" s="474">
        <f>Cement!BY2</f>
        <v>52089.004458190226</v>
      </c>
      <c r="BV2" s="484">
        <f>Cement!BZ2</f>
        <v>0</v>
      </c>
      <c r="BW2" s="1248">
        <f>Cement!CB2</f>
        <v>52441.138394399997</v>
      </c>
      <c r="BX2" s="1249">
        <f>Cement!CC2</f>
        <v>6.2814089944923062</v>
      </c>
      <c r="BY2" s="474">
        <f>Cement!CD2</f>
        <v>0</v>
      </c>
      <c r="BZ2" s="7">
        <f>Cement!CE2</f>
        <v>1</v>
      </c>
      <c r="CA2" s="474">
        <f>Cement!CF2</f>
        <v>0</v>
      </c>
      <c r="CB2" s="1189">
        <f>Cement!CG2</f>
        <v>0.45491102137922984</v>
      </c>
      <c r="CC2" s="474">
        <f>Cement!CH2</f>
        <v>0</v>
      </c>
      <c r="CD2" s="481">
        <f>Cement!CI2</f>
        <v>0</v>
      </c>
      <c r="CE2" s="487">
        <f>Cement!CJ2</f>
        <v>14098.1237</v>
      </c>
      <c r="CF2" s="487">
        <f>Cement!CK2</f>
        <v>11035</v>
      </c>
      <c r="CG2" s="487">
        <f>Cement!CL2</f>
        <v>8298</v>
      </c>
      <c r="CH2" s="487">
        <f>Cement!CM2</f>
        <v>0</v>
      </c>
      <c r="CI2" s="487">
        <f>Cement!CN2</f>
        <v>21158</v>
      </c>
      <c r="CJ2" s="487">
        <f>Cement!CO2</f>
        <v>3167</v>
      </c>
      <c r="CK2" s="487">
        <f>Cement!CP2</f>
        <v>21630.25</v>
      </c>
      <c r="CL2" s="487">
        <f>Cement!CQ2</f>
        <v>0</v>
      </c>
      <c r="CM2" s="487">
        <f>Cement!CR2</f>
        <v>33617</v>
      </c>
      <c r="CN2" s="487">
        <f>Cement!CS2</f>
        <v>-3257</v>
      </c>
      <c r="CO2" s="488">
        <f>Cement!CT2</f>
        <v>0</v>
      </c>
      <c r="CP2" s="489">
        <f>Cement!CU2</f>
        <v>48506</v>
      </c>
      <c r="CQ2" s="492">
        <f>Cement!CV2</f>
        <v>74342</v>
      </c>
      <c r="CR2" s="492">
        <f>Cement!CW2</f>
        <v>10362</v>
      </c>
      <c r="CS2" s="492">
        <f>Cement!CX2</f>
        <v>4038</v>
      </c>
      <c r="CT2" s="491">
        <f>Cement!CY2</f>
        <v>78380</v>
      </c>
      <c r="CU2" s="1189">
        <f>Cement!CZ2</f>
        <v>1.362624831758136</v>
      </c>
      <c r="CV2" s="491">
        <f>Cement!DA2</f>
        <v>0</v>
      </c>
      <c r="CW2" s="489">
        <f>Cement!DB2</f>
        <v>126886</v>
      </c>
      <c r="CX2" s="1190">
        <f>Cement!DC2</f>
        <v>0.61771984300868499</v>
      </c>
      <c r="CY2" s="492">
        <f>Cement!DD2</f>
        <v>37102</v>
      </c>
      <c r="CZ2" s="492">
        <f>Cement!DE2</f>
        <v>30510</v>
      </c>
      <c r="DA2" s="492">
        <f>Cement!DF2</f>
        <v>4085</v>
      </c>
      <c r="DB2" s="492">
        <f>Cement!DG2</f>
        <v>89784</v>
      </c>
      <c r="DC2" s="491">
        <f>Cement!DH2</f>
        <v>15442</v>
      </c>
      <c r="DD2" s="490">
        <f>Cement!DI2</f>
        <v>8.3572814645216553</v>
      </c>
      <c r="DE2" s="492">
        <f>Cement!DJ2</f>
        <v>36171</v>
      </c>
      <c r="DF2" s="492">
        <f>Cement!DK2</f>
        <v>12278</v>
      </c>
      <c r="DG2" s="492">
        <f>Cement!DL2</f>
        <v>13628</v>
      </c>
      <c r="DH2" s="1189">
        <f>Cement!DM2</f>
        <v>0.6001298119587205</v>
      </c>
      <c r="DI2" s="474">
        <f>Cement!DN2</f>
        <v>0</v>
      </c>
      <c r="DJ2" s="491">
        <f>Cement!DO2</f>
        <v>0</v>
      </c>
      <c r="DK2" s="474">
        <f>Cement!DP2</f>
        <v>0</v>
      </c>
      <c r="DL2" s="492">
        <f>Cement!DQ2</f>
        <v>20516</v>
      </c>
      <c r="DM2" s="491">
        <f>Cement!DR2</f>
        <v>7191</v>
      </c>
      <c r="DN2" s="485" t="str">
        <f>Cement!DS2</f>
        <v>G</v>
      </c>
      <c r="DO2" s="493">
        <f>Cement!DT2</f>
        <v>34.958972384146826</v>
      </c>
      <c r="DP2" s="491">
        <f>Cement!DU2</f>
        <v>460451.01374999993</v>
      </c>
      <c r="DQ2" s="1189">
        <f>Cement!DV2</f>
        <v>1.3978296575590832</v>
      </c>
      <c r="DR2" s="7">
        <f>Cement!DW2</f>
        <v>7.9565931511816634</v>
      </c>
      <c r="DS2" s="1189">
        <f>Cement!DX2</f>
        <v>2588.5696595154632</v>
      </c>
      <c r="DT2" s="474">
        <f>Cement!DY2</f>
        <v>0</v>
      </c>
      <c r="DU2" s="1191">
        <f>Cement!DZ2</f>
        <v>0.49057106864570721</v>
      </c>
      <c r="DV2" s="474">
        <f>Cement!EA2</f>
        <v>0</v>
      </c>
      <c r="DW2" s="486">
        <f>Cement!EB2</f>
        <v>0.18093351928825749</v>
      </c>
      <c r="DX2" s="474">
        <f>Cement!EC2</f>
        <v>0</v>
      </c>
      <c r="DY2" s="495">
        <f>Cement!ED2</f>
        <v>0</v>
      </c>
      <c r="DZ2" s="495">
        <f>Cement!EE2</f>
        <v>0</v>
      </c>
      <c r="EA2" s="495">
        <f>Cement!EF2</f>
        <v>0</v>
      </c>
      <c r="EB2" s="495">
        <f>Cement!EG2</f>
        <v>0</v>
      </c>
      <c r="EC2" s="495">
        <f>Cement!EH2</f>
        <v>0</v>
      </c>
      <c r="ED2" s="495">
        <f>Cement!EI2</f>
        <v>0</v>
      </c>
      <c r="EE2" s="495">
        <f>Cement!EJ2</f>
        <v>0</v>
      </c>
      <c r="EF2" s="495">
        <f>Cement!EK2</f>
        <v>0</v>
      </c>
      <c r="EG2" s="495">
        <f>Cement!EL2</f>
        <v>0</v>
      </c>
      <c r="EH2" s="496">
        <f>Cement!EM2</f>
        <v>0</v>
      </c>
      <c r="EI2" s="66">
        <f>Cement!EN2</f>
        <v>55210.130140000001</v>
      </c>
      <c r="EJ2" s="66">
        <f>Cement!EO2</f>
        <v>0</v>
      </c>
      <c r="EK2" s="66">
        <f>Cement!EP2</f>
        <v>100706</v>
      </c>
      <c r="EL2" s="66">
        <f>Cement!EQ2</f>
        <v>0</v>
      </c>
      <c r="EM2" s="66">
        <f>Cement!ER2</f>
        <v>112451</v>
      </c>
      <c r="EN2" s="66">
        <f>Cement!ES2</f>
        <v>0</v>
      </c>
      <c r="EO2" s="66">
        <f>Cement!ET2</f>
        <v>207835</v>
      </c>
      <c r="EP2" s="66">
        <f>Cement!EU2</f>
        <v>0</v>
      </c>
      <c r="EQ2" s="66">
        <f>Cement!EV2</f>
        <v>0</v>
      </c>
      <c r="ER2" s="496">
        <f>Cement!EW2</f>
        <v>0</v>
      </c>
      <c r="ES2" s="66">
        <f>Cement!EX2</f>
        <v>265362</v>
      </c>
      <c r="ET2" s="567">
        <f>Cement!EY2</f>
        <v>3.8064005523461715</v>
      </c>
    </row>
    <row r="3" spans="1:150" s="30" customFormat="1" ht="28" customHeight="1">
      <c r="A3" s="34" t="str">
        <f>Cement!A3</f>
        <v>Point</v>
      </c>
      <c r="B3" s="34" t="str">
        <f>Cement!B3</f>
        <v>Point</v>
      </c>
      <c r="C3" s="34" t="str">
        <f>Cement!C3</f>
        <v>٪</v>
      </c>
      <c r="D3" s="34">
        <f>Cement!D3</f>
        <v>0</v>
      </c>
      <c r="E3" s="34" t="str">
        <f>Cement!E3</f>
        <v>%</v>
      </c>
      <c r="F3" s="41" t="str">
        <f>Cement!F3</f>
        <v>%</v>
      </c>
      <c r="G3" s="41">
        <f>Cement!H3</f>
        <v>0</v>
      </c>
      <c r="H3" s="41" t="str">
        <f>Cement!G3</f>
        <v>%</v>
      </c>
      <c r="I3" s="41"/>
      <c r="J3" s="41"/>
      <c r="K3" s="41">
        <f>Cement!K3</f>
        <v>0</v>
      </c>
      <c r="L3" s="34" t="str">
        <f>Cement!L3</f>
        <v>Rank</v>
      </c>
      <c r="M3" s="34">
        <f>Cement!M3</f>
        <v>0</v>
      </c>
      <c r="N3" s="34">
        <f>Cement!N3</f>
        <v>0</v>
      </c>
      <c r="O3" s="147" t="str">
        <f>Cement!O3</f>
        <v>Control</v>
      </c>
      <c r="P3" s="34">
        <f>Cement!P3</f>
        <v>0</v>
      </c>
      <c r="Q3" s="61">
        <f>Cement!Q3</f>
        <v>0</v>
      </c>
      <c r="R3" s="35" t="str">
        <f>Cement!R3</f>
        <v>Month</v>
      </c>
      <c r="S3" s="34" t="str">
        <f>Cement!S3</f>
        <v>IBT</v>
      </c>
      <c r="T3" s="34" t="str">
        <f>Cement!T3</f>
        <v>Rial</v>
      </c>
      <c r="U3" s="34" t="str">
        <f>Cement!U3</f>
        <v>٪</v>
      </c>
      <c r="V3" s="34" t="str">
        <f>Cement!V3</f>
        <v>Rial</v>
      </c>
      <c r="W3" s="37" t="str">
        <f>Cement!W3</f>
        <v>٪</v>
      </c>
      <c r="X3" s="37">
        <f>Cement!Y3</f>
        <v>0</v>
      </c>
      <c r="Y3" s="37" t="str">
        <f>Cement!Z3</f>
        <v>٪</v>
      </c>
      <c r="Z3" s="654" t="str">
        <f>Cement!AA3</f>
        <v>٪</v>
      </c>
      <c r="AA3" s="654" t="str">
        <f>Cement!AB3</f>
        <v>٪</v>
      </c>
      <c r="AB3" s="654">
        <f>Cement!AD3</f>
        <v>0</v>
      </c>
      <c r="AC3" s="654">
        <f>Cement!AE3</f>
        <v>0</v>
      </c>
      <c r="AD3" s="654">
        <f>Cement!AF3</f>
        <v>0</v>
      </c>
      <c r="AE3" s="654" t="str">
        <f>Cement!AG3</f>
        <v>%</v>
      </c>
      <c r="AF3" s="36">
        <f>Cement!AH3</f>
        <v>0</v>
      </c>
      <c r="AG3" s="36">
        <f>Cement!AI3</f>
        <v>0</v>
      </c>
      <c r="AH3" s="40" t="str">
        <f>Cement!AJ3</f>
        <v>Date</v>
      </c>
      <c r="AI3" s="34" t="str">
        <f>Cement!AK3</f>
        <v>Ton</v>
      </c>
      <c r="AJ3" s="34">
        <f>Cement!AL3</f>
        <v>0</v>
      </c>
      <c r="AK3" s="38" t="str">
        <f>Cement!AM3</f>
        <v>Unit</v>
      </c>
      <c r="AL3" s="39" t="str">
        <f>Cement!AN3</f>
        <v>%</v>
      </c>
      <c r="AM3" s="34" t="str">
        <f>Cement!AO3</f>
        <v>Ton</v>
      </c>
      <c r="AN3" s="34" t="str">
        <f>Cement!AP3</f>
        <v>B.Toman</v>
      </c>
      <c r="AO3" s="34">
        <f>Cement!AQ3</f>
        <v>0</v>
      </c>
      <c r="AP3" s="34" t="str">
        <f>Cement!AR3</f>
        <v>B.Toman</v>
      </c>
      <c r="AQ3" s="34" t="str">
        <f>Cement!AS3</f>
        <v>Month</v>
      </c>
      <c r="AR3" s="40">
        <f>Cement!AT3</f>
        <v>0</v>
      </c>
      <c r="AS3" s="106" t="str">
        <f>Cement!AU3</f>
        <v>Point-1</v>
      </c>
      <c r="AT3" s="34" t="str">
        <f>Cement!AV3</f>
        <v>B.Toman</v>
      </c>
      <c r="AU3" s="34" t="str">
        <f>Cement!AW3</f>
        <v>B.Toman</v>
      </c>
      <c r="AV3" s="41" t="str">
        <f>Cement!AX3</f>
        <v>%</v>
      </c>
      <c r="AW3" s="34" t="str">
        <f>Cement!AY3</f>
        <v>%</v>
      </c>
      <c r="AX3" s="34">
        <f>Cement!AZ3</f>
        <v>0</v>
      </c>
      <c r="AY3" s="34" t="str">
        <f>Cement!BA3</f>
        <v>%</v>
      </c>
      <c r="AZ3" s="106" t="str">
        <f>Cement!BB3</f>
        <v>Point-2</v>
      </c>
      <c r="BA3" s="41" t="str">
        <f>Cement!BC3</f>
        <v>%</v>
      </c>
      <c r="BB3" s="41" t="str">
        <f>Cement!BD3</f>
        <v>%</v>
      </c>
      <c r="BC3" s="41">
        <f>Cement!BE3</f>
        <v>0</v>
      </c>
      <c r="BD3" s="41" t="str">
        <f>Cement!BF3</f>
        <v>%</v>
      </c>
      <c r="BE3" s="41" t="str">
        <f>Cement!BG3</f>
        <v>%</v>
      </c>
      <c r="BF3" s="105" t="str">
        <f>Cement!BJ3</f>
        <v>Point-3</v>
      </c>
      <c r="BG3" s="104">
        <f>Cement!BK3</f>
        <v>0</v>
      </c>
      <c r="BH3" s="104" t="str">
        <f>Cement!BL3</f>
        <v>Point-4</v>
      </c>
      <c r="BI3" s="41">
        <f>Cement!BM3</f>
        <v>0</v>
      </c>
      <c r="BJ3" s="34" t="str">
        <f>Cement!BN3</f>
        <v>Month</v>
      </c>
      <c r="BK3" s="838">
        <f>Cement!BO3</f>
        <v>0</v>
      </c>
      <c r="BL3" s="41" t="str">
        <f>Cement!BP3</f>
        <v>Rial</v>
      </c>
      <c r="BM3" s="41" t="str">
        <f>Cement!BQ3</f>
        <v>Rial</v>
      </c>
      <c r="BN3" s="41" t="str">
        <f>Cement!BR3</f>
        <v>Rial</v>
      </c>
      <c r="BO3" s="41">
        <f>Cement!BS3</f>
        <v>0</v>
      </c>
      <c r="BP3" s="41" t="str">
        <f>Cement!BT3</f>
        <v>Rial</v>
      </c>
      <c r="BQ3" s="41">
        <f>Cement!BU3</f>
        <v>0</v>
      </c>
      <c r="BR3" s="41" t="str">
        <f>Cement!BV3</f>
        <v>Ratio</v>
      </c>
      <c r="BS3" s="104" t="str">
        <f>Cement!BW3</f>
        <v>Point-5</v>
      </c>
      <c r="BT3" s="41" t="str">
        <f>Cement!BX3</f>
        <v>B.Toman</v>
      </c>
      <c r="BU3" s="41" t="str">
        <f>Cement!BY3</f>
        <v>B. Toman</v>
      </c>
      <c r="BV3" s="40">
        <f>Cement!BZ3</f>
        <v>0</v>
      </c>
      <c r="BW3" s="42" t="str">
        <f>Cement!CB3</f>
        <v>IBT</v>
      </c>
      <c r="BX3" s="42" t="str">
        <f>Cement!CC3</f>
        <v>Ratio</v>
      </c>
      <c r="BY3" s="104" t="str">
        <f>Cement!CD3</f>
        <v>Point-6</v>
      </c>
      <c r="BZ3" s="41" t="str">
        <f>Cement!CE3</f>
        <v>Ratio</v>
      </c>
      <c r="CA3" s="104" t="str">
        <f>Cement!CF3</f>
        <v>Point-7</v>
      </c>
      <c r="CB3" s="42" t="str">
        <f>Cement!CG3</f>
        <v>Ratio</v>
      </c>
      <c r="CC3" s="104" t="str">
        <f>Cement!CH3</f>
        <v>Point-8</v>
      </c>
      <c r="CD3" s="40">
        <f>Cement!CI3</f>
        <v>0</v>
      </c>
      <c r="CE3" s="34" t="str">
        <f>Cement!CJ3</f>
        <v>B.Toman</v>
      </c>
      <c r="CF3" s="34">
        <f>Cement!CK3</f>
        <v>0</v>
      </c>
      <c r="CG3" s="34">
        <f>Cement!CL3</f>
        <v>0</v>
      </c>
      <c r="CH3" s="34">
        <f>Cement!CM3</f>
        <v>0</v>
      </c>
      <c r="CI3" s="34" t="str">
        <f>Cement!CN3</f>
        <v>B.Toman</v>
      </c>
      <c r="CJ3" s="34" t="str">
        <f>Cement!CO3</f>
        <v>B.Toman</v>
      </c>
      <c r="CK3" s="34" t="str">
        <f>Cement!CP3</f>
        <v>B.Toman</v>
      </c>
      <c r="CL3" s="34">
        <f>Cement!CQ3</f>
        <v>0</v>
      </c>
      <c r="CM3" s="34" t="str">
        <f>Cement!CR3</f>
        <v>B.Toman</v>
      </c>
      <c r="CN3" s="34" t="str">
        <f>Cement!CS3</f>
        <v>B.Toman</v>
      </c>
      <c r="CO3" s="54" t="str">
        <f>Cement!CT3</f>
        <v>Ratio</v>
      </c>
      <c r="CP3" s="34" t="str">
        <f>Cement!CU3</f>
        <v>B.Toman</v>
      </c>
      <c r="CQ3" s="34" t="str">
        <f>Cement!CV3</f>
        <v>B.Toman</v>
      </c>
      <c r="CR3" s="34" t="str">
        <f>Cement!CW3</f>
        <v>B.Toman</v>
      </c>
      <c r="CS3" s="34" t="str">
        <f>Cement!CX3</f>
        <v>B.Toman</v>
      </c>
      <c r="CT3" s="34" t="str">
        <f>Cement!CY3</f>
        <v>B.Toman</v>
      </c>
      <c r="CU3" s="34" t="str">
        <f>Cement!CZ3</f>
        <v>Ratio</v>
      </c>
      <c r="CV3" s="105" t="str">
        <f>Cement!DA3</f>
        <v>Point-9</v>
      </c>
      <c r="CW3" s="34" t="str">
        <f>Cement!DB3</f>
        <v>B.Toman</v>
      </c>
      <c r="CX3" s="34" t="str">
        <f>Cement!DC3</f>
        <v>%</v>
      </c>
      <c r="CY3" s="34" t="str">
        <f>Cement!DD3</f>
        <v>B.Toman</v>
      </c>
      <c r="CZ3" s="34" t="str">
        <f>Cement!DE3</f>
        <v>B.Toman</v>
      </c>
      <c r="DA3" s="34" t="str">
        <f>Cement!DF3</f>
        <v>B.Toman</v>
      </c>
      <c r="DB3" s="34" t="str">
        <f>Cement!DG3</f>
        <v>B.Toman</v>
      </c>
      <c r="DC3" s="34" t="str">
        <f>Cement!DH3</f>
        <v>B.Toman</v>
      </c>
      <c r="DD3" s="34">
        <f>Cement!DI3</f>
        <v>0</v>
      </c>
      <c r="DE3" s="34" t="str">
        <f>Cement!DJ3</f>
        <v>B.Toman</v>
      </c>
      <c r="DF3" s="34" t="str">
        <f>Cement!DK3</f>
        <v>B.Toman</v>
      </c>
      <c r="DG3" s="34" t="str">
        <f>Cement!DL3</f>
        <v>B.Toman</v>
      </c>
      <c r="DH3" s="34" t="str">
        <f>Cement!DM3</f>
        <v>Ratio</v>
      </c>
      <c r="DI3" s="105" t="str">
        <f>Cement!DN3</f>
        <v>Point-10</v>
      </c>
      <c r="DJ3" s="34" t="str">
        <f>Cement!DO3</f>
        <v>Ratio</v>
      </c>
      <c r="DK3" s="105" t="str">
        <f>Cement!DP3</f>
        <v>Point-11</v>
      </c>
      <c r="DL3" s="34" t="str">
        <f>Cement!DQ3</f>
        <v>B.Toman</v>
      </c>
      <c r="DM3" s="34" t="str">
        <f>Cement!DR3</f>
        <v>B.Toman</v>
      </c>
      <c r="DN3" s="34" t="str">
        <f>Cement!DS3</f>
        <v>G/W</v>
      </c>
      <c r="DO3" s="34" t="str">
        <f>Cement!DT3</f>
        <v>USD</v>
      </c>
      <c r="DP3" s="34" t="str">
        <f>Cement!DU3</f>
        <v>B.Toman</v>
      </c>
      <c r="DQ3" s="34" t="str">
        <f>Cement!DV3</f>
        <v>Ratio</v>
      </c>
      <c r="DR3" s="105" t="str">
        <f>Cement!DW3</f>
        <v>Point-12</v>
      </c>
      <c r="DS3" s="41" t="str">
        <f>Cement!DX3</f>
        <v>H.Toman</v>
      </c>
      <c r="DT3" s="104" t="str">
        <f>Cement!DY3</f>
        <v>Point-13</v>
      </c>
      <c r="DU3" s="42" t="str">
        <f>Cement!DZ3</f>
        <v>Ratio</v>
      </c>
      <c r="DV3" s="104" t="str">
        <f>Cement!EA3</f>
        <v>Point-14</v>
      </c>
      <c r="DW3" s="42" t="str">
        <f>Cement!EB3</f>
        <v>Ratio</v>
      </c>
      <c r="DX3" s="104" t="str">
        <f>Cement!EC3</f>
        <v>Point-15</v>
      </c>
      <c r="DY3" s="41" t="str">
        <f>Cement!ED3</f>
        <v>Rial</v>
      </c>
      <c r="DZ3" s="41" t="str">
        <f>Cement!EE3</f>
        <v>Rial</v>
      </c>
      <c r="EA3" s="41">
        <f>Cement!EF3</f>
        <v>0</v>
      </c>
      <c r="EB3" s="40">
        <f>Cement!EG3</f>
        <v>0.25</v>
      </c>
      <c r="EC3" s="40" t="str">
        <f>Cement!EH3</f>
        <v>Days</v>
      </c>
      <c r="ED3" s="40" t="str">
        <f>Cement!EI3</f>
        <v>Rial</v>
      </c>
      <c r="EE3" s="40">
        <f>Cement!EJ3</f>
        <v>0</v>
      </c>
      <c r="EF3" s="40">
        <f>Cement!EK3</f>
        <v>0</v>
      </c>
      <c r="EG3" s="40">
        <f>Cement!EL3</f>
        <v>0</v>
      </c>
      <c r="EH3" s="291">
        <f>Cement!EM3</f>
        <v>0</v>
      </c>
      <c r="EI3" s="291">
        <f>Cement!EN3</f>
        <v>0</v>
      </c>
      <c r="EJ3" s="291">
        <f>Cement!EO3</f>
        <v>0</v>
      </c>
      <c r="EK3" s="291">
        <f>Cement!EP3</f>
        <v>0</v>
      </c>
      <c r="EL3" s="291">
        <f>Cement!EQ3</f>
        <v>0</v>
      </c>
      <c r="EM3" s="291">
        <f>Cement!ER3</f>
        <v>0</v>
      </c>
      <c r="EN3" s="291">
        <f>Cement!ES3</f>
        <v>0</v>
      </c>
      <c r="EO3" s="291">
        <f>Cement!ET3</f>
        <v>0</v>
      </c>
      <c r="EP3" s="291">
        <f>Cement!EU3</f>
        <v>0</v>
      </c>
      <c r="EQ3" s="291">
        <f>Cement!EV3</f>
        <v>0</v>
      </c>
      <c r="ER3" s="291" t="str">
        <f>Cement!EW3</f>
        <v>Rls</v>
      </c>
      <c r="ES3" s="291" t="str">
        <f>Cement!EX3</f>
        <v>IBT</v>
      </c>
      <c r="ET3" s="291" t="str">
        <f>Cement!EY3</f>
        <v>%</v>
      </c>
    </row>
    <row r="4" spans="1:150" s="360" customFormat="1" ht="112" customHeight="1" thickBot="1">
      <c r="A4" s="536" t="str">
        <f>Cement!A4</f>
        <v>جمع امتیاز بنیادی و تخصصی سیمان</v>
      </c>
      <c r="B4" s="536" t="str">
        <f>Cement!B4</f>
        <v>جمع امتیاز بنیادی</v>
      </c>
      <c r="C4" s="536" t="str">
        <f>Cement!C4</f>
        <v xml:space="preserve">بازدهی بر اساس تاریخ مجمع و پرداخت سود </v>
      </c>
      <c r="D4" s="536" t="str">
        <f>Cement!D4</f>
        <v>تغییر انتظاری P/E</v>
      </c>
      <c r="E4" s="536" t="str">
        <f>Cement!E4</f>
        <v xml:space="preserve"> درصد رشد سود ناخالص عملیاتی </v>
      </c>
      <c r="F4" s="536" t="str">
        <f>Cement!F4</f>
        <v xml:space="preserve">درصد رشد سود خالص عملیاتی  نسبت به دورره مشابه </v>
      </c>
      <c r="G4" s="536" t="str">
        <f>Cement!G4</f>
        <v>تغییر رشد تجمیعی دوره نسبت به ماه قبل</v>
      </c>
      <c r="H4" s="536" t="str">
        <f>Cement!H4</f>
        <v>رشد فروش تجمیعی نسبت به سال قبل Update</v>
      </c>
      <c r="I4" s="536" t="str">
        <f>Cement!I4</f>
        <v>رشد فروش در فصل بهار به زمستان</v>
      </c>
      <c r="J4" s="536" t="str">
        <f>Cement!J4</f>
        <v>رشد فروش سه ماهه اخیر</v>
      </c>
      <c r="K4" s="536" t="str">
        <f>Cement!K4</f>
        <v>رتبه رشد فروش سال در حال تداوم</v>
      </c>
      <c r="L4" s="536" t="str">
        <f>Cement!L4</f>
        <v>رتبه در جمع رتبه ها</v>
      </c>
      <c r="M4" s="536" t="str">
        <f>Cement!M4</f>
        <v xml:space="preserve">سیگنال بر اساس روند رشد فروش شرکت اصلی </v>
      </c>
      <c r="N4" s="536" t="str">
        <f>Cement!N4</f>
        <v xml:space="preserve">سیگنال  رشد ارزش انتظاری شرکت </v>
      </c>
      <c r="O4" s="349" t="str">
        <f>Cement!O4</f>
        <v>توجه به  تغییر در EPS و P/E</v>
      </c>
      <c r="P4" s="350" t="str">
        <f>Cement!P4</f>
        <v>نام شرکت</v>
      </c>
      <c r="Q4" s="351" t="str">
        <f>Cement!Q4</f>
        <v>نماد</v>
      </c>
      <c r="R4" s="350" t="str">
        <f>Cement!R4</f>
        <v xml:space="preserve">ماه پایان سال مالی </v>
      </c>
      <c r="S4" s="350" t="str">
        <f>Cement!S4</f>
        <v>ارزش شرکت در بورس</v>
      </c>
      <c r="T4" s="350" t="str">
        <f>Cement!T4</f>
        <v xml:space="preserve">قیمت پایانی </v>
      </c>
      <c r="U4" s="350" t="str">
        <f>Cement!U4</f>
        <v>تغییر قیمت پایانی در روز</v>
      </c>
      <c r="V4" s="350" t="str">
        <f>Cement!V4</f>
        <v xml:space="preserve">آخرین قیمت معامله شده </v>
      </c>
      <c r="W4" s="350" t="str">
        <f>Cement!W4</f>
        <v>تغییر آخرین قیمت درروز</v>
      </c>
      <c r="X4" s="501" t="str">
        <f>Cement!Y4</f>
        <v>TAL Signal</v>
      </c>
      <c r="Y4" s="790" t="str">
        <f>Cement!Z4</f>
        <v xml:space="preserve">رشد نسبت به آخرین مجمع </v>
      </c>
      <c r="Z4" s="656" t="str">
        <f>Cement!AA4</f>
        <v xml:space="preserve">میزان رشد تورمی  انتظاری پس از آخرین مجمع </v>
      </c>
      <c r="AA4" s="657" t="str">
        <f>Cement!AB4</f>
        <v>تفاوت درصد متوسط روزانه بعد از مجمع به رشد تورمی انتظاری</v>
      </c>
      <c r="AB4" s="790" t="str">
        <f>Cement!AD4</f>
        <v>رشد نسبت به مجمع 1403</v>
      </c>
      <c r="AC4" s="790" t="str">
        <f>Cement!AE4</f>
        <v>رشد نسبت به مجمع 1402</v>
      </c>
      <c r="AD4" s="790" t="str">
        <f>Cement!AF4</f>
        <v>رشد نسبت به مجمع  1401</v>
      </c>
      <c r="AE4" s="790" t="str">
        <f>Cement!AG4</f>
        <v xml:space="preserve">رشد نسبت به مجمع 1400 </v>
      </c>
      <c r="AF4" s="352" t="str">
        <f>Cement!AH4</f>
        <v>تعداد روز مانده به مجمع  عادی سالیانه</v>
      </c>
      <c r="AG4" s="353" t="str">
        <f>Cement!AI4</f>
        <v xml:space="preserve">تاریخ آخرین  مجمع </v>
      </c>
      <c r="AH4" s="350" t="str">
        <f>Cement!AJ4</f>
        <v>تاریخ آخرین پرداخت سود</v>
      </c>
      <c r="AI4" s="350" t="str">
        <f>Cement!AK4</f>
        <v>ظرفیت تولید کلینکر</v>
      </c>
      <c r="AJ4" s="350" t="str">
        <f>Cement!AL4</f>
        <v>ظرفیت تولید سیمان</v>
      </c>
      <c r="AK4" s="350" t="str">
        <f>Cement!AM4</f>
        <v>تعداد کل سهام شرکت</v>
      </c>
      <c r="AL4" s="350" t="str">
        <f>Cement!AN4</f>
        <v>میزان سهام شناور در بورس</v>
      </c>
      <c r="AM4" s="501" t="str">
        <f>Cement!AO4</f>
        <v>فروش یکسال اخیر شرکت بر اساس گزارش کدال</v>
      </c>
      <c r="AN4" s="501" t="str">
        <f>Cement!AP4</f>
        <v xml:space="preserve">درآمد (فروش) عملیاتی شرکت اصلی در سال مالی قبل </v>
      </c>
      <c r="AO4" s="501" t="str">
        <f>Cement!AQ4</f>
        <v xml:space="preserve">سود (زیان) عملیاتی آخرین سال مالی </v>
      </c>
      <c r="AP4" s="400" t="str">
        <f>Cement!AR4</f>
        <v xml:space="preserve">تخمین فروش سال مالی جدید بر اساس آخرین گزارش </v>
      </c>
      <c r="AQ4" s="350" t="str">
        <f>Cement!AS4</f>
        <v xml:space="preserve">آخرین ماه  گزارش فروش منتشره </v>
      </c>
      <c r="AR4" s="350" t="str">
        <f>Cement!AT4</f>
        <v>P/S Future</v>
      </c>
      <c r="AS4" s="354" t="str">
        <f>Cement!AU4</f>
        <v>امتیاز P/S فوروارد</v>
      </c>
      <c r="AT4" s="350" t="str">
        <f>Cement!AV4</f>
        <v xml:space="preserve">درآمد (فروش) عملیاتی در حال تداوم  </v>
      </c>
      <c r="AU4" s="350" t="str">
        <f>Cement!AW4</f>
        <v xml:space="preserve">سود (زیان) عملیاتی </v>
      </c>
      <c r="AV4" s="501" t="str">
        <f>Cement!AX4</f>
        <v xml:space="preserve"> نسبت سود ناخالص عملیاتی به فروش - آخرین گزارش سال مالی</v>
      </c>
      <c r="AW4" s="501" t="str">
        <f>Cement!AY4</f>
        <v xml:space="preserve"> نسبت سود ناخالص عملیاتی به فروش - دوره مشابه سال قبل</v>
      </c>
      <c r="AX4" s="501" t="str">
        <f>Cement!AZ4</f>
        <v xml:space="preserve"> نسبت سود ناخالص عملیاتی به فروش - سال مالی 1404</v>
      </c>
      <c r="AY4" s="501" t="str">
        <f>Cement!BA4</f>
        <v xml:space="preserve"> نسبت سود ناخالص عملیاتی به فروش - سال مالی 1403</v>
      </c>
      <c r="AZ4" s="354" t="str">
        <f>Cement!BB4</f>
        <v>امتیاز رشد حاشیه سود خالص</v>
      </c>
      <c r="BA4" s="501" t="str">
        <f>Cement!BC4</f>
        <v xml:space="preserve"> نسبت سود خالص عملیاتی به فروش - آخرین گزارش سال مالی</v>
      </c>
      <c r="BB4" s="501" t="str">
        <f>Cement!BD4</f>
        <v xml:space="preserve"> نسبت سود خالص عملیاتی به فروش - دوره مشابه سال قبل</v>
      </c>
      <c r="BC4" s="501" t="str">
        <f>Cement!BE4</f>
        <v xml:space="preserve"> نسبت سود خالص عملیاتی به فروش - سال مالی 1404</v>
      </c>
      <c r="BD4" s="501" t="str">
        <f>Cement!BF4</f>
        <v xml:space="preserve"> نسبت سود خالص عملیاتی به فروش - سال مالی 1403</v>
      </c>
      <c r="BE4" s="400" t="str">
        <f>Cement!BG4</f>
        <v>نسبت هزینه های ITDA به فروش دوره در حال تداوم</v>
      </c>
      <c r="BF4" s="1318" t="str">
        <f>Cement!BJ4</f>
        <v xml:space="preserve">امتیاز نسبت هزینه های ITDA به فروش </v>
      </c>
      <c r="BG4" s="400" t="str">
        <f>Cement!BK4</f>
        <v>پیش بینی رشد فروش دوره مالی در حال تداوم</v>
      </c>
      <c r="BH4" s="122" t="str">
        <f>Cement!BL4</f>
        <v xml:space="preserve">امتیاز مقایسه پیش بینی رشد فروش به رشد قیمت </v>
      </c>
      <c r="BI4" s="350">
        <f>Cement!BM4</f>
        <v>0</v>
      </c>
      <c r="BJ4" s="350" t="str">
        <f>Cement!BN4</f>
        <v>آخرین ماه گزارش صورت مالی منتشره</v>
      </c>
      <c r="BK4" s="350" t="str">
        <f>Cement!BO4</f>
        <v>فصل مالی گزارش شده</v>
      </c>
      <c r="BL4" s="350" t="str">
        <f>Cement!BP4</f>
        <v xml:space="preserve"> سود به هر سهم در ۳ ماه اول سال مالی </v>
      </c>
      <c r="BM4" s="350" t="str">
        <f>Cement!BQ4</f>
        <v xml:space="preserve"> سود به هر سهم در ۶ ماه اول سال مالی </v>
      </c>
      <c r="BN4" s="350" t="str">
        <f>Cement!BR4</f>
        <v xml:space="preserve"> سود به هر سهم در ۹ ماه اول سال مالی </v>
      </c>
      <c r="BO4" s="400" t="str">
        <f>Cement!BS4</f>
        <v>پیش بینی سود هر سهم بر اساس گزارش فروش ماهیانه</v>
      </c>
      <c r="BP4" s="97" t="str">
        <f>Cement!BT4</f>
        <v xml:space="preserve">پیش بینی سود هر سهم بر اساس صورت ها‌ی مالی </v>
      </c>
      <c r="BQ4" s="355">
        <f>Cement!BU4</f>
        <v>0</v>
      </c>
      <c r="BR4" s="350" t="str">
        <f>Cement!BV4</f>
        <v>P/E - fw</v>
      </c>
      <c r="BS4" s="354" t="str">
        <f>Cement!BW4</f>
        <v>امتیاز P/E فوروارد</v>
      </c>
      <c r="BT4" s="97" t="str">
        <f>Cement!BX4</f>
        <v xml:space="preserve">پیش بینی سود خالص شرکت </v>
      </c>
      <c r="BU4" s="350" t="str">
        <f>Cement!BY4</f>
        <v xml:space="preserve">سود چهار فصل اخیر شرکت </v>
      </c>
      <c r="BV4" s="350" t="str">
        <f>Cement!BZ4</f>
        <v>پیش بینی EBIT سال مالی در جریان</v>
      </c>
      <c r="BW4" s="350" t="str">
        <f>Cement!CB4</f>
        <v>EPS-TTM</v>
      </c>
      <c r="BX4" s="350" t="str">
        <f>Cement!CC4</f>
        <v>P/E-TTM</v>
      </c>
      <c r="BY4" s="354" t="str">
        <f>Cement!CD4</f>
        <v>امتیاز P/E TTM</v>
      </c>
      <c r="BZ4" s="97" t="str">
        <f>Cement!CE4</f>
        <v>نسبت بدهی به تخمین سود سالیانه</v>
      </c>
      <c r="CA4" s="354" t="str">
        <f>Cement!CF4</f>
        <v>امتیاز L/E</v>
      </c>
      <c r="CB4" s="97" t="str">
        <f>Cement!CG4</f>
        <v xml:space="preserve">شاخص بازده  سرمایه به کار گرفته شده </v>
      </c>
      <c r="CC4" s="354" t="str">
        <f>Cement!CH4</f>
        <v>امتیاز ROCE</v>
      </c>
      <c r="CD4" s="355">
        <f>Cement!CI4</f>
        <v>0</v>
      </c>
      <c r="CE4" s="350" t="str">
        <f>Cement!CJ4</f>
        <v>سرمایه ثبتی شرکت</v>
      </c>
      <c r="CF4" s="350" t="str">
        <f>Cement!CK4</f>
        <v xml:space="preserve">سود توزیع نشده از مجمع قبل </v>
      </c>
      <c r="CG4" s="350" t="str">
        <f>Cement!CL4</f>
        <v xml:space="preserve"> سود غیر عملیاتی سال مالی قبل </v>
      </c>
      <c r="CH4" s="350" t="str">
        <f>Cement!CM4</f>
        <v xml:space="preserve"> سود غیر عملیاتی آخرین گزارش</v>
      </c>
      <c r="CI4" s="350" t="str">
        <f>Cement!CN4</f>
        <v>سود خالص عملیات  درحال تداوم</v>
      </c>
      <c r="CJ4" s="350" t="str">
        <f>Cement!CO4</f>
        <v xml:space="preserve">تفاوت سود سهم مالکانه گزارش تلفیقی </v>
      </c>
      <c r="CK4" s="350" t="str">
        <f>Cement!CP4</f>
        <v>جمع سود در حال تداوم تخمینی</v>
      </c>
      <c r="CL4" s="400" t="str">
        <f>Cement!CQ4</f>
        <v>سود در حال تداوم بر اساس فروش ماهانه و حاشیه سود خالص</v>
      </c>
      <c r="CM4" s="350" t="str">
        <f>Cement!CR4</f>
        <v>سود (زیان) انباشته</v>
      </c>
      <c r="CN4" s="400" t="str">
        <f>Cement!CS4</f>
        <v>سهام خزانه و کسری یا اضافی های دیگر</v>
      </c>
      <c r="CO4" s="350" t="str">
        <f>Cement!CT4</f>
        <v xml:space="preserve"> کنترل اطلاعات بدهی و دارایی </v>
      </c>
      <c r="CP4" s="355" t="str">
        <f>Cement!CU4</f>
        <v xml:space="preserve">جمع حقوق مالکانه محاسبه شده </v>
      </c>
      <c r="CQ4" s="356" t="str">
        <f>Cement!CV4</f>
        <v>جمع بدهی جاری</v>
      </c>
      <c r="CR4" s="356" t="str">
        <f>Cement!CW4</f>
        <v xml:space="preserve">تسهیلات مالی </v>
      </c>
      <c r="CS4" s="356" t="str">
        <f>Cement!CX4</f>
        <v xml:space="preserve">جمع بدهی غیر جاری </v>
      </c>
      <c r="CT4" s="357" t="str">
        <f>Cement!CY4</f>
        <v>جمع کل بدهی ها</v>
      </c>
      <c r="CU4" s="97" t="str">
        <f>Cement!CZ4</f>
        <v>نسبت جاری (دارایی جاری به بدهی جاری)</v>
      </c>
      <c r="CV4" s="354" t="str">
        <f>Cement!DA4</f>
        <v>امتیاز نسبت جاری  CA/CL</v>
      </c>
      <c r="CW4" s="357" t="str">
        <f>Cement!DB4</f>
        <v>جمع کل دارائی ها</v>
      </c>
      <c r="CX4" s="357" t="str">
        <f>Cement!DC4</f>
        <v xml:space="preserve">نسبت بدهی به دارایی </v>
      </c>
      <c r="CY4" s="350" t="str">
        <f>Cement!DD4</f>
        <v>جمع دارائی غیر جاری</v>
      </c>
      <c r="CZ4" s="350" t="str">
        <f>Cement!DE4</f>
        <v>دارئی مشهود</v>
      </c>
      <c r="DA4" s="348" t="str">
        <f>Cement!DF4</f>
        <v xml:space="preserve">سرمایه گذاری های بلند مدت </v>
      </c>
      <c r="DB4" s="350" t="str">
        <f>Cement!DG4</f>
        <v>جمع دارائی جاری</v>
      </c>
      <c r="DC4" s="350" t="str">
        <f>Cement!DH4</f>
        <v xml:space="preserve">خالص دارایی جاری </v>
      </c>
      <c r="DD4" s="350" t="str">
        <f>Cement!DI4</f>
        <v>نسبت فروش به خالص دارایی جاری</v>
      </c>
      <c r="DE4" s="350" t="str">
        <f>Cement!DJ4</f>
        <v>موجودی مواد و کالا</v>
      </c>
      <c r="DF4" s="350" t="str">
        <f>Cement!DK4</f>
        <v>موجودی نقدی</v>
      </c>
      <c r="DG4" s="350" t="str">
        <f>Cement!DL4</f>
        <v>دریافتنی های تجاری</v>
      </c>
      <c r="DH4" s="399" t="str">
        <f>Cement!DM4</f>
        <v xml:space="preserve">نسبت کل بدهی‌ها به کل دارایی‌ها </v>
      </c>
      <c r="DI4" s="122" t="str">
        <f>Cement!DN4</f>
        <v>امتیاز L/A</v>
      </c>
      <c r="DJ4" s="400" t="str">
        <f>Cement!DO4</f>
        <v xml:space="preserve">نسبت خالص بدهی تسهیلات به درآمد پیش بینی شده </v>
      </c>
      <c r="DK4" s="122" t="str">
        <f>Cement!DP4</f>
        <v>امتیاز خالص بدهی  تسهیلات به درآمد پیش بینی شده</v>
      </c>
      <c r="DL4" s="350" t="str">
        <f>Cement!DQ4</f>
        <v>سرمایه گذاری‌های کوتاه مدت</v>
      </c>
      <c r="DM4" s="350" t="str">
        <f>Cement!DR4</f>
        <v>پیش پرداختها و سایر</v>
      </c>
      <c r="DN4" s="350" t="str">
        <f>Cement!DS4</f>
        <v xml:space="preserve">سیمان سفید یا خاکستری  </v>
      </c>
      <c r="DO4" s="350" t="str">
        <f>Cement!DT4</f>
        <v>ارزش دلاری هر تن ظرفیت تولیدی شرکت</v>
      </c>
      <c r="DP4" s="350" t="str">
        <f>Cement!DU4</f>
        <v xml:space="preserve">هزینه ساخت جدید همان ظرفیت تولیدی </v>
      </c>
      <c r="DQ4" s="400" t="str">
        <f>Cement!DV4</f>
        <v xml:space="preserve">نسبت هزینه احداث جدید به ارزش شرکت در بورس </v>
      </c>
      <c r="DR4" s="354" t="str">
        <f>Cement!DW4</f>
        <v>امتیاز RC/P</v>
      </c>
      <c r="DS4" s="350" t="str">
        <f>Cement!DX4</f>
        <v xml:space="preserve">متوسط فروش سالیانه به هر تن ظرفیت </v>
      </c>
      <c r="DT4" s="354" t="str">
        <f>Cement!DY4</f>
        <v>امتیاز  S-fw / PC</v>
      </c>
      <c r="DU4" s="350" t="str">
        <f>Cement!DZ4</f>
        <v>شاخص حاشیه سود</v>
      </c>
      <c r="DV4" s="354" t="str">
        <f>Cement!EA4</f>
        <v xml:space="preserve">امتیاز شاخص P/S/ به  P/E  </v>
      </c>
      <c r="DW4" s="350" t="str">
        <f>Cement!EB4</f>
        <v>نسبت فروش صادراتی به کل</v>
      </c>
      <c r="DX4" s="354" t="str">
        <f>Cement!EC4</f>
        <v xml:space="preserve">امتیاز Ex-S / S     </v>
      </c>
      <c r="DY4" s="350" t="str">
        <f>Cement!ED4</f>
        <v>قیمت انتظاری  TTM</v>
      </c>
      <c r="DZ4" s="350" t="str">
        <f>Cement!EE4</f>
        <v>قیمت انتظاری  CUR</v>
      </c>
      <c r="EA4" s="350" t="str">
        <f>Cement!EF4</f>
        <v>سهم از سود انباشته</v>
      </c>
      <c r="EB4" s="350" t="str">
        <f>Cement!EG4</f>
        <v xml:space="preserve">قیمت سهام بر اساس انتظار سود  </v>
      </c>
      <c r="EC4" s="350" t="str">
        <f>Cement!EH4</f>
        <v>فاصله مجمع و پرداخت سود</v>
      </c>
      <c r="ED4" s="358" t="str">
        <f>Cement!EI4</f>
        <v xml:space="preserve">آخرین سود تقسیمی  برای هر سهم </v>
      </c>
      <c r="EE4" s="804" t="str">
        <f>Cement!EJ4</f>
        <v xml:space="preserve">آخرین درصد سود نسبت به قیمت پایانی قبل از مجمع </v>
      </c>
      <c r="EF4" s="350" t="str">
        <f>Cement!EK4</f>
        <v>آخرین افزایش سرمایه ثبت شده</v>
      </c>
      <c r="EG4" s="350" t="str">
        <f>Cement!EL4</f>
        <v>افزایش سرمایه در جریان</v>
      </c>
      <c r="EH4" s="359" t="str">
        <f>Cement!EM4</f>
        <v xml:space="preserve">قیمت سهام پس از مجمع سال مالی 1400     </v>
      </c>
      <c r="EI4" s="348" t="str">
        <f>Cement!EN4</f>
        <v xml:space="preserve">ارزش شرکت بعد از مجمع سال مالی 1400 </v>
      </c>
      <c r="EJ4" s="359" t="str">
        <f>Cement!EO4</f>
        <v>قیمت سهام پس از مجمع سال مالی 1401</v>
      </c>
      <c r="EK4" s="348" t="str">
        <f>Cement!EP4</f>
        <v>ارزش شرکت بعد از مجمع سال مالی 1401</v>
      </c>
      <c r="EL4" s="359" t="str">
        <f>Cement!EQ4</f>
        <v>قیمت سهام پس از مجمع سال مالی 1402</v>
      </c>
      <c r="EM4" s="348" t="str">
        <f>Cement!ER4</f>
        <v>ارزش شرکت بعد از مجمع سال مالی 1402</v>
      </c>
      <c r="EN4" s="359" t="str">
        <f>Cement!ES4</f>
        <v>قیمت سهام پس از مجمع سال مالی 1403</v>
      </c>
      <c r="EO4" s="348" t="str">
        <f>Cement!ET4</f>
        <v>ارزش شرکت بعد از مجمع سال مالی 1403</v>
      </c>
      <c r="EP4" s="359" t="str">
        <f>Cement!EU4</f>
        <v>قیمت سهام پس از مجمع سال مالی 1404</v>
      </c>
      <c r="EQ4" s="348" t="str">
        <f>Cement!EV4</f>
        <v>قیمت سهام پس از مجمع سال مالی 1404</v>
      </c>
      <c r="ER4" s="359" t="str">
        <f>Cement!EW4</f>
        <v xml:space="preserve">قیمت سهام پس از آخرین مجمع </v>
      </c>
      <c r="ES4" s="348" t="str">
        <f>Cement!EX4</f>
        <v>ارزش شرکت بعد از آخرین مجمع</v>
      </c>
      <c r="ET4" s="503" t="str">
        <f>Cement!EY4</f>
        <v>درصد رشد مجمع به مجمع  سال مالی 1400</v>
      </c>
    </row>
    <row r="5" spans="1:150" ht="28" customHeight="1">
      <c r="A5" s="68">
        <f>Cement!A5</f>
        <v>0</v>
      </c>
      <c r="B5" s="68">
        <f>Cement!B5</f>
        <v>0</v>
      </c>
      <c r="C5" s="189">
        <f>Cement!C5</f>
        <v>0</v>
      </c>
      <c r="D5" s="844">
        <f>Cement!D5</f>
        <v>0</v>
      </c>
      <c r="E5" s="68">
        <f>Cement!E5</f>
        <v>0</v>
      </c>
      <c r="F5" s="70">
        <f>Cement!F5</f>
        <v>0</v>
      </c>
      <c r="G5" s="70">
        <f>Cement!H5</f>
        <v>0</v>
      </c>
      <c r="H5" s="70">
        <f>Cement!G5</f>
        <v>0</v>
      </c>
      <c r="I5" s="70"/>
      <c r="J5" s="70"/>
      <c r="K5" s="844">
        <f>Cement!K5</f>
        <v>0</v>
      </c>
      <c r="L5" s="68">
        <f>Cement!L5</f>
        <v>0</v>
      </c>
      <c r="M5" s="68">
        <f>Cement!M5</f>
        <v>0</v>
      </c>
      <c r="N5" s="68">
        <f>Cement!N5</f>
        <v>0</v>
      </c>
      <c r="O5" s="1220">
        <f>Cement!O5</f>
        <v>0</v>
      </c>
      <c r="P5" s="69">
        <f>Cement!P5</f>
        <v>0</v>
      </c>
      <c r="Q5" s="68">
        <f>Cement!Q5</f>
        <v>0</v>
      </c>
      <c r="R5" s="71">
        <f>Cement!R5</f>
        <v>0</v>
      </c>
      <c r="S5" s="70">
        <f>Cement!S5</f>
        <v>0</v>
      </c>
      <c r="T5" s="70">
        <f>Cement!T5</f>
        <v>0</v>
      </c>
      <c r="U5" s="70">
        <f>Cement!U5</f>
        <v>0</v>
      </c>
      <c r="V5" s="72">
        <f>Cement!V5</f>
        <v>0</v>
      </c>
      <c r="W5" s="150" t="str">
        <f>Cement!W5</f>
        <v>%</v>
      </c>
      <c r="X5" s="150">
        <f>Cement!Y5</f>
        <v>0</v>
      </c>
      <c r="Y5" s="150">
        <f>Cement!Z5</f>
        <v>0</v>
      </c>
      <c r="Z5" s="150">
        <f>Cement!AA5</f>
        <v>0</v>
      </c>
      <c r="AA5" s="150">
        <f>Cement!AB5</f>
        <v>0</v>
      </c>
      <c r="AB5" s="150">
        <f>Cement!AD5</f>
        <v>0</v>
      </c>
      <c r="AC5" s="150">
        <f>Cement!AE5</f>
        <v>0</v>
      </c>
      <c r="AD5" s="150">
        <f>Cement!AF5</f>
        <v>0</v>
      </c>
      <c r="AE5" s="150">
        <f>Cement!AG5</f>
        <v>0</v>
      </c>
      <c r="AF5" s="150">
        <f>Cement!AH5</f>
        <v>0</v>
      </c>
      <c r="AG5" s="150">
        <f>Cement!AI5</f>
        <v>0</v>
      </c>
      <c r="AH5" s="80">
        <f>Cement!AJ5</f>
        <v>0</v>
      </c>
      <c r="AI5" s="70">
        <f>Cement!AK5</f>
        <v>0</v>
      </c>
      <c r="AJ5" s="70">
        <f>Cement!AL5</f>
        <v>0</v>
      </c>
      <c r="AK5" s="74">
        <f>Cement!AM5</f>
        <v>0</v>
      </c>
      <c r="AL5" s="75">
        <f>Cement!AN5</f>
        <v>0</v>
      </c>
      <c r="AM5" s="68">
        <f>Cement!AO5</f>
        <v>0</v>
      </c>
      <c r="AN5" s="68">
        <f>Cement!AP5</f>
        <v>0</v>
      </c>
      <c r="AO5" s="68">
        <f>Cement!AQ5</f>
        <v>0</v>
      </c>
      <c r="AP5" s="70">
        <f>Cement!AR5</f>
        <v>0</v>
      </c>
      <c r="AQ5" s="76">
        <f>Cement!AS5</f>
        <v>0</v>
      </c>
      <c r="AR5" s="77">
        <f>Cement!AT5</f>
        <v>0</v>
      </c>
      <c r="AS5" s="77">
        <f>Cement!AU5</f>
        <v>0</v>
      </c>
      <c r="AT5" s="78">
        <f>Cement!AV5</f>
        <v>0</v>
      </c>
      <c r="AU5" s="78">
        <f>Cement!AW5</f>
        <v>0</v>
      </c>
      <c r="AV5" s="70">
        <f>Cement!AX5</f>
        <v>0</v>
      </c>
      <c r="AW5" s="70">
        <f>Cement!AY5</f>
        <v>0</v>
      </c>
      <c r="AX5" s="68">
        <f>Cement!AZ5</f>
        <v>0</v>
      </c>
      <c r="AY5" s="68">
        <f>Cement!BA5</f>
        <v>0</v>
      </c>
      <c r="AZ5" s="77">
        <f>Cement!BB5</f>
        <v>0</v>
      </c>
      <c r="BA5" s="70">
        <f>Cement!BC5</f>
        <v>0</v>
      </c>
      <c r="BB5" s="70">
        <f>Cement!BD5</f>
        <v>0</v>
      </c>
      <c r="BC5" s="70">
        <f>Cement!BE5</f>
        <v>0</v>
      </c>
      <c r="BD5" s="70">
        <f>Cement!BF5</f>
        <v>0</v>
      </c>
      <c r="BE5" s="78">
        <f>Cement!BG5</f>
        <v>0</v>
      </c>
      <c r="BF5" s="70">
        <f>Cement!BJ5</f>
        <v>0</v>
      </c>
      <c r="BG5" s="78">
        <f>Cement!BK5</f>
        <v>0</v>
      </c>
      <c r="BH5" s="78">
        <f>Cement!BL5</f>
        <v>0</v>
      </c>
      <c r="BI5" s="78">
        <f>Cement!BM5</f>
        <v>0</v>
      </c>
      <c r="BJ5" s="71">
        <f>Cement!BN5</f>
        <v>0</v>
      </c>
      <c r="BK5" s="839">
        <f>Cement!BO5</f>
        <v>0</v>
      </c>
      <c r="BL5" s="79">
        <f>Cement!BP5</f>
        <v>0</v>
      </c>
      <c r="BM5" s="80">
        <f>Cement!BQ5</f>
        <v>0</v>
      </c>
      <c r="BN5" s="80">
        <f>Cement!BR5</f>
        <v>0</v>
      </c>
      <c r="BO5" s="78">
        <f>Cement!BS5</f>
        <v>0</v>
      </c>
      <c r="BP5" s="78">
        <f>Cement!BT5</f>
        <v>0</v>
      </c>
      <c r="BQ5" s="78">
        <f>Cement!BU5</f>
        <v>0</v>
      </c>
      <c r="BR5" s="78">
        <f>Cement!BV5</f>
        <v>0</v>
      </c>
      <c r="BS5" s="78">
        <f>Cement!BW5</f>
        <v>0</v>
      </c>
      <c r="BT5" s="80">
        <f>Cement!BX5</f>
        <v>0</v>
      </c>
      <c r="BU5" s="80">
        <f>Cement!BY5</f>
        <v>0</v>
      </c>
      <c r="BV5" s="81">
        <f>Cement!BZ5</f>
        <v>0</v>
      </c>
      <c r="BW5" s="82">
        <f>Cement!CB5</f>
        <v>0</v>
      </c>
      <c r="BX5" s="1741">
        <f>Cement!CC5</f>
        <v>6.56</v>
      </c>
      <c r="BY5" s="78">
        <f>Cement!CD5</f>
        <v>0</v>
      </c>
      <c r="BZ5" s="78">
        <f>Cement!CE5</f>
        <v>0</v>
      </c>
      <c r="CA5" s="78">
        <f>Cement!CF5</f>
        <v>0</v>
      </c>
      <c r="CB5" s="78">
        <f>Cement!CG5</f>
        <v>0</v>
      </c>
      <c r="CC5" s="78">
        <f>Cement!CH5</f>
        <v>0</v>
      </c>
      <c r="CD5" s="81">
        <f>Cement!CI5</f>
        <v>0</v>
      </c>
      <c r="CE5" s="70">
        <f>Cement!CJ5</f>
        <v>0</v>
      </c>
      <c r="CF5" s="70">
        <f>Cement!CK5</f>
        <v>0</v>
      </c>
      <c r="CG5" s="70">
        <f>Cement!CL5</f>
        <v>0</v>
      </c>
      <c r="CH5" s="70">
        <f>Cement!CM5</f>
        <v>0</v>
      </c>
      <c r="CI5" s="70">
        <f>Cement!CN5</f>
        <v>0</v>
      </c>
      <c r="CJ5" s="70">
        <f>Cement!CO5</f>
        <v>0</v>
      </c>
      <c r="CK5" s="70">
        <f>Cement!CP5</f>
        <v>0</v>
      </c>
      <c r="CL5" s="70">
        <f>Cement!CQ5</f>
        <v>0</v>
      </c>
      <c r="CM5" s="70">
        <f>Cement!CR5</f>
        <v>0</v>
      </c>
      <c r="CN5" s="70">
        <f>Cement!CS5</f>
        <v>0</v>
      </c>
      <c r="CO5" s="84">
        <f>Cement!CT5</f>
        <v>0</v>
      </c>
      <c r="CP5" s="70">
        <f>Cement!CU5</f>
        <v>0</v>
      </c>
      <c r="CQ5" s="70">
        <f>Cement!CV5</f>
        <v>0</v>
      </c>
      <c r="CR5" s="70">
        <f>Cement!CW5</f>
        <v>0</v>
      </c>
      <c r="CS5" s="70">
        <f>Cement!CX5</f>
        <v>0</v>
      </c>
      <c r="CT5" s="70">
        <f>Cement!CY5</f>
        <v>0</v>
      </c>
      <c r="CU5" s="70">
        <f>Cement!CZ5</f>
        <v>0</v>
      </c>
      <c r="CV5" s="70">
        <f>Cement!DA5</f>
        <v>0</v>
      </c>
      <c r="CW5" s="70">
        <f>Cement!DB5</f>
        <v>0</v>
      </c>
      <c r="CX5" s="70">
        <f>Cement!DC5</f>
        <v>0</v>
      </c>
      <c r="CY5" s="70">
        <f>Cement!DD5</f>
        <v>0</v>
      </c>
      <c r="CZ5" s="70">
        <f>Cement!DE5</f>
        <v>0</v>
      </c>
      <c r="DA5" s="1855" t="s">
        <v>250</v>
      </c>
      <c r="DB5" s="1855" t="s">
        <v>250</v>
      </c>
      <c r="DC5" s="1855" t="s">
        <v>250</v>
      </c>
      <c r="DD5" s="1855" t="s">
        <v>250</v>
      </c>
      <c r="DE5" s="1855" t="s">
        <v>250</v>
      </c>
      <c r="DF5" s="1855" t="s">
        <v>250</v>
      </c>
      <c r="DG5" s="1855" t="s">
        <v>250</v>
      </c>
      <c r="DH5" s="70">
        <f>Cement!DM5</f>
        <v>0</v>
      </c>
      <c r="DI5" s="70">
        <f>Cement!DN5</f>
        <v>0</v>
      </c>
      <c r="DJ5" s="70">
        <f>Cement!DO5</f>
        <v>0</v>
      </c>
      <c r="DK5" s="70">
        <f>Cement!DP5</f>
        <v>0</v>
      </c>
      <c r="DL5" s="70">
        <f>Cement!DQ5</f>
        <v>0</v>
      </c>
      <c r="DM5" s="70">
        <f>Cement!DR5</f>
        <v>0</v>
      </c>
      <c r="DN5" s="70">
        <f>Cement!DS5</f>
        <v>0</v>
      </c>
      <c r="DO5" s="70">
        <f>Cement!DT5</f>
        <v>0</v>
      </c>
      <c r="DP5" s="70">
        <f>Cement!DU5</f>
        <v>0</v>
      </c>
      <c r="DQ5" s="70">
        <f>Cement!DV5</f>
        <v>0</v>
      </c>
      <c r="DR5" s="70">
        <f>Cement!DW5</f>
        <v>0</v>
      </c>
      <c r="DS5" s="70">
        <f>Cement!DX5</f>
        <v>0</v>
      </c>
      <c r="DT5" s="70">
        <f>Cement!DY5</f>
        <v>0</v>
      </c>
      <c r="DU5" s="70">
        <f>Cement!DZ5</f>
        <v>0</v>
      </c>
      <c r="DV5" s="70">
        <f>Cement!EA5</f>
        <v>0</v>
      </c>
      <c r="DW5" s="70">
        <f>Cement!EB5</f>
        <v>0</v>
      </c>
      <c r="DX5" s="70">
        <f>Cement!EC5</f>
        <v>0</v>
      </c>
      <c r="DY5" s="70">
        <f>Cement!ED5</f>
        <v>0</v>
      </c>
      <c r="DZ5" s="70">
        <f>Cement!EE5</f>
        <v>0</v>
      </c>
      <c r="EA5" s="70">
        <f>Cement!EF5</f>
        <v>0</v>
      </c>
      <c r="EB5" s="70">
        <f>Cement!EG5</f>
        <v>0</v>
      </c>
      <c r="EC5" s="70">
        <f>Cement!EH5</f>
        <v>0</v>
      </c>
      <c r="ED5" s="70">
        <f>Cement!EI5</f>
        <v>0</v>
      </c>
      <c r="EE5" s="70">
        <f>Cement!EJ5</f>
        <v>0</v>
      </c>
      <c r="EF5" s="317">
        <f>Cement!EK5</f>
        <v>0</v>
      </c>
      <c r="EG5" s="317">
        <f>Cement!EL5</f>
        <v>0</v>
      </c>
      <c r="EH5" s="1855" t="s">
        <v>239</v>
      </c>
      <c r="EI5" s="1855" t="s">
        <v>250</v>
      </c>
      <c r="EJ5" s="1855" t="s">
        <v>239</v>
      </c>
      <c r="EK5" s="1855" t="s">
        <v>250</v>
      </c>
      <c r="EL5" s="1855" t="s">
        <v>239</v>
      </c>
      <c r="EM5" s="1855" t="s">
        <v>250</v>
      </c>
      <c r="EN5" s="1855" t="s">
        <v>239</v>
      </c>
      <c r="EO5" s="1855" t="s">
        <v>250</v>
      </c>
      <c r="EP5" s="1855" t="s">
        <v>239</v>
      </c>
      <c r="EQ5" s="1855" t="s">
        <v>250</v>
      </c>
      <c r="ER5" s="1855" t="s">
        <v>239</v>
      </c>
      <c r="ES5" s="1855" t="s">
        <v>250</v>
      </c>
      <c r="ET5" s="1855" t="s">
        <v>234</v>
      </c>
    </row>
    <row r="6" spans="1:150" s="102" customFormat="1" ht="20" customHeight="1">
      <c r="A6" s="315"/>
      <c r="B6" s="315"/>
      <c r="C6" s="450"/>
      <c r="D6" s="315"/>
      <c r="E6" s="315"/>
      <c r="F6" s="317"/>
      <c r="G6" s="480"/>
      <c r="H6" s="480"/>
      <c r="I6" s="480"/>
      <c r="J6" s="480"/>
      <c r="K6" s="1314"/>
      <c r="L6" s="315"/>
      <c r="M6" s="315"/>
      <c r="N6" s="315"/>
      <c r="O6" s="451"/>
      <c r="P6" s="314"/>
      <c r="Q6" s="315"/>
      <c r="R6" s="316"/>
      <c r="S6" s="317"/>
      <c r="T6" s="317"/>
      <c r="U6" s="317"/>
      <c r="V6" s="319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7"/>
      <c r="AJ6" s="317"/>
      <c r="AK6" s="320"/>
      <c r="AL6" s="452"/>
      <c r="AM6" s="315"/>
      <c r="AN6" s="454"/>
      <c r="AO6" s="454"/>
      <c r="AP6" s="454"/>
      <c r="AQ6" s="454"/>
      <c r="AR6" s="454"/>
      <c r="AS6" s="454"/>
      <c r="AT6" s="1452"/>
      <c r="AU6" s="1452"/>
      <c r="AV6" s="1452"/>
      <c r="AW6" s="212"/>
      <c r="AX6" s="210"/>
      <c r="AY6" s="210"/>
      <c r="AZ6" s="1452"/>
      <c r="BA6" s="212"/>
      <c r="BB6" s="212"/>
      <c r="BC6" s="212"/>
      <c r="BD6" s="212"/>
      <c r="BE6" s="317"/>
      <c r="BF6" s="317"/>
      <c r="BG6" s="455"/>
      <c r="BH6" s="455"/>
      <c r="BI6" s="455"/>
      <c r="BJ6" s="706"/>
      <c r="BK6" s="840"/>
      <c r="BL6" s="707"/>
      <c r="BM6" s="701"/>
      <c r="BN6" s="701"/>
      <c r="BO6" s="455"/>
      <c r="BP6" s="455"/>
      <c r="BQ6" s="455"/>
      <c r="BR6" s="455"/>
      <c r="BS6" s="455"/>
      <c r="BT6" s="457"/>
      <c r="BU6" s="457"/>
      <c r="BV6" s="458"/>
      <c r="BW6" s="459"/>
      <c r="BX6" s="460"/>
      <c r="BY6" s="455"/>
      <c r="BZ6" s="455"/>
      <c r="CA6" s="455"/>
      <c r="CB6" s="455"/>
      <c r="CC6" s="455"/>
      <c r="CD6" s="458"/>
      <c r="CE6" s="696"/>
      <c r="CF6" s="696"/>
      <c r="CG6" s="212"/>
      <c r="CH6" s="696"/>
      <c r="CI6" s="696"/>
      <c r="CJ6" s="696"/>
      <c r="CK6" s="317"/>
      <c r="CL6" s="317"/>
      <c r="CM6" s="696"/>
      <c r="CN6" s="696"/>
      <c r="CO6" s="694"/>
      <c r="CP6" s="317"/>
      <c r="CQ6" s="696"/>
      <c r="CR6" s="696"/>
      <c r="CS6" s="696"/>
      <c r="CT6" s="317"/>
      <c r="CU6" s="317"/>
      <c r="CV6" s="317"/>
      <c r="CW6" s="317"/>
      <c r="CX6" s="317"/>
      <c r="CY6" s="696"/>
      <c r="CZ6" s="696"/>
      <c r="DA6" s="696"/>
      <c r="DB6" s="696"/>
      <c r="DC6" s="317"/>
      <c r="DD6" s="317"/>
      <c r="DE6" s="696"/>
      <c r="DF6" s="696"/>
      <c r="DG6" s="696"/>
      <c r="DH6" s="317"/>
      <c r="DI6" s="317"/>
      <c r="DJ6" s="317"/>
      <c r="DK6" s="317"/>
      <c r="DL6" s="696"/>
      <c r="DM6" s="317"/>
      <c r="DN6" s="317"/>
      <c r="DO6" s="317"/>
      <c r="DP6" s="317"/>
      <c r="DQ6" s="317"/>
      <c r="DR6" s="317"/>
      <c r="DS6" s="317"/>
      <c r="DT6" s="317"/>
      <c r="DU6" s="317"/>
      <c r="DV6" s="317"/>
      <c r="DW6" s="317"/>
      <c r="DX6" s="317"/>
      <c r="DY6" s="317"/>
      <c r="DZ6" s="317"/>
      <c r="EA6" s="317"/>
      <c r="EB6" s="317"/>
      <c r="EC6" s="317"/>
      <c r="ED6" s="317"/>
      <c r="EE6" s="317"/>
      <c r="EF6" s="317"/>
      <c r="EG6" s="317"/>
      <c r="EH6" s="704"/>
      <c r="EI6" s="704"/>
      <c r="EJ6" s="704"/>
      <c r="EK6" s="704"/>
      <c r="EL6" s="704"/>
      <c r="EM6" s="704"/>
      <c r="EN6" s="704"/>
      <c r="EO6" s="704"/>
      <c r="EP6" s="704"/>
      <c r="EQ6" s="704"/>
      <c r="ER6" s="704"/>
      <c r="ES6" s="705"/>
      <c r="ET6" s="705"/>
    </row>
    <row r="7" spans="1:150" ht="36" customHeight="1">
      <c r="A7" s="100">
        <f>Cement!A7</f>
        <v>44.669651090194165</v>
      </c>
      <c r="B7" s="100">
        <f>Cement!B7</f>
        <v>40.755421271413276</v>
      </c>
      <c r="C7" s="1585">
        <f ca="1">Cement!C7</f>
        <v>0.16218428596692078</v>
      </c>
      <c r="D7" s="1650">
        <f>Cement!D7</f>
        <v>1.3975739604619584</v>
      </c>
      <c r="E7" s="1412">
        <f>Cement!E7</f>
        <v>37</v>
      </c>
      <c r="F7" s="1413">
        <f>Cement!F7</f>
        <v>37.799999999999997</v>
      </c>
      <c r="G7" s="2125">
        <f>Cement!G7</f>
        <v>-10.188626925387734</v>
      </c>
      <c r="H7" s="2115">
        <f>Cement!H7</f>
        <v>1.0290037831021437</v>
      </c>
      <c r="I7" s="2301">
        <f>Cement!I7</f>
        <v>0.58571428571428574</v>
      </c>
      <c r="J7" s="2115">
        <f>Cement!J7</f>
        <v>0.23486430062630481</v>
      </c>
      <c r="K7" s="1942">
        <f>Cement!K7</f>
        <v>3</v>
      </c>
      <c r="L7" s="1575">
        <f>Cement!L7</f>
        <v>1</v>
      </c>
      <c r="M7" s="1582" t="str">
        <f>Cement!M7</f>
        <v>BB</v>
      </c>
      <c r="N7" s="1587" t="str">
        <f>Cement!N7</f>
        <v>BB</v>
      </c>
      <c r="O7" s="179" t="str">
        <f>Cement!O7</f>
        <v/>
      </c>
      <c r="P7" s="223" t="str">
        <f>Cement!P7</f>
        <v>سيمان باقران</v>
      </c>
      <c r="Q7" s="1973" t="str">
        <f>Cement!Q7</f>
        <v>سباقر</v>
      </c>
      <c r="R7" s="59">
        <f>Cement!R7</f>
        <v>12</v>
      </c>
      <c r="S7" s="66">
        <f>Cement!S7</f>
        <v>14568</v>
      </c>
      <c r="T7" s="258">
        <f>Cement!T7</f>
        <v>242800</v>
      </c>
      <c r="U7" s="338">
        <f>Cement!U7</f>
        <v>2.97</v>
      </c>
      <c r="V7" s="263">
        <f>Cement!V7</f>
        <v>242800</v>
      </c>
      <c r="W7" s="337">
        <f>Cement!W7</f>
        <v>2.97</v>
      </c>
      <c r="X7" s="661" t="str">
        <f>Cement!Y7</f>
        <v/>
      </c>
      <c r="Y7" s="1031">
        <f>Cement!Z7</f>
        <v>0.19194894452626413</v>
      </c>
      <c r="Z7" s="511">
        <f ca="1">Cement!AA7</f>
        <v>3.4520547945205482E-2</v>
      </c>
      <c r="AA7" s="823">
        <f ca="1">Cement!AB7</f>
        <v>-112.44885470075619</v>
      </c>
      <c r="AB7" s="1150">
        <f>Cement!AD7</f>
        <v>3.7842364532019706</v>
      </c>
      <c r="AC7" s="1150">
        <f>Cement!AE7</f>
        <v>11.231738035264483</v>
      </c>
      <c r="AD7" s="1150">
        <f>Cement!AF7</f>
        <v>12.255686988171064</v>
      </c>
      <c r="AE7" s="1150">
        <f>Cement!AG7</f>
        <v>19.06611570247934</v>
      </c>
      <c r="AF7" s="275">
        <f ca="1">Cement!AH7</f>
        <v>351</v>
      </c>
      <c r="AG7" s="1120">
        <f>Cement!AI7</f>
        <v>46225</v>
      </c>
      <c r="AH7" s="1430">
        <f>Cement!AJ7</f>
        <v>46346</v>
      </c>
      <c r="AI7" s="23">
        <f>Cement!AK7</f>
        <v>1000000</v>
      </c>
      <c r="AJ7" s="23">
        <f>Cement!AL7</f>
        <v>1030000</v>
      </c>
      <c r="AK7" s="29">
        <f>Cement!AM7</f>
        <v>600000000</v>
      </c>
      <c r="AL7" s="1225" t="str">
        <f>Cement!AN7</f>
        <v>?</v>
      </c>
      <c r="AM7" s="174">
        <f>Cement!AO7</f>
        <v>3456</v>
      </c>
      <c r="AN7" s="1010">
        <f>Cement!AP7</f>
        <v>2832</v>
      </c>
      <c r="AO7" s="1010">
        <f>Cement!AQ7</f>
        <v>1997</v>
      </c>
      <c r="AP7" s="766">
        <f>Cement!AR7</f>
        <v>4991.8193568726347</v>
      </c>
      <c r="AQ7" s="984">
        <f>Cement!AS7</f>
        <v>4</v>
      </c>
      <c r="AR7" s="6">
        <f>Cement!AT7</f>
        <v>2.8921238866794106</v>
      </c>
      <c r="AS7" s="99">
        <f>Cement!AU7</f>
        <v>-4.6580121900284155</v>
      </c>
      <c r="AT7" s="16">
        <f>Cement!AV7</f>
        <v>1221</v>
      </c>
      <c r="AU7" s="16">
        <f>Cement!AW7</f>
        <v>887</v>
      </c>
      <c r="AV7" s="1740">
        <f>Cement!AX7</f>
        <v>0.72599999999999998</v>
      </c>
      <c r="AW7" s="1363">
        <f>Cement!AY7</f>
        <v>0.35599999999999998</v>
      </c>
      <c r="AX7" s="1084">
        <f>Cement!AZ7</f>
        <v>0.70499999999999996</v>
      </c>
      <c r="AY7" s="1366">
        <f>Cement!BA7</f>
        <v>0.23799999999999999</v>
      </c>
      <c r="AZ7" s="99">
        <f>Cement!BB7</f>
        <v>10</v>
      </c>
      <c r="BA7" s="1740">
        <f>Cement!BC7</f>
        <v>0.72499999999999998</v>
      </c>
      <c r="BB7" s="1363">
        <f>Cement!BD7</f>
        <v>0.34699999999999998</v>
      </c>
      <c r="BC7" s="1357">
        <f>Cement!BE7</f>
        <v>0.69899999999999995</v>
      </c>
      <c r="BD7" s="1367">
        <f>Cement!BF7</f>
        <v>0.214</v>
      </c>
      <c r="BE7" s="306">
        <f>Cement!BG7</f>
        <v>1.0000000000000009E-3</v>
      </c>
      <c r="BF7" s="99">
        <f>Cement!BJ7</f>
        <v>0</v>
      </c>
      <c r="BG7" s="306">
        <f>Cement!BK7</f>
        <v>0.7626480779917495</v>
      </c>
      <c r="BH7" s="99">
        <f>Cement!BL7</f>
        <v>5</v>
      </c>
      <c r="BI7" s="15">
        <f>Cement!BM7</f>
        <v>0</v>
      </c>
      <c r="BJ7" s="1356">
        <f>Cement!BN7</f>
        <v>3</v>
      </c>
      <c r="BK7" s="842">
        <f>Cement!BO7</f>
        <v>1</v>
      </c>
      <c r="BL7" s="16">
        <f>Cement!BP7</f>
        <v>14803</v>
      </c>
      <c r="BM7" s="16">
        <f>Cement!BQ7</f>
        <v>0</v>
      </c>
      <c r="BN7" s="16">
        <f>Cement!BR7</f>
        <v>0</v>
      </c>
      <c r="BO7" s="1251">
        <f>Cement!BS7</f>
        <v>60334.483895544334</v>
      </c>
      <c r="BP7" s="1246">
        <f>Cement!BT7</f>
        <v>59200</v>
      </c>
      <c r="BQ7" s="406">
        <f>Cement!BU7</f>
        <v>0</v>
      </c>
      <c r="BR7" s="407">
        <f>Cement!BV7</f>
        <v>4.0624260395380416</v>
      </c>
      <c r="BS7" s="99">
        <f>Cement!BW7</f>
        <v>4.687869802309792</v>
      </c>
      <c r="BT7" s="18">
        <f>Cement!BX7</f>
        <v>3586.0345168663303</v>
      </c>
      <c r="BU7" s="18">
        <f>Cement!BY7</f>
        <v>2668.131868131868</v>
      </c>
      <c r="BV7" s="19">
        <f>Cement!BZ7</f>
        <v>3624.0608530895329</v>
      </c>
      <c r="BW7" s="266">
        <f>Cement!CB7</f>
        <v>44486</v>
      </c>
      <c r="BX7" s="267">
        <f>Cement!CC7</f>
        <v>5.46</v>
      </c>
      <c r="BY7" s="99">
        <f>Cement!CD7</f>
        <v>-1.38</v>
      </c>
      <c r="BZ7" s="17">
        <f>Cement!CE7</f>
        <v>0.67874416393709447</v>
      </c>
      <c r="CA7" s="99">
        <f>Cement!CF7</f>
        <v>5.2850233442516217</v>
      </c>
      <c r="CB7" s="103">
        <f>Cement!CG7</f>
        <v>0.6816260248748014</v>
      </c>
      <c r="CC7" s="99">
        <f>Cement!CH7</f>
        <v>4.2243903731220209</v>
      </c>
      <c r="CD7" s="20">
        <f>Cement!CI7</f>
        <v>0</v>
      </c>
      <c r="CE7" s="691">
        <f>Cement!CJ7</f>
        <v>60</v>
      </c>
      <c r="CF7" s="419">
        <f>Cement!CK7</f>
        <v>920</v>
      </c>
      <c r="CG7" s="468">
        <f>Cement!CL7</f>
        <v>1</v>
      </c>
      <c r="CH7" s="843">
        <f>Cement!CM7</f>
        <v>3</v>
      </c>
      <c r="CI7" s="21">
        <f>Cement!CN7</f>
        <v>888</v>
      </c>
      <c r="CJ7" s="21">
        <f>Cement!CO7</f>
        <v>24</v>
      </c>
      <c r="CK7" s="469">
        <f>Cement!CP7</f>
        <v>888</v>
      </c>
      <c r="CL7" s="1239">
        <f>Cement!CQ7</f>
        <v>1230.3563445775533</v>
      </c>
      <c r="CM7" s="21">
        <f>Cement!CR7</f>
        <v>1808</v>
      </c>
      <c r="CN7" s="16">
        <f>Cement!CS7</f>
        <v>0</v>
      </c>
      <c r="CO7" s="154" t="str">
        <f>Cement!CT7</f>
        <v/>
      </c>
      <c r="CP7" s="693">
        <f>Cement!CU7</f>
        <v>1873</v>
      </c>
      <c r="CQ7" s="49">
        <f>Cement!CV7</f>
        <v>2360</v>
      </c>
      <c r="CR7" s="1389">
        <f>Cement!CW7</f>
        <v>55</v>
      </c>
      <c r="CS7" s="49">
        <f>Cement!CX7</f>
        <v>74</v>
      </c>
      <c r="CT7" s="53">
        <f>Cement!CY7</f>
        <v>2434</v>
      </c>
      <c r="CU7" s="6">
        <f>Cement!CZ7</f>
        <v>1.435593220338983</v>
      </c>
      <c r="CV7" s="99">
        <f>Cement!DA7</f>
        <v>1.884745762711864</v>
      </c>
      <c r="CW7" s="53">
        <f>Cement!DB7</f>
        <v>4307</v>
      </c>
      <c r="CX7" s="645">
        <f>Cement!DC7</f>
        <v>0.56512653819363823</v>
      </c>
      <c r="CY7" s="13">
        <f>Cement!DD7</f>
        <v>919</v>
      </c>
      <c r="CZ7" s="24">
        <f>Cement!DE7</f>
        <v>907</v>
      </c>
      <c r="DA7" s="24">
        <f>Cement!DF7</f>
        <v>6</v>
      </c>
      <c r="DB7" s="51">
        <f>Cement!DG7</f>
        <v>3388</v>
      </c>
      <c r="DC7" s="8">
        <f>Cement!DH7</f>
        <v>1028</v>
      </c>
      <c r="DD7" s="644">
        <f>Cement!DI7</f>
        <v>4.8558554055181276</v>
      </c>
      <c r="DE7" s="22">
        <f>Cement!DJ7</f>
        <v>1430</v>
      </c>
      <c r="DF7" s="1390">
        <f>Cement!DK7</f>
        <v>263</v>
      </c>
      <c r="DG7" s="22">
        <f>Cement!DL7</f>
        <v>1266</v>
      </c>
      <c r="DH7" s="138">
        <f>Cement!DM7</f>
        <v>0.56512653819363823</v>
      </c>
      <c r="DI7" s="99">
        <f>Cement!DN7</f>
        <v>0.35003273765082277</v>
      </c>
      <c r="DJ7" s="138">
        <f>Cement!DO7</f>
        <v>-1.5176345604989547E-2</v>
      </c>
      <c r="DK7" s="99">
        <f>Cement!DP7</f>
        <v>0</v>
      </c>
      <c r="DL7" s="1431">
        <f>Cement!DQ7</f>
        <v>0</v>
      </c>
      <c r="DM7" s="8">
        <f>Cement!DR7</f>
        <v>429</v>
      </c>
      <c r="DN7" s="23" t="str">
        <f>Cement!DS7</f>
        <v>G</v>
      </c>
      <c r="DO7" s="7">
        <f>Cement!DT7</f>
        <v>77.079365079365076</v>
      </c>
      <c r="DP7" s="8">
        <f>Cement!DU7</f>
        <v>10135.125</v>
      </c>
      <c r="DQ7" s="32">
        <f>Cement!DV7</f>
        <v>0.6957114909390445</v>
      </c>
      <c r="DR7" s="99">
        <f>Cement!DW7</f>
        <v>-6.0857701812191101</v>
      </c>
      <c r="DS7" s="14">
        <f>Cement!DX7</f>
        <v>4991.8193568726347</v>
      </c>
      <c r="DT7" s="99">
        <f>Cement!DY7</f>
        <v>10</v>
      </c>
      <c r="DU7" s="103">
        <f>Cement!DZ7</f>
        <v>0.71838226916788395</v>
      </c>
      <c r="DV7" s="99">
        <f>Cement!EA7</f>
        <v>6.8343360156653024</v>
      </c>
      <c r="DW7" s="103">
        <f>Cement!EB7</f>
        <v>0.85270354257302672</v>
      </c>
      <c r="DX7" s="99">
        <f>Cement!EC7</f>
        <v>8.5270354257302667</v>
      </c>
      <c r="DY7" s="8">
        <f>Cement!ED7</f>
        <v>161929.04</v>
      </c>
      <c r="DZ7" s="8">
        <f>Cement!EE7</f>
        <v>213120</v>
      </c>
      <c r="EA7" s="235">
        <f>Cement!EF7</f>
        <v>15333.333333333334</v>
      </c>
      <c r="EB7" s="8">
        <f>Cement!EG7</f>
        <v>195191.18666666668</v>
      </c>
      <c r="EC7" s="411">
        <f>Cement!EH7</f>
        <v>121</v>
      </c>
      <c r="ED7" s="1338">
        <f>Cement!EI7</f>
        <v>22000</v>
      </c>
      <c r="EE7" s="821">
        <f>Cement!EJ7</f>
        <v>9.7474523704031896E-2</v>
      </c>
      <c r="EF7" s="502">
        <f>Cement!EK7</f>
        <v>0</v>
      </c>
      <c r="EG7" s="502">
        <f>Cement!EL7</f>
        <v>0</v>
      </c>
      <c r="EH7" s="510">
        <f>Cement!EM7</f>
        <v>12100</v>
      </c>
      <c r="EI7" s="435">
        <f>Cement!EN7</f>
        <v>726</v>
      </c>
      <c r="EJ7" s="510">
        <f>Cement!EO7</f>
        <v>18320</v>
      </c>
      <c r="EK7" s="435">
        <f>Cement!EP7</f>
        <v>1099</v>
      </c>
      <c r="EL7" s="510">
        <f>Cement!EQ7</f>
        <v>19850</v>
      </c>
      <c r="EM7" s="435">
        <f>Cement!ER7</f>
        <v>1191</v>
      </c>
      <c r="EN7" s="510">
        <f>Cement!ES7</f>
        <v>50750</v>
      </c>
      <c r="EO7" s="435">
        <f>Cement!ET7</f>
        <v>3045</v>
      </c>
      <c r="EP7" s="510">
        <f>Cement!EU7</f>
        <v>203700</v>
      </c>
      <c r="EQ7" s="435">
        <f>Cement!EV7</f>
        <v>12222</v>
      </c>
      <c r="ER7" s="1607">
        <f>Cement!EW7</f>
        <v>203700</v>
      </c>
      <c r="ES7" s="1608">
        <f>Cement!EX7</f>
        <v>12222</v>
      </c>
      <c r="ET7" s="1609">
        <f>Cement!EY7</f>
        <v>15.834710743801653</v>
      </c>
    </row>
    <row r="8" spans="1:150" ht="37" customHeight="1">
      <c r="A8" s="100">
        <f>Cement!A8</f>
        <v>36.791772247933693</v>
      </c>
      <c r="B8" s="100">
        <f>Cement!B8</f>
        <v>21.524546638177593</v>
      </c>
      <c r="C8" s="1585">
        <f ca="1">Cement!C8</f>
        <v>0.1581358254865404</v>
      </c>
      <c r="D8" s="1650">
        <f>Cement!D8</f>
        <v>2.069338865715685</v>
      </c>
      <c r="E8" s="1412">
        <f>Cement!E8</f>
        <v>6.0000000000000053</v>
      </c>
      <c r="F8" s="1413">
        <f>Cement!F8</f>
        <v>5.100000000000005</v>
      </c>
      <c r="G8" s="2125">
        <f>Cement!G8</f>
        <v>5.4065093360995853</v>
      </c>
      <c r="H8" s="2115">
        <f>Cement!H8</f>
        <v>0.90468749999999998</v>
      </c>
      <c r="I8" s="2301">
        <f>Cement!I8</f>
        <v>0.19092122830440589</v>
      </c>
      <c r="J8" s="2115">
        <f>Cement!J8</f>
        <v>0.49928469241773965</v>
      </c>
      <c r="K8" s="1942">
        <f>Cement!K8</f>
        <v>6</v>
      </c>
      <c r="L8" s="1575">
        <f>Cement!L8</f>
        <v>5</v>
      </c>
      <c r="M8" s="1587" t="str">
        <f>Cement!M8</f>
        <v>B</v>
      </c>
      <c r="N8" s="1582" t="str">
        <f>Cement!N8</f>
        <v>BB</v>
      </c>
      <c r="O8" s="179" t="str">
        <f>Cement!O8</f>
        <v/>
      </c>
      <c r="P8" s="223" t="str">
        <f>Cement!P8</f>
        <v>سيمان فارس نو</v>
      </c>
      <c r="Q8" s="1973" t="str">
        <f>Cement!Q8</f>
        <v>سفانو</v>
      </c>
      <c r="R8" s="59">
        <f>Cement!R8</f>
        <v>12</v>
      </c>
      <c r="S8" s="66">
        <f>Cement!S8</f>
        <v>8528</v>
      </c>
      <c r="T8" s="258">
        <f>Cement!T8</f>
        <v>53300</v>
      </c>
      <c r="U8" s="338">
        <f>Cement!U8</f>
        <v>3</v>
      </c>
      <c r="V8" s="263">
        <f>Cement!V8</f>
        <v>53300</v>
      </c>
      <c r="W8" s="337">
        <f>Cement!W8</f>
        <v>3</v>
      </c>
      <c r="X8" s="661" t="str">
        <f>Cement!Y8</f>
        <v/>
      </c>
      <c r="Y8" s="1031">
        <f>Cement!Z8</f>
        <v>0.43039248574303923</v>
      </c>
      <c r="Z8" s="511">
        <f ca="1">Cement!AA8</f>
        <v>0.14301369863013699</v>
      </c>
      <c r="AA8" s="823">
        <f ca="1">Cement!AB8</f>
        <v>-49.548066743603833</v>
      </c>
      <c r="AB8" s="1150">
        <f>Cement!AD8</f>
        <v>0.62965793999617814</v>
      </c>
      <c r="AC8" s="1150">
        <f>Cement!AE8</f>
        <v>1.3545002760905578</v>
      </c>
      <c r="AD8" s="1150">
        <f>Cement!AF8</f>
        <v>0.7740794674433118</v>
      </c>
      <c r="AE8" s="1150">
        <f>Cement!AG8</f>
        <v>4.010575793184489</v>
      </c>
      <c r="AF8" s="275">
        <f ca="1">Cement!AH8</f>
        <v>307</v>
      </c>
      <c r="AG8" s="1120">
        <f>Cement!AI8</f>
        <v>46181</v>
      </c>
      <c r="AH8" s="1430">
        <f>Cement!AJ8</f>
        <v>46193</v>
      </c>
      <c r="AI8" s="23">
        <f>Cement!AK8</f>
        <v>1080000</v>
      </c>
      <c r="AJ8" s="23">
        <f>Cement!AL8</f>
        <v>1120000</v>
      </c>
      <c r="AK8" s="29">
        <f>Cement!AM8</f>
        <v>1600000000</v>
      </c>
      <c r="AL8" s="1225">
        <f>Cement!AN8</f>
        <v>0.1565</v>
      </c>
      <c r="AM8" s="174">
        <f>Cement!AO8</f>
        <v>2703</v>
      </c>
      <c r="AN8" s="1010">
        <f>Cement!AP8</f>
        <v>2268</v>
      </c>
      <c r="AO8" s="1010">
        <f>Cement!AQ8</f>
        <v>1166</v>
      </c>
      <c r="AP8" s="766">
        <f>Cement!AR8</f>
        <v>3785.9156250000001</v>
      </c>
      <c r="AQ8" s="984">
        <f>Cement!AS8</f>
        <v>4</v>
      </c>
      <c r="AR8" s="6">
        <f>Cement!AT8</f>
        <v>2.2525594452464852</v>
      </c>
      <c r="AS8" s="99">
        <f>Cement!AU8</f>
        <v>1.737632224300838</v>
      </c>
      <c r="AT8" s="16">
        <f>Cement!AV8</f>
        <v>892</v>
      </c>
      <c r="AU8" s="16">
        <f>Cement!AW8</f>
        <v>494</v>
      </c>
      <c r="AV8" s="1740">
        <f>Cement!AX8</f>
        <v>0.55400000000000005</v>
      </c>
      <c r="AW8" s="1363">
        <f>Cement!AY8</f>
        <v>0.49399999999999999</v>
      </c>
      <c r="AX8" s="1084">
        <f>Cement!AZ8</f>
        <v>0.51400000000000001</v>
      </c>
      <c r="AY8" s="1366">
        <f>Cement!BA8</f>
        <v>0.43099999999999999</v>
      </c>
      <c r="AZ8" s="99">
        <f>Cement!BB8</f>
        <v>5.100000000000005</v>
      </c>
      <c r="BA8" s="1740">
        <f>Cement!BC8</f>
        <v>0.46</v>
      </c>
      <c r="BB8" s="1363">
        <f>Cement!BD8</f>
        <v>0.40899999999999997</v>
      </c>
      <c r="BC8" s="1357">
        <f>Cement!BE8</f>
        <v>0.43</v>
      </c>
      <c r="BD8" s="1367">
        <f>Cement!BF8</f>
        <v>0.374</v>
      </c>
      <c r="BE8" s="306">
        <f>Cement!BG8</f>
        <v>9.4000000000000028E-2</v>
      </c>
      <c r="BF8" s="99">
        <f>Cement!BJ8</f>
        <v>0</v>
      </c>
      <c r="BG8" s="306">
        <f>Cement!BK8</f>
        <v>0.66927496693121702</v>
      </c>
      <c r="BH8" s="99">
        <f>Cement!BL8</f>
        <v>5</v>
      </c>
      <c r="BI8" s="15">
        <f>Cement!BM8</f>
        <v>0</v>
      </c>
      <c r="BJ8" s="1356">
        <f>Cement!BN8</f>
        <v>3</v>
      </c>
      <c r="BK8" s="842">
        <f>Cement!BO8</f>
        <v>1</v>
      </c>
      <c r="BL8" s="16">
        <f>Cement!BP8</f>
        <v>3220</v>
      </c>
      <c r="BM8" s="16">
        <f>Cement!BQ8</f>
        <v>0</v>
      </c>
      <c r="BN8" s="16">
        <f>Cement!BR8</f>
        <v>0</v>
      </c>
      <c r="BO8" s="1251">
        <f>Cement!BS8</f>
        <v>12322.007421875001</v>
      </c>
      <c r="BP8" s="1246">
        <f>Cement!BT8</f>
        <v>12875</v>
      </c>
      <c r="BQ8" s="406">
        <f>Cement!BU8</f>
        <v>0</v>
      </c>
      <c r="BR8" s="407">
        <f>Cement!BV8</f>
        <v>4.2306611342843148</v>
      </c>
      <c r="BS8" s="99">
        <f>Cement!BW8</f>
        <v>3.8466943285784261</v>
      </c>
      <c r="BT8" s="18">
        <f>Cement!BX8</f>
        <v>2015.7605937500002</v>
      </c>
      <c r="BU8" s="18">
        <f>Cement!BY8</f>
        <v>1353.6507936507937</v>
      </c>
      <c r="BV8" s="19">
        <f>Cement!BZ8</f>
        <v>2097.3972562500003</v>
      </c>
      <c r="BW8" s="266">
        <f>Cement!CB8</f>
        <v>8458</v>
      </c>
      <c r="BX8" s="267">
        <f>Cement!CC8</f>
        <v>6.3</v>
      </c>
      <c r="BY8" s="99">
        <f>Cement!CD8</f>
        <v>-3.8999999999999995</v>
      </c>
      <c r="BZ8" s="17">
        <f>Cement!CE8</f>
        <v>0.86022120155358839</v>
      </c>
      <c r="CA8" s="99">
        <f>Cement!CF8</f>
        <v>4.5591151937856464</v>
      </c>
      <c r="CB8" s="103">
        <f>Cement!CG8</f>
        <v>0.72275388804230911</v>
      </c>
      <c r="CC8" s="99">
        <f>Cement!CH8</f>
        <v>4.8413083206346368</v>
      </c>
      <c r="CD8" s="20">
        <f>Cement!CI8</f>
        <v>0</v>
      </c>
      <c r="CE8" s="691">
        <f>Cement!CJ8</f>
        <v>160</v>
      </c>
      <c r="CF8" s="419">
        <f>Cement!CK8</f>
        <v>96</v>
      </c>
      <c r="CG8" s="468">
        <f>Cement!CL8</f>
        <v>230</v>
      </c>
      <c r="CH8" s="843">
        <f>Cement!CM8</f>
        <v>105</v>
      </c>
      <c r="CI8" s="21">
        <f>Cement!CN8</f>
        <v>515</v>
      </c>
      <c r="CJ8" s="21">
        <f>Cement!CO8</f>
        <v>0</v>
      </c>
      <c r="CK8" s="469">
        <f>Cement!CP8</f>
        <v>515</v>
      </c>
      <c r="CL8" s="1239">
        <f>Cement!CQ8</f>
        <v>580.50706250000007</v>
      </c>
      <c r="CM8" s="21">
        <f>Cement!CR8</f>
        <v>611</v>
      </c>
      <c r="CN8" s="16">
        <f>Cement!CS8</f>
        <v>-33</v>
      </c>
      <c r="CO8" s="154" t="str">
        <f>Cement!CT8</f>
        <v/>
      </c>
      <c r="CP8" s="693">
        <f>Cement!CU8</f>
        <v>804</v>
      </c>
      <c r="CQ8" s="49">
        <f>Cement!CV8</f>
        <v>1669</v>
      </c>
      <c r="CR8" s="1389">
        <f>Cement!CW8</f>
        <v>432</v>
      </c>
      <c r="CS8" s="49">
        <f>Cement!CX8</f>
        <v>65</v>
      </c>
      <c r="CT8" s="53">
        <f>Cement!CY8</f>
        <v>1734</v>
      </c>
      <c r="CU8" s="6">
        <f>Cement!CZ8</f>
        <v>1.1893349310964649</v>
      </c>
      <c r="CV8" s="99">
        <f>Cement!DA8</f>
        <v>-8.5320551228280195E-2</v>
      </c>
      <c r="CW8" s="53">
        <f>Cement!DB8</f>
        <v>2538</v>
      </c>
      <c r="CX8" s="645">
        <f>Cement!DC8</f>
        <v>0.68321513002364065</v>
      </c>
      <c r="CY8" s="13">
        <f>Cement!DD8</f>
        <v>553</v>
      </c>
      <c r="CZ8" s="24">
        <f>Cement!DE8</f>
        <v>504</v>
      </c>
      <c r="DA8" s="24">
        <f>Cement!DF8</f>
        <v>29</v>
      </c>
      <c r="DB8" s="51">
        <f>Cement!DG8</f>
        <v>1985</v>
      </c>
      <c r="DC8" s="8">
        <f>Cement!DH8</f>
        <v>316</v>
      </c>
      <c r="DD8" s="644">
        <f>Cement!DI8</f>
        <v>11.980745648734178</v>
      </c>
      <c r="DE8" s="22">
        <f>Cement!DJ8</f>
        <v>864</v>
      </c>
      <c r="DF8" s="1390">
        <f>Cement!DK8</f>
        <v>98</v>
      </c>
      <c r="DG8" s="22">
        <f>Cement!DL8</f>
        <v>213</v>
      </c>
      <c r="DH8" s="138">
        <f>Cement!DM8</f>
        <v>0.68321513002364065</v>
      </c>
      <c r="DI8" s="99">
        <f>Cement!DN8</f>
        <v>-0.83085318064920144</v>
      </c>
      <c r="DJ8" s="138">
        <f>Cement!DO8</f>
        <v>0.14684867117194692</v>
      </c>
      <c r="DK8" s="99">
        <f>Cement!DP8</f>
        <v>0</v>
      </c>
      <c r="DL8" s="1431">
        <f>Cement!DQ8</f>
        <v>740</v>
      </c>
      <c r="DM8" s="8">
        <f>Cement!DR8</f>
        <v>70</v>
      </c>
      <c r="DN8" s="23" t="str">
        <f>Cement!DS8</f>
        <v>G</v>
      </c>
      <c r="DO8" s="7">
        <f>Cement!DT8</f>
        <v>41.779345483049191</v>
      </c>
      <c r="DP8" s="8">
        <f>Cement!DU8</f>
        <v>10773.945</v>
      </c>
      <c r="DQ8" s="32">
        <f>Cement!DV8</f>
        <v>1.2633612804878049</v>
      </c>
      <c r="DR8" s="99">
        <f>Cement!DW8</f>
        <v>5.2672256097560988</v>
      </c>
      <c r="DS8" s="14">
        <f>Cement!DX8</f>
        <v>3505.4774305555557</v>
      </c>
      <c r="DT8" s="99">
        <f>Cement!DY8</f>
        <v>10</v>
      </c>
      <c r="DU8" s="103">
        <f>Cement!DZ8</f>
        <v>0.53243674540422448</v>
      </c>
      <c r="DV8" s="99">
        <f>Cement!EA8</f>
        <v>1.255970302755518</v>
      </c>
      <c r="DW8" s="103">
        <f>Cement!EB8</f>
        <v>0</v>
      </c>
      <c r="DX8" s="99">
        <f>Cement!EC8</f>
        <v>0</v>
      </c>
      <c r="DY8" s="8">
        <f>Cement!ED8</f>
        <v>30787.119999999999</v>
      </c>
      <c r="DZ8" s="8">
        <f>Cement!EE8</f>
        <v>46350</v>
      </c>
      <c r="EA8" s="235">
        <f>Cement!EF8</f>
        <v>600</v>
      </c>
      <c r="EB8" s="8">
        <f>Cement!EG8</f>
        <v>38868.559999999998</v>
      </c>
      <c r="EC8" s="411">
        <f>Cement!EH8</f>
        <v>12</v>
      </c>
      <c r="ED8" s="1338">
        <f>Cement!EI8</f>
        <v>7435</v>
      </c>
      <c r="EE8" s="821">
        <f>Cement!EJ8</f>
        <v>0.16633109619686801</v>
      </c>
      <c r="EF8" s="502">
        <f>Cement!EK8</f>
        <v>0</v>
      </c>
      <c r="EG8" s="502">
        <f>Cement!EL8</f>
        <v>0</v>
      </c>
      <c r="EH8" s="510">
        <f>Cement!EM8</f>
        <v>34220</v>
      </c>
      <c r="EI8" s="435">
        <f>Cement!EN8</f>
        <v>1702</v>
      </c>
      <c r="EJ8" s="510">
        <f>Cement!EO8</f>
        <v>96140</v>
      </c>
      <c r="EK8" s="435">
        <f>Cement!EP8</f>
        <v>4807</v>
      </c>
      <c r="EL8" s="510">
        <f>Cement!EQ8</f>
        <v>72970</v>
      </c>
      <c r="EM8" s="435">
        <f>Cement!ER8</f>
        <v>3622</v>
      </c>
      <c r="EN8" s="510">
        <f>Cement!ES8</f>
        <v>32705</v>
      </c>
      <c r="EO8" s="435">
        <f>Cement!ET8</f>
        <v>5233</v>
      </c>
      <c r="EP8" s="510">
        <f>Cement!EU8</f>
        <v>37265</v>
      </c>
      <c r="EQ8" s="435">
        <f>Cement!EV8</f>
        <v>5962</v>
      </c>
      <c r="ER8" s="1607">
        <f>Cement!EW8</f>
        <v>37265</v>
      </c>
      <c r="ES8" s="1608">
        <f>Cement!EX8</f>
        <v>5962</v>
      </c>
      <c r="ET8" s="1609">
        <f>Cement!EY8</f>
        <v>2.5029377203290246</v>
      </c>
    </row>
    <row r="9" spans="1:150" ht="38" customHeight="1">
      <c r="A9" s="100">
        <f>Cement!A9</f>
        <v>35.869705787560406</v>
      </c>
      <c r="B9" s="100">
        <f>Cement!B9</f>
        <v>19.422334801178096</v>
      </c>
      <c r="C9" s="1585">
        <f ca="1">Cement!C9</f>
        <v>0.14990693485591444</v>
      </c>
      <c r="D9" s="1650">
        <f>Cement!D9</f>
        <v>0.91259939392789491</v>
      </c>
      <c r="E9" s="1412">
        <f>Cement!E9</f>
        <v>2.7999999999999972</v>
      </c>
      <c r="F9" s="1413">
        <f>Cement!F9</f>
        <v>1.100000000000001</v>
      </c>
      <c r="G9" s="2125">
        <f>Cement!G9</f>
        <v>-8.5860708245784849</v>
      </c>
      <c r="H9" s="2115">
        <f>Cement!H9</f>
        <v>0.5748987854251012</v>
      </c>
      <c r="I9" s="2301">
        <f>Cement!I9</f>
        <v>0.28375733855185908</v>
      </c>
      <c r="J9" s="2115">
        <f>Cement!J9</f>
        <v>0.25992063492063494</v>
      </c>
      <c r="K9" s="1942">
        <f>Cement!K9</f>
        <v>17</v>
      </c>
      <c r="L9" s="1575">
        <f>Cement!L9</f>
        <v>4</v>
      </c>
      <c r="M9" s="1582" t="str">
        <f>Cement!M9</f>
        <v>N</v>
      </c>
      <c r="N9" s="1582" t="str">
        <f>Cement!N9</f>
        <v>B</v>
      </c>
      <c r="O9" s="179" t="str">
        <f>Cement!O9</f>
        <v/>
      </c>
      <c r="P9" s="124" t="str">
        <f>Cement!P9</f>
        <v>سيمان‌ بهبهان‌</v>
      </c>
      <c r="Q9" s="1973" t="str">
        <f>Cement!Q9</f>
        <v>سبهان</v>
      </c>
      <c r="R9" s="59">
        <f>Cement!R9</f>
        <v>12</v>
      </c>
      <c r="S9" s="66">
        <f>Cement!S9</f>
        <v>4040.4</v>
      </c>
      <c r="T9" s="258">
        <f>Cement!T9</f>
        <v>5460</v>
      </c>
      <c r="U9" s="338">
        <f>Cement!U9</f>
        <v>2.82</v>
      </c>
      <c r="V9" s="263">
        <f>Cement!V9</f>
        <v>5460</v>
      </c>
      <c r="W9" s="337">
        <f>Cement!W9</f>
        <v>2.82</v>
      </c>
      <c r="X9" s="661" t="str">
        <f>Cement!Y9</f>
        <v/>
      </c>
      <c r="Y9" s="1031">
        <f>Cement!Z9</f>
        <v>0.13271656854499583</v>
      </c>
      <c r="Z9" s="511">
        <f ca="1">Cement!AA9</f>
        <v>0.12821917808219177</v>
      </c>
      <c r="AA9" s="823">
        <f ca="1">Cement!AB9</f>
        <v>-0.86488278130847362</v>
      </c>
      <c r="AB9" s="1150">
        <f>Cement!AD9</f>
        <v>0.20644968647357423</v>
      </c>
      <c r="AC9" s="1150">
        <f>Cement!AE9</f>
        <v>1.3753086419753087</v>
      </c>
      <c r="AD9" s="1150">
        <f>Cement!AF9</f>
        <v>1.5363465160075329</v>
      </c>
      <c r="AE9" s="1150">
        <f>Cement!AG9</f>
        <v>3.1739669421487604</v>
      </c>
      <c r="AF9" s="275">
        <f ca="1">Cement!AH9</f>
        <v>313</v>
      </c>
      <c r="AG9" s="1120">
        <f>Cement!AI9</f>
        <v>46187</v>
      </c>
      <c r="AH9" s="1430">
        <f>Cement!AJ9</f>
        <v>46266</v>
      </c>
      <c r="AI9" s="23">
        <f>Cement!AK9</f>
        <v>825000</v>
      </c>
      <c r="AJ9" s="23">
        <f>Cement!AL9</f>
        <v>850000</v>
      </c>
      <c r="AK9" s="29">
        <f>Cement!AM9</f>
        <v>7400000000</v>
      </c>
      <c r="AL9" s="1225">
        <f>Cement!AN9</f>
        <v>0.2392</v>
      </c>
      <c r="AM9" s="174">
        <f>Cement!AO9</f>
        <v>2012</v>
      </c>
      <c r="AN9" s="1010">
        <f>Cement!AP9</f>
        <v>1870</v>
      </c>
      <c r="AO9" s="1010">
        <f>Cement!AQ9</f>
        <v>583</v>
      </c>
      <c r="AP9" s="766">
        <f>Cement!AR9</f>
        <v>2594.5303643724692</v>
      </c>
      <c r="AQ9" s="984">
        <f>Cement!AS9</f>
        <v>4</v>
      </c>
      <c r="AR9" s="6">
        <f>Cement!AT9</f>
        <v>1.5572760509886108</v>
      </c>
      <c r="AS9" s="99">
        <f>Cement!AU9</f>
        <v>8.6904661668795828</v>
      </c>
      <c r="AT9" s="16">
        <f>Cement!AV9</f>
        <v>656</v>
      </c>
      <c r="AU9" s="16">
        <f>Cement!AW9</f>
        <v>231</v>
      </c>
      <c r="AV9" s="1740">
        <f>Cement!AX9</f>
        <v>0.35199999999999998</v>
      </c>
      <c r="AW9" s="1363">
        <f>Cement!AY9</f>
        <v>0.32400000000000001</v>
      </c>
      <c r="AX9" s="1084">
        <f>Cement!AZ9</f>
        <v>0.312</v>
      </c>
      <c r="AY9" s="1366">
        <f>Cement!BA9</f>
        <v>0.314</v>
      </c>
      <c r="AZ9" s="99">
        <f>Cement!BB9</f>
        <v>1.100000000000001</v>
      </c>
      <c r="BA9" s="1740">
        <f>Cement!BC9</f>
        <v>0.27900000000000003</v>
      </c>
      <c r="BB9" s="1363">
        <f>Cement!BD9</f>
        <v>0.26800000000000002</v>
      </c>
      <c r="BC9" s="1357">
        <f>Cement!BE9</f>
        <v>0.27100000000000002</v>
      </c>
      <c r="BD9" s="1367">
        <f>Cement!BF9</f>
        <v>0.26</v>
      </c>
      <c r="BE9" s="306">
        <f>Cement!BG9</f>
        <v>7.2999999999999954E-2</v>
      </c>
      <c r="BF9" s="99">
        <f>Cement!BJ9</f>
        <v>0</v>
      </c>
      <c r="BG9" s="306">
        <f>Cement!BK9</f>
        <v>0.38744939271255036</v>
      </c>
      <c r="BH9" s="99">
        <f>Cement!BL9</f>
        <v>5</v>
      </c>
      <c r="BI9" s="15">
        <f>Cement!BM9</f>
        <v>0</v>
      </c>
      <c r="BJ9" s="1356">
        <f>Cement!BN9</f>
        <v>3</v>
      </c>
      <c r="BK9" s="842">
        <f>Cement!BO9</f>
        <v>1</v>
      </c>
      <c r="BL9" s="16">
        <f>Cement!BP9</f>
        <v>304</v>
      </c>
      <c r="BM9" s="16">
        <f>Cement!BQ9</f>
        <v>0</v>
      </c>
      <c r="BN9" s="16">
        <f>Cement!BR9</f>
        <v>0</v>
      </c>
      <c r="BO9" s="1251">
        <f>Cement!BS9</f>
        <v>1153.8837454863769</v>
      </c>
      <c r="BP9" s="1246">
        <f>Cement!BT9</f>
        <v>1216.2162162162163</v>
      </c>
      <c r="BQ9" s="406">
        <f>Cement!BU9</f>
        <v>0</v>
      </c>
      <c r="BR9" s="407">
        <f>Cement!BV9</f>
        <v>4.6074006060721047</v>
      </c>
      <c r="BS9" s="99">
        <f>Cement!BW9</f>
        <v>1.9629969696394767</v>
      </c>
      <c r="BT9" s="18">
        <f>Cement!BX9</f>
        <v>876.93698582995955</v>
      </c>
      <c r="BU9" s="18">
        <f>Cement!BY9</f>
        <v>731.95652173913049</v>
      </c>
      <c r="BV9" s="19">
        <f>Cement!BZ9</f>
        <v>913.2746882591091</v>
      </c>
      <c r="BW9" s="266">
        <f>Cement!CB9</f>
        <v>989</v>
      </c>
      <c r="BX9" s="267">
        <f>Cement!CC9</f>
        <v>5.52</v>
      </c>
      <c r="BY9" s="99">
        <f>Cement!CD9</f>
        <v>-1.5599999999999987</v>
      </c>
      <c r="BZ9" s="17">
        <f>Cement!CE9</f>
        <v>1.2395417430948366</v>
      </c>
      <c r="CA9" s="99">
        <f>Cement!CF9</f>
        <v>3.0418330276206538</v>
      </c>
      <c r="CB9" s="103">
        <f>Cement!CG9</f>
        <v>0.39644529196652784</v>
      </c>
      <c r="CC9" s="99">
        <f>Cement!CH9</f>
        <v>-5.3320620502082805E-2</v>
      </c>
      <c r="CD9" s="20">
        <f>Cement!CI9</f>
        <v>0</v>
      </c>
      <c r="CE9" s="691">
        <f>Cement!CJ9</f>
        <v>740</v>
      </c>
      <c r="CF9" s="419">
        <f>Cement!CK9</f>
        <v>65</v>
      </c>
      <c r="CG9" s="468">
        <f>Cement!CL9</f>
        <v>130</v>
      </c>
      <c r="CH9" s="843">
        <f>Cement!CM9</f>
        <v>42</v>
      </c>
      <c r="CI9" s="21">
        <f>Cement!CN9</f>
        <v>225</v>
      </c>
      <c r="CJ9" s="21">
        <f>Cement!CO9</f>
        <v>0</v>
      </c>
      <c r="CK9" s="469">
        <f>Cement!CP9</f>
        <v>225</v>
      </c>
      <c r="CL9" s="1239">
        <f>Cement!CQ9</f>
        <v>241.29132388663965</v>
      </c>
      <c r="CM9" s="21">
        <f>Cement!CR9</f>
        <v>290</v>
      </c>
      <c r="CN9" s="16">
        <f>Cement!CS9</f>
        <v>-22</v>
      </c>
      <c r="CO9" s="154" t="str">
        <f>Cement!CT9</f>
        <v/>
      </c>
      <c r="CP9" s="693">
        <f>Cement!CU9</f>
        <v>1063</v>
      </c>
      <c r="CQ9" s="49">
        <f>Cement!CV9</f>
        <v>960</v>
      </c>
      <c r="CR9" s="1389">
        <f>Cement!CW9</f>
        <v>28</v>
      </c>
      <c r="CS9" s="49">
        <f>Cement!CX9</f>
        <v>127</v>
      </c>
      <c r="CT9" s="53">
        <f>Cement!CY9</f>
        <v>1087</v>
      </c>
      <c r="CU9" s="6">
        <f>Cement!CZ9</f>
        <v>1.1968749999999999</v>
      </c>
      <c r="CV9" s="99">
        <f>Cement!DA9</f>
        <v>-2.5000000000000355E-2</v>
      </c>
      <c r="CW9" s="53">
        <f>Cement!DB9</f>
        <v>2150</v>
      </c>
      <c r="CX9" s="645">
        <f>Cement!DC9</f>
        <v>0.50558139534883717</v>
      </c>
      <c r="CY9" s="13">
        <f>Cement!DD9</f>
        <v>1001</v>
      </c>
      <c r="CZ9" s="24">
        <f>Cement!DE9</f>
        <v>966</v>
      </c>
      <c r="DA9" s="24">
        <f>Cement!DF9</f>
        <v>27</v>
      </c>
      <c r="DB9" s="51">
        <f>Cement!DG9</f>
        <v>1149</v>
      </c>
      <c r="DC9" s="8">
        <f>Cement!DH9</f>
        <v>189</v>
      </c>
      <c r="DD9" s="644">
        <f>Cement!DI9</f>
        <v>13.72767388556862</v>
      </c>
      <c r="DE9" s="22">
        <f>Cement!DJ9</f>
        <v>469</v>
      </c>
      <c r="DF9" s="1390">
        <f>Cement!DK9</f>
        <v>277</v>
      </c>
      <c r="DG9" s="22">
        <f>Cement!DL9</f>
        <v>202</v>
      </c>
      <c r="DH9" s="138">
        <f>Cement!DM9</f>
        <v>0.50558139534883717</v>
      </c>
      <c r="DI9" s="99">
        <f>Cement!DN9</f>
        <v>0.94548416609883335</v>
      </c>
      <c r="DJ9" s="138">
        <f>Cement!DO9</f>
        <v>0.13577514147071099</v>
      </c>
      <c r="DK9" s="99">
        <f>Cement!DP9</f>
        <v>0</v>
      </c>
      <c r="DL9" s="1431">
        <f>Cement!DQ9</f>
        <v>152</v>
      </c>
      <c r="DM9" s="8">
        <f>Cement!DR9</f>
        <v>49</v>
      </c>
      <c r="DN9" s="23" t="str">
        <f>Cement!DS9</f>
        <v>G</v>
      </c>
      <c r="DO9" s="7">
        <f>Cement!DT9</f>
        <v>25.912457912457914</v>
      </c>
      <c r="DP9" s="8">
        <f>Cement!DU9</f>
        <v>8737.7062499999993</v>
      </c>
      <c r="DQ9" s="32">
        <f>Cement!DV9</f>
        <v>2.1625844594594592</v>
      </c>
      <c r="DR9" s="99">
        <f>Cement!DW9</f>
        <v>10</v>
      </c>
      <c r="DS9" s="14">
        <f>Cement!DX9</f>
        <v>3144.8852901484474</v>
      </c>
      <c r="DT9" s="99">
        <f>Cement!DY9</f>
        <v>6.4473709863823085</v>
      </c>
      <c r="DU9" s="103">
        <f>Cement!DZ9</f>
        <v>0.33799449714363294</v>
      </c>
      <c r="DV9" s="99">
        <f>Cement!EA9</f>
        <v>-4.5772971450622277</v>
      </c>
      <c r="DW9" s="103">
        <f>Cement!EB9</f>
        <v>0.48971722365038561</v>
      </c>
      <c r="DX9" s="99">
        <f>Cement!EC9</f>
        <v>4.8971722365038559</v>
      </c>
      <c r="DY9" s="8">
        <f>Cement!ED9</f>
        <v>3599.96</v>
      </c>
      <c r="DZ9" s="8">
        <f>Cement!EE9</f>
        <v>4378.3783783783783</v>
      </c>
      <c r="EA9" s="235">
        <f>Cement!EF9</f>
        <v>87.837837837837839</v>
      </c>
      <c r="EB9" s="8">
        <f>Cement!EG9</f>
        <v>4033.0881081081079</v>
      </c>
      <c r="EC9" s="411">
        <f>Cement!EH9</f>
        <v>79</v>
      </c>
      <c r="ED9" s="1338">
        <f>Cement!EI9</f>
        <v>790</v>
      </c>
      <c r="EE9" s="821">
        <f>Cement!EJ9</f>
        <v>0.1408199643493761</v>
      </c>
      <c r="EF9" s="502">
        <f>Cement!EK9</f>
        <v>37</v>
      </c>
      <c r="EG9" s="502">
        <f>Cement!EL9</f>
        <v>0</v>
      </c>
      <c r="EH9" s="510">
        <f>Cement!EM9</f>
        <v>48400</v>
      </c>
      <c r="EI9" s="435">
        <f>Cement!EN9</f>
        <v>968</v>
      </c>
      <c r="EJ9" s="510">
        <f>Cement!EO9</f>
        <v>79640</v>
      </c>
      <c r="EK9" s="435">
        <f>Cement!EP9</f>
        <v>1593</v>
      </c>
      <c r="EL9" s="510">
        <f>Cement!EQ9</f>
        <v>85050</v>
      </c>
      <c r="EM9" s="435">
        <f>Cement!ER9</f>
        <v>1701</v>
      </c>
      <c r="EN9" s="510">
        <f>Cement!ES9</f>
        <v>4525</v>
      </c>
      <c r="EO9" s="435">
        <f>Cement!ET9</f>
        <v>3349</v>
      </c>
      <c r="EP9" s="510">
        <f>Cement!EU9</f>
        <v>4820</v>
      </c>
      <c r="EQ9" s="435">
        <f>Cement!EV9</f>
        <v>3567</v>
      </c>
      <c r="ER9" s="1607">
        <f>Cement!EW9</f>
        <v>4820</v>
      </c>
      <c r="ES9" s="1608">
        <f>Cement!EX9</f>
        <v>3567</v>
      </c>
      <c r="ET9" s="1609">
        <f>Cement!EY9</f>
        <v>2.6849173553719008</v>
      </c>
    </row>
    <row r="10" spans="1:150" ht="35" customHeight="1">
      <c r="A10" s="100">
        <f>Cement!A10</f>
        <v>36.336966923937055</v>
      </c>
      <c r="B10" s="100">
        <f>Cement!B10</f>
        <v>27.713399507308058</v>
      </c>
      <c r="C10" s="1585">
        <f ca="1">Cement!C10</f>
        <v>0.16309594639304664</v>
      </c>
      <c r="D10" s="1650">
        <f>Cement!D10</f>
        <v>2.1238767733406547</v>
      </c>
      <c r="E10" s="1412">
        <f>Cement!E10</f>
        <v>6</v>
      </c>
      <c r="F10" s="1413">
        <f>Cement!F10</f>
        <v>13.600000000000001</v>
      </c>
      <c r="G10" s="2125">
        <f>Cement!G10</f>
        <v>3.3151260504201696</v>
      </c>
      <c r="H10" s="2115">
        <f>Cement!H10</f>
        <v>0.71785714285714286</v>
      </c>
      <c r="I10" s="2301">
        <f>Cement!I10</f>
        <v>0.24521739130434783</v>
      </c>
      <c r="J10" s="2115">
        <f>Cement!J10</f>
        <v>0.55471698113207546</v>
      </c>
      <c r="K10" s="1942">
        <f>Cement!K10</f>
        <v>10</v>
      </c>
      <c r="L10" s="1575">
        <f>Cement!L10</f>
        <v>3</v>
      </c>
      <c r="M10" s="1588" t="str">
        <f>Cement!M10</f>
        <v>B</v>
      </c>
      <c r="N10" s="1587" t="str">
        <f>Cement!N10</f>
        <v>B</v>
      </c>
      <c r="O10" s="179" t="str">
        <f>Cement!O10</f>
        <v>Closed</v>
      </c>
      <c r="P10" s="223" t="str">
        <f>Cement!P10</f>
        <v>سيمان‌ داراب‌</v>
      </c>
      <c r="Q10" s="1973" t="str">
        <f>Cement!Q10</f>
        <v>ساراب</v>
      </c>
      <c r="R10" s="59">
        <f>Cement!R10</f>
        <v>12</v>
      </c>
      <c r="S10" s="66">
        <f>Cement!S10</f>
        <v>7705</v>
      </c>
      <c r="T10" s="258">
        <f>Cement!T10</f>
        <v>15410</v>
      </c>
      <c r="U10" s="338" t="str">
        <f>Cement!U10</f>
        <v/>
      </c>
      <c r="V10" s="263">
        <f>Cement!V10</f>
        <v>15410</v>
      </c>
      <c r="W10" s="337" t="str">
        <f>Cement!W10</f>
        <v/>
      </c>
      <c r="X10" s="661" t="str">
        <f>Cement!Y10</f>
        <v/>
      </c>
      <c r="Y10" s="1031">
        <f>Cement!Z10</f>
        <v>1.2980269989615784E-4</v>
      </c>
      <c r="Z10" s="511">
        <f ca="1">Cement!AA10</f>
        <v>4.1917808219178086E-2</v>
      </c>
      <c r="AA10" s="823">
        <f ca="1">Cement!AB10</f>
        <v>24.581179717224664</v>
      </c>
      <c r="AB10" s="1150">
        <f>Cement!AD10</f>
        <v>0.55971659919028338</v>
      </c>
      <c r="AC10" s="1150">
        <f>Cement!AE10</f>
        <v>1.0563117160394984</v>
      </c>
      <c r="AD10" s="1150">
        <f>Cement!AF10</f>
        <v>0.86833171677982546</v>
      </c>
      <c r="AE10" s="1150">
        <f>Cement!AG10</f>
        <v>2.7294288480154889</v>
      </c>
      <c r="AF10" s="275">
        <f ca="1">Cement!AH10</f>
        <v>348</v>
      </c>
      <c r="AG10" s="1120">
        <f>Cement!AI10</f>
        <v>46222</v>
      </c>
      <c r="AH10" s="1430">
        <f>Cement!AJ10</f>
        <v>46331</v>
      </c>
      <c r="AI10" s="23">
        <f>Cement!AK10</f>
        <v>1080000</v>
      </c>
      <c r="AJ10" s="23">
        <f>Cement!AL10</f>
        <v>1120000</v>
      </c>
      <c r="AK10" s="29">
        <f>Cement!AM10</f>
        <v>5000000000</v>
      </c>
      <c r="AL10" s="1225">
        <f>Cement!AN10</f>
        <v>0.29680000000000001</v>
      </c>
      <c r="AM10" s="174">
        <f>Cement!AO10</f>
        <v>2039</v>
      </c>
      <c r="AN10" s="1010">
        <f>Cement!AP10</f>
        <v>1751</v>
      </c>
      <c r="AO10" s="1010">
        <f>Cement!AQ10</f>
        <v>732</v>
      </c>
      <c r="AP10" s="766">
        <f>Cement!AR10</f>
        <v>2763.7339285714288</v>
      </c>
      <c r="AQ10" s="984">
        <f>Cement!AS10</f>
        <v>4</v>
      </c>
      <c r="AR10" s="6">
        <f>Cement!AT10</f>
        <v>2.7619047988261221</v>
      </c>
      <c r="AS10" s="99">
        <f>Cement!AU10</f>
        <v>-3.3558213114955304</v>
      </c>
      <c r="AT10" s="16">
        <f>Cement!AV10</f>
        <v>716</v>
      </c>
      <c r="AU10" s="16">
        <f>Cement!AW10</f>
        <v>301</v>
      </c>
      <c r="AV10" s="1740">
        <f>Cement!AX10</f>
        <v>0.42</v>
      </c>
      <c r="AW10" s="1363">
        <f>Cement!AY10</f>
        <v>0.36</v>
      </c>
      <c r="AX10" s="1084">
        <f>Cement!AZ10</f>
        <v>0.41799999999999998</v>
      </c>
      <c r="AY10" s="1366">
        <f>Cement!BA10</f>
        <v>0.39900000000000002</v>
      </c>
      <c r="AZ10" s="99">
        <f>Cement!BB10</f>
        <v>10</v>
      </c>
      <c r="BA10" s="1740">
        <f>Cement!BC10</f>
        <v>0.43</v>
      </c>
      <c r="BB10" s="1363">
        <f>Cement!BD10</f>
        <v>0.29399999999999998</v>
      </c>
      <c r="BC10" s="1357">
        <f>Cement!BE10</f>
        <v>0.36199999999999999</v>
      </c>
      <c r="BD10" s="1367">
        <f>Cement!BF10</f>
        <v>0.34200000000000003</v>
      </c>
      <c r="BE10" s="306">
        <f>Cement!BG10</f>
        <v>-1.0000000000000009E-2</v>
      </c>
      <c r="BF10" s="99">
        <f>Cement!BJ10</f>
        <v>0</v>
      </c>
      <c r="BG10" s="306">
        <f>Cement!BK10</f>
        <v>0.57837460226809179</v>
      </c>
      <c r="BH10" s="99">
        <f>Cement!BL10</f>
        <v>5</v>
      </c>
      <c r="BI10" s="15">
        <f>Cement!BM10</f>
        <v>0</v>
      </c>
      <c r="BJ10" s="1356">
        <f>Cement!BN10</f>
        <v>3</v>
      </c>
      <c r="BK10" s="842">
        <f>Cement!BO10</f>
        <v>1</v>
      </c>
      <c r="BL10" s="16">
        <f>Cement!BP10</f>
        <v>3370</v>
      </c>
      <c r="BM10" s="16">
        <f>Cement!BQ10</f>
        <v>0</v>
      </c>
      <c r="BN10" s="16">
        <f>Cement!BR10</f>
        <v>0</v>
      </c>
      <c r="BO10" s="1251">
        <f>Cement!BS10</f>
        <v>3146.8111785714286</v>
      </c>
      <c r="BP10" s="1246">
        <f>Cement!BT10</f>
        <v>3848</v>
      </c>
      <c r="BQ10" s="406">
        <f>Cement!BU10</f>
        <v>0</v>
      </c>
      <c r="BR10" s="407">
        <f>Cement!BV10</f>
        <v>4.4061232266593455</v>
      </c>
      <c r="BS10" s="99">
        <f>Cement!BW10</f>
        <v>2.9693838667032724</v>
      </c>
      <c r="BT10" s="18">
        <f>Cement!BX10</f>
        <v>1748.702794642857</v>
      </c>
      <c r="BU10" s="18">
        <f>Cement!BY10</f>
        <v>1179.938744257274</v>
      </c>
      <c r="BV10" s="19">
        <f>Cement!BZ10</f>
        <v>1160.7682500000001</v>
      </c>
      <c r="BW10" s="266">
        <f>Cement!CB10</f>
        <v>2361</v>
      </c>
      <c r="BX10" s="267">
        <f>Cement!CC10</f>
        <v>6.53</v>
      </c>
      <c r="BY10" s="99">
        <f>Cement!CD10</f>
        <v>-4.5900000000000007</v>
      </c>
      <c r="BZ10" s="17">
        <f>Cement!CE10</f>
        <v>0.73368670990317197</v>
      </c>
      <c r="CA10" s="99">
        <f>Cement!CF10</f>
        <v>5.0652531603873125</v>
      </c>
      <c r="CB10" s="103">
        <f>Cement!CG10</f>
        <v>0.42239197938233264</v>
      </c>
      <c r="CC10" s="99">
        <f>Cement!CH10</f>
        <v>0.33587969073498924</v>
      </c>
      <c r="CD10" s="20">
        <f>Cement!CI10</f>
        <v>0</v>
      </c>
      <c r="CE10" s="691">
        <f>Cement!CJ10</f>
        <v>500</v>
      </c>
      <c r="CF10" s="419">
        <f>Cement!CK10</f>
        <v>629</v>
      </c>
      <c r="CG10" s="468">
        <f>Cement!CL10</f>
        <v>385</v>
      </c>
      <c r="CH10" s="843">
        <f>Cement!CM10</f>
        <v>173</v>
      </c>
      <c r="CI10" s="21">
        <f>Cement!CN10</f>
        <v>481</v>
      </c>
      <c r="CJ10" s="21">
        <f>Cement!CO10</f>
        <v>11</v>
      </c>
      <c r="CK10" s="469">
        <f>Cement!CP10</f>
        <v>481</v>
      </c>
      <c r="CL10" s="1239">
        <f>Cement!CQ10</f>
        <v>407.13519642857142</v>
      </c>
      <c r="CM10" s="21">
        <f>Cement!CR10</f>
        <v>1110</v>
      </c>
      <c r="CN10" s="16">
        <f>Cement!CS10</f>
        <v>-19</v>
      </c>
      <c r="CO10" s="154" t="str">
        <f>Cement!CT10</f>
        <v/>
      </c>
      <c r="CP10" s="693">
        <f>Cement!CU10</f>
        <v>1941</v>
      </c>
      <c r="CQ10" s="49">
        <f>Cement!CV10</f>
        <v>1160</v>
      </c>
      <c r="CR10" s="1389">
        <f>Cement!CW10</f>
        <v>0</v>
      </c>
      <c r="CS10" s="49">
        <f>Cement!CX10</f>
        <v>123</v>
      </c>
      <c r="CT10" s="53">
        <f>Cement!CY10</f>
        <v>1283</v>
      </c>
      <c r="CU10" s="6">
        <f>Cement!CZ10</f>
        <v>1.8956896551724138</v>
      </c>
      <c r="CV10" s="99">
        <f>Cement!DA10</f>
        <v>5.565517241379311</v>
      </c>
      <c r="CW10" s="53">
        <f>Cement!DB10</f>
        <v>3224</v>
      </c>
      <c r="CX10" s="645">
        <f>Cement!DC10</f>
        <v>0.39795285359801491</v>
      </c>
      <c r="CY10" s="13">
        <f>Cement!DD10</f>
        <v>1025</v>
      </c>
      <c r="CZ10" s="24">
        <f>Cement!DE10</f>
        <v>474</v>
      </c>
      <c r="DA10" s="24">
        <f>Cement!DF10</f>
        <v>175</v>
      </c>
      <c r="DB10" s="51">
        <f>Cement!DG10</f>
        <v>2199</v>
      </c>
      <c r="DC10" s="8">
        <f>Cement!DH10</f>
        <v>1039</v>
      </c>
      <c r="DD10" s="644">
        <f>Cement!DI10</f>
        <v>2.6599941564691325</v>
      </c>
      <c r="DE10" s="22">
        <f>Cement!DJ10</f>
        <v>1044</v>
      </c>
      <c r="DF10" s="1390">
        <f>Cement!DK10</f>
        <v>275</v>
      </c>
      <c r="DG10" s="22">
        <f>Cement!DL10</f>
        <v>245</v>
      </c>
      <c r="DH10" s="138">
        <f>Cement!DM10</f>
        <v>0.39795285359801491</v>
      </c>
      <c r="DI10" s="99">
        <f>Cement!DN10</f>
        <v>2.0217695836070559</v>
      </c>
      <c r="DJ10" s="138">
        <f>Cement!DO10</f>
        <v>0.31875441114106967</v>
      </c>
      <c r="DK10" s="99">
        <f>Cement!DP10</f>
        <v>1</v>
      </c>
      <c r="DL10" s="1431">
        <f>Cement!DQ10</f>
        <v>370</v>
      </c>
      <c r="DM10" s="8">
        <f>Cement!DR10</f>
        <v>265</v>
      </c>
      <c r="DN10" s="23" t="str">
        <f>Cement!DS10</f>
        <v>G</v>
      </c>
      <c r="DO10" s="7">
        <f>Cement!DT10</f>
        <v>37.747403488144229</v>
      </c>
      <c r="DP10" s="8">
        <f>Cement!DU10</f>
        <v>10773.945</v>
      </c>
      <c r="DQ10" s="32">
        <f>Cement!DV10</f>
        <v>1.3983056456846203</v>
      </c>
      <c r="DR10" s="99">
        <f>Cement!DW10</f>
        <v>7.9661129136924069</v>
      </c>
      <c r="DS10" s="14">
        <f>Cement!DX10</f>
        <v>2559.0128968253971</v>
      </c>
      <c r="DT10" s="99">
        <f>Cement!DY10</f>
        <v>-0.34254549706340853</v>
      </c>
      <c r="DU10" s="103">
        <f>Cement!DZ10</f>
        <v>0.63273196329241421</v>
      </c>
      <c r="DV10" s="99">
        <f>Cement!EA10</f>
        <v>4.2648268394012101</v>
      </c>
      <c r="DW10" s="103">
        <f>Cement!EB10</f>
        <v>4.3659043659043661E-2</v>
      </c>
      <c r="DX10" s="99">
        <f>Cement!EC10</f>
        <v>0.43659043659043661</v>
      </c>
      <c r="DY10" s="8">
        <f>Cement!ED10</f>
        <v>8594.0400000000009</v>
      </c>
      <c r="DZ10" s="8">
        <f>Cement!EE10</f>
        <v>13852.8</v>
      </c>
      <c r="EA10" s="235">
        <f>Cement!EF10</f>
        <v>1258</v>
      </c>
      <c r="EB10" s="8">
        <f>Cement!EG10</f>
        <v>11852.42</v>
      </c>
      <c r="EC10" s="411">
        <f>Cement!EH10</f>
        <v>109</v>
      </c>
      <c r="ED10" s="1338">
        <f>Cement!EI10</f>
        <v>4860</v>
      </c>
      <c r="EE10" s="821">
        <f>Cement!EJ10</f>
        <v>7.3636363636363639E-2</v>
      </c>
      <c r="EF10" s="502">
        <f>Cement!EK10</f>
        <v>0</v>
      </c>
      <c r="EG10" s="502">
        <f>Cement!EL10</f>
        <v>0</v>
      </c>
      <c r="EH10" s="510">
        <f>Cement!EM10</f>
        <v>16400</v>
      </c>
      <c r="EI10" s="435">
        <f>Cement!EN10</f>
        <v>2066</v>
      </c>
      <c r="EJ10" s="510">
        <f>Cement!EO10</f>
        <v>32730</v>
      </c>
      <c r="EK10" s="435">
        <f>Cement!EP10</f>
        <v>4124</v>
      </c>
      <c r="EL10" s="510">
        <f>Cement!EQ10</f>
        <v>29740</v>
      </c>
      <c r="EM10" s="435">
        <f>Cement!ER10</f>
        <v>3747</v>
      </c>
      <c r="EN10" s="510">
        <f>Cement!ES10</f>
        <v>39210</v>
      </c>
      <c r="EO10" s="435">
        <f>Cement!ET10</f>
        <v>4940</v>
      </c>
      <c r="EP10" s="510">
        <f>Cement!EU10</f>
        <v>61140</v>
      </c>
      <c r="EQ10" s="435">
        <f>Cement!EV10</f>
        <v>7704</v>
      </c>
      <c r="ER10" s="1607">
        <f>Cement!EW10</f>
        <v>61140</v>
      </c>
      <c r="ES10" s="1608">
        <f>Cement!EX10</f>
        <v>7704</v>
      </c>
      <c r="ET10" s="1609">
        <f>Cement!EY10</f>
        <v>2.7289448209099709</v>
      </c>
    </row>
    <row r="11" spans="1:150" ht="35" customHeight="1">
      <c r="A11" s="100">
        <f>Cement!A11</f>
        <v>26.677279402578577</v>
      </c>
      <c r="B11" s="100">
        <f>Cement!B11</f>
        <v>19.423634427290274</v>
      </c>
      <c r="C11" s="1585">
        <f ca="1">Cement!C11</f>
        <v>0.14937933554622385</v>
      </c>
      <c r="D11" s="1650">
        <f>Cement!D11</f>
        <v>1.6808505941693221</v>
      </c>
      <c r="E11" s="1412">
        <f>Cement!E11</f>
        <v>43.3</v>
      </c>
      <c r="F11" s="1413">
        <f>Cement!F11</f>
        <v>39.5</v>
      </c>
      <c r="G11" s="2125">
        <f>Cement!G11</f>
        <v>13.436985372469245</v>
      </c>
      <c r="H11" s="2115">
        <f>Cement!H11</f>
        <v>1.1594594594594594</v>
      </c>
      <c r="I11" s="2301">
        <f>Cement!I11</f>
        <v>0.41604010025062654</v>
      </c>
      <c r="J11" s="2115">
        <f>Cement!J11</f>
        <v>0.63390663390663393</v>
      </c>
      <c r="K11" s="1942">
        <f>Cement!K11</f>
        <v>1</v>
      </c>
      <c r="L11" s="1575">
        <f>Cement!L11</f>
        <v>7</v>
      </c>
      <c r="M11" s="1582" t="str">
        <f>Cement!M11</f>
        <v>BB</v>
      </c>
      <c r="N11" s="1588" t="str">
        <f>Cement!N11</f>
        <v>BB</v>
      </c>
      <c r="O11" s="179" t="str">
        <f>Cement!O11</f>
        <v/>
      </c>
      <c r="P11" s="223" t="str">
        <f>Cement!P11</f>
        <v>سيمان‌ قائن‌</v>
      </c>
      <c r="Q11" s="1973" t="str">
        <f>Cement!Q11</f>
        <v>سقاين</v>
      </c>
      <c r="R11" s="59">
        <f>Cement!R11</f>
        <v>12</v>
      </c>
      <c r="S11" s="66">
        <f>Cement!S11</f>
        <v>9712</v>
      </c>
      <c r="T11" s="258">
        <f>Cement!T11</f>
        <v>24280</v>
      </c>
      <c r="U11" s="338">
        <f>Cement!U11</f>
        <v>2.97</v>
      </c>
      <c r="V11" s="263">
        <f>Cement!V11</f>
        <v>24280</v>
      </c>
      <c r="W11" s="337">
        <f>Cement!W11</f>
        <v>2.97</v>
      </c>
      <c r="X11" s="661" t="str">
        <f>Cement!Y11</f>
        <v/>
      </c>
      <c r="Y11" s="1031">
        <f>Cement!Z11</f>
        <v>0.48592411260709917</v>
      </c>
      <c r="Z11" s="511">
        <f ca="1">Cement!AA11</f>
        <v>0.11342465753424659</v>
      </c>
      <c r="AA11" s="823">
        <f ca="1">Cement!AB11</f>
        <v>-80.978142407141874</v>
      </c>
      <c r="AB11" s="1150">
        <f>Cement!AD11</f>
        <v>2.5758468335787925</v>
      </c>
      <c r="AC11" s="1150">
        <f>Cement!AE11</f>
        <v>4.0478170478170474</v>
      </c>
      <c r="AD11" s="1150">
        <f>Cement!AF11</f>
        <v>3.9576314446145995</v>
      </c>
      <c r="AE11" s="1150">
        <f>Cement!AG11</f>
        <v>6.807073954983923</v>
      </c>
      <c r="AF11" s="275">
        <f ca="1">Cement!AH11</f>
        <v>319</v>
      </c>
      <c r="AG11" s="1120">
        <f>Cement!AI11</f>
        <v>46193</v>
      </c>
      <c r="AH11" s="1430">
        <f>Cement!AJ11</f>
        <v>46211</v>
      </c>
      <c r="AI11" s="23">
        <f>Cement!AK11</f>
        <v>780000</v>
      </c>
      <c r="AJ11" s="23">
        <f>Cement!AL11</f>
        <v>810000</v>
      </c>
      <c r="AK11" s="29">
        <f>Cement!AM11</f>
        <v>4000000000</v>
      </c>
      <c r="AL11" s="1225">
        <f>Cement!AN11</f>
        <v>0.1222</v>
      </c>
      <c r="AM11" s="174">
        <f>Cement!AO11</f>
        <v>1818</v>
      </c>
      <c r="AN11" s="1010">
        <f>Cement!AP11</f>
        <v>1524</v>
      </c>
      <c r="AO11" s="1010">
        <f>Cement!AQ11</f>
        <v>987</v>
      </c>
      <c r="AP11" s="766">
        <f>Cement!AR11</f>
        <v>2733.008108108108</v>
      </c>
      <c r="AQ11" s="984">
        <f>Cement!AS11</f>
        <v>4</v>
      </c>
      <c r="AR11" s="6">
        <f>Cement!AT11</f>
        <v>3.5535935554625979</v>
      </c>
      <c r="AS11" s="99">
        <f>Cement!AU11</f>
        <v>-10</v>
      </c>
      <c r="AT11" s="16">
        <f>Cement!AV11</f>
        <v>565</v>
      </c>
      <c r="AU11" s="16">
        <f>Cement!AW11</f>
        <v>435</v>
      </c>
      <c r="AV11" s="1740">
        <f>Cement!AX11</f>
        <v>0.77</v>
      </c>
      <c r="AW11" s="1363">
        <f>Cement!AY11</f>
        <v>0.33700000000000002</v>
      </c>
      <c r="AX11" s="1084">
        <f>Cement!AZ11</f>
        <v>0.64800000000000002</v>
      </c>
      <c r="AY11" s="1366">
        <f>Cement!BA11</f>
        <v>0.16500000000000001</v>
      </c>
      <c r="AZ11" s="99">
        <f>Cement!BB11</f>
        <v>10</v>
      </c>
      <c r="BA11" s="1740">
        <f>Cement!BC11</f>
        <v>0.628</v>
      </c>
      <c r="BB11" s="1363">
        <f>Cement!BD11</f>
        <v>0.23300000000000001</v>
      </c>
      <c r="BC11" s="1357">
        <f>Cement!BE11</f>
        <v>0.54300000000000004</v>
      </c>
      <c r="BD11" s="1367">
        <f>Cement!BF11</f>
        <v>9.1999999999999998E-2</v>
      </c>
      <c r="BE11" s="306">
        <f>Cement!BG11</f>
        <v>0.14200000000000002</v>
      </c>
      <c r="BF11" s="99">
        <f>Cement!BJ11</f>
        <v>0</v>
      </c>
      <c r="BG11" s="306">
        <f>Cement!BK11</f>
        <v>0.79331240689508398</v>
      </c>
      <c r="BH11" s="99">
        <f>Cement!BL11</f>
        <v>5</v>
      </c>
      <c r="BI11" s="15">
        <f>Cement!BM11</f>
        <v>0</v>
      </c>
      <c r="BJ11" s="1356">
        <f>Cement!BN11</f>
        <v>3</v>
      </c>
      <c r="BK11" s="842">
        <f>Cement!BO11</f>
        <v>1</v>
      </c>
      <c r="BL11" s="16">
        <f>Cement!BP11</f>
        <v>1312</v>
      </c>
      <c r="BM11" s="16">
        <f>Cement!BQ11</f>
        <v>0</v>
      </c>
      <c r="BN11" s="16">
        <f>Cement!BR11</f>
        <v>0</v>
      </c>
      <c r="BO11" s="1251">
        <f>Cement!BS11</f>
        <v>5105.8227297297299</v>
      </c>
      <c r="BP11" s="1246">
        <f>Cement!BT11</f>
        <v>5250</v>
      </c>
      <c r="BQ11" s="406">
        <f>Cement!BU11</f>
        <v>0</v>
      </c>
      <c r="BR11" s="407">
        <f>Cement!BV11</f>
        <v>4.689149405830678</v>
      </c>
      <c r="BS11" s="99">
        <f>Cement!BW11</f>
        <v>1.5542529708466102</v>
      </c>
      <c r="BT11" s="18">
        <f>Cement!BX11</f>
        <v>2071.1645459459464</v>
      </c>
      <c r="BU11" s="18">
        <f>Cement!BY11</f>
        <v>1524.6467817896389</v>
      </c>
      <c r="BV11" s="19">
        <f>Cement!BZ11</f>
        <v>2104.4162432432431</v>
      </c>
      <c r="BW11" s="266">
        <f>Cement!CB11</f>
        <v>3814</v>
      </c>
      <c r="BX11" s="267">
        <f>Cement!CC11</f>
        <v>6.37</v>
      </c>
      <c r="BY11" s="99">
        <f>Cement!CD11</f>
        <v>-4.1100000000000003</v>
      </c>
      <c r="BZ11" s="17">
        <f>Cement!CE11</f>
        <v>1.025992842606074</v>
      </c>
      <c r="CA11" s="99">
        <f>Cement!CF11</f>
        <v>3.8960286295757038</v>
      </c>
      <c r="CB11" s="103">
        <f>Cement!CG11</f>
        <v>0.53838433739171987</v>
      </c>
      <c r="CC11" s="99">
        <f>Cement!CH11</f>
        <v>2.0757650608757978</v>
      </c>
      <c r="CD11" s="20">
        <f>Cement!CI11</f>
        <v>0</v>
      </c>
      <c r="CE11" s="691">
        <f>Cement!CJ11</f>
        <v>400</v>
      </c>
      <c r="CF11" s="419">
        <f>Cement!CK11</f>
        <v>119</v>
      </c>
      <c r="CG11" s="468">
        <f>Cement!CL11</f>
        <v>326</v>
      </c>
      <c r="CH11" s="843">
        <f>Cement!CM11</f>
        <v>170</v>
      </c>
      <c r="CI11" s="21">
        <f>Cement!CN11</f>
        <v>525</v>
      </c>
      <c r="CJ11" s="21">
        <f>Cement!CO11</f>
        <v>0</v>
      </c>
      <c r="CK11" s="469">
        <f>Cement!CP11</f>
        <v>525</v>
      </c>
      <c r="CL11" s="1239">
        <f>Cement!CQ11</f>
        <v>572.1096972972972</v>
      </c>
      <c r="CM11" s="21">
        <f>Cement!CR11</f>
        <v>644</v>
      </c>
      <c r="CN11" s="16">
        <f>Cement!CS11</f>
        <v>-17</v>
      </c>
      <c r="CO11" s="154" t="str">
        <f>Cement!CT11</f>
        <v/>
      </c>
      <c r="CP11" s="693">
        <f>Cement!CU11</f>
        <v>1124</v>
      </c>
      <c r="CQ11" s="49">
        <f>Cement!CV11</f>
        <v>2092</v>
      </c>
      <c r="CR11" s="1389">
        <f>Cement!CW11</f>
        <v>498</v>
      </c>
      <c r="CS11" s="49">
        <f>Cement!CX11</f>
        <v>33</v>
      </c>
      <c r="CT11" s="53">
        <f>Cement!CY11</f>
        <v>2125</v>
      </c>
      <c r="CU11" s="6">
        <f>Cement!CZ11</f>
        <v>1.3016252390057361</v>
      </c>
      <c r="CV11" s="99">
        <f>Cement!DA11</f>
        <v>0.81300191204588934</v>
      </c>
      <c r="CW11" s="53">
        <f>Cement!DB11</f>
        <v>3249</v>
      </c>
      <c r="CX11" s="645">
        <f>Cement!DC11</f>
        <v>0.65404739919975374</v>
      </c>
      <c r="CY11" s="13">
        <f>Cement!DD11</f>
        <v>526</v>
      </c>
      <c r="CZ11" s="24">
        <f>Cement!DE11</f>
        <v>290</v>
      </c>
      <c r="DA11" s="24">
        <f>Cement!DF11</f>
        <v>44</v>
      </c>
      <c r="DB11" s="51">
        <f>Cement!DG11</f>
        <v>2723</v>
      </c>
      <c r="DC11" s="8">
        <f>Cement!DH11</f>
        <v>631</v>
      </c>
      <c r="DD11" s="644">
        <f>Cement!DI11</f>
        <v>4.3312331348781425</v>
      </c>
      <c r="DE11" s="22">
        <f>Cement!DJ11</f>
        <v>721</v>
      </c>
      <c r="DF11" s="1390">
        <f>Cement!DK11</f>
        <v>575</v>
      </c>
      <c r="DG11" s="22">
        <f>Cement!DL11</f>
        <v>436</v>
      </c>
      <c r="DH11" s="138">
        <f>Cement!DM11</f>
        <v>0.65404739919975374</v>
      </c>
      <c r="DI11" s="99">
        <f>Cement!DN11</f>
        <v>-0.53917587241033238</v>
      </c>
      <c r="DJ11" s="138">
        <f>Cement!DO11</f>
        <v>0.17677111227134815</v>
      </c>
      <c r="DK11" s="99">
        <f>Cement!DP11</f>
        <v>0</v>
      </c>
      <c r="DL11" s="1431">
        <f>Cement!DQ11</f>
        <v>870</v>
      </c>
      <c r="DM11" s="8">
        <f>Cement!DR11</f>
        <v>121</v>
      </c>
      <c r="DN11" s="23" t="str">
        <f>Cement!DS11</f>
        <v>G</v>
      </c>
      <c r="DO11" s="7">
        <f>Cement!DT11</f>
        <v>65.879799213132543</v>
      </c>
      <c r="DP11" s="8">
        <f>Cement!DU11</f>
        <v>8378.3700000000008</v>
      </c>
      <c r="DQ11" s="32">
        <f>Cement!DV11</f>
        <v>0.86268224876441524</v>
      </c>
      <c r="DR11" s="99">
        <f>Cement!DW11</f>
        <v>-2.7463550247116952</v>
      </c>
      <c r="DS11" s="14">
        <f>Cement!DX11</f>
        <v>3503.8565488565487</v>
      </c>
      <c r="DT11" s="99">
        <f>Cement!DY11</f>
        <v>10</v>
      </c>
      <c r="DU11" s="103">
        <f>Cement!DZ11</f>
        <v>0.75783329723806969</v>
      </c>
      <c r="DV11" s="99">
        <f>Cement!EA11</f>
        <v>8.0178668577708745</v>
      </c>
      <c r="DW11" s="103">
        <f>Cement!EB11</f>
        <v>0.2715894868585732</v>
      </c>
      <c r="DX11" s="99">
        <f>Cement!EC11</f>
        <v>2.7158948685857318</v>
      </c>
      <c r="DY11" s="8">
        <f>Cement!ED11</f>
        <v>13882.96</v>
      </c>
      <c r="DZ11" s="8">
        <f>Cement!EE11</f>
        <v>18900</v>
      </c>
      <c r="EA11" s="235">
        <f>Cement!EF11</f>
        <v>297.5</v>
      </c>
      <c r="EB11" s="8">
        <f>Cement!EG11</f>
        <v>16540.23</v>
      </c>
      <c r="EC11" s="411">
        <f>Cement!EH11</f>
        <v>18</v>
      </c>
      <c r="ED11" s="1338">
        <f>Cement!EI11</f>
        <v>2600</v>
      </c>
      <c r="EE11" s="821">
        <f>Cement!EJ11</f>
        <v>0.13727560718057022</v>
      </c>
      <c r="EF11" s="502">
        <f>Cement!EK11</f>
        <v>15</v>
      </c>
      <c r="EG11" s="502">
        <f>Cement!EL11</f>
        <v>0</v>
      </c>
      <c r="EH11" s="510">
        <f>Cement!EM11</f>
        <v>49740</v>
      </c>
      <c r="EI11" s="435">
        <f>Cement!EN11</f>
        <v>1244</v>
      </c>
      <c r="EJ11" s="510">
        <f>Cement!EO11</f>
        <v>78360</v>
      </c>
      <c r="EK11" s="435">
        <f>Cement!EP11</f>
        <v>1959</v>
      </c>
      <c r="EL11" s="510">
        <f>Cement!EQ11</f>
        <v>4810</v>
      </c>
      <c r="EM11" s="435">
        <f>Cement!ER11</f>
        <v>1924</v>
      </c>
      <c r="EN11" s="510">
        <f>Cement!ES11</f>
        <v>6791</v>
      </c>
      <c r="EO11" s="435">
        <f>Cement!ET11</f>
        <v>2716</v>
      </c>
      <c r="EP11" s="510">
        <f>Cement!EU11</f>
        <v>16340</v>
      </c>
      <c r="EQ11" s="435">
        <f>Cement!EV11</f>
        <v>6536</v>
      </c>
      <c r="ER11" s="1610">
        <f>Cement!EW11</f>
        <v>16340</v>
      </c>
      <c r="ES11" s="834">
        <f>Cement!EX11</f>
        <v>6536</v>
      </c>
      <c r="ET11" s="835">
        <f>Cement!EY11</f>
        <v>4.254019292604502</v>
      </c>
    </row>
    <row r="12" spans="1:150" ht="35" customHeight="1">
      <c r="A12" s="100">
        <f>Cement!A12</f>
        <v>25.396087084183005</v>
      </c>
      <c r="B12" s="100">
        <f>Cement!B12</f>
        <v>14.733792852712241</v>
      </c>
      <c r="C12" s="1585">
        <f ca="1">Cement!C12</f>
        <v>0.10886833615146292</v>
      </c>
      <c r="D12" s="1650">
        <f>Cement!D12</f>
        <v>2.3289770418750795</v>
      </c>
      <c r="E12" s="1412">
        <f>Cement!E12</f>
        <v>5.8</v>
      </c>
      <c r="F12" s="1413">
        <f>Cement!F12</f>
        <v>6.7</v>
      </c>
      <c r="G12" s="2125">
        <f>Cement!G12</f>
        <v>-16.892599183502554</v>
      </c>
      <c r="H12" s="2115">
        <f>Cement!H12</f>
        <v>0.99570815450643779</v>
      </c>
      <c r="I12" s="2301">
        <f>Cement!I12</f>
        <v>1.0540019286403086</v>
      </c>
      <c r="J12" s="2115">
        <f>Cement!J12</f>
        <v>0.68344774980930589</v>
      </c>
      <c r="K12" s="1942">
        <f>Cement!K12</f>
        <v>4</v>
      </c>
      <c r="L12" s="1575">
        <f>Cement!L12</f>
        <v>14</v>
      </c>
      <c r="M12" s="1582" t="str">
        <f>Cement!M12</f>
        <v>B</v>
      </c>
      <c r="N12" s="1582" t="str">
        <f>Cement!N12</f>
        <v>BB</v>
      </c>
      <c r="O12" s="179" t="str">
        <f>Cement!O12</f>
        <v/>
      </c>
      <c r="P12" s="223" t="str">
        <f>Cement!P12</f>
        <v>سيمان‌ شاهرود</v>
      </c>
      <c r="Q12" s="1973" t="str">
        <f>Cement!Q12</f>
        <v>سرود</v>
      </c>
      <c r="R12" s="59">
        <f>Cement!R12</f>
        <v>12</v>
      </c>
      <c r="S12" s="66">
        <f>Cement!S12</f>
        <v>15993.698294</v>
      </c>
      <c r="T12" s="258">
        <f>Cement!T12</f>
        <v>16660</v>
      </c>
      <c r="U12" s="338">
        <f>Cement!U12</f>
        <v>2.97</v>
      </c>
      <c r="V12" s="263">
        <f>Cement!V12</f>
        <v>16660</v>
      </c>
      <c r="W12" s="337">
        <f>Cement!W12</f>
        <v>2.97</v>
      </c>
      <c r="X12" s="661" t="str">
        <f>Cement!Y12</f>
        <v/>
      </c>
      <c r="Y12" s="1031">
        <f>Cement!Z12</f>
        <v>0.18489393198992443</v>
      </c>
      <c r="Z12" s="511">
        <f ca="1">Cement!AA12</f>
        <v>3.4520547945205482E-2</v>
      </c>
      <c r="AA12" s="823">
        <f ca="1">Cement!AB12</f>
        <v>-107.40956003194211</v>
      </c>
      <c r="AB12" s="1150">
        <f>Cement!AD12</f>
        <v>1.5475785750238928</v>
      </c>
      <c r="AC12" s="1150">
        <f>Cement!AE12</f>
        <v>4.1016581480063792</v>
      </c>
      <c r="AD12" s="1150">
        <f>Cement!AF12</f>
        <v>3.8363163876625341</v>
      </c>
      <c r="AE12" s="1150">
        <f>Cement!AG12</f>
        <v>8.4475150889007029</v>
      </c>
      <c r="AF12" s="275">
        <f ca="1">Cement!AH12</f>
        <v>351</v>
      </c>
      <c r="AG12" s="1120">
        <f>Cement!AI12</f>
        <v>46225</v>
      </c>
      <c r="AH12" s="1430">
        <f>Cement!AJ12</f>
        <v>46346</v>
      </c>
      <c r="AI12" s="23">
        <f>Cement!AK12</f>
        <v>1800000</v>
      </c>
      <c r="AJ12" s="23">
        <f>Cement!AL12</f>
        <v>1870000</v>
      </c>
      <c r="AK12" s="29">
        <f>Cement!AM12</f>
        <v>9600059000</v>
      </c>
      <c r="AL12" s="1225">
        <f>Cement!AN12</f>
        <v>0.47749999999999998</v>
      </c>
      <c r="AM12" s="174">
        <f>Cement!AO12</f>
        <v>5293</v>
      </c>
      <c r="AN12" s="1010">
        <f>Cement!AP12</f>
        <v>4210</v>
      </c>
      <c r="AO12" s="1010">
        <f>Cement!AQ12</f>
        <v>1933</v>
      </c>
      <c r="AP12" s="766">
        <f>Cement!AR12</f>
        <v>7693.9656652360518</v>
      </c>
      <c r="AQ12" s="984">
        <f>Cement!AS12</f>
        <v>4</v>
      </c>
      <c r="AR12" s="6">
        <f>Cement!AT12</f>
        <v>2.239456093734904</v>
      </c>
      <c r="AS12" s="99">
        <f>Cement!AU12</f>
        <v>1.8686657394166506</v>
      </c>
      <c r="AT12" s="16">
        <f>Cement!AV12</f>
        <v>2130</v>
      </c>
      <c r="AU12" s="16">
        <f>Cement!AW12</f>
        <v>1119</v>
      </c>
      <c r="AV12" s="1740">
        <f>Cement!AX12</f>
        <v>0.52500000000000002</v>
      </c>
      <c r="AW12" s="1363">
        <f>Cement!AY12</f>
        <v>0.46700000000000003</v>
      </c>
      <c r="AX12" s="1084">
        <f>Cement!AZ12</f>
        <v>0.45900000000000002</v>
      </c>
      <c r="AY12" s="1366">
        <f>Cement!BA12</f>
        <v>0.35799999999999998</v>
      </c>
      <c r="AZ12" s="99">
        <f>Cement!BB12</f>
        <v>6.7</v>
      </c>
      <c r="BA12" s="1740">
        <f>Cement!BC12</f>
        <v>0.38200000000000001</v>
      </c>
      <c r="BB12" s="1363">
        <f>Cement!BD12</f>
        <v>0.315</v>
      </c>
      <c r="BC12" s="1357">
        <f>Cement!BE12</f>
        <v>0.32800000000000001</v>
      </c>
      <c r="BD12" s="1367">
        <f>Cement!BF12</f>
        <v>0.20300000000000001</v>
      </c>
      <c r="BE12" s="306">
        <f>Cement!BG12</f>
        <v>0.14300000000000002</v>
      </c>
      <c r="BF12" s="99">
        <f>Cement!BJ12</f>
        <v>0</v>
      </c>
      <c r="BG12" s="306">
        <f>Cement!BK12</f>
        <v>0.82754528865464416</v>
      </c>
      <c r="BH12" s="99">
        <f>Cement!BL12</f>
        <v>5</v>
      </c>
      <c r="BI12" s="15">
        <f>Cement!BM12</f>
        <v>0</v>
      </c>
      <c r="BJ12" s="1356">
        <f>Cement!BN12</f>
        <v>3</v>
      </c>
      <c r="BK12" s="842">
        <f>Cement!BO12</f>
        <v>1</v>
      </c>
      <c r="BL12" s="16">
        <f>Cement!BP12</f>
        <v>967</v>
      </c>
      <c r="BM12" s="16">
        <f>Cement!BQ12</f>
        <v>0</v>
      </c>
      <c r="BN12" s="16">
        <f>Cement!BR12</f>
        <v>0</v>
      </c>
      <c r="BO12" s="1251">
        <f>Cement!BS12</f>
        <v>3470.9108393189786</v>
      </c>
      <c r="BP12" s="1246">
        <f>Cement!BT12</f>
        <v>3866.6429029238257</v>
      </c>
      <c r="BQ12" s="406">
        <f>Cement!BU12</f>
        <v>0</v>
      </c>
      <c r="BR12" s="407">
        <f>Cement!BV12</f>
        <v>4.5410229581249206</v>
      </c>
      <c r="BS12" s="99">
        <f>Cement!BW12</f>
        <v>2.2948852093753969</v>
      </c>
      <c r="BT12" s="18">
        <f>Cement!BX12</f>
        <v>3522.0474420600854</v>
      </c>
      <c r="BU12" s="18">
        <f>Cement!BY12</f>
        <v>2328.049242212518</v>
      </c>
      <c r="BV12" s="19">
        <f>Cement!BZ12</f>
        <v>4039.3319742489275</v>
      </c>
      <c r="BW12" s="266">
        <f>Cement!CB12</f>
        <v>2424</v>
      </c>
      <c r="BX12" s="267">
        <f>Cement!CC12</f>
        <v>6.87</v>
      </c>
      <c r="BY12" s="99">
        <f>Cement!CD12</f>
        <v>-5.61</v>
      </c>
      <c r="BZ12" s="17">
        <f>Cement!CE12</f>
        <v>1.6927653866333949</v>
      </c>
      <c r="CA12" s="99">
        <f>Cement!CF12</f>
        <v>1.2289384534664203</v>
      </c>
      <c r="CB12" s="103">
        <f>Cement!CG12</f>
        <v>0.44969962232636435</v>
      </c>
      <c r="CC12" s="99">
        <f>Cement!CH12</f>
        <v>0.74549433489546479</v>
      </c>
      <c r="CD12" s="20">
        <f>Cement!CI12</f>
        <v>0</v>
      </c>
      <c r="CE12" s="691">
        <f>Cement!CJ12</f>
        <v>960.0059</v>
      </c>
      <c r="CF12" s="419">
        <f>Cement!CK12</f>
        <v>390</v>
      </c>
      <c r="CG12" s="468">
        <f>Cement!CL12</f>
        <v>393</v>
      </c>
      <c r="CH12" s="843">
        <f>Cement!CM12</f>
        <v>115</v>
      </c>
      <c r="CI12" s="21">
        <f>Cement!CN12</f>
        <v>928</v>
      </c>
      <c r="CJ12" s="21">
        <f>Cement!CO12</f>
        <v>-180</v>
      </c>
      <c r="CK12" s="469">
        <f>Cement!CP12</f>
        <v>928</v>
      </c>
      <c r="CL12" s="1239">
        <f>Cement!CQ12</f>
        <v>799.6982947067238</v>
      </c>
      <c r="CM12" s="21">
        <f>Cement!CR12</f>
        <v>1318</v>
      </c>
      <c r="CN12" s="16">
        <f>Cement!CS12</f>
        <v>-50</v>
      </c>
      <c r="CO12" s="154" t="str">
        <f>Cement!CT12</f>
        <v/>
      </c>
      <c r="CP12" s="693">
        <f>Cement!CU12</f>
        <v>2366</v>
      </c>
      <c r="CQ12" s="49">
        <f>Cement!CV12</f>
        <v>5826</v>
      </c>
      <c r="CR12" s="1389">
        <f>Cement!CW12</f>
        <v>2879</v>
      </c>
      <c r="CS12" s="49">
        <f>Cement!CX12</f>
        <v>136</v>
      </c>
      <c r="CT12" s="53">
        <f>Cement!CY12</f>
        <v>5962</v>
      </c>
      <c r="CU12" s="6">
        <f>Cement!CZ12</f>
        <v>0.93820803295571575</v>
      </c>
      <c r="CV12" s="99">
        <f>Cement!DA12</f>
        <v>-2.0943357363542736</v>
      </c>
      <c r="CW12" s="53">
        <f>Cement!DB12</f>
        <v>8328</v>
      </c>
      <c r="CX12" s="645">
        <f>Cement!DC12</f>
        <v>0.71589817483189244</v>
      </c>
      <c r="CY12" s="13">
        <f>Cement!DD12</f>
        <v>2862</v>
      </c>
      <c r="CZ12" s="24">
        <f>Cement!DE12</f>
        <v>2652</v>
      </c>
      <c r="DA12" s="24">
        <f>Cement!DF12</f>
        <v>40</v>
      </c>
      <c r="DB12" s="51">
        <f>Cement!DG12</f>
        <v>5466</v>
      </c>
      <c r="DC12" s="8">
        <f>Cement!DH12</f>
        <v>-360</v>
      </c>
      <c r="DD12" s="644">
        <f>Cement!DI12</f>
        <v>-21.372126847877922</v>
      </c>
      <c r="DE12" s="22">
        <f>Cement!DJ12</f>
        <v>1323</v>
      </c>
      <c r="DF12" s="1390">
        <f>Cement!DK12</f>
        <v>274</v>
      </c>
      <c r="DG12" s="22">
        <f>Cement!DL12</f>
        <v>824</v>
      </c>
      <c r="DH12" s="138">
        <f>Cement!DM12</f>
        <v>0.71589817483189244</v>
      </c>
      <c r="DI12" s="99">
        <f>Cement!DN12</f>
        <v>-1.1576836287317194</v>
      </c>
      <c r="DJ12" s="138">
        <f>Cement!DO12</f>
        <v>-5.6692542593650079E-2</v>
      </c>
      <c r="DK12" s="99">
        <f>Cement!DP12</f>
        <v>0</v>
      </c>
      <c r="DL12" s="1431">
        <f>Cement!DQ12</f>
        <v>2650</v>
      </c>
      <c r="DM12" s="8">
        <f>Cement!DR12</f>
        <v>395</v>
      </c>
      <c r="DN12" s="23" t="str">
        <f>Cement!DS12</f>
        <v>G</v>
      </c>
      <c r="DO12" s="7">
        <f>Cement!DT12</f>
        <v>47.012634609053499</v>
      </c>
      <c r="DP12" s="8">
        <f>Cement!DU12</f>
        <v>16523.325000000001</v>
      </c>
      <c r="DQ12" s="32">
        <f>Cement!DV12</f>
        <v>1.0331147115735382</v>
      </c>
      <c r="DR12" s="99">
        <f>Cement!DW12</f>
        <v>0.66229423147076361</v>
      </c>
      <c r="DS12" s="14">
        <f>Cement!DX12</f>
        <v>4274.4253695755842</v>
      </c>
      <c r="DT12" s="99">
        <f>Cement!DY12</f>
        <v>10</v>
      </c>
      <c r="DU12" s="103">
        <f>Cement!DZ12</f>
        <v>0.45776750187148502</v>
      </c>
      <c r="DV12" s="99">
        <f>Cement!EA12</f>
        <v>-0.98410700322666578</v>
      </c>
      <c r="DW12" s="103">
        <f>Cement!EB12</f>
        <v>0.67419354838709677</v>
      </c>
      <c r="DX12" s="99">
        <f>Cement!EC12</f>
        <v>6.741935483870968</v>
      </c>
      <c r="DY12" s="8">
        <f>Cement!ED12</f>
        <v>8823.36</v>
      </c>
      <c r="DZ12" s="8">
        <f>Cement!EE12</f>
        <v>13919.914450525772</v>
      </c>
      <c r="EA12" s="235">
        <f>Cement!EF12</f>
        <v>406.24750327055284</v>
      </c>
      <c r="EB12" s="8">
        <f>Cement!EG12</f>
        <v>11574.760976898162</v>
      </c>
      <c r="EC12" s="411">
        <f>Cement!EH12</f>
        <v>121</v>
      </c>
      <c r="ED12" s="1338">
        <f>Cement!EI12</f>
        <v>1600</v>
      </c>
      <c r="EE12" s="821">
        <f>Cement!EJ12</f>
        <v>0.10217113665389528</v>
      </c>
      <c r="EF12" s="502">
        <f>Cement!EK12</f>
        <v>11.85</v>
      </c>
      <c r="EG12" s="502">
        <f>Cement!EL12</f>
        <v>0</v>
      </c>
      <c r="EH12" s="510">
        <f>Cement!EM12</f>
        <v>20900</v>
      </c>
      <c r="EI12" s="435">
        <f>Cement!EN12</f>
        <v>1692.9</v>
      </c>
      <c r="EJ12" s="510">
        <f>Cement!EO12</f>
        <v>40830</v>
      </c>
      <c r="EK12" s="435">
        <f>Cement!EP12</f>
        <v>3307</v>
      </c>
      <c r="EL12" s="510">
        <f>Cement!EQ12</f>
        <v>38700</v>
      </c>
      <c r="EM12" s="435">
        <f>Cement!ER12</f>
        <v>3135</v>
      </c>
      <c r="EN12" s="510">
        <f>Cement!ES12</f>
        <v>6540</v>
      </c>
      <c r="EO12" s="435">
        <f>Cement!ET12</f>
        <v>6278</v>
      </c>
      <c r="EP12" s="510">
        <f>Cement!EU12</f>
        <v>14060</v>
      </c>
      <c r="EQ12" s="435">
        <f>Cement!EV12</f>
        <v>13498</v>
      </c>
      <c r="ER12" s="1607">
        <f>Cement!EW12</f>
        <v>14060</v>
      </c>
      <c r="ES12" s="1608">
        <f>Cement!EX12</f>
        <v>13498</v>
      </c>
      <c r="ET12" s="1609">
        <f>Cement!EY12</f>
        <v>6.9733002540020079</v>
      </c>
    </row>
    <row r="13" spans="1:150" ht="35" customHeight="1">
      <c r="A13" s="100">
        <f>Cement!A13</f>
        <v>24.771966889234456</v>
      </c>
      <c r="B13" s="100">
        <f>Cement!B13</f>
        <v>14.707068609003354</v>
      </c>
      <c r="C13" s="1585">
        <f ca="1">Cement!C13</f>
        <v>0.1752689848843185</v>
      </c>
      <c r="D13" s="1650">
        <f>Cement!D13</f>
        <v>1.0442858719541785</v>
      </c>
      <c r="E13" s="1412">
        <f>Cement!E13</f>
        <v>11.000000000000004</v>
      </c>
      <c r="F13" s="1413">
        <f>Cement!F13</f>
        <v>11.299999999999999</v>
      </c>
      <c r="G13" s="2125">
        <f>Cement!G13</f>
        <v>-17.30998497904973</v>
      </c>
      <c r="H13" s="2115">
        <f>Cement!H13</f>
        <v>0.36382322713257964</v>
      </c>
      <c r="I13" s="2301">
        <f>Cement!I13</f>
        <v>0.19354838709677419</v>
      </c>
      <c r="J13" s="2115">
        <f>Cement!J13</f>
        <v>0.26627906976744187</v>
      </c>
      <c r="K13" s="1942">
        <f>Cement!K13</f>
        <v>24</v>
      </c>
      <c r="L13" s="1575">
        <f>Cement!L13</f>
        <v>11</v>
      </c>
      <c r="M13" s="1582" t="str">
        <f>Cement!M13</f>
        <v>N</v>
      </c>
      <c r="N13" s="1582" t="str">
        <f>Cement!N13</f>
        <v>B</v>
      </c>
      <c r="O13" s="179" t="str">
        <f>Cement!O13</f>
        <v/>
      </c>
      <c r="P13" s="223" t="str">
        <f>Cement!P13</f>
        <v>سيمان‌ بجنورد</v>
      </c>
      <c r="Q13" s="1973" t="str">
        <f>Cement!Q13</f>
        <v>سبجنو</v>
      </c>
      <c r="R13" s="59">
        <f>Cement!R13</f>
        <v>12</v>
      </c>
      <c r="S13" s="66">
        <f>Cement!S13</f>
        <v>9838</v>
      </c>
      <c r="T13" s="258">
        <f>Cement!T13</f>
        <v>49180</v>
      </c>
      <c r="U13" s="338">
        <f>Cement!U13</f>
        <v>2.97</v>
      </c>
      <c r="V13" s="263">
        <f>Cement!V13</f>
        <v>49190</v>
      </c>
      <c r="W13" s="337">
        <f>Cement!W13</f>
        <v>2.99</v>
      </c>
      <c r="X13" s="661" t="str">
        <f>Cement!Y13</f>
        <v/>
      </c>
      <c r="Y13" s="1031">
        <f>Cement!Z13</f>
        <v>0.31594435527019799</v>
      </c>
      <c r="Z13" s="511">
        <f ca="1">Cement!AA13</f>
        <v>0.13808219178082193</v>
      </c>
      <c r="AA13" s="823">
        <f ca="1">Cement!AB13</f>
        <v>-31.761100623102866</v>
      </c>
      <c r="AB13" s="1150">
        <f>Cement!AD13</f>
        <v>0.87390476190476185</v>
      </c>
      <c r="AC13" s="1150">
        <f>Cement!AE13</f>
        <v>3.20786997433704</v>
      </c>
      <c r="AD13" s="1150">
        <f>Cement!AF13</f>
        <v>4.1212909942738154</v>
      </c>
      <c r="AE13" s="1150">
        <f>Cement!AG13</f>
        <v>5.1487499999999997</v>
      </c>
      <c r="AF13" s="275">
        <f ca="1">Cement!AH13</f>
        <v>309</v>
      </c>
      <c r="AG13" s="1120">
        <f>Cement!AI13</f>
        <v>46183</v>
      </c>
      <c r="AH13" s="1430">
        <f>Cement!AJ13</f>
        <v>46196</v>
      </c>
      <c r="AI13" s="23">
        <f>Cement!AK13</f>
        <v>1600000</v>
      </c>
      <c r="AJ13" s="23">
        <f>Cement!AL13</f>
        <v>1800000</v>
      </c>
      <c r="AK13" s="29">
        <f>Cement!AM13</f>
        <v>2000000000</v>
      </c>
      <c r="AL13" s="1225">
        <f>Cement!AN13</f>
        <v>0.15989999999999999</v>
      </c>
      <c r="AM13" s="174">
        <f>Cement!AO13</f>
        <v>3161</v>
      </c>
      <c r="AN13" s="1010">
        <f>Cement!AP13</f>
        <v>3291</v>
      </c>
      <c r="AO13" s="1010">
        <f>Cement!AQ13</f>
        <v>1560</v>
      </c>
      <c r="AP13" s="766">
        <f>Cement!AR13</f>
        <v>4150.6711202466595</v>
      </c>
      <c r="AQ13" s="984">
        <f>Cement!AS13</f>
        <v>4</v>
      </c>
      <c r="AR13" s="6">
        <f>Cement!AT13</f>
        <v>2.3702191079440094</v>
      </c>
      <c r="AS13" s="99">
        <f>Cement!AU13</f>
        <v>0.56103559732559649</v>
      </c>
      <c r="AT13" s="16">
        <f>Cement!AV13</f>
        <v>999</v>
      </c>
      <c r="AU13" s="16">
        <f>Cement!AW13</f>
        <v>560</v>
      </c>
      <c r="AV13" s="1740">
        <f>Cement!AX13</f>
        <v>0.56100000000000005</v>
      </c>
      <c r="AW13" s="1363">
        <f>Cement!AY13</f>
        <v>0.45100000000000001</v>
      </c>
      <c r="AX13" s="1084">
        <f>Cement!AZ13</f>
        <v>0.35899999999999999</v>
      </c>
      <c r="AY13" s="1366">
        <f>Cement!BA13</f>
        <v>0.217</v>
      </c>
      <c r="AZ13" s="99">
        <f>Cement!BB13</f>
        <v>10</v>
      </c>
      <c r="BA13" s="1740">
        <f>Cement!BC13</f>
        <v>0.48099999999999998</v>
      </c>
      <c r="BB13" s="1363">
        <f>Cement!BD13</f>
        <v>0.36799999999999999</v>
      </c>
      <c r="BC13" s="1357">
        <f>Cement!BE13</f>
        <v>0.39600000000000002</v>
      </c>
      <c r="BD13" s="1367">
        <f>Cement!BF13</f>
        <v>0.20799999999999999</v>
      </c>
      <c r="BE13" s="306">
        <f>Cement!BG13</f>
        <v>8.0000000000000071E-2</v>
      </c>
      <c r="BF13" s="99">
        <f>Cement!BJ13</f>
        <v>0</v>
      </c>
      <c r="BG13" s="306">
        <f>Cement!BK13</f>
        <v>0.26121881502481298</v>
      </c>
      <c r="BH13" s="99">
        <f>Cement!BL13</f>
        <v>-1.6417662073615502</v>
      </c>
      <c r="BI13" s="15">
        <f>Cement!BM13</f>
        <v>0</v>
      </c>
      <c r="BJ13" s="1356">
        <f>Cement!BN13</f>
        <v>3</v>
      </c>
      <c r="BK13" s="842">
        <f>Cement!BO13</f>
        <v>1</v>
      </c>
      <c r="BL13" s="16">
        <f>Cement!BP13</f>
        <v>2512</v>
      </c>
      <c r="BM13" s="16">
        <f>Cement!BQ13</f>
        <v>0</v>
      </c>
      <c r="BN13" s="16">
        <f>Cement!BR13</f>
        <v>0</v>
      </c>
      <c r="BO13" s="1251">
        <f>Cement!BS13</f>
        <v>11002.364044193215</v>
      </c>
      <c r="BP13" s="1246">
        <f>Cement!BT13</f>
        <v>10640</v>
      </c>
      <c r="BQ13" s="406">
        <f>Cement!BU13</f>
        <v>0</v>
      </c>
      <c r="BR13" s="407">
        <f>Cement!BV13</f>
        <v>4.5457141280458213</v>
      </c>
      <c r="BS13" s="99">
        <f>Cement!BW13</f>
        <v>2.2714293597708934</v>
      </c>
      <c r="BT13" s="18">
        <f>Cement!BX13</f>
        <v>2164.2364044193214</v>
      </c>
      <c r="BU13" s="18">
        <f>Cement!BY13</f>
        <v>1759.928443649374</v>
      </c>
      <c r="BV13" s="19">
        <f>Cement!BZ13</f>
        <v>2328.5264984583764</v>
      </c>
      <c r="BW13" s="266">
        <f>Cement!CB13</f>
        <v>8801</v>
      </c>
      <c r="BX13" s="267">
        <f>Cement!CC13</f>
        <v>5.59</v>
      </c>
      <c r="BY13" s="99">
        <f>Cement!CD13</f>
        <v>-1.7699999999999996</v>
      </c>
      <c r="BZ13" s="17">
        <f>Cement!CE13</f>
        <v>1.288214168427704</v>
      </c>
      <c r="CA13" s="99">
        <f>Cement!CF13</f>
        <v>2.8471433262891841</v>
      </c>
      <c r="CB13" s="103">
        <f>Cement!CG13</f>
        <v>0.57820903137037705</v>
      </c>
      <c r="CC13" s="99">
        <f>Cement!CH13</f>
        <v>2.6731354705556551</v>
      </c>
      <c r="CD13" s="20">
        <f>Cement!CI13</f>
        <v>0</v>
      </c>
      <c r="CE13" s="691">
        <f>Cement!CJ13</f>
        <v>200</v>
      </c>
      <c r="CF13" s="419">
        <f>Cement!CK13</f>
        <v>113</v>
      </c>
      <c r="CG13" s="468">
        <f>Cement!CL13</f>
        <v>204</v>
      </c>
      <c r="CH13" s="843">
        <f>Cement!CM13</f>
        <v>21</v>
      </c>
      <c r="CI13" s="21">
        <f>Cement!CN13</f>
        <v>502</v>
      </c>
      <c r="CJ13" s="21">
        <f>Cement!CO13</f>
        <v>0</v>
      </c>
      <c r="CK13" s="469">
        <f>Cement!CP13</f>
        <v>532</v>
      </c>
      <c r="CL13" s="1239">
        <f>Cement!CQ13</f>
        <v>665.49093627954767</v>
      </c>
      <c r="CM13" s="21">
        <f>Cement!CR13</f>
        <v>615</v>
      </c>
      <c r="CN13" s="16">
        <f>Cement!CS13</f>
        <v>-24</v>
      </c>
      <c r="CO13" s="154" t="str">
        <f>Cement!CT13</f>
        <v/>
      </c>
      <c r="CP13" s="693">
        <f>Cement!CU13</f>
        <v>828</v>
      </c>
      <c r="CQ13" s="49">
        <f>Cement!CV13</f>
        <v>2603</v>
      </c>
      <c r="CR13" s="1389">
        <f>Cement!CW13</f>
        <v>331</v>
      </c>
      <c r="CS13" s="49">
        <f>Cement!CX13</f>
        <v>185</v>
      </c>
      <c r="CT13" s="53">
        <f>Cement!CY13</f>
        <v>2788</v>
      </c>
      <c r="CU13" s="6">
        <f>Cement!CZ13</f>
        <v>1.1198616980407223</v>
      </c>
      <c r="CV13" s="99">
        <f>Cement!DA13</f>
        <v>-0.641106415674221</v>
      </c>
      <c r="CW13" s="53">
        <f>Cement!DB13</f>
        <v>3616</v>
      </c>
      <c r="CX13" s="645">
        <f>Cement!DC13</f>
        <v>0.77101769911504425</v>
      </c>
      <c r="CY13" s="13">
        <f>Cement!DD13</f>
        <v>701</v>
      </c>
      <c r="CZ13" s="24">
        <f>Cement!DE13</f>
        <v>689</v>
      </c>
      <c r="DA13" s="24">
        <f>Cement!DF13</f>
        <v>0</v>
      </c>
      <c r="DB13" s="51">
        <f>Cement!DG13</f>
        <v>2915</v>
      </c>
      <c r="DC13" s="8">
        <f>Cement!DH13</f>
        <v>312</v>
      </c>
      <c r="DD13" s="644">
        <f>Cement!DI13</f>
        <v>13.303433077713652</v>
      </c>
      <c r="DE13" s="22">
        <f>Cement!DJ13</f>
        <v>1134</v>
      </c>
      <c r="DF13" s="1390">
        <f>Cement!DK13</f>
        <v>1122</v>
      </c>
      <c r="DG13" s="22">
        <f>Cement!DL13</f>
        <v>18</v>
      </c>
      <c r="DH13" s="138">
        <f>Cement!DM13</f>
        <v>0.77101769911504425</v>
      </c>
      <c r="DI13" s="99">
        <f>Cement!DN13</f>
        <v>-1.7088788715632375</v>
      </c>
      <c r="DJ13" s="138">
        <f>Cement!DO13</f>
        <v>8.5891227835462446E-3</v>
      </c>
      <c r="DK13" s="99">
        <f>Cement!DP13</f>
        <v>0</v>
      </c>
      <c r="DL13" s="1431">
        <f>Cement!DQ13</f>
        <v>351</v>
      </c>
      <c r="DM13" s="8">
        <f>Cement!DR13</f>
        <v>290</v>
      </c>
      <c r="DN13" s="23" t="str">
        <f>Cement!DS13</f>
        <v>G</v>
      </c>
      <c r="DO13" s="7">
        <f>Cement!DT13</f>
        <v>32.533068783068785</v>
      </c>
      <c r="DP13" s="8">
        <f>Cement!DU13</f>
        <v>14926.275</v>
      </c>
      <c r="DQ13" s="32">
        <f>Cement!DV13</f>
        <v>1.5172062411059157</v>
      </c>
      <c r="DR13" s="99">
        <f>Cement!DW13</f>
        <v>10</v>
      </c>
      <c r="DS13" s="14">
        <f>Cement!DX13</f>
        <v>2594.169450154162</v>
      </c>
      <c r="DT13" s="99">
        <f>Cement!DY13</f>
        <v>6.4898280231102196E-2</v>
      </c>
      <c r="DU13" s="103">
        <f>Cement!DZ13</f>
        <v>0.52141842649549852</v>
      </c>
      <c r="DV13" s="99">
        <f>Cement!EA13</f>
        <v>0.92542073549373938</v>
      </c>
      <c r="DW13" s="103">
        <f>Cement!EB13</f>
        <v>0.11906556141672947</v>
      </c>
      <c r="DX13" s="99">
        <f>Cement!EC13</f>
        <v>1.1906556141672948</v>
      </c>
      <c r="DY13" s="8">
        <f>Cement!ED13</f>
        <v>32035.64</v>
      </c>
      <c r="DZ13" s="8">
        <f>Cement!EE13</f>
        <v>38304</v>
      </c>
      <c r="EA13" s="235">
        <f>Cement!EF13</f>
        <v>565</v>
      </c>
      <c r="EB13" s="8">
        <f>Cement!EG13</f>
        <v>35452.32</v>
      </c>
      <c r="EC13" s="411">
        <f>Cement!EH13</f>
        <v>13</v>
      </c>
      <c r="ED13" s="1338">
        <f>Cement!EI13</f>
        <v>7200</v>
      </c>
      <c r="EE13" s="821">
        <f>Cement!EJ13</f>
        <v>0.16150740242261102</v>
      </c>
      <c r="EF13" s="502">
        <f>Cement!EK13</f>
        <v>0</v>
      </c>
      <c r="EG13" s="502">
        <f>Cement!EL13</f>
        <v>0</v>
      </c>
      <c r="EH13" s="510">
        <f>Cement!EM13</f>
        <v>40815</v>
      </c>
      <c r="EI13" s="435">
        <f>Cement!EN13</f>
        <v>1600</v>
      </c>
      <c r="EJ13" s="510">
        <f>Cement!EO13</f>
        <v>48995</v>
      </c>
      <c r="EK13" s="435">
        <f>Cement!EP13</f>
        <v>1921</v>
      </c>
      <c r="EL13" s="510">
        <f>Cement!EQ13</f>
        <v>11690</v>
      </c>
      <c r="EM13" s="435">
        <f>Cement!ER13</f>
        <v>2338</v>
      </c>
      <c r="EN13" s="510">
        <f>Cement!ES13</f>
        <v>26250</v>
      </c>
      <c r="EO13" s="435">
        <f>Cement!ET13</f>
        <v>5250</v>
      </c>
      <c r="EP13" s="510">
        <f>Cement!EU13</f>
        <v>37380</v>
      </c>
      <c r="EQ13" s="435">
        <f>Cement!EV13</f>
        <v>7476</v>
      </c>
      <c r="ER13" s="1607">
        <f>Cement!EW13</f>
        <v>37380</v>
      </c>
      <c r="ES13" s="1608">
        <f>Cement!EX13</f>
        <v>7476</v>
      </c>
      <c r="ET13" s="1609">
        <f>Cement!EY13</f>
        <v>3.6724999999999999</v>
      </c>
    </row>
    <row r="14" spans="1:150" ht="35" customHeight="1">
      <c r="A14" s="100">
        <f>Cement!A14</f>
        <v>23.654691596536299</v>
      </c>
      <c r="B14" s="100">
        <f>Cement!B14</f>
        <v>6.3047862625936189</v>
      </c>
      <c r="C14" s="1585">
        <f ca="1">Cement!C14</f>
        <v>0.20131479519153345</v>
      </c>
      <c r="D14" s="1650">
        <f>Cement!D14</f>
        <v>1.048300759421319</v>
      </c>
      <c r="E14" s="1412">
        <f>Cement!E14</f>
        <v>-1.8000000000000016</v>
      </c>
      <c r="F14" s="1413">
        <f>Cement!F14</f>
        <v>-0.80000000000000071</v>
      </c>
      <c r="G14" s="2125">
        <f>Cement!G14</f>
        <v>-23.751345719743021</v>
      </c>
      <c r="H14" s="2115">
        <f>Cement!H14</f>
        <v>1.0609480812641083</v>
      </c>
      <c r="I14" s="2301">
        <f>Cement!I14</f>
        <v>0.103397341211226</v>
      </c>
      <c r="J14" s="2115">
        <f>Cement!J14</f>
        <v>0.14104595879556259</v>
      </c>
      <c r="K14" s="1942">
        <f>Cement!K14</f>
        <v>2</v>
      </c>
      <c r="L14" s="1575">
        <f>Cement!L14</f>
        <v>16</v>
      </c>
      <c r="M14" s="1582" t="str">
        <f>Cement!M14</f>
        <v>B</v>
      </c>
      <c r="N14" s="1587" t="str">
        <f>Cement!N14</f>
        <v>B</v>
      </c>
      <c r="O14" s="179" t="str">
        <f>Cement!O14</f>
        <v/>
      </c>
      <c r="P14" s="60" t="str">
        <f>Cement!P14</f>
        <v>سيمان‌خاش‌</v>
      </c>
      <c r="Q14" s="1973" t="str">
        <f>Cement!Q14</f>
        <v>سخاش</v>
      </c>
      <c r="R14" s="59">
        <f>Cement!R14</f>
        <v>12</v>
      </c>
      <c r="S14" s="66">
        <f>Cement!S14</f>
        <v>6126.8</v>
      </c>
      <c r="T14" s="258">
        <f>Cement!T14</f>
        <v>11520</v>
      </c>
      <c r="U14" s="338">
        <f>Cement!U14</f>
        <v>2.58</v>
      </c>
      <c r="V14" s="263">
        <f>Cement!V14</f>
        <v>11560</v>
      </c>
      <c r="W14" s="337">
        <f>Cement!W14</f>
        <v>2.94</v>
      </c>
      <c r="X14" s="661" t="str">
        <f>Cement!Y14</f>
        <v/>
      </c>
      <c r="Y14" s="1031">
        <f>Cement!Z14</f>
        <v>0.59427530575071563</v>
      </c>
      <c r="Z14" s="511">
        <f ca="1">Cement!AA14</f>
        <v>0.1923287671232877</v>
      </c>
      <c r="AA14" s="823">
        <f ca="1">Cement!AB14</f>
        <v>-51.531607516336912</v>
      </c>
      <c r="AB14" s="1150">
        <f>Cement!AD14</f>
        <v>0.77588405797101456</v>
      </c>
      <c r="AC14" s="1150">
        <f>Cement!AE14</f>
        <v>3.4204906204906207</v>
      </c>
      <c r="AD14" s="1150">
        <f>Cement!AF14</f>
        <v>2.2833869239013933</v>
      </c>
      <c r="AE14" s="1150">
        <f>Cement!AG14</f>
        <v>6.8448143405889885</v>
      </c>
      <c r="AF14" s="275">
        <f ca="1">Cement!AH14</f>
        <v>287</v>
      </c>
      <c r="AG14" s="1120">
        <f>Cement!AI14</f>
        <v>46161</v>
      </c>
      <c r="AH14" s="1430">
        <f>Cement!AJ14</f>
        <v>46264</v>
      </c>
      <c r="AI14" s="23">
        <f>Cement!AK14</f>
        <v>780000</v>
      </c>
      <c r="AJ14" s="23">
        <f>Cement!AL14</f>
        <v>810000</v>
      </c>
      <c r="AK14" s="29">
        <f>Cement!AM14</f>
        <v>5300000000</v>
      </c>
      <c r="AL14" s="1225">
        <f>Cement!AN14</f>
        <v>0.24199999999999999</v>
      </c>
      <c r="AM14" s="174">
        <f>Cement!AO14</f>
        <v>2304</v>
      </c>
      <c r="AN14" s="1010">
        <f>Cement!AP14</f>
        <v>1971</v>
      </c>
      <c r="AO14" s="1010">
        <f>Cement!AQ14</f>
        <v>935</v>
      </c>
      <c r="AP14" s="766">
        <f>Cement!AR14</f>
        <v>3326.0643340857787</v>
      </c>
      <c r="AQ14" s="984">
        <f>Cement!AS14</f>
        <v>4</v>
      </c>
      <c r="AR14" s="6">
        <f>Cement!AT14</f>
        <v>1.8420569732256993</v>
      </c>
      <c r="AS14" s="99">
        <f>Cement!AU14</f>
        <v>5.8426569445086969</v>
      </c>
      <c r="AT14" s="16">
        <f>Cement!AV14</f>
        <v>747</v>
      </c>
      <c r="AU14" s="16">
        <f>Cement!AW14</f>
        <v>329</v>
      </c>
      <c r="AV14" s="1740">
        <f>Cement!AX14</f>
        <v>0.44</v>
      </c>
      <c r="AW14" s="1363">
        <f>Cement!AY14</f>
        <v>0.45800000000000002</v>
      </c>
      <c r="AX14" s="1084">
        <f>Cement!AZ14</f>
        <v>0.47399999999999998</v>
      </c>
      <c r="AY14" s="1366">
        <f>Cement!BA14</f>
        <v>0.36399999999999999</v>
      </c>
      <c r="AZ14" s="99">
        <f>Cement!BB14</f>
        <v>-0.80000000000000071</v>
      </c>
      <c r="BA14" s="1740">
        <f>Cement!BC14</f>
        <v>0.36099999999999999</v>
      </c>
      <c r="BB14" s="1363">
        <f>Cement!BD14</f>
        <v>0.36899999999999999</v>
      </c>
      <c r="BC14" s="1357">
        <f>Cement!BE14</f>
        <v>0.38700000000000001</v>
      </c>
      <c r="BD14" s="1367">
        <f>Cement!BF14</f>
        <v>0.29399999999999998</v>
      </c>
      <c r="BE14" s="306">
        <f>Cement!BG14</f>
        <v>7.9000000000000015E-2</v>
      </c>
      <c r="BF14" s="99">
        <f>Cement!BJ14</f>
        <v>0</v>
      </c>
      <c r="BG14" s="306">
        <f>Cement!BK14</f>
        <v>0.68750093053565631</v>
      </c>
      <c r="BH14" s="99">
        <f>Cement!BL14</f>
        <v>2.7967687435482205</v>
      </c>
      <c r="BI14" s="15">
        <f>Cement!BM14</f>
        <v>0</v>
      </c>
      <c r="BJ14" s="1356">
        <f>Cement!BN14</f>
        <v>3</v>
      </c>
      <c r="BK14" s="842">
        <f>Cement!BO14</f>
        <v>1</v>
      </c>
      <c r="BL14" s="16">
        <f>Cement!BP14</f>
        <v>560</v>
      </c>
      <c r="BM14" s="16">
        <f>Cement!BQ14</f>
        <v>0</v>
      </c>
      <c r="BN14" s="16">
        <f>Cement!BR14</f>
        <v>0</v>
      </c>
      <c r="BO14" s="1251">
        <f>Cement!BS14</f>
        <v>2456.0551407640869</v>
      </c>
      <c r="BP14" s="1246">
        <f>Cement!BT14</f>
        <v>2241.5094339622642</v>
      </c>
      <c r="BQ14" s="406">
        <f>Cement!BU14</f>
        <v>0</v>
      </c>
      <c r="BR14" s="407">
        <f>Cement!BV14</f>
        <v>4.9216992405786808</v>
      </c>
      <c r="BS14" s="99">
        <f>Cement!BW14</f>
        <v>0.391503797106596</v>
      </c>
      <c r="BT14" s="18">
        <f>Cement!BX14</f>
        <v>1244.8546123024832</v>
      </c>
      <c r="BU14" s="18">
        <f>Cement!BY14</f>
        <v>1026.2646566164156</v>
      </c>
      <c r="BV14" s="19">
        <f>Cement!BZ14</f>
        <v>1463.4683069977427</v>
      </c>
      <c r="BW14" s="266">
        <f>Cement!CB14</f>
        <v>1929</v>
      </c>
      <c r="BX14" s="267">
        <f>Cement!CC14</f>
        <v>5.97</v>
      </c>
      <c r="BY14" s="99">
        <f>Cement!CD14</f>
        <v>-2.9099999999999993</v>
      </c>
      <c r="BZ14" s="17">
        <f>Cement!CE14</f>
        <v>1.3535717210248543</v>
      </c>
      <c r="CA14" s="99">
        <f>Cement!CF14</f>
        <v>2.5857131159005826</v>
      </c>
      <c r="CB14" s="103">
        <f>Cement!CG14</f>
        <v>0.45632500450970792</v>
      </c>
      <c r="CC14" s="99">
        <f>Cement!CH14</f>
        <v>0.84487506764561848</v>
      </c>
      <c r="CD14" s="20">
        <f>Cement!CI14</f>
        <v>0</v>
      </c>
      <c r="CE14" s="691">
        <f>Cement!CJ14</f>
        <v>530</v>
      </c>
      <c r="CF14" s="419">
        <f>Cement!CK14</f>
        <v>500</v>
      </c>
      <c r="CG14" s="468">
        <f>Cement!CL14</f>
        <v>101</v>
      </c>
      <c r="CH14" s="843">
        <f>Cement!CM14</f>
        <v>27</v>
      </c>
      <c r="CI14" s="21">
        <f>Cement!CN14</f>
        <v>297</v>
      </c>
      <c r="CJ14" s="21">
        <f>Cement!CO14</f>
        <v>0</v>
      </c>
      <c r="CK14" s="469">
        <f>Cement!CP14</f>
        <v>297</v>
      </c>
      <c r="CL14" s="1239">
        <f>Cement!CQ14</f>
        <v>400.23640820165531</v>
      </c>
      <c r="CM14" s="21">
        <f>Cement!CR14</f>
        <v>381</v>
      </c>
      <c r="CN14" s="16">
        <f>Cement!CS14</f>
        <v>-420</v>
      </c>
      <c r="CO14" s="154" t="str">
        <f>Cement!CT14</f>
        <v>Check RE</v>
      </c>
      <c r="CP14" s="693">
        <f>Cement!CU14</f>
        <v>957</v>
      </c>
      <c r="CQ14" s="49">
        <f>Cement!CV14</f>
        <v>1623</v>
      </c>
      <c r="CR14" s="1389">
        <f>Cement!CW14</f>
        <v>95</v>
      </c>
      <c r="CS14" s="49">
        <f>Cement!CX14</f>
        <v>62</v>
      </c>
      <c r="CT14" s="53">
        <f>Cement!CY14</f>
        <v>1685</v>
      </c>
      <c r="CU14" s="6">
        <f>Cement!CZ14</f>
        <v>1.0911891558841651</v>
      </c>
      <c r="CV14" s="99">
        <f>Cement!DA14</f>
        <v>-0.87048675292667888</v>
      </c>
      <c r="CW14" s="53">
        <f>Cement!DB14</f>
        <v>2642</v>
      </c>
      <c r="CX14" s="645">
        <f>Cement!DC14</f>
        <v>0.63777441332323992</v>
      </c>
      <c r="CY14" s="13">
        <f>Cement!DD14</f>
        <v>871</v>
      </c>
      <c r="CZ14" s="24">
        <f>Cement!DE14</f>
        <v>860</v>
      </c>
      <c r="DA14" s="24">
        <f>Cement!DF14</f>
        <v>1</v>
      </c>
      <c r="DB14" s="51">
        <f>Cement!DG14</f>
        <v>1771</v>
      </c>
      <c r="DC14" s="8">
        <f>Cement!DH14</f>
        <v>148</v>
      </c>
      <c r="DD14" s="644">
        <f>Cement!DI14</f>
        <v>22.473407662741749</v>
      </c>
      <c r="DE14" s="22">
        <f>Cement!DJ14</f>
        <v>771</v>
      </c>
      <c r="DF14" s="1390">
        <f>Cement!DK14</f>
        <v>388</v>
      </c>
      <c r="DG14" s="22">
        <f>Cement!DL14</f>
        <v>27</v>
      </c>
      <c r="DH14" s="138">
        <f>Cement!DM14</f>
        <v>0.63777441332323992</v>
      </c>
      <c r="DI14" s="99">
        <f>Cement!DN14</f>
        <v>-0.37644601364519414</v>
      </c>
      <c r="DJ14" s="138">
        <f>Cement!DO14</f>
        <v>0.1537443612028607</v>
      </c>
      <c r="DK14" s="99">
        <f>Cement!DP14</f>
        <v>0</v>
      </c>
      <c r="DL14" s="1431">
        <f>Cement!DQ14</f>
        <v>320</v>
      </c>
      <c r="DM14" s="8">
        <f>Cement!DR14</f>
        <v>265</v>
      </c>
      <c r="DN14" s="23" t="str">
        <f>Cement!DS14</f>
        <v>G</v>
      </c>
      <c r="DO14" s="7">
        <f>Cement!DT14</f>
        <v>41.56016822683489</v>
      </c>
      <c r="DP14" s="8">
        <f>Cement!DU14</f>
        <v>8378.3700000000008</v>
      </c>
      <c r="DQ14" s="32">
        <f>Cement!DV14</f>
        <v>1.3674952666971341</v>
      </c>
      <c r="DR14" s="99">
        <f>Cement!DW14</f>
        <v>7.3499053339426812</v>
      </c>
      <c r="DS14" s="14">
        <f>Cement!DX14</f>
        <v>4264.1850436997156</v>
      </c>
      <c r="DT14" s="99">
        <f>Cement!DY14</f>
        <v>10</v>
      </c>
      <c r="DU14" s="103">
        <f>Cement!DZ14</f>
        <v>0.37427255977736562</v>
      </c>
      <c r="DV14" s="99">
        <f>Cement!EA14</f>
        <v>-3.4889552660502474</v>
      </c>
      <c r="DW14" s="103">
        <f>Cement!EB14</f>
        <v>0.2289156626506024</v>
      </c>
      <c r="DX14" s="99">
        <f>Cement!EC14</f>
        <v>2.2891566265060241</v>
      </c>
      <c r="DY14" s="8">
        <f>Cement!ED14</f>
        <v>7021.56</v>
      </c>
      <c r="DZ14" s="8">
        <f>Cement!EE14</f>
        <v>8069.433962264151</v>
      </c>
      <c r="EA14" s="235">
        <f>Cement!EF14</f>
        <v>158.49056603773585</v>
      </c>
      <c r="EB14" s="8">
        <f>Cement!EG14</f>
        <v>7624.7422641509429</v>
      </c>
      <c r="EC14" s="411">
        <f>Cement!EH14</f>
        <v>103</v>
      </c>
      <c r="ED14" s="1338">
        <f>Cement!EI14</f>
        <v>1520</v>
      </c>
      <c r="EE14" s="821">
        <f>Cement!EJ14</f>
        <v>0.1733181299885975</v>
      </c>
      <c r="EF14" s="502">
        <f>Cement!EK14</f>
        <v>25.5</v>
      </c>
      <c r="EG14" s="502">
        <f>Cement!EL14</f>
        <v>0</v>
      </c>
      <c r="EH14" s="510">
        <f>Cement!EM14</f>
        <v>62500</v>
      </c>
      <c r="EI14" s="435">
        <f>Cement!EN14</f>
        <v>781</v>
      </c>
      <c r="EJ14" s="510">
        <f>Cement!EO14</f>
        <v>93310</v>
      </c>
      <c r="EK14" s="435">
        <f>Cement!EP14</f>
        <v>1866</v>
      </c>
      <c r="EL14" s="510">
        <f>Cement!EQ14</f>
        <v>2615</v>
      </c>
      <c r="EM14" s="435">
        <f>Cement!ER14</f>
        <v>1386</v>
      </c>
      <c r="EN14" s="510">
        <f>Cement!ES14</f>
        <v>6510</v>
      </c>
      <c r="EO14" s="435">
        <f>Cement!ET14</f>
        <v>3450</v>
      </c>
      <c r="EP14" s="510">
        <f>Cement!EU14</f>
        <v>7250</v>
      </c>
      <c r="EQ14" s="435">
        <f>Cement!EV14</f>
        <v>3843</v>
      </c>
      <c r="ER14" s="1607">
        <f>Cement!EW14</f>
        <v>7250</v>
      </c>
      <c r="ES14" s="1608">
        <f>Cement!EX14</f>
        <v>3843</v>
      </c>
      <c r="ET14" s="1609">
        <f>Cement!EY14</f>
        <v>3.9206145966709345</v>
      </c>
    </row>
    <row r="15" spans="1:150" ht="35" customHeight="1">
      <c r="A15" s="100">
        <f>Cement!A15</f>
        <v>21.208110025072855</v>
      </c>
      <c r="B15" s="100">
        <f>Cement!B15</f>
        <v>15.86258882337177</v>
      </c>
      <c r="C15" s="1585">
        <f ca="1">Cement!C15</f>
        <v>0.15496096142287855</v>
      </c>
      <c r="D15" s="1650">
        <f>Cement!D15</f>
        <v>1.2220808717509213</v>
      </c>
      <c r="E15" s="1412">
        <f>Cement!E15</f>
        <v>6.399999999999995</v>
      </c>
      <c r="F15" s="1413">
        <f>Cement!F15</f>
        <v>6.5999999999999943</v>
      </c>
      <c r="G15" s="2125">
        <f>Cement!G15</f>
        <v>10.809000417753067</v>
      </c>
      <c r="H15" s="2115">
        <f>Cement!H15</f>
        <v>0.65064319566689233</v>
      </c>
      <c r="I15" s="2301">
        <f>Cement!I15</f>
        <v>1.4033149171270718</v>
      </c>
      <c r="J15" s="2115">
        <f>Cement!J15</f>
        <v>0.94488188976377951</v>
      </c>
      <c r="K15" s="1942">
        <f>Cement!K15</f>
        <v>14</v>
      </c>
      <c r="L15" s="1575">
        <f>Cement!L15</f>
        <v>9</v>
      </c>
      <c r="M15" s="1588" t="str">
        <f>Cement!M15</f>
        <v>B</v>
      </c>
      <c r="N15" s="1588" t="str">
        <f>Cement!N15</f>
        <v>BB</v>
      </c>
      <c r="O15" s="179" t="str">
        <f>Cement!O15</f>
        <v/>
      </c>
      <c r="P15" s="124" t="str">
        <f>Cement!P15</f>
        <v>سيمان ‌اروميه‌</v>
      </c>
      <c r="Q15" s="1973" t="str">
        <f>Cement!Q15</f>
        <v>ساروم</v>
      </c>
      <c r="R15" s="59">
        <f>Cement!R15</f>
        <v>12</v>
      </c>
      <c r="S15" s="66">
        <f>Cement!S15</f>
        <v>20530</v>
      </c>
      <c r="T15" s="258">
        <f>Cement!T15</f>
        <v>205300</v>
      </c>
      <c r="U15" s="338">
        <f>Cement!U15</f>
        <v>2.96</v>
      </c>
      <c r="V15" s="263">
        <f>Cement!V15</f>
        <v>205300</v>
      </c>
      <c r="W15" s="337">
        <f>Cement!W15</f>
        <v>2.96</v>
      </c>
      <c r="X15" s="661" t="str">
        <f>Cement!Y15</f>
        <v/>
      </c>
      <c r="Y15" s="1031">
        <f>Cement!Z15</f>
        <v>0.36976247664798506</v>
      </c>
      <c r="Z15" s="511">
        <f ca="1">Cement!AA15</f>
        <v>0.13808219178082193</v>
      </c>
      <c r="AA15" s="823">
        <f ca="1">Cement!AB15</f>
        <v>-41.371479440564841</v>
      </c>
      <c r="AB15" s="1150">
        <f>Cement!AD15</f>
        <v>0.66396498622142974</v>
      </c>
      <c r="AC15" s="1150">
        <f>Cement!AE15</f>
        <v>3.2770833333333331</v>
      </c>
      <c r="AD15" s="1150">
        <f>Cement!AF15</f>
        <v>3.5907871198568873</v>
      </c>
      <c r="AE15" s="1150">
        <f>Cement!AG15</f>
        <v>6.3505191550304332</v>
      </c>
      <c r="AF15" s="275">
        <f ca="1">Cement!AH15</f>
        <v>309</v>
      </c>
      <c r="AG15" s="1120">
        <f>Cement!AI15</f>
        <v>46183</v>
      </c>
      <c r="AH15" s="1430">
        <f>Cement!AJ15</f>
        <v>46216</v>
      </c>
      <c r="AI15" s="23">
        <f>Cement!AK15</f>
        <v>2050000</v>
      </c>
      <c r="AJ15" s="23">
        <f>Cement!AL15</f>
        <v>2100000</v>
      </c>
      <c r="AK15" s="29">
        <f>Cement!AM15</f>
        <v>1000000000</v>
      </c>
      <c r="AL15" s="1225">
        <f>Cement!AN15</f>
        <v>0.27760000000000001</v>
      </c>
      <c r="AM15" s="174">
        <f>Cement!AO15</f>
        <v>4622</v>
      </c>
      <c r="AN15" s="1010">
        <f>Cement!AP15</f>
        <v>4048</v>
      </c>
      <c r="AO15" s="1010">
        <f>Cement!AQ15</f>
        <v>2968</v>
      </c>
      <c r="AP15" s="766">
        <f>Cement!AR15</f>
        <v>6421.6518280297896</v>
      </c>
      <c r="AQ15" s="984">
        <f>Cement!AS15</f>
        <v>4</v>
      </c>
      <c r="AR15" s="6">
        <f>Cement!AT15</f>
        <v>3.196996746287124</v>
      </c>
      <c r="AS15" s="99">
        <f>Cement!AU15</f>
        <v>-7.7067407861055504</v>
      </c>
      <c r="AT15" s="16">
        <f>Cement!AV15</f>
        <v>1740</v>
      </c>
      <c r="AU15" s="16">
        <f>Cement!AW15</f>
        <v>1206</v>
      </c>
      <c r="AV15" s="1740">
        <f>Cement!AX15</f>
        <v>0.69299999999999995</v>
      </c>
      <c r="AW15" s="1363">
        <f>Cement!AY15</f>
        <v>0.629</v>
      </c>
      <c r="AX15" s="1084">
        <f>Cement!AZ15</f>
        <v>0.73299999999999998</v>
      </c>
      <c r="AY15" s="1366">
        <f>Cement!BA15</f>
        <v>0.58499999999999996</v>
      </c>
      <c r="AZ15" s="99">
        <f>Cement!BB15</f>
        <v>6.5999999999999943</v>
      </c>
      <c r="BA15" s="1740">
        <f>Cement!BC15</f>
        <v>0.58299999999999996</v>
      </c>
      <c r="BB15" s="1363">
        <f>Cement!BD15</f>
        <v>0.51700000000000002</v>
      </c>
      <c r="BC15" s="1357">
        <f>Cement!BE15</f>
        <v>0.64200000000000002</v>
      </c>
      <c r="BD15" s="1367">
        <f>Cement!BF15</f>
        <v>0.53100000000000003</v>
      </c>
      <c r="BE15" s="306">
        <f>Cement!BG15</f>
        <v>0.10999999999999999</v>
      </c>
      <c r="BF15" s="99">
        <f>Cement!BJ15</f>
        <v>0</v>
      </c>
      <c r="BG15" s="306">
        <f>Cement!BK15</f>
        <v>0.58637643973067921</v>
      </c>
      <c r="BH15" s="99">
        <f>Cement!BL15</f>
        <v>5</v>
      </c>
      <c r="BI15" s="15">
        <f>Cement!BM15</f>
        <v>0</v>
      </c>
      <c r="BJ15" s="1356">
        <f>Cement!BN15</f>
        <v>3</v>
      </c>
      <c r="BK15" s="842">
        <f>Cement!BO15</f>
        <v>1</v>
      </c>
      <c r="BL15" s="16">
        <f>Cement!BP15</f>
        <v>11308</v>
      </c>
      <c r="BM15" s="16">
        <f>Cement!BQ15</f>
        <v>0</v>
      </c>
      <c r="BN15" s="16">
        <f>Cement!BR15</f>
        <v>0</v>
      </c>
      <c r="BO15" s="1251">
        <f>Cement!BS15</f>
        <v>41058.230157413673</v>
      </c>
      <c r="BP15" s="1246">
        <f>Cement!BT15</f>
        <v>45240</v>
      </c>
      <c r="BQ15" s="406">
        <f>Cement!BU15</f>
        <v>0</v>
      </c>
      <c r="BR15" s="407">
        <f>Cement!BV15</f>
        <v>4.7579191282490791</v>
      </c>
      <c r="BS15" s="99">
        <f>Cement!BW15</f>
        <v>1.2104043587546043</v>
      </c>
      <c r="BT15" s="18">
        <f>Cement!BX15</f>
        <v>4314.9115078706827</v>
      </c>
      <c r="BU15" s="18">
        <f>Cement!BY15</f>
        <v>3433.1103678929762</v>
      </c>
      <c r="BV15" s="19">
        <f>Cement!BZ15</f>
        <v>4450.2047168246436</v>
      </c>
      <c r="BW15" s="266">
        <f>Cement!CB15</f>
        <v>34336</v>
      </c>
      <c r="BX15" s="267">
        <f>Cement!CC15</f>
        <v>5.98</v>
      </c>
      <c r="BY15" s="99">
        <f>Cement!CD15</f>
        <v>-2.9400000000000013</v>
      </c>
      <c r="BZ15" s="17">
        <f>Cement!CE15</f>
        <v>1.062362459030384</v>
      </c>
      <c r="CA15" s="99">
        <f>Cement!CF15</f>
        <v>3.7505501638784642</v>
      </c>
      <c r="CB15" s="103">
        <f>Cement!CG15</f>
        <v>0.65248926476193603</v>
      </c>
      <c r="CC15" s="99">
        <f>Cement!CH15</f>
        <v>3.78733897142904</v>
      </c>
      <c r="CD15" s="20">
        <f>Cement!CI15</f>
        <v>0</v>
      </c>
      <c r="CE15" s="691">
        <f>Cement!CJ15</f>
        <v>100</v>
      </c>
      <c r="CF15" s="419">
        <f>Cement!CK15</f>
        <v>234</v>
      </c>
      <c r="CG15" s="468">
        <f>Cement!CL15</f>
        <v>362</v>
      </c>
      <c r="CH15" s="843">
        <f>Cement!CM15</f>
        <v>116</v>
      </c>
      <c r="CI15" s="21">
        <f>Cement!CN15</f>
        <v>1131</v>
      </c>
      <c r="CJ15" s="21">
        <f>Cement!CO15</f>
        <v>0</v>
      </c>
      <c r="CK15" s="469">
        <f>Cement!CP15</f>
        <v>1131</v>
      </c>
      <c r="CL15" s="1239">
        <f>Cement!CQ15</f>
        <v>1247.9410052471223</v>
      </c>
      <c r="CM15" s="21">
        <f>Cement!CR15</f>
        <v>1365</v>
      </c>
      <c r="CN15" s="16">
        <f>Cement!CS15</f>
        <v>-17</v>
      </c>
      <c r="CO15" s="154" t="str">
        <f>Cement!CT15</f>
        <v/>
      </c>
      <c r="CP15" s="693">
        <f>Cement!CU15</f>
        <v>1487</v>
      </c>
      <c r="CQ15" s="49">
        <f>Cement!CV15</f>
        <v>4395</v>
      </c>
      <c r="CR15" s="1389">
        <f>Cement!CW15</f>
        <v>274</v>
      </c>
      <c r="CS15" s="49">
        <f>Cement!CX15</f>
        <v>189</v>
      </c>
      <c r="CT15" s="53">
        <f>Cement!CY15</f>
        <v>4584</v>
      </c>
      <c r="CU15" s="6">
        <f>Cement!CZ15</f>
        <v>1.1663253697383391</v>
      </c>
      <c r="CV15" s="99">
        <f>Cement!DA15</f>
        <v>-0.26939704209328674</v>
      </c>
      <c r="CW15" s="53">
        <f>Cement!DB15</f>
        <v>6071</v>
      </c>
      <c r="CX15" s="645">
        <f>Cement!DC15</f>
        <v>0.75506506341624113</v>
      </c>
      <c r="CY15" s="13">
        <f>Cement!DD15</f>
        <v>945</v>
      </c>
      <c r="CZ15" s="24">
        <f>Cement!DE15</f>
        <v>806</v>
      </c>
      <c r="DA15" s="24">
        <f>Cement!DF15</f>
        <v>85</v>
      </c>
      <c r="DB15" s="51">
        <f>Cement!DG15</f>
        <v>5126</v>
      </c>
      <c r="DC15" s="8">
        <f>Cement!DH15</f>
        <v>731</v>
      </c>
      <c r="DD15" s="644">
        <f>Cement!DI15</f>
        <v>8.7847494227493694</v>
      </c>
      <c r="DE15" s="22">
        <f>Cement!DJ15</f>
        <v>1664</v>
      </c>
      <c r="DF15" s="1390">
        <f>Cement!DK15</f>
        <v>1317</v>
      </c>
      <c r="DG15" s="22">
        <f>Cement!DL15</f>
        <v>88</v>
      </c>
      <c r="DH15" s="138">
        <f>Cement!DM15</f>
        <v>0.75506506341624113</v>
      </c>
      <c r="DI15" s="99">
        <f>Cement!DN15</f>
        <v>-1.5493525145752063</v>
      </c>
      <c r="DJ15" s="138">
        <f>Cement!DO15</f>
        <v>0.34874800121721122</v>
      </c>
      <c r="DK15" s="99">
        <f>Cement!DP15</f>
        <v>1</v>
      </c>
      <c r="DL15" s="1431">
        <f>Cement!DQ15</f>
        <v>1826</v>
      </c>
      <c r="DM15" s="8">
        <f>Cement!DR15</f>
        <v>231</v>
      </c>
      <c r="DN15" s="23" t="str">
        <f>Cement!DS15</f>
        <v>G</v>
      </c>
      <c r="DO15" s="7">
        <f>Cement!DT15</f>
        <v>52.987482255774935</v>
      </c>
      <c r="DP15" s="8">
        <f>Cement!DU15</f>
        <v>18519.637500000001</v>
      </c>
      <c r="DQ15" s="32">
        <f>Cement!DV15</f>
        <v>0.90207683877252809</v>
      </c>
      <c r="DR15" s="99">
        <f>Cement!DW15</f>
        <v>-1.9584632245494382</v>
      </c>
      <c r="DS15" s="14">
        <f>Cement!DX15</f>
        <v>3132.5130868438</v>
      </c>
      <c r="DT15" s="99">
        <f>Cement!DY15</f>
        <v>6.3039844262505254</v>
      </c>
      <c r="DU15" s="103">
        <f>Cement!DZ15</f>
        <v>0.67193171218604197</v>
      </c>
      <c r="DV15" s="99">
        <f>Cement!EA15</f>
        <v>5.4408193062100434</v>
      </c>
      <c r="DW15" s="103">
        <f>Cement!EB15</f>
        <v>0.25389663658736672</v>
      </c>
      <c r="DX15" s="99">
        <f>Cement!EC15</f>
        <v>2.5389663658736672</v>
      </c>
      <c r="DY15" s="8">
        <f>Cement!ED15</f>
        <v>124983.03999999999</v>
      </c>
      <c r="DZ15" s="8">
        <f>Cement!EE15</f>
        <v>162864</v>
      </c>
      <c r="EA15" s="235">
        <f>Cement!EF15</f>
        <v>2340</v>
      </c>
      <c r="EB15" s="8">
        <f>Cement!EG15</f>
        <v>145093.51999999999</v>
      </c>
      <c r="EC15" s="411">
        <f>Cement!EH15</f>
        <v>33</v>
      </c>
      <c r="ED15" s="1338">
        <f>Cement!EI15</f>
        <v>28874</v>
      </c>
      <c r="EE15" s="821">
        <f>Cement!EJ15</f>
        <v>0.16153286713286713</v>
      </c>
      <c r="EF15" s="502">
        <f>Cement!EK15</f>
        <v>0.42899999999999999</v>
      </c>
      <c r="EG15" s="502">
        <f>Cement!EL15</f>
        <v>0</v>
      </c>
      <c r="EH15" s="510">
        <f>Cement!EM15</f>
        <v>27930</v>
      </c>
      <c r="EI15" s="435">
        <f>Cement!EN15</f>
        <v>2793</v>
      </c>
      <c r="EJ15" s="510">
        <f>Cement!EO15</f>
        <v>44720</v>
      </c>
      <c r="EK15" s="435">
        <f>Cement!EP15</f>
        <v>4472</v>
      </c>
      <c r="EL15" s="510">
        <f>Cement!EQ15</f>
        <v>48000</v>
      </c>
      <c r="EM15" s="435">
        <f>Cement!ER15</f>
        <v>4800</v>
      </c>
      <c r="EN15" s="510">
        <f>Cement!ES15</f>
        <v>123380</v>
      </c>
      <c r="EO15" s="435">
        <f>Cement!ET15</f>
        <v>12338</v>
      </c>
      <c r="EP15" s="510">
        <f>Cement!EU15</f>
        <v>149876</v>
      </c>
      <c r="EQ15" s="435">
        <f>Cement!EV15</f>
        <v>14988</v>
      </c>
      <c r="ER15" s="1610">
        <f>Cement!EW15</f>
        <v>149876</v>
      </c>
      <c r="ES15" s="834">
        <f>Cement!EX15</f>
        <v>14988</v>
      </c>
      <c r="ET15" s="835">
        <f>Cement!EY15</f>
        <v>4.3662728249194416</v>
      </c>
    </row>
    <row r="16" spans="1:150" ht="35" customHeight="1">
      <c r="A16" s="100">
        <f>Cement!A16</f>
        <v>21.545827737635289</v>
      </c>
      <c r="B16" s="100">
        <f>Cement!B16</f>
        <v>21.447230036077684</v>
      </c>
      <c r="C16" s="1585">
        <f ca="1">Cement!C16</f>
        <v>0.24974773242630391</v>
      </c>
      <c r="D16" s="1650">
        <f>Cement!D16</f>
        <v>0.37352305254327156</v>
      </c>
      <c r="E16" s="1412">
        <f>Cement!E16</f>
        <v>43.8</v>
      </c>
      <c r="F16" s="1413">
        <f>Cement!F16</f>
        <v>45.4</v>
      </c>
      <c r="G16" s="2125">
        <f>Cement!G16</f>
        <v>-15.986882557901206</v>
      </c>
      <c r="H16" s="2115">
        <f>Cement!H16</f>
        <v>0.75609756097560976</v>
      </c>
      <c r="I16" s="2301">
        <f>Cement!I16</f>
        <v>0.47826086956521741</v>
      </c>
      <c r="J16" s="2115">
        <f>Cement!J16</f>
        <v>0.28343313373253493</v>
      </c>
      <c r="K16" s="1942">
        <f>Cement!K16</f>
        <v>9</v>
      </c>
      <c r="L16" s="1575">
        <f>Cement!L16</f>
        <v>2</v>
      </c>
      <c r="M16" s="1587" t="str">
        <f>Cement!M16</f>
        <v>B</v>
      </c>
      <c r="N16" s="1587" t="str">
        <f>Cement!N16</f>
        <v>B</v>
      </c>
      <c r="O16" s="179" t="str">
        <f>Cement!O16</f>
        <v/>
      </c>
      <c r="P16" s="223" t="str">
        <f>Cement!P16</f>
        <v>مجتمع سيمان غرب آسيا</v>
      </c>
      <c r="Q16" s="1973" t="str">
        <f>Cement!Q16</f>
        <v>سجام</v>
      </c>
      <c r="R16" s="59">
        <f>Cement!R16</f>
        <v>9</v>
      </c>
      <c r="S16" s="66">
        <f>Cement!S16</f>
        <v>8820</v>
      </c>
      <c r="T16" s="258">
        <f>Cement!T16</f>
        <v>8820</v>
      </c>
      <c r="U16" s="338">
        <f>Cement!U16</f>
        <v>2.68</v>
      </c>
      <c r="V16" s="263">
        <f>Cement!V16</f>
        <v>8820</v>
      </c>
      <c r="W16" s="337">
        <f>Cement!W16</f>
        <v>2.68</v>
      </c>
      <c r="X16" s="661" t="str">
        <f>Cement!Y16</f>
        <v/>
      </c>
      <c r="Y16" s="1031">
        <f>Cement!Z16</f>
        <v>1.2061030515257629</v>
      </c>
      <c r="Z16" s="511">
        <f ca="1">Cement!AA16</f>
        <v>0.40684931506849314</v>
      </c>
      <c r="AA16" s="823">
        <f ca="1">Cement!AB16</f>
        <v>-48.439620391349692</v>
      </c>
      <c r="AB16" s="1150">
        <f>Cement!AD16</f>
        <v>3.4613050075872533</v>
      </c>
      <c r="AC16" s="1150">
        <f>Cement!AE16</f>
        <v>2.770842240273621</v>
      </c>
      <c r="AD16" s="1150">
        <f>Cement!AF16</f>
        <v>4.9393939393939394</v>
      </c>
      <c r="AE16" s="1150">
        <f>Cement!AG16</f>
        <v>7.2276119402985071</v>
      </c>
      <c r="AF16" s="275">
        <f ca="1">Cement!AH16</f>
        <v>200</v>
      </c>
      <c r="AG16" s="1120">
        <f>Cement!AI16</f>
        <v>46074</v>
      </c>
      <c r="AH16" s="1430">
        <f>Cement!AJ16</f>
        <v>46154</v>
      </c>
      <c r="AI16" s="23">
        <f>Cement!AK16</f>
        <v>1500000</v>
      </c>
      <c r="AJ16" s="23">
        <f>Cement!AL16</f>
        <v>1800000</v>
      </c>
      <c r="AK16" s="29">
        <f>Cement!AM16</f>
        <v>10000000000</v>
      </c>
      <c r="AL16" s="1225">
        <f>Cement!AN16</f>
        <v>0.1</v>
      </c>
      <c r="AM16" s="174">
        <f>Cement!AO16</f>
        <v>2082</v>
      </c>
      <c r="AN16" s="1010">
        <f>Cement!AP16</f>
        <v>1690</v>
      </c>
      <c r="AO16" s="1010">
        <f>Cement!AQ16</f>
        <v>1072</v>
      </c>
      <c r="AP16" s="766">
        <f>Cement!AR16</f>
        <v>2601.3310104529619</v>
      </c>
      <c r="AQ16" s="984">
        <f>Cement!AS16</f>
        <v>4</v>
      </c>
      <c r="AR16" s="6">
        <f>Cement!AT16</f>
        <v>3.3886460295051308</v>
      </c>
      <c r="AS16" s="99">
        <f>Cement!AU16</f>
        <v>-9.6232336182856173</v>
      </c>
      <c r="AT16" s="16">
        <f>Cement!AV16</f>
        <v>1140</v>
      </c>
      <c r="AU16" s="16">
        <f>Cement!AW16</f>
        <v>877</v>
      </c>
      <c r="AV16" s="1740">
        <f>Cement!AX16</f>
        <v>0.76900000000000002</v>
      </c>
      <c r="AW16" s="1363">
        <f>Cement!AY16</f>
        <v>0.33100000000000002</v>
      </c>
      <c r="AX16" s="1084">
        <f>Cement!AZ16</f>
        <v>0.63400000000000001</v>
      </c>
      <c r="AY16" s="1366">
        <f>Cement!BA16</f>
        <v>0.25600000000000001</v>
      </c>
      <c r="AZ16" s="99">
        <f>Cement!BB16</f>
        <v>10</v>
      </c>
      <c r="BA16" s="1740">
        <f>Cement!BC16</f>
        <v>0.76100000000000001</v>
      </c>
      <c r="BB16" s="1363">
        <f>Cement!BD16</f>
        <v>0.307</v>
      </c>
      <c r="BC16" s="1357">
        <f>Cement!BE16</f>
        <v>0.60799999999999998</v>
      </c>
      <c r="BD16" s="1367">
        <f>Cement!BF16</f>
        <v>0.23599999999999999</v>
      </c>
      <c r="BE16" s="306">
        <f>Cement!BG16</f>
        <v>8.0000000000000071E-3</v>
      </c>
      <c r="BF16" s="99">
        <f>Cement!BJ16</f>
        <v>0</v>
      </c>
      <c r="BG16" s="306">
        <f>Cement!BK16</f>
        <v>0.53924911861122005</v>
      </c>
      <c r="BH16" s="99">
        <f>Cement!BL16</f>
        <v>-5</v>
      </c>
      <c r="BI16" s="15">
        <f>Cement!BM16</f>
        <v>0</v>
      </c>
      <c r="BJ16" s="1356">
        <f>Cement!BN16</f>
        <v>3</v>
      </c>
      <c r="BK16" s="842">
        <f>Cement!BO16</f>
        <v>2</v>
      </c>
      <c r="BL16" s="16">
        <f>Cement!BP16</f>
        <v>280</v>
      </c>
      <c r="BM16" s="16">
        <f>Cement!BQ16</f>
        <v>898</v>
      </c>
      <c r="BN16" s="16">
        <f>Cement!BR16</f>
        <v>0</v>
      </c>
      <c r="BO16" s="1251">
        <f>Cement!BS16</f>
        <v>2008.612898954704</v>
      </c>
      <c r="BP16" s="1246">
        <f>Cement!BT16</f>
        <v>1796</v>
      </c>
      <c r="BQ16" s="406">
        <f>Cement!BU16</f>
        <v>0</v>
      </c>
      <c r="BR16" s="407">
        <f>Cement!BV16</f>
        <v>4.6364769474567282</v>
      </c>
      <c r="BS16" s="99">
        <f>Cement!BW16</f>
        <v>1.8176152627163589</v>
      </c>
      <c r="BT16" s="18">
        <f>Cement!BX16</f>
        <v>1902.3064494773521</v>
      </c>
      <c r="BU16" s="18">
        <f>Cement!BY16</f>
        <v>1760.4790419161677</v>
      </c>
      <c r="BV16" s="19">
        <f>Cement!BZ16</f>
        <v>2000.4235470383278</v>
      </c>
      <c r="BW16" s="266">
        <f>Cement!CB16</f>
        <v>1761</v>
      </c>
      <c r="BX16" s="267">
        <f>Cement!CC16</f>
        <v>5.01</v>
      </c>
      <c r="BY16" s="99">
        <f>Cement!CD16</f>
        <v>-2.9999999999999361E-2</v>
      </c>
      <c r="BZ16" s="17">
        <f>Cement!CE16</f>
        <v>0.65236597412628117</v>
      </c>
      <c r="CA16" s="99">
        <f>Cement!CF16</f>
        <v>5.3905361034948758</v>
      </c>
      <c r="CB16" s="103">
        <f>Cement!CG16</f>
        <v>0.4340192675056701</v>
      </c>
      <c r="CC16" s="99">
        <f>Cement!CH16</f>
        <v>0.51028901258505122</v>
      </c>
      <c r="CD16" s="20">
        <f>Cement!CI16</f>
        <v>0</v>
      </c>
      <c r="CE16" s="691">
        <f>Cement!CJ16</f>
        <v>1000</v>
      </c>
      <c r="CF16" s="419">
        <f>Cement!CK16</f>
        <v>281</v>
      </c>
      <c r="CG16" s="468">
        <f>Cement!CL16</f>
        <v>29</v>
      </c>
      <c r="CH16" s="843">
        <f>Cement!CM16</f>
        <v>30</v>
      </c>
      <c r="CI16" s="21">
        <f>Cement!CN16</f>
        <v>898</v>
      </c>
      <c r="CJ16" s="21">
        <f>Cement!CO16</f>
        <v>1</v>
      </c>
      <c r="CK16" s="469">
        <f>Cement!CP16</f>
        <v>898</v>
      </c>
      <c r="CL16" s="1239">
        <f>Cement!CQ16</f>
        <v>1155.7741910569107</v>
      </c>
      <c r="CM16" s="21">
        <f>Cement!CR16</f>
        <v>1179</v>
      </c>
      <c r="CN16" s="16">
        <f>Cement!CS16</f>
        <v>0</v>
      </c>
      <c r="CO16" s="154" t="str">
        <f>Cement!CT16</f>
        <v/>
      </c>
      <c r="CP16" s="693">
        <f>Cement!CU16</f>
        <v>2250</v>
      </c>
      <c r="CQ16" s="49">
        <f>Cement!CV16</f>
        <v>1188</v>
      </c>
      <c r="CR16" s="1389">
        <f>Cement!CW16</f>
        <v>0</v>
      </c>
      <c r="CS16" s="49">
        <f>Cement!CX16</f>
        <v>53</v>
      </c>
      <c r="CT16" s="53">
        <f>Cement!CY16</f>
        <v>1241</v>
      </c>
      <c r="CU16" s="6">
        <f>Cement!CZ16</f>
        <v>1.7954545454545454</v>
      </c>
      <c r="CV16" s="99">
        <f>Cement!DA16</f>
        <v>4.7636363636363637</v>
      </c>
      <c r="CW16" s="53">
        <f>Cement!DB16</f>
        <v>3491</v>
      </c>
      <c r="CX16" s="645">
        <f>Cement!DC16</f>
        <v>0.35548553423087942</v>
      </c>
      <c r="CY16" s="13">
        <f>Cement!DD16</f>
        <v>1358</v>
      </c>
      <c r="CZ16" s="24">
        <f>Cement!DE16</f>
        <v>1311</v>
      </c>
      <c r="DA16" s="24">
        <f>Cement!DF16</f>
        <v>1</v>
      </c>
      <c r="DB16" s="51">
        <f>Cement!DG16</f>
        <v>2133</v>
      </c>
      <c r="DC16" s="8">
        <f>Cement!DH16</f>
        <v>945</v>
      </c>
      <c r="DD16" s="644">
        <f>Cement!DI16</f>
        <v>2.7527312279925522</v>
      </c>
      <c r="DE16" s="22">
        <f>Cement!DJ16</f>
        <v>940</v>
      </c>
      <c r="DF16" s="1390">
        <f>Cement!DK16</f>
        <v>908</v>
      </c>
      <c r="DG16" s="22">
        <f>Cement!DL16</f>
        <v>36</v>
      </c>
      <c r="DH16" s="138">
        <f>Cement!DM16</f>
        <v>0.35548553423087942</v>
      </c>
      <c r="DI16" s="99">
        <f>Cement!DN16</f>
        <v>2.4464427772784108</v>
      </c>
      <c r="DJ16" s="138">
        <f>Cement!DO16</f>
        <v>4.4990472209371375E-3</v>
      </c>
      <c r="DK16" s="99">
        <f>Cement!DP16</f>
        <v>0</v>
      </c>
      <c r="DL16" s="1431">
        <f>Cement!DQ16</f>
        <v>9</v>
      </c>
      <c r="DM16" s="8">
        <f>Cement!DR16</f>
        <v>240</v>
      </c>
      <c r="DN16" s="23" t="str">
        <f>Cement!DS16</f>
        <v>G</v>
      </c>
      <c r="DO16" s="7">
        <f>Cement!DT16</f>
        <v>31.111111111111107</v>
      </c>
      <c r="DP16" s="8">
        <f>Cement!DU16</f>
        <v>14127.75</v>
      </c>
      <c r="DQ16" s="32">
        <f>Cement!DV16</f>
        <v>1.6017857142857144</v>
      </c>
      <c r="DR16" s="99">
        <f>Cement!DW16</f>
        <v>10</v>
      </c>
      <c r="DS16" s="14">
        <f>Cement!DX16</f>
        <v>1734.220673635308</v>
      </c>
      <c r="DT16" s="99">
        <f>Cement!DY16</f>
        <v>-9.9014022984423953</v>
      </c>
      <c r="DU16" s="103">
        <f>Cement!DZ16</f>
        <v>0.73128196366909459</v>
      </c>
      <c r="DV16" s="99">
        <f>Cement!EA16</f>
        <v>7.2213268507016215</v>
      </c>
      <c r="DW16" s="103">
        <f>Cement!EB16</f>
        <v>0.39506172839506171</v>
      </c>
      <c r="DX16" s="99">
        <f>Cement!EC16</f>
        <v>3.9506172839506171</v>
      </c>
      <c r="DY16" s="8">
        <f>Cement!ED16</f>
        <v>6621.36</v>
      </c>
      <c r="DZ16" s="8">
        <f>Cement!EE16</f>
        <v>6681.12</v>
      </c>
      <c r="EA16" s="235">
        <f>Cement!EF16</f>
        <v>281</v>
      </c>
      <c r="EB16" s="8">
        <f>Cement!EG16</f>
        <v>6791.74</v>
      </c>
      <c r="EC16" s="411">
        <f>Cement!EH16</f>
        <v>80</v>
      </c>
      <c r="ED16" s="1338">
        <f>Cement!EI16</f>
        <v>750</v>
      </c>
      <c r="EE16" s="821">
        <f>Cement!EJ16</f>
        <v>0.15796124684077506</v>
      </c>
      <c r="EF16" s="502">
        <f>Cement!EK16</f>
        <v>0</v>
      </c>
      <c r="EG16" s="502">
        <f>Cement!EL16</f>
        <v>0</v>
      </c>
      <c r="EH16" s="510">
        <f>Cement!EM16</f>
        <v>2030</v>
      </c>
      <c r="EI16" s="435">
        <f>Cement!EN16</f>
        <v>1072</v>
      </c>
      <c r="EJ16" s="510">
        <f>Cement!EO16</f>
        <v>2226</v>
      </c>
      <c r="EK16" s="435">
        <f>Cement!EP16</f>
        <v>1485</v>
      </c>
      <c r="EL16" s="510">
        <f>Cement!EQ16</f>
        <v>3508</v>
      </c>
      <c r="EM16" s="435">
        <f>Cement!ER16</f>
        <v>2339</v>
      </c>
      <c r="EN16" s="510">
        <f>Cement!ES16</f>
        <v>2965</v>
      </c>
      <c r="EO16" s="435">
        <f>Cement!ET16</f>
        <v>1977</v>
      </c>
      <c r="EP16" s="510">
        <f>Cement!EU16</f>
        <v>3998</v>
      </c>
      <c r="EQ16" s="435">
        <f>Cement!EV16</f>
        <v>3998</v>
      </c>
      <c r="ER16" s="1607">
        <f>Cement!EW16</f>
        <v>3998</v>
      </c>
      <c r="ES16" s="1608">
        <f>Cement!EX16</f>
        <v>3998</v>
      </c>
      <c r="ET16" s="1609">
        <f>Cement!EY16</f>
        <v>2.7294776119402986</v>
      </c>
    </row>
    <row r="17" spans="1:150" ht="35" customHeight="1">
      <c r="A17" s="100">
        <f>Cement!A17</f>
        <v>21.12491215339011</v>
      </c>
      <c r="B17" s="100">
        <f>Cement!B17</f>
        <v>21.12491215339011</v>
      </c>
      <c r="C17" s="1585">
        <f ca="1">Cement!C17</f>
        <v>0.24880034803489742</v>
      </c>
      <c r="D17" s="1650">
        <f>Cement!D17</f>
        <v>0.34741797534997865</v>
      </c>
      <c r="E17" s="1412">
        <f>Cement!E17</f>
        <v>18.700000000000006</v>
      </c>
      <c r="F17" s="1413">
        <f>Cement!F17</f>
        <v>19.700000000000006</v>
      </c>
      <c r="G17" s="2125">
        <f>Cement!G17</f>
        <v>-8.1807458742181396</v>
      </c>
      <c r="H17" s="2115">
        <f>Cement!H17</f>
        <v>-0.12585212375458835</v>
      </c>
      <c r="I17" s="2301">
        <f>Cement!I17</f>
        <v>-0.5544090056285178</v>
      </c>
      <c r="J17" s="2115">
        <f>Cement!J17</f>
        <v>-0.34624697336561744</v>
      </c>
      <c r="K17" s="1942">
        <f>Cement!K17</f>
        <v>29</v>
      </c>
      <c r="L17" s="1575">
        <f>Cement!L17</f>
        <v>5</v>
      </c>
      <c r="M17" s="1588" t="str">
        <f>Cement!M17</f>
        <v>SS</v>
      </c>
      <c r="N17" s="1587" t="str">
        <f>Cement!N17</f>
        <v>N</v>
      </c>
      <c r="O17" s="179" t="str">
        <f>Cement!O17</f>
        <v/>
      </c>
      <c r="P17" s="124" t="str">
        <f>Cement!P17</f>
        <v>بين المللي ساروج بوشهر</v>
      </c>
      <c r="Q17" s="1973" t="str">
        <f>Cement!Q17</f>
        <v>ساروج</v>
      </c>
      <c r="R17" s="59">
        <f>Cement!R17</f>
        <v>9</v>
      </c>
      <c r="S17" s="66">
        <f>Cement!S17</f>
        <v>7663.46</v>
      </c>
      <c r="T17" s="258">
        <f>Cement!T17</f>
        <v>57170</v>
      </c>
      <c r="U17" s="338">
        <f>Cement!U17</f>
        <v>2.95</v>
      </c>
      <c r="V17" s="263">
        <f>Cement!V17</f>
        <v>57190</v>
      </c>
      <c r="W17" s="337">
        <f>Cement!W17</f>
        <v>2.99</v>
      </c>
      <c r="X17" s="661" t="str">
        <f>Cement!Y17</f>
        <v/>
      </c>
      <c r="Y17" s="1031">
        <f>Cement!Z17</f>
        <v>4.3073363277528247E-2</v>
      </c>
      <c r="Z17" s="511">
        <f ca="1">Cement!AA17</f>
        <v>0.16027397260273973</v>
      </c>
      <c r="AA17" s="823">
        <f ca="1">Cement!AB17</f>
        <v>18.030862973109461</v>
      </c>
      <c r="AB17" s="1150">
        <f>Cement!AD17</f>
        <v>0.39057521320994376</v>
      </c>
      <c r="AC17" s="1150">
        <f>Cement!AE17</f>
        <v>0.51721639279350629</v>
      </c>
      <c r="AD17" s="1150">
        <f>Cement!AF17</f>
        <v>0.87508196721311471</v>
      </c>
      <c r="AE17" s="1150">
        <f>Cement!AG17</f>
        <v>2.856799194765979</v>
      </c>
      <c r="AF17" s="275">
        <f ca="1">Cement!AH17</f>
        <v>300</v>
      </c>
      <c r="AG17" s="1120">
        <f>Cement!AI17</f>
        <v>46174</v>
      </c>
      <c r="AH17" s="1430">
        <f>Cement!AJ17</f>
        <v>46270</v>
      </c>
      <c r="AI17" s="23">
        <f>Cement!AK17</f>
        <v>1800000</v>
      </c>
      <c r="AJ17" s="23">
        <f>Cement!AL17</f>
        <v>625000</v>
      </c>
      <c r="AK17" s="29">
        <f>Cement!AM17</f>
        <v>1340000000</v>
      </c>
      <c r="AL17" s="1225">
        <f>Cement!AN17</f>
        <v>0.14910000000000001</v>
      </c>
      <c r="AM17" s="174">
        <f>Cement!AO17</f>
        <v>2897</v>
      </c>
      <c r="AN17" s="1010">
        <f>Cement!AP17</f>
        <v>3079</v>
      </c>
      <c r="AO17" s="1010">
        <f>Cement!AQ17</f>
        <v>1277</v>
      </c>
      <c r="AP17" s="766">
        <f>Cement!AR17</f>
        <v>2769.9292269083826</v>
      </c>
      <c r="AQ17" s="984">
        <f>Cement!AS17</f>
        <v>4</v>
      </c>
      <c r="AR17" s="6">
        <f>Cement!AT17</f>
        <v>2.7649262391256451</v>
      </c>
      <c r="AS17" s="99">
        <f>Cement!AU17</f>
        <v>-3.3860357144907605</v>
      </c>
      <c r="AT17" s="16">
        <f>Cement!AV17</f>
        <v>1541</v>
      </c>
      <c r="AU17" s="16">
        <f>Cement!AW17</f>
        <v>862</v>
      </c>
      <c r="AV17" s="1740">
        <f>Cement!AX17</f>
        <v>0.55900000000000005</v>
      </c>
      <c r="AW17" s="1363">
        <f>Cement!AY17</f>
        <v>0.372</v>
      </c>
      <c r="AX17" s="1084">
        <f>Cement!AZ17</f>
        <v>0.41499999999999998</v>
      </c>
      <c r="AY17" s="1366">
        <f>Cement!BA17</f>
        <v>0.432</v>
      </c>
      <c r="AZ17" s="99">
        <f>Cement!BB17</f>
        <v>10</v>
      </c>
      <c r="BA17" s="1740">
        <f>Cement!BC17</f>
        <v>0.55400000000000005</v>
      </c>
      <c r="BB17" s="1363">
        <f>Cement!BD17</f>
        <v>0.35699999999999998</v>
      </c>
      <c r="BC17" s="1357">
        <f>Cement!BE17</f>
        <v>0.39900000000000002</v>
      </c>
      <c r="BD17" s="1367">
        <f>Cement!BF17</f>
        <v>0.41399999999999998</v>
      </c>
      <c r="BE17" s="306">
        <f>Cement!BG17</f>
        <v>5.0000000000000044E-3</v>
      </c>
      <c r="BF17" s="99">
        <f>Cement!BJ17</f>
        <v>0</v>
      </c>
      <c r="BG17" s="306">
        <f>Cement!BK17</f>
        <v>-0.10038024458967762</v>
      </c>
      <c r="BH17" s="99">
        <f>Cement!BL17</f>
        <v>-4.303608236016176</v>
      </c>
      <c r="BI17" s="15">
        <f>Cement!BM17</f>
        <v>0</v>
      </c>
      <c r="BJ17" s="1356">
        <f>Cement!BN17</f>
        <v>3</v>
      </c>
      <c r="BK17" s="842">
        <f>Cement!BO17</f>
        <v>2</v>
      </c>
      <c r="BL17" s="16">
        <f>Cement!BP17</f>
        <v>4482</v>
      </c>
      <c r="BM17" s="16">
        <f>Cement!BQ17</f>
        <v>6527</v>
      </c>
      <c r="BN17" s="16">
        <f>Cement!BR17</f>
        <v>0</v>
      </c>
      <c r="BO17" s="1251">
        <f>Cement!BS17</f>
        <v>12168.214863486897</v>
      </c>
      <c r="BP17" s="1246">
        <f>Cement!BT17</f>
        <v>13462.686567164179</v>
      </c>
      <c r="BQ17" s="406">
        <f>Cement!BU17</f>
        <v>0</v>
      </c>
      <c r="BR17" s="407">
        <f>Cement!BV17</f>
        <v>4.462582024650021</v>
      </c>
      <c r="BS17" s="99">
        <f>Cement!BW17</f>
        <v>2.6870898767498952</v>
      </c>
      <c r="BT17" s="18">
        <f>Cement!BX17</f>
        <v>1717.2703958536222</v>
      </c>
      <c r="BU17" s="18">
        <f>Cement!BY17</f>
        <v>1593.2349272349275</v>
      </c>
      <c r="BV17" s="19">
        <f>Cement!BZ17</f>
        <v>1548.390437841786</v>
      </c>
      <c r="BW17" s="266">
        <f>Cement!CB17</f>
        <v>11890</v>
      </c>
      <c r="BX17" s="267">
        <f>Cement!CC17</f>
        <v>4.8099999999999996</v>
      </c>
      <c r="BY17" s="99">
        <f>Cement!CD17</f>
        <v>0.57000000000000117</v>
      </c>
      <c r="BZ17" s="17">
        <f>Cement!CE17</f>
        <v>1.1203826751136745</v>
      </c>
      <c r="CA17" s="99">
        <f>Cement!CF17</f>
        <v>3.518469299545302</v>
      </c>
      <c r="CB17" s="103">
        <f>Cement!CG17</f>
        <v>0.4078058408581387</v>
      </c>
      <c r="CC17" s="99">
        <f>Cement!CH17</f>
        <v>0.11708761287208019</v>
      </c>
      <c r="CD17" s="20">
        <f>Cement!CI17</f>
        <v>0</v>
      </c>
      <c r="CE17" s="691">
        <f>Cement!CJ17</f>
        <v>134</v>
      </c>
      <c r="CF17" s="419">
        <f>Cement!CK17</f>
        <v>794</v>
      </c>
      <c r="CG17" s="468">
        <f>Cement!CL17</f>
        <v>96</v>
      </c>
      <c r="CH17" s="843">
        <f>Cement!CM17</f>
        <v>25</v>
      </c>
      <c r="CI17" s="21">
        <f>Cement!CN17</f>
        <v>879</v>
      </c>
      <c r="CJ17" s="21">
        <f>Cement!CO17</f>
        <v>1</v>
      </c>
      <c r="CK17" s="469">
        <f>Cement!CP17</f>
        <v>902</v>
      </c>
      <c r="CL17" s="1239">
        <f>Cement!CQ17</f>
        <v>896.14879516255917</v>
      </c>
      <c r="CM17" s="21">
        <f>Cement!CR17</f>
        <v>1673</v>
      </c>
      <c r="CN17" s="16">
        <f>Cement!CS17</f>
        <v>0</v>
      </c>
      <c r="CO17" s="154" t="str">
        <f>Cement!CT17</f>
        <v/>
      </c>
      <c r="CP17" s="693">
        <f>Cement!CU17</f>
        <v>1820</v>
      </c>
      <c r="CQ17" s="49">
        <f>Cement!CV17</f>
        <v>1757</v>
      </c>
      <c r="CR17" s="1389">
        <f>Cement!CW17</f>
        <v>161</v>
      </c>
      <c r="CS17" s="49">
        <f>Cement!CX17</f>
        <v>167</v>
      </c>
      <c r="CT17" s="53">
        <f>Cement!CY17</f>
        <v>1924</v>
      </c>
      <c r="CU17" s="6">
        <f>Cement!CZ17</f>
        <v>1.36084234490609</v>
      </c>
      <c r="CV17" s="99">
        <f>Cement!DA17</f>
        <v>1.2867387592487205</v>
      </c>
      <c r="CW17" s="53">
        <f>Cement!DB17</f>
        <v>3744</v>
      </c>
      <c r="CX17" s="645">
        <f>Cement!DC17</f>
        <v>0.51388888888888884</v>
      </c>
      <c r="CY17" s="13">
        <f>Cement!DD17</f>
        <v>1353</v>
      </c>
      <c r="CZ17" s="24">
        <f>Cement!DE17</f>
        <v>1297</v>
      </c>
      <c r="DA17" s="24">
        <f>Cement!DF17</f>
        <v>39</v>
      </c>
      <c r="DB17" s="51">
        <f>Cement!DG17</f>
        <v>2391</v>
      </c>
      <c r="DC17" s="8">
        <f>Cement!DH17</f>
        <v>634</v>
      </c>
      <c r="DD17" s="644">
        <f>Cement!DI17</f>
        <v>4.3689735440195312</v>
      </c>
      <c r="DE17" s="22">
        <f>Cement!DJ17</f>
        <v>1421</v>
      </c>
      <c r="DF17" s="1390">
        <f>Cement!DK17</f>
        <v>120</v>
      </c>
      <c r="DG17" s="22">
        <f>Cement!DL17</f>
        <v>499</v>
      </c>
      <c r="DH17" s="138">
        <f>Cement!DM17</f>
        <v>0.51388888888888884</v>
      </c>
      <c r="DI17" s="99">
        <f>Cement!DN17</f>
        <v>0.86240923069831665</v>
      </c>
      <c r="DJ17" s="138">
        <f>Cement!DO17</f>
        <v>2.7124941470538545E-2</v>
      </c>
      <c r="DK17" s="99">
        <f>Cement!DP17</f>
        <v>0</v>
      </c>
      <c r="DL17" s="1431">
        <f>Cement!DQ17</f>
        <v>203</v>
      </c>
      <c r="DM17" s="8">
        <f>Cement!DR17</f>
        <v>148</v>
      </c>
      <c r="DN17" s="23" t="str">
        <f>Cement!DS17</f>
        <v>G</v>
      </c>
      <c r="DO17" s="7">
        <f>Cement!DT17</f>
        <v>22.526337448559673</v>
      </c>
      <c r="DP17" s="8">
        <f>Cement!DU17</f>
        <v>16523.325000000001</v>
      </c>
      <c r="DQ17" s="32">
        <f>Cement!DV17</f>
        <v>2.156118124189335</v>
      </c>
      <c r="DR17" s="99">
        <f>Cement!DW17</f>
        <v>10</v>
      </c>
      <c r="DS17" s="14">
        <f>Cement!DX17</f>
        <v>1538.8495705046571</v>
      </c>
      <c r="DT17" s="99">
        <f>Cement!DY17</f>
        <v>-10</v>
      </c>
      <c r="DU17" s="103">
        <f>Cement!DZ17</f>
        <v>0.61996905161736904</v>
      </c>
      <c r="DV17" s="99">
        <f>Cement!EA17</f>
        <v>3.8819394891498549</v>
      </c>
      <c r="DW17" s="103">
        <f>Cement!EB17</f>
        <v>0.58908218356328734</v>
      </c>
      <c r="DX17" s="99">
        <f>Cement!EC17</f>
        <v>5.8908218356328739</v>
      </c>
      <c r="DY17" s="8">
        <f>Cement!ED17</f>
        <v>44706.400000000001</v>
      </c>
      <c r="DZ17" s="8">
        <f>Cement!EE17</f>
        <v>50081.194029850747</v>
      </c>
      <c r="EA17" s="235">
        <f>Cement!EF17</f>
        <v>5925.373134328358</v>
      </c>
      <c r="EB17" s="8">
        <f>Cement!EG17</f>
        <v>50356.483582089553</v>
      </c>
      <c r="EC17" s="411">
        <f>Cement!EH17</f>
        <v>96</v>
      </c>
      <c r="ED17" s="1338">
        <f>Cement!EI17</f>
        <v>8120</v>
      </c>
      <c r="EE17" s="821">
        <f>Cement!EJ17</f>
        <v>0.12899126290706911</v>
      </c>
      <c r="EF17" s="502">
        <f>Cement!EK17</f>
        <v>0</v>
      </c>
      <c r="EG17" s="502">
        <f>Cement!EL17</f>
        <v>0</v>
      </c>
      <c r="EH17" s="510">
        <f>Cement!EM17</f>
        <v>14830</v>
      </c>
      <c r="EI17" s="435">
        <f>Cement!EN17</f>
        <v>1987</v>
      </c>
      <c r="EJ17" s="510">
        <f>Cement!EO17</f>
        <v>30500</v>
      </c>
      <c r="EK17" s="435">
        <f>Cement!EP17</f>
        <v>4087</v>
      </c>
      <c r="EL17" s="510">
        <f>Cement!EQ17</f>
        <v>37691</v>
      </c>
      <c r="EM17" s="435">
        <f>Cement!ER17</f>
        <v>5051</v>
      </c>
      <c r="EN17" s="510">
        <f>Cement!ES17</f>
        <v>41128</v>
      </c>
      <c r="EO17" s="435">
        <f>Cement!ET17</f>
        <v>5511</v>
      </c>
      <c r="EP17" s="510">
        <f>Cement!EU17</f>
        <v>54830</v>
      </c>
      <c r="EQ17" s="435">
        <f>Cement!EV17</f>
        <v>7347</v>
      </c>
      <c r="ER17" s="1607">
        <f>Cement!EW17</f>
        <v>54830</v>
      </c>
      <c r="ES17" s="1608">
        <f>Cement!EX17</f>
        <v>7347</v>
      </c>
      <c r="ET17" s="1609">
        <f>Cement!EY17</f>
        <v>2.6975339708102668</v>
      </c>
    </row>
    <row r="18" spans="1:150" ht="35" customHeight="1">
      <c r="A18" s="100">
        <f>Cement!A18</f>
        <v>16.477230296443544</v>
      </c>
      <c r="B18" s="100">
        <f>Cement!B18</f>
        <v>10.354331926451188</v>
      </c>
      <c r="C18" s="1585">
        <f ca="1">Cement!C18</f>
        <v>0.19890082225128208</v>
      </c>
      <c r="D18" s="1650">
        <f>Cement!D18</f>
        <v>-1.513668354090318</v>
      </c>
      <c r="E18" s="1412">
        <f>Cement!E18</f>
        <v>-7.7999999999999954</v>
      </c>
      <c r="F18" s="1413">
        <f>Cement!F18</f>
        <v>-6.5</v>
      </c>
      <c r="G18" s="2125">
        <f>Cement!G18</f>
        <v>3.737296483410474</v>
      </c>
      <c r="H18" s="2115">
        <f>Cement!H18</f>
        <v>0.20092112838226828</v>
      </c>
      <c r="I18" s="2301">
        <f>Cement!I18</f>
        <v>0.57452574525745259</v>
      </c>
      <c r="J18" s="2115">
        <f>Cement!J18</f>
        <v>0.76657824933687002</v>
      </c>
      <c r="K18" s="1942">
        <f>Cement!K18</f>
        <v>27</v>
      </c>
      <c r="L18" s="1575">
        <f>Cement!L18</f>
        <v>8</v>
      </c>
      <c r="M18" s="1587" t="str">
        <f>Cement!M18</f>
        <v>S</v>
      </c>
      <c r="N18" s="1587" t="str">
        <f>Cement!N18</f>
        <v>N</v>
      </c>
      <c r="O18" s="179" t="str">
        <f>Cement!O18</f>
        <v/>
      </c>
      <c r="P18" s="223" t="str">
        <f>Cement!P18</f>
        <v>سیمان هگمتان</v>
      </c>
      <c r="Q18" s="1973" t="str">
        <f>Cement!Q18</f>
        <v>سهگمت</v>
      </c>
      <c r="R18" s="59">
        <f>Cement!R18</f>
        <v>10</v>
      </c>
      <c r="S18" s="66">
        <f>Cement!S18</f>
        <v>9889.6667300000008</v>
      </c>
      <c r="T18" s="258">
        <f>Cement!T18</f>
        <v>135700</v>
      </c>
      <c r="U18" s="338">
        <f>Cement!U18</f>
        <v>2.96</v>
      </c>
      <c r="V18" s="263">
        <f>Cement!V18</f>
        <v>135700</v>
      </c>
      <c r="W18" s="337">
        <f>Cement!W18</f>
        <v>2.96</v>
      </c>
      <c r="X18" s="661" t="str">
        <f>Cement!Y18</f>
        <v/>
      </c>
      <c r="Y18" s="1031">
        <f>Cement!Z18</f>
        <v>-0.18145450008276767</v>
      </c>
      <c r="Z18" s="511">
        <f ca="1">Cement!AA18</f>
        <v>0.11095890410958904</v>
      </c>
      <c r="AA18" s="823">
        <f ca="1">Cement!AB18</f>
        <v>64.980756487190376</v>
      </c>
      <c r="AB18" s="1150">
        <f>Cement!AD18</f>
        <v>3.1893440108514276E-2</v>
      </c>
      <c r="AC18" s="1150">
        <f>Cement!AE18</f>
        <v>1.3302702002827522</v>
      </c>
      <c r="AD18" s="1150">
        <f>Cement!AF18</f>
        <v>1.7433194812760058</v>
      </c>
      <c r="AE18" s="1150">
        <f>Cement!AG18</f>
        <v>4.159695817490495</v>
      </c>
      <c r="AF18" s="275">
        <f ca="1">Cement!AH18</f>
        <v>320</v>
      </c>
      <c r="AG18" s="1120">
        <f>Cement!AI18</f>
        <v>46194</v>
      </c>
      <c r="AH18" s="1430">
        <f>Cement!AJ18</f>
        <v>46279</v>
      </c>
      <c r="AI18" s="23">
        <f>Cement!AK18</f>
        <v>2000000</v>
      </c>
      <c r="AJ18" s="23">
        <f>Cement!AL18</f>
        <v>2050000</v>
      </c>
      <c r="AK18" s="29">
        <f>Cement!AM18</f>
        <v>728789000</v>
      </c>
      <c r="AL18" s="1225">
        <f>Cement!AN18</f>
        <v>0.3029</v>
      </c>
      <c r="AM18" s="174">
        <f>Cement!AO18</f>
        <v>3479</v>
      </c>
      <c r="AN18" s="1010">
        <f>Cement!AP18</f>
        <v>3363</v>
      </c>
      <c r="AO18" s="1010">
        <f>Cement!AQ18</f>
        <v>1641</v>
      </c>
      <c r="AP18" s="766">
        <f>Cement!AR18</f>
        <v>3990.348877374784</v>
      </c>
      <c r="AQ18" s="984">
        <f>Cement!AS18</f>
        <v>4</v>
      </c>
      <c r="AR18" s="6">
        <f>Cement!AT18</f>
        <v>1.4601446913667349</v>
      </c>
      <c r="AS18" s="99">
        <f>Cement!AU18</f>
        <v>9.6617797630983411</v>
      </c>
      <c r="AT18" s="16">
        <f>Cement!AV18</f>
        <v>754</v>
      </c>
      <c r="AU18" s="16">
        <f>Cement!AW18</f>
        <v>301</v>
      </c>
      <c r="AV18" s="1740">
        <f>Cement!AX18</f>
        <v>0.39900000000000002</v>
      </c>
      <c r="AW18" s="1363">
        <f>Cement!AY18</f>
        <v>0.47699999999999998</v>
      </c>
      <c r="AX18" s="1084">
        <f>Cement!AZ18</f>
        <v>0.48799999999999999</v>
      </c>
      <c r="AY18" s="1366">
        <f>Cement!BA18</f>
        <v>0.46300000000000002</v>
      </c>
      <c r="AZ18" s="99">
        <f>Cement!BB18</f>
        <v>-6.5</v>
      </c>
      <c r="BA18" s="1740">
        <f>Cement!BC18</f>
        <v>0.32400000000000001</v>
      </c>
      <c r="BB18" s="1363">
        <f>Cement!BD18</f>
        <v>0.38900000000000001</v>
      </c>
      <c r="BC18" s="1357">
        <f>Cement!BE18</f>
        <v>0.433</v>
      </c>
      <c r="BD18" s="1367">
        <f>Cement!BF18</f>
        <v>0.40600000000000003</v>
      </c>
      <c r="BE18" s="306">
        <f>Cement!BG18</f>
        <v>7.5000000000000011E-2</v>
      </c>
      <c r="BF18" s="99">
        <f>Cement!BJ18</f>
        <v>0</v>
      </c>
      <c r="BG18" s="306">
        <f>Cement!BK18</f>
        <v>0.18654441789318585</v>
      </c>
      <c r="BH18" s="99">
        <f>Cement!BL18</f>
        <v>5</v>
      </c>
      <c r="BI18" s="15">
        <f>Cement!BM18</f>
        <v>0</v>
      </c>
      <c r="BJ18" s="1356">
        <f>Cement!BN18</f>
        <v>1</v>
      </c>
      <c r="BK18" s="842">
        <f>Cement!BO18</f>
        <v>1</v>
      </c>
      <c r="BL18" s="16">
        <f>Cement!BP18</f>
        <v>4483</v>
      </c>
      <c r="BM18" s="16">
        <f>Cement!BQ18</f>
        <v>0</v>
      </c>
      <c r="BN18" s="16">
        <f>Cement!BR18</f>
        <v>0</v>
      </c>
      <c r="BO18" s="1251">
        <f>Cement!BS18</f>
        <v>22816.933793861186</v>
      </c>
      <c r="BP18" s="1246">
        <f>Cement!BT18</f>
        <v>18468.994455185246</v>
      </c>
      <c r="BQ18" s="406">
        <f>Cement!BU18</f>
        <v>0</v>
      </c>
      <c r="BR18" s="407">
        <f>Cement!BV18</f>
        <v>6.5736683540903176</v>
      </c>
      <c r="BS18" s="99">
        <f>Cement!BW18</f>
        <v>-7.8683417704515879</v>
      </c>
      <c r="BT18" s="18">
        <f>Cement!BX18</f>
        <v>1504.436518134715</v>
      </c>
      <c r="BU18" s="18">
        <f>Cement!BY18</f>
        <v>1954.4795909090913</v>
      </c>
      <c r="BV18" s="19">
        <f>Cement!BZ18</f>
        <v>1592.1492020725389</v>
      </c>
      <c r="BW18" s="266">
        <f>Cement!CB18</f>
        <v>26819</v>
      </c>
      <c r="BX18" s="267">
        <f>Cement!CC18</f>
        <v>5.0599999999999996</v>
      </c>
      <c r="BY18" s="99">
        <f>Cement!CD18</f>
        <v>-0.17999999999999883</v>
      </c>
      <c r="BZ18" s="17">
        <f>Cement!CE18</f>
        <v>0.55037217590716359</v>
      </c>
      <c r="CA18" s="99">
        <f>Cement!CF18</f>
        <v>5.7985112963713457</v>
      </c>
      <c r="CB18" s="103">
        <f>Cement!CG18</f>
        <v>0.28476935796606379</v>
      </c>
      <c r="CC18" s="99">
        <f>Cement!CH18</f>
        <v>-1.7284596305090436</v>
      </c>
      <c r="CD18" s="20">
        <f>Cement!CI18</f>
        <v>0</v>
      </c>
      <c r="CE18" s="691">
        <f>Cement!CJ18</f>
        <v>72.878900000000002</v>
      </c>
      <c r="CF18" s="419">
        <f>Cement!CK18</f>
        <v>619</v>
      </c>
      <c r="CG18" s="468">
        <f>Cement!CL18</f>
        <v>370</v>
      </c>
      <c r="CH18" s="843">
        <f>Cement!CM18</f>
        <v>83</v>
      </c>
      <c r="CI18" s="21">
        <f>Cement!CN18</f>
        <v>327</v>
      </c>
      <c r="CJ18" s="21">
        <f>Cement!CO18</f>
        <v>803</v>
      </c>
      <c r="CK18" s="469">
        <f>Cement!CP18</f>
        <v>336.5</v>
      </c>
      <c r="CL18" s="1239">
        <f>Cement!CQ18</f>
        <v>1449.436518134715</v>
      </c>
      <c r="CM18" s="21">
        <f>Cement!CR18</f>
        <v>2472</v>
      </c>
      <c r="CN18" s="16">
        <f>Cement!CS18</f>
        <v>-80</v>
      </c>
      <c r="CO18" s="154" t="str">
        <f>Cement!CT18</f>
        <v>Check RE</v>
      </c>
      <c r="CP18" s="693">
        <f>Cement!CU18</f>
        <v>2588</v>
      </c>
      <c r="CQ18" s="49">
        <f>Cement!CV18</f>
        <v>635</v>
      </c>
      <c r="CR18" s="1389">
        <f>Cement!CW18</f>
        <v>106</v>
      </c>
      <c r="CS18" s="49">
        <f>Cement!CX18</f>
        <v>193</v>
      </c>
      <c r="CT18" s="53">
        <f>Cement!CY18</f>
        <v>828</v>
      </c>
      <c r="CU18" s="6">
        <f>Cement!CZ18</f>
        <v>4.2440944881889759</v>
      </c>
      <c r="CV18" s="99">
        <f>Cement!DA18</f>
        <v>6</v>
      </c>
      <c r="CW18" s="53">
        <f>Cement!DB18</f>
        <v>3416</v>
      </c>
      <c r="CX18" s="645">
        <f>Cement!DC18</f>
        <v>0.2423887587822014</v>
      </c>
      <c r="CY18" s="13">
        <f>Cement!DD18</f>
        <v>721</v>
      </c>
      <c r="CZ18" s="24">
        <f>Cement!DE18</f>
        <v>505</v>
      </c>
      <c r="DA18" s="24">
        <f>Cement!DF18</f>
        <v>160</v>
      </c>
      <c r="DB18" s="51">
        <f>Cement!DG18</f>
        <v>2695</v>
      </c>
      <c r="DC18" s="8">
        <f>Cement!DH18</f>
        <v>2060</v>
      </c>
      <c r="DD18" s="644">
        <f>Cement!DI18</f>
        <v>1.9370625618324195</v>
      </c>
      <c r="DE18" s="22">
        <f>Cement!DJ18</f>
        <v>701</v>
      </c>
      <c r="DF18" s="1390">
        <f>Cement!DK18</f>
        <v>164</v>
      </c>
      <c r="DG18" s="22">
        <f>Cement!DL18</f>
        <v>232</v>
      </c>
      <c r="DH18" s="138">
        <f>Cement!DM18</f>
        <v>0.2423887587822014</v>
      </c>
      <c r="DI18" s="99">
        <f>Cement!DN18</f>
        <v>3.577410531765191</v>
      </c>
      <c r="DJ18" s="138">
        <f>Cement!DO18</f>
        <v>0.76374751714041844</v>
      </c>
      <c r="DK18" s="99">
        <f>Cement!DP18</f>
        <v>3</v>
      </c>
      <c r="DL18" s="1431">
        <f>Cement!DQ18</f>
        <v>1322</v>
      </c>
      <c r="DM18" s="8">
        <f>Cement!DR18</f>
        <v>276</v>
      </c>
      <c r="DN18" s="23" t="str">
        <f>Cement!DS18</f>
        <v>G</v>
      </c>
      <c r="DO18" s="7">
        <f>Cement!DT18</f>
        <v>26.1631394973545</v>
      </c>
      <c r="DP18" s="8">
        <f>Cement!DU18</f>
        <v>18120.375</v>
      </c>
      <c r="DQ18" s="32">
        <f>Cement!DV18</f>
        <v>1.8322533503613825</v>
      </c>
      <c r="DR18" s="99">
        <f>Cement!DW18</f>
        <v>10</v>
      </c>
      <c r="DS18" s="14">
        <f>Cement!DX18</f>
        <v>1995.1744386873922</v>
      </c>
      <c r="DT18" s="99">
        <f>Cement!DY18</f>
        <v>-6.8771016300076457</v>
      </c>
      <c r="DU18" s="103">
        <f>Cement!DZ18</f>
        <v>0.37701879318493853</v>
      </c>
      <c r="DV18" s="99">
        <f>Cement!EA18</f>
        <v>-3.4065682638230603</v>
      </c>
      <c r="DW18" s="103">
        <f>Cement!EB18</f>
        <v>0</v>
      </c>
      <c r="DX18" s="99">
        <f>Cement!EC18</f>
        <v>0</v>
      </c>
      <c r="DY18" s="8">
        <f>Cement!ED18</f>
        <v>99766.68</v>
      </c>
      <c r="DZ18" s="8">
        <f>Cement!EE18</f>
        <v>67965.899595081704</v>
      </c>
      <c r="EA18" s="235">
        <f>Cement!EF18</f>
        <v>29432.387151836814</v>
      </c>
      <c r="EB18" s="8">
        <f>Cement!EG18</f>
        <v>98582.483373459254</v>
      </c>
      <c r="EC18" s="411">
        <f>Cement!EH18</f>
        <v>85</v>
      </c>
      <c r="ED18" s="1338">
        <f>Cement!EI18</f>
        <v>22700</v>
      </c>
      <c r="EE18" s="821">
        <f>Cement!EJ18</f>
        <v>0.12043718166383702</v>
      </c>
      <c r="EF18" s="502">
        <f>Cement!EK18</f>
        <v>0</v>
      </c>
      <c r="EG18" s="502">
        <f>Cement!EL18</f>
        <v>0</v>
      </c>
      <c r="EH18" s="510">
        <f>Cement!EM18</f>
        <v>26300</v>
      </c>
      <c r="EI18" s="435">
        <f>Cement!EN18</f>
        <v>1916.71507</v>
      </c>
      <c r="EJ18" s="510">
        <f>Cement!EO18</f>
        <v>49470</v>
      </c>
      <c r="EK18" s="435">
        <f>Cement!EP18</f>
        <v>3605</v>
      </c>
      <c r="EL18" s="510">
        <f>Cement!EQ18</f>
        <v>58230</v>
      </c>
      <c r="EM18" s="435">
        <f>Cement!ER18</f>
        <v>4244</v>
      </c>
      <c r="EN18" s="510">
        <f>Cement!ES18</f>
        <v>131500</v>
      </c>
      <c r="EO18" s="435">
        <f>Cement!ET18</f>
        <v>9584</v>
      </c>
      <c r="EP18" s="510">
        <f>Cement!EU18</f>
        <v>165780</v>
      </c>
      <c r="EQ18" s="435">
        <f>Cement!EV18</f>
        <v>12082</v>
      </c>
      <c r="ER18" s="1607">
        <f>Cement!EW18</f>
        <v>165780</v>
      </c>
      <c r="ES18" s="1608">
        <f>Cement!EX18</f>
        <v>12082</v>
      </c>
      <c r="ET18" s="1609">
        <f>Cement!EY18</f>
        <v>5.3034929860493039</v>
      </c>
    </row>
    <row r="19" spans="1:150" ht="35" customHeight="1">
      <c r="A19" s="100">
        <f>Cement!A19</f>
        <v>15.202117459117378</v>
      </c>
      <c r="B19" s="100">
        <f>Cement!B19</f>
        <v>6.7690925595276914</v>
      </c>
      <c r="C19" s="1585">
        <f ca="1">Cement!C19</f>
        <v>0.1396433530988635</v>
      </c>
      <c r="D19" s="1650">
        <f>Cement!D19</f>
        <v>0.81415005617275593</v>
      </c>
      <c r="E19" s="1412">
        <f>Cement!E19</f>
        <v>2.7999999999999914</v>
      </c>
      <c r="F19" s="1413">
        <f>Cement!F19</f>
        <v>0.50000000000000044</v>
      </c>
      <c r="G19" s="2125">
        <f>Cement!G19</f>
        <v>2.5032616937221808</v>
      </c>
      <c r="H19" s="2115">
        <f>Cement!H19</f>
        <v>0.32444696539988654</v>
      </c>
      <c r="I19" s="2301">
        <f>Cement!I19</f>
        <v>0.7857142857142857</v>
      </c>
      <c r="J19" s="2115">
        <f>Cement!J19</f>
        <v>0.50529747351263243</v>
      </c>
      <c r="K19" s="1942">
        <f>Cement!K19</f>
        <v>25</v>
      </c>
      <c r="L19" s="1575">
        <f>Cement!L19</f>
        <v>15</v>
      </c>
      <c r="M19" s="1582" t="str">
        <f>Cement!M19</f>
        <v>N</v>
      </c>
      <c r="N19" s="1582" t="str">
        <f>Cement!N19</f>
        <v>N</v>
      </c>
      <c r="O19" s="179" t="str">
        <f>Cement!O19</f>
        <v/>
      </c>
      <c r="P19" s="223" t="str">
        <f>Cement!P19</f>
        <v>سيمان‌ صوفيان‌</v>
      </c>
      <c r="Q19" s="1973" t="str">
        <f>Cement!Q19</f>
        <v>سصوفي</v>
      </c>
      <c r="R19" s="59">
        <f>Cement!R19</f>
        <v>12</v>
      </c>
      <c r="S19" s="66">
        <f>Cement!S19</f>
        <v>18403</v>
      </c>
      <c r="T19" s="258">
        <f>Cement!T19</f>
        <v>167300</v>
      </c>
      <c r="U19" s="338">
        <f>Cement!U19</f>
        <v>2.95</v>
      </c>
      <c r="V19" s="263">
        <f>Cement!V19</f>
        <v>167300</v>
      </c>
      <c r="W19" s="337">
        <f>Cement!W19</f>
        <v>2.95</v>
      </c>
      <c r="X19" s="661" t="str">
        <f>Cement!Y19</f>
        <v/>
      </c>
      <c r="Y19" s="1031">
        <f>Cement!Z19</f>
        <v>5.9287399988487886E-2</v>
      </c>
      <c r="Z19" s="511">
        <f ca="1">Cement!AA19</f>
        <v>0.14054794520547945</v>
      </c>
      <c r="AA19" s="823">
        <f ca="1">Cement!AB19</f>
        <v>14.256236002980975</v>
      </c>
      <c r="AB19" s="1150">
        <f>Cement!AD19</f>
        <v>0.53627180899908178</v>
      </c>
      <c r="AC19" s="1150">
        <f>Cement!AE19</f>
        <v>3.9684125269978403</v>
      </c>
      <c r="AD19" s="1150">
        <f>Cement!AF19</f>
        <v>4.6021308980213087</v>
      </c>
      <c r="AE19" s="1150">
        <f>Cement!AG19</f>
        <v>8.6013227464215642</v>
      </c>
      <c r="AF19" s="275">
        <f ca="1">Cement!AH19</f>
        <v>308</v>
      </c>
      <c r="AG19" s="1120">
        <f>Cement!AI19</f>
        <v>46182</v>
      </c>
      <c r="AH19" s="1430">
        <f>Cement!AJ19</f>
        <v>46295</v>
      </c>
      <c r="AI19" s="23">
        <f>Cement!AK19</f>
        <v>2100000</v>
      </c>
      <c r="AJ19" s="23">
        <f>Cement!AL19</f>
        <v>2180000</v>
      </c>
      <c r="AK19" s="29">
        <f>Cement!AM19</f>
        <v>1100000000</v>
      </c>
      <c r="AL19" s="1225">
        <f>Cement!AN19</f>
        <v>0.3251</v>
      </c>
      <c r="AM19" s="174">
        <f>Cement!AO19</f>
        <v>5168</v>
      </c>
      <c r="AN19" s="1010">
        <f>Cement!AP19</f>
        <v>5049</v>
      </c>
      <c r="AO19" s="1010">
        <f>Cement!AQ19</f>
        <v>3011</v>
      </c>
      <c r="AP19" s="766">
        <f>Cement!AR19</f>
        <v>6500.0663641520132</v>
      </c>
      <c r="AQ19" s="984">
        <f>Cement!AS19</f>
        <v>4</v>
      </c>
      <c r="AR19" s="6">
        <f>Cement!AT19</f>
        <v>2.8087297847737847</v>
      </c>
      <c r="AS19" s="99">
        <f>Cement!AU19</f>
        <v>-3.8240711709721564</v>
      </c>
      <c r="AT19" s="16">
        <f>Cement!AV19</f>
        <v>1775</v>
      </c>
      <c r="AU19" s="16">
        <f>Cement!AW19</f>
        <v>1023</v>
      </c>
      <c r="AV19" s="1740">
        <f>Cement!AX19</f>
        <v>0.57599999999999996</v>
      </c>
      <c r="AW19" s="1363">
        <f>Cement!AY19</f>
        <v>0.54800000000000004</v>
      </c>
      <c r="AX19" s="1084">
        <f>Cement!AZ19</f>
        <v>0.59599999999999997</v>
      </c>
      <c r="AY19" s="1366">
        <f>Cement!BA19</f>
        <v>0.439</v>
      </c>
      <c r="AZ19" s="99">
        <f>Cement!BB19</f>
        <v>0.50000000000000044</v>
      </c>
      <c r="BA19" s="1740">
        <f>Cement!BC19</f>
        <v>0.44500000000000001</v>
      </c>
      <c r="BB19" s="1363">
        <f>Cement!BD19</f>
        <v>0.44</v>
      </c>
      <c r="BC19" s="1357">
        <f>Cement!BE19</f>
        <v>0.46200000000000002</v>
      </c>
      <c r="BD19" s="1367">
        <f>Cement!BF19</f>
        <v>0.38300000000000001</v>
      </c>
      <c r="BE19" s="306">
        <f>Cement!BG19</f>
        <v>0.13099999999999995</v>
      </c>
      <c r="BF19" s="99">
        <f>Cement!BJ19</f>
        <v>0</v>
      </c>
      <c r="BG19" s="306">
        <f>Cement!BK19</f>
        <v>0.28739678434383309</v>
      </c>
      <c r="BH19" s="99">
        <f>Cement!BL19</f>
        <v>5</v>
      </c>
      <c r="BI19" s="15">
        <f>Cement!BM19</f>
        <v>0</v>
      </c>
      <c r="BJ19" s="1356">
        <f>Cement!BN19</f>
        <v>3</v>
      </c>
      <c r="BK19" s="842">
        <f>Cement!BO19</f>
        <v>1</v>
      </c>
      <c r="BL19" s="16">
        <f>Cement!BP19</f>
        <v>9890</v>
      </c>
      <c r="BM19" s="16">
        <f>Cement!BQ19</f>
        <v>0</v>
      </c>
      <c r="BN19" s="16">
        <f>Cement!BR19</f>
        <v>0</v>
      </c>
      <c r="BO19" s="1251">
        <f>Cement!BS19</f>
        <v>33241.177564069505</v>
      </c>
      <c r="BP19" s="1246">
        <f>Cement!BT19</f>
        <v>39563.63636363636</v>
      </c>
      <c r="BQ19" s="406">
        <f>Cement!BU19</f>
        <v>0</v>
      </c>
      <c r="BR19" s="407">
        <f>Cement!BV19</f>
        <v>4.5958499438272442</v>
      </c>
      <c r="BS19" s="99">
        <f>Cement!BW19</f>
        <v>2.0207502808637789</v>
      </c>
      <c r="BT19" s="18">
        <f>Cement!BX19</f>
        <v>4004.2647660238231</v>
      </c>
      <c r="BU19" s="18">
        <f>Cement!BY19</f>
        <v>3401.6635859519406</v>
      </c>
      <c r="BV19" s="19">
        <f>Cement!BZ19</f>
        <v>3744.0382257515594</v>
      </c>
      <c r="BW19" s="266">
        <f>Cement!CB19</f>
        <v>30922</v>
      </c>
      <c r="BX19" s="267">
        <f>Cement!CC19</f>
        <v>5.41</v>
      </c>
      <c r="BY19" s="99">
        <f>Cement!CD19</f>
        <v>-1.2300000000000004</v>
      </c>
      <c r="BZ19" s="17">
        <f>Cement!CE19</f>
        <v>1.6170259406771399</v>
      </c>
      <c r="CA19" s="99">
        <f>Cement!CF19</f>
        <v>1.5318962372914404</v>
      </c>
      <c r="CB19" s="103">
        <f>Cement!CG19</f>
        <v>0.4848952247546407</v>
      </c>
      <c r="CC19" s="99">
        <f>Cement!CH19</f>
        <v>1.2734283713196102</v>
      </c>
      <c r="CD19" s="20">
        <f>Cement!CI19</f>
        <v>0</v>
      </c>
      <c r="CE19" s="691">
        <f>Cement!CJ19</f>
        <v>110</v>
      </c>
      <c r="CF19" s="419">
        <f>Cement!CK19</f>
        <v>243</v>
      </c>
      <c r="CG19" s="468">
        <f>Cement!CL19</f>
        <v>764</v>
      </c>
      <c r="CH19" s="843">
        <f>Cement!CM19</f>
        <v>299</v>
      </c>
      <c r="CI19" s="21">
        <f>Cement!CN19</f>
        <v>1088</v>
      </c>
      <c r="CJ19" s="21">
        <f>Cement!CO19</f>
        <v>27</v>
      </c>
      <c r="CK19" s="469">
        <f>Cement!CP19</f>
        <v>1088</v>
      </c>
      <c r="CL19" s="1239">
        <f>Cement!CQ19</f>
        <v>991.1765106825485</v>
      </c>
      <c r="CM19" s="21">
        <f>Cement!CR19</f>
        <v>1331</v>
      </c>
      <c r="CN19" s="16">
        <f>Cement!CS19</f>
        <v>-7</v>
      </c>
      <c r="CO19" s="154" t="str">
        <f>Cement!CT19</f>
        <v/>
      </c>
      <c r="CP19" s="693">
        <f>Cement!CU19</f>
        <v>1513</v>
      </c>
      <c r="CQ19" s="49">
        <f>Cement!CV19</f>
        <v>6144</v>
      </c>
      <c r="CR19" s="1389">
        <f>Cement!CW19</f>
        <v>1235</v>
      </c>
      <c r="CS19" s="49">
        <f>Cement!CX19</f>
        <v>331</v>
      </c>
      <c r="CT19" s="53">
        <f>Cement!CY19</f>
        <v>6475</v>
      </c>
      <c r="CU19" s="6">
        <f>Cement!CZ19</f>
        <v>1.0978190104166667</v>
      </c>
      <c r="CV19" s="99">
        <f>Cement!DA19</f>
        <v>-0.81744791666666572</v>
      </c>
      <c r="CW19" s="53">
        <f>Cement!DB19</f>
        <v>7988</v>
      </c>
      <c r="CX19" s="645">
        <f>Cement!DC19</f>
        <v>0.81059088632949428</v>
      </c>
      <c r="CY19" s="13">
        <f>Cement!DD19</f>
        <v>1243</v>
      </c>
      <c r="CZ19" s="24">
        <f>Cement!DE19</f>
        <v>1154</v>
      </c>
      <c r="DA19" s="24">
        <f>Cement!DF19</f>
        <v>82</v>
      </c>
      <c r="DB19" s="51">
        <f>Cement!DG19</f>
        <v>6745</v>
      </c>
      <c r="DC19" s="8">
        <f>Cement!DH19</f>
        <v>601</v>
      </c>
      <c r="DD19" s="644">
        <f>Cement!DI19</f>
        <v>10.815418243181387</v>
      </c>
      <c r="DE19" s="22">
        <f>Cement!DJ19</f>
        <v>1433</v>
      </c>
      <c r="DF19" s="1390">
        <f>Cement!DK19</f>
        <v>528</v>
      </c>
      <c r="DG19" s="22">
        <f>Cement!DL19</f>
        <v>1027</v>
      </c>
      <c r="DH19" s="138">
        <f>Cement!DM19</f>
        <v>0.81059088632949428</v>
      </c>
      <c r="DI19" s="99">
        <f>Cement!DN19</f>
        <v>-2.1046107437077377</v>
      </c>
      <c r="DJ19" s="138">
        <f>Cement!DO19</f>
        <v>0.59080593376045842</v>
      </c>
      <c r="DK19" s="99">
        <f>Cement!DP19</f>
        <v>2</v>
      </c>
      <c r="DL19" s="1431">
        <f>Cement!DQ19</f>
        <v>3447</v>
      </c>
      <c r="DM19" s="8">
        <f>Cement!DR19</f>
        <v>310</v>
      </c>
      <c r="DN19" s="23" t="str">
        <f>Cement!DS19</f>
        <v>G</v>
      </c>
      <c r="DO19" s="7">
        <f>Cement!DT19</f>
        <v>46.366843033509696</v>
      </c>
      <c r="DP19" s="8">
        <f>Cement!DU19</f>
        <v>18918.900000000001</v>
      </c>
      <c r="DQ19" s="32">
        <f>Cement!DV19</f>
        <v>1.0280334728033473</v>
      </c>
      <c r="DR19" s="99">
        <f>Cement!DW19</f>
        <v>0.56066945606694674</v>
      </c>
      <c r="DS19" s="14">
        <f>Cement!DX19</f>
        <v>3095.2696972152444</v>
      </c>
      <c r="DT19" s="99">
        <f>Cement!DY19</f>
        <v>5.8723554435227401</v>
      </c>
      <c r="DU19" s="103">
        <f>Cement!DZ19</f>
        <v>0.61603444360313264</v>
      </c>
      <c r="DV19" s="99">
        <f>Cement!EA19</f>
        <v>3.763901248722763</v>
      </c>
      <c r="DW19" s="103">
        <f>Cement!EB19</f>
        <v>6.5524625267665948E-2</v>
      </c>
      <c r="DX19" s="99">
        <f>Cement!EC19</f>
        <v>0.65524625267665948</v>
      </c>
      <c r="DY19" s="8">
        <f>Cement!ED19</f>
        <v>112556.08</v>
      </c>
      <c r="DZ19" s="8">
        <f>Cement!EE19</f>
        <v>142429.09090909091</v>
      </c>
      <c r="EA19" s="235">
        <f>Cement!EF19</f>
        <v>2209.090909090909</v>
      </c>
      <c r="EB19" s="8">
        <f>Cement!EG19</f>
        <v>128597.13090909091</v>
      </c>
      <c r="EC19" s="411">
        <f>Cement!EH19</f>
        <v>113</v>
      </c>
      <c r="ED19" s="1338">
        <f>Cement!EI19</f>
        <v>27400</v>
      </c>
      <c r="EE19" s="821">
        <f>Cement!EJ19</f>
        <v>0.14783640876227475</v>
      </c>
      <c r="EF19" s="502">
        <f>Cement!EK19</f>
        <v>0</v>
      </c>
      <c r="EG19" s="502">
        <f>Cement!EL19</f>
        <v>0</v>
      </c>
      <c r="EH19" s="510">
        <f>Cement!EM19</f>
        <v>18190</v>
      </c>
      <c r="EI19" s="435">
        <f>Cement!EN19</f>
        <v>1916.71507</v>
      </c>
      <c r="EJ19" s="510">
        <f>Cement!EO19</f>
        <v>29860</v>
      </c>
      <c r="EK19" s="435">
        <f>Cement!EP19</f>
        <v>3285</v>
      </c>
      <c r="EL19" s="510">
        <f>Cement!EQ19</f>
        <v>33670</v>
      </c>
      <c r="EM19" s="435">
        <f>Cement!ER19</f>
        <v>3704</v>
      </c>
      <c r="EN19" s="510">
        <f>Cement!ES19</f>
        <v>108900</v>
      </c>
      <c r="EO19" s="435">
        <f>Cement!ET19</f>
        <v>11979</v>
      </c>
      <c r="EP19" s="510">
        <f>Cement!EU19</f>
        <v>157940</v>
      </c>
      <c r="EQ19" s="435">
        <f>Cement!EV19</f>
        <v>17373</v>
      </c>
      <c r="ER19" s="1607">
        <f>Cement!EW19</f>
        <v>157940</v>
      </c>
      <c r="ES19" s="1608">
        <f>Cement!EX19</f>
        <v>17373</v>
      </c>
      <c r="ET19" s="1609">
        <f>Cement!EY19</f>
        <v>8.0639450129642896</v>
      </c>
    </row>
    <row r="20" spans="1:150" ht="35" customHeight="1">
      <c r="A20" s="100">
        <f>Cement!A20</f>
        <v>14.841666562736975</v>
      </c>
      <c r="B20" s="100">
        <f>Cement!B20</f>
        <v>4.871586775502931</v>
      </c>
      <c r="C20" s="1585">
        <f ca="1">Cement!C20</f>
        <v>0.15492385470576961</v>
      </c>
      <c r="D20" s="1650">
        <f>Cement!D20</f>
        <v>1.2981300700156284</v>
      </c>
      <c r="E20" s="1412">
        <f>Cement!E20</f>
        <v>4.4000000000000039</v>
      </c>
      <c r="F20" s="1413">
        <f>Cement!F20</f>
        <v>3.099999999999997</v>
      </c>
      <c r="G20" s="2125">
        <f>Cement!G20</f>
        <v>12.278512193119306</v>
      </c>
      <c r="H20" s="2115">
        <f>Cement!H20</f>
        <v>0.94383775351014043</v>
      </c>
      <c r="I20" s="2301">
        <f>Cement!I20</f>
        <v>1.8890200708382526E-2</v>
      </c>
      <c r="J20" s="2115">
        <f>Cement!J20</f>
        <v>0.22475961538461539</v>
      </c>
      <c r="K20" s="1942">
        <f>Cement!K20</f>
        <v>5</v>
      </c>
      <c r="L20" s="2201">
        <f>Cement!L20</f>
        <v>12</v>
      </c>
      <c r="M20" s="1587" t="str">
        <f>Cement!M20</f>
        <v>B</v>
      </c>
      <c r="N20" s="1587" t="str">
        <f>Cement!N20</f>
        <v>B</v>
      </c>
      <c r="O20" s="179" t="str">
        <f>Cement!O20</f>
        <v/>
      </c>
      <c r="P20" s="223" t="str">
        <f>Cement!P20</f>
        <v>سيمان ممتازان كرمان</v>
      </c>
      <c r="Q20" s="1949" t="str">
        <f>Cement!Q20</f>
        <v>سمتاز</v>
      </c>
      <c r="R20" s="59">
        <f>Cement!R20</f>
        <v>12</v>
      </c>
      <c r="S20" s="66">
        <f>Cement!S20</f>
        <v>11280</v>
      </c>
      <c r="T20" s="258">
        <f>Cement!T20</f>
        <v>56370</v>
      </c>
      <c r="U20" s="338">
        <f>Cement!U20</f>
        <v>2.94</v>
      </c>
      <c r="V20" s="263">
        <f>Cement!V20</f>
        <v>56400</v>
      </c>
      <c r="W20" s="337">
        <f>Cement!W20</f>
        <v>2.99</v>
      </c>
      <c r="X20" s="661" t="str">
        <f>Cement!Y20</f>
        <v/>
      </c>
      <c r="Y20" s="1031">
        <f>Cement!Z20</f>
        <v>6.475363413252784E-2</v>
      </c>
      <c r="Z20" s="511">
        <f ca="1">Cement!AA20</f>
        <v>5.4246575342465755E-2</v>
      </c>
      <c r="AA20" s="823">
        <f ca="1">Cement!AB20</f>
        <v>-4.7759358136645842</v>
      </c>
      <c r="AB20" s="1150">
        <f>Cement!AD20</f>
        <v>0.89261744966442957</v>
      </c>
      <c r="AC20" s="1150">
        <f>Cement!AE20</f>
        <v>1.9072164948453609</v>
      </c>
      <c r="AD20" s="1150">
        <f>Cement!AF20</f>
        <v>1.4025559105431309</v>
      </c>
      <c r="AE20" s="1150">
        <f>Cement!AG20</f>
        <v>5.0320855614973263</v>
      </c>
      <c r="AF20" s="275">
        <f ca="1">Cement!AH20</f>
        <v>343</v>
      </c>
      <c r="AG20" s="1120">
        <f>Cement!AI20</f>
        <v>46217</v>
      </c>
      <c r="AH20" s="1430">
        <f>Cement!AJ20</f>
        <v>46244</v>
      </c>
      <c r="AI20" s="23">
        <f>Cement!AK20</f>
        <v>1000000</v>
      </c>
      <c r="AJ20" s="23">
        <f>Cement!AL20</f>
        <v>1040000</v>
      </c>
      <c r="AK20" s="29">
        <f>Cement!AM20</f>
        <v>2000000000</v>
      </c>
      <c r="AL20" s="1225" t="str">
        <f>Cement!AN20</f>
        <v>?</v>
      </c>
      <c r="AM20" s="174">
        <f>Cement!AO20</f>
        <v>2893</v>
      </c>
      <c r="AN20" s="1010">
        <f>Cement!AP20</f>
        <v>2496</v>
      </c>
      <c r="AO20" s="1010">
        <f>Cement!AQ20</f>
        <v>1208</v>
      </c>
      <c r="AP20" s="766">
        <f>Cement!AR20</f>
        <v>4135.6595163806551</v>
      </c>
      <c r="AQ20" s="984">
        <f>Cement!AS20</f>
        <v>4</v>
      </c>
      <c r="AR20" s="6">
        <f>Cement!AT20</f>
        <v>2.7274972601883225</v>
      </c>
      <c r="AS20" s="99">
        <f>Cement!AU20</f>
        <v>-3.0117459251175349</v>
      </c>
      <c r="AT20" s="16">
        <f>Cement!AV20</f>
        <v>865</v>
      </c>
      <c r="AU20" s="16">
        <f>Cement!AW20</f>
        <v>448</v>
      </c>
      <c r="AV20" s="1740">
        <f>Cement!AX20</f>
        <v>0.51800000000000002</v>
      </c>
      <c r="AW20" s="1363">
        <f>Cement!AY20</f>
        <v>0.47399999999999998</v>
      </c>
      <c r="AX20" s="1084">
        <f>Cement!AZ20</f>
        <v>0.48399999999999999</v>
      </c>
      <c r="AY20" s="1366">
        <f>Cement!BA20</f>
        <v>0.48</v>
      </c>
      <c r="AZ20" s="99">
        <f>Cement!BB20</f>
        <v>3.099999999999997</v>
      </c>
      <c r="BA20" s="1740">
        <f>Cement!BC20</f>
        <v>0.40799999999999997</v>
      </c>
      <c r="BB20" s="1363">
        <f>Cement!BD20</f>
        <v>0.377</v>
      </c>
      <c r="BC20" s="1357">
        <f>Cement!BE20</f>
        <v>0.372</v>
      </c>
      <c r="BD20" s="1367">
        <f>Cement!BF20</f>
        <v>0.38200000000000001</v>
      </c>
      <c r="BE20" s="306">
        <f>Cement!BG20</f>
        <v>0.11000000000000004</v>
      </c>
      <c r="BF20" s="99">
        <f>Cement!BJ20</f>
        <v>0</v>
      </c>
      <c r="BG20" s="306">
        <f>Cement!BK20</f>
        <v>0.65691487034481377</v>
      </c>
      <c r="BH20" s="99">
        <f>Cement!BL20</f>
        <v>5</v>
      </c>
      <c r="BI20" s="15">
        <f>Cement!BM20</f>
        <v>0</v>
      </c>
      <c r="BJ20" s="1356">
        <f>Cement!BN20</f>
        <v>3</v>
      </c>
      <c r="BK20" s="842">
        <f>Cement!BO20</f>
        <v>1</v>
      </c>
      <c r="BL20" s="16">
        <f>Cement!BP20</f>
        <v>2007</v>
      </c>
      <c r="BM20" s="16">
        <f>Cement!BQ20</f>
        <v>0</v>
      </c>
      <c r="BN20" s="16">
        <f>Cement!BR20</f>
        <v>0</v>
      </c>
      <c r="BO20" s="1251">
        <f>Cement!BS20</f>
        <v>11226.745413416536</v>
      </c>
      <c r="BP20" s="1246">
        <f>Cement!BT20</f>
        <v>9850</v>
      </c>
      <c r="BQ20" s="406">
        <f>Cement!BU20</f>
        <v>0</v>
      </c>
      <c r="BR20" s="407">
        <f>Cement!BV20</f>
        <v>5.3518699299843719</v>
      </c>
      <c r="BS20" s="99">
        <f>Cement!BW20</f>
        <v>-1.7593496499218597</v>
      </c>
      <c r="BT20" s="18">
        <f>Cement!BX20</f>
        <v>2107.6745413416538</v>
      </c>
      <c r="BU20" s="18">
        <f>Cement!BY20</f>
        <v>1696.2406015037593</v>
      </c>
      <c r="BV20" s="19">
        <f>Cement!BZ20</f>
        <v>2142.2716294851793</v>
      </c>
      <c r="BW20" s="266">
        <f>Cement!CB20</f>
        <v>8478</v>
      </c>
      <c r="BX20" s="267">
        <f>Cement!CC20</f>
        <v>6.65</v>
      </c>
      <c r="BY20" s="99">
        <f>Cement!CD20</f>
        <v>-4.9500000000000011</v>
      </c>
      <c r="BZ20" s="17">
        <f>Cement!CE20</f>
        <v>1.1742799713396561</v>
      </c>
      <c r="CA20" s="99">
        <f>Cement!CF20</f>
        <v>3.3028801146413755</v>
      </c>
      <c r="CB20" s="103">
        <f>Cement!CG20</f>
        <v>0.57871349295487473</v>
      </c>
      <c r="CC20" s="99">
        <f>Cement!CH20</f>
        <v>2.6807023943231205</v>
      </c>
      <c r="CD20" s="20">
        <f>Cement!CI20</f>
        <v>0</v>
      </c>
      <c r="CE20" s="691">
        <f>Cement!CJ20</f>
        <v>200</v>
      </c>
      <c r="CF20" s="419">
        <f>Cement!CK20</f>
        <v>415</v>
      </c>
      <c r="CG20" s="468">
        <f>Cement!CL20</f>
        <v>558</v>
      </c>
      <c r="CH20" s="843">
        <f>Cement!CM20</f>
        <v>48</v>
      </c>
      <c r="CI20" s="21">
        <f>Cement!CN20</f>
        <v>401</v>
      </c>
      <c r="CJ20" s="21">
        <f>Cement!CO20</f>
        <v>0</v>
      </c>
      <c r="CK20" s="469">
        <f>Cement!CP20</f>
        <v>492.5</v>
      </c>
      <c r="CL20" s="1239">
        <f>Cement!CQ20</f>
        <v>562.44969422776899</v>
      </c>
      <c r="CM20" s="21">
        <f>Cement!CR20</f>
        <v>816</v>
      </c>
      <c r="CN20" s="16">
        <f>Cement!CS20</f>
        <v>-132</v>
      </c>
      <c r="CO20" s="154" t="str">
        <f>Cement!CT20</f>
        <v/>
      </c>
      <c r="CP20" s="693">
        <f>Cement!CU20</f>
        <v>933</v>
      </c>
      <c r="CQ20" s="49">
        <f>Cement!CV20</f>
        <v>2335</v>
      </c>
      <c r="CR20" s="1389">
        <f>Cement!CW20</f>
        <v>41</v>
      </c>
      <c r="CS20" s="49">
        <f>Cement!CX20</f>
        <v>140</v>
      </c>
      <c r="CT20" s="53">
        <f>Cement!CY20</f>
        <v>2475</v>
      </c>
      <c r="CU20" s="6">
        <f>Cement!CZ20</f>
        <v>1.1601713062098502</v>
      </c>
      <c r="CV20" s="99">
        <f>Cement!DA20</f>
        <v>-0.318629550321198</v>
      </c>
      <c r="CW20" s="53">
        <f>Cement!DB20</f>
        <v>3408</v>
      </c>
      <c r="CX20" s="645">
        <f>Cement!DC20</f>
        <v>0.72623239436619713</v>
      </c>
      <c r="CY20" s="13">
        <f>Cement!DD20</f>
        <v>699</v>
      </c>
      <c r="CZ20" s="24">
        <f>Cement!DE20</f>
        <v>461</v>
      </c>
      <c r="DA20" s="24">
        <f>Cement!DF20</f>
        <v>223</v>
      </c>
      <c r="DB20" s="51">
        <f>Cement!DG20</f>
        <v>2709</v>
      </c>
      <c r="DC20" s="8">
        <f>Cement!DH20</f>
        <v>374</v>
      </c>
      <c r="DD20" s="644">
        <f>Cement!DI20</f>
        <v>11.057913145402821</v>
      </c>
      <c r="DE20" s="22">
        <f>Cement!DJ20</f>
        <v>880</v>
      </c>
      <c r="DF20" s="1390">
        <f>Cement!DK20</f>
        <v>543</v>
      </c>
      <c r="DG20" s="22">
        <f>Cement!DL20</f>
        <v>59</v>
      </c>
      <c r="DH20" s="138">
        <f>Cement!DM20</f>
        <v>0.72623239436619713</v>
      </c>
      <c r="DI20" s="99">
        <f>Cement!DN20</f>
        <v>-1.2610258240747663</v>
      </c>
      <c r="DJ20" s="138">
        <f>Cement!DO20</f>
        <v>0.49573545454420964</v>
      </c>
      <c r="DK20" s="99">
        <f>Cement!DP20</f>
        <v>2</v>
      </c>
      <c r="DL20" s="1431">
        <f>Cement!DQ20</f>
        <v>1103</v>
      </c>
      <c r="DM20" s="8">
        <f>Cement!DR20</f>
        <v>124</v>
      </c>
      <c r="DN20" s="23" t="str">
        <f>Cement!DS20</f>
        <v>G</v>
      </c>
      <c r="DO20" s="7">
        <f>Cement!DT20</f>
        <v>59.682539682539677</v>
      </c>
      <c r="DP20" s="8">
        <f>Cement!DU20</f>
        <v>10135.125</v>
      </c>
      <c r="DQ20" s="32">
        <f>Cement!DV20</f>
        <v>0.89850398936170217</v>
      </c>
      <c r="DR20" s="99">
        <f>Cement!DW20</f>
        <v>-2.0299202127659566</v>
      </c>
      <c r="DS20" s="14">
        <f>Cement!DX20</f>
        <v>4135.6595163806551</v>
      </c>
      <c r="DT20" s="99">
        <f>Cement!DY20</f>
        <v>10</v>
      </c>
      <c r="DU20" s="103">
        <f>Cement!DZ20</f>
        <v>0.50963444475869146</v>
      </c>
      <c r="DV20" s="99">
        <f>Cement!EA20</f>
        <v>0.57190128338952761</v>
      </c>
      <c r="DW20" s="103">
        <f>Cement!EB20</f>
        <v>0.15168539325842698</v>
      </c>
      <c r="DX20" s="99">
        <f>Cement!EC20</f>
        <v>1.5168539325842698</v>
      </c>
      <c r="DY20" s="8">
        <f>Cement!ED20</f>
        <v>30859.919999999998</v>
      </c>
      <c r="DZ20" s="8">
        <f>Cement!EE20</f>
        <v>35460</v>
      </c>
      <c r="EA20" s="235">
        <f>Cement!EF20</f>
        <v>2075</v>
      </c>
      <c r="EB20" s="8">
        <f>Cement!EG20</f>
        <v>34197.46</v>
      </c>
      <c r="EC20" s="411">
        <f>Cement!EH20</f>
        <v>27</v>
      </c>
      <c r="ED20" s="1338">
        <f>Cement!EI20</f>
        <v>6300</v>
      </c>
      <c r="EE20" s="821">
        <f>Cement!EJ20</f>
        <v>0.10629323435127383</v>
      </c>
      <c r="EF20" s="502">
        <f>Cement!EK20</f>
        <v>1</v>
      </c>
      <c r="EG20" s="502">
        <f>Cement!EL20</f>
        <v>0</v>
      </c>
      <c r="EH20" s="510">
        <f>Cement!EM20</f>
        <v>18700</v>
      </c>
      <c r="EI20" s="435">
        <f>Cement!EN20</f>
        <v>1870</v>
      </c>
      <c r="EJ20" s="510">
        <f>Cement!EO20</f>
        <v>46950</v>
      </c>
      <c r="EK20" s="435">
        <f>Cement!EP20</f>
        <v>4695</v>
      </c>
      <c r="EL20" s="510">
        <f>Cement!EQ20</f>
        <v>38800</v>
      </c>
      <c r="EM20" s="435">
        <f>Cement!ER20</f>
        <v>3880</v>
      </c>
      <c r="EN20" s="510">
        <f>Cement!ES20</f>
        <v>59600</v>
      </c>
      <c r="EO20" s="435">
        <f>Cement!ET20</f>
        <v>5960</v>
      </c>
      <c r="EP20" s="510">
        <f>Cement!EU20</f>
        <v>52970</v>
      </c>
      <c r="EQ20" s="435">
        <f>Cement!EV20</f>
        <v>10594</v>
      </c>
      <c r="ER20" s="1610">
        <f>Cement!EW20</f>
        <v>52970</v>
      </c>
      <c r="ES20" s="834">
        <f>Cement!EX20</f>
        <v>10594</v>
      </c>
      <c r="ET20" s="835">
        <f>Cement!EY20</f>
        <v>4.6652406417112298</v>
      </c>
    </row>
    <row r="21" spans="1:150" ht="35" customHeight="1">
      <c r="A21" s="100">
        <f>Cement!A21</f>
        <v>14.380222800984832</v>
      </c>
      <c r="B21" s="100">
        <f>Cement!B21</f>
        <v>11.940187906386852</v>
      </c>
      <c r="C21" s="1585">
        <f ca="1">Cement!C21</f>
        <v>0.16716051729428974</v>
      </c>
      <c r="D21" s="1650">
        <f>Cement!D21</f>
        <v>0.37509689028339377</v>
      </c>
      <c r="E21" s="1412">
        <f>Cement!E21</f>
        <v>15.900000000000002</v>
      </c>
      <c r="F21" s="1413">
        <f>Cement!F21</f>
        <v>13.899999999999999</v>
      </c>
      <c r="G21" s="2125">
        <f>Cement!G21</f>
        <v>-2.1002736523821341</v>
      </c>
      <c r="H21" s="2115">
        <f>Cement!H21</f>
        <v>0.67888138862102221</v>
      </c>
      <c r="I21" s="2301">
        <f>Cement!I21</f>
        <v>0.37378640776699029</v>
      </c>
      <c r="J21" s="2115">
        <f>Cement!J21</f>
        <v>0.51404958677685952</v>
      </c>
      <c r="K21" s="1942">
        <f>Cement!K21</f>
        <v>13</v>
      </c>
      <c r="L21" s="1575">
        <f>Cement!L21</f>
        <v>10</v>
      </c>
      <c r="M21" s="1582" t="str">
        <f>Cement!M21</f>
        <v>N</v>
      </c>
      <c r="N21" s="1582" t="str">
        <f>Cement!N21</f>
        <v>N</v>
      </c>
      <c r="O21" s="179" t="str">
        <f>Cement!O21</f>
        <v/>
      </c>
      <c r="P21" s="124" t="str">
        <f>Cement!P21</f>
        <v>سيمان‌ كرمان‌</v>
      </c>
      <c r="Q21" s="1973" t="str">
        <f>Cement!Q21</f>
        <v>سكرما</v>
      </c>
      <c r="R21" s="59">
        <f>Cement!R21</f>
        <v>9</v>
      </c>
      <c r="S21" s="66">
        <f>Cement!S21</f>
        <v>10186.5</v>
      </c>
      <c r="T21" s="258">
        <f>Cement!T21</f>
        <v>67910</v>
      </c>
      <c r="U21" s="338">
        <f>Cement!U21</f>
        <v>2.99</v>
      </c>
      <c r="V21" s="263">
        <f>Cement!V21</f>
        <v>67910</v>
      </c>
      <c r="W21" s="337">
        <f>Cement!W21</f>
        <v>2.99</v>
      </c>
      <c r="X21" s="661" t="str">
        <f>Cement!Y21</f>
        <v/>
      </c>
      <c r="Y21" s="1031">
        <f>Cement!Z21</f>
        <v>0.34813393329804126</v>
      </c>
      <c r="Z21" s="511">
        <f ca="1">Cement!AA21</f>
        <v>0.23178082191780822</v>
      </c>
      <c r="AA21" s="823">
        <f ca="1">Cement!AB21</f>
        <v>-12.377990572365219</v>
      </c>
      <c r="AB21" s="1150">
        <f>Cement!AD21</f>
        <v>0.66147447398466808</v>
      </c>
      <c r="AC21" s="1150">
        <f>Cement!AE21</f>
        <v>1.1155763239875389</v>
      </c>
      <c r="AD21" s="1150">
        <f>Cement!AF21</f>
        <v>2.1733644859813084</v>
      </c>
      <c r="AE21" s="1150">
        <f>Cement!AG21</f>
        <v>9.666492146596859</v>
      </c>
      <c r="AF21" s="275">
        <f ca="1">Cement!AH21</f>
        <v>271</v>
      </c>
      <c r="AG21" s="1120">
        <f>Cement!AI21</f>
        <v>46145</v>
      </c>
      <c r="AH21" s="1430">
        <f>Cement!AJ21</f>
        <v>46235</v>
      </c>
      <c r="AI21" s="23">
        <f>Cement!AK21</f>
        <v>1100000</v>
      </c>
      <c r="AJ21" s="23">
        <f>Cement!AL21</f>
        <v>1140000</v>
      </c>
      <c r="AK21" s="29">
        <f>Cement!AM21</f>
        <v>1500000000</v>
      </c>
      <c r="AL21" s="1225">
        <f>Cement!AN21</f>
        <v>0.20880000000000001</v>
      </c>
      <c r="AM21" s="174">
        <f>Cement!AO21</f>
        <v>2410</v>
      </c>
      <c r="AN21" s="1010">
        <f>Cement!AP21</f>
        <v>1852</v>
      </c>
      <c r="AO21" s="1010">
        <f>Cement!AQ21</f>
        <v>509</v>
      </c>
      <c r="AP21" s="766">
        <f>Cement!AR21</f>
        <v>2939.7870230059234</v>
      </c>
      <c r="AQ21" s="984">
        <f>Cement!AS21</f>
        <v>4</v>
      </c>
      <c r="AR21" s="6">
        <f>Cement!AT21</f>
        <v>3.3764180610099932</v>
      </c>
      <c r="AS21" s="99">
        <f>Cement!AU21</f>
        <v>-9.500953933334241</v>
      </c>
      <c r="AT21" s="16">
        <f>Cement!AV21</f>
        <v>1467</v>
      </c>
      <c r="AU21" s="16">
        <f>Cement!AW21</f>
        <v>583</v>
      </c>
      <c r="AV21" s="1740">
        <f>Cement!AX21</f>
        <v>0.39700000000000002</v>
      </c>
      <c r="AW21" s="1363">
        <f>Cement!AY21</f>
        <v>0.23799999999999999</v>
      </c>
      <c r="AX21" s="1084">
        <f>Cement!AZ21</f>
        <v>0.27500000000000002</v>
      </c>
      <c r="AY21" s="1366">
        <f>Cement!BA21</f>
        <v>0.31900000000000001</v>
      </c>
      <c r="AZ21" s="99">
        <f>Cement!BB21</f>
        <v>10</v>
      </c>
      <c r="BA21" s="1740">
        <f>Cement!BC21</f>
        <v>0.309</v>
      </c>
      <c r="BB21" s="1363">
        <f>Cement!BD21</f>
        <v>0.17</v>
      </c>
      <c r="BC21" s="1357">
        <f>Cement!BE21</f>
        <v>0.20200000000000001</v>
      </c>
      <c r="BD21" s="1367">
        <f>Cement!BF21</f>
        <v>0.21199999999999999</v>
      </c>
      <c r="BE21" s="306">
        <f>Cement!BG21</f>
        <v>8.8000000000000023E-2</v>
      </c>
      <c r="BF21" s="99">
        <f>Cement!BJ21</f>
        <v>0</v>
      </c>
      <c r="BG21" s="306">
        <f>Cement!BK21</f>
        <v>0.58735800378289604</v>
      </c>
      <c r="BH21" s="99">
        <f>Cement!BL21</f>
        <v>5</v>
      </c>
      <c r="BI21" s="15">
        <f>Cement!BM21</f>
        <v>0</v>
      </c>
      <c r="BJ21" s="1356">
        <f>Cement!BN21</f>
        <v>3</v>
      </c>
      <c r="BK21" s="842">
        <f>Cement!BO21</f>
        <v>2</v>
      </c>
      <c r="BL21" s="16">
        <f>Cement!BP21</f>
        <v>1798</v>
      </c>
      <c r="BM21" s="16">
        <f>Cement!BQ21</f>
        <v>6856</v>
      </c>
      <c r="BN21" s="16">
        <f>Cement!BR21</f>
        <v>0</v>
      </c>
      <c r="BO21" s="1251">
        <f>Cement!BS21</f>
        <v>11375.961267392202</v>
      </c>
      <c r="BP21" s="1246">
        <f>Cement!BT21</f>
        <v>13706.666666666668</v>
      </c>
      <c r="BQ21" s="406">
        <f>Cement!BU21</f>
        <v>0</v>
      </c>
      <c r="BR21" s="407">
        <f>Cement!BV21</f>
        <v>5.4149031097166063</v>
      </c>
      <c r="BS21" s="99">
        <f>Cement!BW21</f>
        <v>-2.0745155485830313</v>
      </c>
      <c r="BT21" s="18">
        <f>Cement!BX21</f>
        <v>1881.1970950544153</v>
      </c>
      <c r="BU21" s="18">
        <f>Cement!BY21</f>
        <v>1759.3264248704663</v>
      </c>
      <c r="BV21" s="19">
        <f>Cement!BZ21</f>
        <v>1167.0954481333517</v>
      </c>
      <c r="BW21" s="266">
        <f>Cement!CB21</f>
        <v>11726</v>
      </c>
      <c r="BX21" s="267">
        <f>Cement!CC21</f>
        <v>5.79</v>
      </c>
      <c r="BY21" s="99">
        <f>Cement!CD21</f>
        <v>-2.37</v>
      </c>
      <c r="BZ21" s="17">
        <f>Cement!CE21</f>
        <v>1.0551791756528213</v>
      </c>
      <c r="CA21" s="99">
        <f>Cement!CF21</f>
        <v>3.7792832973887149</v>
      </c>
      <c r="CB21" s="103">
        <f>Cement!CG21</f>
        <v>0.45037038426009462</v>
      </c>
      <c r="CC21" s="99">
        <f>Cement!CH21</f>
        <v>0.75555576390141899</v>
      </c>
      <c r="CD21" s="20">
        <f>Cement!CI21</f>
        <v>0</v>
      </c>
      <c r="CE21" s="691">
        <f>Cement!CJ21</f>
        <v>150</v>
      </c>
      <c r="CF21" s="419">
        <f>Cement!CK21</f>
        <v>277</v>
      </c>
      <c r="CG21" s="468">
        <f>Cement!CL21</f>
        <v>798</v>
      </c>
      <c r="CH21" s="843">
        <f>Cement!CM21</f>
        <v>575</v>
      </c>
      <c r="CI21" s="21">
        <f>Cement!CN21</f>
        <v>1028</v>
      </c>
      <c r="CJ21" s="21">
        <f>Cement!CO21</f>
        <v>45</v>
      </c>
      <c r="CK21" s="469">
        <f>Cement!CP21</f>
        <v>1028</v>
      </c>
      <c r="CL21" s="1239">
        <f>Cement!CQ21</f>
        <v>574.89661089681772</v>
      </c>
      <c r="CM21" s="21">
        <f>Cement!CR21</f>
        <v>1305</v>
      </c>
      <c r="CN21" s="16">
        <f>Cement!CS21</f>
        <v>0</v>
      </c>
      <c r="CO21" s="154" t="str">
        <f>Cement!CT21</f>
        <v/>
      </c>
      <c r="CP21" s="693">
        <f>Cement!CU21</f>
        <v>1470</v>
      </c>
      <c r="CQ21" s="49">
        <f>Cement!CV21</f>
        <v>1936</v>
      </c>
      <c r="CR21" s="1389">
        <f>Cement!CW21</f>
        <v>0</v>
      </c>
      <c r="CS21" s="49">
        <f>Cement!CX21</f>
        <v>49</v>
      </c>
      <c r="CT21" s="53">
        <f>Cement!CY21</f>
        <v>1985</v>
      </c>
      <c r="CU21" s="6">
        <f>Cement!CZ21</f>
        <v>1.3982438016528926</v>
      </c>
      <c r="CV21" s="99">
        <f>Cement!DA21</f>
        <v>1.5859504132231415</v>
      </c>
      <c r="CW21" s="53">
        <f>Cement!DB21</f>
        <v>3455</v>
      </c>
      <c r="CX21" s="645">
        <f>Cement!DC21</f>
        <v>0.57452966714905929</v>
      </c>
      <c r="CY21" s="13">
        <f>Cement!DD21</f>
        <v>748</v>
      </c>
      <c r="CZ21" s="24">
        <f>Cement!DE21</f>
        <v>267</v>
      </c>
      <c r="DA21" s="24">
        <f>Cement!DF21</f>
        <v>477</v>
      </c>
      <c r="DB21" s="51">
        <f>Cement!DG21</f>
        <v>2707</v>
      </c>
      <c r="DC21" s="8">
        <f>Cement!DH21</f>
        <v>771</v>
      </c>
      <c r="DD21" s="644">
        <f>Cement!DI21</f>
        <v>3.8129533372320665</v>
      </c>
      <c r="DE21" s="22">
        <f>Cement!DJ21</f>
        <v>1076</v>
      </c>
      <c r="DF21" s="1390">
        <f>Cement!DK21</f>
        <v>827</v>
      </c>
      <c r="DG21" s="22">
        <f>Cement!DL21</f>
        <v>616</v>
      </c>
      <c r="DH21" s="138">
        <f>Cement!DM21</f>
        <v>0.57452966714905929</v>
      </c>
      <c r="DI21" s="99">
        <f>Cement!DN21</f>
        <v>0.25600144809661218</v>
      </c>
      <c r="DJ21" s="138">
        <f>Cement!DO21</f>
        <v>0</v>
      </c>
      <c r="DK21" s="99">
        <f>Cement!DP21</f>
        <v>0</v>
      </c>
      <c r="DL21" s="1431">
        <f>Cement!DQ21</f>
        <v>0</v>
      </c>
      <c r="DM21" s="8">
        <f>Cement!DR21</f>
        <v>188</v>
      </c>
      <c r="DN21" s="23" t="str">
        <f>Cement!DS21</f>
        <v>G</v>
      </c>
      <c r="DO21" s="7">
        <f>Cement!DT21</f>
        <v>48.997113997113992</v>
      </c>
      <c r="DP21" s="8">
        <f>Cement!DU21</f>
        <v>10933.65</v>
      </c>
      <c r="DQ21" s="32">
        <f>Cement!DV21</f>
        <v>1.0733470770136946</v>
      </c>
      <c r="DR21" s="99">
        <f>Cement!DW21</f>
        <v>1.4669415402738917</v>
      </c>
      <c r="DS21" s="14">
        <f>Cement!DX21</f>
        <v>2672.5336572781121</v>
      </c>
      <c r="DT21" s="99">
        <f>Cement!DY21</f>
        <v>0.97309335432408883</v>
      </c>
      <c r="DU21" s="103">
        <f>Cement!DZ21</f>
        <v>0.63990931327089706</v>
      </c>
      <c r="DV21" s="99">
        <f>Cement!EA21</f>
        <v>4.480147338755696</v>
      </c>
      <c r="DW21" s="103">
        <f>Cement!EB21</f>
        <v>2.8719126938541069E-3</v>
      </c>
      <c r="DX21" s="99">
        <f>Cement!EC21</f>
        <v>2.8719126938541069E-2</v>
      </c>
      <c r="DY21" s="8">
        <f>Cement!ED21</f>
        <v>44089.760000000002</v>
      </c>
      <c r="DZ21" s="8">
        <f>Cement!EE21</f>
        <v>50988.800000000003</v>
      </c>
      <c r="EA21" s="235">
        <f>Cement!EF21</f>
        <v>1846.6666666666667</v>
      </c>
      <c r="EB21" s="8">
        <f>Cement!EG21</f>
        <v>48462.613333333335</v>
      </c>
      <c r="EC21" s="411">
        <f>Cement!EH21</f>
        <v>90</v>
      </c>
      <c r="ED21" s="1338">
        <f>Cement!EI21</f>
        <v>6647</v>
      </c>
      <c r="EE21" s="821">
        <f>Cement!EJ21</f>
        <v>0.11657926583299717</v>
      </c>
      <c r="EF21" s="502">
        <f>Cement!EK21</f>
        <v>0.51</v>
      </c>
      <c r="EG21" s="502">
        <f>Cement!EL21</f>
        <v>0</v>
      </c>
      <c r="EH21" s="510">
        <f>Cement!EM21</f>
        <v>9600</v>
      </c>
      <c r="EI21" s="435">
        <f>Cement!EN21</f>
        <v>955</v>
      </c>
      <c r="EJ21" s="510">
        <f>Cement!EO21</f>
        <v>20740</v>
      </c>
      <c r="EK21" s="435">
        <f>Cement!EP21</f>
        <v>3210</v>
      </c>
      <c r="EL21" s="510">
        <f>Cement!EQ21</f>
        <v>32098</v>
      </c>
      <c r="EM21" s="435">
        <f>Cement!ER21</f>
        <v>4815</v>
      </c>
      <c r="EN21" s="510">
        <f>Cement!ES21</f>
        <v>40874</v>
      </c>
      <c r="EO21" s="435">
        <f>Cement!ET21</f>
        <v>6131</v>
      </c>
      <c r="EP21" s="510">
        <f>Cement!EU21</f>
        <v>50370</v>
      </c>
      <c r="EQ21" s="435">
        <f>Cement!EV21</f>
        <v>7556</v>
      </c>
      <c r="ER21" s="1607">
        <f>Cement!EW21</f>
        <v>50370</v>
      </c>
      <c r="ES21" s="1608">
        <f>Cement!EX21</f>
        <v>7556</v>
      </c>
      <c r="ET21" s="1609">
        <f>Cement!EY21</f>
        <v>6.9120418848167535</v>
      </c>
    </row>
    <row r="22" spans="1:150" ht="35" customHeight="1">
      <c r="A22" s="100">
        <f>Cement!A22</f>
        <v>9.2730653097207458</v>
      </c>
      <c r="B22" s="100">
        <f>Cement!B22</f>
        <v>-5.2094126947273356</v>
      </c>
      <c r="C22" s="1585">
        <f ca="1">Cement!C22</f>
        <v>0.11050072754218415</v>
      </c>
      <c r="D22" s="1650">
        <f>Cement!D22</f>
        <v>1.6754968860582222</v>
      </c>
      <c r="E22" s="1412">
        <f>Cement!E22</f>
        <v>-2.0000000000000018</v>
      </c>
      <c r="F22" s="1413">
        <f>Cement!F22</f>
        <v>-4.299999999999998</v>
      </c>
      <c r="G22" s="2125">
        <f>Cement!G22</f>
        <v>-15.65314791497916</v>
      </c>
      <c r="H22" s="2115">
        <f>Cement!H22</f>
        <v>0.61215805471124618</v>
      </c>
      <c r="I22" s="2301">
        <f>Cement!I22</f>
        <v>0.36524100475220639</v>
      </c>
      <c r="J22" s="2115">
        <f>Cement!J22</f>
        <v>0.55516514406184114</v>
      </c>
      <c r="K22" s="1942">
        <f>Cement!K22</f>
        <v>15</v>
      </c>
      <c r="L22" s="1575">
        <f>Cement!L22</f>
        <v>24</v>
      </c>
      <c r="M22" s="1587" t="str">
        <f>Cement!M22</f>
        <v>N</v>
      </c>
      <c r="N22" s="1587" t="str">
        <f>Cement!N22</f>
        <v>B</v>
      </c>
      <c r="O22" s="179" t="str">
        <f>Cement!O22</f>
        <v/>
      </c>
      <c r="P22" s="124" t="str">
        <f>Cement!P22</f>
        <v>سيمان ساوه</v>
      </c>
      <c r="Q22" s="1973" t="str">
        <f>Cement!Q22</f>
        <v>ساوه</v>
      </c>
      <c r="R22" s="59">
        <f>Cement!R22</f>
        <v>12</v>
      </c>
      <c r="S22" s="66">
        <f>Cement!S22</f>
        <v>17782.426080000001</v>
      </c>
      <c r="T22" s="258">
        <f>Cement!T22</f>
        <v>10350</v>
      </c>
      <c r="U22" s="338">
        <f>Cement!U22</f>
        <v>2.99</v>
      </c>
      <c r="V22" s="263">
        <f>Cement!V22</f>
        <v>10350</v>
      </c>
      <c r="W22" s="337">
        <f>Cement!W22</f>
        <v>2.99</v>
      </c>
      <c r="X22" s="661" t="str">
        <f>Cement!Y22</f>
        <v/>
      </c>
      <c r="Y22" s="1031">
        <f>Cement!Z22</f>
        <v>5.3960768136557674E-2</v>
      </c>
      <c r="Z22" s="511">
        <f ca="1">Cement!AA22</f>
        <v>0.13068493150684932</v>
      </c>
      <c r="AA22" s="823">
        <f ca="1">Cement!AB22</f>
        <v>14.476257239677668</v>
      </c>
      <c r="AB22" s="1150">
        <f>Cement!AD22</f>
        <v>-2.1168818186822199E-2</v>
      </c>
      <c r="AC22" s="1150">
        <f>Cement!AE22</f>
        <v>0.99399260820811852</v>
      </c>
      <c r="AD22" s="1150">
        <f>Cement!AF22</f>
        <v>1.135514120331452</v>
      </c>
      <c r="AE22" s="1150">
        <f>Cement!AG22</f>
        <v>3.920427802988379</v>
      </c>
      <c r="AF22" s="275">
        <f ca="1">Cement!AH22</f>
        <v>312</v>
      </c>
      <c r="AG22" s="1120">
        <f>Cement!AI22</f>
        <v>46186</v>
      </c>
      <c r="AH22" s="1430">
        <f>Cement!AJ22</f>
        <v>46285</v>
      </c>
      <c r="AI22" s="23">
        <f>Cement!AK22</f>
        <v>2480000</v>
      </c>
      <c r="AJ22" s="23">
        <f>Cement!AL22</f>
        <v>2580000</v>
      </c>
      <c r="AK22" s="29">
        <f>Cement!AM22</f>
        <v>17181088000</v>
      </c>
      <c r="AL22" s="1225">
        <f>Cement!AN22</f>
        <v>0.1212</v>
      </c>
      <c r="AM22" s="174">
        <f>Cement!AO22</f>
        <v>6390</v>
      </c>
      <c r="AN22" s="1010">
        <f>Cement!AP22</f>
        <v>5941</v>
      </c>
      <c r="AO22" s="1010">
        <f>Cement!AQ22</f>
        <v>2826</v>
      </c>
      <c r="AP22" s="766">
        <f>Cement!AR22</f>
        <v>8514.9155015197575</v>
      </c>
      <c r="AQ22" s="984">
        <f>Cement!AS22</f>
        <v>4</v>
      </c>
      <c r="AR22" s="6">
        <f>Cement!AT22</f>
        <v>2.0883855015150958</v>
      </c>
      <c r="AS22" s="99">
        <f>Cement!AU22</f>
        <v>3.3793716616147318</v>
      </c>
      <c r="AT22" s="16">
        <f>Cement!AV22</f>
        <v>2011</v>
      </c>
      <c r="AU22" s="16">
        <f>Cement!AW22</f>
        <v>1000</v>
      </c>
      <c r="AV22" s="1740">
        <f>Cement!AX22</f>
        <v>0.497</v>
      </c>
      <c r="AW22" s="1363">
        <f>Cement!AY22</f>
        <v>0.51700000000000002</v>
      </c>
      <c r="AX22" s="1084">
        <f>Cement!AZ22</f>
        <v>0.47599999999999998</v>
      </c>
      <c r="AY22" s="1366">
        <f>Cement!BA22</f>
        <v>0.54800000000000004</v>
      </c>
      <c r="AZ22" s="99">
        <f>Cement!BB22</f>
        <v>-4.299999999999998</v>
      </c>
      <c r="BA22" s="1740">
        <f>Cement!BC22</f>
        <v>0.38800000000000001</v>
      </c>
      <c r="BB22" s="1363">
        <f>Cement!BD22</f>
        <v>0.43099999999999999</v>
      </c>
      <c r="BC22" s="1357">
        <f>Cement!BE22</f>
        <v>0.35699999999999998</v>
      </c>
      <c r="BD22" s="1367">
        <f>Cement!BF22</f>
        <v>0.46400000000000002</v>
      </c>
      <c r="BE22" s="306">
        <f>Cement!BG22</f>
        <v>0.10899999999999999</v>
      </c>
      <c r="BF22" s="99">
        <f>Cement!BJ22</f>
        <v>0</v>
      </c>
      <c r="BG22" s="306">
        <f>Cement!BK22</f>
        <v>0.43324617093414536</v>
      </c>
      <c r="BH22" s="99">
        <f>Cement!BL22</f>
        <v>5</v>
      </c>
      <c r="BI22" s="15">
        <f>Cement!BM22</f>
        <v>0</v>
      </c>
      <c r="BJ22" s="1356">
        <f>Cement!BN22</f>
        <v>3</v>
      </c>
      <c r="BK22" s="842">
        <f>Cement!BO22</f>
        <v>1</v>
      </c>
      <c r="BL22" s="16">
        <f>Cement!BP22</f>
        <v>480</v>
      </c>
      <c r="BM22" s="16">
        <f>Cement!BQ22</f>
        <v>0</v>
      </c>
      <c r="BN22" s="16">
        <f>Cement!BR22</f>
        <v>0</v>
      </c>
      <c r="BO22" s="1251">
        <f>Cement!BS22</f>
        <v>2003.8237477100786</v>
      </c>
      <c r="BP22" s="1246">
        <f>Cement!BT22</f>
        <v>1920.7165460068652</v>
      </c>
      <c r="BQ22" s="406">
        <f>Cement!BU22</f>
        <v>0</v>
      </c>
      <c r="BR22" s="407">
        <f>Cement!BV22</f>
        <v>5.274503113941778</v>
      </c>
      <c r="BS22" s="99">
        <f>Cement!BW22</f>
        <v>-1.3725155697088898</v>
      </c>
      <c r="BT22" s="18">
        <f>Cement!BX22</f>
        <v>3371.3936072948331</v>
      </c>
      <c r="BU22" s="18">
        <f>Cement!BY22</f>
        <v>2558.6224575539568</v>
      </c>
      <c r="BV22" s="19">
        <f>Cement!BZ22</f>
        <v>4231.9130042553197</v>
      </c>
      <c r="BW22" s="266">
        <f>Cement!CB22</f>
        <v>1489</v>
      </c>
      <c r="BX22" s="267">
        <f>Cement!CC22</f>
        <v>6.95</v>
      </c>
      <c r="BY22" s="99">
        <f>Cement!CD22</f>
        <v>-5.8500000000000005</v>
      </c>
      <c r="BZ22" s="17">
        <f>Cement!CE22</f>
        <v>1.4679389523939388</v>
      </c>
      <c r="CA22" s="99">
        <f>Cement!CF22</f>
        <v>2.1282441904242448</v>
      </c>
      <c r="CB22" s="103">
        <f>Cement!CG22</f>
        <v>0.50804605293773852</v>
      </c>
      <c r="CC22" s="99">
        <f>Cement!CH22</f>
        <v>1.6206907940660775</v>
      </c>
      <c r="CD22" s="20">
        <f>Cement!CI22</f>
        <v>0</v>
      </c>
      <c r="CE22" s="691">
        <f>Cement!CJ22</f>
        <v>1718.1088</v>
      </c>
      <c r="CF22" s="419">
        <f>Cement!CK22</f>
        <v>166</v>
      </c>
      <c r="CG22" s="468">
        <f>Cement!CL22</f>
        <v>139</v>
      </c>
      <c r="CH22" s="843">
        <f>Cement!CM22</f>
        <v>44</v>
      </c>
      <c r="CI22" s="21">
        <f>Cement!CN22</f>
        <v>825</v>
      </c>
      <c r="CJ22" s="21">
        <f>Cement!CO22</f>
        <v>0</v>
      </c>
      <c r="CK22" s="469">
        <f>Cement!CP22</f>
        <v>825</v>
      </c>
      <c r="CL22" s="1239">
        <f>Cement!CQ22</f>
        <v>1101.2624048632219</v>
      </c>
      <c r="CM22" s="21">
        <f>Cement!CR22</f>
        <v>991</v>
      </c>
      <c r="CN22" s="16">
        <f>Cement!CS22</f>
        <v>-33</v>
      </c>
      <c r="CO22" s="154" t="str">
        <f>Cement!CT22</f>
        <v/>
      </c>
      <c r="CP22" s="693">
        <f>Cement!CU22</f>
        <v>2853</v>
      </c>
      <c r="CQ22" s="49">
        <f>Cement!CV22</f>
        <v>4701</v>
      </c>
      <c r="CR22" s="1389">
        <f>Cement!CW22</f>
        <v>260</v>
      </c>
      <c r="CS22" s="49">
        <f>Cement!CX22</f>
        <v>248</v>
      </c>
      <c r="CT22" s="53">
        <f>Cement!CY22</f>
        <v>4949</v>
      </c>
      <c r="CU22" s="6">
        <f>Cement!CZ22</f>
        <v>0.80472239948947033</v>
      </c>
      <c r="CV22" s="99">
        <f>Cement!DA22</f>
        <v>-3.162220804084237</v>
      </c>
      <c r="CW22" s="53">
        <f>Cement!DB22</f>
        <v>7802</v>
      </c>
      <c r="CX22" s="645">
        <f>Cement!DC22</f>
        <v>0.63432453217123819</v>
      </c>
      <c r="CY22" s="13">
        <f>Cement!DD22</f>
        <v>4019</v>
      </c>
      <c r="CZ22" s="24">
        <f>Cement!DE22</f>
        <v>3816</v>
      </c>
      <c r="DA22" s="24">
        <f>Cement!DF22</f>
        <v>176</v>
      </c>
      <c r="DB22" s="51">
        <f>Cement!DG22</f>
        <v>3783</v>
      </c>
      <c r="DC22" s="8">
        <f>Cement!DH22</f>
        <v>-918</v>
      </c>
      <c r="DD22" s="644">
        <f>Cement!DI22</f>
        <v>-9.2755070822655306</v>
      </c>
      <c r="DE22" s="22">
        <f>Cement!DJ22</f>
        <v>2394</v>
      </c>
      <c r="DF22" s="1390">
        <f>Cement!DK22</f>
        <v>517</v>
      </c>
      <c r="DG22" s="22">
        <f>Cement!DL22</f>
        <v>165</v>
      </c>
      <c r="DH22" s="138">
        <f>Cement!DM22</f>
        <v>0.63432453217123819</v>
      </c>
      <c r="DI22" s="99">
        <f>Cement!DN22</f>
        <v>-0.34194720212517682</v>
      </c>
      <c r="DJ22" s="138">
        <f>Cement!DO22</f>
        <v>-2.0085479052742782E-2</v>
      </c>
      <c r="DK22" s="99">
        <f>Cement!DP22</f>
        <v>0</v>
      </c>
      <c r="DL22" s="1431">
        <f>Cement!DQ22</f>
        <v>175</v>
      </c>
      <c r="DM22" s="8">
        <f>Cement!DR22</f>
        <v>532</v>
      </c>
      <c r="DN22" s="23" t="str">
        <f>Cement!DS22</f>
        <v>G</v>
      </c>
      <c r="DO22" s="7">
        <f>Cement!DT22</f>
        <v>37.938270353302613</v>
      </c>
      <c r="DP22" s="8">
        <f>Cement!DU22</f>
        <v>21953.294999999998</v>
      </c>
      <c r="DQ22" s="32">
        <f>Cement!DV22</f>
        <v>1.2345500496521675</v>
      </c>
      <c r="DR22" s="99">
        <f>Cement!DW22</f>
        <v>4.6910009930433505</v>
      </c>
      <c r="DS22" s="14">
        <f>Cement!DX22</f>
        <v>3433.4336699676442</v>
      </c>
      <c r="DT22" s="99">
        <f>Cement!DY22</f>
        <v>9.7914770114047318</v>
      </c>
      <c r="DU22" s="103">
        <f>Cement!DZ22</f>
        <v>0.39593976084590632</v>
      </c>
      <c r="DV22" s="99">
        <f>Cement!EA22</f>
        <v>-2.8389392339940267</v>
      </c>
      <c r="DW22" s="103">
        <f>Cement!EB22</f>
        <v>5.2790346907993967E-2</v>
      </c>
      <c r="DX22" s="99">
        <f>Cement!EC22</f>
        <v>0.52790346907993968</v>
      </c>
      <c r="DY22" s="8">
        <f>Cement!ED22</f>
        <v>5419.96</v>
      </c>
      <c r="DZ22" s="8">
        <f>Cement!EE22</f>
        <v>6914.5795656247146</v>
      </c>
      <c r="EA22" s="235">
        <f>Cement!EF22</f>
        <v>96.617862617315041</v>
      </c>
      <c r="EB22" s="8">
        <f>Cement!EG22</f>
        <v>6215.5787141210149</v>
      </c>
      <c r="EC22" s="411">
        <f>Cement!EH22</f>
        <v>99</v>
      </c>
      <c r="ED22" s="1338">
        <f>Cement!EI22</f>
        <v>1300</v>
      </c>
      <c r="EE22" s="821">
        <f>Cement!EJ22</f>
        <v>0.11690647482014388</v>
      </c>
      <c r="EF22" s="502">
        <f>Cement!EK22</f>
        <v>25.43</v>
      </c>
      <c r="EG22" s="502">
        <f>Cement!EL22</f>
        <v>0</v>
      </c>
      <c r="EH22" s="510">
        <f>Cement!EM22</f>
        <v>55600</v>
      </c>
      <c r="EI22" s="435">
        <f>Cement!EN22</f>
        <v>3614</v>
      </c>
      <c r="EJ22" s="510">
        <f>Cement!EO22</f>
        <v>128100</v>
      </c>
      <c r="EK22" s="435">
        <f>Cement!EP22</f>
        <v>8327</v>
      </c>
      <c r="EL22" s="510">
        <f>Cement!EQ22</f>
        <v>137200</v>
      </c>
      <c r="EM22" s="435">
        <f>Cement!ER22</f>
        <v>8918</v>
      </c>
      <c r="EN22" s="510">
        <f>Cement!ES22</f>
        <v>1076</v>
      </c>
      <c r="EO22" s="435">
        <f>Cement!ET22</f>
        <v>18167</v>
      </c>
      <c r="EP22" s="510">
        <f>Cement!EU22</f>
        <v>9820</v>
      </c>
      <c r="EQ22" s="435">
        <f>Cement!EV22</f>
        <v>16872</v>
      </c>
      <c r="ER22" s="1607">
        <f>Cement!EW22</f>
        <v>9820</v>
      </c>
      <c r="ES22" s="1608">
        <f>Cement!EX22</f>
        <v>16872</v>
      </c>
      <c r="ET22" s="1609">
        <f>Cement!EY22</f>
        <v>3.6685113447703377</v>
      </c>
    </row>
    <row r="23" spans="1:150" ht="35" customHeight="1">
      <c r="A23" s="100">
        <f>Cement!A23</f>
        <v>8.9839762773261249</v>
      </c>
      <c r="B23" s="100">
        <f>Cement!B23</f>
        <v>0.59572866302527594</v>
      </c>
      <c r="C23" s="1585">
        <f ca="1">Cement!C23</f>
        <v>0.18845039821463286</v>
      </c>
      <c r="D23" s="1650">
        <f>Cement!D23</f>
        <v>0.98954066987665801</v>
      </c>
      <c r="E23" s="1412">
        <f>Cement!E23</f>
        <v>4.4000000000000039</v>
      </c>
      <c r="F23" s="1413">
        <f>Cement!F23</f>
        <v>1.8000000000000016</v>
      </c>
      <c r="G23" s="2125">
        <f>Cement!G23</f>
        <v>0.79190865643614661</v>
      </c>
      <c r="H23" s="2115">
        <f>Cement!H23</f>
        <v>0.82807498856881578</v>
      </c>
      <c r="I23" s="2301">
        <f>Cement!I23</f>
        <v>0.54595015576323991</v>
      </c>
      <c r="J23" s="2115">
        <f>Cement!J23</f>
        <v>0.67243975903614461</v>
      </c>
      <c r="K23" s="1942">
        <f>Cement!K23</f>
        <v>7</v>
      </c>
      <c r="L23" s="1575">
        <f>Cement!L23</f>
        <v>13</v>
      </c>
      <c r="M23" s="1588" t="str">
        <f>Cement!M23</f>
        <v>B</v>
      </c>
      <c r="N23" s="1587" t="str">
        <f>Cement!N23</f>
        <v>B</v>
      </c>
      <c r="O23" s="179" t="str">
        <f>Cement!O23</f>
        <v/>
      </c>
      <c r="P23" s="124" t="str">
        <f>Cement!P23</f>
        <v>سيمان ‌مازندران‌</v>
      </c>
      <c r="Q23" s="1973" t="str">
        <f>Cement!Q23</f>
        <v>سمازن</v>
      </c>
      <c r="R23" s="59">
        <f>Cement!R23</f>
        <v>9</v>
      </c>
      <c r="S23" s="66">
        <f>Cement!S23</f>
        <v>18635.562000000002</v>
      </c>
      <c r="T23" s="258">
        <f>Cement!T23</f>
        <v>75570</v>
      </c>
      <c r="U23" s="338">
        <f>Cement!U23</f>
        <v>3</v>
      </c>
      <c r="V23" s="263">
        <f>Cement!V23</f>
        <v>75570</v>
      </c>
      <c r="W23" s="337">
        <f>Cement!W23</f>
        <v>3</v>
      </c>
      <c r="X23" s="661" t="str">
        <f>Cement!Y23</f>
        <v/>
      </c>
      <c r="Y23" s="1031">
        <f>Cement!Z23</f>
        <v>0.97829745222929954</v>
      </c>
      <c r="Z23" s="511">
        <f ca="1">Cement!AA23</f>
        <v>0.43643835616438359</v>
      </c>
      <c r="AA23" s="823">
        <f ca="1">Cement!AB23</f>
        <v>-30.613508252255134</v>
      </c>
      <c r="AB23" s="1150">
        <f>Cement!AD23</f>
        <v>0.80227872340425543</v>
      </c>
      <c r="AC23" s="1150">
        <f>Cement!AE23</f>
        <v>2.3445014357501797</v>
      </c>
      <c r="AD23" s="1150">
        <f>Cement!AF23</f>
        <v>3.6219151785714292</v>
      </c>
      <c r="AE23" s="1150">
        <f>Cement!AG23</f>
        <v>5.6722384532760479</v>
      </c>
      <c r="AF23" s="275">
        <f ca="1">Cement!AH23</f>
        <v>188</v>
      </c>
      <c r="AG23" s="1120">
        <f>Cement!AI23</f>
        <v>46062</v>
      </c>
      <c r="AH23" s="1430">
        <f>Cement!AJ23</f>
        <v>46147</v>
      </c>
      <c r="AI23" s="23">
        <f>Cement!AK23</f>
        <v>2200000</v>
      </c>
      <c r="AJ23" s="23">
        <f>Cement!AL23</f>
        <v>2280000</v>
      </c>
      <c r="AK23" s="29">
        <f>Cement!AM23</f>
        <v>2466000000</v>
      </c>
      <c r="AL23" s="1225">
        <f>Cement!AN23</f>
        <v>0.2445</v>
      </c>
      <c r="AM23" s="174">
        <f>Cement!AO23</f>
        <v>5652</v>
      </c>
      <c r="AN23" s="1010">
        <f>Cement!AP23</f>
        <v>4210</v>
      </c>
      <c r="AO23" s="1010">
        <f>Cement!AQ23</f>
        <v>2151</v>
      </c>
      <c r="AP23" s="766">
        <f>Cement!AR23</f>
        <v>7066.7764223659287</v>
      </c>
      <c r="AQ23" s="984">
        <f>Cement!AS23</f>
        <v>4</v>
      </c>
      <c r="AR23" s="6">
        <f>Cement!AT23</f>
        <v>2.6361612263605521</v>
      </c>
      <c r="AS23" s="99">
        <f>Cement!AU23</f>
        <v>-2.0983855868398305</v>
      </c>
      <c r="AT23" s="16">
        <f>Cement!AV23</f>
        <v>3269</v>
      </c>
      <c r="AU23" s="16">
        <f>Cement!AW23</f>
        <v>1792</v>
      </c>
      <c r="AV23" s="1740">
        <f>Cement!AX23</f>
        <v>0.54800000000000004</v>
      </c>
      <c r="AW23" s="1363">
        <f>Cement!AY23</f>
        <v>0.504</v>
      </c>
      <c r="AX23" s="1084">
        <f>Cement!AZ23</f>
        <v>0.51100000000000001</v>
      </c>
      <c r="AY23" s="1366">
        <f>Cement!BA23</f>
        <v>0.50900000000000001</v>
      </c>
      <c r="AZ23" s="99">
        <f>Cement!BB23</f>
        <v>1.8000000000000016</v>
      </c>
      <c r="BA23" s="1740">
        <f>Cement!BC23</f>
        <v>0.46</v>
      </c>
      <c r="BB23" s="1363">
        <f>Cement!BD23</f>
        <v>0.442</v>
      </c>
      <c r="BC23" s="1357">
        <f>Cement!BE23</f>
        <v>0.45100000000000001</v>
      </c>
      <c r="BD23" s="1367">
        <f>Cement!BF23</f>
        <v>0.434</v>
      </c>
      <c r="BE23" s="306">
        <f>Cement!BG23</f>
        <v>8.8000000000000023E-2</v>
      </c>
      <c r="BF23" s="99">
        <f>Cement!BJ23</f>
        <v>0</v>
      </c>
      <c r="BG23" s="306">
        <f>Cement!BK23</f>
        <v>0.6785692214645912</v>
      </c>
      <c r="BH23" s="99">
        <f>Cement!BL23</f>
        <v>-5</v>
      </c>
      <c r="BI23" s="15">
        <f>Cement!BM23</f>
        <v>0</v>
      </c>
      <c r="BJ23" s="1356">
        <f>Cement!BN23</f>
        <v>3</v>
      </c>
      <c r="BK23" s="842">
        <f>Cement!BO23</f>
        <v>2</v>
      </c>
      <c r="BL23" s="16">
        <f>Cement!BP23</f>
        <v>2087</v>
      </c>
      <c r="BM23" s="16">
        <f>Cement!BQ23</f>
        <v>6896</v>
      </c>
      <c r="BN23" s="16">
        <f>Cement!BR23</f>
        <v>0</v>
      </c>
      <c r="BO23" s="1251">
        <f>Cement!BS23</f>
        <v>14147.271509685026</v>
      </c>
      <c r="BP23" s="1246">
        <f>Cement!BT23</f>
        <v>13787.510137875101</v>
      </c>
      <c r="BQ23" s="406">
        <f>Cement!BU23</f>
        <v>0</v>
      </c>
      <c r="BR23" s="407">
        <f>Cement!BV23</f>
        <v>5.4104593301233423</v>
      </c>
      <c r="BS23" s="99">
        <f>Cement!BW23</f>
        <v>-2.0522966506167117</v>
      </c>
      <c r="BT23" s="18">
        <f>Cement!BX23</f>
        <v>3444.358577144164</v>
      </c>
      <c r="BU23" s="18">
        <f>Cement!BY23</f>
        <v>2911.8065624999999</v>
      </c>
      <c r="BV23" s="19">
        <f>Cement!BZ23</f>
        <v>3872.5934794565292</v>
      </c>
      <c r="BW23" s="266">
        <f>Cement!CB23</f>
        <v>11804</v>
      </c>
      <c r="BX23" s="267">
        <f>Cement!CC23</f>
        <v>6.4</v>
      </c>
      <c r="BY23" s="99">
        <f>Cement!CD23</f>
        <v>-4.2000000000000011</v>
      </c>
      <c r="BZ23" s="17">
        <f>Cement!CE23</f>
        <v>0.64279021780470469</v>
      </c>
      <c r="CA23" s="99">
        <f>Cement!CF23</f>
        <v>5.4288391287811812</v>
      </c>
      <c r="CB23" s="103">
        <f>Cement!CG23</f>
        <v>0.72881053261620055</v>
      </c>
      <c r="CC23" s="99">
        <f>Cement!CH23</f>
        <v>4.9321579892430076</v>
      </c>
      <c r="CD23" s="20">
        <f>Cement!CI23</f>
        <v>0</v>
      </c>
      <c r="CE23" s="691">
        <f>Cement!CJ23</f>
        <v>246.6</v>
      </c>
      <c r="CF23" s="419">
        <f>Cement!CK23</f>
        <v>298</v>
      </c>
      <c r="CG23" s="468">
        <f>Cement!CL23</f>
        <v>238</v>
      </c>
      <c r="CH23" s="843">
        <f>Cement!CM23</f>
        <v>196</v>
      </c>
      <c r="CI23" s="21">
        <f>Cement!CN23</f>
        <v>1700</v>
      </c>
      <c r="CJ23" s="21">
        <f>Cement!CO23</f>
        <v>1</v>
      </c>
      <c r="CK23" s="469">
        <f>Cement!CP23</f>
        <v>1700</v>
      </c>
      <c r="CL23" s="1239">
        <f>Cement!CQ23</f>
        <v>1897.2516733348577</v>
      </c>
      <c r="CM23" s="21">
        <f>Cement!CR23</f>
        <v>1998</v>
      </c>
      <c r="CN23" s="16">
        <f>Cement!CS23</f>
        <v>0</v>
      </c>
      <c r="CO23" s="154" t="str">
        <f>Cement!CT23</f>
        <v/>
      </c>
      <c r="CP23" s="693">
        <f>Cement!CU23</f>
        <v>2269</v>
      </c>
      <c r="CQ23" s="49">
        <f>Cement!CV23</f>
        <v>2136</v>
      </c>
      <c r="CR23" s="1389">
        <f>Cement!CW23</f>
        <v>272</v>
      </c>
      <c r="CS23" s="49">
        <f>Cement!CX23</f>
        <v>78</v>
      </c>
      <c r="CT23" s="53">
        <f>Cement!CY23</f>
        <v>2214</v>
      </c>
      <c r="CU23" s="6">
        <f>Cement!CZ23</f>
        <v>1.1502808988764044</v>
      </c>
      <c r="CV23" s="99">
        <f>Cement!DA23</f>
        <v>-0.39775280898876453</v>
      </c>
      <c r="CW23" s="53">
        <f>Cement!DB23</f>
        <v>4483</v>
      </c>
      <c r="CX23" s="645">
        <f>Cement!DC23</f>
        <v>0.4938657149230426</v>
      </c>
      <c r="CY23" s="13">
        <f>Cement!DD23</f>
        <v>2026</v>
      </c>
      <c r="CZ23" s="24">
        <f>Cement!DE23</f>
        <v>608</v>
      </c>
      <c r="DA23" s="24">
        <f>Cement!DF23</f>
        <v>1375</v>
      </c>
      <c r="DB23" s="51">
        <f>Cement!DG23</f>
        <v>2457</v>
      </c>
      <c r="DC23" s="8">
        <f>Cement!DH23</f>
        <v>321</v>
      </c>
      <c r="DD23" s="644">
        <f>Cement!DI23</f>
        <v>22.014879820454606</v>
      </c>
      <c r="DE23" s="22">
        <f>Cement!DJ23</f>
        <v>1448</v>
      </c>
      <c r="DF23" s="1390">
        <f>Cement!DK23</f>
        <v>493</v>
      </c>
      <c r="DG23" s="22">
        <f>Cement!DL23</f>
        <v>105</v>
      </c>
      <c r="DH23" s="138">
        <f>Cement!DM23</f>
        <v>0.4938657149230426</v>
      </c>
      <c r="DI23" s="99">
        <f>Cement!DN23</f>
        <v>1.062640970356779</v>
      </c>
      <c r="DJ23" s="138">
        <f>Cement!DO23</f>
        <v>-6.4556220870124595E-2</v>
      </c>
      <c r="DK23" s="99">
        <f>Cement!DP23</f>
        <v>0</v>
      </c>
      <c r="DL23" s="1431">
        <f>Cement!DQ23</f>
        <v>22</v>
      </c>
      <c r="DM23" s="8">
        <f>Cement!DR23</f>
        <v>389</v>
      </c>
      <c r="DN23" s="23" t="str">
        <f>Cement!DS23</f>
        <v>G</v>
      </c>
      <c r="DO23" s="7">
        <f>Cement!DT23</f>
        <v>44.818571428571431</v>
      </c>
      <c r="DP23" s="8">
        <f>Cement!DU23</f>
        <v>19717.424999999999</v>
      </c>
      <c r="DQ23" s="32">
        <f>Cement!DV23</f>
        <v>1.0580536825237681</v>
      </c>
      <c r="DR23" s="99">
        <f>Cement!DW23</f>
        <v>1.1610736504753616</v>
      </c>
      <c r="DS23" s="14">
        <f>Cement!DX23</f>
        <v>3212.171101075422</v>
      </c>
      <c r="DT23" s="99">
        <f>Cement!DY23</f>
        <v>7.2271739638254884</v>
      </c>
      <c r="DU23" s="103">
        <f>Cement!DZ23</f>
        <v>0.48740166255196266</v>
      </c>
      <c r="DV23" s="99">
        <f>Cement!EA23</f>
        <v>-9.5082182812336602E-2</v>
      </c>
      <c r="DW23" s="103">
        <f>Cement!EB23</f>
        <v>0.12156078039019509</v>
      </c>
      <c r="DX23" s="99">
        <f>Cement!EC23</f>
        <v>1.2156078039019509</v>
      </c>
      <c r="DY23" s="8">
        <f>Cement!ED23</f>
        <v>44383.040000000001</v>
      </c>
      <c r="DZ23" s="8">
        <f>Cement!EE23</f>
        <v>51289.537712895377</v>
      </c>
      <c r="EA23" s="235">
        <f>Cement!EF23</f>
        <v>1208.4347120843472</v>
      </c>
      <c r="EB23" s="8">
        <f>Cement!EG23</f>
        <v>48440.506212489861</v>
      </c>
      <c r="EC23" s="411">
        <f>Cement!EH23</f>
        <v>85</v>
      </c>
      <c r="ED23" s="1338">
        <f>Cement!EI23</f>
        <v>8300</v>
      </c>
      <c r="EE23" s="821">
        <f>Cement!EJ23</f>
        <v>0.17849462365591398</v>
      </c>
      <c r="EF23" s="502">
        <f>Cement!EK23</f>
        <v>0.5</v>
      </c>
      <c r="EG23" s="502">
        <f>Cement!EL23</f>
        <v>0</v>
      </c>
      <c r="EH23" s="510">
        <f>Cement!EM23</f>
        <v>8900</v>
      </c>
      <c r="EI23" s="435">
        <f>Cement!EN23</f>
        <v>2793</v>
      </c>
      <c r="EJ23" s="510">
        <f>Cement!EO23</f>
        <v>16350</v>
      </c>
      <c r="EK23" s="435">
        <f>Cement!EP23</f>
        <v>4032</v>
      </c>
      <c r="EL23" s="510">
        <f>Cement!EQ23</f>
        <v>22595</v>
      </c>
      <c r="EM23" s="435">
        <f>Cement!ER23</f>
        <v>5572</v>
      </c>
      <c r="EN23" s="510">
        <f>Cement!ES23</f>
        <v>41930</v>
      </c>
      <c r="EO23" s="435">
        <f>Cement!ET23</f>
        <v>10340</v>
      </c>
      <c r="EP23" s="510">
        <f>Cement!EU23</f>
        <v>38200</v>
      </c>
      <c r="EQ23" s="435">
        <f>Cement!EV23</f>
        <v>9420</v>
      </c>
      <c r="ER23" s="1607">
        <f>Cement!EW23</f>
        <v>38200</v>
      </c>
      <c r="ES23" s="1608">
        <f>Cement!EX23</f>
        <v>9420</v>
      </c>
      <c r="ET23" s="1609">
        <f>Cement!EY23</f>
        <v>2.372717508055854</v>
      </c>
    </row>
    <row r="24" spans="1:150" ht="35" customHeight="1">
      <c r="A24" s="100">
        <f>Cement!A24</f>
        <v>4.272015472959688</v>
      </c>
      <c r="B24" s="100">
        <f>Cement!B24</f>
        <v>-4.4516515234771852</v>
      </c>
      <c r="C24" s="1585">
        <f ca="1">Cement!C24</f>
        <v>0.17284578726227787</v>
      </c>
      <c r="D24" s="1650">
        <f>Cement!D24</f>
        <v>0.39333218675961756</v>
      </c>
      <c r="E24" s="1412">
        <f>Cement!E24</f>
        <v>-4.0999999999999925</v>
      </c>
      <c r="F24" s="1413">
        <f>Cement!F24</f>
        <v>-22.1</v>
      </c>
      <c r="G24" s="2125">
        <f>Cement!G24</f>
        <v>9.2886182945861044</v>
      </c>
      <c r="H24" s="2115">
        <f>Cement!H24</f>
        <v>0.44089456869009586</v>
      </c>
      <c r="I24" s="2301">
        <f>Cement!I24</f>
        <v>0.31492842535787319</v>
      </c>
      <c r="J24" s="2115">
        <f>Cement!J24</f>
        <v>0.69736842105263153</v>
      </c>
      <c r="K24" s="1942">
        <f>Cement!K24</f>
        <v>21</v>
      </c>
      <c r="L24" s="1575">
        <f>Cement!L24</f>
        <v>19</v>
      </c>
      <c r="M24" s="1582" t="str">
        <f>Cement!M24</f>
        <v>N</v>
      </c>
      <c r="N24" s="1582" t="str">
        <f>Cement!N24</f>
        <v>N</v>
      </c>
      <c r="O24" s="179" t="str">
        <f>Cement!O24</f>
        <v/>
      </c>
      <c r="P24" s="124" t="str">
        <f>Cement!P24</f>
        <v>سیمان اردستان</v>
      </c>
      <c r="Q24" s="1974" t="str">
        <f>Cement!Q24</f>
        <v>اردستان</v>
      </c>
      <c r="R24" s="59">
        <f>Cement!R24</f>
        <v>12</v>
      </c>
      <c r="S24" s="66">
        <f>Cement!S24</f>
        <v>6010.96</v>
      </c>
      <c r="T24" s="258">
        <f>Cement!T24</f>
        <v>26480</v>
      </c>
      <c r="U24" s="338">
        <f>Cement!U24</f>
        <v>2.99</v>
      </c>
      <c r="V24" s="263">
        <f>Cement!V24</f>
        <v>26480</v>
      </c>
      <c r="W24" s="337">
        <f>Cement!W24</f>
        <v>2.99</v>
      </c>
      <c r="X24" s="661" t="str">
        <f>Cement!Y24</f>
        <v/>
      </c>
      <c r="Y24" s="1031">
        <f>Cement!Z24</f>
        <v>7.2045657214196548E-2</v>
      </c>
      <c r="Z24" s="511">
        <f ca="1">Cement!AA24</f>
        <v>5.917808219178082E-2</v>
      </c>
      <c r="AA24" s="823">
        <f ca="1">Cement!AB24</f>
        <v>-5.3614895926732196</v>
      </c>
      <c r="AB24" s="1150">
        <f>Cement!AD24</f>
        <v>0.11915099609011358</v>
      </c>
      <c r="AC24" s="1150">
        <f>Cement!AE24</f>
        <v>0.81107562518830978</v>
      </c>
      <c r="AD24" s="1150">
        <f>Cement!AF24</f>
        <v>0.9278255291853752</v>
      </c>
      <c r="AE24" s="1150">
        <f>Cement!AG24</f>
        <v>2.0041281423359485</v>
      </c>
      <c r="AF24" s="275">
        <f ca="1">Cement!AH24</f>
        <v>341</v>
      </c>
      <c r="AG24" s="1120">
        <f>Cement!AI24</f>
        <v>46215</v>
      </c>
      <c r="AH24" s="1430">
        <f>Cement!AJ24</f>
        <v>46262</v>
      </c>
      <c r="AI24" s="23">
        <f>Cement!AK24</f>
        <v>1080000</v>
      </c>
      <c r="AJ24" s="23">
        <f>Cement!AL24</f>
        <v>1120000</v>
      </c>
      <c r="AK24" s="29">
        <f>Cement!AM24</f>
        <v>2270000000</v>
      </c>
      <c r="AL24" s="1225">
        <f>Cement!AN24</f>
        <v>0.82</v>
      </c>
      <c r="AM24" s="174">
        <f>Cement!AO24</f>
        <v>2030</v>
      </c>
      <c r="AN24" s="1010">
        <f>Cement!AP24</f>
        <v>1894</v>
      </c>
      <c r="AO24" s="1010">
        <f>Cement!AQ24</f>
        <v>1089</v>
      </c>
      <c r="AP24" s="766">
        <f>Cement!AR24</f>
        <v>2583.5271565495204</v>
      </c>
      <c r="AQ24" s="984">
        <f>Cement!AS24</f>
        <v>4</v>
      </c>
      <c r="AR24" s="6">
        <f>Cement!AT24</f>
        <v>2.3125052062465068</v>
      </c>
      <c r="AS24" s="99">
        <f>Cement!AU24</f>
        <v>1.1381746143006222</v>
      </c>
      <c r="AT24" s="16">
        <f>Cement!AV24</f>
        <v>892</v>
      </c>
      <c r="AU24" s="16">
        <f>Cement!AW24</f>
        <v>494</v>
      </c>
      <c r="AV24" s="1740">
        <f>Cement!AX24</f>
        <v>0.55400000000000005</v>
      </c>
      <c r="AW24" s="1363">
        <f>Cement!AY24</f>
        <v>0.59499999999999997</v>
      </c>
      <c r="AX24" s="1084">
        <f>Cement!AZ24</f>
        <v>0.57499999999999996</v>
      </c>
      <c r="AY24" s="1366">
        <f>Cement!BA24</f>
        <v>0.53300000000000003</v>
      </c>
      <c r="AZ24" s="99">
        <f>Cement!BB24</f>
        <v>-10</v>
      </c>
      <c r="BA24" s="1740">
        <f>Cement!BC24</f>
        <v>0.32</v>
      </c>
      <c r="BB24" s="1363">
        <f>Cement!BD24</f>
        <v>0.54100000000000004</v>
      </c>
      <c r="BC24" s="1357">
        <f>Cement!BE24</f>
        <v>0.44900000000000001</v>
      </c>
      <c r="BD24" s="1367">
        <f>Cement!BF24</f>
        <v>0.47099999999999997</v>
      </c>
      <c r="BE24" s="306">
        <f>Cement!BG24</f>
        <v>0.23400000000000004</v>
      </c>
      <c r="BF24" s="99">
        <f>Cement!BJ24</f>
        <v>0</v>
      </c>
      <c r="BG24" s="306">
        <f>Cement!BK24</f>
        <v>0.36405868878010583</v>
      </c>
      <c r="BH24" s="99">
        <f>Cement!BL24</f>
        <v>5</v>
      </c>
      <c r="BI24" s="15">
        <f>Cement!BM24</f>
        <v>0</v>
      </c>
      <c r="BJ24" s="1356">
        <f>Cement!BN24</f>
        <v>3</v>
      </c>
      <c r="BK24" s="842">
        <f>Cement!BO24</f>
        <v>1</v>
      </c>
      <c r="BL24" s="16">
        <f>Cement!BP24</f>
        <v>1390</v>
      </c>
      <c r="BM24" s="16">
        <f>Cement!BQ24</f>
        <v>0</v>
      </c>
      <c r="BN24" s="16">
        <f>Cement!BR24</f>
        <v>0</v>
      </c>
      <c r="BO24" s="1251">
        <f>Cement!BS24</f>
        <v>4796.1616303781784</v>
      </c>
      <c r="BP24" s="1246">
        <f>Cement!BT24</f>
        <v>6176.2114537444932</v>
      </c>
      <c r="BQ24" s="406">
        <f>Cement!BU24</f>
        <v>0</v>
      </c>
      <c r="BR24" s="407">
        <f>Cement!BV24</f>
        <v>4.8266678132403822</v>
      </c>
      <c r="BS24" s="99">
        <f>Cement!BW24</f>
        <v>0.86666093379808906</v>
      </c>
      <c r="BT24" s="18">
        <f>Cement!BX24</f>
        <v>1245.3643450479231</v>
      </c>
      <c r="BU24" s="18">
        <f>Cement!BY24</f>
        <v>1151.5249042145595</v>
      </c>
      <c r="BV24" s="19">
        <f>Cement!BZ24</f>
        <v>1431.2740447284345</v>
      </c>
      <c r="BW24" s="266">
        <f>Cement!CB24</f>
        <v>5074</v>
      </c>
      <c r="BX24" s="267">
        <f>Cement!CC24</f>
        <v>5.22</v>
      </c>
      <c r="BY24" s="99">
        <f>Cement!CD24</f>
        <v>-0.65999999999999925</v>
      </c>
      <c r="BZ24" s="17">
        <f>Cement!CE24</f>
        <v>1.7111458252950036</v>
      </c>
      <c r="CA24" s="99">
        <f>Cement!CF24</f>
        <v>1.1554166988199857</v>
      </c>
      <c r="CB24" s="103">
        <f>Cement!CG24</f>
        <v>0.42988068520811978</v>
      </c>
      <c r="CC24" s="99">
        <f>Cement!CH24</f>
        <v>0.44821027812179642</v>
      </c>
      <c r="CD24" s="20">
        <f>Cement!CI24</f>
        <v>0</v>
      </c>
      <c r="CE24" s="691">
        <f>Cement!CJ24</f>
        <v>227</v>
      </c>
      <c r="CF24" s="419">
        <f>Cement!CK24</f>
        <v>183</v>
      </c>
      <c r="CG24" s="468">
        <f>Cement!CL24</f>
        <v>262</v>
      </c>
      <c r="CH24" s="843">
        <f>Cement!CM24</f>
        <v>30</v>
      </c>
      <c r="CI24" s="21">
        <f>Cement!CN24</f>
        <v>315</v>
      </c>
      <c r="CJ24" s="21">
        <f>Cement!CO24</f>
        <v>7</v>
      </c>
      <c r="CK24" s="469">
        <f>Cement!CP24</f>
        <v>350.5</v>
      </c>
      <c r="CL24" s="1239">
        <f>Cement!CQ24</f>
        <v>282.57623003194885</v>
      </c>
      <c r="CM24" s="21">
        <f>Cement!CR24</f>
        <v>498</v>
      </c>
      <c r="CN24" s="16">
        <f>Cement!CS24</f>
        <v>-118</v>
      </c>
      <c r="CO24" s="154" t="str">
        <f>Cement!CT24</f>
        <v/>
      </c>
      <c r="CP24" s="693">
        <f>Cement!CU24</f>
        <v>653</v>
      </c>
      <c r="CQ24" s="49">
        <f>Cement!CV24</f>
        <v>2085</v>
      </c>
      <c r="CR24" s="1389">
        <f>Cement!CW24</f>
        <v>216</v>
      </c>
      <c r="CS24" s="49">
        <f>Cement!CX24</f>
        <v>46</v>
      </c>
      <c r="CT24" s="53">
        <f>Cement!CY24</f>
        <v>2131</v>
      </c>
      <c r="CU24" s="6">
        <f>Cement!CZ24</f>
        <v>1.0762589928057553</v>
      </c>
      <c r="CV24" s="99">
        <f>Cement!DA24</f>
        <v>-0.98992805755395707</v>
      </c>
      <c r="CW24" s="53">
        <f>Cement!DB24</f>
        <v>2784</v>
      </c>
      <c r="CX24" s="645">
        <f>Cement!DC24</f>
        <v>0.76544540229885061</v>
      </c>
      <c r="CY24" s="13">
        <f>Cement!DD24</f>
        <v>540</v>
      </c>
      <c r="CZ24" s="24">
        <f>Cement!DE24</f>
        <v>486</v>
      </c>
      <c r="DA24" s="24">
        <f>Cement!DF24</f>
        <v>8</v>
      </c>
      <c r="DB24" s="51">
        <f>Cement!DG24</f>
        <v>2244</v>
      </c>
      <c r="DC24" s="8">
        <f>Cement!DH24</f>
        <v>159</v>
      </c>
      <c r="DD24" s="644">
        <f>Cement!DI24</f>
        <v>16.248598468864909</v>
      </c>
      <c r="DE24" s="22">
        <f>Cement!DJ24</f>
        <v>886</v>
      </c>
      <c r="DF24" s="1390">
        <f>Cement!DK24</f>
        <v>323</v>
      </c>
      <c r="DG24" s="22">
        <f>Cement!DL24</f>
        <v>270</v>
      </c>
      <c r="DH24" s="138">
        <f>Cement!DM24</f>
        <v>0.76544540229885061</v>
      </c>
      <c r="DI24" s="99">
        <f>Cement!DN24</f>
        <v>-1.653155903401301</v>
      </c>
      <c r="DJ24" s="138">
        <f>Cement!DO24</f>
        <v>0.35003778755385601</v>
      </c>
      <c r="DK24" s="99">
        <f>Cement!DP24</f>
        <v>1</v>
      </c>
      <c r="DL24" s="1431">
        <f>Cement!DQ24</f>
        <v>717</v>
      </c>
      <c r="DM24" s="8">
        <f>Cement!DR24</f>
        <v>48</v>
      </c>
      <c r="DN24" s="23" t="str">
        <f>Cement!DS24</f>
        <v>G</v>
      </c>
      <c r="DO24" s="7">
        <f>Cement!DT24</f>
        <v>29.44816774446404</v>
      </c>
      <c r="DP24" s="8">
        <f>Cement!DU24</f>
        <v>10773.945</v>
      </c>
      <c r="DQ24" s="32">
        <f>Cement!DV24</f>
        <v>1.7923834129656493</v>
      </c>
      <c r="DR24" s="99">
        <f>Cement!DW24</f>
        <v>10</v>
      </c>
      <c r="DS24" s="14">
        <f>Cement!DX24</f>
        <v>2392.1547745828893</v>
      </c>
      <c r="DT24" s="99">
        <f>Cement!DY24</f>
        <v>-2.2763330035631268</v>
      </c>
      <c r="DU24" s="103">
        <f>Cement!DZ24</f>
        <v>0.48204035397529688</v>
      </c>
      <c r="DV24" s="99">
        <f>Cement!EA24</f>
        <v>-0.25592144011230999</v>
      </c>
      <c r="DW24" s="103">
        <f>Cement!EB24</f>
        <v>4.9889135254988913E-2</v>
      </c>
      <c r="DX24" s="99">
        <f>Cement!EC24</f>
        <v>0.49889135254988914</v>
      </c>
      <c r="DY24" s="8">
        <f>Cement!ED24</f>
        <v>18469.36</v>
      </c>
      <c r="DZ24" s="8">
        <f>Cement!EE24</f>
        <v>22234.361233480176</v>
      </c>
      <c r="EA24" s="235">
        <f>Cement!EF24</f>
        <v>806.16740088105723</v>
      </c>
      <c r="EB24" s="8">
        <f>Cement!EG24</f>
        <v>20754.944317180616</v>
      </c>
      <c r="EC24" s="411">
        <f>Cement!EH24</f>
        <v>47</v>
      </c>
      <c r="ED24" s="1338">
        <f>Cement!EI24</f>
        <v>4600</v>
      </c>
      <c r="EE24" s="821">
        <f>Cement!EJ24</f>
        <v>0.15699658703071673</v>
      </c>
      <c r="EF24" s="502">
        <f>Cement!EK24</f>
        <v>1</v>
      </c>
      <c r="EG24" s="502">
        <f>Cement!EL24</f>
        <v>0</v>
      </c>
      <c r="EH24" s="510">
        <f>Cement!EM24</f>
        <v>17600</v>
      </c>
      <c r="EI24" s="435">
        <f>Cement!EN24</f>
        <v>2000.9</v>
      </c>
      <c r="EJ24" s="510">
        <f>Cement!EO24</f>
        <v>27470</v>
      </c>
      <c r="EK24" s="435">
        <f>Cement!EP24</f>
        <v>3118</v>
      </c>
      <c r="EL24" s="510">
        <f>Cement!EQ24</f>
        <v>14620</v>
      </c>
      <c r="EM24" s="435">
        <f>Cement!ER24</f>
        <v>3319</v>
      </c>
      <c r="EN24" s="510">
        <f>Cement!ES24</f>
        <v>23660</v>
      </c>
      <c r="EO24" s="435">
        <f>Cement!ET24</f>
        <v>5371</v>
      </c>
      <c r="EP24" s="510">
        <f>Cement!EU24</f>
        <v>24700</v>
      </c>
      <c r="EQ24" s="435">
        <f>Cement!EV24</f>
        <v>5607</v>
      </c>
      <c r="ER24" s="1607">
        <f>Cement!EW24</f>
        <v>24700</v>
      </c>
      <c r="ES24" s="1608">
        <f>Cement!EX24</f>
        <v>5607</v>
      </c>
      <c r="ET24" s="1609">
        <f>Cement!EY24</f>
        <v>1.8022389924533959</v>
      </c>
    </row>
    <row r="25" spans="1:150" ht="35" customHeight="1">
      <c r="A25" s="100">
        <f>Cement!A25</f>
        <v>0.28480263281042628</v>
      </c>
      <c r="B25" s="100">
        <f>Cement!B25</f>
        <v>-12.499714244642416</v>
      </c>
      <c r="C25" s="1585">
        <f ca="1">Cement!C25</f>
        <v>0.15116247642380759</v>
      </c>
      <c r="D25" s="1650">
        <f>Cement!D25</f>
        <v>1.8823795718449121</v>
      </c>
      <c r="E25" s="1412">
        <f>Cement!E25</f>
        <v>-7.2000000000000011</v>
      </c>
      <c r="F25" s="1413">
        <f>Cement!F25</f>
        <v>-8.3000000000000025</v>
      </c>
      <c r="G25" s="2125">
        <f>Cement!G25</f>
        <v>1.0737124910129792</v>
      </c>
      <c r="H25" s="2115">
        <f>Cement!H25</f>
        <v>0.51436031331592691</v>
      </c>
      <c r="I25" s="2301">
        <f>Cement!I25</f>
        <v>0.51459854014598538</v>
      </c>
      <c r="J25" s="2115">
        <f>Cement!J25</f>
        <v>0.80783582089552242</v>
      </c>
      <c r="K25" s="1942">
        <f>Cement!K25</f>
        <v>19</v>
      </c>
      <c r="L25" s="1575">
        <f>Cement!L25</f>
        <v>25</v>
      </c>
      <c r="M25" s="1588" t="str">
        <f>Cement!M25</f>
        <v>N</v>
      </c>
      <c r="N25" s="2200" t="str">
        <f>Cement!N25</f>
        <v>B</v>
      </c>
      <c r="O25" s="179" t="str">
        <f>Cement!O25</f>
        <v/>
      </c>
      <c r="P25" s="124" t="str">
        <f>Cement!P25</f>
        <v>سيمان‌ خزر</v>
      </c>
      <c r="Q25" s="1973" t="str">
        <f>Cement!Q25</f>
        <v>سخزر</v>
      </c>
      <c r="R25" s="59">
        <f>Cement!R25</f>
        <v>12</v>
      </c>
      <c r="S25" s="66">
        <f>Cement!S25</f>
        <v>5142.8999999999996</v>
      </c>
      <c r="T25" s="258">
        <f>Cement!T25</f>
        <v>5530</v>
      </c>
      <c r="U25" s="338">
        <f>Cement!U25</f>
        <v>2.98</v>
      </c>
      <c r="V25" s="263">
        <f>Cement!V25</f>
        <v>5530</v>
      </c>
      <c r="W25" s="337">
        <f>Cement!W25</f>
        <v>2.98</v>
      </c>
      <c r="X25" s="661" t="str">
        <f>Cement!Y25</f>
        <v/>
      </c>
      <c r="Y25" s="1031">
        <f>Cement!Z25</f>
        <v>0.63422306959008568</v>
      </c>
      <c r="Z25" s="511">
        <f ca="1">Cement!AA25</f>
        <v>0.19726027397260273</v>
      </c>
      <c r="AA25" s="823">
        <f ca="1">Cement!AB25</f>
        <v>-54.620349452185373</v>
      </c>
      <c r="AB25" s="1150">
        <f>Cement!AD25</f>
        <v>0.47276632302405486</v>
      </c>
      <c r="AC25" s="1150">
        <f>Cement!AE25</f>
        <v>2.4081510934393635</v>
      </c>
      <c r="AD25" s="1150">
        <f>Cement!AF25</f>
        <v>1.5817771084337346</v>
      </c>
      <c r="AE25" s="1150">
        <f>Cement!AG25</f>
        <v>3.9498556304138592</v>
      </c>
      <c r="AF25" s="275">
        <f ca="1">Cement!AH25</f>
        <v>285</v>
      </c>
      <c r="AG25" s="1120">
        <f>Cement!AI25</f>
        <v>46159</v>
      </c>
      <c r="AH25" s="1430">
        <f>Cement!AJ25</f>
        <v>46194</v>
      </c>
      <c r="AI25" s="23">
        <f>Cement!AK25</f>
        <v>1200000</v>
      </c>
      <c r="AJ25" s="23">
        <f>Cement!AL25</f>
        <v>1250000</v>
      </c>
      <c r="AK25" s="29">
        <f>Cement!AM25</f>
        <v>9300000000</v>
      </c>
      <c r="AL25" s="1225">
        <f>Cement!AN25</f>
        <v>0.28920000000000001</v>
      </c>
      <c r="AM25" s="174">
        <f>Cement!AO25</f>
        <v>2502</v>
      </c>
      <c r="AN25" s="1010">
        <f>Cement!AP25</f>
        <v>2306</v>
      </c>
      <c r="AO25" s="1010">
        <f>Cement!AQ25</f>
        <v>765</v>
      </c>
      <c r="AP25" s="766">
        <f>Cement!AR25</f>
        <v>3291.0574412532637</v>
      </c>
      <c r="AQ25" s="984">
        <f>Cement!AS25</f>
        <v>4</v>
      </c>
      <c r="AR25" s="6">
        <f>Cement!AT25</f>
        <v>1.5626892243003629</v>
      </c>
      <c r="AS25" s="99">
        <f>Cement!AU25</f>
        <v>8.6363344337620607</v>
      </c>
      <c r="AT25" s="16">
        <f>Cement!AV25</f>
        <v>830</v>
      </c>
      <c r="AU25" s="16">
        <f>Cement!AW25</f>
        <v>289</v>
      </c>
      <c r="AV25" s="1740">
        <f>Cement!AX25</f>
        <v>0.34799999999999998</v>
      </c>
      <c r="AW25" s="1363">
        <f>Cement!AY25</f>
        <v>0.42</v>
      </c>
      <c r="AX25" s="1084">
        <f>Cement!AZ25</f>
        <v>0.33200000000000002</v>
      </c>
      <c r="AY25" s="1366">
        <f>Cement!BA25</f>
        <v>0.32800000000000001</v>
      </c>
      <c r="AZ25" s="99">
        <f>Cement!BB25</f>
        <v>-8.3000000000000025</v>
      </c>
      <c r="BA25" s="1740">
        <f>Cement!BC25</f>
        <v>0.28799999999999998</v>
      </c>
      <c r="BB25" s="1363">
        <f>Cement!BD25</f>
        <v>0.371</v>
      </c>
      <c r="BC25" s="1357">
        <f>Cement!BE25</f>
        <v>0.27700000000000002</v>
      </c>
      <c r="BD25" s="1367">
        <f>Cement!BF25</f>
        <v>0.28699999999999998</v>
      </c>
      <c r="BE25" s="306">
        <f>Cement!BG25</f>
        <v>0.06</v>
      </c>
      <c r="BF25" s="99">
        <f>Cement!BJ25</f>
        <v>0</v>
      </c>
      <c r="BG25" s="306">
        <f>Cement!BK25</f>
        <v>0.4271714836310771</v>
      </c>
      <c r="BH25" s="99">
        <f>Cement!BL25</f>
        <v>-5</v>
      </c>
      <c r="BI25" s="15">
        <f>Cement!BM25</f>
        <v>0</v>
      </c>
      <c r="BJ25" s="1356">
        <f>Cement!BN25</f>
        <v>3</v>
      </c>
      <c r="BK25" s="842">
        <f>Cement!BO25</f>
        <v>1</v>
      </c>
      <c r="BL25" s="16">
        <f>Cement!BP25</f>
        <v>296</v>
      </c>
      <c r="BM25" s="16">
        <f>Cement!BQ25</f>
        <v>0</v>
      </c>
      <c r="BN25" s="16">
        <f>Cement!BR25</f>
        <v>0</v>
      </c>
      <c r="BO25" s="1251">
        <f>Cement!BS25</f>
        <v>1094.4349925601505</v>
      </c>
      <c r="BP25" s="1246">
        <f>Cement!BT25</f>
        <v>1187.0967741935483</v>
      </c>
      <c r="BQ25" s="406">
        <f>Cement!BU25</f>
        <v>0</v>
      </c>
      <c r="BR25" s="407">
        <f>Cement!BV25</f>
        <v>4.8476204281550883</v>
      </c>
      <c r="BS25" s="99">
        <f>Cement!BW25</f>
        <v>0.76189785922455844</v>
      </c>
      <c r="BT25" s="18">
        <f>Cement!BX25</f>
        <v>1060.9122715404699</v>
      </c>
      <c r="BU25" s="18">
        <f>Cement!BY25</f>
        <v>764.17533432392258</v>
      </c>
      <c r="BV25" s="19">
        <f>Cement!BZ25</f>
        <v>1145.2879895561357</v>
      </c>
      <c r="BW25" s="266">
        <f>Cement!CB25</f>
        <v>822</v>
      </c>
      <c r="BX25" s="267">
        <f>Cement!CC25</f>
        <v>6.73</v>
      </c>
      <c r="BY25" s="99">
        <f>Cement!CD25</f>
        <v>-5.1900000000000013</v>
      </c>
      <c r="BZ25" s="17">
        <f>Cement!CE25</f>
        <v>1.3714611839556774</v>
      </c>
      <c r="CA25" s="99">
        <f>Cement!CF25</f>
        <v>2.5141552641772904</v>
      </c>
      <c r="CB25" s="103">
        <f>Cement!CG25</f>
        <v>0.39734542005261042</v>
      </c>
      <c r="CC25" s="99">
        <f>Cement!CH25</f>
        <v>-3.9818699210844022E-2</v>
      </c>
      <c r="CD25" s="20">
        <f>Cement!CI25</f>
        <v>0</v>
      </c>
      <c r="CE25" s="691">
        <f>Cement!CJ25</f>
        <v>930</v>
      </c>
      <c r="CF25" s="419">
        <f>Cement!CK25</f>
        <v>70</v>
      </c>
      <c r="CG25" s="468">
        <f>Cement!CL25</f>
        <v>70</v>
      </c>
      <c r="CH25" s="843">
        <f>Cement!CM25</f>
        <v>37</v>
      </c>
      <c r="CI25" s="21">
        <f>Cement!CN25</f>
        <v>276</v>
      </c>
      <c r="CJ25" s="21">
        <f>Cement!CO25</f>
        <v>0</v>
      </c>
      <c r="CK25" s="469">
        <f>Cement!CP25</f>
        <v>276</v>
      </c>
      <c r="CL25" s="1239">
        <f>Cement!CQ25</f>
        <v>315.94151436031325</v>
      </c>
      <c r="CM25" s="21">
        <f>Cement!CR25</f>
        <v>346</v>
      </c>
      <c r="CN25" s="16">
        <f>Cement!CS25</f>
        <v>-47</v>
      </c>
      <c r="CO25" s="154" t="str">
        <f>Cement!CT25</f>
        <v/>
      </c>
      <c r="CP25" s="693">
        <f>Cement!CU25</f>
        <v>1320</v>
      </c>
      <c r="CQ25" s="49">
        <f>Cement!CV25</f>
        <v>1349</v>
      </c>
      <c r="CR25" s="1389">
        <f>Cement!CW25</f>
        <v>194</v>
      </c>
      <c r="CS25" s="49">
        <f>Cement!CX25</f>
        <v>106</v>
      </c>
      <c r="CT25" s="53">
        <f>Cement!CY25</f>
        <v>1455</v>
      </c>
      <c r="CU25" s="6">
        <f>Cement!CZ25</f>
        <v>1.0007412898443291</v>
      </c>
      <c r="CV25" s="99">
        <f>Cement!DA25</f>
        <v>-1.594069681245367</v>
      </c>
      <c r="CW25" s="53">
        <f>Cement!DB25</f>
        <v>2775</v>
      </c>
      <c r="CX25" s="645">
        <f>Cement!DC25</f>
        <v>0.5243243243243243</v>
      </c>
      <c r="CY25" s="13">
        <f>Cement!DD25</f>
        <v>1425</v>
      </c>
      <c r="CZ25" s="24">
        <f>Cement!DE25</f>
        <v>1418</v>
      </c>
      <c r="DA25" s="24">
        <f>Cement!DF25</f>
        <v>1</v>
      </c>
      <c r="DB25" s="51">
        <f>Cement!DG25</f>
        <v>1350</v>
      </c>
      <c r="DC25" s="8">
        <f>Cement!DH25</f>
        <v>1</v>
      </c>
      <c r="DD25" s="644">
        <f>Cement!DI25</f>
        <v>3291.0574412532637</v>
      </c>
      <c r="DE25" s="22">
        <f>Cement!DJ25</f>
        <v>769</v>
      </c>
      <c r="DF25" s="1390">
        <f>Cement!DK25</f>
        <v>94</v>
      </c>
      <c r="DG25" s="22">
        <f>Cement!DL25</f>
        <v>15</v>
      </c>
      <c r="DH25" s="138">
        <f>Cement!DM25</f>
        <v>0.5243243243243243</v>
      </c>
      <c r="DI25" s="99">
        <f>Cement!DN25</f>
        <v>0.75805487634396207</v>
      </c>
      <c r="DJ25" s="138">
        <f>Cement!DO25</f>
        <v>0.20256913729612516</v>
      </c>
      <c r="DK25" s="99">
        <f>Cement!DP25</f>
        <v>1</v>
      </c>
      <c r="DL25" s="1431">
        <f>Cement!DQ25</f>
        <v>426</v>
      </c>
      <c r="DM25" s="8">
        <f>Cement!DR25</f>
        <v>46</v>
      </c>
      <c r="DN25" s="23" t="str">
        <f>Cement!DS25</f>
        <v>G</v>
      </c>
      <c r="DO25" s="7">
        <f>Cement!DT25</f>
        <v>22.675925925925924</v>
      </c>
      <c r="DP25" s="8">
        <f>Cement!DU25</f>
        <v>11732.174999999999</v>
      </c>
      <c r="DQ25" s="32">
        <f>Cement!DV25</f>
        <v>2.2812372396896694</v>
      </c>
      <c r="DR25" s="99">
        <f>Cement!DW25</f>
        <v>10</v>
      </c>
      <c r="DS25" s="14">
        <f>Cement!DX25</f>
        <v>2742.5478677110532</v>
      </c>
      <c r="DT25" s="99">
        <f>Cement!DY25</f>
        <v>1.7845168774528419</v>
      </c>
      <c r="DU25" s="103">
        <f>Cement!DZ25</f>
        <v>0.32236212538923814</v>
      </c>
      <c r="DV25" s="99">
        <f>Cement!EA25</f>
        <v>-5.0462682976940716</v>
      </c>
      <c r="DW25" s="103">
        <f>Cement!EB25</f>
        <v>0</v>
      </c>
      <c r="DX25" s="99">
        <f>Cement!EC25</f>
        <v>0</v>
      </c>
      <c r="DY25" s="8">
        <f>Cement!ED25</f>
        <v>2992.08</v>
      </c>
      <c r="DZ25" s="8">
        <f>Cement!EE25</f>
        <v>4273.5483870967737</v>
      </c>
      <c r="EA25" s="235">
        <f>Cement!EF25</f>
        <v>75.268817204301072</v>
      </c>
      <c r="EB25" s="8">
        <f>Cement!EG25</f>
        <v>3670.4486021505372</v>
      </c>
      <c r="EC25" s="411">
        <f>Cement!EH25</f>
        <v>35</v>
      </c>
      <c r="ED25" s="1338">
        <f>Cement!EI25</f>
        <v>695</v>
      </c>
      <c r="EE25" s="821">
        <f>Cement!EJ25</f>
        <v>0.1703848982593773</v>
      </c>
      <c r="EF25" s="502">
        <f>Cement!EK25</f>
        <v>17.600000000000001</v>
      </c>
      <c r="EG25" s="502">
        <f>Cement!EL25</f>
        <v>0</v>
      </c>
      <c r="EH25" s="510">
        <f>Cement!EM25</f>
        <v>20780</v>
      </c>
      <c r="EI25" s="435">
        <f>Cement!EN25</f>
        <v>1039</v>
      </c>
      <c r="EJ25" s="510">
        <f>Cement!EO25</f>
        <v>39840</v>
      </c>
      <c r="EK25" s="435">
        <f>Cement!EP25</f>
        <v>1992</v>
      </c>
      <c r="EL25" s="510">
        <f>Cement!EQ25</f>
        <v>30170</v>
      </c>
      <c r="EM25" s="435">
        <f>Cement!ER25</f>
        <v>1509</v>
      </c>
      <c r="EN25" s="510">
        <f>Cement!ES25</f>
        <v>3755</v>
      </c>
      <c r="EO25" s="435">
        <f>Cement!ET25</f>
        <v>3492</v>
      </c>
      <c r="EP25" s="510">
        <f>Cement!EU25</f>
        <v>3384</v>
      </c>
      <c r="EQ25" s="435">
        <f>Cement!EV25</f>
        <v>3147</v>
      </c>
      <c r="ER25" s="1607">
        <f>Cement!EW25</f>
        <v>3384</v>
      </c>
      <c r="ES25" s="1608">
        <f>Cement!EX25</f>
        <v>3147</v>
      </c>
      <c r="ET25" s="1609">
        <f>Cement!EY25</f>
        <v>2.0288739172281041</v>
      </c>
    </row>
    <row r="26" spans="1:150" ht="35" customHeight="1">
      <c r="A26" s="100">
        <f>Cement!A26</f>
        <v>-0.73633515948652661</v>
      </c>
      <c r="B26" s="100">
        <f>Cement!B26</f>
        <v>-3.3019070188340858</v>
      </c>
      <c r="C26" s="1585">
        <f ca="1">Cement!C26</f>
        <v>0.12808423535624214</v>
      </c>
      <c r="D26" s="1650">
        <f>Cement!D26</f>
        <v>2.4925158637289426</v>
      </c>
      <c r="E26" s="1412">
        <f>Cement!E26</f>
        <v>-11.500000000000005</v>
      </c>
      <c r="F26" s="1413">
        <f>Cement!F26</f>
        <v>-11.7</v>
      </c>
      <c r="G26" s="2125">
        <f>Cement!G26</f>
        <v>2.3004113582810821</v>
      </c>
      <c r="H26" s="2115">
        <f>Cement!H26</f>
        <v>0.21282798833819241</v>
      </c>
      <c r="I26" s="2301">
        <f>Cement!I26</f>
        <v>0.36936936936936937</v>
      </c>
      <c r="J26" s="2115">
        <f>Cement!J26</f>
        <v>0.52759381898454749</v>
      </c>
      <c r="K26" s="1942">
        <f>Cement!K26</f>
        <v>26</v>
      </c>
      <c r="L26" s="1575">
        <f>Cement!L26</f>
        <v>22</v>
      </c>
      <c r="M26" s="1582" t="str">
        <f>Cement!M26</f>
        <v>S</v>
      </c>
      <c r="N26" s="1587" t="str">
        <f>Cement!N26</f>
        <v>B</v>
      </c>
      <c r="O26" s="179" t="str">
        <f>Cement!O26</f>
        <v/>
      </c>
      <c r="P26" s="124" t="str">
        <f>Cement!P26</f>
        <v>سيمان‌غرب‌</v>
      </c>
      <c r="Q26" s="1973" t="str">
        <f>Cement!Q26</f>
        <v>سغرب</v>
      </c>
      <c r="R26" s="59">
        <f>Cement!R26</f>
        <v>12</v>
      </c>
      <c r="S26" s="66">
        <f>Cement!S26</f>
        <v>4452.2</v>
      </c>
      <c r="T26" s="258">
        <f>Cement!T26</f>
        <v>7880</v>
      </c>
      <c r="U26" s="338">
        <f>Cement!U26</f>
        <v>2.87</v>
      </c>
      <c r="V26" s="263">
        <f>Cement!V26</f>
        <v>7880</v>
      </c>
      <c r="W26" s="337">
        <f>Cement!W26</f>
        <v>2.87</v>
      </c>
      <c r="X26" s="661" t="str">
        <f>Cement!Y26</f>
        <v/>
      </c>
      <c r="Y26" s="1031">
        <f>Cement!Z26</f>
        <v>0.25910633484162893</v>
      </c>
      <c r="Z26" s="511">
        <f ca="1">Cement!AA26</f>
        <v>0.1652054794520548</v>
      </c>
      <c r="AA26" s="823">
        <f ca="1">Cement!AB26</f>
        <v>-14.01505304322002</v>
      </c>
      <c r="AB26" s="1150">
        <f>Cement!AD26</f>
        <v>-2.3640350877193024E-2</v>
      </c>
      <c r="AC26" s="1150">
        <f>Cement!AE26</f>
        <v>1.3975228863758751</v>
      </c>
      <c r="AD26" s="1150">
        <f>Cement!AF26</f>
        <v>1.4236254763200871</v>
      </c>
      <c r="AE26" s="1150">
        <f>Cement!AG26</f>
        <v>3.8711159737417939</v>
      </c>
      <c r="AF26" s="275">
        <f ca="1">Cement!AH26</f>
        <v>298</v>
      </c>
      <c r="AG26" s="1120">
        <f>Cement!AI26</f>
        <v>46172</v>
      </c>
      <c r="AH26" s="1430">
        <f>Cement!AJ26</f>
        <v>46266</v>
      </c>
      <c r="AI26" s="23">
        <f>Cement!AK26</f>
        <v>1200000</v>
      </c>
      <c r="AJ26" s="23">
        <f>Cement!AL26</f>
        <v>1250000</v>
      </c>
      <c r="AK26" s="29">
        <f>Cement!AM26</f>
        <v>5650000000</v>
      </c>
      <c r="AL26" s="1225">
        <f>Cement!AN26</f>
        <v>0.25700000000000001</v>
      </c>
      <c r="AM26" s="174">
        <f>Cement!AO26</f>
        <v>1962</v>
      </c>
      <c r="AN26" s="1010">
        <f>Cement!AP26</f>
        <v>1957</v>
      </c>
      <c r="AO26" s="1010">
        <f>Cement!AQ26</f>
        <v>694</v>
      </c>
      <c r="AP26" s="766">
        <f>Cement!AR26</f>
        <v>2336.5021865889212</v>
      </c>
      <c r="AQ26" s="984">
        <f>Cement!AS26</f>
        <v>4</v>
      </c>
      <c r="AR26" s="6">
        <f>Cement!AT26</f>
        <v>1.9054978957669213</v>
      </c>
      <c r="AS26" s="99">
        <f>Cement!AU26</f>
        <v>5.2082477190964767</v>
      </c>
      <c r="AT26" s="16">
        <f>Cement!AV26</f>
        <v>608</v>
      </c>
      <c r="AU26" s="16">
        <f>Cement!AW26</f>
        <v>248</v>
      </c>
      <c r="AV26" s="1740">
        <f>Cement!AX26</f>
        <v>0.40799999999999997</v>
      </c>
      <c r="AW26" s="1363">
        <f>Cement!AY26</f>
        <v>0.52300000000000002</v>
      </c>
      <c r="AX26" s="1084">
        <f>Cement!AZ26</f>
        <v>0.35499999999999998</v>
      </c>
      <c r="AY26" s="1366">
        <f>Cement!BA26</f>
        <v>0.35699999999999998</v>
      </c>
      <c r="AZ26" s="99">
        <f>Cement!BB26</f>
        <v>-10</v>
      </c>
      <c r="BA26" s="1740">
        <f>Cement!BC26</f>
        <v>0.31900000000000001</v>
      </c>
      <c r="BB26" s="1363">
        <f>Cement!BD26</f>
        <v>0.436</v>
      </c>
      <c r="BC26" s="1357">
        <f>Cement!BE26</f>
        <v>0.27</v>
      </c>
      <c r="BD26" s="1367">
        <f>Cement!BF26</f>
        <v>0.28199999999999997</v>
      </c>
      <c r="BE26" s="306">
        <f>Cement!BG26</f>
        <v>8.8999999999999968E-2</v>
      </c>
      <c r="BF26" s="99">
        <f>Cement!BJ26</f>
        <v>0</v>
      </c>
      <c r="BG26" s="306">
        <f>Cement!BK26</f>
        <v>0.19392038149663832</v>
      </c>
      <c r="BH26" s="99">
        <f>Cement!BL26</f>
        <v>-1.9555786003497184</v>
      </c>
      <c r="BI26" s="15">
        <f>Cement!BM26</f>
        <v>0</v>
      </c>
      <c r="BJ26" s="1356">
        <f>Cement!BN26</f>
        <v>3</v>
      </c>
      <c r="BK26" s="842">
        <f>Cement!BO26</f>
        <v>1</v>
      </c>
      <c r="BL26" s="16">
        <f>Cement!BP26</f>
        <v>626</v>
      </c>
      <c r="BM26" s="16">
        <f>Cement!BQ26</f>
        <v>0</v>
      </c>
      <c r="BN26" s="16">
        <f>Cement!BR26</f>
        <v>0</v>
      </c>
      <c r="BO26" s="1251">
        <f>Cement!BS26</f>
        <v>1466.0959248174618</v>
      </c>
      <c r="BP26" s="1246">
        <f>Cement!BT26</f>
        <v>2506.1946902654868</v>
      </c>
      <c r="BQ26" s="406">
        <f>Cement!BU26</f>
        <v>0</v>
      </c>
      <c r="BR26" s="407">
        <f>Cement!BV26</f>
        <v>3.9674841362710573</v>
      </c>
      <c r="BS26" s="99">
        <f>Cement!BW26</f>
        <v>5.1625793186447133</v>
      </c>
      <c r="BT26" s="18">
        <f>Cement!BX26</f>
        <v>1122.1720987609331</v>
      </c>
      <c r="BU26" s="18">
        <f>Cement!BY26</f>
        <v>689.19504643962841</v>
      </c>
      <c r="BV26" s="19">
        <f>Cement!BZ26</f>
        <v>953.29289212827973</v>
      </c>
      <c r="BW26" s="266">
        <f>Cement!CB26</f>
        <v>1220</v>
      </c>
      <c r="BX26" s="267">
        <f>Cement!CC26</f>
        <v>6.46</v>
      </c>
      <c r="BY26" s="99">
        <f>Cement!CD26</f>
        <v>-4.38</v>
      </c>
      <c r="BZ26" s="17">
        <f>Cement!CE26</f>
        <v>1.2948103072642392</v>
      </c>
      <c r="CA26" s="99">
        <f>Cement!CF26</f>
        <v>2.8207587709430433</v>
      </c>
      <c r="CB26" s="103">
        <f>Cement!CG26</f>
        <v>0.43800628366937278</v>
      </c>
      <c r="CC26" s="99">
        <f>Cement!CH26</f>
        <v>0.5700942550405913</v>
      </c>
      <c r="CD26" s="20">
        <f>Cement!CI26</f>
        <v>0</v>
      </c>
      <c r="CE26" s="691">
        <f>Cement!CJ26</f>
        <v>565</v>
      </c>
      <c r="CF26" s="419">
        <f>Cement!CK26</f>
        <v>61</v>
      </c>
      <c r="CG26" s="468">
        <f>Cement!CL26</f>
        <v>83</v>
      </c>
      <c r="CH26" s="843">
        <f>Cement!CM26</f>
        <v>160</v>
      </c>
      <c r="CI26" s="21">
        <f>Cement!CN26</f>
        <v>354</v>
      </c>
      <c r="CJ26" s="21">
        <f>Cement!CO26</f>
        <v>0</v>
      </c>
      <c r="CK26" s="469">
        <f>Cement!CP26</f>
        <v>354</v>
      </c>
      <c r="CL26" s="1239">
        <f>Cement!CQ26</f>
        <v>248.44806584062195</v>
      </c>
      <c r="CM26" s="21">
        <f>Cement!CR26</f>
        <v>415</v>
      </c>
      <c r="CN26" s="16">
        <f>Cement!CS26</f>
        <v>-24</v>
      </c>
      <c r="CO26" s="154" t="str">
        <f>Cement!CT26</f>
        <v/>
      </c>
      <c r="CP26" s="693">
        <f>Cement!CU26</f>
        <v>1032</v>
      </c>
      <c r="CQ26" s="49">
        <f>Cement!CV26</f>
        <v>1356</v>
      </c>
      <c r="CR26" s="1389">
        <f>Cement!CW26</f>
        <v>90</v>
      </c>
      <c r="CS26" s="49">
        <f>Cement!CX26</f>
        <v>97</v>
      </c>
      <c r="CT26" s="53">
        <f>Cement!CY26</f>
        <v>1453</v>
      </c>
      <c r="CU26" s="6">
        <f>Cement!CZ26</f>
        <v>1.1283185840707965</v>
      </c>
      <c r="CV26" s="99">
        <f>Cement!DA26</f>
        <v>-0.57345132743362726</v>
      </c>
      <c r="CW26" s="53">
        <f>Cement!DB26</f>
        <v>2485</v>
      </c>
      <c r="CX26" s="645">
        <f>Cement!DC26</f>
        <v>0.58470824949698186</v>
      </c>
      <c r="CY26" s="13">
        <f>Cement!DD26</f>
        <v>955</v>
      </c>
      <c r="CZ26" s="24">
        <f>Cement!DE26</f>
        <v>945</v>
      </c>
      <c r="DA26" s="24">
        <f>Cement!DF26</f>
        <v>6</v>
      </c>
      <c r="DB26" s="51">
        <f>Cement!DG26</f>
        <v>1530</v>
      </c>
      <c r="DC26" s="8">
        <f>Cement!DH26</f>
        <v>174</v>
      </c>
      <c r="DD26" s="644">
        <f>Cement!DI26</f>
        <v>13.428173486143224</v>
      </c>
      <c r="DE26" s="22">
        <f>Cement!DJ26</f>
        <v>844</v>
      </c>
      <c r="DF26" s="1390">
        <f>Cement!DK26</f>
        <v>232</v>
      </c>
      <c r="DG26" s="22">
        <f>Cement!DL26</f>
        <v>222</v>
      </c>
      <c r="DH26" s="138">
        <f>Cement!DM26</f>
        <v>0.58470824949698186</v>
      </c>
      <c r="DI26" s="99">
        <f>Cement!DN26</f>
        <v>0.15421562461738647</v>
      </c>
      <c r="DJ26" s="138">
        <f>Cement!DO26</f>
        <v>-7.9723661665331153E-2</v>
      </c>
      <c r="DK26" s="99">
        <f>Cement!DP26</f>
        <v>0</v>
      </c>
      <c r="DL26" s="1431">
        <f>Cement!DQ26</f>
        <v>14</v>
      </c>
      <c r="DM26" s="8">
        <f>Cement!DR26</f>
        <v>218</v>
      </c>
      <c r="DN26" s="23" t="str">
        <f>Cement!DS26</f>
        <v>G</v>
      </c>
      <c r="DO26" s="7">
        <f>Cement!DT26</f>
        <v>19.630511463844798</v>
      </c>
      <c r="DP26" s="8">
        <f>Cement!DU26</f>
        <v>11732.174999999999</v>
      </c>
      <c r="DQ26" s="32">
        <f>Cement!DV26</f>
        <v>2.6351410538610125</v>
      </c>
      <c r="DR26" s="99">
        <f>Cement!DW26</f>
        <v>10</v>
      </c>
      <c r="DS26" s="14">
        <f>Cement!DX26</f>
        <v>1947.0851554907676</v>
      </c>
      <c r="DT26" s="99">
        <f>Cement!DY26</f>
        <v>-7.4344281406524404</v>
      </c>
      <c r="DU26" s="103">
        <f>Cement!DZ26</f>
        <v>0.48027864266594217</v>
      </c>
      <c r="DV26" s="99">
        <f>Cement!EA26</f>
        <v>-0.30877277939295122</v>
      </c>
      <c r="DW26" s="103">
        <f>Cement!EB26</f>
        <v>0</v>
      </c>
      <c r="DX26" s="99">
        <f>Cement!EC26</f>
        <v>0</v>
      </c>
      <c r="DY26" s="8">
        <f>Cement!ED26</f>
        <v>4440.8</v>
      </c>
      <c r="DZ26" s="8">
        <f>Cement!EE26</f>
        <v>9022.3008849557518</v>
      </c>
      <c r="EA26" s="235">
        <f>Cement!EF26</f>
        <v>107.96460176991151</v>
      </c>
      <c r="EB26" s="8">
        <f>Cement!EG26</f>
        <v>6785.5327433628318</v>
      </c>
      <c r="EC26" s="411">
        <f>Cement!EH26</f>
        <v>94</v>
      </c>
      <c r="ED26" s="1338">
        <f>Cement!EI26</f>
        <v>991</v>
      </c>
      <c r="EE26" s="821">
        <f>Cement!EJ26</f>
        <v>0.1366896551724138</v>
      </c>
      <c r="EF26" s="502">
        <f>Cement!EK26</f>
        <v>10.3</v>
      </c>
      <c r="EG26" s="502">
        <f>Cement!EL26</f>
        <v>0</v>
      </c>
      <c r="EH26" s="510">
        <f>Cement!EM26</f>
        <v>18280</v>
      </c>
      <c r="EI26" s="435">
        <f>Cement!EN26</f>
        <v>914</v>
      </c>
      <c r="EJ26" s="510">
        <f>Cement!EO26</f>
        <v>36730</v>
      </c>
      <c r="EK26" s="435">
        <f>Cement!EP26</f>
        <v>1837</v>
      </c>
      <c r="EL26" s="510">
        <f>Cement!EQ26</f>
        <v>37020</v>
      </c>
      <c r="EM26" s="435">
        <f>Cement!ER26</f>
        <v>1857</v>
      </c>
      <c r="EN26" s="510">
        <f>Cement!ES26</f>
        <v>8070</v>
      </c>
      <c r="EO26" s="435">
        <f>Cement!ET26</f>
        <v>4560</v>
      </c>
      <c r="EP26" s="510">
        <f>Cement!EU26</f>
        <v>6259</v>
      </c>
      <c r="EQ26" s="435">
        <f>Cement!EV26</f>
        <v>3536</v>
      </c>
      <c r="ER26" s="1607">
        <f>Cement!EW26</f>
        <v>6259</v>
      </c>
      <c r="ES26" s="1608">
        <f>Cement!EX26</f>
        <v>3536</v>
      </c>
      <c r="ET26" s="1609">
        <f>Cement!EY26</f>
        <v>2.8687089715536107</v>
      </c>
    </row>
    <row r="27" spans="1:150" ht="35" customHeight="1">
      <c r="A27" s="100">
        <f>Cement!A27</f>
        <v>-0.3801749626398081</v>
      </c>
      <c r="B27" s="100">
        <f>Cement!B27</f>
        <v>-4.1661002865120871</v>
      </c>
      <c r="C27" s="1585">
        <f ca="1">Cement!C27</f>
        <v>0.11111841695010755</v>
      </c>
      <c r="D27" s="1650">
        <f>Cement!D27</f>
        <v>1.8721796046337422</v>
      </c>
      <c r="E27" s="1412">
        <f>Cement!E27</f>
        <v>-8.5999999999999961</v>
      </c>
      <c r="F27" s="1413">
        <f>Cement!F27</f>
        <v>-8.7999999999999972</v>
      </c>
      <c r="G27" s="2125">
        <f>Cement!G27</f>
        <v>2.6319444779955625</v>
      </c>
      <c r="H27" s="2115">
        <f>Cement!H27</f>
        <v>0.45579847908745247</v>
      </c>
      <c r="I27" s="2301">
        <f>Cement!I27</f>
        <v>0.55494125777470626</v>
      </c>
      <c r="J27" s="2115">
        <f>Cement!J27</f>
        <v>0.91163793103448276</v>
      </c>
      <c r="K27" s="1942">
        <f>Cement!K27</f>
        <v>20</v>
      </c>
      <c r="L27" s="1575">
        <f>Cement!L27</f>
        <v>16</v>
      </c>
      <c r="M27" s="1587" t="str">
        <f>Cement!M27</f>
        <v>N</v>
      </c>
      <c r="N27" s="1587" t="str">
        <f>Cement!N27</f>
        <v>N</v>
      </c>
      <c r="O27" s="179" t="str">
        <f>Cement!O27</f>
        <v/>
      </c>
      <c r="P27" s="124" t="str">
        <f>Cement!P27</f>
        <v>سيمان آبيك</v>
      </c>
      <c r="Q27" s="1973" t="str">
        <f>Cement!Q27</f>
        <v>سآبيك</v>
      </c>
      <c r="R27" s="59">
        <f>Cement!R27</f>
        <v>12</v>
      </c>
      <c r="S27" s="66">
        <f>Cement!S27</f>
        <v>20383.665288</v>
      </c>
      <c r="T27" s="258">
        <f>Cement!T27</f>
        <v>68880</v>
      </c>
      <c r="U27" s="338">
        <f>Cement!U27</f>
        <v>2.99</v>
      </c>
      <c r="V27" s="263">
        <f>Cement!V27</f>
        <v>68880</v>
      </c>
      <c r="W27" s="337">
        <f>Cement!W27</f>
        <v>2.99</v>
      </c>
      <c r="X27" s="661" t="str">
        <f>Cement!Y27</f>
        <v/>
      </c>
      <c r="Y27" s="1031">
        <f>Cement!Z27</f>
        <v>0.22167607359904107</v>
      </c>
      <c r="Z27" s="511">
        <f ca="1">Cement!AA27</f>
        <v>0.12575342465753425</v>
      </c>
      <c r="AA27" s="823">
        <f ca="1">Cement!AB27</f>
        <v>-18.808362537550355</v>
      </c>
      <c r="AB27" s="1150">
        <f>Cement!AD27</f>
        <v>5.2386044091073371E-2</v>
      </c>
      <c r="AC27" s="1150">
        <f>Cement!AE27</f>
        <v>2.3165742414578587</v>
      </c>
      <c r="AD27" s="1150">
        <f>Cement!AF27</f>
        <v>2.5486882465181058</v>
      </c>
      <c r="AE27" s="1150">
        <f>Cement!AG27</f>
        <v>3.5857514708661418</v>
      </c>
      <c r="AF27" s="275">
        <f ca="1">Cement!AH27</f>
        <v>314</v>
      </c>
      <c r="AG27" s="1120">
        <f>Cement!AI27</f>
        <v>46188</v>
      </c>
      <c r="AH27" s="1430">
        <f>Cement!AJ27</f>
        <v>46307</v>
      </c>
      <c r="AI27" s="23">
        <f>Cement!AK27</f>
        <v>4500000</v>
      </c>
      <c r="AJ27" s="23">
        <f>Cement!AL27</f>
        <v>4950000</v>
      </c>
      <c r="AK27" s="29">
        <f>Cement!AM27</f>
        <v>2959301000</v>
      </c>
      <c r="AL27" s="1225">
        <f>Cement!AN27</f>
        <v>0.15529999999999999</v>
      </c>
      <c r="AM27" s="174">
        <f>Cement!AO27</f>
        <v>6521</v>
      </c>
      <c r="AN27" s="1010">
        <f>Cement!AP27</f>
        <v>6056</v>
      </c>
      <c r="AO27" s="1010">
        <f>Cement!AQ27</f>
        <v>2843</v>
      </c>
      <c r="AP27" s="766">
        <f>Cement!AR27</f>
        <v>8459.1577946768066</v>
      </c>
      <c r="AQ27" s="984">
        <f>Cement!AS27</f>
        <v>4</v>
      </c>
      <c r="AR27" s="6">
        <f>Cement!AT27</f>
        <v>2.4056668266438805</v>
      </c>
      <c r="AS27" s="99">
        <f>Cement!AU27</f>
        <v>0.20655841032688471</v>
      </c>
      <c r="AT27" s="16">
        <f>Cement!AV27</f>
        <v>2250</v>
      </c>
      <c r="AU27" s="16">
        <f>Cement!AW27</f>
        <v>1114</v>
      </c>
      <c r="AV27" s="1740">
        <f>Cement!AX27</f>
        <v>0.495</v>
      </c>
      <c r="AW27" s="1363">
        <f>Cement!AY27</f>
        <v>0.58099999999999996</v>
      </c>
      <c r="AX27" s="1084">
        <f>Cement!AZ27</f>
        <v>0.46899999999999997</v>
      </c>
      <c r="AY27" s="1366">
        <f>Cement!BA27</f>
        <v>0.49099999999999999</v>
      </c>
      <c r="AZ27" s="99">
        <f>Cement!BB27</f>
        <v>-8.7999999999999972</v>
      </c>
      <c r="BA27" s="1740">
        <f>Cement!BC27</f>
        <v>0.38700000000000001</v>
      </c>
      <c r="BB27" s="1363">
        <f>Cement!BD27</f>
        <v>0.47499999999999998</v>
      </c>
      <c r="BC27" s="1357">
        <f>Cement!BE27</f>
        <v>0.34899999999999998</v>
      </c>
      <c r="BD27" s="1367">
        <f>Cement!BF27</f>
        <v>0.41499999999999998</v>
      </c>
      <c r="BE27" s="306">
        <f>Cement!BG27</f>
        <v>0.10799999999999998</v>
      </c>
      <c r="BF27" s="99">
        <f>Cement!BJ27</f>
        <v>0</v>
      </c>
      <c r="BG27" s="306">
        <f>Cement!BK27</f>
        <v>0.39682262131387164</v>
      </c>
      <c r="BH27" s="99">
        <f>Cement!BL27</f>
        <v>5</v>
      </c>
      <c r="BI27" s="15">
        <f>Cement!BM27</f>
        <v>0</v>
      </c>
      <c r="BJ27" s="1356">
        <f>Cement!BN27</f>
        <v>3</v>
      </c>
      <c r="BK27" s="842">
        <f>Cement!BO27</f>
        <v>1</v>
      </c>
      <c r="BL27" s="16">
        <f>Cement!BP27</f>
        <v>3477</v>
      </c>
      <c r="BM27" s="16">
        <f>Cement!BQ27</f>
        <v>0</v>
      </c>
      <c r="BN27" s="16">
        <f>Cement!BR27</f>
        <v>0</v>
      </c>
      <c r="BO27" s="1251">
        <f>Cement!BS27</f>
        <v>13772.489065964985</v>
      </c>
      <c r="BP27" s="1246">
        <f>Cement!BT27</f>
        <v>14469.633200542967</v>
      </c>
      <c r="BQ27" s="406">
        <f>Cement!BU27</f>
        <v>0</v>
      </c>
      <c r="BR27" s="407">
        <f>Cement!BV27</f>
        <v>4.8778203953662578</v>
      </c>
      <c r="BS27" s="99">
        <f>Cement!BW27</f>
        <v>0.61089802316871111</v>
      </c>
      <c r="BT27" s="18">
        <f>Cement!BX27</f>
        <v>4178.8470332699626</v>
      </c>
      <c r="BU27" s="18">
        <f>Cement!BY27</f>
        <v>3019.8022648888891</v>
      </c>
      <c r="BV27" s="19">
        <f>Cement!BZ27</f>
        <v>4187.283108365019</v>
      </c>
      <c r="BW27" s="266">
        <f>Cement!CB27</f>
        <v>10205</v>
      </c>
      <c r="BX27" s="267">
        <f>Cement!CC27</f>
        <v>6.75</v>
      </c>
      <c r="BY27" s="99">
        <f>Cement!CD27</f>
        <v>-5.25</v>
      </c>
      <c r="BZ27" s="17">
        <f>Cement!CE27</f>
        <v>1.2178000198341405</v>
      </c>
      <c r="CA27" s="99">
        <f>Cement!CF27</f>
        <v>3.1287999206634378</v>
      </c>
      <c r="CB27" s="103">
        <f>Cement!CG27</f>
        <v>0.5686279811225966</v>
      </c>
      <c r="CC27" s="99">
        <f>Cement!CH27</f>
        <v>2.529419716838949</v>
      </c>
      <c r="CD27" s="20">
        <f>Cement!CI27</f>
        <v>0</v>
      </c>
      <c r="CE27" s="691">
        <f>Cement!CJ27</f>
        <v>295.93009999999998</v>
      </c>
      <c r="CF27" s="419">
        <f>Cement!CK27</f>
        <v>271</v>
      </c>
      <c r="CG27" s="468">
        <f>Cement!CL27</f>
        <v>802</v>
      </c>
      <c r="CH27" s="843">
        <f>Cement!CM27</f>
        <v>159</v>
      </c>
      <c r="CI27" s="21">
        <f>Cement!CN27</f>
        <v>1029</v>
      </c>
      <c r="CJ27" s="21">
        <f>Cement!CO27</f>
        <v>5</v>
      </c>
      <c r="CK27" s="469">
        <f>Cement!CP27</f>
        <v>1070.5</v>
      </c>
      <c r="CL27" s="1239">
        <f>Cement!CQ27</f>
        <v>1096.231355513308</v>
      </c>
      <c r="CM27" s="21">
        <f>Cement!CR27</f>
        <v>1300</v>
      </c>
      <c r="CN27" s="16">
        <f>Cement!CS27</f>
        <v>0</v>
      </c>
      <c r="CO27" s="154" t="str">
        <f>Cement!CT27</f>
        <v/>
      </c>
      <c r="CP27" s="693">
        <f>Cement!CU27</f>
        <v>1625</v>
      </c>
      <c r="CQ27" s="49">
        <f>Cement!CV27</f>
        <v>4946</v>
      </c>
      <c r="CR27" s="1389">
        <f>Cement!CW27</f>
        <v>412</v>
      </c>
      <c r="CS27" s="49">
        <f>Cement!CX27</f>
        <v>143</v>
      </c>
      <c r="CT27" s="53">
        <f>Cement!CY27</f>
        <v>5089</v>
      </c>
      <c r="CU27" s="6">
        <f>Cement!CZ27</f>
        <v>1.1572988273352203</v>
      </c>
      <c r="CV27" s="99">
        <f>Cement!DA27</f>
        <v>-0.34160938131823748</v>
      </c>
      <c r="CW27" s="53">
        <f>Cement!DB27</f>
        <v>6714</v>
      </c>
      <c r="CX27" s="645">
        <f>Cement!DC27</f>
        <v>0.75796842418826338</v>
      </c>
      <c r="CY27" s="13">
        <f>Cement!DD27</f>
        <v>990</v>
      </c>
      <c r="CZ27" s="24">
        <f>Cement!DE27</f>
        <v>975</v>
      </c>
      <c r="DA27" s="24">
        <f>Cement!DF27</f>
        <v>7</v>
      </c>
      <c r="DB27" s="51">
        <f>Cement!DG27</f>
        <v>5724</v>
      </c>
      <c r="DC27" s="8">
        <f>Cement!DH27</f>
        <v>778</v>
      </c>
      <c r="DD27" s="644">
        <f>Cement!DI27</f>
        <v>10.872953463594866</v>
      </c>
      <c r="DE27" s="22">
        <f>Cement!DJ27</f>
        <v>2361</v>
      </c>
      <c r="DF27" s="1390">
        <f>Cement!DK27</f>
        <v>348</v>
      </c>
      <c r="DG27" s="22">
        <f>Cement!DL27</f>
        <v>321</v>
      </c>
      <c r="DH27" s="138">
        <f>Cement!DM27</f>
        <v>0.75796842418826338</v>
      </c>
      <c r="DI27" s="99">
        <f>Cement!DN27</f>
        <v>-1.5783861222954287</v>
      </c>
      <c r="DJ27" s="138">
        <f>Cement!DO27</f>
        <v>0.45088902544666842</v>
      </c>
      <c r="DK27" s="99">
        <f>Cement!DP27</f>
        <v>2</v>
      </c>
      <c r="DL27" s="1431">
        <f>Cement!DQ27</f>
        <v>2300</v>
      </c>
      <c r="DM27" s="8">
        <f>Cement!DR27</f>
        <v>394</v>
      </c>
      <c r="DN27" s="23" t="str">
        <f>Cement!DS27</f>
        <v>G</v>
      </c>
      <c r="DO27" s="7">
        <f>Cement!DT27</f>
        <v>23.966684641975309</v>
      </c>
      <c r="DP27" s="8">
        <f>Cement!DU27</f>
        <v>38083.5</v>
      </c>
      <c r="DQ27" s="32">
        <f>Cement!DV27</f>
        <v>1.8683342500928923</v>
      </c>
      <c r="DR27" s="99">
        <f>Cement!DW27</f>
        <v>10</v>
      </c>
      <c r="DS27" s="14">
        <f>Cement!DX27</f>
        <v>1879.8128432615124</v>
      </c>
      <c r="DT27" s="99">
        <f>Cement!DY27</f>
        <v>-8.214074676127721</v>
      </c>
      <c r="DU27" s="103">
        <f>Cement!DZ27</f>
        <v>0.49400272872314005</v>
      </c>
      <c r="DV27" s="99">
        <f>Cement!EA27</f>
        <v>0.10294980232298523</v>
      </c>
      <c r="DW27" s="103">
        <f>Cement!EB27</f>
        <v>2.2526934378060724E-2</v>
      </c>
      <c r="DX27" s="99">
        <f>Cement!EC27</f>
        <v>0.22526934378060723</v>
      </c>
      <c r="DY27" s="8">
        <f>Cement!ED27</f>
        <v>37146.199999999997</v>
      </c>
      <c r="DZ27" s="8">
        <f>Cement!EE27</f>
        <v>52090.679521954684</v>
      </c>
      <c r="EA27" s="235">
        <f>Cement!EF27</f>
        <v>915.75679527023442</v>
      </c>
      <c r="EB27" s="8">
        <f>Cement!EG27</f>
        <v>45076.318158612463</v>
      </c>
      <c r="EC27" s="411">
        <f>Cement!EH27</f>
        <v>119</v>
      </c>
      <c r="ED27" s="1338">
        <f>Cement!EI27</f>
        <v>9700</v>
      </c>
      <c r="EE27" s="821">
        <f>Cement!EJ27</f>
        <v>0.14679176755447942</v>
      </c>
      <c r="EF27" s="502">
        <f>Cement!EK27</f>
        <v>0.24</v>
      </c>
      <c r="EG27" s="502">
        <f>Cement!EL27</f>
        <v>0</v>
      </c>
      <c r="EH27" s="510">
        <f>Cement!EM27</f>
        <v>15020</v>
      </c>
      <c r="EI27" s="435">
        <f>Cement!EN27</f>
        <v>4445</v>
      </c>
      <c r="EJ27" s="510">
        <f>Cement!EO27</f>
        <v>19410</v>
      </c>
      <c r="EK27" s="435">
        <f>Cement!EP27</f>
        <v>5744</v>
      </c>
      <c r="EL27" s="510">
        <f>Cement!EQ27</f>
        <v>20770</v>
      </c>
      <c r="EM27" s="435">
        <f>Cement!ER27</f>
        <v>6146</v>
      </c>
      <c r="EN27" s="510">
        <f>Cement!ES27</f>
        <v>65450</v>
      </c>
      <c r="EO27" s="435">
        <f>Cement!ET27</f>
        <v>19369</v>
      </c>
      <c r="EP27" s="510">
        <f>Cement!EU27</f>
        <v>56380</v>
      </c>
      <c r="EQ27" s="435">
        <f>Cement!EV27</f>
        <v>16685</v>
      </c>
      <c r="ER27" s="1607">
        <f>Cement!EW27</f>
        <v>56380</v>
      </c>
      <c r="ES27" s="1608">
        <f>Cement!EX27</f>
        <v>16685</v>
      </c>
      <c r="ET27" s="1609">
        <f>Cement!EY27</f>
        <v>2.7536557930258718</v>
      </c>
    </row>
    <row r="28" spans="1:150" ht="35" customHeight="1">
      <c r="A28" s="100">
        <f>Cement!A28</f>
        <v>-2.4994308049222735</v>
      </c>
      <c r="B28" s="100">
        <f>Cement!B28</f>
        <v>-10.842248271211252</v>
      </c>
      <c r="C28" s="1585">
        <f ca="1">Cement!C28</f>
        <v>9.9043628430049477E-2</v>
      </c>
      <c r="D28" s="1650">
        <f>Cement!D28</f>
        <v>11.760964923877896</v>
      </c>
      <c r="E28" s="1412">
        <f>Cement!E28</f>
        <v>3.2000000000000028</v>
      </c>
      <c r="F28" s="1413">
        <f>Cement!F28</f>
        <v>2.300000000000002</v>
      </c>
      <c r="G28" s="2125">
        <f>Cement!G28</f>
        <v>2.7759676661651964</v>
      </c>
      <c r="H28" s="2115">
        <f>Cement!H28</f>
        <v>0.43468154346815435</v>
      </c>
      <c r="I28" s="2301">
        <f>Cement!I28</f>
        <v>-0.27459807073954984</v>
      </c>
      <c r="J28" s="2115">
        <f>Cement!J28</f>
        <v>1.2224938875305624E-2</v>
      </c>
      <c r="K28" s="1942">
        <f>Cement!K28</f>
        <v>22</v>
      </c>
      <c r="L28" s="1575">
        <f>Cement!L28</f>
        <v>19</v>
      </c>
      <c r="M28" s="1588" t="str">
        <f>Cement!M28</f>
        <v>N</v>
      </c>
      <c r="N28" s="1587" t="str">
        <f>Cement!N28</f>
        <v>N</v>
      </c>
      <c r="O28" s="179" t="str">
        <f>Cement!O28</f>
        <v/>
      </c>
      <c r="P28" s="124" t="str">
        <f>Cement!P28</f>
        <v>سيمان‌هرمزگان‌</v>
      </c>
      <c r="Q28" s="1973" t="str">
        <f>Cement!Q28</f>
        <v>سهرمز</v>
      </c>
      <c r="R28" s="59">
        <f>Cement!R28</f>
        <v>9</v>
      </c>
      <c r="S28" s="66">
        <f>Cement!S28</f>
        <v>14227.2</v>
      </c>
      <c r="T28" s="258">
        <f>Cement!T28</f>
        <v>19500</v>
      </c>
      <c r="U28" s="338">
        <f>Cement!U28</f>
        <v>2.96</v>
      </c>
      <c r="V28" s="263">
        <f>Cement!V28</f>
        <v>19500</v>
      </c>
      <c r="W28" s="337">
        <f>Cement!W28</f>
        <v>2.96</v>
      </c>
      <c r="X28" s="661" t="str">
        <f>Cement!Y28</f>
        <v/>
      </c>
      <c r="Y28" s="1031">
        <f>Cement!Z28</f>
        <v>0.14302241503976867</v>
      </c>
      <c r="Z28" s="511">
        <f ca="1">Cement!AA28</f>
        <v>0.42410958904109591</v>
      </c>
      <c r="AA28" s="823">
        <f ca="1">Cement!AB28</f>
        <v>16.342277558216701</v>
      </c>
      <c r="AB28" s="1150">
        <f>Cement!AD28</f>
        <v>0.34982922201138528</v>
      </c>
      <c r="AC28" s="1150">
        <f>Cement!AE28</f>
        <v>2.0868301149924062</v>
      </c>
      <c r="AD28" s="1150">
        <f>Cement!AF28</f>
        <v>4.6840591290451465</v>
      </c>
      <c r="AE28" s="1150">
        <f>Cement!AG28</f>
        <v>7.7283435582822086</v>
      </c>
      <c r="AF28" s="275">
        <f ca="1">Cement!AH28</f>
        <v>193</v>
      </c>
      <c r="AG28" s="1120">
        <f>Cement!AI28</f>
        <v>46067</v>
      </c>
      <c r="AH28" s="1430">
        <f>Cement!AJ28</f>
        <v>46124</v>
      </c>
      <c r="AI28" s="23">
        <f>Cement!AK28</f>
        <v>1800000</v>
      </c>
      <c r="AJ28" s="23">
        <f>Cement!AL28</f>
        <v>1870000</v>
      </c>
      <c r="AK28" s="29">
        <f>Cement!AM28</f>
        <v>7296000000</v>
      </c>
      <c r="AL28" s="1225">
        <f>Cement!AN28</f>
        <v>0.14879999999999999</v>
      </c>
      <c r="AM28" s="174">
        <f>Cement!AO28</f>
        <v>4634</v>
      </c>
      <c r="AN28" s="1010">
        <f>Cement!AP28</f>
        <v>3939</v>
      </c>
      <c r="AO28" s="1010">
        <f>Cement!AQ28</f>
        <v>2021</v>
      </c>
      <c r="AP28" s="766">
        <f>Cement!AR28</f>
        <v>4987.9182027649767</v>
      </c>
      <c r="AQ28" s="984">
        <f>Cement!AS28</f>
        <v>4</v>
      </c>
      <c r="AR28" s="6">
        <f>Cement!AT28</f>
        <v>2.852332260002453</v>
      </c>
      <c r="AS28" s="99">
        <f>Cement!AU28</f>
        <v>-4.2600959232588398</v>
      </c>
      <c r="AT28" s="16">
        <f>Cement!AV28</f>
        <v>2683</v>
      </c>
      <c r="AU28" s="16">
        <f>Cement!AW28</f>
        <v>1456</v>
      </c>
      <c r="AV28" s="1740">
        <f>Cement!AX28</f>
        <v>0.54300000000000004</v>
      </c>
      <c r="AW28" s="1363">
        <f>Cement!AY28</f>
        <v>0.51100000000000001</v>
      </c>
      <c r="AX28" s="1084">
        <f>Cement!AZ28</f>
        <v>0.52700000000000002</v>
      </c>
      <c r="AY28" s="1366">
        <f>Cement!BA28</f>
        <v>0.49099999999999999</v>
      </c>
      <c r="AZ28" s="99">
        <f>Cement!BB28</f>
        <v>2.300000000000002</v>
      </c>
      <c r="BA28" s="1740">
        <f>Cement!BC28</f>
        <v>0.436</v>
      </c>
      <c r="BB28" s="1363">
        <f>Cement!BD28</f>
        <v>0.41299999999999998</v>
      </c>
      <c r="BC28" s="1357">
        <f>Cement!BE28</f>
        <v>0.44500000000000001</v>
      </c>
      <c r="BD28" s="1367">
        <f>Cement!BF28</f>
        <v>0.436</v>
      </c>
      <c r="BE28" s="306">
        <f>Cement!BG28</f>
        <v>0.10700000000000004</v>
      </c>
      <c r="BF28" s="99">
        <f>Cement!BJ28</f>
        <v>0</v>
      </c>
      <c r="BG28" s="306">
        <f>Cement!BK28</f>
        <v>0.26629048051916138</v>
      </c>
      <c r="BH28" s="99">
        <f>Cement!BL28</f>
        <v>3.698041964381781</v>
      </c>
      <c r="BI28" s="15">
        <f>Cement!BM28</f>
        <v>0</v>
      </c>
      <c r="BJ28" s="1356">
        <f>Cement!BN28</f>
        <v>3</v>
      </c>
      <c r="BK28" s="842">
        <f>Cement!BO28</f>
        <v>2</v>
      </c>
      <c r="BL28" s="16">
        <f>Cement!BP28</f>
        <v>4948</v>
      </c>
      <c r="BM28" s="16">
        <f>Cement!BQ28</f>
        <v>7810</v>
      </c>
      <c r="BN28" s="16">
        <f>Cement!BR28</f>
        <v>0</v>
      </c>
      <c r="BO28" s="1251">
        <f>Cement!BS28</f>
        <v>3453.58050494179</v>
      </c>
      <c r="BP28" s="1246">
        <f>Cement!BT28</f>
        <v>3906.25</v>
      </c>
      <c r="BQ28" s="406">
        <f>Cement!BU28</f>
        <v>0</v>
      </c>
      <c r="BR28" s="407">
        <f>Cement!BV28</f>
        <v>5.2990350761221032</v>
      </c>
      <c r="BS28" s="99">
        <f>Cement!BW28</f>
        <v>-1.4951753806105161</v>
      </c>
      <c r="BT28" s="18">
        <f>Cement!BX28</f>
        <v>2684.8661682027655</v>
      </c>
      <c r="BU28" s="18">
        <f>Cement!BY28</f>
        <v>833.9507620164128</v>
      </c>
      <c r="BV28" s="19">
        <f>Cement!BZ28</f>
        <v>2708.4395841013825</v>
      </c>
      <c r="BW28" s="266">
        <f>Cement!CB28</f>
        <v>1143</v>
      </c>
      <c r="BX28" s="267">
        <f>Cement!CC28</f>
        <v>17.059999999999999</v>
      </c>
      <c r="BY28" s="99">
        <f>Cement!CD28</f>
        <v>-20</v>
      </c>
      <c r="BZ28" s="17">
        <f>Cement!CE28</f>
        <v>1.2514590260747207</v>
      </c>
      <c r="CA28" s="99">
        <f>Cement!CF28</f>
        <v>2.9941638957011172</v>
      </c>
      <c r="CB28" s="103">
        <f>Cement!CG28</f>
        <v>0.3743538996378647</v>
      </c>
      <c r="CC28" s="99">
        <f>Cement!CH28</f>
        <v>-0.3846915054320299</v>
      </c>
      <c r="CD28" s="20">
        <f>Cement!CI28</f>
        <v>0</v>
      </c>
      <c r="CE28" s="691">
        <f>Cement!CJ28</f>
        <v>729.6</v>
      </c>
      <c r="CF28" s="419">
        <f>Cement!CK28</f>
        <v>298</v>
      </c>
      <c r="CG28" s="468">
        <f>Cement!CL28</f>
        <v>345</v>
      </c>
      <c r="CH28" s="843">
        <f>Cement!CM28</f>
        <v>256</v>
      </c>
      <c r="CI28" s="21">
        <f>Cement!CN28</f>
        <v>1425</v>
      </c>
      <c r="CJ28" s="21">
        <f>Cement!CO28</f>
        <v>0</v>
      </c>
      <c r="CK28" s="469">
        <f>Cement!CP28</f>
        <v>1425</v>
      </c>
      <c r="CL28" s="1239">
        <f>Cement!CQ28</f>
        <v>1268.593862903226</v>
      </c>
      <c r="CM28" s="21">
        <f>Cement!CR28</f>
        <v>2037</v>
      </c>
      <c r="CN28" s="16">
        <f>Cement!CS28</f>
        <v>-600</v>
      </c>
      <c r="CO28" s="154" t="str">
        <f>Cement!CT28</f>
        <v>Check RE</v>
      </c>
      <c r="CP28" s="693">
        <f>Cement!CU28</f>
        <v>2217</v>
      </c>
      <c r="CQ28" s="49">
        <f>Cement!CV28</f>
        <v>3135</v>
      </c>
      <c r="CR28" s="1389">
        <f>Cement!CW28</f>
        <v>0</v>
      </c>
      <c r="CS28" s="49">
        <f>Cement!CX28</f>
        <v>225</v>
      </c>
      <c r="CT28" s="53">
        <f>Cement!CY28</f>
        <v>3360</v>
      </c>
      <c r="CU28" s="6">
        <f>Cement!CZ28</f>
        <v>1.5805422647527911</v>
      </c>
      <c r="CV28" s="99">
        <f>Cement!DA28</f>
        <v>3.0443381180223295</v>
      </c>
      <c r="CW28" s="53">
        <f>Cement!DB28</f>
        <v>5577</v>
      </c>
      <c r="CX28" s="645">
        <f>Cement!DC28</f>
        <v>0.6024744486282948</v>
      </c>
      <c r="CY28" s="13">
        <f>Cement!DD28</f>
        <v>622</v>
      </c>
      <c r="CZ28" s="24">
        <f>Cement!DE28</f>
        <v>588</v>
      </c>
      <c r="DA28" s="24">
        <f>Cement!DF28</f>
        <v>3</v>
      </c>
      <c r="DB28" s="51">
        <f>Cement!DG28</f>
        <v>4955</v>
      </c>
      <c r="DC28" s="8">
        <f>Cement!DH28</f>
        <v>1820</v>
      </c>
      <c r="DD28" s="644">
        <f>Cement!DI28</f>
        <v>2.7406143971236134</v>
      </c>
      <c r="DE28" s="22">
        <f>Cement!DJ28</f>
        <v>1261</v>
      </c>
      <c r="DF28" s="1390">
        <f>Cement!DK28</f>
        <v>307</v>
      </c>
      <c r="DG28" s="22">
        <f>Cement!DL28</f>
        <v>1388</v>
      </c>
      <c r="DH28" s="138">
        <f>Cement!DM28</f>
        <v>0.6024744486282948</v>
      </c>
      <c r="DI28" s="99">
        <f>Cement!DN28</f>
        <v>-2.344636669574296E-2</v>
      </c>
      <c r="DJ28" s="138">
        <f>Cement!DO28</f>
        <v>0.61179138339530892</v>
      </c>
      <c r="DK28" s="99">
        <f>Cement!DP28</f>
        <v>3</v>
      </c>
      <c r="DL28" s="1431">
        <f>Cement!DQ28</f>
        <v>1657</v>
      </c>
      <c r="DM28" s="8">
        <f>Cement!DR28</f>
        <v>342</v>
      </c>
      <c r="DN28" s="23" t="str">
        <f>Cement!DS28</f>
        <v>G</v>
      </c>
      <c r="DO28" s="7">
        <f>Cement!DT28</f>
        <v>41.820105820105823</v>
      </c>
      <c r="DP28" s="8">
        <f>Cement!DU28</f>
        <v>16523.325000000001</v>
      </c>
      <c r="DQ28" s="32">
        <f>Cement!DV28</f>
        <v>1.161389802631579</v>
      </c>
      <c r="DR28" s="99">
        <f>Cement!DW28</f>
        <v>3.2277960526315796</v>
      </c>
      <c r="DS28" s="14">
        <f>Cement!DX28</f>
        <v>2771.0656682027648</v>
      </c>
      <c r="DT28" s="99">
        <f>Cement!DY28</f>
        <v>2.115021413657399</v>
      </c>
      <c r="DU28" s="103">
        <f>Cement!DZ28</f>
        <v>0.53827389685629778</v>
      </c>
      <c r="DV28" s="99">
        <f>Cement!EA28</f>
        <v>1.4310848463177173</v>
      </c>
      <c r="DW28" s="103">
        <f>Cement!EB28</f>
        <v>0.18535320803629293</v>
      </c>
      <c r="DX28" s="99">
        <f>Cement!EC28</f>
        <v>1.8535320803629294</v>
      </c>
      <c r="DY28" s="8">
        <f>Cement!ED28</f>
        <v>4297.68</v>
      </c>
      <c r="DZ28" s="8">
        <f>Cement!EE28</f>
        <v>14531.25</v>
      </c>
      <c r="EA28" s="235">
        <f>Cement!EF28</f>
        <v>838.81578947368416</v>
      </c>
      <c r="EB28" s="8">
        <f>Cement!EG28</f>
        <v>9833.8728947368418</v>
      </c>
      <c r="EC28" s="411">
        <f>Cement!EH28</f>
        <v>57</v>
      </c>
      <c r="ED28" s="1338">
        <f>Cement!EI28</f>
        <v>10000</v>
      </c>
      <c r="EE28" s="821">
        <f>Cement!EJ28</f>
        <v>0.36954915003695493</v>
      </c>
      <c r="EF28" s="502">
        <f>Cement!EK28</f>
        <v>0.68264999999999998</v>
      </c>
      <c r="EG28" s="502">
        <f>Cement!EL28</f>
        <v>0</v>
      </c>
      <c r="EH28" s="510">
        <f>Cement!EM28</f>
        <v>15100</v>
      </c>
      <c r="EI28" s="435">
        <f>Cement!EN28</f>
        <v>1630</v>
      </c>
      <c r="EJ28" s="510">
        <f>Cement!EO28</f>
        <v>13725</v>
      </c>
      <c r="EK28" s="435">
        <f>Cement!EP28</f>
        <v>2503</v>
      </c>
      <c r="EL28" s="510">
        <f>Cement!EQ28</f>
        <v>25270</v>
      </c>
      <c r="EM28" s="435">
        <f>Cement!ER28</f>
        <v>4609</v>
      </c>
      <c r="EN28" s="510">
        <f>Cement!ES28</f>
        <v>57787</v>
      </c>
      <c r="EO28" s="435">
        <f>Cement!ET28</f>
        <v>10540</v>
      </c>
      <c r="EP28" s="510">
        <f>Cement!EU28</f>
        <v>17060</v>
      </c>
      <c r="EQ28" s="435">
        <f>Cement!EV28</f>
        <v>12447</v>
      </c>
      <c r="ER28" s="1607">
        <f>Cement!EW28</f>
        <v>17060</v>
      </c>
      <c r="ES28" s="1608">
        <f>Cement!EX28</f>
        <v>12447</v>
      </c>
      <c r="ET28" s="1609">
        <f>Cement!EY28</f>
        <v>6.6361963190184046</v>
      </c>
    </row>
    <row r="29" spans="1:150" ht="35" customHeight="1">
      <c r="A29" s="100">
        <f>Cement!A29</f>
        <v>-5.0680802798950131</v>
      </c>
      <c r="B29" s="100">
        <f>Cement!B29</f>
        <v>-5.0680802798950131</v>
      </c>
      <c r="C29" s="1585">
        <f ca="1">Cement!C29</f>
        <v>0.24087352936293477</v>
      </c>
      <c r="D29" s="1650">
        <f>Cement!D29</f>
        <v>-0.65627738272852021</v>
      </c>
      <c r="E29" s="1412">
        <f>Cement!E29</f>
        <v>3.400000000000003</v>
      </c>
      <c r="F29" s="1413">
        <f>Cement!F29</f>
        <v>0.20000000000000018</v>
      </c>
      <c r="G29" s="2125">
        <f>Cement!G29</f>
        <v>-1.5993285438179017</v>
      </c>
      <c r="H29" s="2115">
        <f>Cement!H29</f>
        <v>0.77852726250702642</v>
      </c>
      <c r="I29" s="2301">
        <f>Cement!I29</f>
        <v>0.4175257731958763</v>
      </c>
      <c r="J29" s="2115">
        <f>Cement!J29</f>
        <v>0.53136531365313655</v>
      </c>
      <c r="K29" s="1942">
        <f>Cement!K29</f>
        <v>8</v>
      </c>
      <c r="L29" s="1575">
        <f>Cement!L29</f>
        <v>22</v>
      </c>
      <c r="M29" s="1582" t="str">
        <f>Cement!M29</f>
        <v>N</v>
      </c>
      <c r="N29" s="1582" t="str">
        <f>Cement!N29</f>
        <v>S</v>
      </c>
      <c r="O29" s="179" t="str">
        <f>Cement!O29</f>
        <v/>
      </c>
      <c r="P29" s="124" t="str">
        <f>Cement!P29</f>
        <v>سيمان‌ شرق‌</v>
      </c>
      <c r="Q29" s="1973" t="str">
        <f>Cement!Q29</f>
        <v>سشرق</v>
      </c>
      <c r="R29" s="59">
        <f>Cement!R29</f>
        <v>6</v>
      </c>
      <c r="S29" s="66">
        <f>Cement!S29</f>
        <v>12226.4</v>
      </c>
      <c r="T29" s="258">
        <f>Cement!T29</f>
        <v>19720</v>
      </c>
      <c r="U29" s="338">
        <f>Cement!U29</f>
        <v>2.98</v>
      </c>
      <c r="V29" s="263">
        <f>Cement!V29</f>
        <v>19720</v>
      </c>
      <c r="W29" s="337">
        <f>Cement!W29</f>
        <v>2.98</v>
      </c>
      <c r="X29" s="661" t="str">
        <f>Cement!Y29</f>
        <v/>
      </c>
      <c r="Y29" s="1031">
        <f>Cement!Z29</f>
        <v>0.67599725839616176</v>
      </c>
      <c r="Z29" s="511">
        <f ca="1">Cement!AA29</f>
        <v>0.59671232876712332</v>
      </c>
      <c r="AA29" s="823">
        <f ca="1">Cement!AB29</f>
        <v>-3.2762367615305137</v>
      </c>
      <c r="AB29" s="1150">
        <f>Cement!AD29</f>
        <v>2.0796977329974808</v>
      </c>
      <c r="AC29" s="1150">
        <f>Cement!AE29</f>
        <v>2.217473684210526</v>
      </c>
      <c r="AD29" s="1150">
        <f>Cement!AF29</f>
        <v>5.9153846153846148</v>
      </c>
      <c r="AE29" s="1150">
        <f>Cement!AG29</f>
        <v>5.8803601575689362</v>
      </c>
      <c r="AF29" s="275">
        <f ca="1">Cement!AH29</f>
        <v>123</v>
      </c>
      <c r="AG29" s="1120">
        <f>Cement!AI29</f>
        <v>45997</v>
      </c>
      <c r="AH29" s="1430">
        <f>Cement!AJ29</f>
        <v>46075</v>
      </c>
      <c r="AI29" s="23">
        <f>Cement!AK29</f>
        <v>2250000</v>
      </c>
      <c r="AJ29" s="23">
        <f>Cement!AL29</f>
        <v>2300000</v>
      </c>
      <c r="AK29" s="29">
        <f>Cement!AM29</f>
        <v>6200000000</v>
      </c>
      <c r="AL29" s="1225">
        <f>Cement!AN29</f>
        <v>0.40770000000000001</v>
      </c>
      <c r="AM29" s="174">
        <f>Cement!AO29</f>
        <v>3402</v>
      </c>
      <c r="AN29" s="1010">
        <f>Cement!AP29</f>
        <v>2170</v>
      </c>
      <c r="AO29" s="1010">
        <f>Cement!AQ29</f>
        <v>569</v>
      </c>
      <c r="AP29" s="766">
        <f>Cement!AR29</f>
        <v>3767.6520798201236</v>
      </c>
      <c r="AQ29" s="984">
        <f>Cement!AS29</f>
        <v>4</v>
      </c>
      <c r="AR29" s="6">
        <f>Cement!AT29</f>
        <v>2.1477434297453306</v>
      </c>
      <c r="AS29" s="99">
        <f>Cement!AU29</f>
        <v>2.785792379312384</v>
      </c>
      <c r="AT29" s="16">
        <f>Cement!AV29</f>
        <v>2751</v>
      </c>
      <c r="AU29" s="16">
        <f>Cement!AW29</f>
        <v>930</v>
      </c>
      <c r="AV29" s="1740">
        <f>Cement!AX29</f>
        <v>0.33800000000000002</v>
      </c>
      <c r="AW29" s="1363">
        <f>Cement!AY29</f>
        <v>0.30399999999999999</v>
      </c>
      <c r="AX29" s="1084">
        <f>Cement!AZ29</f>
        <v>0.26200000000000001</v>
      </c>
      <c r="AY29" s="1366">
        <f>Cement!BA29</f>
        <v>9.5000000000000001E-2</v>
      </c>
      <c r="AZ29" s="99">
        <f>Cement!BB29</f>
        <v>0.20000000000000018</v>
      </c>
      <c r="BA29" s="1740">
        <f>Cement!BC29</f>
        <v>0.251</v>
      </c>
      <c r="BB29" s="1363">
        <f>Cement!BD29</f>
        <v>0.249</v>
      </c>
      <c r="BC29" s="1357">
        <f>Cement!BE29</f>
        <v>0.21099999999999999</v>
      </c>
      <c r="BD29" s="1367">
        <f>Cement!BF29</f>
        <v>5.5E-2</v>
      </c>
      <c r="BE29" s="306">
        <f>Cement!BG29</f>
        <v>8.7000000000000022E-2</v>
      </c>
      <c r="BF29" s="99">
        <f>Cement!BJ29</f>
        <v>0</v>
      </c>
      <c r="BG29" s="306">
        <f>Cement!BK29</f>
        <v>0.73624519807378963</v>
      </c>
      <c r="BH29" s="99">
        <f>Cement!BL29</f>
        <v>1.8074381903288361</v>
      </c>
      <c r="BI29" s="15">
        <f>Cement!BM29</f>
        <v>0</v>
      </c>
      <c r="BJ29" s="1356">
        <f>Cement!BN29</f>
        <v>3</v>
      </c>
      <c r="BK29" s="842">
        <f>Cement!BO29</f>
        <v>3</v>
      </c>
      <c r="BL29" s="16">
        <f>Cement!BP29</f>
        <v>801</v>
      </c>
      <c r="BM29" s="16">
        <f>Cement!BQ29</f>
        <v>1261</v>
      </c>
      <c r="BN29" s="16">
        <f>Cement!BR29</f>
        <v>1753</v>
      </c>
      <c r="BO29" s="1251">
        <f>Cement!BS29</f>
        <v>2794.6462452175015</v>
      </c>
      <c r="BP29" s="1246">
        <f>Cement!BT29</f>
        <v>2755.3763440860212</v>
      </c>
      <c r="BQ29" s="406">
        <f>Cement!BU29</f>
        <v>0</v>
      </c>
      <c r="BR29" s="407">
        <f>Cement!BV29</f>
        <v>7.1062773827285204</v>
      </c>
      <c r="BS29" s="99">
        <f>Cement!BW29</f>
        <v>-10.531386913642603</v>
      </c>
      <c r="BT29" s="18">
        <f>Cement!BX29</f>
        <v>1720.507002684092</v>
      </c>
      <c r="BU29" s="18">
        <f>Cement!BY29</f>
        <v>1895.5658914728681</v>
      </c>
      <c r="BV29" s="19">
        <f>Cement!BZ29</f>
        <v>1273.4664029792018</v>
      </c>
      <c r="BW29" s="266">
        <f>Cement!CB29</f>
        <v>3056</v>
      </c>
      <c r="BX29" s="267">
        <f>Cement!CC29</f>
        <v>6.45</v>
      </c>
      <c r="BY29" s="99">
        <f>Cement!CD29</f>
        <v>-4.3500000000000005</v>
      </c>
      <c r="BZ29" s="17">
        <f>Cement!CE29</f>
        <v>1.3937752047849727</v>
      </c>
      <c r="CA29" s="99">
        <f>Cement!CF29</f>
        <v>2.424899180860109</v>
      </c>
      <c r="CB29" s="103">
        <f>Cement!CG29</f>
        <v>0.31580525012556754</v>
      </c>
      <c r="CC29" s="99">
        <f>Cement!CH29</f>
        <v>-1.2629212481164873</v>
      </c>
      <c r="CD29" s="20">
        <f>Cement!CI29</f>
        <v>0</v>
      </c>
      <c r="CE29" s="691">
        <f>Cement!CJ29</f>
        <v>620</v>
      </c>
      <c r="CF29" s="419">
        <f>Cement!CK29</f>
        <v>106</v>
      </c>
      <c r="CG29" s="468">
        <f>Cement!CL29</f>
        <v>787</v>
      </c>
      <c r="CH29" s="843">
        <f>Cement!CM29</f>
        <v>396</v>
      </c>
      <c r="CI29" s="21">
        <f>Cement!CN29</f>
        <v>1087</v>
      </c>
      <c r="CJ29" s="21">
        <f>Cement!CO29</f>
        <v>641</v>
      </c>
      <c r="CK29" s="469">
        <f>Cement!CP29</f>
        <v>1281.25</v>
      </c>
      <c r="CL29" s="1239">
        <f>Cement!CQ29</f>
        <v>1429.0672266957092</v>
      </c>
      <c r="CM29" s="21">
        <f>Cement!CR29</f>
        <v>1193</v>
      </c>
      <c r="CN29" s="16">
        <f>Cement!CS29</f>
        <v>-73</v>
      </c>
      <c r="CO29" s="154" t="str">
        <f>Cement!CT29</f>
        <v/>
      </c>
      <c r="CP29" s="693">
        <f>Cement!CU29</f>
        <v>1826</v>
      </c>
      <c r="CQ29" s="49">
        <f>Cement!CV29</f>
        <v>2238</v>
      </c>
      <c r="CR29" s="1389">
        <f>Cement!CW29</f>
        <v>583</v>
      </c>
      <c r="CS29" s="49">
        <f>Cement!CX29</f>
        <v>160</v>
      </c>
      <c r="CT29" s="53">
        <f>Cement!CY29</f>
        <v>2398</v>
      </c>
      <c r="CU29" s="6">
        <f>Cement!CZ29</f>
        <v>1.6184092940125112</v>
      </c>
      <c r="CV29" s="99">
        <f>Cement!DA29</f>
        <v>3.3472743521000901</v>
      </c>
      <c r="CW29" s="53">
        <f>Cement!DB29</f>
        <v>4224</v>
      </c>
      <c r="CX29" s="645">
        <f>Cement!DC29</f>
        <v>0.56770833333333337</v>
      </c>
      <c r="CY29" s="13">
        <f>Cement!DD29</f>
        <v>602</v>
      </c>
      <c r="CZ29" s="24">
        <f>Cement!DE29</f>
        <v>300</v>
      </c>
      <c r="DA29" s="24">
        <f>Cement!DF29</f>
        <v>210</v>
      </c>
      <c r="DB29" s="51">
        <f>Cement!DG29</f>
        <v>3622</v>
      </c>
      <c r="DC29" s="8">
        <f>Cement!DH29</f>
        <v>1384</v>
      </c>
      <c r="DD29" s="644">
        <f>Cement!DI29</f>
        <v>2.7222919651879507</v>
      </c>
      <c r="DE29" s="22">
        <f>Cement!DJ29</f>
        <v>1296</v>
      </c>
      <c r="DF29" s="1390">
        <f>Cement!DK29</f>
        <v>669</v>
      </c>
      <c r="DG29" s="22">
        <f>Cement!DL29</f>
        <v>228</v>
      </c>
      <c r="DH29" s="138">
        <f>Cement!DM29</f>
        <v>0.56770833333333337</v>
      </c>
      <c r="DI29" s="99">
        <f>Cement!DN29</f>
        <v>0.32421478625387135</v>
      </c>
      <c r="DJ29" s="138">
        <f>Cement!DO29</f>
        <v>0.12799709487323013</v>
      </c>
      <c r="DK29" s="99">
        <f>Cement!DP29</f>
        <v>0</v>
      </c>
      <c r="DL29" s="1431">
        <f>Cement!DQ29</f>
        <v>746</v>
      </c>
      <c r="DM29" s="8">
        <f>Cement!DR29</f>
        <v>683</v>
      </c>
      <c r="DN29" s="23" t="str">
        <f>Cement!DS29</f>
        <v>G</v>
      </c>
      <c r="DO29" s="7">
        <f>Cement!DT29</f>
        <v>28.751087595532038</v>
      </c>
      <c r="DP29" s="8">
        <f>Cement!DU29</f>
        <v>20116.6875</v>
      </c>
      <c r="DQ29" s="32">
        <f>Cement!DV29</f>
        <v>1.6453483854609698</v>
      </c>
      <c r="DR29" s="99">
        <f>Cement!DW29</f>
        <v>10</v>
      </c>
      <c r="DS29" s="14">
        <f>Cement!DX29</f>
        <v>1674.5120354756104</v>
      </c>
      <c r="DT29" s="99">
        <f>Cement!DY29</f>
        <v>-10</v>
      </c>
      <c r="DU29" s="103">
        <f>Cement!DZ29</f>
        <v>0.45665230393731915</v>
      </c>
      <c r="DV29" s="99">
        <f>Cement!EA29</f>
        <v>-1.0175629412516418</v>
      </c>
      <c r="DW29" s="103">
        <f>Cement!EB29</f>
        <v>0.12041719342604298</v>
      </c>
      <c r="DX29" s="99">
        <f>Cement!EC29</f>
        <v>1.2041719342604298</v>
      </c>
      <c r="DY29" s="8">
        <f>Cement!ED29</f>
        <v>11857.28</v>
      </c>
      <c r="DZ29" s="8">
        <f>Cement!EE29</f>
        <v>10580.645161290322</v>
      </c>
      <c r="EA29" s="235">
        <f>Cement!EF29</f>
        <v>170.96774193548387</v>
      </c>
      <c r="EB29" s="8">
        <f>Cement!EG29</f>
        <v>11304.446451612905</v>
      </c>
      <c r="EC29" s="411">
        <f>Cement!EH29</f>
        <v>78</v>
      </c>
      <c r="ED29" s="1338">
        <f>Cement!EI29</f>
        <v>2360</v>
      </c>
      <c r="EE29" s="821">
        <f>Cement!EJ29</f>
        <v>0.13923303834808259</v>
      </c>
      <c r="EF29" s="502">
        <f>Cement!EK29</f>
        <v>0</v>
      </c>
      <c r="EG29" s="502">
        <f>Cement!EL29</f>
        <v>0</v>
      </c>
      <c r="EH29" s="510">
        <f>Cement!EM29</f>
        <v>6700</v>
      </c>
      <c r="EI29" s="435">
        <f>Cement!EN29</f>
        <v>1777</v>
      </c>
      <c r="EJ29" s="510">
        <f>Cement!EO29</f>
        <v>6660</v>
      </c>
      <c r="EK29" s="435">
        <f>Cement!EP29</f>
        <v>1768</v>
      </c>
      <c r="EL29" s="510">
        <f>Cement!EQ29</f>
        <v>14320</v>
      </c>
      <c r="EM29" s="435">
        <f>Cement!ER29</f>
        <v>3800</v>
      </c>
      <c r="EN29" s="510">
        <f>Cement!ES29</f>
        <v>7940</v>
      </c>
      <c r="EO29" s="435">
        <f>Cement!ET29</f>
        <v>3970</v>
      </c>
      <c r="EP29" s="510">
        <f>Cement!EU29</f>
        <v>14590</v>
      </c>
      <c r="EQ29" s="435">
        <f>Cement!EV29</f>
        <v>7295</v>
      </c>
      <c r="ER29" s="1610">
        <f>Cement!EW29</f>
        <v>14590</v>
      </c>
      <c r="ES29" s="834">
        <f>Cement!EX29</f>
        <v>7295</v>
      </c>
      <c r="ET29" s="835">
        <f>Cement!EY29</f>
        <v>3.1052335396736073</v>
      </c>
    </row>
    <row r="30" spans="1:150" ht="31" customHeight="1">
      <c r="A30" s="100">
        <f>Cement!A30</f>
        <v>-5.1465409578434347</v>
      </c>
      <c r="B30" s="100">
        <f>Cement!B30</f>
        <v>-9.5816828073800444</v>
      </c>
      <c r="C30" s="1585">
        <f ca="1">Cement!C30</f>
        <v>0.20114092077063772</v>
      </c>
      <c r="D30" s="1650">
        <f>Cement!D30</f>
        <v>-1.2697453871869344</v>
      </c>
      <c r="E30" s="1412">
        <f>Cement!E30</f>
        <v>-2.7000000000000024</v>
      </c>
      <c r="F30" s="1413">
        <f>Cement!F30</f>
        <v>-3.1000000000000028</v>
      </c>
      <c r="G30" s="2125">
        <f>Cement!G30</f>
        <v>0.10535616151373661</v>
      </c>
      <c r="H30" s="2115">
        <f>Cement!H30</f>
        <v>0.58550396375990943</v>
      </c>
      <c r="I30" s="2301">
        <f>Cement!I30</f>
        <v>0.3499005964214712</v>
      </c>
      <c r="J30" s="2115">
        <f>Cement!J30</f>
        <v>0.729490022172949</v>
      </c>
      <c r="K30" s="1942">
        <f>Cement!K30</f>
        <v>16</v>
      </c>
      <c r="L30" s="1575">
        <f>Cement!L30</f>
        <v>21</v>
      </c>
      <c r="M30" s="1582" t="str">
        <f>Cement!M30</f>
        <v>N</v>
      </c>
      <c r="N30" s="1582" t="str">
        <f>Cement!N30</f>
        <v>N</v>
      </c>
      <c r="O30" s="179" t="str">
        <f>Cement!O30</f>
        <v/>
      </c>
      <c r="P30" s="124" t="str">
        <f>Cement!P30</f>
        <v>سيمان‌ شمال‌</v>
      </c>
      <c r="Q30" s="1973" t="str">
        <f>Cement!Q30</f>
        <v>سشمال</v>
      </c>
      <c r="R30" s="59">
        <f>Cement!R30</f>
        <v>9</v>
      </c>
      <c r="S30" s="66">
        <f>Cement!S30</f>
        <v>7305</v>
      </c>
      <c r="T30" s="258">
        <f>Cement!T30</f>
        <v>14610</v>
      </c>
      <c r="U30" s="338">
        <f>Cement!U30</f>
        <v>2.96</v>
      </c>
      <c r="V30" s="263">
        <f>Cement!V30</f>
        <v>14610</v>
      </c>
      <c r="W30" s="337">
        <f>Cement!W30</f>
        <v>2.96</v>
      </c>
      <c r="X30" s="661" t="str">
        <f>Cement!Y30</f>
        <v/>
      </c>
      <c r="Y30" s="1031">
        <f>Cement!Z30</f>
        <v>0.3505268996117582</v>
      </c>
      <c r="Z30" s="511">
        <f ca="1">Cement!AA30</f>
        <v>0.36986301369863012</v>
      </c>
      <c r="AA30" s="823">
        <f ca="1">Cement!AB30</f>
        <v>1.2890742724581274</v>
      </c>
      <c r="AB30" s="1150">
        <f>Cement!AD30</f>
        <v>0.87307692307692308</v>
      </c>
      <c r="AC30" s="1150">
        <f>Cement!AE30</f>
        <v>1.1229293809938972</v>
      </c>
      <c r="AD30" s="1150">
        <f>Cement!AF30</f>
        <v>2.8186095138525875</v>
      </c>
      <c r="AE30" s="1150">
        <f>Cement!AG30</f>
        <v>5.4135206321334506</v>
      </c>
      <c r="AF30" s="275">
        <f ca="1">Cement!AH30</f>
        <v>215</v>
      </c>
      <c r="AG30" s="1120">
        <f>Cement!AI30</f>
        <v>46089</v>
      </c>
      <c r="AH30" s="1430">
        <f>Cement!AJ30</f>
        <v>46179</v>
      </c>
      <c r="AI30" s="23">
        <f>Cement!AK30</f>
        <v>1200000</v>
      </c>
      <c r="AJ30" s="23">
        <f>Cement!AL30</f>
        <v>1250000</v>
      </c>
      <c r="AK30" s="29">
        <f>Cement!AM30</f>
        <v>5000000000</v>
      </c>
      <c r="AL30" s="1225">
        <f>Cement!AN30</f>
        <v>0.2301</v>
      </c>
      <c r="AM30" s="174">
        <f>Cement!AO30</f>
        <v>1961</v>
      </c>
      <c r="AN30" s="1010">
        <f>Cement!AP30</f>
        <v>1727</v>
      </c>
      <c r="AO30" s="1010">
        <f>Cement!AQ30</f>
        <v>1062</v>
      </c>
      <c r="AP30" s="766">
        <f>Cement!AR30</f>
        <v>2530.0826727066815</v>
      </c>
      <c r="AQ30" s="984">
        <f>Cement!AS30</f>
        <v>4</v>
      </c>
      <c r="AR30" s="6">
        <f>Cement!AT30</f>
        <v>2.1690200321118969</v>
      </c>
      <c r="AS30" s="99">
        <f>Cement!AU30</f>
        <v>2.5730263556467214</v>
      </c>
      <c r="AT30" s="16">
        <f>Cement!AV30</f>
        <v>1182</v>
      </c>
      <c r="AU30" s="16">
        <f>Cement!AW30</f>
        <v>502</v>
      </c>
      <c r="AV30" s="1740">
        <f>Cement!AX30</f>
        <v>0.42499999999999999</v>
      </c>
      <c r="AW30" s="1363">
        <f>Cement!AY30</f>
        <v>0.45200000000000001</v>
      </c>
      <c r="AX30" s="1084">
        <f>Cement!AZ30</f>
        <v>0.61499999999999999</v>
      </c>
      <c r="AY30" s="1366">
        <f>Cement!BA30</f>
        <v>0.57499999999999996</v>
      </c>
      <c r="AZ30" s="99">
        <f>Cement!BB30</f>
        <v>-3.1000000000000028</v>
      </c>
      <c r="BA30" s="1740">
        <f>Cement!BC30</f>
        <v>0.36299999999999999</v>
      </c>
      <c r="BB30" s="1363">
        <f>Cement!BD30</f>
        <v>0.39400000000000002</v>
      </c>
      <c r="BC30" s="1357">
        <f>Cement!BE30</f>
        <v>0.55600000000000005</v>
      </c>
      <c r="BD30" s="1367">
        <f>Cement!BF30</f>
        <v>0.51700000000000002</v>
      </c>
      <c r="BE30" s="306">
        <f>Cement!BG30</f>
        <v>6.2E-2</v>
      </c>
      <c r="BF30" s="99">
        <f>Cement!BJ30</f>
        <v>0</v>
      </c>
      <c r="BG30" s="306">
        <f>Cement!BK30</f>
        <v>0.46501602357074784</v>
      </c>
      <c r="BH30" s="99">
        <f>Cement!BL30</f>
        <v>3.4346737187696892</v>
      </c>
      <c r="BI30" s="15">
        <f>Cement!BM30</f>
        <v>0</v>
      </c>
      <c r="BJ30" s="1356">
        <f>Cement!BN30</f>
        <v>3</v>
      </c>
      <c r="BK30" s="842">
        <f>Cement!BO30</f>
        <v>2</v>
      </c>
      <c r="BL30" s="16">
        <f>Cement!BP30</f>
        <v>276</v>
      </c>
      <c r="BM30" s="16">
        <f>Cement!BQ30</f>
        <v>2899</v>
      </c>
      <c r="BN30" s="16">
        <f>Cement!BR30</f>
        <v>0</v>
      </c>
      <c r="BO30" s="1251">
        <f>Cement!BS30</f>
        <v>1960.8400203850506</v>
      </c>
      <c r="BP30" s="1246">
        <f>Cement!BT30</f>
        <v>1972</v>
      </c>
      <c r="BQ30" s="406">
        <f>Cement!BU30</f>
        <v>0</v>
      </c>
      <c r="BR30" s="407">
        <f>Cement!BV30</f>
        <v>7.4297453871869346</v>
      </c>
      <c r="BS30" s="99">
        <f>Cement!BW30</f>
        <v>-12.148726935934672</v>
      </c>
      <c r="BT30" s="18">
        <f>Cement!BX30</f>
        <v>983.21000509626265</v>
      </c>
      <c r="BU30" s="18">
        <f>Cement!BY30</f>
        <v>1185.8766233766235</v>
      </c>
      <c r="BV30" s="19">
        <f>Cement!BZ30</f>
        <v>1075.2851359003396</v>
      </c>
      <c r="BW30" s="266">
        <f>Cement!CB30</f>
        <v>2372</v>
      </c>
      <c r="BX30" s="267">
        <f>Cement!CC30</f>
        <v>6.16</v>
      </c>
      <c r="BY30" s="99">
        <f>Cement!CD30</f>
        <v>-3.4800000000000004</v>
      </c>
      <c r="BZ30" s="17">
        <f>Cement!CE30</f>
        <v>1.2601580471902276</v>
      </c>
      <c r="CA30" s="99">
        <f>Cement!CF30</f>
        <v>2.9593678112390895</v>
      </c>
      <c r="CB30" s="103">
        <f>Cement!CG30</f>
        <v>0.31472791456346438</v>
      </c>
      <c r="CC30" s="99">
        <f>Cement!CH30</f>
        <v>-1.2790812815480346</v>
      </c>
      <c r="CD30" s="20">
        <f>Cement!CI30</f>
        <v>0</v>
      </c>
      <c r="CE30" s="691">
        <f>Cement!CJ30</f>
        <v>500</v>
      </c>
      <c r="CF30" s="419">
        <f>Cement!CK30</f>
        <v>279</v>
      </c>
      <c r="CG30" s="468">
        <f>Cement!CL30</f>
        <v>62</v>
      </c>
      <c r="CH30" s="843">
        <f>Cement!CM30</f>
        <v>64</v>
      </c>
      <c r="CI30" s="21">
        <f>Cement!CN30</f>
        <v>493</v>
      </c>
      <c r="CJ30" s="21">
        <f>Cement!CO30</f>
        <v>295</v>
      </c>
      <c r="CK30" s="469">
        <f>Cement!CP30</f>
        <v>493</v>
      </c>
      <c r="CL30" s="1239">
        <f>Cement!CQ30</f>
        <v>830.74500594563983</v>
      </c>
      <c r="CM30" s="21">
        <f>Cement!CR30</f>
        <v>772</v>
      </c>
      <c r="CN30" s="16">
        <f>Cement!CS30</f>
        <v>-370</v>
      </c>
      <c r="CO30" s="154" t="str">
        <f>Cement!CT30</f>
        <v/>
      </c>
      <c r="CP30" s="693">
        <f>Cement!CU30</f>
        <v>1229</v>
      </c>
      <c r="CQ30" s="49">
        <f>Cement!CV30</f>
        <v>1154</v>
      </c>
      <c r="CR30" s="1389">
        <f>Cement!CW30</f>
        <v>0</v>
      </c>
      <c r="CS30" s="49">
        <f>Cement!CX30</f>
        <v>85</v>
      </c>
      <c r="CT30" s="53">
        <f>Cement!CY30</f>
        <v>1239</v>
      </c>
      <c r="CU30" s="6">
        <f>Cement!CZ30</f>
        <v>1.6421143847487001</v>
      </c>
      <c r="CV30" s="99">
        <f>Cement!DA30</f>
        <v>3.536915077989601</v>
      </c>
      <c r="CW30" s="53">
        <f>Cement!DB30</f>
        <v>2468</v>
      </c>
      <c r="CX30" s="645">
        <f>Cement!DC30</f>
        <v>0.50202593192868716</v>
      </c>
      <c r="CY30" s="13">
        <f>Cement!DD30</f>
        <v>573</v>
      </c>
      <c r="CZ30" s="24">
        <f>Cement!DE30</f>
        <v>449</v>
      </c>
      <c r="DA30" s="24">
        <f>Cement!DF30</f>
        <v>88</v>
      </c>
      <c r="DB30" s="51">
        <f>Cement!DG30</f>
        <v>1895</v>
      </c>
      <c r="DC30" s="8">
        <f>Cement!DH30</f>
        <v>741</v>
      </c>
      <c r="DD30" s="644">
        <f>Cement!DI30</f>
        <v>3.4144165623571952</v>
      </c>
      <c r="DE30" s="22">
        <f>Cement!DJ30</f>
        <v>876</v>
      </c>
      <c r="DF30" s="1390">
        <f>Cement!DK30</f>
        <v>305</v>
      </c>
      <c r="DG30" s="22">
        <f>Cement!DL30</f>
        <v>567</v>
      </c>
      <c r="DH30" s="138">
        <f>Cement!DM30</f>
        <v>0.50202593192868716</v>
      </c>
      <c r="DI30" s="99">
        <f>Cement!DN30</f>
        <v>0.98103880030033341</v>
      </c>
      <c r="DJ30" s="138">
        <f>Cement!DO30</f>
        <v>9.4858560389747298E-2</v>
      </c>
      <c r="DK30" s="99">
        <f>Cement!DP30</f>
        <v>0</v>
      </c>
      <c r="DL30" s="1431">
        <f>Cement!DQ30</f>
        <v>102</v>
      </c>
      <c r="DM30" s="8">
        <f>Cement!DR30</f>
        <v>45</v>
      </c>
      <c r="DN30" s="23" t="str">
        <f>Cement!DS30</f>
        <v>G</v>
      </c>
      <c r="DO30" s="7">
        <f>Cement!DT30</f>
        <v>32.208994708994709</v>
      </c>
      <c r="DP30" s="8">
        <f>Cement!DU30</f>
        <v>11732.174999999999</v>
      </c>
      <c r="DQ30" s="32">
        <f>Cement!DV30</f>
        <v>1.606047227926078</v>
      </c>
      <c r="DR30" s="99">
        <f>Cement!DW30</f>
        <v>10</v>
      </c>
      <c r="DS30" s="14">
        <f>Cement!DX30</f>
        <v>2108.4022272555676</v>
      </c>
      <c r="DT30" s="99">
        <f>Cement!DY30</f>
        <v>-5.5648581504633903</v>
      </c>
      <c r="DU30" s="103">
        <f>Cement!DZ30</f>
        <v>0.38860785685094823</v>
      </c>
      <c r="DV30" s="99">
        <f>Cement!EA30</f>
        <v>-3.0588963538427691</v>
      </c>
      <c r="DW30" s="103">
        <f>Cement!EB30</f>
        <v>0</v>
      </c>
      <c r="DX30" s="99">
        <f>Cement!EC30</f>
        <v>0</v>
      </c>
      <c r="DY30" s="8">
        <f>Cement!ED30</f>
        <v>8918.7199999999993</v>
      </c>
      <c r="DZ30" s="8">
        <f>Cement!EE30</f>
        <v>7335.84</v>
      </c>
      <c r="EA30" s="235">
        <f>Cement!EF30</f>
        <v>558</v>
      </c>
      <c r="EB30" s="8">
        <f>Cement!EG30</f>
        <v>8406.2799999999988</v>
      </c>
      <c r="EC30" s="411">
        <f>Cement!EH30</f>
        <v>90</v>
      </c>
      <c r="ED30" s="1338">
        <f>Cement!EI30</f>
        <v>4745</v>
      </c>
      <c r="EE30" s="821">
        <f>Cement!EJ30</f>
        <v>0.30490939467934713</v>
      </c>
      <c r="EF30" s="502">
        <f>Cement!EK30</f>
        <v>0.31769999999999998</v>
      </c>
      <c r="EG30" s="502">
        <f>Cement!EL30</f>
        <v>0</v>
      </c>
      <c r="EH30" s="510">
        <f>Cement!EM30</f>
        <v>6700</v>
      </c>
      <c r="EI30" s="435">
        <f>Cement!EN30</f>
        <v>1139</v>
      </c>
      <c r="EJ30" s="510">
        <f>Cement!EO30</f>
        <v>11250</v>
      </c>
      <c r="EK30" s="435">
        <f>Cement!EP30</f>
        <v>1913</v>
      </c>
      <c r="EL30" s="510">
        <f>Cement!EQ30</f>
        <v>20240</v>
      </c>
      <c r="EM30" s="435">
        <f>Cement!ER30</f>
        <v>3441</v>
      </c>
      <c r="EN30" s="510">
        <f>Cement!ES30</f>
        <v>22942</v>
      </c>
      <c r="EO30" s="435">
        <f>Cement!ET30</f>
        <v>3900</v>
      </c>
      <c r="EP30" s="510">
        <f>Cement!EU30</f>
        <v>10817</v>
      </c>
      <c r="EQ30" s="435">
        <f>Cement!EV30</f>
        <v>5409</v>
      </c>
      <c r="ER30" s="1607">
        <f>Cement!EW30</f>
        <v>10817</v>
      </c>
      <c r="ES30" s="1608">
        <f>Cement!EX30</f>
        <v>5409</v>
      </c>
      <c r="ET30" s="1609">
        <f>Cement!EY30</f>
        <v>3.7489025460930643</v>
      </c>
    </row>
    <row r="31" spans="1:150" ht="34" customHeight="1">
      <c r="A31" s="100">
        <f>Cement!A31</f>
        <v>-6.5171615294243201</v>
      </c>
      <c r="B31" s="100">
        <f>Cement!B31</f>
        <v>-9.7738461601467677</v>
      </c>
      <c r="C31" s="1585">
        <f ca="1">Cement!C31</f>
        <v>0.20099478082661085</v>
      </c>
      <c r="D31" s="1650">
        <f>Cement!D31</f>
        <v>0.50512373363874108</v>
      </c>
      <c r="E31" s="1412">
        <f>Cement!E31</f>
        <v>3.8999999999999977</v>
      </c>
      <c r="F31" s="1413">
        <f>Cement!F31</f>
        <v>2.6000000000000023</v>
      </c>
      <c r="G31" s="2125">
        <f>Cement!G31</f>
        <v>7.3345855962541062</v>
      </c>
      <c r="H31" s="2115">
        <f>Cement!H31</f>
        <v>0.69680264608599785</v>
      </c>
      <c r="I31" s="2301">
        <f>Cement!I31</f>
        <v>1.1122448979591837</v>
      </c>
      <c r="J31" s="2115">
        <f>Cement!J31</f>
        <v>0.65609756097560978</v>
      </c>
      <c r="K31" s="1942">
        <f>Cement!K31</f>
        <v>11</v>
      </c>
      <c r="L31" s="1575">
        <f>Cement!L31</f>
        <v>26</v>
      </c>
      <c r="M31" s="1582" t="str">
        <f>Cement!M31</f>
        <v>B</v>
      </c>
      <c r="N31" s="1587" t="str">
        <f>Cement!N31</f>
        <v>B</v>
      </c>
      <c r="O31" s="179" t="str">
        <f>Cement!O31</f>
        <v/>
      </c>
      <c r="P31" s="223" t="str">
        <f>Cement!P31</f>
        <v>سيمان كردستان</v>
      </c>
      <c r="Q31" s="1949" t="str">
        <f>Cement!Q31</f>
        <v>سكرد</v>
      </c>
      <c r="R31" s="59">
        <f>Cement!R31</f>
        <v>6</v>
      </c>
      <c r="S31" s="66">
        <f>Cement!S31</f>
        <v>4016.5</v>
      </c>
      <c r="T31" s="258">
        <f>Cement!T31</f>
        <v>13830</v>
      </c>
      <c r="U31" s="338">
        <f>Cement!U31</f>
        <v>2.83</v>
      </c>
      <c r="V31" s="263">
        <f>Cement!V31</f>
        <v>13850</v>
      </c>
      <c r="W31" s="337">
        <f>Cement!W31</f>
        <v>2.97</v>
      </c>
      <c r="X31" s="661" t="str">
        <f>Cement!Y31</f>
        <v/>
      </c>
      <c r="Y31" s="1031">
        <f>Cement!Z31</f>
        <v>0.69329679595278249</v>
      </c>
      <c r="Z31" s="511">
        <f ca="1">Cement!AA31</f>
        <v>0.59424657534246572</v>
      </c>
      <c r="AA31" s="823">
        <f ca="1">Cement!AB31</f>
        <v>-4.1099676601791186</v>
      </c>
      <c r="AB31" s="1150">
        <f>Cement!AD31</f>
        <v>1.2846985210466439</v>
      </c>
      <c r="AC31" s="1150">
        <f>Cement!AE31</f>
        <v>1.1206441393875397</v>
      </c>
      <c r="AD31" s="1150">
        <f>Cement!AF31</f>
        <v>2.2132000000000001</v>
      </c>
      <c r="AE31" s="1150">
        <f>Cement!AG31</f>
        <v>2.5512820512820511</v>
      </c>
      <c r="AF31" s="275">
        <f ca="1">Cement!AH31</f>
        <v>124</v>
      </c>
      <c r="AG31" s="1120">
        <f>Cement!AI31</f>
        <v>45998</v>
      </c>
      <c r="AH31" s="1430">
        <f>Cement!AJ31</f>
        <v>46116</v>
      </c>
      <c r="AI31" s="23">
        <f>Cement!AK31</f>
        <v>1000000</v>
      </c>
      <c r="AJ31" s="23">
        <f>Cement!AL31</f>
        <v>1800000</v>
      </c>
      <c r="AK31" s="29">
        <f>Cement!AM31</f>
        <v>2900000000</v>
      </c>
      <c r="AL31" s="1225">
        <f>Cement!AN31</f>
        <v>0.14000000000000001</v>
      </c>
      <c r="AM31" s="174">
        <f>Cement!AO31</f>
        <v>1689</v>
      </c>
      <c r="AN31" s="1010">
        <f>Cement!AP31</f>
        <v>1201</v>
      </c>
      <c r="AO31" s="1010">
        <f>Cement!AQ31</f>
        <v>431</v>
      </c>
      <c r="AP31" s="766">
        <f>Cement!AR31</f>
        <v>2006.7182738669237</v>
      </c>
      <c r="AQ31" s="984">
        <f>Cement!AS31</f>
        <v>4</v>
      </c>
      <c r="AR31" s="6">
        <f>Cement!AT31</f>
        <v>1.813234098371149</v>
      </c>
      <c r="AS31" s="99">
        <f>Cement!AU31</f>
        <v>6.1308856930541999</v>
      </c>
      <c r="AT31" s="16">
        <f>Cement!AV31</f>
        <v>1315</v>
      </c>
      <c r="AU31" s="16">
        <f>Cement!AW31</f>
        <v>542</v>
      </c>
      <c r="AV31" s="1740">
        <f>Cement!AX31</f>
        <v>0.41199999999999998</v>
      </c>
      <c r="AW31" s="1363">
        <f>Cement!AY31</f>
        <v>0.373</v>
      </c>
      <c r="AX31" s="1084">
        <f>Cement!AZ31</f>
        <v>0.35899999999999999</v>
      </c>
      <c r="AY31" s="1366">
        <f>Cement!BA31</f>
        <v>0.217</v>
      </c>
      <c r="AZ31" s="99">
        <f>Cement!BB31</f>
        <v>2.6000000000000023</v>
      </c>
      <c r="BA31" s="1740">
        <f>Cement!BC31</f>
        <v>0.31</v>
      </c>
      <c r="BB31" s="1363">
        <f>Cement!BD31</f>
        <v>0.28399999999999997</v>
      </c>
      <c r="BC31" s="1357">
        <f>Cement!BE31</f>
        <v>0.27</v>
      </c>
      <c r="BD31" s="1367">
        <f>Cement!BF31</f>
        <v>0.189</v>
      </c>
      <c r="BE31" s="306">
        <f>Cement!BG31</f>
        <v>0.10199999999999998</v>
      </c>
      <c r="BF31" s="99">
        <f>Cement!BJ31</f>
        <v>1</v>
      </c>
      <c r="BG31" s="306">
        <f>Cement!BK31</f>
        <v>0.6708728341939415</v>
      </c>
      <c r="BH31" s="99">
        <f>Cement!BL31</f>
        <v>-0.67271885276522947</v>
      </c>
      <c r="BI31" s="15">
        <f>Cement!BM31</f>
        <v>0</v>
      </c>
      <c r="BJ31" s="1356">
        <f>Cement!BN31</f>
        <v>3</v>
      </c>
      <c r="BK31" s="842">
        <f>Cement!BO31</f>
        <v>3</v>
      </c>
      <c r="BL31" s="16">
        <f>Cement!BP31</f>
        <v>568</v>
      </c>
      <c r="BM31" s="16">
        <f>Cement!BQ31</f>
        <v>901</v>
      </c>
      <c r="BN31" s="16">
        <f>Cement!BR31</f>
        <v>1512</v>
      </c>
      <c r="BO31" s="1251">
        <f>Cement!BS31</f>
        <v>2310.6298789611942</v>
      </c>
      <c r="BP31" s="1246">
        <f>Cement!BT31</f>
        <v>2041.3793103448274</v>
      </c>
      <c r="BQ31" s="406">
        <f>Cement!BU31</f>
        <v>0</v>
      </c>
      <c r="BR31" s="407">
        <f>Cement!BV31</f>
        <v>6.364876266361259</v>
      </c>
      <c r="BS31" s="99">
        <f>Cement!BW31</f>
        <v>-6.8243813318062951</v>
      </c>
      <c r="BT31" s="18">
        <f>Cement!BX31</f>
        <v>631.04133244937316</v>
      </c>
      <c r="BU31" s="18">
        <f>Cement!BY31</f>
        <v>584.64337700145563</v>
      </c>
      <c r="BV31" s="19">
        <f>Cement!BZ31</f>
        <v>826.7679288331725</v>
      </c>
      <c r="BW31" s="266">
        <f>Cement!CB31</f>
        <v>2014</v>
      </c>
      <c r="BX31" s="267">
        <f>Cement!CC31</f>
        <v>6.87</v>
      </c>
      <c r="BY31" s="99">
        <f>Cement!CD31</f>
        <v>-5.61</v>
      </c>
      <c r="BZ31" s="17">
        <f>Cement!CE31</f>
        <v>2.0379013764572584</v>
      </c>
      <c r="CA31" s="99">
        <f>Cement!CF31</f>
        <v>-0.15160550582903376</v>
      </c>
      <c r="CB31" s="103">
        <f>Cement!CG31</f>
        <v>0.26469854549050886</v>
      </c>
      <c r="CC31" s="99">
        <f>Cement!CH31</f>
        <v>-2.0295218176423675</v>
      </c>
      <c r="CD31" s="20">
        <f>Cement!CI31</f>
        <v>0</v>
      </c>
      <c r="CE31" s="691">
        <f>Cement!CJ31</f>
        <v>290</v>
      </c>
      <c r="CF31" s="419">
        <f>Cement!CK31</f>
        <v>68</v>
      </c>
      <c r="CG31" s="468">
        <f>Cement!CL31</f>
        <v>48</v>
      </c>
      <c r="CH31" s="843">
        <f>Cement!CM31</f>
        <v>31</v>
      </c>
      <c r="CI31" s="21">
        <f>Cement!CN31</f>
        <v>439</v>
      </c>
      <c r="CJ31" s="21">
        <f>Cement!CO31</f>
        <v>55</v>
      </c>
      <c r="CK31" s="469">
        <f>Cement!CP31</f>
        <v>444</v>
      </c>
      <c r="CL31" s="1239">
        <f>Cement!CQ31</f>
        <v>573.4022207489553</v>
      </c>
      <c r="CM31" s="21">
        <f>Cement!CR31</f>
        <v>507</v>
      </c>
      <c r="CN31" s="16">
        <f>Cement!CS31</f>
        <v>-12</v>
      </c>
      <c r="CO31" s="154" t="str">
        <f>Cement!CT31</f>
        <v/>
      </c>
      <c r="CP31" s="693">
        <f>Cement!CU31</f>
        <v>816</v>
      </c>
      <c r="CQ31" s="49">
        <f>Cement!CV31</f>
        <v>1203</v>
      </c>
      <c r="CR31" s="1389">
        <f>Cement!CW31</f>
        <v>115</v>
      </c>
      <c r="CS31" s="49">
        <f>Cement!CX31</f>
        <v>83</v>
      </c>
      <c r="CT31" s="53">
        <f>Cement!CY31</f>
        <v>1286</v>
      </c>
      <c r="CU31" s="6">
        <f>Cement!CZ31</f>
        <v>1.3034081463009144</v>
      </c>
      <c r="CV31" s="99">
        <f>Cement!DA31</f>
        <v>0.82726517040731551</v>
      </c>
      <c r="CW31" s="53">
        <f>Cement!DB31</f>
        <v>2102</v>
      </c>
      <c r="CX31" s="645">
        <f>Cement!DC31</f>
        <v>0.61179828734538533</v>
      </c>
      <c r="CY31" s="13">
        <f>Cement!DD31</f>
        <v>534</v>
      </c>
      <c r="CZ31" s="24">
        <f>Cement!DE31</f>
        <v>372</v>
      </c>
      <c r="DA31" s="24">
        <f>Cement!DF31</f>
        <v>153</v>
      </c>
      <c r="DB31" s="51">
        <f>Cement!DG31</f>
        <v>1568</v>
      </c>
      <c r="DC31" s="8">
        <f>Cement!DH31</f>
        <v>365</v>
      </c>
      <c r="DD31" s="644">
        <f>Cement!DI31</f>
        <v>5.4978582845669139</v>
      </c>
      <c r="DE31" s="22">
        <f>Cement!DJ31</f>
        <v>700</v>
      </c>
      <c r="DF31" s="1390">
        <f>Cement!DK31</f>
        <v>316</v>
      </c>
      <c r="DG31" s="22">
        <f>Cement!DL31</f>
        <v>80</v>
      </c>
      <c r="DH31" s="138">
        <f>Cement!DM31</f>
        <v>0.61179828734538533</v>
      </c>
      <c r="DI31" s="99">
        <f>Cement!DN31</f>
        <v>-0.11668475386664823</v>
      </c>
      <c r="DJ31" s="138">
        <f>Cement!DO31</f>
        <v>0.1814293887907539</v>
      </c>
      <c r="DK31" s="99">
        <f>Cement!DP31</f>
        <v>0</v>
      </c>
      <c r="DL31" s="1431">
        <f>Cement!DQ31</f>
        <v>265</v>
      </c>
      <c r="DM31" s="8">
        <f>Cement!DR31</f>
        <v>207</v>
      </c>
      <c r="DN31" s="23" t="str">
        <f>Cement!DS31</f>
        <v>G</v>
      </c>
      <c r="DO31" s="7">
        <f>Cement!DT31</f>
        <v>21.251322751322753</v>
      </c>
      <c r="DP31" s="8">
        <f>Cement!DU31</f>
        <v>10135.125</v>
      </c>
      <c r="DQ31" s="32">
        <f>Cement!DV31</f>
        <v>2.5233723391012077</v>
      </c>
      <c r="DR31" s="99">
        <f>Cement!DW31</f>
        <v>10</v>
      </c>
      <c r="DS31" s="14">
        <f>Cement!DX31</f>
        <v>2006.7182738669237</v>
      </c>
      <c r="DT31" s="99">
        <f>Cement!DY31</f>
        <v>-6.7433153692775525</v>
      </c>
      <c r="DU31" s="103">
        <f>Cement!DZ31</f>
        <v>0.31446433745448654</v>
      </c>
      <c r="DV31" s="99">
        <f>Cement!EA31</f>
        <v>-5.2832019357366198</v>
      </c>
      <c r="DW31" s="103">
        <f>Cement!EB31</f>
        <v>3.5611717403790925E-2</v>
      </c>
      <c r="DX31" s="99">
        <f>Cement!EC31</f>
        <v>0.35611717403790927</v>
      </c>
      <c r="DY31" s="8">
        <f>Cement!ED31</f>
        <v>7814.32</v>
      </c>
      <c r="DZ31" s="8">
        <f>Cement!EE31</f>
        <v>7838.8965517241368</v>
      </c>
      <c r="EA31" s="235">
        <f>Cement!EF31</f>
        <v>234.48275862068965</v>
      </c>
      <c r="EB31" s="8">
        <f>Cement!EG31</f>
        <v>7943.8496551724138</v>
      </c>
      <c r="EC31" s="411">
        <f>Cement!EH31</f>
        <v>118</v>
      </c>
      <c r="ED31" s="1338">
        <f>Cement!EI31</f>
        <v>1150</v>
      </c>
      <c r="EE31" s="821">
        <f>Cement!EJ31</f>
        <v>0.1232583065380493</v>
      </c>
      <c r="EF31" s="502">
        <f>Cement!EK31</f>
        <v>0.318</v>
      </c>
      <c r="EG31" s="502">
        <f>Cement!EL31</f>
        <v>0</v>
      </c>
      <c r="EH31" s="510">
        <f>Cement!EM31</f>
        <v>5140</v>
      </c>
      <c r="EI31" s="435">
        <f>Cement!EN31</f>
        <v>1131</v>
      </c>
      <c r="EJ31" s="510">
        <f>Cement!EO31</f>
        <v>5680</v>
      </c>
      <c r="EK31" s="435">
        <f>Cement!EP31</f>
        <v>1250</v>
      </c>
      <c r="EL31" s="510">
        <f>Cement!EQ31</f>
        <v>8610</v>
      </c>
      <c r="EM31" s="435">
        <f>Cement!ER31</f>
        <v>1894</v>
      </c>
      <c r="EN31" s="510">
        <f>Cement!ES31</f>
        <v>7990</v>
      </c>
      <c r="EO31" s="435">
        <f>Cement!ET31</f>
        <v>1758</v>
      </c>
      <c r="EP31" s="510">
        <f>Cement!EU31</f>
        <v>8180</v>
      </c>
      <c r="EQ31" s="435">
        <f>Cement!EV31</f>
        <v>2372</v>
      </c>
      <c r="ER31" s="1607">
        <f>Cement!EW31</f>
        <v>8180</v>
      </c>
      <c r="ES31" s="1608">
        <f>Cement!EX31</f>
        <v>2372</v>
      </c>
      <c r="ET31" s="1609">
        <f>Cement!EY31</f>
        <v>1.0972590627763041</v>
      </c>
    </row>
    <row r="32" spans="1:150" ht="35" customHeight="1">
      <c r="A32" s="100">
        <f>Cement!A32</f>
        <v>-12.195856599294064</v>
      </c>
      <c r="B32" s="100">
        <f>Cement!B32</f>
        <v>-19.686703879628794</v>
      </c>
      <c r="C32" s="1585">
        <f ca="1">Cement!C32</f>
        <v>0.24931768169843485</v>
      </c>
      <c r="D32" s="1650">
        <f>Cement!D32</f>
        <v>-6.4558680653686196E-2</v>
      </c>
      <c r="E32" s="1412">
        <f>Cement!E32</f>
        <v>-4.6000000000000041</v>
      </c>
      <c r="F32" s="1413">
        <f>Cement!F32</f>
        <v>-5.8999999999999995</v>
      </c>
      <c r="G32" s="2125">
        <f>Cement!G32</f>
        <v>-3.3562913698295005</v>
      </c>
      <c r="H32" s="2115">
        <f>Cement!H32</f>
        <v>0.68300395256917001</v>
      </c>
      <c r="I32" s="2301">
        <f>Cement!I32</f>
        <v>1.3204633204633205</v>
      </c>
      <c r="J32" s="2115">
        <f>Cement!J32</f>
        <v>0.97774480712166167</v>
      </c>
      <c r="K32" s="1942">
        <f>Cement!K32</f>
        <v>12</v>
      </c>
      <c r="L32" s="1575">
        <f>Cement!L32</f>
        <v>18</v>
      </c>
      <c r="M32" s="1582" t="str">
        <f>Cement!M32</f>
        <v>N</v>
      </c>
      <c r="N32" s="1587" t="str">
        <f>Cement!N32</f>
        <v>S</v>
      </c>
      <c r="O32" s="179" t="str">
        <f>Cement!O32</f>
        <v/>
      </c>
      <c r="P32" s="124" t="str">
        <f>Cement!P32</f>
        <v>سيمان آرتا اردبيل</v>
      </c>
      <c r="Q32" s="1973" t="str">
        <f>Cement!Q32</f>
        <v>ساربيل</v>
      </c>
      <c r="R32" s="59">
        <f>Cement!R32</f>
        <v>9</v>
      </c>
      <c r="S32" s="66">
        <f>Cement!S32</f>
        <v>12045.6</v>
      </c>
      <c r="T32" s="258">
        <f>Cement!T32</f>
        <v>83270</v>
      </c>
      <c r="U32" s="338">
        <f>Cement!U32</f>
        <v>2.52</v>
      </c>
      <c r="V32" s="263">
        <f>Cement!V32</f>
        <v>83650</v>
      </c>
      <c r="W32" s="337">
        <f>Cement!W32</f>
        <v>2.99</v>
      </c>
      <c r="X32" s="661" t="str">
        <f>Cement!Y32</f>
        <v/>
      </c>
      <c r="Y32" s="1031">
        <f>Cement!Z32</f>
        <v>0.30973143416331417</v>
      </c>
      <c r="Z32" s="511">
        <f ca="1">Cement!AA32</f>
        <v>0.42164383561643837</v>
      </c>
      <c r="AA32" s="823">
        <f ca="1">Cement!AB32</f>
        <v>6.5445848802996611</v>
      </c>
      <c r="AB32" s="1150">
        <f>Cement!AD32</f>
        <v>0.4502287503009873</v>
      </c>
      <c r="AC32" s="1150">
        <f>Cement!AE32</f>
        <v>2.8094876660341557</v>
      </c>
      <c r="AD32" s="1150">
        <f>Cement!AF32</f>
        <v>5.782432432432433</v>
      </c>
      <c r="AE32" s="1150">
        <f>Cement!AG32</f>
        <v>8.5751987281399042</v>
      </c>
      <c r="AF32" s="275">
        <f ca="1">Cement!AH32</f>
        <v>194</v>
      </c>
      <c r="AG32" s="1120">
        <f>Cement!AI32</f>
        <v>46068</v>
      </c>
      <c r="AH32" s="1430">
        <f>Cement!AJ32</f>
        <v>46084</v>
      </c>
      <c r="AI32" s="23">
        <f>Cement!AK32</f>
        <v>1050000</v>
      </c>
      <c r="AJ32" s="23">
        <f>Cement!AL32</f>
        <v>1100000</v>
      </c>
      <c r="AK32" s="29">
        <f>Cement!AM32</f>
        <v>1440000000</v>
      </c>
      <c r="AL32" s="1225">
        <f>Cement!AN32</f>
        <v>9.8500000000000004E-2</v>
      </c>
      <c r="AM32" s="174">
        <f>Cement!AO32</f>
        <v>3288</v>
      </c>
      <c r="AN32" s="1010">
        <f>Cement!AP32</f>
        <v>2711</v>
      </c>
      <c r="AO32" s="1010">
        <f>Cement!AQ32</f>
        <v>1543</v>
      </c>
      <c r="AP32" s="766">
        <f>Cement!AR32</f>
        <v>4087.4904291360813</v>
      </c>
      <c r="AQ32" s="984">
        <f>Cement!AS32</f>
        <v>4</v>
      </c>
      <c r="AR32" s="6">
        <f>Cement!AT32</f>
        <v>2.946942680070304</v>
      </c>
      <c r="AS32" s="99">
        <f>Cement!AU32</f>
        <v>-5.2062001239373501</v>
      </c>
      <c r="AT32" s="16">
        <f>Cement!AV32</f>
        <v>1720</v>
      </c>
      <c r="AU32" s="16">
        <f>Cement!AW32</f>
        <v>873</v>
      </c>
      <c r="AV32" s="1740">
        <f>Cement!AX32</f>
        <v>0.50800000000000001</v>
      </c>
      <c r="AW32" s="1363">
        <f>Cement!AY32</f>
        <v>0.55400000000000005</v>
      </c>
      <c r="AX32" s="1084">
        <f>Cement!AZ32</f>
        <v>0.56899999999999995</v>
      </c>
      <c r="AY32" s="1366">
        <f>Cement!BA32</f>
        <v>0.55800000000000005</v>
      </c>
      <c r="AZ32" s="99">
        <f>Cement!BB32</f>
        <v>-5.8999999999999995</v>
      </c>
      <c r="BA32" s="1740">
        <f>Cement!BC32</f>
        <v>0.39100000000000001</v>
      </c>
      <c r="BB32" s="1363">
        <f>Cement!BD32</f>
        <v>0.45</v>
      </c>
      <c r="BC32" s="1357">
        <f>Cement!BE32</f>
        <v>0.46200000000000002</v>
      </c>
      <c r="BD32" s="1367">
        <f>Cement!BF32</f>
        <v>0.47399999999999998</v>
      </c>
      <c r="BE32" s="306">
        <f>Cement!BG32</f>
        <v>0.11699999999999999</v>
      </c>
      <c r="BF32" s="99">
        <f>Cement!BJ32</f>
        <v>0</v>
      </c>
      <c r="BG32" s="306">
        <f>Cement!BK32</f>
        <v>0.5077426887259614</v>
      </c>
      <c r="BH32" s="99">
        <f>Cement!BL32</f>
        <v>5</v>
      </c>
      <c r="BI32" s="15">
        <f>Cement!BM32</f>
        <v>0</v>
      </c>
      <c r="BJ32" s="1356">
        <f>Cement!BN32</f>
        <v>3</v>
      </c>
      <c r="BK32" s="842">
        <f>Cement!BO32</f>
        <v>2</v>
      </c>
      <c r="BL32" s="16">
        <f>Cement!BP32</f>
        <v>1351</v>
      </c>
      <c r="BM32" s="16">
        <f>Cement!BQ32</f>
        <v>5154</v>
      </c>
      <c r="BN32" s="16">
        <f>Cement!BR32</f>
        <v>0</v>
      </c>
      <c r="BO32" s="1251">
        <f>Cement!BS32</f>
        <v>11987.560818001442</v>
      </c>
      <c r="BP32" s="1246">
        <f>Cement!BT32</f>
        <v>10305.555555555555</v>
      </c>
      <c r="BQ32" s="406">
        <f>Cement!BU32</f>
        <v>0</v>
      </c>
      <c r="BR32" s="407">
        <f>Cement!BV32</f>
        <v>7.5045586806536866</v>
      </c>
      <c r="BS32" s="99">
        <f>Cement!BW32</f>
        <v>-12.522793403268434</v>
      </c>
      <c r="BT32" s="18">
        <f>Cement!BX32</f>
        <v>1605.104378896104</v>
      </c>
      <c r="BU32" s="18">
        <f>Cement!BY32</f>
        <v>1619.0322580645161</v>
      </c>
      <c r="BV32" s="19">
        <f>Cement!BZ32</f>
        <v>2076.4451380011292</v>
      </c>
      <c r="BW32" s="266">
        <f>Cement!CB32</f>
        <v>11188</v>
      </c>
      <c r="BX32" s="267">
        <f>Cement!CC32</f>
        <v>7.44</v>
      </c>
      <c r="BY32" s="99">
        <f>Cement!CD32</f>
        <v>-7.3200000000000012</v>
      </c>
      <c r="BZ32" s="17">
        <f>Cement!CE32</f>
        <v>0.98872074667906951</v>
      </c>
      <c r="CA32" s="99">
        <f>Cement!CF32</f>
        <v>4.045117013283722</v>
      </c>
      <c r="CB32" s="103">
        <f>Cement!CG32</f>
        <v>0.49418238266505665</v>
      </c>
      <c r="CC32" s="99">
        <f>Cement!CH32</f>
        <v>1.4127357399758496</v>
      </c>
      <c r="CD32" s="20">
        <f>Cement!CI32</f>
        <v>0</v>
      </c>
      <c r="CE32" s="691">
        <f>Cement!CJ32</f>
        <v>144</v>
      </c>
      <c r="CF32" s="419">
        <f>Cement!CK32</f>
        <v>439</v>
      </c>
      <c r="CG32" s="468">
        <f>Cement!CL32</f>
        <v>128</v>
      </c>
      <c r="CH32" s="843">
        <f>Cement!CM32</f>
        <v>70</v>
      </c>
      <c r="CI32" s="21">
        <f>Cement!CN32</f>
        <v>742</v>
      </c>
      <c r="CJ32" s="21">
        <f>Cement!CO32</f>
        <v>0</v>
      </c>
      <c r="CK32" s="469">
        <f>Cement!CP32</f>
        <v>742</v>
      </c>
      <c r="CL32" s="1239">
        <f>Cement!CQ32</f>
        <v>932.28844204545453</v>
      </c>
      <c r="CM32" s="21">
        <f>Cement!CR32</f>
        <v>1181</v>
      </c>
      <c r="CN32" s="16">
        <f>Cement!CS32</f>
        <v>0</v>
      </c>
      <c r="CO32" s="154" t="str">
        <f>Cement!CT32</f>
        <v/>
      </c>
      <c r="CP32" s="693">
        <f>Cement!CU32</f>
        <v>1339</v>
      </c>
      <c r="CQ32" s="49">
        <f>Cement!CV32</f>
        <v>1473</v>
      </c>
      <c r="CR32" s="1389">
        <f>Cement!CW32</f>
        <v>285</v>
      </c>
      <c r="CS32" s="49">
        <f>Cement!CX32</f>
        <v>114</v>
      </c>
      <c r="CT32" s="53">
        <f>Cement!CY32</f>
        <v>1587</v>
      </c>
      <c r="CU32" s="6">
        <f>Cement!CZ32</f>
        <v>1.2959945689069925</v>
      </c>
      <c r="CV32" s="99">
        <f>Cement!DA32</f>
        <v>0.76795655125594031</v>
      </c>
      <c r="CW32" s="53">
        <f>Cement!DB32</f>
        <v>2926</v>
      </c>
      <c r="CX32" s="645">
        <f>Cement!DC32</f>
        <v>0.54237867395762129</v>
      </c>
      <c r="CY32" s="13">
        <f>Cement!DD32</f>
        <v>1017</v>
      </c>
      <c r="CZ32" s="24">
        <f>Cement!DE32</f>
        <v>972</v>
      </c>
      <c r="DA32" s="24">
        <f>Cement!DF32</f>
        <v>20</v>
      </c>
      <c r="DB32" s="51">
        <f>Cement!DG32</f>
        <v>1909</v>
      </c>
      <c r="DC32" s="8">
        <f>Cement!DH32</f>
        <v>436</v>
      </c>
      <c r="DD32" s="644">
        <f>Cement!DI32</f>
        <v>9.3749780484772511</v>
      </c>
      <c r="DE32" s="22">
        <f>Cement!DJ32</f>
        <v>1204</v>
      </c>
      <c r="DF32" s="1390">
        <f>Cement!DK32</f>
        <v>214</v>
      </c>
      <c r="DG32" s="22">
        <f>Cement!DL32</f>
        <v>102</v>
      </c>
      <c r="DH32" s="138">
        <f>Cement!DM32</f>
        <v>0.54237867395762129</v>
      </c>
      <c r="DI32" s="99">
        <f>Cement!DN32</f>
        <v>0.57751138001099211</v>
      </c>
      <c r="DJ32" s="138">
        <f>Cement!DO32</f>
        <v>-7.7054768783355642E-3</v>
      </c>
      <c r="DK32" s="99">
        <f>Cement!DP32</f>
        <v>0</v>
      </c>
      <c r="DL32" s="1431">
        <f>Cement!DQ32</f>
        <v>269</v>
      </c>
      <c r="DM32" s="8">
        <f>Cement!DR32</f>
        <v>120</v>
      </c>
      <c r="DN32" s="23" t="str">
        <f>Cement!DS32</f>
        <v>G</v>
      </c>
      <c r="DO32" s="7">
        <f>Cement!DT32</f>
        <v>60.698412698412696</v>
      </c>
      <c r="DP32" s="8">
        <f>Cement!DU32</f>
        <v>10534.387500000001</v>
      </c>
      <c r="DQ32" s="32">
        <f>Cement!DV32</f>
        <v>0.87454236401673646</v>
      </c>
      <c r="DR32" s="99">
        <f>Cement!DW32</f>
        <v>-2.5091527196652708</v>
      </c>
      <c r="DS32" s="14">
        <f>Cement!DX32</f>
        <v>3892.8480277486487</v>
      </c>
      <c r="DT32" s="99">
        <f>Cement!DY32</f>
        <v>10</v>
      </c>
      <c r="DU32" s="103">
        <f>Cement!DZ32</f>
        <v>0.39268700605504625</v>
      </c>
      <c r="DV32" s="99">
        <f>Cement!EA32</f>
        <v>-2.9365218777198288</v>
      </c>
      <c r="DW32" s="103">
        <f>Cement!EB32</f>
        <v>0.23954908407703146</v>
      </c>
      <c r="DX32" s="99">
        <f>Cement!EC32</f>
        <v>2.3954908407703144</v>
      </c>
      <c r="DY32" s="8">
        <f>Cement!ED32</f>
        <v>42066.879999999997</v>
      </c>
      <c r="DZ32" s="8">
        <f>Cement!EE32</f>
        <v>38336.666666666664</v>
      </c>
      <c r="EA32" s="235">
        <f>Cement!EF32</f>
        <v>3048.6111111111113</v>
      </c>
      <c r="EB32" s="8">
        <f>Cement!EG32</f>
        <v>41726.078888888886</v>
      </c>
      <c r="EC32" s="411">
        <f>Cement!EH32</f>
        <v>16</v>
      </c>
      <c r="ED32" s="1338">
        <f>Cement!EI32</f>
        <v>8150</v>
      </c>
      <c r="EE32" s="821">
        <f>Cement!EJ32</f>
        <v>0.11316301027492363</v>
      </c>
      <c r="EF32" s="502">
        <f>Cement!EK32</f>
        <v>2</v>
      </c>
      <c r="EG32" s="502">
        <f>Cement!EL32</f>
        <v>0</v>
      </c>
      <c r="EH32" s="510">
        <f>Cement!EM32</f>
        <v>19480</v>
      </c>
      <c r="EI32" s="435">
        <f>Cement!EN32</f>
        <v>1258</v>
      </c>
      <c r="EJ32" s="510">
        <f>Cement!EO32</f>
        <v>37000</v>
      </c>
      <c r="EK32" s="435">
        <f>Cement!EP32</f>
        <v>1776</v>
      </c>
      <c r="EL32" s="510">
        <f>Cement!EQ32</f>
        <v>21960</v>
      </c>
      <c r="EM32" s="435">
        <f>Cement!ER32</f>
        <v>3162</v>
      </c>
      <c r="EN32" s="510">
        <f>Cement!ES32</f>
        <v>57680</v>
      </c>
      <c r="EO32" s="435">
        <f>Cement!ET32</f>
        <v>8306</v>
      </c>
      <c r="EP32" s="510">
        <f>Cement!EU32</f>
        <v>63870</v>
      </c>
      <c r="EQ32" s="435">
        <f>Cement!EV32</f>
        <v>9197</v>
      </c>
      <c r="ER32" s="1610">
        <f>Cement!EW32</f>
        <v>63870</v>
      </c>
      <c r="ES32" s="834">
        <f>Cement!EX32</f>
        <v>9197</v>
      </c>
      <c r="ET32" s="835">
        <f>Cement!EY32</f>
        <v>6.3108108108108105</v>
      </c>
    </row>
    <row r="33" spans="1:150" ht="35" customHeight="1">
      <c r="A33" s="100">
        <f>Cement!A33</f>
        <v>-20.805999036870038</v>
      </c>
      <c r="B33" s="100">
        <f>Cement!B33</f>
        <v>-18.805999036870038</v>
      </c>
      <c r="C33" s="1585">
        <f ca="1">Cement!C33</f>
        <v>0.18242281866376361</v>
      </c>
      <c r="D33" s="1650">
        <f>Cement!D33</f>
        <v>1.6766711742795284</v>
      </c>
      <c r="E33" s="1412">
        <f>Cement!E33</f>
        <v>-1.2000000000000011</v>
      </c>
      <c r="F33" s="1413">
        <f>Cement!F33</f>
        <v>-0.40000000000000036</v>
      </c>
      <c r="G33" s="2125">
        <f>Cement!G33</f>
        <v>8.4408783151909574</v>
      </c>
      <c r="H33" s="2115">
        <f>Cement!H33</f>
        <v>0.38095238095238093</v>
      </c>
      <c r="I33" s="2301">
        <f>Cement!I33</f>
        <v>0.32922201138519924</v>
      </c>
      <c r="J33" s="2115">
        <f>Cement!J33</f>
        <v>0.55431754874651806</v>
      </c>
      <c r="K33" s="1942">
        <f>Cement!K33</f>
        <v>23</v>
      </c>
      <c r="L33" s="1575">
        <f>Cement!L33</f>
        <v>27</v>
      </c>
      <c r="M33" s="1587" t="str">
        <f>Cement!M33</f>
        <v>N</v>
      </c>
      <c r="N33" s="1587" t="str">
        <f>Cement!N33</f>
        <v>N</v>
      </c>
      <c r="O33" s="179" t="str">
        <f>Cement!O33</f>
        <v/>
      </c>
      <c r="P33" s="124" t="str">
        <f>Cement!P33</f>
        <v>سيمان‌ سپاهان‌</v>
      </c>
      <c r="Q33" s="1973" t="str">
        <f>Cement!Q33</f>
        <v>سپاها</v>
      </c>
      <c r="R33" s="59">
        <f>Cement!R33</f>
        <v>6</v>
      </c>
      <c r="S33" s="66">
        <f>Cement!S33</f>
        <v>13027.5</v>
      </c>
      <c r="T33" s="258">
        <f>Cement!T33</f>
        <v>19290</v>
      </c>
      <c r="U33" s="338">
        <f>Cement!U33</f>
        <v>2.93</v>
      </c>
      <c r="V33" s="263">
        <f>Cement!V33</f>
        <v>19300</v>
      </c>
      <c r="W33" s="337">
        <f>Cement!W33</f>
        <v>2.99</v>
      </c>
      <c r="X33" s="661" t="str">
        <f>Cement!Y33</f>
        <v/>
      </c>
      <c r="Y33" s="1031">
        <f>Cement!Z33</f>
        <v>0.79863316305398313</v>
      </c>
      <c r="Z33" s="511">
        <f ca="1">Cement!AA33</f>
        <v>0.59671232876712332</v>
      </c>
      <c r="AA33" s="823">
        <f ca="1">Cement!AB33</f>
        <v>-8.343836127556191</v>
      </c>
      <c r="AB33" s="1150">
        <f>Cement!AD33</f>
        <v>2.1166267942583734</v>
      </c>
      <c r="AC33" s="1150">
        <f>Cement!AE33</f>
        <v>1.5076997112608277</v>
      </c>
      <c r="AD33" s="1150">
        <f>Cement!AF33</f>
        <v>5.4620535714285712</v>
      </c>
      <c r="AE33" s="1150">
        <f>Cement!AG33</f>
        <v>6.6953748006379588</v>
      </c>
      <c r="AF33" s="275">
        <f ca="1">Cement!AH33</f>
        <v>123</v>
      </c>
      <c r="AG33" s="1120">
        <f>Cement!AI33</f>
        <v>45997</v>
      </c>
      <c r="AH33" s="1430">
        <f>Cement!AJ33</f>
        <v>46085</v>
      </c>
      <c r="AI33" s="23">
        <f>Cement!AK33</f>
        <v>3000000</v>
      </c>
      <c r="AJ33" s="23">
        <f>Cement!AL33</f>
        <v>3100000</v>
      </c>
      <c r="AK33" s="29">
        <f>Cement!AM33</f>
        <v>6750000000</v>
      </c>
      <c r="AL33" s="1225">
        <f>Cement!AN33</f>
        <v>0.28249999999999997</v>
      </c>
      <c r="AM33" s="174">
        <f>Cement!AO33</f>
        <v>4361</v>
      </c>
      <c r="AN33" s="1010">
        <f>Cement!AP33</f>
        <v>3658</v>
      </c>
      <c r="AO33" s="1010">
        <f>Cement!AQ33</f>
        <v>1109</v>
      </c>
      <c r="AP33" s="766">
        <f>Cement!AR33</f>
        <v>4874.0619047619048</v>
      </c>
      <c r="AQ33" s="984">
        <f>Cement!AS33</f>
        <v>4</v>
      </c>
      <c r="AR33" s="6">
        <f>Cement!AT33</f>
        <v>2.6549252456883035</v>
      </c>
      <c r="AS33" s="99">
        <f>Cement!AU33</f>
        <v>-2.2860257801173445</v>
      </c>
      <c r="AT33" s="16">
        <f>Cement!AV33</f>
        <v>3301</v>
      </c>
      <c r="AU33" s="16">
        <f>Cement!AW33</f>
        <v>1366</v>
      </c>
      <c r="AV33" s="1740">
        <f>Cement!AX33</f>
        <v>0.41399999999999998</v>
      </c>
      <c r="AW33" s="1363">
        <f>Cement!AY33</f>
        <v>0.42599999999999999</v>
      </c>
      <c r="AX33" s="1084">
        <f>Cement!AZ33</f>
        <v>0.30299999999999999</v>
      </c>
      <c r="AY33" s="1366">
        <f>Cement!BA33</f>
        <v>0.27100000000000002</v>
      </c>
      <c r="AZ33" s="99">
        <f>Cement!BB33</f>
        <v>-0.40000000000000036</v>
      </c>
      <c r="BA33" s="1740">
        <f>Cement!BC33</f>
        <v>0.35799999999999998</v>
      </c>
      <c r="BB33" s="1363">
        <f>Cement!BD33</f>
        <v>0.36199999999999999</v>
      </c>
      <c r="BC33" s="1357">
        <f>Cement!BE33</f>
        <v>0.255</v>
      </c>
      <c r="BD33" s="1367">
        <f>Cement!BF33</f>
        <v>0.21199999999999999</v>
      </c>
      <c r="BE33" s="306">
        <f>Cement!BG33</f>
        <v>5.5999999999999994E-2</v>
      </c>
      <c r="BF33" s="99">
        <f>Cement!BJ33</f>
        <v>0</v>
      </c>
      <c r="BG33" s="306">
        <f>Cement!BK33</f>
        <v>0.33243901168996848</v>
      </c>
      <c r="BH33" s="99">
        <f>Cement!BL33</f>
        <v>-5</v>
      </c>
      <c r="BI33" s="15">
        <f>Cement!BM33</f>
        <v>0</v>
      </c>
      <c r="BJ33" s="1356">
        <f>Cement!BN33</f>
        <v>3</v>
      </c>
      <c r="BK33" s="842">
        <f>Cement!BO33</f>
        <v>3</v>
      </c>
      <c r="BL33" s="16">
        <f>Cement!BP33</f>
        <v>1029</v>
      </c>
      <c r="BM33" s="16">
        <f>Cement!BQ33</f>
        <v>1749</v>
      </c>
      <c r="BN33" s="16">
        <f>Cement!BR33</f>
        <v>2345</v>
      </c>
      <c r="BO33" s="1251">
        <f>Cement!BS33</f>
        <v>3045.7987583774247</v>
      </c>
      <c r="BP33" s="1246">
        <f>Cement!BT33</f>
        <v>3126.9135802469136</v>
      </c>
      <c r="BQ33" s="406">
        <f>Cement!BU33</f>
        <v>0</v>
      </c>
      <c r="BR33" s="407">
        <f>Cement!BV33</f>
        <v>6.2533288257204713</v>
      </c>
      <c r="BS33" s="99">
        <f>Cement!BW33</f>
        <v>-6.2666441286023566</v>
      </c>
      <c r="BT33" s="18">
        <f>Cement!BX33</f>
        <v>2083.2904142857142</v>
      </c>
      <c r="BU33" s="18">
        <f>Cement!BY33</f>
        <v>1642.8121059268601</v>
      </c>
      <c r="BV33" s="19">
        <f>Cement!BZ33</f>
        <v>2017.8616285714286</v>
      </c>
      <c r="BW33" s="266">
        <f>Cement!CB33</f>
        <v>2433</v>
      </c>
      <c r="BX33" s="267">
        <f>Cement!CC33</f>
        <v>7.93</v>
      </c>
      <c r="BY33" s="99">
        <f>Cement!CD33</f>
        <v>-8.7899999999999991</v>
      </c>
      <c r="BZ33" s="17">
        <f>Cement!CE33</f>
        <v>1.3296273918438462</v>
      </c>
      <c r="CA33" s="99">
        <f>Cement!CF33</f>
        <v>2.6814904326246154</v>
      </c>
      <c r="CB33" s="103">
        <f>Cement!CG33</f>
        <v>0.35900231161222024</v>
      </c>
      <c r="CC33" s="99">
        <f>Cement!CH33</f>
        <v>-0.61496532581669672</v>
      </c>
      <c r="CD33" s="20">
        <f>Cement!CI33</f>
        <v>0</v>
      </c>
      <c r="CE33" s="691">
        <f>Cement!CJ33</f>
        <v>675</v>
      </c>
      <c r="CF33" s="419">
        <f>Cement!CK33</f>
        <v>60</v>
      </c>
      <c r="CG33" s="468">
        <f>Cement!CL33</f>
        <v>311</v>
      </c>
      <c r="CH33" s="843">
        <f>Cement!CM33</f>
        <v>400</v>
      </c>
      <c r="CI33" s="21">
        <f>Cement!CN33</f>
        <v>1583</v>
      </c>
      <c r="CJ33" s="21">
        <f>Cement!CO33</f>
        <v>11</v>
      </c>
      <c r="CK33" s="469">
        <f>Cement!CP33</f>
        <v>1583</v>
      </c>
      <c r="CL33" s="1239">
        <f>Cement!CQ33</f>
        <v>1465.095134920635</v>
      </c>
      <c r="CM33" s="21">
        <f>Cement!CR33</f>
        <v>1643</v>
      </c>
      <c r="CN33" s="16">
        <f>Cement!CS33</f>
        <v>-36</v>
      </c>
      <c r="CO33" s="154" t="str">
        <f>Cement!CT33</f>
        <v/>
      </c>
      <c r="CP33" s="693">
        <f>Cement!CU33</f>
        <v>2365</v>
      </c>
      <c r="CQ33" s="49">
        <f>Cement!CV33</f>
        <v>2609</v>
      </c>
      <c r="CR33" s="1389">
        <f>Cement!CW33</f>
        <v>989</v>
      </c>
      <c r="CS33" s="49">
        <f>Cement!CX33</f>
        <v>161</v>
      </c>
      <c r="CT33" s="53">
        <f>Cement!CY33</f>
        <v>2770</v>
      </c>
      <c r="CU33" s="6">
        <f>Cement!CZ33</f>
        <v>1.3177462629359908</v>
      </c>
      <c r="CV33" s="99">
        <f>Cement!DA33</f>
        <v>0.94197010348792709</v>
      </c>
      <c r="CW33" s="53">
        <f>Cement!DB33</f>
        <v>5135</v>
      </c>
      <c r="CX33" s="645">
        <f>Cement!DC33</f>
        <v>0.53943524829600775</v>
      </c>
      <c r="CY33" s="13">
        <f>Cement!DD33</f>
        <v>1697</v>
      </c>
      <c r="CZ33" s="24">
        <f>Cement!DE33</f>
        <v>448</v>
      </c>
      <c r="DA33" s="24">
        <f>Cement!DF33</f>
        <v>227</v>
      </c>
      <c r="DB33" s="51">
        <f>Cement!DG33</f>
        <v>3438</v>
      </c>
      <c r="DC33" s="8">
        <f>Cement!DH33</f>
        <v>829</v>
      </c>
      <c r="DD33" s="644">
        <f>Cement!DI33</f>
        <v>5.8794474122580276</v>
      </c>
      <c r="DE33" s="22">
        <f>Cement!DJ33</f>
        <v>2162</v>
      </c>
      <c r="DF33" s="1390">
        <f>Cement!DK33</f>
        <v>548</v>
      </c>
      <c r="DG33" s="22">
        <f>Cement!DL33</f>
        <v>542</v>
      </c>
      <c r="DH33" s="138">
        <f>Cement!DM33</f>
        <v>0.53943524829600775</v>
      </c>
      <c r="DI33" s="99">
        <f>Cement!DN33</f>
        <v>0.60694563662712753</v>
      </c>
      <c r="DJ33" s="138">
        <f>Cement!DO33</f>
        <v>-0.48913165601883191</v>
      </c>
      <c r="DK33" s="99">
        <f>Cement!DP33</f>
        <v>-2</v>
      </c>
      <c r="DL33" s="1431">
        <f>Cement!DQ33</f>
        <v>2</v>
      </c>
      <c r="DM33" s="8">
        <f>Cement!DR33</f>
        <v>184</v>
      </c>
      <c r="DN33" s="23" t="str">
        <f>Cement!DS33</f>
        <v>G</v>
      </c>
      <c r="DO33" s="7">
        <f>Cement!DT33</f>
        <v>22.976190476190474</v>
      </c>
      <c r="DP33" s="8">
        <f>Cement!DU33</f>
        <v>26105.625</v>
      </c>
      <c r="DQ33" s="32">
        <f>Cement!DV33</f>
        <v>2.0038860103626943</v>
      </c>
      <c r="DR33" s="99">
        <f>Cement!DW33</f>
        <v>10</v>
      </c>
      <c r="DS33" s="14">
        <f>Cement!DX33</f>
        <v>1624.6873015873016</v>
      </c>
      <c r="DT33" s="99">
        <f>Cement!DY33</f>
        <v>-10</v>
      </c>
      <c r="DU33" s="103">
        <f>Cement!DZ33</f>
        <v>0.42742387253029401</v>
      </c>
      <c r="DV33" s="99">
        <f>Cement!EA33</f>
        <v>-1.8944158834623959</v>
      </c>
      <c r="DW33" s="103">
        <f>Cement!EB33</f>
        <v>0.22156459083890889</v>
      </c>
      <c r="DX33" s="99">
        <f>Cement!EC33</f>
        <v>2.2156459083890887</v>
      </c>
      <c r="DY33" s="8">
        <f>Cement!ED33</f>
        <v>9440.0400000000009</v>
      </c>
      <c r="DZ33" s="8">
        <f>Cement!EE33</f>
        <v>12007.348148148149</v>
      </c>
      <c r="EA33" s="235">
        <f>Cement!EF33</f>
        <v>88.888888888888886</v>
      </c>
      <c r="EB33" s="8">
        <f>Cement!EG33</f>
        <v>10768.138518518521</v>
      </c>
      <c r="EC33" s="411">
        <f>Cement!EH33</f>
        <v>88</v>
      </c>
      <c r="ED33" s="1338">
        <f>Cement!EI33</f>
        <v>1740</v>
      </c>
      <c r="EE33" s="821">
        <f>Cement!EJ33</f>
        <v>0.13953488372093023</v>
      </c>
      <c r="EF33" s="502">
        <f>Cement!EK33</f>
        <v>0.35</v>
      </c>
      <c r="EG33" s="502">
        <f>Cement!EL33</f>
        <v>0</v>
      </c>
      <c r="EH33" s="510">
        <f>Cement!EM33</f>
        <v>7330</v>
      </c>
      <c r="EI33" s="435">
        <f>Cement!EN33</f>
        <v>1692.9</v>
      </c>
      <c r="EJ33" s="510">
        <f>Cement!EO33</f>
        <v>8230</v>
      </c>
      <c r="EK33" s="435">
        <f>Cement!EP33</f>
        <v>2016</v>
      </c>
      <c r="EL33" s="510">
        <f>Cement!EQ33</f>
        <v>21205</v>
      </c>
      <c r="EM33" s="435">
        <f>Cement!ER33</f>
        <v>5195</v>
      </c>
      <c r="EN33" s="510">
        <f>Cement!ES33</f>
        <v>8360</v>
      </c>
      <c r="EO33" s="435">
        <f>Cement!ET33</f>
        <v>4180</v>
      </c>
      <c r="EP33" s="510">
        <f>Cement!EU33</f>
        <v>10730</v>
      </c>
      <c r="EQ33" s="435">
        <f>Cement!EV33</f>
        <v>7243</v>
      </c>
      <c r="ER33" s="1607">
        <f>Cement!EW33</f>
        <v>10730</v>
      </c>
      <c r="ES33" s="1608">
        <f>Cement!EX33</f>
        <v>7243</v>
      </c>
      <c r="ET33" s="1609">
        <f>Cement!EY33</f>
        <v>3.2784570854746296</v>
      </c>
    </row>
    <row r="34" spans="1:150" ht="35" customHeight="1">
      <c r="A34" s="100">
        <f>Cement!A35</f>
        <v>-29.487824380399573</v>
      </c>
      <c r="B34" s="100">
        <f>Cement!B35</f>
        <v>-29.487824380399573</v>
      </c>
      <c r="C34" s="1585">
        <f ca="1">Cement!C35</f>
        <v>0.23819896272824512</v>
      </c>
      <c r="D34" s="1650">
        <f>Cement!D35</f>
        <v>-3.0234762822811794</v>
      </c>
      <c r="E34" s="1412">
        <f>Cement!E35</f>
        <v>-0.50000000000000044</v>
      </c>
      <c r="F34" s="1413">
        <f>Cement!F35</f>
        <v>-2.8000000000000025</v>
      </c>
      <c r="G34" s="2125">
        <f>Cement!G35</f>
        <v>-4.5828998996258781</v>
      </c>
      <c r="H34" s="2115">
        <f>Cement!H35</f>
        <v>-9.6085409252669035E-2</v>
      </c>
      <c r="I34" s="2301">
        <f>Cement!I35</f>
        <v>-9.2156862745098045E-2</v>
      </c>
      <c r="J34" s="2115">
        <f>Cement!J35</f>
        <v>0.5178571428571429</v>
      </c>
      <c r="K34" s="1942">
        <f>Cement!K35</f>
        <v>28</v>
      </c>
      <c r="L34" s="1575">
        <f>Cement!L35</f>
        <v>28</v>
      </c>
      <c r="M34" s="1588" t="str">
        <f>Cement!M35</f>
        <v>SS</v>
      </c>
      <c r="N34" s="1587" t="str">
        <f>Cement!N35</f>
        <v>SS</v>
      </c>
      <c r="O34" s="179" t="str">
        <f>Cement!O35</f>
        <v/>
      </c>
      <c r="P34" s="124" t="str">
        <f>Cement!P35</f>
        <v>سيمان خوزستان</v>
      </c>
      <c r="Q34" s="1973" t="str">
        <f>Cement!Q35</f>
        <v>سخوز</v>
      </c>
      <c r="R34" s="59">
        <f>Cement!R35</f>
        <v>12</v>
      </c>
      <c r="S34" s="66">
        <f>Cement!S35</f>
        <v>10327.799999999999</v>
      </c>
      <c r="T34" s="258">
        <f>Cement!T35</f>
        <v>73770</v>
      </c>
      <c r="U34" s="338">
        <f>Cement!U35</f>
        <v>2.99</v>
      </c>
      <c r="V34" s="263">
        <f>Cement!V35</f>
        <v>73770</v>
      </c>
      <c r="W34" s="337">
        <f>Cement!W35</f>
        <v>2.99</v>
      </c>
      <c r="X34" s="661" t="str">
        <f>Cement!Y35</f>
        <v/>
      </c>
      <c r="Y34" s="1031">
        <f>Cement!Z35</f>
        <v>-4.8129032258064586E-2</v>
      </c>
      <c r="Z34" s="511">
        <f ca="1">Cement!AA35</f>
        <v>3.6986301369863014E-2</v>
      </c>
      <c r="AA34" s="823">
        <f ca="1">Cement!AB35</f>
        <v>56.743555751951732</v>
      </c>
      <c r="AB34" s="1150">
        <f>Cement!AD35</f>
        <v>3.9014084507042184E-2</v>
      </c>
      <c r="AC34" s="1150">
        <f>Cement!AE35</f>
        <v>0.91468298109009993</v>
      </c>
      <c r="AD34" s="1150">
        <f>Cement!AF35</f>
        <v>0.36973474801060996</v>
      </c>
      <c r="AE34" s="1150">
        <f>Cement!AG35</f>
        <v>2.0358024691358021</v>
      </c>
      <c r="AF34" s="275">
        <f ca="1">Cement!AH35</f>
        <v>350</v>
      </c>
      <c r="AG34" s="1120">
        <f>Cement!AI35</f>
        <v>46224</v>
      </c>
      <c r="AH34" s="1430">
        <f>Cement!AJ35</f>
        <v>46331</v>
      </c>
      <c r="AI34" s="23">
        <f>Cement!AK35</f>
        <v>2400000</v>
      </c>
      <c r="AJ34" s="23">
        <f>Cement!AL35</f>
        <v>2500000</v>
      </c>
      <c r="AK34" s="29">
        <f>Cement!AM35</f>
        <v>1400000000</v>
      </c>
      <c r="AL34" s="1225">
        <f>Cement!AN35</f>
        <v>0.2979</v>
      </c>
      <c r="AM34" s="174">
        <f>Cement!AO35</f>
        <v>4007</v>
      </c>
      <c r="AN34" s="1010">
        <f>Cement!AP35</f>
        <v>4414</v>
      </c>
      <c r="AO34" s="1010">
        <f>Cement!AQ35</f>
        <v>2331</v>
      </c>
      <c r="AP34" s="766">
        <f>Cement!AR35</f>
        <v>4017.1895017793595</v>
      </c>
      <c r="AQ34" s="984">
        <f>Cement!AS35</f>
        <v>4</v>
      </c>
      <c r="AR34" s="6">
        <f>Cement!AT35</f>
        <v>2.4782774115062911</v>
      </c>
      <c r="AS34" s="99">
        <f>Cement!AU35</f>
        <v>-0.51954743829722094</v>
      </c>
      <c r="AT34" s="16">
        <f>Cement!AV35</f>
        <v>926</v>
      </c>
      <c r="AU34" s="16">
        <f>Cement!AW35</f>
        <v>335</v>
      </c>
      <c r="AV34" s="1740">
        <f>Cement!AX35</f>
        <v>0.36199999999999999</v>
      </c>
      <c r="AW34" s="1363">
        <f>Cement!AY35</f>
        <v>0.36699999999999999</v>
      </c>
      <c r="AX34" s="1084">
        <f>Cement!AZ35</f>
        <v>0.52800000000000002</v>
      </c>
      <c r="AY34" s="1366">
        <f>Cement!BA35</f>
        <v>0.47799999999999998</v>
      </c>
      <c r="AZ34" s="99">
        <f>Cement!BB35</f>
        <v>-2.8000000000000025</v>
      </c>
      <c r="BA34" s="1740">
        <f>Cement!BC35</f>
        <v>0.28699999999999998</v>
      </c>
      <c r="BB34" s="1363">
        <f>Cement!BD35</f>
        <v>0.315</v>
      </c>
      <c r="BC34" s="1357">
        <f>Cement!BE35</f>
        <v>0.46400000000000002</v>
      </c>
      <c r="BD34" s="1367">
        <f>Cement!BF35</f>
        <v>0.41399999999999998</v>
      </c>
      <c r="BE34" s="306">
        <f>Cement!BG35</f>
        <v>7.5000000000000011E-2</v>
      </c>
      <c r="BF34" s="99">
        <f>Cement!BJ35</f>
        <v>0</v>
      </c>
      <c r="BG34" s="306">
        <f>Cement!BK35</f>
        <v>-8.9898164526651683E-2</v>
      </c>
      <c r="BH34" s="99">
        <f>Cement!BL35</f>
        <v>-1.2530739680576128</v>
      </c>
      <c r="BI34" s="15">
        <f>Cement!BM35</f>
        <v>0</v>
      </c>
      <c r="BJ34" s="1356">
        <f>Cement!BN35</f>
        <v>3</v>
      </c>
      <c r="BK34" s="842">
        <f>Cement!BO35</f>
        <v>1</v>
      </c>
      <c r="BL34" s="16">
        <f>Cement!BP35</f>
        <v>2027</v>
      </c>
      <c r="BM34" s="16">
        <f>Cement!BQ35</f>
        <v>0</v>
      </c>
      <c r="BN34" s="16">
        <f>Cement!BR35</f>
        <v>0</v>
      </c>
      <c r="BO34" s="1251">
        <f>Cement!BS35</f>
        <v>9856.6670500762575</v>
      </c>
      <c r="BP34" s="1246">
        <f>Cement!BT35</f>
        <v>9221.4285714285706</v>
      </c>
      <c r="BQ34" s="406">
        <f>Cement!BU35</f>
        <v>0</v>
      </c>
      <c r="BR34" s="407">
        <f>Cement!BV35</f>
        <v>7.7334762822811793</v>
      </c>
      <c r="BS34" s="99">
        <f>Cement!BW35</f>
        <v>-13.667381411405897</v>
      </c>
      <c r="BT34" s="18">
        <f>Cement!BX35</f>
        <v>1335.4666935053378</v>
      </c>
      <c r="BU34" s="18">
        <f>Cement!BY35</f>
        <v>2192.7388535031846</v>
      </c>
      <c r="BV34" s="19">
        <f>Cement!BZ35</f>
        <v>1454.2225996441282</v>
      </c>
      <c r="BW34" s="266">
        <f>Cement!CB35</f>
        <v>15662</v>
      </c>
      <c r="BX34" s="267">
        <f>Cement!CC35</f>
        <v>4.71</v>
      </c>
      <c r="BY34" s="99">
        <f>Cement!CD35</f>
        <v>0.87000000000000011</v>
      </c>
      <c r="BZ34" s="17">
        <f>Cement!CE35</f>
        <v>2.8551816518850228</v>
      </c>
      <c r="CA34" s="99">
        <f>Cement!CF35</f>
        <v>-3.4207266075400913</v>
      </c>
      <c r="CB34" s="103">
        <f>Cement!CG35</f>
        <v>0.26587033515933461</v>
      </c>
      <c r="CC34" s="99">
        <f>Cement!CH35</f>
        <v>-2.0119449726099812</v>
      </c>
      <c r="CD34" s="20">
        <f>Cement!CI35</f>
        <v>0</v>
      </c>
      <c r="CE34" s="691">
        <f>Cement!CJ35</f>
        <v>140</v>
      </c>
      <c r="CF34" s="419">
        <f>Cement!CK35</f>
        <v>1326</v>
      </c>
      <c r="CG34" s="468">
        <f>Cement!CL35</f>
        <v>227</v>
      </c>
      <c r="CH34" s="843">
        <f>Cement!CM35</f>
        <v>18</v>
      </c>
      <c r="CI34" s="21">
        <f>Cement!CN35</f>
        <v>284</v>
      </c>
      <c r="CJ34" s="21">
        <f>Cement!CO35</f>
        <v>79</v>
      </c>
      <c r="CK34" s="469">
        <f>Cement!CP35</f>
        <v>322.75</v>
      </c>
      <c r="CL34" s="1239">
        <f>Cement!CQ35</f>
        <v>463.31112900355868</v>
      </c>
      <c r="CM34" s="21">
        <f>Cement!CR35</f>
        <v>1610</v>
      </c>
      <c r="CN34" s="16">
        <f>Cement!CS35</f>
        <v>-1100</v>
      </c>
      <c r="CO34" s="154" t="str">
        <f>Cement!CT35</f>
        <v/>
      </c>
      <c r="CP34" s="693">
        <f>Cement!CU35</f>
        <v>781</v>
      </c>
      <c r="CQ34" s="49">
        <f>Cement!CV35</f>
        <v>3626</v>
      </c>
      <c r="CR34" s="1389">
        <f>Cement!CW35</f>
        <v>129</v>
      </c>
      <c r="CS34" s="49">
        <f>Cement!CX35</f>
        <v>187</v>
      </c>
      <c r="CT34" s="53">
        <f>Cement!CY35</f>
        <v>3813</v>
      </c>
      <c r="CU34" s="6">
        <f>Cement!CZ35</f>
        <v>1.16988416988417</v>
      </c>
      <c r="CV34" s="99">
        <f>Cement!DA35</f>
        <v>-0.24092664092663973</v>
      </c>
      <c r="CW34" s="53">
        <f>Cement!DB35</f>
        <v>4594</v>
      </c>
      <c r="CX34" s="645">
        <f>Cement!DC35</f>
        <v>0.82999564649542878</v>
      </c>
      <c r="CY34" s="13">
        <f>Cement!DD35</f>
        <v>352</v>
      </c>
      <c r="CZ34" s="24">
        <f>Cement!DE35</f>
        <v>236</v>
      </c>
      <c r="DA34" s="24">
        <f>Cement!DF35</f>
        <v>88</v>
      </c>
      <c r="DB34" s="51">
        <f>Cement!DG35</f>
        <v>4242</v>
      </c>
      <c r="DC34" s="8">
        <f>Cement!DH35</f>
        <v>616</v>
      </c>
      <c r="DD34" s="644">
        <f>Cement!DI35</f>
        <v>6.5214115288625969</v>
      </c>
      <c r="DE34" s="22">
        <f>Cement!DJ35</f>
        <v>1775</v>
      </c>
      <c r="DF34" s="1390">
        <f>Cement!DK35</f>
        <v>128</v>
      </c>
      <c r="DG34" s="22">
        <f>Cement!DL35</f>
        <v>1840</v>
      </c>
      <c r="DH34" s="138">
        <f>Cement!DM35</f>
        <v>0.82999564649542878</v>
      </c>
      <c r="DI34" s="99">
        <f>Cement!DN35</f>
        <v>-2.298658345367083</v>
      </c>
      <c r="DJ34" s="138">
        <f>Cement!DO35</f>
        <v>0.14096878981950001</v>
      </c>
      <c r="DK34" s="99">
        <f>Cement!DP35</f>
        <v>0</v>
      </c>
      <c r="DL34" s="1431">
        <f>Cement!DQ35</f>
        <v>334</v>
      </c>
      <c r="DM34" s="8">
        <f>Cement!DR35</f>
        <v>165</v>
      </c>
      <c r="DN34" s="23" t="str">
        <f>Cement!DS35</f>
        <v>G</v>
      </c>
      <c r="DO34" s="7">
        <f>Cement!DT35</f>
        <v>22.768518518518515</v>
      </c>
      <c r="DP34" s="8">
        <f>Cement!DU35</f>
        <v>21314.474999999999</v>
      </c>
      <c r="DQ34" s="32">
        <f>Cement!DV35</f>
        <v>2.0637962586417244</v>
      </c>
      <c r="DR34" s="99">
        <f>Cement!DW35</f>
        <v>10</v>
      </c>
      <c r="DS34" s="14">
        <f>Cement!DX35</f>
        <v>1673.8289590747331</v>
      </c>
      <c r="DT34" s="99">
        <f>Cement!DY35</f>
        <v>-10</v>
      </c>
      <c r="DU34" s="103">
        <f>Cement!DZ35</f>
        <v>0.33243806221085936</v>
      </c>
      <c r="DV34" s="99">
        <f>Cement!EA35</f>
        <v>-4.7439901930454358</v>
      </c>
      <c r="DW34" s="103">
        <f>Cement!EB35</f>
        <v>5.9842519685039369E-2</v>
      </c>
      <c r="DX34" s="99">
        <f>Cement!EC35</f>
        <v>0.59842519685039375</v>
      </c>
      <c r="DY34" s="8">
        <f>Cement!ED35</f>
        <v>57009.68</v>
      </c>
      <c r="DZ34" s="8">
        <f>Cement!EE35</f>
        <v>33197.142857142855</v>
      </c>
      <c r="EA34" s="235">
        <f>Cement!EF35</f>
        <v>9471.4285714285706</v>
      </c>
      <c r="EB34" s="8">
        <f>Cement!EG35</f>
        <v>49839.125714285714</v>
      </c>
      <c r="EC34" s="411">
        <f>Cement!EH35</f>
        <v>107</v>
      </c>
      <c r="ED34" s="1338">
        <f>Cement!EI35</f>
        <v>14600</v>
      </c>
      <c r="EE34" s="821">
        <f>Cement!EJ35</f>
        <v>0.15852334419109662</v>
      </c>
      <c r="EF34" s="502">
        <f>Cement!EK35</f>
        <v>0</v>
      </c>
      <c r="EG34" s="502">
        <f>Cement!EL35</f>
        <v>0</v>
      </c>
      <c r="EH34" s="510">
        <f>Cement!EM35</f>
        <v>24300</v>
      </c>
      <c r="EI34" s="435">
        <f>Cement!EN35</f>
        <v>3402</v>
      </c>
      <c r="EJ34" s="510">
        <f>Cement!EO35</f>
        <v>53860</v>
      </c>
      <c r="EK34" s="435">
        <f>Cement!EP35</f>
        <v>7540</v>
      </c>
      <c r="EL34" s="510">
        <f>Cement!EQ35</f>
        <v>38530</v>
      </c>
      <c r="EM34" s="435">
        <f>Cement!ER35</f>
        <v>5394</v>
      </c>
      <c r="EN34" s="510">
        <f>Cement!ES35</f>
        <v>71000</v>
      </c>
      <c r="EO34" s="435">
        <f>Cement!ET35</f>
        <v>9940</v>
      </c>
      <c r="EP34" s="510">
        <f>Cement!EU35</f>
        <v>77500</v>
      </c>
      <c r="EQ34" s="435">
        <f>Cement!EV35</f>
        <v>10850</v>
      </c>
      <c r="ER34" s="1607">
        <f>Cement!EW35</f>
        <v>77500</v>
      </c>
      <c r="ES34" s="1608">
        <f>Cement!EX35</f>
        <v>10850</v>
      </c>
      <c r="ET34" s="1609">
        <f>Cement!EY35</f>
        <v>2.1893004115226335</v>
      </c>
    </row>
    <row r="35" spans="1:150" ht="23" customHeight="1">
      <c r="A35" s="100"/>
      <c r="B35" s="100"/>
      <c r="C35" s="561"/>
      <c r="D35" s="1463"/>
      <c r="E35" s="1412"/>
      <c r="F35" s="1413"/>
      <c r="G35" s="1372"/>
      <c r="H35" s="2125"/>
      <c r="I35" s="2125"/>
      <c r="J35" s="2125"/>
      <c r="K35" s="1379"/>
      <c r="L35" s="1181"/>
      <c r="M35" s="1181"/>
      <c r="N35" s="1181"/>
      <c r="O35" s="1181"/>
      <c r="P35" s="1181"/>
      <c r="Q35" s="1219"/>
      <c r="R35" s="1136"/>
      <c r="S35" s="66"/>
      <c r="T35" s="258"/>
      <c r="U35" s="338"/>
      <c r="V35" s="263"/>
      <c r="W35" s="337"/>
      <c r="X35" s="661"/>
      <c r="Y35" s="1031"/>
      <c r="Z35" s="511"/>
      <c r="AA35" s="823"/>
      <c r="AB35" s="1150"/>
      <c r="AC35" s="1150"/>
      <c r="AD35" s="1150"/>
      <c r="AE35" s="1150"/>
      <c r="AF35" s="275"/>
      <c r="AG35" s="1120"/>
      <c r="AH35" s="1430"/>
      <c r="AI35" s="23"/>
      <c r="AJ35" s="23"/>
      <c r="AK35" s="29"/>
      <c r="AL35" s="1225"/>
      <c r="AM35" s="174"/>
      <c r="AN35" s="1010"/>
      <c r="AO35" s="1010"/>
      <c r="AP35" s="766"/>
      <c r="AQ35" s="984"/>
      <c r="AR35" s="6"/>
      <c r="AS35" s="99"/>
      <c r="AT35" s="16"/>
      <c r="AU35" s="16"/>
      <c r="AV35" s="1740"/>
      <c r="AW35" s="1363"/>
      <c r="AX35" s="1084"/>
      <c r="AY35" s="1366"/>
      <c r="AZ35" s="99"/>
      <c r="BA35" s="1740"/>
      <c r="BB35" s="1363"/>
      <c r="BC35" s="1357"/>
      <c r="BD35" s="1367"/>
      <c r="BE35" s="306"/>
      <c r="BF35" s="99"/>
      <c r="BG35" s="306"/>
      <c r="BH35" s="99"/>
      <c r="BI35" s="15"/>
      <c r="BJ35" s="1356"/>
      <c r="BK35" s="842"/>
      <c r="BL35" s="16"/>
      <c r="BM35" s="16"/>
      <c r="BN35" s="16"/>
      <c r="BO35" s="1251"/>
      <c r="BP35" s="1246"/>
      <c r="BQ35" s="406"/>
      <c r="BR35" s="407"/>
      <c r="BS35" s="99"/>
      <c r="BT35" s="18"/>
      <c r="BU35" s="18"/>
      <c r="BV35" s="19"/>
      <c r="BW35" s="266"/>
      <c r="BX35" s="267"/>
      <c r="BY35" s="99"/>
      <c r="BZ35" s="17"/>
      <c r="CA35" s="99"/>
      <c r="CB35" s="103"/>
      <c r="CC35" s="99"/>
      <c r="CD35" s="20"/>
      <c r="CE35" s="691"/>
      <c r="CF35" s="419"/>
      <c r="CG35" s="468"/>
      <c r="CH35" s="843"/>
      <c r="CI35" s="21"/>
      <c r="CJ35" s="21"/>
      <c r="CK35" s="469"/>
      <c r="CL35" s="1239"/>
      <c r="CM35" s="21"/>
      <c r="CN35" s="16"/>
      <c r="CO35" s="154"/>
      <c r="CP35" s="693"/>
      <c r="CQ35" s="49"/>
      <c r="CR35" s="1389"/>
      <c r="CS35" s="49"/>
      <c r="CT35" s="53"/>
      <c r="CU35" s="6"/>
      <c r="CV35" s="99"/>
      <c r="CW35" s="53"/>
      <c r="CX35" s="645"/>
      <c r="CY35" s="13"/>
      <c r="CZ35" s="24"/>
      <c r="DA35" s="24"/>
      <c r="DB35" s="51"/>
      <c r="DC35" s="8"/>
      <c r="DD35" s="644"/>
      <c r="DE35" s="22"/>
      <c r="DF35" s="1390"/>
      <c r="DG35" s="22"/>
      <c r="DH35" s="138"/>
      <c r="DI35" s="99"/>
      <c r="DJ35" s="138"/>
      <c r="DK35" s="99"/>
      <c r="DL35" s="1431"/>
      <c r="DM35" s="8"/>
      <c r="DN35" s="23"/>
      <c r="DO35" s="7"/>
      <c r="DP35" s="8"/>
      <c r="DQ35" s="32"/>
      <c r="DR35" s="99"/>
      <c r="DS35" s="14"/>
      <c r="DT35" s="99"/>
      <c r="DU35" s="103"/>
      <c r="DV35" s="99"/>
      <c r="DW35" s="103"/>
      <c r="DX35" s="99"/>
      <c r="DY35" s="8"/>
      <c r="DZ35" s="8"/>
      <c r="EA35" s="235"/>
      <c r="EB35" s="8"/>
      <c r="EC35" s="411"/>
      <c r="ED35" s="1338"/>
      <c r="EE35" s="821"/>
      <c r="EF35" s="502"/>
      <c r="EG35" s="502"/>
      <c r="EH35" s="1076"/>
      <c r="EI35" s="1076"/>
      <c r="EJ35" s="1076"/>
      <c r="EK35" s="1076"/>
      <c r="EL35" s="1076"/>
      <c r="EM35" s="1076"/>
      <c r="EN35" s="1076"/>
      <c r="EO35" s="1076"/>
      <c r="EP35" s="1076"/>
      <c r="EQ35" s="1076"/>
      <c r="ER35" s="1076"/>
      <c r="ES35" s="1083"/>
      <c r="ET35" s="1076"/>
    </row>
    <row r="36" spans="1:150" ht="41" hidden="1" customHeight="1">
      <c r="P36" s="1391" t="s">
        <v>1682</v>
      </c>
      <c r="Q36" s="1392"/>
      <c r="R36" s="1393">
        <v>9</v>
      </c>
      <c r="S36" s="1394"/>
      <c r="T36" s="1394"/>
      <c r="U36" s="1394"/>
      <c r="V36" s="1392"/>
      <c r="W36" s="1395"/>
      <c r="X36" s="1395"/>
      <c r="Y36" s="1395"/>
      <c r="Z36" s="1395"/>
      <c r="AA36" s="1395"/>
      <c r="AB36" s="1395"/>
      <c r="AC36" s="1395"/>
      <c r="AD36" s="1395"/>
      <c r="AE36" s="1395"/>
      <c r="AF36" s="1394"/>
      <c r="AG36" s="1394"/>
      <c r="AH36" s="1396"/>
      <c r="AI36" s="1394"/>
      <c r="AJ36" s="1394"/>
      <c r="AK36" s="1394"/>
      <c r="AL36" s="1397"/>
      <c r="AM36" s="1392"/>
      <c r="AN36" s="1392"/>
      <c r="AO36" s="1392"/>
      <c r="AP36" s="1394"/>
      <c r="AQ36" s="1398"/>
      <c r="AR36" s="1394"/>
      <c r="AS36" s="1394"/>
      <c r="AT36" s="1399"/>
      <c r="AU36" s="1399"/>
      <c r="AV36" s="1394"/>
      <c r="AW36" s="1394"/>
      <c r="AX36" s="1392"/>
      <c r="AY36" s="1392"/>
      <c r="AZ36" s="1394"/>
      <c r="BA36" s="1394"/>
      <c r="BB36" s="1394"/>
      <c r="BC36" s="1394"/>
      <c r="BD36" s="1394"/>
      <c r="BE36" s="1399"/>
      <c r="BF36" s="1394"/>
      <c r="BG36" s="1399"/>
      <c r="BH36" s="1399"/>
      <c r="BI36" s="1399"/>
      <c r="BJ36" s="1394"/>
      <c r="BK36" s="1400"/>
      <c r="BL36" s="1394"/>
      <c r="BM36" s="1394"/>
      <c r="BN36" s="1394"/>
      <c r="BO36" s="1394"/>
      <c r="BP36" s="1394"/>
      <c r="BQ36" s="1394"/>
      <c r="BR36" s="1394"/>
      <c r="BS36" s="1394"/>
      <c r="BT36" s="1399"/>
      <c r="BU36" s="1399"/>
      <c r="BV36" s="1394"/>
      <c r="BW36" s="1394"/>
      <c r="BX36" s="1394"/>
      <c r="BY36" s="1394"/>
      <c r="BZ36" s="1394"/>
      <c r="CA36" s="1394"/>
      <c r="CB36" s="1399"/>
      <c r="CC36" s="1399"/>
      <c r="CD36" s="1394"/>
      <c r="CE36" s="1394"/>
      <c r="CF36" s="1394"/>
      <c r="CG36" s="1394"/>
      <c r="CH36" s="1394"/>
      <c r="CI36" s="1394"/>
      <c r="CJ36" s="1394"/>
      <c r="CK36" s="1394"/>
      <c r="CL36" s="1394"/>
      <c r="CM36" s="1394"/>
      <c r="CN36" s="1394"/>
      <c r="CO36" s="1394"/>
      <c r="CP36" s="1394"/>
      <c r="CQ36" s="1394"/>
      <c r="CR36" s="1394"/>
      <c r="CS36" s="1394"/>
      <c r="CT36" s="1394"/>
      <c r="CU36" s="1394"/>
      <c r="CV36" s="1394"/>
      <c r="CW36" s="1394"/>
      <c r="CX36" s="1394"/>
      <c r="CY36" s="1394"/>
      <c r="CZ36" s="1394"/>
      <c r="DA36" s="1394"/>
      <c r="DB36" s="1394"/>
      <c r="DC36" s="1394"/>
      <c r="DD36" s="1394"/>
      <c r="DE36" s="1394"/>
      <c r="DF36" s="1394"/>
      <c r="DG36" s="1394"/>
      <c r="DH36" s="1394"/>
      <c r="DI36" s="1394"/>
      <c r="DJ36" s="1394"/>
      <c r="DK36" s="1394"/>
      <c r="DL36" s="1394"/>
      <c r="DM36" s="1394"/>
      <c r="DN36" s="1394"/>
      <c r="DO36" s="1394"/>
      <c r="DP36" s="1394"/>
      <c r="DQ36" s="1394"/>
      <c r="DR36" s="1394"/>
      <c r="DS36" s="1399"/>
      <c r="DT36" s="1399"/>
      <c r="DU36" s="1399"/>
      <c r="DV36" s="1399"/>
      <c r="DW36" s="1399"/>
      <c r="DX36" s="1399"/>
      <c r="DY36" s="1396"/>
      <c r="DZ36" s="1396"/>
      <c r="EA36" s="1396"/>
      <c r="EB36" s="1396"/>
      <c r="EC36" s="1396"/>
      <c r="ED36" s="1396"/>
      <c r="EE36" s="1396"/>
      <c r="EF36" s="1396"/>
      <c r="EG36" s="1396"/>
      <c r="EH36" s="289"/>
      <c r="EI36" s="289"/>
      <c r="EJ36" s="289"/>
      <c r="EK36" s="289"/>
      <c r="EL36" s="289"/>
      <c r="EM36" s="289"/>
      <c r="EN36" s="289"/>
      <c r="EO36" s="289"/>
      <c r="EP36" s="289"/>
      <c r="EQ36" s="289"/>
      <c r="ER36" s="289"/>
      <c r="ES36" s="1033"/>
      <c r="ET36" s="289"/>
    </row>
    <row r="37" spans="1:150" ht="41" hidden="1" customHeight="1" thickBot="1">
      <c r="P37" s="1401" t="s">
        <v>976</v>
      </c>
      <c r="Q37" s="1402"/>
      <c r="R37" s="1403">
        <v>9</v>
      </c>
      <c r="S37" s="1404"/>
      <c r="T37" s="1404"/>
      <c r="U37" s="1404"/>
      <c r="V37" s="1402"/>
      <c r="W37" s="1405"/>
      <c r="X37" s="1405"/>
      <c r="Y37" s="1405"/>
      <c r="Z37" s="1405"/>
      <c r="AA37" s="1405"/>
      <c r="AB37" s="1405"/>
      <c r="AC37" s="1405"/>
      <c r="AD37" s="1405"/>
      <c r="AE37" s="1405"/>
      <c r="AF37" s="1404"/>
      <c r="AG37" s="1404"/>
      <c r="AH37" s="1406"/>
      <c r="AI37" s="1404"/>
      <c r="AJ37" s="1404"/>
      <c r="AK37" s="1404"/>
      <c r="AL37" s="1407"/>
      <c r="AM37" s="1402"/>
      <c r="AN37" s="1402"/>
      <c r="AO37" s="1402"/>
      <c r="AP37" s="1404"/>
      <c r="AQ37" s="1408"/>
      <c r="AR37" s="1404"/>
      <c r="AS37" s="1404"/>
      <c r="AT37" s="1409"/>
      <c r="AU37" s="1409"/>
      <c r="AV37" s="1404"/>
      <c r="AW37" s="1404"/>
      <c r="AX37" s="1402"/>
      <c r="AY37" s="1402"/>
      <c r="AZ37" s="1404"/>
      <c r="BA37" s="1404"/>
      <c r="BB37" s="1404"/>
      <c r="BC37" s="1404"/>
      <c r="BD37" s="1404"/>
      <c r="BE37" s="1409"/>
      <c r="BF37" s="1404"/>
      <c r="BG37" s="1409"/>
      <c r="BH37" s="1409"/>
      <c r="BI37" s="1409"/>
      <c r="BJ37" s="1404"/>
      <c r="BK37" s="1410"/>
      <c r="BL37" s="1404"/>
      <c r="BM37" s="1404"/>
      <c r="BN37" s="1404"/>
      <c r="BO37" s="1404"/>
      <c r="BP37" s="1404"/>
      <c r="BQ37" s="1404"/>
      <c r="BR37" s="1404"/>
      <c r="BS37" s="1404"/>
      <c r="BT37" s="1409"/>
      <c r="BU37" s="1409"/>
      <c r="BV37" s="1404"/>
      <c r="BW37" s="1404"/>
      <c r="BX37" s="1404"/>
      <c r="BY37" s="1404"/>
      <c r="BZ37" s="1404"/>
      <c r="CA37" s="1404"/>
      <c r="CB37" s="1409"/>
      <c r="CC37" s="1409"/>
      <c r="CD37" s="1404"/>
      <c r="CE37" s="1404"/>
      <c r="CF37" s="1404"/>
      <c r="CG37" s="1404"/>
      <c r="CH37" s="1404"/>
      <c r="CI37" s="1404"/>
      <c r="CJ37" s="1404"/>
      <c r="CK37" s="1404"/>
      <c r="CL37" s="1404"/>
      <c r="CM37" s="1404"/>
      <c r="CN37" s="1404"/>
      <c r="CO37" s="1404"/>
      <c r="CP37" s="1404"/>
      <c r="CQ37" s="1404"/>
      <c r="CR37" s="1404"/>
      <c r="CS37" s="1404"/>
      <c r="CT37" s="1404"/>
      <c r="CU37" s="1404"/>
      <c r="CV37" s="1404"/>
      <c r="CW37" s="1404"/>
      <c r="CX37" s="1404"/>
      <c r="CY37" s="1404"/>
      <c r="CZ37" s="1404"/>
      <c r="DA37" s="1404"/>
      <c r="DB37" s="1404"/>
      <c r="DC37" s="1404"/>
      <c r="DD37" s="1404"/>
      <c r="DE37" s="1404"/>
      <c r="DF37" s="1404"/>
      <c r="DG37" s="1404"/>
      <c r="DH37" s="1404"/>
      <c r="DI37" s="1404"/>
      <c r="DJ37" s="1404"/>
      <c r="DK37" s="1404"/>
      <c r="DL37" s="1404"/>
      <c r="DM37" s="1404"/>
      <c r="DN37" s="1404"/>
      <c r="DO37" s="1404"/>
      <c r="DP37" s="1404"/>
      <c r="DQ37" s="1404"/>
      <c r="DR37" s="1404"/>
      <c r="DS37" s="1409"/>
      <c r="DT37" s="1409"/>
      <c r="DU37" s="1409"/>
      <c r="DV37" s="1409"/>
      <c r="DW37" s="1409"/>
      <c r="DX37" s="1409"/>
      <c r="DY37" s="1406"/>
      <c r="DZ37" s="1406"/>
      <c r="EA37" s="1406"/>
      <c r="EB37" s="1406"/>
      <c r="EC37" s="1406"/>
      <c r="ED37" s="1406"/>
      <c r="EE37" s="1406"/>
      <c r="EF37" s="1406"/>
      <c r="EG37" s="1406"/>
    </row>
  </sheetData>
  <autoFilter ref="A6:EG34" xr:uid="{849F8FFE-874B-C24F-874E-D042CA4A21B1}">
    <sortState xmlns:xlrd2="http://schemas.microsoft.com/office/spreadsheetml/2017/richdata2" ref="A7:EG34">
      <sortCondition descending="1" ref="A6:A34"/>
    </sortState>
  </autoFilter>
  <conditionalFormatting sqref="A7:N34">
    <cfRule type="expression" dxfId="54" priority="9" stopIfTrue="1">
      <formula>ROW()=EVEN(ROW())</formula>
    </cfRule>
  </conditionalFormatting>
  <conditionalFormatting sqref="C7:C34">
    <cfRule type="aboveAverage" dxfId="53" priority="3"/>
  </conditionalFormatting>
  <conditionalFormatting sqref="C2:K2">
    <cfRule type="expression" dxfId="52" priority="61">
      <formula>ROW()=EVEN(ROW())</formula>
    </cfRule>
  </conditionalFormatting>
  <conditionalFormatting sqref="G7:J34">
    <cfRule type="cellIs" dxfId="51" priority="1" operator="lessThan">
      <formula>0</formula>
    </cfRule>
    <cfRule type="cellIs" dxfId="50" priority="2" operator="greaterThan">
      <formula>0</formula>
    </cfRule>
  </conditionalFormatting>
  <conditionalFormatting sqref="H35:J35">
    <cfRule type="cellIs" dxfId="49" priority="10" operator="lessThan">
      <formula>0</formula>
    </cfRule>
    <cfRule type="cellIs" dxfId="48" priority="11" operator="greaterThan">
      <formula>0</formula>
    </cfRule>
    <cfRule type="expression" dxfId="47" priority="12" stopIfTrue="1">
      <formula>ROW()=EVEN(ROW())</formula>
    </cfRule>
  </conditionalFormatting>
  <conditionalFormatting sqref="M7:N34">
    <cfRule type="cellIs" dxfId="46" priority="4" operator="equal">
      <formula>"SS"</formula>
    </cfRule>
    <cfRule type="cellIs" dxfId="45" priority="5" operator="equal">
      <formula>"BB"</formula>
    </cfRule>
    <cfRule type="cellIs" dxfId="44" priority="6" operator="equal">
      <formula>"B"</formula>
    </cfRule>
    <cfRule type="cellIs" dxfId="43" priority="7" operator="equal">
      <formula>"S"</formula>
    </cfRule>
    <cfRule type="cellIs" dxfId="42" priority="8" operator="equal">
      <formula>"N"</formula>
    </cfRule>
  </conditionalFormatting>
  <conditionalFormatting sqref="O7:O34 R7:AF34 A35:G35 K35:AF35">
    <cfRule type="expression" dxfId="41" priority="33">
      <formula>ROW()=EVEN(ROW())</formula>
    </cfRule>
  </conditionalFormatting>
  <conditionalFormatting sqref="P7 P8:Q8 P9:P11 P12:Q34">
    <cfRule type="expression" dxfId="40" priority="19">
      <formula>ROW()=EVEN(ROW())</formula>
    </cfRule>
  </conditionalFormatting>
  <conditionalFormatting sqref="P36:P37">
    <cfRule type="expression" dxfId="39" priority="50">
      <formula>ROW()=EVEN(ROW())</formula>
    </cfRule>
  </conditionalFormatting>
  <conditionalFormatting sqref="Q7">
    <cfRule type="expression" dxfId="38" priority="20" stopIfTrue="1">
      <formula>ROW()=EVEN(ROW())</formula>
    </cfRule>
  </conditionalFormatting>
  <conditionalFormatting sqref="Q9:Q11">
    <cfRule type="expression" dxfId="37" priority="18" stopIfTrue="1">
      <formula>ROW()=EVEN(ROW())</formula>
    </cfRule>
  </conditionalFormatting>
  <conditionalFormatting sqref="R36:R37">
    <cfRule type="expression" dxfId="36" priority="49">
      <formula>ROW()=EVEN(ROW())</formula>
    </cfRule>
  </conditionalFormatting>
  <conditionalFormatting sqref="S2">
    <cfRule type="expression" dxfId="35" priority="60">
      <formula>ROW()=EVEN(ROW())</formula>
    </cfRule>
  </conditionalFormatting>
  <conditionalFormatting sqref="AE2">
    <cfRule type="expression" dxfId="34" priority="58">
      <formula>ROW()=EVEN(ROW())</formula>
    </cfRule>
  </conditionalFormatting>
  <conditionalFormatting sqref="AI7:EC35">
    <cfRule type="expression" dxfId="33" priority="51">
      <formula>ROW()=EVEN(ROW())</formula>
    </cfRule>
  </conditionalFormatting>
  <conditionalFormatting sqref="EE7:ET35">
    <cfRule type="expression" dxfId="32" priority="22">
      <formula>ROW()=EVEN(ROW())</formula>
    </cfRule>
  </conditionalFormatting>
  <conditionalFormatting sqref="EK7:EQ8">
    <cfRule type="expression" dxfId="31" priority="21">
      <formula>ROW()=EVEN(ROW())</formula>
    </cfRule>
  </conditionalFormatting>
  <conditionalFormatting sqref="ES7:ET8">
    <cfRule type="expression" dxfId="30" priority="24">
      <formula>ROW()=EVEN(ROW())</formula>
    </cfRule>
  </conditionalFormatting>
  <pageMargins left="0.7" right="0.7" top="0.75" bottom="0.75" header="0.3" footer="0.3"/>
  <pageSetup paperSize="9" scale="2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5C21-C35E-E749-9CBF-A6998D7FA886}">
  <sheetPr codeName="Sheet16">
    <tabColor theme="5" tint="0.59999389629810485"/>
    <pageSetUpPr fitToPage="1"/>
  </sheetPr>
  <dimension ref="A1:EY77"/>
  <sheetViews>
    <sheetView zoomScale="70" zoomScaleNormal="70" workbookViewId="0">
      <selection activeCell="AH18" sqref="AH18"/>
    </sheetView>
  </sheetViews>
  <sheetFormatPr baseColWidth="10" defaultColWidth="11" defaultRowHeight="21"/>
  <cols>
    <col min="1" max="1" width="11" customWidth="1"/>
    <col min="2" max="2" width="13.5" hidden="1" customWidth="1"/>
    <col min="3" max="3" width="12" customWidth="1"/>
    <col min="4" max="4" width="12.5" bestFit="1" customWidth="1"/>
    <col min="5" max="8" width="10.1640625" customWidth="1"/>
    <col min="9" max="9" width="8.6640625" hidden="1" customWidth="1"/>
    <col min="10" max="10" width="9.1640625" bestFit="1" customWidth="1"/>
    <col min="11" max="11" width="8.83203125" style="3" customWidth="1"/>
    <col min="12" max="14" width="7.33203125" customWidth="1"/>
    <col min="15" max="15" width="12.33203125" hidden="1" customWidth="1"/>
    <col min="16" max="16" width="8.83203125" style="63" customWidth="1"/>
    <col min="17" max="17" width="32.1640625" customWidth="1"/>
    <col min="18" max="18" width="11.6640625" customWidth="1"/>
    <col min="19" max="19" width="7.5" customWidth="1"/>
    <col min="20" max="20" width="14.6640625" style="11" bestFit="1" customWidth="1"/>
    <col min="21" max="21" width="15.33203125" style="11" bestFit="1" customWidth="1"/>
    <col min="22" max="22" width="13" style="11" bestFit="1" customWidth="1"/>
    <col min="23" max="23" width="12.1640625" customWidth="1"/>
    <col min="24" max="24" width="10.83203125" style="63" bestFit="1" customWidth="1"/>
    <col min="25" max="25" width="13.6640625" style="63" bestFit="1" customWidth="1"/>
    <col min="26" max="26" width="9.5" style="63" hidden="1" customWidth="1"/>
    <col min="27" max="27" width="11" style="63" customWidth="1"/>
    <col min="28" max="29" width="13.1640625" style="63" hidden="1" customWidth="1"/>
    <col min="30" max="30" width="11.33203125" style="63" hidden="1" customWidth="1"/>
    <col min="31" max="31" width="14" style="63" hidden="1" customWidth="1"/>
    <col min="32" max="33" width="11.33203125" style="63" hidden="1" customWidth="1"/>
    <col min="34" max="35" width="11.33203125" style="63" customWidth="1"/>
    <col min="36" max="36" width="13.6640625" style="63" customWidth="1"/>
    <col min="37" max="37" width="14.33203125" style="63" customWidth="1"/>
    <col min="38" max="38" width="20.1640625" style="188" hidden="1" customWidth="1"/>
    <col min="39" max="39" width="10.5" style="11" hidden="1" customWidth="1"/>
    <col min="40" max="40" width="11.33203125" style="11" hidden="1" customWidth="1"/>
    <col min="41" max="41" width="12.1640625" style="11" hidden="1" customWidth="1"/>
    <col min="42" max="42" width="11.6640625" style="11" hidden="1" customWidth="1"/>
    <col min="43" max="43" width="13.5" style="11" hidden="1" customWidth="1"/>
    <col min="44" max="44" width="11.83203125" style="11" hidden="1" customWidth="1"/>
    <col min="45" max="45" width="14" style="11" customWidth="1"/>
    <col min="46" max="46" width="12.33203125" style="11" customWidth="1"/>
    <col min="47" max="47" width="14.83203125" style="11" hidden="1" customWidth="1"/>
    <col min="48" max="48" width="11.1640625" style="5" hidden="1" customWidth="1"/>
    <col min="49" max="49" width="12.6640625" customWidth="1"/>
    <col min="50" max="50" width="10.5" customWidth="1"/>
    <col min="51" max="52" width="11.6640625" style="12" hidden="1" customWidth="1"/>
    <col min="53" max="53" width="11.1640625" style="11" hidden="1" customWidth="1"/>
    <col min="54" max="54" width="11" style="11" hidden="1" customWidth="1"/>
    <col min="55" max="55" width="10.1640625" hidden="1" customWidth="1"/>
    <col min="56" max="56" width="15" bestFit="1" customWidth="1"/>
    <col min="57" max="57" width="11" style="11" customWidth="1"/>
    <col min="58" max="58" width="10.1640625" customWidth="1"/>
    <col min="59" max="59" width="10.1640625" hidden="1" customWidth="1"/>
    <col min="60" max="62" width="10.83203125" hidden="1" customWidth="1"/>
    <col min="63" max="63" width="10.1640625" hidden="1" customWidth="1"/>
    <col min="64" max="64" width="12.1640625" style="3" hidden="1" customWidth="1"/>
    <col min="65" max="65" width="11.33203125" style="11" hidden="1" customWidth="1"/>
    <col min="66" max="66" width="12.1640625" style="3" hidden="1" customWidth="1"/>
    <col min="67" max="67" width="10.6640625" style="3" customWidth="1"/>
    <col min="68" max="68" width="10.1640625" style="11" hidden="1" customWidth="1"/>
    <col min="69" max="69" width="10.33203125" style="11" hidden="1" customWidth="1"/>
    <col min="70" max="70" width="10" style="441" hidden="1" customWidth="1"/>
    <col min="71" max="71" width="10.5" style="12" hidden="1" customWidth="1"/>
    <col min="72" max="72" width="11.6640625" style="12" hidden="1" customWidth="1"/>
    <col min="73" max="73" width="12.5" style="12" hidden="1" customWidth="1"/>
    <col min="74" max="74" width="1.83203125" style="12" customWidth="1"/>
    <col min="75" max="75" width="11.83203125" style="11" customWidth="1"/>
    <col min="76" max="76" width="11.33203125" style="11" hidden="1" customWidth="1"/>
    <col min="77" max="77" width="11.83203125" style="11" hidden="1" customWidth="1"/>
    <col min="78" max="78" width="11.6640625" style="11" hidden="1" customWidth="1"/>
    <col min="79" max="80" width="11.5" style="11" hidden="1" customWidth="1"/>
    <col min="81" max="81" width="10" style="11" customWidth="1"/>
    <col min="82" max="82" width="13.33203125" style="11" customWidth="1"/>
    <col min="83" max="83" width="11.33203125" style="11" hidden="1" customWidth="1"/>
    <col min="84" max="84" width="12" style="12" hidden="1" customWidth="1"/>
    <col min="85" max="85" width="13.83203125" style="12" hidden="1" customWidth="1"/>
    <col min="86" max="86" width="13.1640625" style="11" hidden="1" customWidth="1"/>
    <col min="87" max="88" width="10.83203125" style="11" hidden="1" customWidth="1"/>
    <col min="89" max="89" width="13.83203125" style="11" bestFit="1" customWidth="1"/>
    <col min="90" max="90" width="13.33203125" style="11" customWidth="1"/>
    <col min="91" max="91" width="15.33203125" style="11" hidden="1" customWidth="1"/>
    <col min="92" max="93" width="12" style="12" hidden="1" customWidth="1"/>
    <col min="94" max="94" width="10.1640625" style="12" hidden="1" customWidth="1"/>
    <col min="95" max="95" width="11.5" style="12" hidden="1" customWidth="1"/>
    <col min="96" max="98" width="12" style="12" hidden="1" customWidth="1"/>
    <col min="99" max="99" width="12.1640625" style="11" hidden="1" customWidth="1"/>
    <col min="100" max="100" width="13" style="11" customWidth="1"/>
    <col min="101" max="101" width="11.6640625" style="11" bestFit="1" customWidth="1"/>
    <col min="102" max="102" width="11.1640625" style="11" customWidth="1"/>
    <col min="103" max="104" width="11.5" style="56" customWidth="1"/>
    <col min="105" max="106" width="11.1640625" style="11" hidden="1" customWidth="1"/>
    <col min="107" max="107" width="10.1640625" style="11" bestFit="1" customWidth="1"/>
    <col min="108" max="108" width="9.6640625" style="11" hidden="1" customWidth="1"/>
    <col min="109" max="111" width="10.33203125" style="11" hidden="1" customWidth="1"/>
    <col min="112" max="112" width="10.5" style="11" hidden="1" customWidth="1"/>
    <col min="113" max="113" width="11" style="11" hidden="1" customWidth="1"/>
    <col min="114" max="114" width="10.6640625" style="11" hidden="1" customWidth="1"/>
    <col min="115" max="117" width="10.33203125" style="11" hidden="1" customWidth="1"/>
    <col min="118" max="119" width="9.83203125" style="11" hidden="1" customWidth="1"/>
    <col min="120" max="120" width="12" style="11" hidden="1" customWidth="1"/>
    <col min="121" max="121" width="11.83203125" style="11" hidden="1" customWidth="1"/>
    <col min="122" max="122" width="10.33203125" style="11" hidden="1" customWidth="1"/>
    <col min="123" max="123" width="9.6640625" style="11" hidden="1" customWidth="1"/>
    <col min="124" max="124" width="9.83203125" style="11" hidden="1" customWidth="1"/>
    <col min="125" max="125" width="10" style="11" hidden="1" customWidth="1"/>
    <col min="126" max="126" width="14.33203125" style="11" hidden="1" customWidth="1"/>
    <col min="127" max="127" width="13" style="11" hidden="1" customWidth="1"/>
    <col min="128" max="128" width="11.1640625" style="11" hidden="1" customWidth="1"/>
    <col min="129" max="129" width="12.1640625" customWidth="1"/>
    <col min="130" max="130" width="13.33203125" style="188" customWidth="1"/>
    <col min="131" max="134" width="13" style="188" hidden="1" customWidth="1"/>
    <col min="135" max="136" width="13.1640625" style="188" hidden="1" customWidth="1"/>
    <col min="137" max="137" width="13.33203125" style="188" hidden="1" customWidth="1"/>
    <col min="138" max="138" width="13.1640625" style="188" hidden="1" customWidth="1"/>
    <col min="139" max="144" width="12" style="188" hidden="1" customWidth="1"/>
    <col min="145" max="145" width="14.6640625" style="188" hidden="1" customWidth="1"/>
    <col min="146" max="146" width="0" hidden="1" customWidth="1"/>
    <col min="147" max="147" width="13" style="833" customWidth="1"/>
  </cols>
  <sheetData>
    <row r="1" spans="1:147" ht="16">
      <c r="A1" s="1528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/>
    </row>
    <row r="2" spans="1:147" ht="24">
      <c r="A2" s="155">
        <f>MOPFRA!A2</f>
        <v>0</v>
      </c>
      <c r="B2" s="168">
        <f>MOPFRA!B2</f>
        <v>0</v>
      </c>
      <c r="C2" s="236">
        <f ca="1">MOPFRA!C2</f>
        <v>0.114364037679238</v>
      </c>
      <c r="D2" s="155">
        <f>MOPFRA!D2</f>
        <v>0</v>
      </c>
      <c r="E2" s="155">
        <f>MOPFRA!E2</f>
        <v>0</v>
      </c>
      <c r="F2" s="155">
        <f>MOPFRA!F2</f>
        <v>0</v>
      </c>
      <c r="G2" s="155">
        <f>MOPFRA!G2</f>
        <v>0</v>
      </c>
      <c r="H2" s="155">
        <f>MOPFRA!H2</f>
        <v>0</v>
      </c>
      <c r="I2" s="155">
        <f>MOPFRA!I2</f>
        <v>0</v>
      </c>
      <c r="J2" s="155">
        <f>MOPFRA!J2</f>
        <v>0</v>
      </c>
      <c r="K2" s="155">
        <f>MOPFRA!K2</f>
        <v>0</v>
      </c>
      <c r="L2" s="155">
        <f>MOPFRA!L2</f>
        <v>0</v>
      </c>
      <c r="M2" s="155">
        <f>MOPFRA!M2</f>
        <v>0</v>
      </c>
      <c r="N2" s="155">
        <f>MOPFRA!N2</f>
        <v>0</v>
      </c>
      <c r="O2" s="155">
        <f>MOPFRA!O2</f>
        <v>0</v>
      </c>
      <c r="P2" s="156">
        <f>MOPFRA!P2</f>
        <v>0</v>
      </c>
      <c r="Q2" s="429">
        <f>MOPFRA!Q2</f>
        <v>0</v>
      </c>
      <c r="R2" s="155">
        <f>MOPFRA!R2</f>
        <v>0</v>
      </c>
      <c r="S2" s="156">
        <f>MOPFRA!S2</f>
        <v>0</v>
      </c>
      <c r="T2" s="474">
        <f>MOPFRA!T2</f>
        <v>5799195.170669999</v>
      </c>
      <c r="U2" s="439">
        <f>MOPFRA!U2</f>
        <v>0</v>
      </c>
      <c r="V2" s="1358" t="str">
        <f>MOPFRA!V2</f>
        <v>1405/05/14</v>
      </c>
      <c r="W2" s="1814">
        <f>MOPFRA!W2</f>
        <v>68588.943473329375</v>
      </c>
      <c r="X2" s="1358" t="str">
        <f>MOPFRA!X2</f>
        <v xml:space="preserve"> 13:37:15</v>
      </c>
      <c r="Y2" s="1707">
        <f>MOPFRA!Y2</f>
        <v>0</v>
      </c>
      <c r="Z2" s="265">
        <f>MOPFRA!Z2</f>
        <v>0</v>
      </c>
      <c r="AA2" s="434">
        <f>MOPFRA!AA2</f>
        <v>0.23585578175636474</v>
      </c>
      <c r="AB2" s="659">
        <f>MOPFRA!AB2</f>
        <v>0.9</v>
      </c>
      <c r="AC2" s="658">
        <f>MOPFRA!AC2</f>
        <v>0</v>
      </c>
      <c r="AD2" s="668">
        <f>MOPFRA!AD2</f>
        <v>0</v>
      </c>
      <c r="AE2" s="668">
        <f>MOPFRA!AE2</f>
        <v>0</v>
      </c>
      <c r="AF2" s="668">
        <f>MOPFRA!AF2</f>
        <v>0</v>
      </c>
      <c r="AG2" s="666">
        <f>MOPFRA!AG2</f>
        <v>0</v>
      </c>
      <c r="AH2" s="666">
        <f>MOPFRA!AH2</f>
        <v>2.7778665580943875</v>
      </c>
      <c r="AI2" s="156">
        <f>MOPFRA!AI2</f>
        <v>0</v>
      </c>
      <c r="AJ2" s="156">
        <f>MOPFRA!AJ2</f>
        <v>0</v>
      </c>
      <c r="AK2" s="186">
        <f>MOPFRA!AK2</f>
        <v>0</v>
      </c>
      <c r="AL2" s="436">
        <f>MOPFRA!AL2</f>
        <v>845500000000</v>
      </c>
      <c r="AM2" s="436">
        <f>MOPFRA!AM2</f>
        <v>0</v>
      </c>
      <c r="AN2" s="436">
        <f>MOPFRA!AN2</f>
        <v>0</v>
      </c>
      <c r="AO2" s="148">
        <f>MOPFRA!AO2</f>
        <v>0</v>
      </c>
      <c r="AP2" s="43">
        <f>MOPFRA!AP2</f>
        <v>0</v>
      </c>
      <c r="AQ2" s="478">
        <f>MOPFRA!AQ2</f>
        <v>3492820</v>
      </c>
      <c r="AR2" s="478">
        <f>MOPFRA!AR2</f>
        <v>387593</v>
      </c>
      <c r="AS2" s="45">
        <f>MOPFRA!AS2</f>
        <v>1003702.2639002358</v>
      </c>
      <c r="AT2" s="46">
        <f>MOPFRA!AT2</f>
        <v>0</v>
      </c>
      <c r="AU2" s="276">
        <f>MOPFRA!AU2</f>
        <v>0</v>
      </c>
      <c r="AV2" s="156">
        <f>MOPFRA!AV2</f>
        <v>0</v>
      </c>
      <c r="AW2" s="48">
        <f>MOPFRA!AW2</f>
        <v>1418871</v>
      </c>
      <c r="AX2" s="48">
        <f>MOPFRA!AX2</f>
        <v>330595</v>
      </c>
      <c r="AY2" s="1084">
        <f>MOPFRA!AY2</f>
        <v>0.11096850109653518</v>
      </c>
      <c r="AZ2" s="1084">
        <f>MOPFRA!AZ2</f>
        <v>0.23142307692307687</v>
      </c>
      <c r="BA2" s="1085">
        <f>MOPFRA!BA2</f>
        <v>0</v>
      </c>
      <c r="BB2" s="1085">
        <f>MOPFRA!BB2</f>
        <v>0</v>
      </c>
      <c r="BC2" s="156">
        <f>MOPFRA!BC2</f>
        <v>0</v>
      </c>
      <c r="BD2" s="1232">
        <f>MOPFRA!BD2</f>
        <v>0</v>
      </c>
      <c r="BE2" s="1233">
        <f>MOPFRA!BE2</f>
        <v>0</v>
      </c>
      <c r="BF2" s="1233">
        <f>MOPFRA!BF2</f>
        <v>0</v>
      </c>
      <c r="BG2" s="1233">
        <f>MOPFRA!BG2</f>
        <v>0</v>
      </c>
      <c r="BH2" s="156">
        <f>MOPFRA!BH2</f>
        <v>0</v>
      </c>
      <c r="BI2" s="156">
        <f>MOPFRA!BI2</f>
        <v>0</v>
      </c>
      <c r="BJ2" s="156">
        <f>MOPFRA!BJ2</f>
        <v>0</v>
      </c>
      <c r="BK2" s="162">
        <f>MOPFRA!BK2</f>
        <v>0</v>
      </c>
      <c r="BL2" s="156">
        <f>MOPFRA!BL2</f>
        <v>0</v>
      </c>
      <c r="BM2" s="156">
        <f>MOPFRA!BM2</f>
        <v>0</v>
      </c>
      <c r="BN2" s="47">
        <f>MOPFRA!BN2</f>
        <v>0</v>
      </c>
      <c r="BO2" s="44">
        <f>MOPFRA!BO2</f>
        <v>0</v>
      </c>
      <c r="BP2" s="44">
        <f>MOPFRA!BP2</f>
        <v>0</v>
      </c>
      <c r="BQ2" s="44">
        <f>MOPFRA!BQ2</f>
        <v>0</v>
      </c>
      <c r="BR2" s="44">
        <f>MOPFRA!BR2</f>
        <v>0</v>
      </c>
      <c r="BS2" s="44">
        <f>MOPFRA!BS2</f>
        <v>0</v>
      </c>
      <c r="BT2" s="285">
        <f>MOPFRA!BT2</f>
        <v>0</v>
      </c>
      <c r="BU2" s="285">
        <f>MOPFRA!BU2</f>
        <v>1742.9568302779421</v>
      </c>
      <c r="BV2" s="159">
        <f>MOPFRA!BV2</f>
        <v>0</v>
      </c>
      <c r="BW2" s="284">
        <f>MOPFRA!BW2</f>
        <v>39.352060981563028</v>
      </c>
      <c r="BX2" s="159">
        <f>MOPFRA!BX2</f>
        <v>0</v>
      </c>
      <c r="BY2" s="156">
        <f>MOPFRA!BY2</f>
        <v>154489.24436510113</v>
      </c>
      <c r="BZ2" s="156">
        <f>MOPFRA!BZ2</f>
        <v>117818.58840322224</v>
      </c>
      <c r="CA2" s="159">
        <f>MOPFRA!CA2</f>
        <v>0</v>
      </c>
      <c r="CB2" s="159">
        <f>MOPFRA!CB2</f>
        <v>0</v>
      </c>
      <c r="CC2" s="166">
        <f>MOPFRA!CC2</f>
        <v>1392.8637492607925</v>
      </c>
      <c r="CD2" s="433">
        <f>MOPFRA!CD2</f>
        <v>49.243110469154111</v>
      </c>
      <c r="CE2" s="156">
        <f>MOPFRA!CE2</f>
        <v>0</v>
      </c>
      <c r="CF2" s="1057">
        <f>MOPFRA!CF2</f>
        <v>1</v>
      </c>
      <c r="CG2" s="156">
        <f>MOPFRA!CG2</f>
        <v>0</v>
      </c>
      <c r="CH2" s="160">
        <f>MOPFRA!CH2</f>
        <v>0</v>
      </c>
      <c r="CI2" s="160">
        <f>MOPFRA!CI2</f>
        <v>0</v>
      </c>
      <c r="CJ2" s="44">
        <f>MOPFRA!CJ2</f>
        <v>0</v>
      </c>
      <c r="CK2" s="48">
        <f>MOPFRA!CK2</f>
        <v>661697.80009999999</v>
      </c>
      <c r="CL2" s="48">
        <f>MOPFRA!CL2</f>
        <v>465525</v>
      </c>
      <c r="CM2" s="48">
        <f>MOPFRA!CM2</f>
        <v>80309</v>
      </c>
      <c r="CN2" s="48">
        <f>MOPFRA!CN2</f>
        <v>19668</v>
      </c>
      <c r="CO2" s="48">
        <f>MOPFRA!CO2</f>
        <v>277924</v>
      </c>
      <c r="CP2" s="48">
        <f>MOPFRA!CP2</f>
        <v>24340</v>
      </c>
      <c r="CQ2" s="48">
        <f>MOPFRA!CQ2</f>
        <v>280919.25</v>
      </c>
      <c r="CR2" s="48">
        <f>MOPFRA!CR2</f>
        <v>0</v>
      </c>
      <c r="CS2" s="48">
        <f>MOPFRA!CS2</f>
        <v>743449</v>
      </c>
      <c r="CT2" s="48">
        <f>MOPFRA!CT2</f>
        <v>-16906</v>
      </c>
      <c r="CU2" s="161">
        <f>MOPFRA!CU2</f>
        <v>0</v>
      </c>
      <c r="CV2" s="163">
        <f>MOPFRA!CV2</f>
        <v>223157</v>
      </c>
      <c r="CW2" s="48">
        <f>MOPFRA!CW2</f>
        <v>1402770</v>
      </c>
      <c r="CX2" s="48">
        <f>MOPFRA!CX2</f>
        <v>255573</v>
      </c>
      <c r="CY2" s="48">
        <f>MOPFRA!CY2</f>
        <v>114548</v>
      </c>
      <c r="CZ2" s="162">
        <f>MOPFRA!CZ2</f>
        <v>142843</v>
      </c>
      <c r="DA2" s="165">
        <f>MOPFRA!DA2</f>
        <v>0</v>
      </c>
      <c r="DB2" s="162">
        <f>MOPFRA!DB2</f>
        <v>0</v>
      </c>
      <c r="DC2" s="163">
        <f>MOPFRA!DC2</f>
        <v>366000</v>
      </c>
      <c r="DD2" s="1240">
        <f>MOPFRA!DD2</f>
        <v>0.39028142076502731</v>
      </c>
      <c r="DE2" s="48">
        <f>MOPFRA!DE2</f>
        <v>102996</v>
      </c>
      <c r="DF2" s="48">
        <f>MOPFRA!DF2</f>
        <v>53094</v>
      </c>
      <c r="DG2" s="48">
        <f>MOPFRA!DG2</f>
        <v>39096</v>
      </c>
      <c r="DH2" s="48">
        <f>MOPFRA!DH2</f>
        <v>263004</v>
      </c>
      <c r="DI2" s="162">
        <f>MOPFRA!DI2</f>
        <v>131496</v>
      </c>
      <c r="DJ2" s="180">
        <f>MOPFRA!DJ2</f>
        <v>7.6329490167019207</v>
      </c>
      <c r="DK2" s="48">
        <f>MOPFRA!DK2</f>
        <v>71459</v>
      </c>
      <c r="DL2" s="48">
        <f>MOPFRA!DL2</f>
        <v>11640</v>
      </c>
      <c r="DM2" s="48">
        <f>MOPFRA!DM2</f>
        <v>149547</v>
      </c>
      <c r="DN2" s="48">
        <f>MOPFRA!DN2</f>
        <v>0</v>
      </c>
      <c r="DO2" s="48">
        <f>MOPFRA!DO2</f>
        <v>0</v>
      </c>
      <c r="DP2" s="48">
        <f>MOPFRA!DP2</f>
        <v>12029</v>
      </c>
      <c r="DQ2" s="162">
        <f>MOPFRA!DQ2</f>
        <v>18329</v>
      </c>
      <c r="DR2" s="162">
        <f>MOPFRA!DR2</f>
        <v>-1.4675979183020347</v>
      </c>
      <c r="DS2" s="162">
        <f>MOPFRA!DS2</f>
        <v>-5</v>
      </c>
      <c r="DT2" s="186">
        <f>MOPFRA!DT2</f>
        <v>0</v>
      </c>
      <c r="DU2" s="186">
        <f>MOPFRA!DU2</f>
        <v>0</v>
      </c>
      <c r="DV2" s="186">
        <f>MOPFRA!DV2</f>
        <v>0</v>
      </c>
      <c r="DW2" s="186">
        <f>MOPFRA!DW2</f>
        <v>0</v>
      </c>
      <c r="DX2" s="186">
        <f>MOPFRA!DX2</f>
        <v>0</v>
      </c>
      <c r="DY2" s="186">
        <f>MOPFRA!DY2</f>
        <v>0</v>
      </c>
      <c r="DZ2" s="186">
        <f>MOPFRA!DZ2</f>
        <v>0</v>
      </c>
      <c r="EA2" s="186">
        <f>MOPFRA!EA2</f>
        <v>0</v>
      </c>
      <c r="EB2" s="186">
        <f>MOPFRA!EB2</f>
        <v>0</v>
      </c>
      <c r="EC2" s="287">
        <f>MOPFRA!EC2</f>
        <v>0</v>
      </c>
      <c r="ED2" s="156">
        <f>MOPFRA!ED2</f>
        <v>1535045</v>
      </c>
      <c r="EE2" s="287">
        <f>MOPFRA!EE2</f>
        <v>0</v>
      </c>
      <c r="EF2" s="156">
        <f>MOPFRA!EF2</f>
        <v>5965723.1359999999</v>
      </c>
      <c r="EG2" s="156">
        <f>MOPFRA!EG2</f>
        <v>0</v>
      </c>
      <c r="EH2" s="156">
        <f>MOPFRA!EH2</f>
        <v>0</v>
      </c>
      <c r="EI2" s="156">
        <f>MOPFRA!EI2</f>
        <v>0</v>
      </c>
      <c r="EJ2" s="156">
        <f>MOPFRA!EJ2</f>
        <v>0</v>
      </c>
      <c r="EK2" s="156">
        <f>MOPFRA!EK2</f>
        <v>0</v>
      </c>
      <c r="EL2" s="156">
        <f>MOPFRA!EL2</f>
        <v>0</v>
      </c>
      <c r="EM2" s="287">
        <f>MOPFRA!EM2</f>
        <v>0</v>
      </c>
      <c r="EN2" s="156">
        <f>MOPFRA!EN2</f>
        <v>4692453</v>
      </c>
      <c r="EO2" s="567">
        <f>MOPFRA!EO2</f>
        <v>2.0568830229732677</v>
      </c>
      <c r="EP2" s="567">
        <f>MOPFRA!EP2</f>
        <v>0</v>
      </c>
      <c r="EQ2"/>
    </row>
    <row r="3" spans="1:147" s="30" customFormat="1" ht="28" customHeight="1">
      <c r="A3" s="34" t="str">
        <f>MOPFRA!A3</f>
        <v>Point</v>
      </c>
      <c r="B3" s="34" t="str">
        <f>MOPFRA!B3</f>
        <v>Point</v>
      </c>
      <c r="C3" s="34" t="str">
        <f>MOPFRA!C3</f>
        <v>٪</v>
      </c>
      <c r="D3" s="34">
        <f>MOPFRA!D3</f>
        <v>0</v>
      </c>
      <c r="E3" s="34" t="str">
        <f>MOPFRA!E3</f>
        <v>%</v>
      </c>
      <c r="F3" s="34" t="str">
        <f>MOPFRA!F3</f>
        <v>%</v>
      </c>
      <c r="G3" s="34">
        <f>MOPFRA!G3</f>
        <v>0</v>
      </c>
      <c r="H3" s="34">
        <f>MOPFRA!H3</f>
        <v>0</v>
      </c>
      <c r="I3" s="34">
        <f>MOPFRA!I3</f>
        <v>0</v>
      </c>
      <c r="J3" s="34">
        <f>MOPFRA!J3</f>
        <v>0</v>
      </c>
      <c r="K3" s="34">
        <f>MOPFRA!K3</f>
        <v>0</v>
      </c>
      <c r="L3" s="34" t="str">
        <f>MOPFRA!L3</f>
        <v>Rank</v>
      </c>
      <c r="M3" s="34">
        <f>MOPFRA!M3</f>
        <v>0</v>
      </c>
      <c r="N3" s="34">
        <f>MOPFRA!N3</f>
        <v>0</v>
      </c>
      <c r="O3" s="147" t="str">
        <f>MOPFRA!O3</f>
        <v>Control</v>
      </c>
      <c r="P3" s="803" t="str">
        <f>MOPFRA!P3</f>
        <v>Ton</v>
      </c>
      <c r="Q3" s="803">
        <f>MOPFRA!Q3</f>
        <v>0</v>
      </c>
      <c r="R3" s="1885">
        <f>MOPFRA!R3</f>
        <v>0</v>
      </c>
      <c r="S3" s="35" t="str">
        <f>MOPFRA!S3</f>
        <v>Month</v>
      </c>
      <c r="T3" s="34" t="str">
        <f>MOPFRA!T3</f>
        <v>B.Toman</v>
      </c>
      <c r="U3" s="34" t="str">
        <f>MOPFRA!U3</f>
        <v>Rial</v>
      </c>
      <c r="V3" s="34" t="str">
        <f>MOPFRA!V3</f>
        <v>٪</v>
      </c>
      <c r="W3" s="34" t="str">
        <f>MOPFRA!W3</f>
        <v>Rial</v>
      </c>
      <c r="X3" s="37" t="str">
        <f>MOPFRA!X3</f>
        <v>٪</v>
      </c>
      <c r="Y3" s="37">
        <f>MOPFRA!Y3</f>
        <v>0</v>
      </c>
      <c r="Z3" s="37">
        <f>MOPFRA!Z3</f>
        <v>0</v>
      </c>
      <c r="AA3" s="37" t="str">
        <f>MOPFRA!AA3</f>
        <v>٪</v>
      </c>
      <c r="AB3" s="654" t="str">
        <f>MOPFRA!AB3</f>
        <v>٪</v>
      </c>
      <c r="AC3" s="654">
        <f>MOPFRA!AC3</f>
        <v>0</v>
      </c>
      <c r="AD3" s="654">
        <f>MOPFRA!AD3</f>
        <v>0</v>
      </c>
      <c r="AE3" s="654">
        <f>MOPFRA!AE3</f>
        <v>0</v>
      </c>
      <c r="AF3" s="654">
        <f>MOPFRA!AF3</f>
        <v>0</v>
      </c>
      <c r="AG3" s="654" t="str">
        <f>MOPFRA!AG3</f>
        <v>%</v>
      </c>
      <c r="AH3" s="654" t="str">
        <f>MOPFRA!AH3</f>
        <v>%</v>
      </c>
      <c r="AI3" s="36">
        <f>MOPFRA!AI3</f>
        <v>0</v>
      </c>
      <c r="AJ3" s="36">
        <f>MOPFRA!AJ3</f>
        <v>0</v>
      </c>
      <c r="AK3" s="40" t="str">
        <f>MOPFRA!AK3</f>
        <v>Date</v>
      </c>
      <c r="AL3" s="38" t="str">
        <f>MOPFRA!AL3</f>
        <v>Unit</v>
      </c>
      <c r="AM3" s="38">
        <f>MOPFRA!AM3</f>
        <v>0</v>
      </c>
      <c r="AN3" s="38">
        <f>MOPFRA!AN3</f>
        <v>0</v>
      </c>
      <c r="AO3" s="39" t="str">
        <f>MOPFRA!AO3</f>
        <v>%</v>
      </c>
      <c r="AP3" s="34" t="str">
        <f>MOPFRA!AP3</f>
        <v>Ton</v>
      </c>
      <c r="AQ3" s="34" t="str">
        <f>MOPFRA!AQ3</f>
        <v>B.Toman</v>
      </c>
      <c r="AR3" s="34">
        <f>MOPFRA!AR3</f>
        <v>0</v>
      </c>
      <c r="AS3" s="34" t="str">
        <f>MOPFRA!AS3</f>
        <v>B.Toman</v>
      </c>
      <c r="AT3" s="34" t="str">
        <f>MOPFRA!AT3</f>
        <v>Month</v>
      </c>
      <c r="AU3" s="40">
        <f>MOPFRA!AU3</f>
        <v>0</v>
      </c>
      <c r="AV3" s="106" t="str">
        <f>MOPFRA!AV3</f>
        <v>Point-1</v>
      </c>
      <c r="AW3" s="34" t="str">
        <f>MOPFRA!AW3</f>
        <v>B.Toman</v>
      </c>
      <c r="AX3" s="34" t="str">
        <f>MOPFRA!AX3</f>
        <v>B.Toman</v>
      </c>
      <c r="AY3" s="34" t="str">
        <f>MOPFRA!AY3</f>
        <v>%</v>
      </c>
      <c r="AZ3" s="34" t="str">
        <f>MOPFRA!AZ3</f>
        <v>%</v>
      </c>
      <c r="BA3" s="34">
        <f>MOPFRA!BA3</f>
        <v>0</v>
      </c>
      <c r="BB3" s="34" t="str">
        <f>MOPFRA!BB3</f>
        <v>%</v>
      </c>
      <c r="BC3" s="106" t="str">
        <f>MOPFRA!BC3</f>
        <v>Point-2</v>
      </c>
      <c r="BD3" s="34" t="str">
        <f>MOPFRA!BD3</f>
        <v>%</v>
      </c>
      <c r="BE3" s="34" t="str">
        <f>MOPFRA!BE3</f>
        <v>%</v>
      </c>
      <c r="BF3" s="34">
        <f>MOPFRA!BF3</f>
        <v>0</v>
      </c>
      <c r="BG3" s="34" t="str">
        <f>MOPFRA!BG3</f>
        <v>%</v>
      </c>
      <c r="BH3" s="34" t="str">
        <f>MOPFRA!BH3</f>
        <v>%</v>
      </c>
      <c r="BI3" s="34" t="str">
        <f>MOPFRA!BI3</f>
        <v>B.Toman</v>
      </c>
      <c r="BJ3" s="34">
        <f>MOPFRA!BJ3</f>
        <v>0</v>
      </c>
      <c r="BK3" s="105" t="str">
        <f>MOPFRA!BK3</f>
        <v>Point-3</v>
      </c>
      <c r="BL3" s="104">
        <f>MOPFRA!BL3</f>
        <v>0</v>
      </c>
      <c r="BM3" s="104" t="str">
        <f>MOPFRA!BM3</f>
        <v>Point-4</v>
      </c>
      <c r="BN3" s="41">
        <f>MOPFRA!BN3</f>
        <v>0</v>
      </c>
      <c r="BO3" s="34" t="str">
        <f>MOPFRA!BO3</f>
        <v>Month</v>
      </c>
      <c r="BP3" s="838">
        <f>MOPFRA!BP3</f>
        <v>0</v>
      </c>
      <c r="BQ3" s="41" t="str">
        <f>MOPFRA!BQ3</f>
        <v>Rial</v>
      </c>
      <c r="BR3" s="41" t="str">
        <f>MOPFRA!BR3</f>
        <v>Rial</v>
      </c>
      <c r="BS3" s="41" t="str">
        <f>MOPFRA!BS3</f>
        <v>Rial</v>
      </c>
      <c r="BT3" s="41">
        <f>MOPFRA!BT3</f>
        <v>0</v>
      </c>
      <c r="BU3" s="41" t="str">
        <f>MOPFRA!BU3</f>
        <v>Rial</v>
      </c>
      <c r="BV3" s="41">
        <f>MOPFRA!BV3</f>
        <v>0</v>
      </c>
      <c r="BW3" s="41" t="str">
        <f>MOPFRA!BW3</f>
        <v>Ratio</v>
      </c>
      <c r="BX3" s="104" t="str">
        <f>MOPFRA!BX3</f>
        <v>Point-5</v>
      </c>
      <c r="BY3" s="41" t="str">
        <f>MOPFRA!BY3</f>
        <v>B.Toman</v>
      </c>
      <c r="BZ3" s="41" t="str">
        <f>MOPFRA!BZ3</f>
        <v>B. Toman</v>
      </c>
      <c r="CA3" s="40" t="str">
        <f>MOPFRA!CA3</f>
        <v>%</v>
      </c>
      <c r="CB3" s="40">
        <f>MOPFRA!CB3</f>
        <v>0</v>
      </c>
      <c r="CC3" s="42" t="str">
        <f>MOPFRA!CC3</f>
        <v>Rial</v>
      </c>
      <c r="CD3" s="42" t="str">
        <f>MOPFRA!CD3</f>
        <v>Ratio</v>
      </c>
      <c r="CE3" s="104" t="str">
        <f>MOPFRA!CE3</f>
        <v>Point-6</v>
      </c>
      <c r="CF3" s="41" t="str">
        <f>MOPFRA!CF3</f>
        <v>Ratio</v>
      </c>
      <c r="CG3" s="104" t="str">
        <f>MOPFRA!CG3</f>
        <v>Point-7</v>
      </c>
      <c r="CH3" s="42" t="str">
        <f>MOPFRA!CH3</f>
        <v>Ratio</v>
      </c>
      <c r="CI3" s="104" t="str">
        <f>MOPFRA!CI3</f>
        <v>Point-8</v>
      </c>
      <c r="CJ3" s="40">
        <f>MOPFRA!CJ3</f>
        <v>0</v>
      </c>
      <c r="CK3" s="34" t="str">
        <f>MOPFRA!CK3</f>
        <v>B.Toman</v>
      </c>
      <c r="CL3" s="34">
        <f>MOPFRA!CL3</f>
        <v>0</v>
      </c>
      <c r="CM3" s="34">
        <f>MOPFRA!CM3</f>
        <v>0</v>
      </c>
      <c r="CN3" s="34">
        <f>MOPFRA!CN3</f>
        <v>0</v>
      </c>
      <c r="CO3" s="34" t="str">
        <f>MOPFRA!CO3</f>
        <v>B.Toman</v>
      </c>
      <c r="CP3" s="34" t="str">
        <f>MOPFRA!CP3</f>
        <v>B.Toman</v>
      </c>
      <c r="CQ3" s="34" t="str">
        <f>MOPFRA!CQ3</f>
        <v>B.Toman</v>
      </c>
      <c r="CR3" s="34">
        <f>MOPFRA!CR3</f>
        <v>0</v>
      </c>
      <c r="CS3" s="34" t="str">
        <f>MOPFRA!CS3</f>
        <v>B.Toman</v>
      </c>
      <c r="CT3" s="34" t="str">
        <f>MOPFRA!CT3</f>
        <v>B.Toman</v>
      </c>
      <c r="CU3" s="54" t="str">
        <f>MOPFRA!CU3</f>
        <v>Ratio</v>
      </c>
      <c r="CV3" s="34" t="str">
        <f>MOPFRA!CV3</f>
        <v>B.Toman</v>
      </c>
      <c r="CW3" s="34" t="str">
        <f>MOPFRA!CW3</f>
        <v>B.Toman</v>
      </c>
      <c r="CX3" s="34" t="str">
        <f>MOPFRA!CX3</f>
        <v>B.Toman</v>
      </c>
      <c r="CY3" s="34" t="str">
        <f>MOPFRA!CY3</f>
        <v>B.Toman</v>
      </c>
      <c r="CZ3" s="34" t="str">
        <f>MOPFRA!CZ3</f>
        <v>B.Toman</v>
      </c>
      <c r="DA3" s="34" t="str">
        <f>MOPFRA!DA3</f>
        <v>Ratio</v>
      </c>
      <c r="DB3" s="105" t="str">
        <f>MOPFRA!DB3</f>
        <v>Point-9</v>
      </c>
      <c r="DC3" s="34" t="str">
        <f>MOPFRA!DC3</f>
        <v>B.Toman</v>
      </c>
      <c r="DD3" s="34" t="str">
        <f>MOPFRA!DD3</f>
        <v>%</v>
      </c>
      <c r="DE3" s="34" t="str">
        <f>MOPFRA!DE3</f>
        <v>B.Toman</v>
      </c>
      <c r="DF3" s="34" t="str">
        <f>MOPFRA!DF3</f>
        <v>B.Toman</v>
      </c>
      <c r="DG3" s="34" t="str">
        <f>MOPFRA!DG3</f>
        <v>B.Toman</v>
      </c>
      <c r="DH3" s="34" t="str">
        <f>MOPFRA!DH3</f>
        <v>B.Toman</v>
      </c>
      <c r="DI3" s="34" t="str">
        <f>MOPFRA!DI3</f>
        <v>B.Toman</v>
      </c>
      <c r="DJ3" s="34">
        <f>MOPFRA!DJ3</f>
        <v>0</v>
      </c>
      <c r="DK3" s="34" t="str">
        <f>MOPFRA!DK3</f>
        <v>B.Toman</v>
      </c>
      <c r="DL3" s="34" t="str">
        <f>MOPFRA!DL3</f>
        <v>B.Toman</v>
      </c>
      <c r="DM3" s="34" t="str">
        <f>MOPFRA!DM3</f>
        <v>B.Toman</v>
      </c>
      <c r="DN3" s="34" t="str">
        <f>MOPFRA!DN3</f>
        <v>Ratio</v>
      </c>
      <c r="DO3" s="105" t="str">
        <f>MOPFRA!DO3</f>
        <v>Point-10</v>
      </c>
      <c r="DP3" s="34" t="str">
        <f>MOPFRA!DP3</f>
        <v>B.Toman</v>
      </c>
      <c r="DQ3" s="34" t="str">
        <f>MOPFRA!DQ3</f>
        <v>B.Toman</v>
      </c>
      <c r="DR3" s="34" t="str">
        <f>MOPFRA!DR3</f>
        <v>Ratio</v>
      </c>
      <c r="DS3" s="105" t="str">
        <f>MOPFRA!DS3</f>
        <v>Point-11</v>
      </c>
      <c r="DT3" s="41" t="str">
        <f>MOPFRA!DT3</f>
        <v>Rial</v>
      </c>
      <c r="DU3" s="41" t="str">
        <f>MOPFRA!DU3</f>
        <v>Rial</v>
      </c>
      <c r="DV3" s="41">
        <f>MOPFRA!DV3</f>
        <v>0</v>
      </c>
      <c r="DW3" s="40">
        <f>MOPFRA!DW3</f>
        <v>0</v>
      </c>
      <c r="DX3" s="40" t="str">
        <f>MOPFRA!DX3</f>
        <v>Days</v>
      </c>
      <c r="DY3" s="40" t="str">
        <f>MOPFRA!DY3</f>
        <v>Rial</v>
      </c>
      <c r="DZ3" s="40">
        <f>MOPFRA!DZ3</f>
        <v>0</v>
      </c>
      <c r="EA3" s="40">
        <f>MOPFRA!EA3</f>
        <v>0</v>
      </c>
      <c r="EB3" s="40">
        <f>MOPFRA!EB3</f>
        <v>0</v>
      </c>
      <c r="EC3" s="291">
        <f>MOPFRA!EC3</f>
        <v>0</v>
      </c>
      <c r="ED3" s="291">
        <f>MOPFRA!ED3</f>
        <v>0</v>
      </c>
      <c r="EE3" s="291">
        <f>MOPFRA!EE3</f>
        <v>0</v>
      </c>
      <c r="EF3" s="291">
        <f>MOPFRA!EF3</f>
        <v>0</v>
      </c>
      <c r="EG3" s="291">
        <f>MOPFRA!EG3</f>
        <v>0</v>
      </c>
      <c r="EH3" s="291">
        <f>MOPFRA!EH3</f>
        <v>0</v>
      </c>
      <c r="EI3" s="291">
        <f>MOPFRA!EI3</f>
        <v>0</v>
      </c>
      <c r="EJ3" s="291">
        <f>MOPFRA!EJ3</f>
        <v>0</v>
      </c>
      <c r="EK3" s="291">
        <f>MOPFRA!EK3</f>
        <v>0</v>
      </c>
      <c r="EL3" s="291">
        <f>MOPFRA!EL3</f>
        <v>0</v>
      </c>
      <c r="EM3" s="291" t="str">
        <f>MOPFRA!EM3</f>
        <v>Rls</v>
      </c>
      <c r="EN3" s="291" t="str">
        <f>MOPFRA!EN3</f>
        <v>IBT</v>
      </c>
      <c r="EO3" s="291" t="str">
        <f>MOPFRA!EO3</f>
        <v>%</v>
      </c>
      <c r="EP3" s="291">
        <f>MOPFRA!EP3</f>
        <v>0</v>
      </c>
    </row>
    <row r="4" spans="1:147" s="360" customFormat="1" ht="121" customHeight="1" thickBot="1">
      <c r="A4" s="1590" t="str">
        <f>MOPFRA!A4</f>
        <v>جمع امتیاز بنیادی</v>
      </c>
      <c r="B4" s="1590" t="str">
        <f>MOPFRA!B4</f>
        <v>جمع امتیاز بنیادی و تخصصی</v>
      </c>
      <c r="C4" s="515" t="str">
        <f>MOPFRA!C4</f>
        <v>بازدهی با توجه به تاریخ مجمع و فرض توزیع ۸۰٪ سود</v>
      </c>
      <c r="D4" s="465" t="str">
        <f>MOPFRA!D4</f>
        <v>تغییر انتظاری P/E</v>
      </c>
      <c r="E4" s="516" t="str">
        <f>MOPFRA!E4</f>
        <v xml:space="preserve"> درصد رشد سود ناخالص عملیاتی </v>
      </c>
      <c r="F4" s="516" t="str">
        <f>MOPFRA!F4</f>
        <v xml:space="preserve">درصد رشد سود خالص عملیاتی  نسبت به دورره مشابه </v>
      </c>
      <c r="G4" s="1229" t="str">
        <f>MOPFRA!G4</f>
        <v>تغییر رشد تجمیعی دوره نسبت به ماه قبل</v>
      </c>
      <c r="H4" s="2302" t="str">
        <f>MOPFRA!H4</f>
        <v>رشد فروش تجمیعی نسبت به سال قبل Update</v>
      </c>
      <c r="I4" s="1229" t="str">
        <f>MOPFRA!I4</f>
        <v>رشد فروش در فصل بهار به زمستان</v>
      </c>
      <c r="J4" s="1229" t="str">
        <f>MOPFRA!J4</f>
        <v>رشد فروش سه ماهه اخیر</v>
      </c>
      <c r="K4" s="1229" t="str">
        <f>MOPFRA!K4</f>
        <v>رتبه رشد فروش سال در حال تداوم</v>
      </c>
      <c r="L4" s="465" t="str">
        <f>MOPFRA!L4</f>
        <v>رتبه در جمع رتبه ها</v>
      </c>
      <c r="M4" s="1574" t="str">
        <f>MOPFRA!M4</f>
        <v xml:space="preserve">سیگنال بر اساس روند رشد فروش شرکت اصلی </v>
      </c>
      <c r="N4" s="1597" t="str">
        <f>MOPFRA!N4</f>
        <v xml:space="preserve">سیگنال  رشد ارزش انتظاری شرکت </v>
      </c>
      <c r="O4" s="1598" t="str">
        <f>MOPFRA!O4</f>
        <v>توجه به  تغییر در EPS و P/E</v>
      </c>
      <c r="P4" s="1884" t="str">
        <f>MOPFRA!P4</f>
        <v>Cat</v>
      </c>
      <c r="Q4" s="350" t="str">
        <f>MOPFRA!Q4</f>
        <v>نام شرکت</v>
      </c>
      <c r="R4" s="351" t="str">
        <f>MOPFRA!R4</f>
        <v>نماد</v>
      </c>
      <c r="S4" s="350" t="str">
        <f>MOPFRA!S4</f>
        <v xml:space="preserve">ماه پایان سال مالی </v>
      </c>
      <c r="T4" s="350" t="str">
        <f>MOPFRA!T4</f>
        <v>ارزش شرکت در بورس</v>
      </c>
      <c r="U4" s="350" t="str">
        <f>MOPFRA!U4</f>
        <v xml:space="preserve">قیمت پایانی </v>
      </c>
      <c r="V4" s="350" t="str">
        <f>MOPFRA!V4</f>
        <v>تغییر قیمت پایانی در روز</v>
      </c>
      <c r="W4" s="350" t="str">
        <f>MOPFRA!W4</f>
        <v xml:space="preserve">آخرین قیمت معامله شده </v>
      </c>
      <c r="X4" s="350" t="str">
        <f>MOPFRA!X4</f>
        <v>تغییر آخرین قیمت درروز</v>
      </c>
      <c r="Y4" s="350" t="str">
        <f>MOPFRA!Y4</f>
        <v xml:space="preserve">EV ارزش بنگاه </v>
      </c>
      <c r="Z4" s="501" t="str">
        <f>MOPFRA!Z4</f>
        <v xml:space="preserve">سیگنال بر اساس تفاوت قیمت آخر و پایانی </v>
      </c>
      <c r="AA4" s="657" t="str">
        <f>MOPFRA!AA4</f>
        <v xml:space="preserve">رشد نسبت به  آخرین مجمع    </v>
      </c>
      <c r="AB4" s="656" t="str">
        <f>MOPFRA!AB4</f>
        <v xml:space="preserve">میزان رشد تورمی  انتظاری پس از آخرین مجمع </v>
      </c>
      <c r="AC4" s="657" t="str">
        <f>MOPFRA!AC4</f>
        <v>تفاوت درصد  رشد متوسط روزانه بعد از مجمع به رشد تورمی انتظاری</v>
      </c>
      <c r="AD4" s="790" t="str">
        <f>MOPFRA!AD4</f>
        <v>رشد نسبت به مجمع 1404</v>
      </c>
      <c r="AE4" s="790" t="str">
        <f>MOPFRA!AE4</f>
        <v>رشد نسبت به مجمع 1403</v>
      </c>
      <c r="AF4" s="790" t="str">
        <f>MOPFRA!AF4</f>
        <v>رشد نسبت به مجمع 1402</v>
      </c>
      <c r="AG4" s="790" t="str">
        <f>MOPFRA!AG4</f>
        <v>رشد نسبت به مجمع  1401</v>
      </c>
      <c r="AH4" s="790" t="str">
        <f>MOPFRA!AH4</f>
        <v xml:space="preserve">رشد نسبت به مجمع 1400 </v>
      </c>
      <c r="AI4" s="352" t="str">
        <f>MOPFRA!AI4</f>
        <v>تعداد روز مانده به مجمع  عادی سالیانه</v>
      </c>
      <c r="AJ4" s="353" t="str">
        <f>MOPFRA!AJ4</f>
        <v xml:space="preserve">تاریخ مجمع </v>
      </c>
      <c r="AK4" s="350" t="str">
        <f>MOPFRA!AK4</f>
        <v>تاریخ پرداخت سود</v>
      </c>
      <c r="AL4" s="350" t="str">
        <f>MOPFRA!AL4</f>
        <v>تعداد کل سهام شرکت</v>
      </c>
      <c r="AM4" s="350">
        <f>MOPFRA!AM4</f>
        <v>0</v>
      </c>
      <c r="AN4" s="350">
        <f>MOPFRA!AN4</f>
        <v>0</v>
      </c>
      <c r="AO4" s="350" t="str">
        <f>MOPFRA!AO4</f>
        <v>میزان سهام شناور در بورس</v>
      </c>
      <c r="AP4" s="97" t="str">
        <f>MOPFRA!AP4</f>
        <v>تخمین فروش شرکت بر اساس فروش هفته های اخیر در بورس کالا</v>
      </c>
      <c r="AQ4" s="400" t="str">
        <f>MOPFRA!AQ4</f>
        <v xml:space="preserve"> درآمد عملیاتی شرکت اصلی در سال مالی قبل </v>
      </c>
      <c r="AR4" s="501" t="str">
        <f>MOPFRA!AR4</f>
        <v xml:space="preserve">سود (زیان) عملیاتی آخرین سال مالی </v>
      </c>
      <c r="AS4" s="350" t="str">
        <f>MOPFRA!AS4</f>
        <v xml:space="preserve">تخمین فروش  شرکت بر اساس آخرین گزارش </v>
      </c>
      <c r="AT4" s="350" t="str">
        <f>MOPFRA!AT4</f>
        <v xml:space="preserve">آخرین ماه  گزارش فروش منتشره </v>
      </c>
      <c r="AU4" s="350" t="str">
        <f>MOPFRA!AU4</f>
        <v xml:space="preserve">P/S </v>
      </c>
      <c r="AV4" s="354" t="str">
        <f>MOPFRA!AV4</f>
        <v>امتیاز P/S فوروارد</v>
      </c>
      <c r="AW4" s="350" t="str">
        <f>MOPFRA!AW4</f>
        <v xml:space="preserve">درآمد (فروش) عملیاتی در حال تداوم  </v>
      </c>
      <c r="AX4" s="350" t="str">
        <f>MOPFRA!AX4</f>
        <v xml:space="preserve">سود (زیان) عملیاتی </v>
      </c>
      <c r="AY4" s="501" t="str">
        <f>MOPFRA!AY4</f>
        <v xml:space="preserve"> نسبت سود ناخالص عملیاتی به فروش - آخرین گزارش سال مالی</v>
      </c>
      <c r="AZ4" s="501" t="str">
        <f>MOPFRA!AZ4</f>
        <v xml:space="preserve"> نسبت سود ناخالص عملیاتی به فروش - دوره مشابه سال قبل</v>
      </c>
      <c r="BA4" s="501" t="str">
        <f>MOPFRA!BA4</f>
        <v xml:space="preserve"> نسبت سود ناخالص عملیاتی به فروش - سال مالی 1404</v>
      </c>
      <c r="BB4" s="501" t="str">
        <f>MOPFRA!BB4</f>
        <v xml:space="preserve"> نسبت سود ناخالص عملیاتی به فروش - سال مالی 1403</v>
      </c>
      <c r="BC4" s="354" t="str">
        <f>MOPFRA!BC4</f>
        <v>امتیاز رشد حاشیه سود خالص</v>
      </c>
      <c r="BD4" s="501" t="str">
        <f>MOPFRA!BD4</f>
        <v xml:space="preserve"> نسبت سود خالص عملیاتی به فروش - آخرین گزارش سال مالی</v>
      </c>
      <c r="BE4" s="501" t="str">
        <f>MOPFRA!BE4</f>
        <v xml:space="preserve"> نسبت سود خالص عملیاتی به فروش - دوره مشابه سال قبل</v>
      </c>
      <c r="BF4" s="501" t="str">
        <f>MOPFRA!BF4</f>
        <v xml:space="preserve"> نسبت سود خالص عملیاتی به فروش - سال مالی 1404</v>
      </c>
      <c r="BG4" s="501" t="str">
        <f>MOPFRA!BG4</f>
        <v xml:space="preserve"> نسبت سود خالص عملیاتی به فروش - سال مالی 1403</v>
      </c>
      <c r="BH4" s="400" t="str">
        <f>MOPFRA!BH4</f>
        <v>نسبت هزینه های ITDA به فروش دوره در حال تداوم</v>
      </c>
      <c r="BI4" s="400" t="str">
        <f>MOPFRA!BI4</f>
        <v>میزان هزینه ITDA در کل سال مالی جاری</v>
      </c>
      <c r="BJ4" s="400" t="str">
        <f>MOPFRA!BJ4</f>
        <v>نسبت هزینه های ITDA به فروش در دوره مشابه سال قبل</v>
      </c>
      <c r="BK4" s="1318" t="str">
        <f>MOPFRA!BK4</f>
        <v xml:space="preserve">امتیاز تغییر نسبت هزینه های ITDA به فروش </v>
      </c>
      <c r="BL4" s="400" t="str">
        <f>MOPFRA!BL4</f>
        <v>پیش بینی رشد فروش دوره مالی در حال تداوم</v>
      </c>
      <c r="BM4" s="122" t="str">
        <f>MOPFRA!BM4</f>
        <v xml:space="preserve">امتیاز مقایسه پیش بینی رشد فروش به رشد قیمت </v>
      </c>
      <c r="BN4" s="350">
        <f>MOPFRA!BN4</f>
        <v>0</v>
      </c>
      <c r="BO4" s="350" t="str">
        <f>MOPFRA!BO4</f>
        <v>آخرین ماه گزارش صورت مالی منتشره</v>
      </c>
      <c r="BP4" s="350" t="str">
        <f>MOPFRA!BP4</f>
        <v>فصل مالی گزارش شده</v>
      </c>
      <c r="BQ4" s="350" t="str">
        <f>MOPFRA!BQ4</f>
        <v xml:space="preserve"> سود به هر سهم در ۳ ماه اول سال مالی </v>
      </c>
      <c r="BR4" s="97" t="str">
        <f>MOPFRA!BR4</f>
        <v xml:space="preserve"> سود به هر سهم در ۶ ماه اول سال مالی </v>
      </c>
      <c r="BS4" s="97" t="str">
        <f>MOPFRA!BS4</f>
        <v xml:space="preserve"> سود به هر سهم در ۹ ماه اول سال مالی </v>
      </c>
      <c r="BT4" s="400" t="str">
        <f>MOPFRA!BT4</f>
        <v>پیش بینی سود هر سهم بر اساس گزارش فروش ماهیانه</v>
      </c>
      <c r="BU4" s="97" t="str">
        <f>MOPFRA!BU4</f>
        <v xml:space="preserve">پیش بینی سود هر سهم بر اساس صورت ها‌ی مالی </v>
      </c>
      <c r="BV4" s="355">
        <f>MOPFRA!BV4</f>
        <v>0</v>
      </c>
      <c r="BW4" s="350" t="str">
        <f>MOPFRA!BW4</f>
        <v>P/E - CUR</v>
      </c>
      <c r="BX4" s="354" t="str">
        <f>MOPFRA!BX4</f>
        <v>امتیاز P/E فوروارد</v>
      </c>
      <c r="BY4" s="350" t="str">
        <f>MOPFRA!BY4</f>
        <v xml:space="preserve">پیش بینی سود خالص شرکت </v>
      </c>
      <c r="BZ4" s="350" t="str">
        <f>MOPFRA!BZ4</f>
        <v xml:space="preserve">سود چهار فصل اخیر شرکت </v>
      </c>
      <c r="CA4" s="350" t="str">
        <f>MOPFRA!CA4</f>
        <v>پیش بینی EBIT سال مالی در جریان</v>
      </c>
      <c r="CB4" s="350" t="str">
        <f>MOPFRA!CB4</f>
        <v>EV/EBIT</v>
      </c>
      <c r="CC4" s="350" t="str">
        <f>MOPFRA!CC4</f>
        <v>EPS-TTM</v>
      </c>
      <c r="CD4" s="350" t="str">
        <f>MOPFRA!CD4</f>
        <v>P/E-TTM</v>
      </c>
      <c r="CE4" s="354" t="str">
        <f>MOPFRA!CE4</f>
        <v>امتیاز P/E TTM</v>
      </c>
      <c r="CF4" s="97" t="str">
        <f>MOPFRA!CF4</f>
        <v>نسبت بدهی به تخمین سود سالیانه</v>
      </c>
      <c r="CG4" s="354" t="str">
        <f>MOPFRA!CG4</f>
        <v>امتیاز L/E</v>
      </c>
      <c r="CH4" s="97" t="str">
        <f>MOPFRA!CH4</f>
        <v xml:space="preserve">شاخص بازده  سرمایه به کار گرفته شده </v>
      </c>
      <c r="CI4" s="354" t="str">
        <f>MOPFRA!CI4</f>
        <v>امتیاز ROCE</v>
      </c>
      <c r="CJ4" s="355">
        <f>MOPFRA!CJ4</f>
        <v>0</v>
      </c>
      <c r="CK4" s="350" t="str">
        <f>MOPFRA!CK4</f>
        <v>سرمایه ثبتی شرکت</v>
      </c>
      <c r="CL4" s="350" t="str">
        <f>MOPFRA!CL4</f>
        <v xml:space="preserve">سود توزیع نشده از مجمع قبل </v>
      </c>
      <c r="CM4" s="350" t="str">
        <f>MOPFRA!CM4</f>
        <v xml:space="preserve">سود غیر عملیاتی سال مالی قبل </v>
      </c>
      <c r="CN4" s="350" t="str">
        <f>MOPFRA!CN4</f>
        <v xml:space="preserve">سود غیرعملیاتی آخرین گزارش </v>
      </c>
      <c r="CO4" s="350" t="str">
        <f>MOPFRA!CO4</f>
        <v>سود خالص عملیات  درحال تداوم</v>
      </c>
      <c r="CP4" s="350" t="str">
        <f>MOPFRA!CP4</f>
        <v xml:space="preserve">تفاوت سود سهم مالکانه گزارش تلفیقی </v>
      </c>
      <c r="CQ4" s="350" t="str">
        <f>MOPFRA!CQ4</f>
        <v>جمع سود در حال تداوم تخمینی</v>
      </c>
      <c r="CR4" s="400" t="str">
        <f>MOPFRA!CR4</f>
        <v>سود در حال تداوم بر اساس فروش ماهانه و حاشیه سود خالص</v>
      </c>
      <c r="CS4" s="350" t="str">
        <f>MOPFRA!CS4</f>
        <v>سود (زیان) انباشته</v>
      </c>
      <c r="CT4" s="350" t="str">
        <f>MOPFRA!CT4</f>
        <v>سهام خزانه و کسری یا اضافی های دیگر</v>
      </c>
      <c r="CU4" s="350" t="str">
        <f>MOPFRA!CU4</f>
        <v xml:space="preserve"> کنترل اطلاعات بدهی و دارایی </v>
      </c>
      <c r="CV4" s="350" t="str">
        <f>MOPFRA!CV4</f>
        <v xml:space="preserve">جمع حقوق مالکانه محاسبه شده </v>
      </c>
      <c r="CW4" s="356" t="str">
        <f>MOPFRA!CW4</f>
        <v>جمع بدهی جاری</v>
      </c>
      <c r="CX4" s="356" t="str">
        <f>MOPFRA!CX4</f>
        <v xml:space="preserve">تسهیلات مالی </v>
      </c>
      <c r="CY4" s="356" t="str">
        <f>MOPFRA!CY4</f>
        <v xml:space="preserve">جمع بدهی غیر جاری </v>
      </c>
      <c r="CZ4" s="357" t="str">
        <f>MOPFRA!CZ4</f>
        <v>جمع کل بدهی ها</v>
      </c>
      <c r="DA4" s="97" t="str">
        <f>MOPFRA!DA4</f>
        <v>نسبت جاری (دارایی جاری به بدهی جاری)</v>
      </c>
      <c r="DB4" s="354" t="str">
        <f>MOPFRA!DB4</f>
        <v>امتیاز نسبت جاری  CA/CD</v>
      </c>
      <c r="DC4" s="357" t="str">
        <f>MOPFRA!DC4</f>
        <v>جمع کل دارائی ها</v>
      </c>
      <c r="DD4" s="357" t="str">
        <f>MOPFRA!DD4</f>
        <v xml:space="preserve">نسبت بدهی به دارایی </v>
      </c>
      <c r="DE4" s="350" t="str">
        <f>MOPFRA!DE4</f>
        <v>جمع دارائی غیر جاری</v>
      </c>
      <c r="DF4" s="350" t="str">
        <f>MOPFRA!DF4</f>
        <v>دارئی مشهود</v>
      </c>
      <c r="DG4" s="348" t="str">
        <f>MOPFRA!DG4</f>
        <v xml:space="preserve">سرمایه گذاری های بلند مدت </v>
      </c>
      <c r="DH4" s="350" t="str">
        <f>MOPFRA!DH4</f>
        <v>جمع دارائی جاری</v>
      </c>
      <c r="DI4" s="350" t="str">
        <f>MOPFRA!DI4</f>
        <v xml:space="preserve">خالص دارایی جاری </v>
      </c>
      <c r="DJ4" s="350" t="str">
        <f>MOPFRA!DJ4</f>
        <v>نسبت فروش به خالص دارایی جاری</v>
      </c>
      <c r="DK4" s="350" t="str">
        <f>MOPFRA!DK4</f>
        <v>موجودی مواد و کالا</v>
      </c>
      <c r="DL4" s="350" t="str">
        <f>MOPFRA!DL4</f>
        <v>موجودی نقدی</v>
      </c>
      <c r="DM4" s="350" t="str">
        <f>MOPFRA!DM4</f>
        <v>دریافتنی های تجاری</v>
      </c>
      <c r="DN4" s="399" t="str">
        <f>MOPFRA!DN4</f>
        <v xml:space="preserve">نسبت کل بدهی‌ها به کل دارایی‌ها </v>
      </c>
      <c r="DO4" s="122" t="str">
        <f>MOPFRA!DO4</f>
        <v>امتیاز L/A</v>
      </c>
      <c r="DP4" s="350" t="str">
        <f>MOPFRA!DP4</f>
        <v>سرمایه گذاری‌های کوتاه مدت</v>
      </c>
      <c r="DQ4" s="350" t="str">
        <f>MOPFRA!DQ4</f>
        <v>پیش پرداختها و سایر</v>
      </c>
      <c r="DR4" s="350" t="str">
        <f>MOPFRA!DR4</f>
        <v xml:space="preserve">نسبت خالص بدهی تسهیلات به درآمد پیش بینی شده </v>
      </c>
      <c r="DS4" s="354" t="str">
        <f>MOPFRA!DS4</f>
        <v>امتیاز خالص بدهی  تسهیلات به درآمد پیش بینی شده</v>
      </c>
      <c r="DT4" s="350" t="str">
        <f>MOPFRA!DT4</f>
        <v>قیمت انتظاری  TTM</v>
      </c>
      <c r="DU4" s="350" t="str">
        <f>MOPFRA!DU4</f>
        <v>قیمت انتظاری  CUR</v>
      </c>
      <c r="DV4" s="350" t="str">
        <f>MOPFRA!DV4</f>
        <v>سهم از سود انباشته</v>
      </c>
      <c r="DW4" s="350" t="str">
        <f>MOPFRA!DW4</f>
        <v xml:space="preserve">قیمت سهام بر اساس انتظار سود  </v>
      </c>
      <c r="DX4" s="350" t="str">
        <f>MOPFRA!DX4</f>
        <v>فاصله مجمع و پرداخت سود</v>
      </c>
      <c r="DY4" s="350" t="str">
        <f>MOPFRA!DY4</f>
        <v xml:space="preserve">آخرین سود پرداختی برای هر سهم </v>
      </c>
      <c r="DZ4" s="804" t="str">
        <f>MOPFRA!DZ4</f>
        <v xml:space="preserve">آخرین درصد سود نسبت به قیمت پایانی قبل از مجمع </v>
      </c>
      <c r="EA4" s="350" t="str">
        <f>MOPFRA!EA4</f>
        <v>آخرین افزایش سرمایه ثبت شده</v>
      </c>
      <c r="EB4" s="350" t="str">
        <f>MOPFRA!EB4</f>
        <v xml:space="preserve">افزایش سرمایه در جریان </v>
      </c>
      <c r="EC4" s="359" t="str">
        <f>MOPFRA!EC4</f>
        <v xml:space="preserve">قیمت سهام پس از مجمع سال مالی 1400     </v>
      </c>
      <c r="ED4" s="348" t="str">
        <f>MOPFRA!ED4</f>
        <v xml:space="preserve">ارزش شرکت بعد از مجمع سال مالی 1400 </v>
      </c>
      <c r="EE4" s="359" t="str">
        <f>MOPFRA!EE4</f>
        <v>قیمت سهام پس از مجمع سال مالی 1401</v>
      </c>
      <c r="EF4" s="348" t="str">
        <f>MOPFRA!EF4</f>
        <v>ارزش شرکت بعد از مجمع سال مالی 1401</v>
      </c>
      <c r="EG4" s="359" t="str">
        <f>MOPFRA!EG4</f>
        <v>قیمت سهام پس از مجمع سال مالی 1402</v>
      </c>
      <c r="EH4" s="348" t="str">
        <f>MOPFRA!EH4</f>
        <v>ارزش شرکت بعد از مجمع سال مالی 1402</v>
      </c>
      <c r="EI4" s="359" t="str">
        <f>MOPFRA!EI4</f>
        <v>قیمت سهام پس از مجمع سال مالی 1403</v>
      </c>
      <c r="EJ4" s="348" t="str">
        <f>MOPFRA!EJ4</f>
        <v>ارزش شرکت بعد از مجمع سال مالی 1403</v>
      </c>
      <c r="EK4" s="359" t="str">
        <f>MOPFRA!EK4</f>
        <v>قیمت سهام پس از مجمع سال مالی 1404</v>
      </c>
      <c r="EL4" s="348" t="str">
        <f>MOPFRA!EL4</f>
        <v>ارزش شرکت بعد از مجمع سال مالی 1404</v>
      </c>
      <c r="EM4" s="359" t="str">
        <f>MOPFRA!EM4</f>
        <v xml:space="preserve">قیمت سهام پس از آخرین مجمع </v>
      </c>
      <c r="EN4" s="348" t="str">
        <f>MOPFRA!EN4</f>
        <v>ارزش شرکت بعد از آخرین مجمع</v>
      </c>
      <c r="EO4" s="503" t="str">
        <f>MOPFRA!EO4</f>
        <v>درصد رشد مجمع به مجمع  سال مالی 1400</v>
      </c>
      <c r="EP4" s="503" t="str">
        <f>MOPFRA!EP4</f>
        <v>رتبه شرکت در رشد نسبت به  ارزش پس از مجمع ۱۴۰۰</v>
      </c>
    </row>
    <row r="5" spans="1:147" ht="28" customHeight="1">
      <c r="A5" s="68">
        <f>Cement!B5</f>
        <v>0</v>
      </c>
      <c r="B5" s="68">
        <f>Cement!C5</f>
        <v>0</v>
      </c>
      <c r="C5" s="189">
        <f>Cement!D5</f>
        <v>0</v>
      </c>
      <c r="D5" s="844">
        <f>Cement!E5</f>
        <v>0</v>
      </c>
      <c r="E5" s="68">
        <f>Cement!F5</f>
        <v>0</v>
      </c>
      <c r="F5" s="68">
        <f>Cement!G5</f>
        <v>0</v>
      </c>
      <c r="G5" s="68">
        <f>Cement!H5</f>
        <v>0</v>
      </c>
      <c r="H5" s="68">
        <f>Cement!I5</f>
        <v>0</v>
      </c>
      <c r="I5" s="68">
        <f>Cement!J5</f>
        <v>0</v>
      </c>
      <c r="J5" s="68">
        <f>Cement!K5</f>
        <v>0</v>
      </c>
      <c r="K5" s="844">
        <f>Cement!L5</f>
        <v>0</v>
      </c>
      <c r="L5" s="68">
        <f>Cement!M5</f>
        <v>0</v>
      </c>
      <c r="M5" s="68">
        <f>Cement!N5</f>
        <v>0</v>
      </c>
      <c r="N5" s="68">
        <f>Cement!O5</f>
        <v>0</v>
      </c>
      <c r="O5" s="1820">
        <f>Cement!P5</f>
        <v>0</v>
      </c>
      <c r="P5" s="150">
        <f>Cement!Q5</f>
        <v>0</v>
      </c>
      <c r="Q5" s="69">
        <f>Cement!R5</f>
        <v>0</v>
      </c>
      <c r="R5" s="68">
        <f>Cement!S5</f>
        <v>0</v>
      </c>
      <c r="S5" s="71">
        <f>Cement!T5</f>
        <v>0</v>
      </c>
      <c r="T5" s="70">
        <f>Cement!U5</f>
        <v>0</v>
      </c>
      <c r="U5" s="70">
        <f>Cement!V5</f>
        <v>0</v>
      </c>
      <c r="V5" s="383" t="str">
        <f>Cement!W5</f>
        <v>%</v>
      </c>
      <c r="W5" s="72">
        <f>Cement!X5</f>
        <v>0</v>
      </c>
      <c r="X5" s="384">
        <f>Cement!Y5</f>
        <v>0</v>
      </c>
      <c r="Y5" s="384">
        <f>Cement!Z5</f>
        <v>0</v>
      </c>
      <c r="Z5" s="384">
        <f>Cement!AA5</f>
        <v>0</v>
      </c>
      <c r="AA5" s="150">
        <f>Cement!AB5</f>
        <v>0</v>
      </c>
      <c r="AB5" s="150">
        <f>Cement!AC5</f>
        <v>0</v>
      </c>
      <c r="AC5" s="150">
        <f>Cement!AD5</f>
        <v>0</v>
      </c>
      <c r="AD5" s="150">
        <f>Cement!AE5</f>
        <v>0</v>
      </c>
      <c r="AE5" s="150">
        <f>Cement!AF5</f>
        <v>0</v>
      </c>
      <c r="AF5" s="150">
        <f>Cement!AG5</f>
        <v>0</v>
      </c>
      <c r="AG5" s="150">
        <f>Cement!AH5</f>
        <v>0</v>
      </c>
      <c r="AH5" s="150">
        <f>Cement!AI5</f>
        <v>0</v>
      </c>
      <c r="AI5" s="150">
        <f>Cement!AJ5</f>
        <v>0</v>
      </c>
      <c r="AJ5" s="150">
        <f>Cement!AK5</f>
        <v>0</v>
      </c>
      <c r="AK5" s="80">
        <f>Cement!AL5</f>
        <v>0</v>
      </c>
      <c r="AL5" s="150">
        <f>Cement!AM5</f>
        <v>0</v>
      </c>
      <c r="AM5" s="150">
        <f>Cement!AN5</f>
        <v>0</v>
      </c>
      <c r="AN5" s="150">
        <f>Cement!AO5</f>
        <v>0</v>
      </c>
      <c r="AO5" s="150">
        <f>Cement!AP5</f>
        <v>0</v>
      </c>
      <c r="AP5" s="150">
        <f>Cement!AQ5</f>
        <v>0</v>
      </c>
      <c r="AQ5" s="70">
        <f>Cement!AR5</f>
        <v>0</v>
      </c>
      <c r="AR5" s="68">
        <f>Cement!AS5</f>
        <v>0</v>
      </c>
      <c r="AS5" s="74">
        <f>Cement!AT5</f>
        <v>0</v>
      </c>
      <c r="AT5" s="75">
        <f>Cement!AU5</f>
        <v>0</v>
      </c>
      <c r="AU5" s="68">
        <f>Cement!AV5</f>
        <v>0</v>
      </c>
      <c r="AV5" s="68">
        <f>Cement!AW5</f>
        <v>0</v>
      </c>
      <c r="AW5" s="78">
        <f>Cement!AX5</f>
        <v>0</v>
      </c>
      <c r="AX5" s="78">
        <f>Cement!AY5</f>
        <v>0</v>
      </c>
      <c r="AY5" s="70">
        <f>Cement!AZ5</f>
        <v>0</v>
      </c>
      <c r="AZ5" s="68">
        <f>Cement!BA5</f>
        <v>0</v>
      </c>
      <c r="BA5" s="68">
        <f>Cement!BB5</f>
        <v>0</v>
      </c>
      <c r="BB5" s="68">
        <f>Cement!BC5</f>
        <v>0</v>
      </c>
      <c r="BC5" s="77">
        <f>Cement!BD5</f>
        <v>0</v>
      </c>
      <c r="BD5" s="68">
        <f>Cement!BE5</f>
        <v>0</v>
      </c>
      <c r="BE5" s="68">
        <f>Cement!BF5</f>
        <v>0</v>
      </c>
      <c r="BF5" s="68">
        <f>Cement!BG5</f>
        <v>0</v>
      </c>
      <c r="BG5" s="68">
        <f>Cement!BH5</f>
        <v>0</v>
      </c>
      <c r="BH5" s="76">
        <f>Cement!BI5</f>
        <v>0</v>
      </c>
      <c r="BI5" s="76">
        <f>Cement!BJ5</f>
        <v>0</v>
      </c>
      <c r="BJ5" s="76">
        <f>Cement!BK5</f>
        <v>0</v>
      </c>
      <c r="BK5" s="70">
        <f>Cement!BL5</f>
        <v>0</v>
      </c>
      <c r="BL5" s="76">
        <f>Cement!BM5</f>
        <v>0</v>
      </c>
      <c r="BM5" s="76">
        <f>Cement!BN5</f>
        <v>0</v>
      </c>
      <c r="BN5" s="77">
        <f>Cement!BO5</f>
        <v>0</v>
      </c>
      <c r="BO5" s="77">
        <f>Cement!BP5</f>
        <v>0</v>
      </c>
      <c r="BP5" s="839">
        <f>Cement!BQ5</f>
        <v>0</v>
      </c>
      <c r="BQ5" s="78">
        <f>Cement!BR5</f>
        <v>0</v>
      </c>
      <c r="BR5" s="78">
        <f>Cement!BS5</f>
        <v>0</v>
      </c>
      <c r="BS5" s="78">
        <f>Cement!BT5</f>
        <v>0</v>
      </c>
      <c r="BT5" s="78">
        <f>Cement!BU5</f>
        <v>0</v>
      </c>
      <c r="BU5" s="71">
        <f>Cement!BV5</f>
        <v>0</v>
      </c>
      <c r="BV5" s="79">
        <f>Cement!BW5</f>
        <v>0</v>
      </c>
      <c r="BW5" s="80">
        <f>Cement!BX5</f>
        <v>0</v>
      </c>
      <c r="BX5" s="80">
        <f>Cement!BY5</f>
        <v>0</v>
      </c>
      <c r="BY5" s="78">
        <f>Cement!BZ5</f>
        <v>0</v>
      </c>
      <c r="BZ5" s="78">
        <f>Cement!CA5</f>
        <v>0</v>
      </c>
      <c r="CA5" s="78">
        <f>Cement!CB5</f>
        <v>0</v>
      </c>
      <c r="CB5" s="78">
        <f>Cement!CC5</f>
        <v>6.56</v>
      </c>
      <c r="CC5" s="78">
        <f>Cement!CD5</f>
        <v>0</v>
      </c>
      <c r="CD5" s="80">
        <f>Cement!CE5</f>
        <v>0</v>
      </c>
      <c r="CE5" s="80">
        <f>Cement!CF5</f>
        <v>0</v>
      </c>
      <c r="CF5" s="81">
        <f>Cement!CG5</f>
        <v>0</v>
      </c>
      <c r="CG5" s="82">
        <f>Cement!CH5</f>
        <v>0</v>
      </c>
      <c r="CH5" s="83">
        <f>Cement!CI5</f>
        <v>0</v>
      </c>
      <c r="CI5" s="78">
        <f>Cement!CJ5</f>
        <v>0</v>
      </c>
      <c r="CJ5" s="78">
        <f>Cement!CK5</f>
        <v>0</v>
      </c>
      <c r="CK5" s="78">
        <f>Cement!CL5</f>
        <v>0</v>
      </c>
      <c r="CL5" s="78">
        <f>Cement!CM5</f>
        <v>0</v>
      </c>
      <c r="CM5" s="78">
        <f>Cement!CN5</f>
        <v>0</v>
      </c>
      <c r="CN5" s="78">
        <f>Cement!CO5</f>
        <v>0</v>
      </c>
      <c r="CO5" s="78">
        <f>Cement!CP5</f>
        <v>0</v>
      </c>
      <c r="CP5" s="78">
        <f>Cement!CQ5</f>
        <v>0</v>
      </c>
      <c r="CQ5" s="78">
        <f>Cement!CR5</f>
        <v>0</v>
      </c>
      <c r="CR5" s="78">
        <f>Cement!CS5</f>
        <v>0</v>
      </c>
      <c r="CS5" s="81">
        <f>Cement!CT5</f>
        <v>0</v>
      </c>
      <c r="CT5" s="70">
        <f>Cement!CU5</f>
        <v>0</v>
      </c>
      <c r="CU5" s="70">
        <f>Cement!CV5</f>
        <v>0</v>
      </c>
      <c r="CV5" s="70">
        <f>Cement!CW5</f>
        <v>0</v>
      </c>
      <c r="CW5" s="84">
        <f>Cement!CX5</f>
        <v>0</v>
      </c>
      <c r="CX5" s="84">
        <f>Cement!CY5</f>
        <v>0</v>
      </c>
      <c r="CY5" s="70">
        <f>Cement!CZ5</f>
        <v>0</v>
      </c>
      <c r="CZ5" s="70">
        <f>Cement!DA5</f>
        <v>0</v>
      </c>
      <c r="DA5" s="70">
        <f>Cement!DB5</f>
        <v>0</v>
      </c>
      <c r="DB5" s="70">
        <f>Cement!DC5</f>
        <v>0</v>
      </c>
      <c r="DC5" s="70">
        <f>Cement!DD5</f>
        <v>0</v>
      </c>
      <c r="DD5" s="70">
        <f>Cement!DE5</f>
        <v>0</v>
      </c>
      <c r="DE5" s="70">
        <f>Cement!DF5</f>
        <v>0</v>
      </c>
      <c r="DF5" s="70">
        <f>Cement!DG5</f>
        <v>0</v>
      </c>
      <c r="DG5" s="70">
        <f>Cement!DH5</f>
        <v>0</v>
      </c>
      <c r="DH5" s="70">
        <f>Cement!DI5</f>
        <v>0</v>
      </c>
      <c r="DI5" s="70">
        <f>Cement!DJ5</f>
        <v>0</v>
      </c>
      <c r="DJ5" s="70">
        <f>Cement!DK5</f>
        <v>0</v>
      </c>
      <c r="DK5" s="70">
        <f>Cement!DL5</f>
        <v>0</v>
      </c>
      <c r="DL5" s="70">
        <f>Cement!DM5</f>
        <v>0</v>
      </c>
      <c r="DM5" s="70">
        <f>Cement!DN5</f>
        <v>0</v>
      </c>
      <c r="DN5" s="70">
        <f>Cement!DO5</f>
        <v>0</v>
      </c>
      <c r="DO5" s="70">
        <f>Cement!DP5</f>
        <v>0</v>
      </c>
      <c r="DP5" s="70">
        <f>Cement!DQ5</f>
        <v>0</v>
      </c>
      <c r="DQ5" s="70">
        <f>Cement!DR5</f>
        <v>0</v>
      </c>
      <c r="DR5" s="70">
        <f>Cement!DS5</f>
        <v>0</v>
      </c>
      <c r="DS5" s="70">
        <f>Cement!DT5</f>
        <v>0</v>
      </c>
      <c r="DT5" s="70">
        <f>Cement!DU5</f>
        <v>0</v>
      </c>
      <c r="DU5" s="70">
        <f>Cement!DV5</f>
        <v>0</v>
      </c>
      <c r="DV5" s="70">
        <f>Cement!DW5</f>
        <v>0</v>
      </c>
      <c r="DW5" s="68">
        <f>Cement!DX5</f>
        <v>0</v>
      </c>
      <c r="DX5" s="80">
        <f>Cement!DY5</f>
        <v>0</v>
      </c>
      <c r="DY5" s="70">
        <f>Cement!DZ5</f>
        <v>0</v>
      </c>
      <c r="DZ5" s="70">
        <f>Cement!EA5</f>
        <v>0</v>
      </c>
      <c r="EA5" s="68">
        <f>Cement!EB5</f>
        <v>0</v>
      </c>
      <c r="EB5" s="68">
        <f>Cement!EC5</f>
        <v>0</v>
      </c>
      <c r="EC5" s="68">
        <f>Cement!ED5</f>
        <v>0</v>
      </c>
      <c r="ED5" s="288">
        <f>Cement!EE5</f>
        <v>0</v>
      </c>
      <c r="EE5" s="288">
        <f>Cement!EF5</f>
        <v>0</v>
      </c>
      <c r="EF5" s="288">
        <f>Cement!EG5</f>
        <v>0</v>
      </c>
      <c r="EG5" s="288">
        <f>Cement!EH5</f>
        <v>0</v>
      </c>
      <c r="EH5" s="288">
        <f>Cement!EI5</f>
        <v>0</v>
      </c>
      <c r="EI5" s="288">
        <f>Cement!EJ5</f>
        <v>0</v>
      </c>
      <c r="EJ5" s="288">
        <f>Cement!EK5</f>
        <v>0</v>
      </c>
      <c r="EK5" s="288">
        <f>Cement!EL5</f>
        <v>0</v>
      </c>
      <c r="EL5" s="288">
        <f>Cement!EM5</f>
        <v>0</v>
      </c>
      <c r="EM5" s="68">
        <f>Cement!EN5</f>
        <v>0</v>
      </c>
      <c r="EN5" s="288">
        <f>Cement!EO5</f>
        <v>0</v>
      </c>
      <c r="EO5" s="288">
        <f>Cement!EP5</f>
        <v>0</v>
      </c>
      <c r="EP5" s="288">
        <f>Cement!EQ5</f>
        <v>0</v>
      </c>
      <c r="EQ5"/>
    </row>
    <row r="6" spans="1:147" s="102" customFormat="1" ht="20" customHeight="1">
      <c r="A6" s="315"/>
      <c r="B6" s="315"/>
      <c r="C6" s="450"/>
      <c r="D6" s="315"/>
      <c r="E6" s="315"/>
      <c r="F6" s="315"/>
      <c r="G6" s="1373"/>
      <c r="H6" s="1373"/>
      <c r="I6" s="1373"/>
      <c r="J6" s="1373"/>
      <c r="K6" s="1314"/>
      <c r="L6" s="315"/>
      <c r="M6" s="315"/>
      <c r="N6" s="315"/>
      <c r="O6" s="451"/>
      <c r="P6" s="451"/>
      <c r="Q6" s="314"/>
      <c r="R6" s="315"/>
      <c r="S6" s="316"/>
      <c r="T6" s="317"/>
      <c r="U6" s="317"/>
      <c r="V6" s="462"/>
      <c r="W6" s="319"/>
      <c r="X6" s="463"/>
      <c r="Y6" s="463"/>
      <c r="Z6" s="463"/>
      <c r="AA6" s="318"/>
      <c r="AB6" s="318"/>
      <c r="AC6" s="318"/>
      <c r="AD6" s="318"/>
      <c r="AE6" s="318"/>
      <c r="AF6" s="318"/>
      <c r="AG6" s="318"/>
      <c r="AH6" s="318"/>
      <c r="AI6" s="318"/>
      <c r="AJ6" s="700"/>
      <c r="AK6" s="701"/>
      <c r="AL6" s="700"/>
      <c r="AM6" s="700"/>
      <c r="AN6" s="700"/>
      <c r="AO6" s="700"/>
      <c r="AP6" s="318"/>
      <c r="AQ6" s="696"/>
      <c r="AR6" s="702"/>
      <c r="AS6" s="320"/>
      <c r="AT6" s="452"/>
      <c r="AU6" s="315"/>
      <c r="AV6" s="315"/>
      <c r="AW6" s="1417"/>
      <c r="AX6" s="1417"/>
      <c r="AY6" s="317"/>
      <c r="AZ6" s="315"/>
      <c r="BA6" s="315"/>
      <c r="BB6" s="315"/>
      <c r="BC6" s="454"/>
      <c r="BD6" s="315"/>
      <c r="BE6" s="315"/>
      <c r="BF6" s="315"/>
      <c r="BG6" s="315"/>
      <c r="BH6" s="453"/>
      <c r="BI6" s="453"/>
      <c r="BJ6" s="453"/>
      <c r="BK6" s="317"/>
      <c r="BL6" s="453"/>
      <c r="BM6" s="453"/>
      <c r="BN6" s="454"/>
      <c r="BO6" s="699"/>
      <c r="BP6" s="840"/>
      <c r="BQ6" s="698"/>
      <c r="BR6" s="698"/>
      <c r="BS6" s="698"/>
      <c r="BT6" s="316"/>
      <c r="BU6" s="316"/>
      <c r="BV6" s="456"/>
      <c r="BW6" s="457"/>
      <c r="BX6" s="457"/>
      <c r="BY6" s="455"/>
      <c r="BZ6" s="455"/>
      <c r="CA6" s="455"/>
      <c r="CB6" s="455"/>
      <c r="CC6" s="455"/>
      <c r="CD6" s="457"/>
      <c r="CE6" s="457"/>
      <c r="CF6" s="458"/>
      <c r="CG6" s="459"/>
      <c r="CH6" s="460"/>
      <c r="CI6" s="455"/>
      <c r="CJ6" s="455"/>
      <c r="CK6" s="698"/>
      <c r="CL6" s="698"/>
      <c r="CM6" s="455"/>
      <c r="CN6" s="698"/>
      <c r="CO6" s="698"/>
      <c r="CP6" s="698"/>
      <c r="CQ6" s="455"/>
      <c r="CR6" s="455"/>
      <c r="CS6" s="697"/>
      <c r="CT6" s="696"/>
      <c r="CU6" s="692"/>
      <c r="CV6" s="317"/>
      <c r="CW6" s="695"/>
      <c r="CX6" s="695"/>
      <c r="CY6" s="696"/>
      <c r="CZ6" s="317"/>
      <c r="DA6" s="317"/>
      <c r="DB6" s="317"/>
      <c r="DC6" s="317"/>
      <c r="DD6" s="317"/>
      <c r="DE6" s="696"/>
      <c r="DF6" s="696"/>
      <c r="DG6" s="696"/>
      <c r="DH6" s="696"/>
      <c r="DI6" s="317"/>
      <c r="DJ6" s="317"/>
      <c r="DK6" s="696"/>
      <c r="DL6" s="696"/>
      <c r="DM6" s="696"/>
      <c r="DN6" s="696"/>
      <c r="DO6" s="696"/>
      <c r="DP6" s="696"/>
      <c r="DQ6" s="317"/>
      <c r="DR6" s="317"/>
      <c r="DS6" s="317"/>
      <c r="DT6" s="317"/>
      <c r="DU6" s="317"/>
      <c r="DV6" s="317"/>
      <c r="DW6" s="464"/>
      <c r="DX6" s="461"/>
      <c r="DY6" s="696"/>
      <c r="DZ6" s="696"/>
      <c r="EA6" s="702"/>
      <c r="EB6" s="703"/>
      <c r="EC6" s="703"/>
      <c r="ED6" s="704"/>
      <c r="EE6" s="802"/>
      <c r="EF6" s="802"/>
      <c r="EG6" s="802"/>
      <c r="EH6" s="802"/>
      <c r="EI6" s="802"/>
      <c r="EJ6" s="802"/>
      <c r="EK6" s="802"/>
      <c r="EL6" s="802"/>
      <c r="EM6" s="703"/>
      <c r="EN6" s="704"/>
      <c r="EO6" s="705"/>
      <c r="EP6" s="705"/>
    </row>
    <row r="7" spans="1:147" ht="35" customHeight="1">
      <c r="A7" s="100">
        <f>MOPFRA!A7</f>
        <v>48.716544797266323</v>
      </c>
      <c r="B7" s="99">
        <f>MOPFRA!B7</f>
        <v>38.716544797266323</v>
      </c>
      <c r="C7" s="1585">
        <f ca="1">MOPFRA!C7</f>
        <v>0.22868086834527063</v>
      </c>
      <c r="D7" s="1651">
        <f>MOPFRA!D7</f>
        <v>1.9271081268398715</v>
      </c>
      <c r="E7" s="1414">
        <f>MOPFRA!E7</f>
        <v>41.2</v>
      </c>
      <c r="F7" s="1415">
        <f>MOPFRA!F7</f>
        <v>39.800000000000004</v>
      </c>
      <c r="G7" s="2124">
        <f>MOPFRA!G7</f>
        <v>14.207893686721052</v>
      </c>
      <c r="H7" s="2379">
        <f>MOPFRA!H7</f>
        <v>1.0879478827361564</v>
      </c>
      <c r="I7" s="2379">
        <f>MOPFRA!I7</f>
        <v>-0.1614487415592388</v>
      </c>
      <c r="J7" s="2379">
        <f>MOPFRA!J7</f>
        <v>0.2417096536477524</v>
      </c>
      <c r="K7" s="1942">
        <f>MOPFRA!K7</f>
        <v>20</v>
      </c>
      <c r="L7" s="1587">
        <f>MOPFRA!L7</f>
        <v>1</v>
      </c>
      <c r="M7" s="1582" t="str">
        <f>MOPFRA!M7</f>
        <v>BB</v>
      </c>
      <c r="N7" s="1582" t="str">
        <f>MOPFRA!N7</f>
        <v>BB</v>
      </c>
      <c r="O7" s="179" t="str">
        <f>MOPFRA!O7</f>
        <v/>
      </c>
      <c r="P7" s="856" t="str">
        <f>MOPFRA!P7</f>
        <v>M</v>
      </c>
      <c r="Q7" s="1975" t="str">
        <f>MOPFRA!Q7</f>
        <v>گروه‌صنعتي‌سپاهان‌</v>
      </c>
      <c r="R7" s="1975" t="str">
        <f>MOPFRA!R7</f>
        <v>فسپا</v>
      </c>
      <c r="S7" s="1572">
        <f>MOPFRA!S7</f>
        <v>12</v>
      </c>
      <c r="T7" s="66">
        <f>MOPFRA!T7</f>
        <v>5800</v>
      </c>
      <c r="U7" s="258">
        <f>MOPFRA!U7</f>
        <v>4640</v>
      </c>
      <c r="V7" s="338">
        <f>MOPFRA!V7</f>
        <v>2.88</v>
      </c>
      <c r="W7" s="258">
        <f>MOPFRA!W7</f>
        <v>4640</v>
      </c>
      <c r="X7" s="337">
        <f>MOPFRA!X7</f>
        <v>2.88</v>
      </c>
      <c r="Y7" s="1708">
        <f>MOPFRA!Y7</f>
        <v>7161</v>
      </c>
      <c r="Z7" s="661" t="str">
        <f>MOPFRA!Z7</f>
        <v/>
      </c>
      <c r="AA7" s="2382">
        <f>MOPFRA!AA7</f>
        <v>0.29233511586452765</v>
      </c>
      <c r="AB7" s="511">
        <f ca="1">MOPFRA!AB7</f>
        <v>3.9452054794520547E-2</v>
      </c>
      <c r="AC7" s="823">
        <f ca="1">MOPFRA!AC7</f>
        <v>-158.05191316875445</v>
      </c>
      <c r="AD7" s="1150">
        <f>MOPFRA!AD7</f>
        <v>0.29233511586452765</v>
      </c>
      <c r="AE7" s="1150">
        <f>MOPFRA!AE7</f>
        <v>1.1722846441947565</v>
      </c>
      <c r="AF7" s="1150">
        <f>MOPFRA!AF7</f>
        <v>0.69789227166276346</v>
      </c>
      <c r="AG7" s="1150">
        <f>MOPFRA!AG7</f>
        <v>1.0458553791887126</v>
      </c>
      <c r="AH7" s="1150">
        <f>MOPFRA!AH7</f>
        <v>1.9160382101558573</v>
      </c>
      <c r="AI7" s="275">
        <f ca="1">MOPFRA!AI7</f>
        <v>349</v>
      </c>
      <c r="AJ7" s="1120">
        <f>MOPFRA!AJ7</f>
        <v>46223</v>
      </c>
      <c r="AK7" s="1693">
        <f>MOPFRA!AK7</f>
        <v>46341</v>
      </c>
      <c r="AL7" s="1345">
        <f>MOPFRA!AL7</f>
        <v>12500000000</v>
      </c>
      <c r="AM7" s="29">
        <f>MOPFRA!AM7</f>
        <v>0</v>
      </c>
      <c r="AN7" s="29">
        <f>MOPFRA!AN7</f>
        <v>0</v>
      </c>
      <c r="AO7" s="685">
        <f>MOPFRA!AO7</f>
        <v>0.31730000000000003</v>
      </c>
      <c r="AP7" s="174">
        <f>MOPFRA!AP7</f>
        <v>0</v>
      </c>
      <c r="AQ7" s="1416">
        <f>MOPFRA!AQ7</f>
        <v>4747</v>
      </c>
      <c r="AR7" s="1416">
        <f>MOPFRA!AR7</f>
        <v>1034</v>
      </c>
      <c r="AS7" s="766">
        <f>MOPFRA!AS7</f>
        <v>7835.2442996742675</v>
      </c>
      <c r="AT7" s="984">
        <f>MOPFRA!AT7</f>
        <v>4</v>
      </c>
      <c r="AU7" s="376">
        <f>MOPFRA!AU7</f>
        <v>0.73049413408053476</v>
      </c>
      <c r="AV7" s="99">
        <f>MOPFRA!AV7</f>
        <v>0.10055638227274954</v>
      </c>
      <c r="AW7" s="2380">
        <f>MOPFRA!AW7</f>
        <v>1366</v>
      </c>
      <c r="AX7" s="2380">
        <f>MOPFRA!AX7</f>
        <v>703</v>
      </c>
      <c r="AY7" s="2374">
        <f>MOPFRA!AY7</f>
        <v>0.51500000000000001</v>
      </c>
      <c r="AZ7" s="2370">
        <f>MOPFRA!AZ7</f>
        <v>0.10299999999999999</v>
      </c>
      <c r="BA7" s="2372">
        <f>MOPFRA!BA7</f>
        <v>0.218</v>
      </c>
      <c r="BB7" s="2381">
        <f>MOPFRA!BB7</f>
        <v>0.184</v>
      </c>
      <c r="BC7" s="2375">
        <f>MOPFRA!BC7</f>
        <v>10</v>
      </c>
      <c r="BD7" s="2376">
        <f>MOPFRA!BD7</f>
        <v>0.44800000000000001</v>
      </c>
      <c r="BE7" s="2370">
        <f>MOPFRA!BE7</f>
        <v>0.05</v>
      </c>
      <c r="BF7" s="2371">
        <f>MOPFRA!BF7</f>
        <v>0.183</v>
      </c>
      <c r="BG7" s="1423">
        <f>MOPFRA!BG7</f>
        <v>0.14099999999999999</v>
      </c>
      <c r="BH7" s="306">
        <f>MOPFRA!BH7</f>
        <v>6.7000000000000004E-2</v>
      </c>
      <c r="BI7" s="1861">
        <f>MOPFRA!BI7</f>
        <v>366.08800000000002</v>
      </c>
      <c r="BJ7" s="306">
        <f>MOPFRA!BJ7</f>
        <v>5.2999999999999992E-2</v>
      </c>
      <c r="BK7" s="99">
        <f>MOPFRA!BK7</f>
        <v>0</v>
      </c>
      <c r="BL7" s="306">
        <f>MOPFRA!BL7</f>
        <v>0.6505675794552912</v>
      </c>
      <c r="BM7" s="99">
        <f>MOPFRA!BM7</f>
        <v>10</v>
      </c>
      <c r="BN7" s="15">
        <f>MOPFRA!BN7</f>
        <v>0</v>
      </c>
      <c r="BO7" s="1803">
        <f>MOPFRA!BO7</f>
        <v>3</v>
      </c>
      <c r="BP7" s="842">
        <f>MOPFRA!BP7</f>
        <v>1</v>
      </c>
      <c r="BQ7" s="16">
        <f>MOPFRA!BQ7</f>
        <v>502</v>
      </c>
      <c r="BR7" s="16">
        <f>MOPFRA!BR7</f>
        <v>0</v>
      </c>
      <c r="BS7" s="16">
        <f>MOPFRA!BS7</f>
        <v>0</v>
      </c>
      <c r="BT7" s="1253">
        <f>MOPFRA!BT7</f>
        <v>2876.1515570032575</v>
      </c>
      <c r="BU7" s="1246">
        <f>MOPFRA!BU7</f>
        <v>2026.4</v>
      </c>
      <c r="BV7" s="406">
        <f>MOPFRA!BV7</f>
        <v>0</v>
      </c>
      <c r="BW7" s="407">
        <f>MOPFRA!BW7</f>
        <v>1.8928918731601283</v>
      </c>
      <c r="BX7" s="99">
        <f>MOPFRA!BX7</f>
        <v>10</v>
      </c>
      <c r="BY7" s="18">
        <f>MOPFRA!BY7</f>
        <v>3064.0947231270361</v>
      </c>
      <c r="BZ7" s="18">
        <f>MOPFRA!BZ7</f>
        <v>1518.324607329843</v>
      </c>
      <c r="CA7" s="18">
        <f>MOPFRA!CA7</f>
        <v>4035.150814332248</v>
      </c>
      <c r="CB7" s="1710">
        <f>MOPFRA!CB7</f>
        <v>1.774654859135675</v>
      </c>
      <c r="CC7" s="266">
        <f>MOPFRA!CC7</f>
        <v>1216</v>
      </c>
      <c r="CD7" s="267">
        <f>MOPFRA!CD7</f>
        <v>3.82</v>
      </c>
      <c r="CE7" s="99">
        <f>MOPFRA!CE7</f>
        <v>3.5400000000000005</v>
      </c>
      <c r="CF7" s="17">
        <f>MOPFRA!CF7</f>
        <v>0.50487995306529632</v>
      </c>
      <c r="CG7" s="99">
        <f>MOPFRA!CG7</f>
        <v>5.9804801877388147</v>
      </c>
      <c r="CH7" s="494">
        <f>MOPFRA!CH7</f>
        <v>0.49056911993708552</v>
      </c>
      <c r="CI7" s="99">
        <f>MOPFRA!CI7</f>
        <v>1.3585367990562824</v>
      </c>
      <c r="CJ7" s="20">
        <f>MOPFRA!CJ7</f>
        <v>0</v>
      </c>
      <c r="CK7" s="691">
        <f>MOPFRA!CK7</f>
        <v>1250</v>
      </c>
      <c r="CL7" s="419">
        <f>MOPFRA!CL7</f>
        <v>481</v>
      </c>
      <c r="CM7" s="468">
        <f>MOPFRA!CM7</f>
        <v>85</v>
      </c>
      <c r="CN7" s="843">
        <f>MOPFRA!CN7</f>
        <v>15</v>
      </c>
      <c r="CO7" s="21">
        <f>MOPFRA!CO7</f>
        <v>627</v>
      </c>
      <c r="CP7" s="21">
        <f>MOPFRA!CP7</f>
        <v>20</v>
      </c>
      <c r="CQ7" s="469">
        <f>MOPFRA!CQ7</f>
        <v>633.25</v>
      </c>
      <c r="CR7" s="1239">
        <f>MOPFRA!CR7</f>
        <v>1190.0631487513572</v>
      </c>
      <c r="CS7" s="21">
        <f>MOPFRA!CS7</f>
        <v>1108</v>
      </c>
      <c r="CT7" s="16">
        <f>MOPFRA!CT7</f>
        <v>-4</v>
      </c>
      <c r="CU7" s="154" t="str">
        <f>MOPFRA!CU7</f>
        <v/>
      </c>
      <c r="CV7" s="693">
        <f>MOPFRA!CV7</f>
        <v>2460</v>
      </c>
      <c r="CW7" s="49">
        <f>MOPFRA!CW7</f>
        <v>1378</v>
      </c>
      <c r="CX7" s="21">
        <f>MOPFRA!CX7</f>
        <v>304</v>
      </c>
      <c r="CY7" s="49">
        <f>MOPFRA!CY7</f>
        <v>169</v>
      </c>
      <c r="CZ7" s="53">
        <f>MOPFRA!CZ7</f>
        <v>1547</v>
      </c>
      <c r="DA7" s="1058">
        <f>MOPFRA!DA7</f>
        <v>2.7474600870827284</v>
      </c>
      <c r="DB7" s="99">
        <f>MOPFRA!DB7</f>
        <v>6</v>
      </c>
      <c r="DC7" s="53">
        <f>MOPFRA!DC7</f>
        <v>4007</v>
      </c>
      <c r="DD7" s="645">
        <f>MOPFRA!DD7</f>
        <v>0.38607436985275767</v>
      </c>
      <c r="DE7" s="13">
        <f>MOPFRA!DE7</f>
        <v>221</v>
      </c>
      <c r="DF7" s="24">
        <f>MOPFRA!DF7</f>
        <v>106</v>
      </c>
      <c r="DG7" s="24">
        <f>MOPFRA!DG7</f>
        <v>103</v>
      </c>
      <c r="DH7" s="51">
        <f>MOPFRA!DH7</f>
        <v>3786</v>
      </c>
      <c r="DI7" s="8">
        <f>MOPFRA!DI7</f>
        <v>2408</v>
      </c>
      <c r="DJ7" s="644">
        <f>MOPFRA!DJ7</f>
        <v>3.2538389948813404</v>
      </c>
      <c r="DK7" s="22">
        <f>MOPFRA!DK7</f>
        <v>2278</v>
      </c>
      <c r="DL7" s="22">
        <f>MOPFRA!DL7</f>
        <v>158</v>
      </c>
      <c r="DM7" s="22">
        <f>MOPFRA!DM7</f>
        <v>999</v>
      </c>
      <c r="DN7" s="138">
        <f>MOPFRA!DN7</f>
        <v>0.38607436985275767</v>
      </c>
      <c r="DO7" s="99">
        <f>MOPFRA!DO7</f>
        <v>1.7369714281984772</v>
      </c>
      <c r="DP7" s="22">
        <f>MOPFRA!DP7</f>
        <v>28</v>
      </c>
      <c r="DQ7" s="8">
        <f>MOPFRA!DQ7</f>
        <v>323</v>
      </c>
      <c r="DR7" s="32">
        <f>MOPFRA!DR7</f>
        <v>-6.8398930473599545E-2</v>
      </c>
      <c r="DS7" s="99">
        <f>MOPFRA!DS7</f>
        <v>0</v>
      </c>
      <c r="DT7" s="8">
        <f>MOPFRA!DT7</f>
        <v>4426.24</v>
      </c>
      <c r="DU7" s="8">
        <f>MOPFRA!DU7</f>
        <v>7295.04</v>
      </c>
      <c r="DV7" s="235">
        <f>MOPFRA!DV7</f>
        <v>384.8</v>
      </c>
      <c r="DW7" s="8">
        <f>MOPFRA!DW7</f>
        <v>6053.0399999999991</v>
      </c>
      <c r="DX7" s="411">
        <f>MOPFRA!DX7</f>
        <v>118</v>
      </c>
      <c r="DY7" s="1532">
        <f>MOPFRA!DY7</f>
        <v>400</v>
      </c>
      <c r="DZ7" s="857">
        <f>MOPFRA!DZ7</f>
        <v>0.10025062656641603</v>
      </c>
      <c r="EA7" s="386">
        <f>MOPFRA!EA7</f>
        <v>0.28000000000000003</v>
      </c>
      <c r="EB7" s="504">
        <f>MOPFRA!EB7</f>
        <v>0</v>
      </c>
      <c r="EC7" s="510">
        <f>MOPFRA!EC7</f>
        <v>15300</v>
      </c>
      <c r="ED7" s="435">
        <f>MOPFRA!ED7</f>
        <v>1989</v>
      </c>
      <c r="EE7" s="510">
        <f>MOPFRA!EE7</f>
        <v>7270</v>
      </c>
      <c r="EF7" s="435">
        <f>MOPFRA!EF7</f>
        <v>2835</v>
      </c>
      <c r="EG7" s="510">
        <f>MOPFRA!EG7</f>
        <v>8760</v>
      </c>
      <c r="EH7" s="435">
        <f>MOPFRA!EH7</f>
        <v>3416</v>
      </c>
      <c r="EI7" s="510">
        <f>MOPFRA!EI7</f>
        <v>2738</v>
      </c>
      <c r="EJ7" s="435">
        <f>MOPFRA!EJ7</f>
        <v>2670</v>
      </c>
      <c r="EK7" s="510">
        <f>MOPFRA!EK7</f>
        <v>3590</v>
      </c>
      <c r="EL7" s="1606">
        <f>MOPFRA!EL7</f>
        <v>4488</v>
      </c>
      <c r="EM7" s="1685">
        <f>MOPFRA!EM7</f>
        <v>3590</v>
      </c>
      <c r="EN7" s="1686">
        <f>MOPFRA!EN7</f>
        <v>4488</v>
      </c>
      <c r="EO7" s="1609">
        <f>MOPFRA!EO7</f>
        <v>1.2564102564102564</v>
      </c>
      <c r="EP7" s="1648">
        <f>MOPFRA!EP7</f>
        <v>19</v>
      </c>
      <c r="EQ7"/>
    </row>
    <row r="8" spans="1:147" ht="35" customHeight="1">
      <c r="A8" s="100">
        <f>MOPFRA!A8</f>
        <v>40.089609914804811</v>
      </c>
      <c r="B8" s="99">
        <f>MOPFRA!B8</f>
        <v>30.089609914804814</v>
      </c>
      <c r="C8" s="1585">
        <f ca="1">MOPFRA!C8</f>
        <v>0.25905805870672405</v>
      </c>
      <c r="D8" s="1651">
        <f>MOPFRA!D8</f>
        <v>1.5725873191781234</v>
      </c>
      <c r="E8" s="1414">
        <f>MOPFRA!E8</f>
        <v>30.599999999999998</v>
      </c>
      <c r="F8" s="1415">
        <f>MOPFRA!F8</f>
        <v>23.6</v>
      </c>
      <c r="G8" s="2124">
        <f>MOPFRA!G8</f>
        <v>3.5106252739744992</v>
      </c>
      <c r="H8" s="2379">
        <f>MOPFRA!H8</f>
        <v>0.97280593325092712</v>
      </c>
      <c r="I8" s="2379">
        <f>MOPFRA!I8</f>
        <v>0.14487966021708354</v>
      </c>
      <c r="J8" s="2379">
        <f>MOPFRA!J8</f>
        <v>0.74136848713119896</v>
      </c>
      <c r="K8" s="1942">
        <f>MOPFRA!K8</f>
        <v>23</v>
      </c>
      <c r="L8" s="1587">
        <f>MOPFRA!L8</f>
        <v>2</v>
      </c>
      <c r="M8" s="1582" t="str">
        <f>MOPFRA!M8</f>
        <v>BB</v>
      </c>
      <c r="N8" s="1582" t="str">
        <f>MOPFRA!N8</f>
        <v>BB</v>
      </c>
      <c r="O8" s="179" t="str">
        <f>MOPFRA!O8</f>
        <v/>
      </c>
      <c r="P8" s="856" t="str">
        <f>MOPFRA!P8</f>
        <v>PAB</v>
      </c>
      <c r="Q8" s="1571" t="str">
        <f>MOPFRA!Q8</f>
        <v>توليدات پتروشيمي قائد بصير</v>
      </c>
      <c r="R8" s="1571" t="str">
        <f>MOPFRA!R8</f>
        <v>شبصير</v>
      </c>
      <c r="S8" s="1572">
        <f>MOPFRA!S8</f>
        <v>12</v>
      </c>
      <c r="T8" s="66">
        <f>MOPFRA!T8</f>
        <v>11010</v>
      </c>
      <c r="U8" s="258">
        <f>MOPFRA!U8</f>
        <v>11010</v>
      </c>
      <c r="V8" s="338">
        <f>MOPFRA!V8</f>
        <v>2.99</v>
      </c>
      <c r="W8" s="258">
        <f>MOPFRA!W8</f>
        <v>11010</v>
      </c>
      <c r="X8" s="337">
        <f>MOPFRA!X8</f>
        <v>2.99</v>
      </c>
      <c r="Y8" s="1708">
        <f>MOPFRA!Y8</f>
        <v>13443</v>
      </c>
      <c r="Z8" s="661" t="str">
        <f>MOPFRA!Z8</f>
        <v/>
      </c>
      <c r="AA8" s="2382">
        <f>MOPFRA!AA8</f>
        <v>5.3588516746411484E-2</v>
      </c>
      <c r="AB8" s="511">
        <f ca="1">MOPFRA!AB8</f>
        <v>9.3698630136986302E-2</v>
      </c>
      <c r="AC8" s="823">
        <f ca="1">MOPFRA!AC8</f>
        <v>10.555292997519688</v>
      </c>
      <c r="AD8" s="1150">
        <f>MOPFRA!AD8</f>
        <v>5.3588516746411484E-2</v>
      </c>
      <c r="AE8" s="1150">
        <f>MOPFRA!AE8</f>
        <v>0.22469410456062291</v>
      </c>
      <c r="AF8" s="1150">
        <f>MOPFRA!AF8</f>
        <v>0.82043650793650791</v>
      </c>
      <c r="AG8" s="1150">
        <f>MOPFRA!AG8</f>
        <v>0.31651321296185581</v>
      </c>
      <c r="AH8" s="1150">
        <f>MOPFRA!AH8</f>
        <v>0.84576697401508805</v>
      </c>
      <c r="AI8" s="275">
        <f ca="1">MOPFRA!AI8</f>
        <v>327</v>
      </c>
      <c r="AJ8" s="1120">
        <f>MOPFRA!AJ8</f>
        <v>46201</v>
      </c>
      <c r="AK8" s="1693">
        <f>MOPFRA!AK8</f>
        <v>46223</v>
      </c>
      <c r="AL8" s="1345">
        <f>MOPFRA!AL8</f>
        <v>10000000000</v>
      </c>
      <c r="AM8" s="29">
        <f>MOPFRA!AM8</f>
        <v>0</v>
      </c>
      <c r="AN8" s="29">
        <f>MOPFRA!AN8</f>
        <v>0</v>
      </c>
      <c r="AO8" s="685">
        <f>MOPFRA!AO8</f>
        <v>0.18959999999999999</v>
      </c>
      <c r="AP8" s="174">
        <f>MOPFRA!AP8</f>
        <v>0</v>
      </c>
      <c r="AQ8" s="1416">
        <f>MOPFRA!AQ8</f>
        <v>6843</v>
      </c>
      <c r="AR8" s="1416">
        <f>MOPFRA!AR8</f>
        <v>2746</v>
      </c>
      <c r="AS8" s="766">
        <f>MOPFRA!AS8</f>
        <v>11248.205500618047</v>
      </c>
      <c r="AT8" s="586">
        <f>MOPFRA!AT8</f>
        <v>4</v>
      </c>
      <c r="AU8" s="376">
        <f>MOPFRA!AU8</f>
        <v>0.97882279972525765</v>
      </c>
      <c r="AV8" s="99">
        <f>MOPFRA!AV8</f>
        <v>0</v>
      </c>
      <c r="AW8" s="2380">
        <f>MOPFRA!AW8</f>
        <v>2426</v>
      </c>
      <c r="AX8" s="2380">
        <f>MOPFRA!AX8</f>
        <v>1505</v>
      </c>
      <c r="AY8" s="2374">
        <f>MOPFRA!AY8</f>
        <v>0.62</v>
      </c>
      <c r="AZ8" s="2370">
        <f>MOPFRA!AZ8</f>
        <v>0.314</v>
      </c>
      <c r="BA8" s="2372">
        <f>MOPFRA!BA8</f>
        <v>0.40100000000000002</v>
      </c>
      <c r="BB8" s="2373">
        <f>MOPFRA!BB8</f>
        <v>0.35899999999999999</v>
      </c>
      <c r="BC8" s="2375">
        <f>MOPFRA!BC8</f>
        <v>10</v>
      </c>
      <c r="BD8" s="2376">
        <f>MOPFRA!BD8</f>
        <v>0.45500000000000002</v>
      </c>
      <c r="BE8" s="2370">
        <f>MOPFRA!BE8</f>
        <v>0.219</v>
      </c>
      <c r="BF8" s="2371">
        <f>MOPFRA!BF8</f>
        <v>0.28499999999999998</v>
      </c>
      <c r="BG8" s="1422">
        <f>MOPFRA!BG8</f>
        <v>0.27200000000000002</v>
      </c>
      <c r="BH8" s="306">
        <f>MOPFRA!BH8</f>
        <v>0.16499999999999998</v>
      </c>
      <c r="BI8" s="1861">
        <f>MOPFRA!BI8</f>
        <v>1601.1599999999999</v>
      </c>
      <c r="BJ8" s="306">
        <f>MOPFRA!BJ8</f>
        <v>9.5000000000000001E-2</v>
      </c>
      <c r="BK8" s="99">
        <f>MOPFRA!BK8</f>
        <v>0</v>
      </c>
      <c r="BL8" s="306">
        <f>MOPFRA!BL8</f>
        <v>0.6437535438576717</v>
      </c>
      <c r="BM8" s="99">
        <f>MOPFRA!BM8</f>
        <v>10</v>
      </c>
      <c r="BN8" s="15">
        <f>MOPFRA!BN8</f>
        <v>0</v>
      </c>
      <c r="BO8" s="1803">
        <f>MOPFRA!BO8</f>
        <v>3</v>
      </c>
      <c r="BP8" s="842">
        <f>MOPFRA!BP8</f>
        <v>1</v>
      </c>
      <c r="BQ8" s="16">
        <f>MOPFRA!BQ8</f>
        <v>1157</v>
      </c>
      <c r="BR8" s="16">
        <f>MOPFRA!BR8</f>
        <v>0</v>
      </c>
      <c r="BS8" s="16">
        <f>MOPFRA!BS8</f>
        <v>0</v>
      </c>
      <c r="BT8" s="1253">
        <f>MOPFRA!BT8</f>
        <v>5169.9335027812112</v>
      </c>
      <c r="BU8" s="1246">
        <f>MOPFRA!BU8</f>
        <v>4628</v>
      </c>
      <c r="BV8" s="406">
        <f>MOPFRA!BV8</f>
        <v>0</v>
      </c>
      <c r="BW8" s="407">
        <f>MOPFRA!BW8</f>
        <v>2.2474126808218764</v>
      </c>
      <c r="BX8" s="99">
        <f>MOPFRA!BX8</f>
        <v>10</v>
      </c>
      <c r="BY8" s="18">
        <f>MOPFRA!BY8</f>
        <v>4898.9667513906061</v>
      </c>
      <c r="BZ8" s="18">
        <f>MOPFRA!BZ8</f>
        <v>2882.1989528795812</v>
      </c>
      <c r="CA8" s="18">
        <f>MOPFRA!CA8</f>
        <v>6973.8874103831895</v>
      </c>
      <c r="CB8" s="1710">
        <f>MOPFRA!CB8</f>
        <v>1.9276193045481582</v>
      </c>
      <c r="CC8" s="266">
        <f>MOPFRA!CC8</f>
        <v>2884</v>
      </c>
      <c r="CD8" s="267">
        <f>MOPFRA!CD8</f>
        <v>3.82</v>
      </c>
      <c r="CE8" s="99">
        <f>MOPFRA!CE8</f>
        <v>3.5400000000000005</v>
      </c>
      <c r="CF8" s="17">
        <f>MOPFRA!CF8</f>
        <v>1.0024562829715018</v>
      </c>
      <c r="CG8" s="99">
        <f>MOPFRA!CG8</f>
        <v>3.9901748681139928</v>
      </c>
      <c r="CH8" s="494">
        <f>MOPFRA!CH8</f>
        <v>0.52083422830008574</v>
      </c>
      <c r="CI8" s="99">
        <f>MOPFRA!CI8</f>
        <v>1.8125134245012857</v>
      </c>
      <c r="CJ8" s="20">
        <f>MOPFRA!CJ8</f>
        <v>0</v>
      </c>
      <c r="CK8" s="691">
        <f>MOPFRA!CK8</f>
        <v>1000</v>
      </c>
      <c r="CL8" s="419">
        <f>MOPFRA!CL8</f>
        <v>420</v>
      </c>
      <c r="CM8" s="468">
        <f>MOPFRA!CM8</f>
        <v>52</v>
      </c>
      <c r="CN8" s="843">
        <f>MOPFRA!CN8</f>
        <v>52</v>
      </c>
      <c r="CO8" s="21">
        <f>MOPFRA!CO8</f>
        <v>1157</v>
      </c>
      <c r="CP8" s="21">
        <f>MOPFRA!CP8</f>
        <v>0</v>
      </c>
      <c r="CQ8" s="469">
        <f>MOPFRA!CQ8</f>
        <v>1157</v>
      </c>
      <c r="CR8" s="1239">
        <f>MOPFRA!CR8</f>
        <v>1705.9778342604036</v>
      </c>
      <c r="CS8" s="21">
        <f>MOPFRA!CS8</f>
        <v>1577</v>
      </c>
      <c r="CT8" s="16">
        <f>MOPFRA!CT8</f>
        <v>-39</v>
      </c>
      <c r="CU8" s="154" t="str">
        <f>MOPFRA!CU8</f>
        <v/>
      </c>
      <c r="CV8" s="693">
        <f>MOPFRA!CV8</f>
        <v>2656</v>
      </c>
      <c r="CW8" s="49">
        <f>MOPFRA!CW8</f>
        <v>4759</v>
      </c>
      <c r="CX8" s="21">
        <f>MOPFRA!CX8</f>
        <v>1692</v>
      </c>
      <c r="CY8" s="49">
        <f>MOPFRA!CY8</f>
        <v>152</v>
      </c>
      <c r="CZ8" s="53">
        <f>MOPFRA!CZ8</f>
        <v>4911</v>
      </c>
      <c r="DA8" s="1058">
        <f>MOPFRA!DA8</f>
        <v>1.4183652027736919</v>
      </c>
      <c r="DB8" s="99">
        <f>MOPFRA!DB8</f>
        <v>1.7469216221895358</v>
      </c>
      <c r="DC8" s="53">
        <f>MOPFRA!DC8</f>
        <v>7567</v>
      </c>
      <c r="DD8" s="645">
        <f>MOPFRA!DD8</f>
        <v>0.64900224659706618</v>
      </c>
      <c r="DE8" s="13">
        <f>MOPFRA!DE8</f>
        <v>817</v>
      </c>
      <c r="DF8" s="24">
        <f>MOPFRA!DF8</f>
        <v>550</v>
      </c>
      <c r="DG8" s="24">
        <f>MOPFRA!DG8</f>
        <v>153</v>
      </c>
      <c r="DH8" s="51">
        <f>MOPFRA!DH8</f>
        <v>6750</v>
      </c>
      <c r="DI8" s="8">
        <f>MOPFRA!DI8</f>
        <v>1991</v>
      </c>
      <c r="DJ8" s="644">
        <f>MOPFRA!DJ8</f>
        <v>5.6495256155791296</v>
      </c>
      <c r="DK8" s="22">
        <f>MOPFRA!DK8</f>
        <v>2188</v>
      </c>
      <c r="DL8" s="22">
        <f>MOPFRA!DL8</f>
        <v>2458</v>
      </c>
      <c r="DM8" s="22">
        <f>MOPFRA!DM8</f>
        <v>1577</v>
      </c>
      <c r="DN8" s="138">
        <f>MOPFRA!DN8</f>
        <v>0.64900224659706618</v>
      </c>
      <c r="DO8" s="99">
        <f>MOPFRA!DO8</f>
        <v>0</v>
      </c>
      <c r="DP8" s="22">
        <f>MOPFRA!DP8</f>
        <v>20</v>
      </c>
      <c r="DQ8" s="8">
        <f>MOPFRA!DQ8</f>
        <v>507</v>
      </c>
      <c r="DR8" s="32">
        <f>MOPFRA!DR8</f>
        <v>-0.23975150466447376</v>
      </c>
      <c r="DS8" s="99">
        <f>MOPFRA!DS8</f>
        <v>-1</v>
      </c>
      <c r="DT8" s="8">
        <f>MOPFRA!DT8</f>
        <v>10497.76</v>
      </c>
      <c r="DU8" s="8">
        <f>MOPFRA!DU8</f>
        <v>16660.8</v>
      </c>
      <c r="DV8" s="235">
        <f>MOPFRA!DV8</f>
        <v>420</v>
      </c>
      <c r="DW8" s="8">
        <f>MOPFRA!DW8</f>
        <v>13789.279999999999</v>
      </c>
      <c r="DX8" s="411">
        <f>MOPFRA!DX8</f>
        <v>22</v>
      </c>
      <c r="DY8" s="1532">
        <f>MOPFRA!DY8</f>
        <v>1600</v>
      </c>
      <c r="DZ8" s="857">
        <f>MOPFRA!DZ8</f>
        <v>0.13278008298755187</v>
      </c>
      <c r="EA8" s="386">
        <f>MOPFRA!EA8</f>
        <v>0.53800000000000003</v>
      </c>
      <c r="EB8" s="504">
        <f>MOPFRA!EB8</f>
        <v>0</v>
      </c>
      <c r="EC8" s="510">
        <f>MOPFRA!EC8</f>
        <v>119300</v>
      </c>
      <c r="ED8" s="435">
        <f>MOPFRA!ED8</f>
        <v>5965</v>
      </c>
      <c r="EE8" s="510">
        <f>MOPFRA!EE8</f>
        <v>33452</v>
      </c>
      <c r="EF8" s="435">
        <f>MOPFRA!EF8</f>
        <v>8363</v>
      </c>
      <c r="EG8" s="510">
        <f>MOPFRA!EG8</f>
        <v>13440</v>
      </c>
      <c r="EH8" s="435">
        <f>MOPFRA!EH8</f>
        <v>6048</v>
      </c>
      <c r="EI8" s="510">
        <f>MOPFRA!EI8</f>
        <v>13830</v>
      </c>
      <c r="EJ8" s="435">
        <f>MOPFRA!EJ8</f>
        <v>8990</v>
      </c>
      <c r="EK8" s="510">
        <f>MOPFRA!EK8</f>
        <v>10450</v>
      </c>
      <c r="EL8" s="1606">
        <f>MOPFRA!EL8</f>
        <v>10450</v>
      </c>
      <c r="EM8" s="1684">
        <f>MOPFRA!EM8</f>
        <v>10450</v>
      </c>
      <c r="EN8" s="1608">
        <f>MOPFRA!EN8</f>
        <v>10450</v>
      </c>
      <c r="EO8" s="1609">
        <f>MOPFRA!EO8</f>
        <v>0.75188600167644593</v>
      </c>
      <c r="EP8" s="1648">
        <f>MOPFRA!EP8</f>
        <v>25</v>
      </c>
      <c r="EQ8"/>
    </row>
    <row r="9" spans="1:147" ht="35" customHeight="1">
      <c r="A9" s="100">
        <f>MOPFRA!A9</f>
        <v>34.139725881635457</v>
      </c>
      <c r="B9" s="99">
        <f>MOPFRA!B9</f>
        <v>27.339725881635459</v>
      </c>
      <c r="C9" s="1585">
        <f ca="1">MOPFRA!C9</f>
        <v>0.19981205591926948</v>
      </c>
      <c r="D9" s="1651">
        <f>MOPFRA!D9</f>
        <v>2.3135843858887504</v>
      </c>
      <c r="E9" s="1414">
        <f>MOPFRA!E9</f>
        <v>3.6000000000000005</v>
      </c>
      <c r="F9" s="1415">
        <f>MOPFRA!F9</f>
        <v>6.8000000000000007</v>
      </c>
      <c r="G9" s="2124">
        <f>MOPFRA!G9</f>
        <v>51.283642346555382</v>
      </c>
      <c r="H9" s="2379">
        <f>MOPFRA!H9</f>
        <v>1.7849692202462379</v>
      </c>
      <c r="I9" s="2379">
        <f>MOPFRA!I9</f>
        <v>0.40550127574833528</v>
      </c>
      <c r="J9" s="2379">
        <f>MOPFRA!J9</f>
        <v>1.0009539384028345</v>
      </c>
      <c r="K9" s="1942">
        <f>MOPFRA!K9</f>
        <v>8</v>
      </c>
      <c r="L9" s="1587">
        <f>MOPFRA!L9</f>
        <v>5</v>
      </c>
      <c r="M9" s="1582" t="str">
        <f>MOPFRA!M9</f>
        <v>BB</v>
      </c>
      <c r="N9" s="1582" t="str">
        <f>MOPFRA!N9</f>
        <v>BB</v>
      </c>
      <c r="O9" s="179" t="str">
        <f>MOPFRA!O9</f>
        <v/>
      </c>
      <c r="P9" s="856" t="str">
        <f>MOPFRA!P9</f>
        <v>PEP</v>
      </c>
      <c r="Q9" s="1571" t="str">
        <f>MOPFRA!Q9</f>
        <v>پتروشيمي شازند</v>
      </c>
      <c r="R9" s="1571" t="str">
        <f>MOPFRA!R9</f>
        <v>شاراك</v>
      </c>
      <c r="S9" s="1572">
        <f>MOPFRA!S9</f>
        <v>12</v>
      </c>
      <c r="T9" s="66">
        <f>MOPFRA!T9</f>
        <v>33354</v>
      </c>
      <c r="U9" s="258">
        <f>MOPFRA!U9</f>
        <v>19620</v>
      </c>
      <c r="V9" s="338">
        <f>MOPFRA!V9</f>
        <v>2.99</v>
      </c>
      <c r="W9" s="258">
        <f>MOPFRA!W9</f>
        <v>19620</v>
      </c>
      <c r="X9" s="337">
        <f>MOPFRA!X9</f>
        <v>2.99</v>
      </c>
      <c r="Y9" s="1708">
        <f>MOPFRA!Y9</f>
        <v>57043</v>
      </c>
      <c r="Z9" s="661" t="str">
        <f>MOPFRA!Z9</f>
        <v/>
      </c>
      <c r="AA9" s="2382">
        <f>MOPFRA!AA9</f>
        <v>0.54245283018867929</v>
      </c>
      <c r="AB9" s="511">
        <f ca="1">MOPFRA!AB9</f>
        <v>4.9315068493150684E-2</v>
      </c>
      <c r="AC9" s="823">
        <f ca="1">MOPFRA!AC9</f>
        <v>-246.56888084776429</v>
      </c>
      <c r="AD9" s="1150">
        <f>MOPFRA!AD9</f>
        <v>0.54245283018867929</v>
      </c>
      <c r="AE9" s="1150">
        <f>MOPFRA!AE9</f>
        <v>1.4073619631901841</v>
      </c>
      <c r="AF9" s="1150">
        <f>MOPFRA!AF9</f>
        <v>0.53478741027056875</v>
      </c>
      <c r="AG9" s="1150">
        <f>MOPFRA!AG9</f>
        <v>4.9263873159682899E-2</v>
      </c>
      <c r="AH9" s="1150">
        <f>MOPFRA!AH9</f>
        <v>5.9462550028587767E-2</v>
      </c>
      <c r="AI9" s="275">
        <f ca="1">MOPFRA!AI9</f>
        <v>345</v>
      </c>
      <c r="AJ9" s="1120">
        <f>MOPFRA!AJ9</f>
        <v>46219</v>
      </c>
      <c r="AK9" s="1693">
        <f>MOPFRA!AK9</f>
        <v>46270</v>
      </c>
      <c r="AL9" s="1345">
        <f>MOPFRA!AL9</f>
        <v>17000000000</v>
      </c>
      <c r="AM9" s="29">
        <f>MOPFRA!AM9</f>
        <v>0</v>
      </c>
      <c r="AN9" s="29">
        <f>MOPFRA!AN9</f>
        <v>0</v>
      </c>
      <c r="AO9" s="685">
        <f>MOPFRA!AO9</f>
        <v>0.16</v>
      </c>
      <c r="AP9" s="174">
        <f>MOPFRA!AP9</f>
        <v>0</v>
      </c>
      <c r="AQ9" s="1416">
        <f>MOPFRA!AQ9</f>
        <v>48825</v>
      </c>
      <c r="AR9" s="1416">
        <f>MOPFRA!AR9</f>
        <v>3036</v>
      </c>
      <c r="AS9" s="766">
        <f>MOPFRA!AS9</f>
        <v>109843.31108926129</v>
      </c>
      <c r="AT9" s="984">
        <f>MOPFRA!AT9</f>
        <v>4</v>
      </c>
      <c r="AU9" s="376">
        <f>MOPFRA!AU9</f>
        <v>0.30471231855712166</v>
      </c>
      <c r="AV9" s="99">
        <f>MOPFRA!AV9</f>
        <v>10</v>
      </c>
      <c r="AW9" s="2380">
        <f>MOPFRA!AW9</f>
        <v>48825</v>
      </c>
      <c r="AX9" s="2380">
        <f>MOPFRA!AX9</f>
        <v>3036</v>
      </c>
      <c r="AY9" s="2374">
        <f>MOPFRA!AY9</f>
        <v>6.2E-2</v>
      </c>
      <c r="AZ9" s="2370">
        <f>MOPFRA!AZ9</f>
        <v>2.5999999999999999E-2</v>
      </c>
      <c r="BA9" s="2372">
        <f>MOPFRA!BA9</f>
        <v>6.2E-2</v>
      </c>
      <c r="BB9" s="2373">
        <f>MOPFRA!BB9</f>
        <v>0.01</v>
      </c>
      <c r="BC9" s="2375">
        <f>MOPFRA!BC9</f>
        <v>6.8000000000000007</v>
      </c>
      <c r="BD9" s="2376">
        <f>MOPFRA!BD9</f>
        <v>8.3000000000000004E-2</v>
      </c>
      <c r="BE9" s="2370">
        <f>MOPFRA!BE9</f>
        <v>1.4999999999999999E-2</v>
      </c>
      <c r="BF9" s="2371">
        <f>MOPFRA!BF9</f>
        <v>5.1999999999999998E-2</v>
      </c>
      <c r="BG9" s="1422">
        <f>MOPFRA!BG9</f>
        <v>5.0000000000000001E-3</v>
      </c>
      <c r="BH9" s="306">
        <f>MOPFRA!BH9</f>
        <v>-2.1000000000000005E-2</v>
      </c>
      <c r="BI9" s="1861">
        <f>MOPFRA!BI9</f>
        <v>-4101.3000000000011</v>
      </c>
      <c r="BJ9" s="306">
        <f>MOPFRA!BJ9</f>
        <v>1.0999999999999999E-2</v>
      </c>
      <c r="BK9" s="99">
        <f>MOPFRA!BK9</f>
        <v>0</v>
      </c>
      <c r="BL9" s="306">
        <f>MOPFRA!BL9</f>
        <v>1.2497349941476967</v>
      </c>
      <c r="BM9" s="99">
        <f>MOPFRA!BM9</f>
        <v>10</v>
      </c>
      <c r="BN9" s="15">
        <f>MOPFRA!BN9</f>
        <v>0</v>
      </c>
      <c r="BO9" s="1803">
        <f>MOPFRA!BO9</f>
        <v>3</v>
      </c>
      <c r="BP9" s="842">
        <f>MOPFRA!BP9</f>
        <v>1</v>
      </c>
      <c r="BQ9" s="16">
        <f>MOPFRA!BQ9</f>
        <v>2092</v>
      </c>
      <c r="BR9" s="16">
        <f>MOPFRA!BR9</f>
        <v>0</v>
      </c>
      <c r="BS9" s="16">
        <f>MOPFRA!BS9</f>
        <v>0</v>
      </c>
      <c r="BT9" s="1253">
        <f>MOPFRA!BT9</f>
        <v>5866.4675414168751</v>
      </c>
      <c r="BU9" s="1246">
        <f>MOPFRA!BU9</f>
        <v>8369.4117647058829</v>
      </c>
      <c r="BV9" s="406">
        <f>MOPFRA!BV9</f>
        <v>0</v>
      </c>
      <c r="BW9" s="407">
        <f>MOPFRA!BW9</f>
        <v>2.7564156141112499</v>
      </c>
      <c r="BX9" s="99">
        <f>MOPFRA!BX9</f>
        <v>10</v>
      </c>
      <c r="BY9" s="18">
        <f>MOPFRA!BY9</f>
        <v>12100.497410204345</v>
      </c>
      <c r="BZ9" s="18">
        <f>MOPFRA!BZ9</f>
        <v>6578.6982248520708</v>
      </c>
      <c r="CA9" s="18">
        <f>MOPFRA!CA9</f>
        <v>6810.2852875341996</v>
      </c>
      <c r="CB9" s="1710">
        <f>MOPFRA!CB9</f>
        <v>8.3760074052130591</v>
      </c>
      <c r="CC9" s="266">
        <f>MOPFRA!CC9</f>
        <v>3871</v>
      </c>
      <c r="CD9" s="267">
        <f>MOPFRA!CD9</f>
        <v>5.07</v>
      </c>
      <c r="CE9" s="99">
        <f>MOPFRA!CE9</f>
        <v>-0.21000000000000085</v>
      </c>
      <c r="CF9" s="17">
        <f>MOPFRA!CF9</f>
        <v>2.3511430179728086</v>
      </c>
      <c r="CG9" s="99">
        <f>MOPFRA!CG9</f>
        <v>-1.4045720718912342</v>
      </c>
      <c r="CH9" s="494">
        <f>MOPFRA!CH9</f>
        <v>0.32135167733911418</v>
      </c>
      <c r="CI9" s="99">
        <f>MOPFRA!CI9</f>
        <v>-1.1797248399132876</v>
      </c>
      <c r="CJ9" s="20">
        <f>MOPFRA!CJ9</f>
        <v>0</v>
      </c>
      <c r="CK9" s="691">
        <f>MOPFRA!CK9</f>
        <v>1700</v>
      </c>
      <c r="CL9" s="419">
        <f>MOPFRA!CL9</f>
        <v>1966</v>
      </c>
      <c r="CM9" s="468">
        <f>MOPFRA!CM9</f>
        <v>856</v>
      </c>
      <c r="CN9" s="843">
        <f>MOPFRA!CN9</f>
        <v>-515</v>
      </c>
      <c r="CO9" s="21">
        <f>MOPFRA!CO9</f>
        <v>3557</v>
      </c>
      <c r="CP9" s="21">
        <f>MOPFRA!CP9</f>
        <v>-23</v>
      </c>
      <c r="CQ9" s="469">
        <f>MOPFRA!CQ9</f>
        <v>3557</v>
      </c>
      <c r="CR9" s="1239">
        <f>MOPFRA!CR9</f>
        <v>3015.9982734695623</v>
      </c>
      <c r="CS9" s="21">
        <f>MOPFRA!CS9</f>
        <v>5523</v>
      </c>
      <c r="CT9" s="16">
        <f>MOPFRA!CT9</f>
        <v>-500</v>
      </c>
      <c r="CU9" s="154" t="str">
        <f>MOPFRA!CU9</f>
        <v/>
      </c>
      <c r="CV9" s="693">
        <f>MOPFRA!CV9</f>
        <v>6873</v>
      </c>
      <c r="CW9" s="49">
        <f>MOPFRA!CW9</f>
        <v>25343</v>
      </c>
      <c r="CX9" s="21">
        <f>MOPFRA!CX9</f>
        <v>152</v>
      </c>
      <c r="CY9" s="49">
        <f>MOPFRA!CY9</f>
        <v>3107</v>
      </c>
      <c r="CZ9" s="53">
        <f>MOPFRA!CZ9</f>
        <v>28450</v>
      </c>
      <c r="DA9" s="1058">
        <f>MOPFRA!DA9</f>
        <v>1.2146154756737562</v>
      </c>
      <c r="DB9" s="99">
        <f>MOPFRA!DB9</f>
        <v>0.11692380539004965</v>
      </c>
      <c r="DC9" s="53">
        <f>MOPFRA!DC9</f>
        <v>35323</v>
      </c>
      <c r="DD9" s="645">
        <f>MOPFRA!DD9</f>
        <v>0.80542422784021739</v>
      </c>
      <c r="DE9" s="13">
        <f>MOPFRA!DE9</f>
        <v>4541</v>
      </c>
      <c r="DF9" s="24">
        <f>MOPFRA!DF9</f>
        <v>4042</v>
      </c>
      <c r="DG9" s="24">
        <f>MOPFRA!DG9</f>
        <v>289</v>
      </c>
      <c r="DH9" s="51">
        <f>MOPFRA!DH9</f>
        <v>30782</v>
      </c>
      <c r="DI9" s="8">
        <f>MOPFRA!DI9</f>
        <v>5439</v>
      </c>
      <c r="DJ9" s="644">
        <f>MOPFRA!DJ9</f>
        <v>20.195497534337431</v>
      </c>
      <c r="DK9" s="22">
        <f>MOPFRA!DK9</f>
        <v>17967</v>
      </c>
      <c r="DL9" s="22">
        <f>MOPFRA!DL9</f>
        <v>3968</v>
      </c>
      <c r="DM9" s="22">
        <f>MOPFRA!DM9</f>
        <v>5435</v>
      </c>
      <c r="DN9" s="138">
        <f>MOPFRA!DN9</f>
        <v>0.80542422784021739</v>
      </c>
      <c r="DO9" s="99">
        <f>MOPFRA!DO9</f>
        <v>1.7098988049929487E-2</v>
      </c>
      <c r="DP9" s="22">
        <f>MOPFRA!DP9</f>
        <v>793</v>
      </c>
      <c r="DQ9" s="8">
        <f>MOPFRA!DQ9</f>
        <v>2619</v>
      </c>
      <c r="DR9" s="32">
        <f>MOPFRA!DR9</f>
        <v>9.4122341860378503E-2</v>
      </c>
      <c r="DS9" s="99">
        <f>MOPFRA!DS9</f>
        <v>0</v>
      </c>
      <c r="DT9" s="8">
        <f>MOPFRA!DT9</f>
        <v>14090.44</v>
      </c>
      <c r="DU9" s="8">
        <f>MOPFRA!DU9</f>
        <v>30129.882352941182</v>
      </c>
      <c r="DV9" s="235">
        <f>MOPFRA!DV9</f>
        <v>1156.4705882352941</v>
      </c>
      <c r="DW9" s="8">
        <f>MOPFRA!DW9</f>
        <v>22688.396470588239</v>
      </c>
      <c r="DX9" s="411">
        <f>MOPFRA!DX9</f>
        <v>51</v>
      </c>
      <c r="DY9" s="1532">
        <f>MOPFRA!DY9</f>
        <v>1100</v>
      </c>
      <c r="DZ9" s="857">
        <f>MOPFRA!DZ9</f>
        <v>7.9594790159189577E-2</v>
      </c>
      <c r="EA9" s="386">
        <f>MOPFRA!EA9</f>
        <v>1.1100000000000001</v>
      </c>
      <c r="EB9" s="504">
        <f>MOPFRA!EB9</f>
        <v>0</v>
      </c>
      <c r="EC9" s="994">
        <f>MOPFRA!EC9</f>
        <v>39040</v>
      </c>
      <c r="ED9" s="435">
        <f>MOPFRA!ED9</f>
        <v>31482</v>
      </c>
      <c r="EE9" s="510">
        <f>MOPFRA!EE9</f>
        <v>39420</v>
      </c>
      <c r="EF9" s="435">
        <f>MOPFRA!EF9</f>
        <v>31788</v>
      </c>
      <c r="EG9" s="510">
        <f>MOPFRA!EG9</f>
        <v>26950</v>
      </c>
      <c r="EH9" s="435">
        <f>MOPFRA!EH9</f>
        <v>21732</v>
      </c>
      <c r="EI9" s="510">
        <f>MOPFRA!EI9</f>
        <v>8150</v>
      </c>
      <c r="EJ9" s="435">
        <f>MOPFRA!EJ9</f>
        <v>13855</v>
      </c>
      <c r="EK9" s="510">
        <f>MOPFRA!EK9</f>
        <v>12720</v>
      </c>
      <c r="EL9" s="1606">
        <f>MOPFRA!EL9</f>
        <v>21624</v>
      </c>
      <c r="EM9" s="1684">
        <f>MOPFRA!EM9</f>
        <v>12720</v>
      </c>
      <c r="EN9" s="1608">
        <f>MOPFRA!EN9</f>
        <v>21624</v>
      </c>
      <c r="EO9" s="1609">
        <f>MOPFRA!EO9</f>
        <v>-0.31313131313131315</v>
      </c>
      <c r="EP9" s="1648">
        <f>MOPFRA!EP9</f>
        <v>40</v>
      </c>
      <c r="EQ9"/>
    </row>
    <row r="10" spans="1:147" ht="35" customHeight="1">
      <c r="A10" s="100">
        <f>MOPFRA!A10</f>
        <v>28.21227651390776</v>
      </c>
      <c r="B10" s="99">
        <f>MOPFRA!B10</f>
        <v>18.21227651390776</v>
      </c>
      <c r="C10" s="1585">
        <f ca="1">MOPFRA!C10</f>
        <v>0.31869052654967467</v>
      </c>
      <c r="D10" s="1651">
        <f>MOPFRA!D10</f>
        <v>2.2430854930005832</v>
      </c>
      <c r="E10" s="1414">
        <f>MOPFRA!E10</f>
        <v>12.5</v>
      </c>
      <c r="F10" s="1415">
        <f>MOPFRA!F10</f>
        <v>14.7</v>
      </c>
      <c r="G10" s="2124">
        <f>MOPFRA!G10</f>
        <v>-10.364700623716871</v>
      </c>
      <c r="H10" s="2379">
        <f>MOPFRA!H10</f>
        <v>0.88239486813970069</v>
      </c>
      <c r="I10" s="2379">
        <f>MOPFRA!I10</f>
        <v>0.38525730180806678</v>
      </c>
      <c r="J10" s="2379">
        <f>MOPFRA!J10</f>
        <v>0.92006802721088432</v>
      </c>
      <c r="K10" s="1942">
        <f>MOPFRA!K10</f>
        <v>27</v>
      </c>
      <c r="L10" s="1587">
        <f>MOPFRA!L10</f>
        <v>7</v>
      </c>
      <c r="M10" s="1582" t="str">
        <f>MOPFRA!M10</f>
        <v>B</v>
      </c>
      <c r="N10" s="1582" t="str">
        <f>MOPFRA!N10</f>
        <v>BB</v>
      </c>
      <c r="O10" s="179" t="str">
        <f>MOPFRA!O10</f>
        <v/>
      </c>
      <c r="P10" s="856" t="str">
        <f>MOPFRA!P10</f>
        <v>HH</v>
      </c>
      <c r="Q10" s="1571" t="str">
        <f>MOPFRA!Q10</f>
        <v>صنايع الكترونيك ماديران</v>
      </c>
      <c r="R10" s="1571" t="str">
        <f>MOPFRA!R10</f>
        <v>الكتروماد</v>
      </c>
      <c r="S10" s="1572">
        <f>MOPFRA!S10</f>
        <v>12</v>
      </c>
      <c r="T10" s="66">
        <f>MOPFRA!T10</f>
        <v>3258</v>
      </c>
      <c r="U10" s="258">
        <f>MOPFRA!U10</f>
        <v>3620</v>
      </c>
      <c r="V10" s="338">
        <f>MOPFRA!V10</f>
        <v>2.84</v>
      </c>
      <c r="W10" s="258">
        <f>MOPFRA!W10</f>
        <v>3620</v>
      </c>
      <c r="X10" s="337">
        <f>MOPFRA!X10</f>
        <v>2.84</v>
      </c>
      <c r="Y10" s="1708">
        <f>MOPFRA!Y10</f>
        <v>6720</v>
      </c>
      <c r="Z10" s="661" t="str">
        <f>MOPFRA!Z10</f>
        <v/>
      </c>
      <c r="AA10" s="2382">
        <f>MOPFRA!AA10</f>
        <v>0.31902834008097164</v>
      </c>
      <c r="AB10" s="511">
        <f ca="1">MOPFRA!AB10</f>
        <v>3.4520547945205482E-2</v>
      </c>
      <c r="AC10" s="823">
        <f ca="1">MOPFRA!AC10</f>
        <v>-203.21985152554726</v>
      </c>
      <c r="AD10" s="1150">
        <f>MOPFRA!AD10</f>
        <v>0.31902834008097164</v>
      </c>
      <c r="AE10" s="1150">
        <f>MOPFRA!AE10</f>
        <v>0.32116788321167883</v>
      </c>
      <c r="AF10" s="1150" t="str">
        <f>MOPFRA!AF10</f>
        <v/>
      </c>
      <c r="AG10" s="1150" t="str">
        <f>MOPFRA!AG10</f>
        <v/>
      </c>
      <c r="AH10" s="1150" t="str">
        <f>MOPFRA!AH10</f>
        <v/>
      </c>
      <c r="AI10" s="275">
        <f ca="1">MOPFRA!AI10</f>
        <v>351</v>
      </c>
      <c r="AJ10" s="1120">
        <f>MOPFRA!AJ10</f>
        <v>46225</v>
      </c>
      <c r="AK10" s="1693">
        <f>MOPFRA!AK10</f>
        <v>46305</v>
      </c>
      <c r="AL10" s="1345">
        <f>MOPFRA!AL10</f>
        <v>9000000000</v>
      </c>
      <c r="AM10" s="29">
        <f>MOPFRA!AM10</f>
        <v>0</v>
      </c>
      <c r="AN10" s="29">
        <f>MOPFRA!AN10</f>
        <v>0</v>
      </c>
      <c r="AO10" s="685">
        <f>MOPFRA!AO10</f>
        <v>0.05</v>
      </c>
      <c r="AP10" s="174">
        <f>MOPFRA!AP10</f>
        <v>0</v>
      </c>
      <c r="AQ10" s="1416">
        <f>MOPFRA!AQ10</f>
        <v>5461</v>
      </c>
      <c r="AR10" s="1416">
        <f>MOPFRA!AR10</f>
        <v>1514</v>
      </c>
      <c r="AS10" s="766">
        <f>MOPFRA!AS10</f>
        <v>8795.3791874554518</v>
      </c>
      <c r="AT10" s="984">
        <f>MOPFRA!AT10</f>
        <v>4</v>
      </c>
      <c r="AU10" s="376">
        <f>MOPFRA!AU10</f>
        <v>0.37042177836366325</v>
      </c>
      <c r="AV10" s="99">
        <f>MOPFRA!AV10</f>
        <v>0</v>
      </c>
      <c r="AW10" s="2380">
        <f>MOPFRA!AW10</f>
        <v>1992</v>
      </c>
      <c r="AX10" s="2380">
        <f>MOPFRA!AX10</f>
        <v>800</v>
      </c>
      <c r="AY10" s="2374">
        <f>MOPFRA!AY10</f>
        <v>0.40200000000000002</v>
      </c>
      <c r="AZ10" s="2370">
        <f>MOPFRA!AZ10</f>
        <v>0.27700000000000002</v>
      </c>
      <c r="BA10" s="2372">
        <f>MOPFRA!BA10</f>
        <v>0.27700000000000002</v>
      </c>
      <c r="BB10" s="2373">
        <f>MOPFRA!BB10</f>
        <v>0.19400000000000001</v>
      </c>
      <c r="BC10" s="2375">
        <f>MOPFRA!BC10</f>
        <v>10</v>
      </c>
      <c r="BD10" s="2376">
        <f>MOPFRA!BD10</f>
        <v>0.246</v>
      </c>
      <c r="BE10" s="2370">
        <f>MOPFRA!BE10</f>
        <v>9.9000000000000005E-2</v>
      </c>
      <c r="BF10" s="2371">
        <f>MOPFRA!BF10</f>
        <v>0.13500000000000001</v>
      </c>
      <c r="BG10" s="1422">
        <f>MOPFRA!BG10</f>
        <v>6.2E-2</v>
      </c>
      <c r="BH10" s="306">
        <f>MOPFRA!BH10</f>
        <v>0.15600000000000003</v>
      </c>
      <c r="BI10" s="1861">
        <f>MOPFRA!BI10</f>
        <v>1243.0080000000003</v>
      </c>
      <c r="BJ10" s="306">
        <f>MOPFRA!BJ10</f>
        <v>0.17800000000000002</v>
      </c>
      <c r="BK10" s="99">
        <f>MOPFRA!BK10</f>
        <v>0</v>
      </c>
      <c r="BL10" s="306">
        <f>MOPFRA!BL10</f>
        <v>0.61058033097517883</v>
      </c>
      <c r="BM10" s="99">
        <f>MOPFRA!BM10</f>
        <v>8.7465597268262165</v>
      </c>
      <c r="BN10" s="15">
        <f>MOPFRA!BN10</f>
        <v>0</v>
      </c>
      <c r="BO10" s="1803">
        <f>MOPFRA!BO10</f>
        <v>3</v>
      </c>
      <c r="BP10" s="842">
        <f>MOPFRA!BP10</f>
        <v>1</v>
      </c>
      <c r="BQ10" s="16">
        <f>MOPFRA!BQ10</f>
        <v>552</v>
      </c>
      <c r="BR10" s="16">
        <f>MOPFRA!BR10</f>
        <v>0</v>
      </c>
      <c r="BS10" s="16">
        <f>MOPFRA!BS10</f>
        <v>0</v>
      </c>
      <c r="BT10" s="1253">
        <f>MOPFRA!BT10</f>
        <v>2466.2925334600459</v>
      </c>
      <c r="BU10" s="1246">
        <f>MOPFRA!BU10</f>
        <v>2244.4444444444443</v>
      </c>
      <c r="BV10" s="406">
        <f>MOPFRA!BV10</f>
        <v>0</v>
      </c>
      <c r="BW10" s="407">
        <f>MOPFRA!BW10</f>
        <v>1.5369145069994163</v>
      </c>
      <c r="BX10" s="99">
        <f>MOPFRA!BX10</f>
        <v>10</v>
      </c>
      <c r="BY10" s="18">
        <f>MOPFRA!BY10</f>
        <v>2119.8316400570206</v>
      </c>
      <c r="BZ10" s="18">
        <f>MOPFRA!BZ10</f>
        <v>861.90476190476193</v>
      </c>
      <c r="CA10" s="18">
        <f>MOPFRA!CA10</f>
        <v>3535.7424333570916</v>
      </c>
      <c r="CB10" s="1710">
        <f>MOPFRA!CB10</f>
        <v>1.9005909300976831</v>
      </c>
      <c r="CC10" s="266">
        <f>MOPFRA!CC10</f>
        <v>957</v>
      </c>
      <c r="CD10" s="267">
        <f>MOPFRA!CD10</f>
        <v>3.78</v>
      </c>
      <c r="CE10" s="99">
        <f>MOPFRA!CE10</f>
        <v>3.6600000000000006</v>
      </c>
      <c r="CF10" s="17">
        <f>MOPFRA!CF10</f>
        <v>2.3704712700037036</v>
      </c>
      <c r="CG10" s="99">
        <f>MOPFRA!CG10</f>
        <v>-1.4818850800148144</v>
      </c>
      <c r="CH10" s="494">
        <f>MOPFRA!CH10</f>
        <v>0.24020755128124879</v>
      </c>
      <c r="CI10" s="99">
        <f>MOPFRA!CI10</f>
        <v>-2.3968867307812682</v>
      </c>
      <c r="CJ10" s="20">
        <f>MOPFRA!CJ10</f>
        <v>0</v>
      </c>
      <c r="CK10" s="691">
        <f>MOPFRA!CK10</f>
        <v>900</v>
      </c>
      <c r="CL10" s="419">
        <f>MOPFRA!CL10</f>
        <v>537</v>
      </c>
      <c r="CM10" s="468">
        <f>MOPFRA!CM10</f>
        <v>56</v>
      </c>
      <c r="CN10" s="843">
        <f>MOPFRA!CN10</f>
        <v>5</v>
      </c>
      <c r="CO10" s="21">
        <f>MOPFRA!CO10</f>
        <v>496</v>
      </c>
      <c r="CP10" s="21">
        <f>MOPFRA!CP10</f>
        <v>0</v>
      </c>
      <c r="CQ10" s="469">
        <f>MOPFRA!CQ10</f>
        <v>505</v>
      </c>
      <c r="CR10" s="1239">
        <f>MOPFRA!CR10</f>
        <v>721.22109337134702</v>
      </c>
      <c r="CS10" s="21">
        <f>MOPFRA!CS10</f>
        <v>1033</v>
      </c>
      <c r="CT10" s="16">
        <f>MOPFRA!CT10</f>
        <v>0</v>
      </c>
      <c r="CU10" s="154" t="str">
        <f>MOPFRA!CU10</f>
        <v/>
      </c>
      <c r="CV10" s="693">
        <f>MOPFRA!CV10</f>
        <v>2024</v>
      </c>
      <c r="CW10" s="49">
        <f>MOPFRA!CW10</f>
        <v>4429</v>
      </c>
      <c r="CX10" s="21">
        <f>MOPFRA!CX10</f>
        <v>2540</v>
      </c>
      <c r="CY10" s="49">
        <f>MOPFRA!CY10</f>
        <v>596</v>
      </c>
      <c r="CZ10" s="53">
        <f>MOPFRA!CZ10</f>
        <v>5025</v>
      </c>
      <c r="DA10" s="1058">
        <f>MOPFRA!DA10</f>
        <v>1.535561074734703</v>
      </c>
      <c r="DB10" s="99">
        <f>MOPFRA!DB10</f>
        <v>2.6844885978776247</v>
      </c>
      <c r="DC10" s="53">
        <f>MOPFRA!DC10</f>
        <v>7049</v>
      </c>
      <c r="DD10" s="645">
        <f>MOPFRA!DD10</f>
        <v>0.71286707334373667</v>
      </c>
      <c r="DE10" s="13">
        <f>MOPFRA!DE10</f>
        <v>248</v>
      </c>
      <c r="DF10" s="24">
        <f>MOPFRA!DF10</f>
        <v>206</v>
      </c>
      <c r="DG10" s="24">
        <f>MOPFRA!DG10</f>
        <v>0</v>
      </c>
      <c r="DH10" s="51">
        <f>MOPFRA!DH10</f>
        <v>6801</v>
      </c>
      <c r="DI10" s="8">
        <f>MOPFRA!DI10</f>
        <v>12</v>
      </c>
      <c r="DJ10" s="644">
        <f>MOPFRA!DJ10</f>
        <v>732.94826562128765</v>
      </c>
      <c r="DK10" s="22">
        <f>MOPFRA!DK10</f>
        <v>1936</v>
      </c>
      <c r="DL10" s="22">
        <f>MOPFRA!DL10</f>
        <v>1563</v>
      </c>
      <c r="DM10" s="22">
        <f>MOPFRA!DM10</f>
        <v>1829</v>
      </c>
      <c r="DN10" s="138">
        <f>MOPFRA!DN10</f>
        <v>0.71286707334373667</v>
      </c>
      <c r="DO10" s="99">
        <f>MOPFRA!DO10</f>
        <v>0</v>
      </c>
      <c r="DP10" s="22">
        <f>MOPFRA!DP10</f>
        <v>0</v>
      </c>
      <c r="DQ10" s="8">
        <f>MOPFRA!DQ10</f>
        <v>1473</v>
      </c>
      <c r="DR10" s="32">
        <f>MOPFRA!DR10</f>
        <v>-0.71837811941192187</v>
      </c>
      <c r="DS10" s="99">
        <f>MOPFRA!DS10</f>
        <v>-3</v>
      </c>
      <c r="DT10" s="8">
        <f>MOPFRA!DT10</f>
        <v>3483.48</v>
      </c>
      <c r="DU10" s="8">
        <f>MOPFRA!DU10</f>
        <v>8080</v>
      </c>
      <c r="DV10" s="235">
        <f>MOPFRA!DV10</f>
        <v>596.66666666666663</v>
      </c>
      <c r="DW10" s="8">
        <f>MOPFRA!DW10</f>
        <v>6080.0733333333328</v>
      </c>
      <c r="DX10" s="411">
        <f>MOPFRA!DX10</f>
        <v>80</v>
      </c>
      <c r="DY10" s="1532">
        <f>MOPFRA!DY10</f>
        <v>526</v>
      </c>
      <c r="DZ10" s="857">
        <f>MOPFRA!DZ10</f>
        <v>0.16085626911314985</v>
      </c>
      <c r="EA10" s="386">
        <f>MOPFRA!EA10</f>
        <v>0.5</v>
      </c>
      <c r="EB10" s="504">
        <f>MOPFRA!EB10</f>
        <v>0</v>
      </c>
      <c r="EC10" s="510">
        <f>MOPFRA!EC10</f>
        <v>0</v>
      </c>
      <c r="ED10" s="435">
        <f>MOPFRA!ED10</f>
        <v>0</v>
      </c>
      <c r="EE10" s="510">
        <f>MOPFRA!EE10</f>
        <v>0</v>
      </c>
      <c r="EF10" s="435">
        <f>MOPFRA!EF10</f>
        <v>0</v>
      </c>
      <c r="EG10" s="510">
        <f>MOPFRA!EG10</f>
        <v>0</v>
      </c>
      <c r="EH10" s="435">
        <f>MOPFRA!EH10</f>
        <v>0</v>
      </c>
      <c r="EI10" s="510">
        <f>MOPFRA!EI10</f>
        <v>4111</v>
      </c>
      <c r="EJ10" s="435">
        <f>MOPFRA!EJ10</f>
        <v>2466</v>
      </c>
      <c r="EK10" s="510">
        <f>MOPFRA!EK10</f>
        <v>2744</v>
      </c>
      <c r="EL10" s="1606">
        <f>MOPFRA!EL10</f>
        <v>2470</v>
      </c>
      <c r="EM10" s="1685">
        <f>MOPFRA!EM10</f>
        <v>2744</v>
      </c>
      <c r="EN10" s="1686">
        <f>MOPFRA!EN10</f>
        <v>2470</v>
      </c>
      <c r="EO10" s="1609">
        <f>MOPFRA!EO10</f>
        <v>0</v>
      </c>
      <c r="EP10" s="1648" t="str">
        <f>MOPFRA!EP10</f>
        <v>NEW</v>
      </c>
      <c r="EQ10"/>
    </row>
    <row r="11" spans="1:147" ht="35" customHeight="1">
      <c r="A11" s="100">
        <f>MOPFRA!A11</f>
        <v>27.307134554074281</v>
      </c>
      <c r="B11" s="99">
        <f>MOPFRA!B11</f>
        <v>23.507134554074277</v>
      </c>
      <c r="C11" s="1585">
        <f ca="1">MOPFRA!C11</f>
        <v>0.48892655145839048</v>
      </c>
      <c r="D11" s="1651">
        <f>MOPFRA!D11</f>
        <v>0.73794874383732756</v>
      </c>
      <c r="E11" s="1414">
        <f>MOPFRA!E11</f>
        <v>5.9000000000000021</v>
      </c>
      <c r="F11" s="1415">
        <f>MOPFRA!F11</f>
        <v>3.8000000000000007</v>
      </c>
      <c r="G11" s="2124">
        <f>MOPFRA!G11</f>
        <v>18.705128205128208</v>
      </c>
      <c r="H11" s="2379">
        <f>MOPFRA!H11</f>
        <v>1.0925</v>
      </c>
      <c r="I11" s="2379">
        <f>MOPFRA!I11</f>
        <v>-0.12380250552689757</v>
      </c>
      <c r="J11" s="2379">
        <f>MOPFRA!J11</f>
        <v>0.77024070021881841</v>
      </c>
      <c r="K11" s="1942">
        <f>MOPFRA!K11</f>
        <v>19</v>
      </c>
      <c r="L11" s="1587">
        <f>MOPFRA!L11</f>
        <v>17</v>
      </c>
      <c r="M11" s="1582" t="str">
        <f>MOPFRA!M11</f>
        <v>BB</v>
      </c>
      <c r="N11" s="1582" t="str">
        <f>MOPFRA!N11</f>
        <v>B</v>
      </c>
      <c r="O11" s="179" t="str">
        <f>MOPFRA!O11</f>
        <v/>
      </c>
      <c r="P11" s="856" t="str">
        <f>MOPFRA!P11</f>
        <v>HL</v>
      </c>
      <c r="Q11" s="1571" t="str">
        <f>MOPFRA!Q11</f>
        <v>پارس‌ خزر</v>
      </c>
      <c r="R11" s="1571" t="str">
        <f>MOPFRA!R11</f>
        <v>لخزر</v>
      </c>
      <c r="S11" s="1572">
        <f>MOPFRA!S11</f>
        <v>12</v>
      </c>
      <c r="T11" s="1641">
        <f>MOPFRA!T11</f>
        <v>3380</v>
      </c>
      <c r="U11" s="258">
        <f>MOPFRA!U11</f>
        <v>3380</v>
      </c>
      <c r="V11" s="338">
        <f>MOPFRA!V11</f>
        <v>2.74</v>
      </c>
      <c r="W11" s="258">
        <f>MOPFRA!W11</f>
        <v>3380</v>
      </c>
      <c r="X11" s="337">
        <f>MOPFRA!X11</f>
        <v>2.74</v>
      </c>
      <c r="Y11" s="1708">
        <f>MOPFRA!Y11</f>
        <v>5923</v>
      </c>
      <c r="Z11" s="661" t="str">
        <f>MOPFRA!Z11</f>
        <v/>
      </c>
      <c r="AA11" s="2382">
        <f>MOPFRA!AA11</f>
        <v>0.32549019607843138</v>
      </c>
      <c r="AB11" s="511">
        <f ca="1">MOPFRA!AB11</f>
        <v>3.9452054794520547E-2</v>
      </c>
      <c r="AC11" s="823">
        <f ca="1">MOPFRA!AC11</f>
        <v>-178.77383830244426</v>
      </c>
      <c r="AD11" s="1150">
        <f>MOPFRA!AD11</f>
        <v>0.32549019607843138</v>
      </c>
      <c r="AE11" s="1150">
        <f>MOPFRA!AE11</f>
        <v>0.25463994060876022</v>
      </c>
      <c r="AF11" s="1150">
        <f>MOPFRA!AF11</f>
        <v>0.7002012072434608</v>
      </c>
      <c r="AG11" s="1150">
        <f>MOPFRA!AG11</f>
        <v>0.22552574329224076</v>
      </c>
      <c r="AH11" s="1150">
        <f>MOPFRA!AH11</f>
        <v>0.47985989492119091</v>
      </c>
      <c r="AI11" s="275">
        <f ca="1">MOPFRA!AI11</f>
        <v>349</v>
      </c>
      <c r="AJ11" s="1120">
        <f>MOPFRA!AJ11</f>
        <v>46223</v>
      </c>
      <c r="AK11" s="1693">
        <f>MOPFRA!AK11</f>
        <v>46327</v>
      </c>
      <c r="AL11" s="1345">
        <f>MOPFRA!AL11</f>
        <v>10000000000</v>
      </c>
      <c r="AM11" s="29">
        <f>MOPFRA!AM11</f>
        <v>0</v>
      </c>
      <c r="AN11" s="29">
        <f>MOPFRA!AN11</f>
        <v>0</v>
      </c>
      <c r="AO11" s="685">
        <f>MOPFRA!AO11</f>
        <v>0.1118</v>
      </c>
      <c r="AP11" s="174">
        <f>MOPFRA!AP11</f>
        <v>0</v>
      </c>
      <c r="AQ11" s="1416">
        <f>MOPFRA!AQ11</f>
        <v>4072</v>
      </c>
      <c r="AR11" s="1416">
        <f>MOPFRA!AR11</f>
        <v>599</v>
      </c>
      <c r="AS11" s="766">
        <f>MOPFRA!AS11</f>
        <v>6504.1744391971661</v>
      </c>
      <c r="AT11" s="984">
        <f>MOPFRA!AT11</f>
        <v>4</v>
      </c>
      <c r="AU11" s="376">
        <f>MOPFRA!AU11</f>
        <v>0.4992363028321245</v>
      </c>
      <c r="AV11" s="99">
        <f>MOPFRA!AV11</f>
        <v>0</v>
      </c>
      <c r="AW11" s="2380">
        <f>MOPFRA!AW11</f>
        <v>1254</v>
      </c>
      <c r="AX11" s="2380">
        <f>MOPFRA!AX11</f>
        <v>292</v>
      </c>
      <c r="AY11" s="2374">
        <f>MOPFRA!AY11</f>
        <v>0.23300000000000001</v>
      </c>
      <c r="AZ11" s="2370">
        <f>MOPFRA!AZ11</f>
        <v>0.17399999999999999</v>
      </c>
      <c r="BA11" s="2372">
        <f>MOPFRA!BA11</f>
        <v>0.14699999999999999</v>
      </c>
      <c r="BB11" s="2373">
        <f>MOPFRA!BB11</f>
        <v>0.14699999999999999</v>
      </c>
      <c r="BC11" s="2375">
        <f>MOPFRA!BC11</f>
        <v>3.8000000000000007</v>
      </c>
      <c r="BD11" s="2376">
        <f>MOPFRA!BD11</f>
        <v>0.17899999999999999</v>
      </c>
      <c r="BE11" s="2370">
        <f>MOPFRA!BE11</f>
        <v>0.14099999999999999</v>
      </c>
      <c r="BF11" s="2371">
        <f>MOPFRA!BF11</f>
        <v>0.11899999999999999</v>
      </c>
      <c r="BG11" s="1422">
        <f>MOPFRA!BG11</f>
        <v>0.14000000000000001</v>
      </c>
      <c r="BH11" s="306">
        <f>MOPFRA!BH11</f>
        <v>5.400000000000002E-2</v>
      </c>
      <c r="BI11" s="1861">
        <f>MOPFRA!BI11</f>
        <v>270.86400000000009</v>
      </c>
      <c r="BJ11" s="306">
        <f>MOPFRA!BJ11</f>
        <v>3.3000000000000002E-2</v>
      </c>
      <c r="BK11" s="99">
        <f>MOPFRA!BK11</f>
        <v>0</v>
      </c>
      <c r="BL11" s="306">
        <f>MOPFRA!BL11</f>
        <v>0.59729234754350835</v>
      </c>
      <c r="BM11" s="99">
        <f>MOPFRA!BM11</f>
        <v>8.154064543952309</v>
      </c>
      <c r="BN11" s="15">
        <f>MOPFRA!BN11</f>
        <v>0</v>
      </c>
      <c r="BO11" s="1803">
        <f>MOPFRA!BO11</f>
        <v>3</v>
      </c>
      <c r="BP11" s="842">
        <f>MOPFRA!BP11</f>
        <v>1</v>
      </c>
      <c r="BQ11" s="16">
        <f>MOPFRA!BQ11</f>
        <v>500</v>
      </c>
      <c r="BR11" s="16">
        <f>MOPFRA!BR11</f>
        <v>0</v>
      </c>
      <c r="BS11" s="16">
        <f>MOPFRA!BS11</f>
        <v>0</v>
      </c>
      <c r="BT11" s="1253">
        <f>MOPFRA!BT11</f>
        <v>1615.2472246162927</v>
      </c>
      <c r="BU11" s="1246">
        <f>MOPFRA!BU11</f>
        <v>1347</v>
      </c>
      <c r="BV11" s="406">
        <f>MOPFRA!BV11</f>
        <v>0</v>
      </c>
      <c r="BW11" s="407">
        <f>MOPFRA!BW11</f>
        <v>2.2820512561626725</v>
      </c>
      <c r="BX11" s="99">
        <f>MOPFRA!BX11</f>
        <v>10</v>
      </c>
      <c r="BY11" s="18">
        <f>MOPFRA!BY11</f>
        <v>1481.1236123081462</v>
      </c>
      <c r="BZ11" s="18">
        <f>MOPFRA!BZ11</f>
        <v>1119.2052980132451</v>
      </c>
      <c r="CA11" s="18">
        <f>MOPFRA!CA11</f>
        <v>1515.4726443329398</v>
      </c>
      <c r="CB11" s="1710">
        <f>MOPFRA!CB11</f>
        <v>3.9083516433957843</v>
      </c>
      <c r="CC11" s="266">
        <f>MOPFRA!CC11</f>
        <v>1120</v>
      </c>
      <c r="CD11" s="267">
        <f>MOPFRA!CD11</f>
        <v>3.02</v>
      </c>
      <c r="CE11" s="99">
        <f>MOPFRA!CE11</f>
        <v>5.9399999999999995</v>
      </c>
      <c r="CF11" s="17">
        <f>MOPFRA!CF11</f>
        <v>1.8593991596071004</v>
      </c>
      <c r="CG11" s="99">
        <f>MOPFRA!CG11</f>
        <v>0.5624033615715982</v>
      </c>
      <c r="CH11" s="494">
        <f>MOPFRA!CH11</f>
        <v>0.22661009980234795</v>
      </c>
      <c r="CI11" s="99">
        <f>MOPFRA!CI11</f>
        <v>-2.600848502964781</v>
      </c>
      <c r="CJ11" s="377">
        <f>MOPFRA!CJ11</f>
        <v>-10</v>
      </c>
      <c r="CK11" s="691">
        <f>MOPFRA!CK11</f>
        <v>1000</v>
      </c>
      <c r="CL11" s="419">
        <f>MOPFRA!CL11</f>
        <v>1155</v>
      </c>
      <c r="CM11" s="468">
        <f>MOPFRA!CM11</f>
        <v>451</v>
      </c>
      <c r="CN11" s="843">
        <f>MOPFRA!CN11</f>
        <v>88</v>
      </c>
      <c r="CO11" s="21">
        <f>MOPFRA!CO11</f>
        <v>312</v>
      </c>
      <c r="CP11" s="21">
        <f>MOPFRA!CP11</f>
        <v>44</v>
      </c>
      <c r="CQ11" s="469">
        <f>MOPFRA!CQ11</f>
        <v>336.75</v>
      </c>
      <c r="CR11" s="1239">
        <f>MOPFRA!CR11</f>
        <v>432.08240820543085</v>
      </c>
      <c r="CS11" s="21">
        <f>MOPFRA!CS11</f>
        <v>1467</v>
      </c>
      <c r="CT11" s="16">
        <f>MOPFRA!CT11</f>
        <v>-5</v>
      </c>
      <c r="CU11" s="154" t="str">
        <f>MOPFRA!CU11</f>
        <v/>
      </c>
      <c r="CV11" s="693">
        <f>MOPFRA!CV11</f>
        <v>2889</v>
      </c>
      <c r="CW11" s="49">
        <f>MOPFRA!CW11</f>
        <v>2640</v>
      </c>
      <c r="CX11" s="21">
        <f>MOPFRA!CX11</f>
        <v>82</v>
      </c>
      <c r="CY11" s="49">
        <f>MOPFRA!CY11</f>
        <v>114</v>
      </c>
      <c r="CZ11" s="53">
        <f>MOPFRA!CZ11</f>
        <v>2754</v>
      </c>
      <c r="DA11" s="1058">
        <f>MOPFRA!DA11</f>
        <v>1.3814393939393939</v>
      </c>
      <c r="DB11" s="99">
        <f>MOPFRA!DB11</f>
        <v>1.4515151515151512</v>
      </c>
      <c r="DC11" s="53">
        <f>MOPFRA!DC11</f>
        <v>5643</v>
      </c>
      <c r="DD11" s="645">
        <f>MOPFRA!DD11</f>
        <v>0.48803827751196172</v>
      </c>
      <c r="DE11" s="13">
        <f>MOPFRA!DE11</f>
        <v>1996</v>
      </c>
      <c r="DF11" s="24">
        <f>MOPFRA!DF11</f>
        <v>109</v>
      </c>
      <c r="DG11" s="24">
        <f>MOPFRA!DG11</f>
        <v>1657</v>
      </c>
      <c r="DH11" s="51">
        <f>MOPFRA!DH11</f>
        <v>3647</v>
      </c>
      <c r="DI11" s="8">
        <f>MOPFRA!DI11</f>
        <v>1007</v>
      </c>
      <c r="DJ11" s="644">
        <f>MOPFRA!DJ11</f>
        <v>6.4589617072464414</v>
      </c>
      <c r="DK11" s="22">
        <f>MOPFRA!DK11</f>
        <v>2691</v>
      </c>
      <c r="DL11" s="22">
        <f>MOPFRA!DL11</f>
        <v>211</v>
      </c>
      <c r="DM11" s="22">
        <f>MOPFRA!DM11</f>
        <v>585</v>
      </c>
      <c r="DN11" s="138">
        <f>MOPFRA!DN11</f>
        <v>0.48803827751196172</v>
      </c>
      <c r="DO11" s="99">
        <f>MOPFRA!DO11</f>
        <v>0</v>
      </c>
      <c r="DP11" s="22">
        <f>MOPFRA!DP11</f>
        <v>0</v>
      </c>
      <c r="DQ11" s="8">
        <f>MOPFRA!DQ11</f>
        <v>160</v>
      </c>
      <c r="DR11" s="32">
        <f>MOPFRA!DR11</f>
        <v>-5.4108531953141026E-2</v>
      </c>
      <c r="DS11" s="99">
        <f>MOPFRA!DS11</f>
        <v>0</v>
      </c>
      <c r="DT11" s="8">
        <f>MOPFRA!DT11</f>
        <v>4076.8</v>
      </c>
      <c r="DU11" s="8">
        <f>MOPFRA!DU11</f>
        <v>4849.2</v>
      </c>
      <c r="DV11" s="235">
        <f>MOPFRA!DV11</f>
        <v>1155</v>
      </c>
      <c r="DW11" s="8">
        <f>MOPFRA!DW11</f>
        <v>5040.5</v>
      </c>
      <c r="DX11" s="411">
        <f>MOPFRA!DX11</f>
        <v>104</v>
      </c>
      <c r="DY11" s="1532">
        <f>MOPFRA!DY11</f>
        <v>600</v>
      </c>
      <c r="DZ11" s="857">
        <f>MOPFRA!DZ11</f>
        <v>0.19047619047619047</v>
      </c>
      <c r="EA11" s="386">
        <f>MOPFRA!EA11</f>
        <v>0.6</v>
      </c>
      <c r="EB11" s="504">
        <f>MOPFRA!EB11</f>
        <v>0</v>
      </c>
      <c r="EC11" s="510">
        <f>MOPFRA!EC11</f>
        <v>13730</v>
      </c>
      <c r="ED11" s="435">
        <f>MOPFRA!ED11</f>
        <v>2284</v>
      </c>
      <c r="EE11" s="510">
        <f>MOPFRA!EE11</f>
        <v>16580</v>
      </c>
      <c r="EF11" s="435">
        <f>MOPFRA!EF11</f>
        <v>2758</v>
      </c>
      <c r="EG11" s="510">
        <f>MOPFRA!EG11</f>
        <v>4780</v>
      </c>
      <c r="EH11" s="435">
        <f>MOPFRA!EH11</f>
        <v>1988</v>
      </c>
      <c r="EI11" s="510">
        <f>MOPFRA!EI11</f>
        <v>4319</v>
      </c>
      <c r="EJ11" s="435">
        <f>MOPFRA!EJ11</f>
        <v>2694</v>
      </c>
      <c r="EK11" s="510">
        <f>MOPFRA!EK11</f>
        <v>2550</v>
      </c>
      <c r="EL11" s="1606">
        <f>MOPFRA!EL11</f>
        <v>2550</v>
      </c>
      <c r="EM11" s="1684">
        <f>MOPFRA!EM11</f>
        <v>2550</v>
      </c>
      <c r="EN11" s="1608">
        <f>MOPFRA!EN11</f>
        <v>2550</v>
      </c>
      <c r="EO11" s="1609">
        <f>MOPFRA!EO11</f>
        <v>0.11646234676007006</v>
      </c>
      <c r="EP11" s="1648">
        <f>MOPFRA!EP11</f>
        <v>30</v>
      </c>
      <c r="EQ11"/>
    </row>
    <row r="12" spans="1:147" ht="35" customHeight="1">
      <c r="A12" s="100">
        <f>MOPFRA!A12</f>
        <v>25.720175838287016</v>
      </c>
      <c r="B12" s="99">
        <f>MOPFRA!B12</f>
        <v>15.720175838287016</v>
      </c>
      <c r="C12" s="1585">
        <f ca="1">MOPFRA!C12</f>
        <v>0.112972214641681</v>
      </c>
      <c r="D12" s="1651">
        <f>MOPFRA!D12</f>
        <v>4.2767270684161645</v>
      </c>
      <c r="E12" s="1414">
        <f>MOPFRA!E12</f>
        <v>16.399999999999999</v>
      </c>
      <c r="F12" s="1415">
        <f>MOPFRA!F12</f>
        <v>14.200000000000001</v>
      </c>
      <c r="G12" s="2124">
        <f>MOPFRA!G12</f>
        <v>15.626752102523023</v>
      </c>
      <c r="H12" s="2379">
        <f>MOPFRA!H12</f>
        <v>2.3744493392070485</v>
      </c>
      <c r="I12" s="2379">
        <f>MOPFRA!I12</f>
        <v>1.2452431289640591</v>
      </c>
      <c r="J12" s="2379">
        <f>MOPFRA!J12</f>
        <v>1.8160676532769555</v>
      </c>
      <c r="K12" s="1942">
        <f>MOPFRA!K12</f>
        <v>3</v>
      </c>
      <c r="L12" s="1587">
        <f>MOPFRA!L12</f>
        <v>4</v>
      </c>
      <c r="M12" s="1582" t="str">
        <f>MOPFRA!M12</f>
        <v>BB</v>
      </c>
      <c r="N12" s="1582" t="str">
        <f>MOPFRA!N12</f>
        <v>BB</v>
      </c>
      <c r="O12" s="179" t="str">
        <f>MOPFRA!O12</f>
        <v/>
      </c>
      <c r="P12" s="856" t="str">
        <f>MOPFRA!P12</f>
        <v>PH</v>
      </c>
      <c r="Q12" s="855" t="str">
        <f>MOPFRA!Q12</f>
        <v>كارخانجات‌داروپخش‌</v>
      </c>
      <c r="R12" s="1571" t="str">
        <f>MOPFRA!R12</f>
        <v>دارو</v>
      </c>
      <c r="S12" s="1572">
        <f>MOPFRA!S12</f>
        <v>12</v>
      </c>
      <c r="T12" s="66">
        <f>MOPFRA!T12</f>
        <v>36778</v>
      </c>
      <c r="U12" s="258">
        <f>MOPFRA!U12</f>
        <v>7090</v>
      </c>
      <c r="V12" s="338">
        <f>MOPFRA!V12</f>
        <v>2.75</v>
      </c>
      <c r="W12" s="258">
        <f>MOPFRA!W12</f>
        <v>7100</v>
      </c>
      <c r="X12" s="337">
        <f>MOPFRA!X12</f>
        <v>2.9</v>
      </c>
      <c r="Y12" s="1708">
        <f>MOPFRA!Y12</f>
        <v>45551</v>
      </c>
      <c r="Z12" s="661" t="str">
        <f>MOPFRA!Z12</f>
        <v/>
      </c>
      <c r="AA12" s="2382">
        <f>MOPFRA!AA12</f>
        <v>0.85569403098037233</v>
      </c>
      <c r="AB12" s="511">
        <f ca="1">MOPFRA!AB12</f>
        <v>0.12082191780821919</v>
      </c>
      <c r="AC12" s="823">
        <f ca="1">MOPFRA!AC12</f>
        <v>-149.9739006473782</v>
      </c>
      <c r="AD12" s="1150">
        <f>MOPFRA!AD12</f>
        <v>0.85569403098037233</v>
      </c>
      <c r="AE12" s="1150">
        <f>MOPFRA!AE12</f>
        <v>5.6040581792063211</v>
      </c>
      <c r="AF12" s="1150">
        <f>MOPFRA!AF12</f>
        <v>7.3453596550941684</v>
      </c>
      <c r="AG12" s="1150">
        <f>MOPFRA!AG12</f>
        <v>3.803186626616168</v>
      </c>
      <c r="AH12" s="1150">
        <f>MOPFRA!AH12</f>
        <v>8.007592456527064</v>
      </c>
      <c r="AI12" s="275">
        <f ca="1">MOPFRA!AI12</f>
        <v>316</v>
      </c>
      <c r="AJ12" s="1120">
        <f>MOPFRA!AJ12</f>
        <v>46190</v>
      </c>
      <c r="AK12" s="1693">
        <f>MOPFRA!AK12</f>
        <v>46310</v>
      </c>
      <c r="AL12" s="1345">
        <f>MOPFRA!AL12</f>
        <v>51800000000</v>
      </c>
      <c r="AM12" s="29">
        <f>MOPFRA!AM12</f>
        <v>0</v>
      </c>
      <c r="AN12" s="29">
        <f>MOPFRA!AN12</f>
        <v>0</v>
      </c>
      <c r="AO12" s="685">
        <f>MOPFRA!AO12</f>
        <v>0.13</v>
      </c>
      <c r="AP12" s="174">
        <f>MOPFRA!AP12</f>
        <v>0</v>
      </c>
      <c r="AQ12" s="1416">
        <f>MOPFRA!AQ12</f>
        <v>8636</v>
      </c>
      <c r="AR12" s="1416">
        <f>MOPFRA!AR12</f>
        <v>4204</v>
      </c>
      <c r="AS12" s="766">
        <f>MOPFRA!AS12</f>
        <v>23822.372246696035</v>
      </c>
      <c r="AT12" s="984">
        <f>MOPFRA!AT12</f>
        <v>4</v>
      </c>
      <c r="AU12" s="376">
        <f>MOPFRA!AU12</f>
        <v>1.5438428893285723</v>
      </c>
      <c r="AV12" s="99">
        <f>MOPFRA!AV12</f>
        <v>2.5995216117376208</v>
      </c>
      <c r="AW12" s="2380">
        <f>MOPFRA!AW12</f>
        <v>5310</v>
      </c>
      <c r="AX12" s="2380">
        <f>MOPFRA!AX12</f>
        <v>3072</v>
      </c>
      <c r="AY12" s="2374">
        <f>MOPFRA!AY12</f>
        <v>0.57899999999999996</v>
      </c>
      <c r="AZ12" s="2370">
        <f>MOPFRA!AZ12</f>
        <v>0.41499999999999998</v>
      </c>
      <c r="BA12" s="2372">
        <f>MOPFRA!BA12</f>
        <v>0.48699999999999999</v>
      </c>
      <c r="BB12" s="2373">
        <f>MOPFRA!BB12</f>
        <v>0.30299999999999999</v>
      </c>
      <c r="BC12" s="2375">
        <f>MOPFRA!BC12</f>
        <v>10</v>
      </c>
      <c r="BD12" s="2376">
        <f>MOPFRA!BD12</f>
        <v>0.39200000000000002</v>
      </c>
      <c r="BE12" s="2370">
        <f>MOPFRA!BE12</f>
        <v>0.25</v>
      </c>
      <c r="BF12" s="2371">
        <f>MOPFRA!BF12</f>
        <v>0.309</v>
      </c>
      <c r="BG12" s="1422">
        <f>MOPFRA!BG12</f>
        <v>0.14599999999999999</v>
      </c>
      <c r="BH12" s="306">
        <f>MOPFRA!BH12</f>
        <v>0.18699999999999994</v>
      </c>
      <c r="BI12" s="1861">
        <f>MOPFRA!BI12</f>
        <v>3971.8799999999987</v>
      </c>
      <c r="BJ12" s="306">
        <f>MOPFRA!BJ12</f>
        <v>0.16499999999999998</v>
      </c>
      <c r="BK12" s="99">
        <f>MOPFRA!BK12</f>
        <v>0</v>
      </c>
      <c r="BL12" s="306">
        <f>MOPFRA!BL12</f>
        <v>1.7584960915581329</v>
      </c>
      <c r="BM12" s="99">
        <f>MOPFRA!BM12</f>
        <v>10</v>
      </c>
      <c r="BN12" s="15">
        <f>MOPFRA!BN12</f>
        <v>0</v>
      </c>
      <c r="BO12" s="1803">
        <f>MOPFRA!BO12</f>
        <v>3</v>
      </c>
      <c r="BP12" s="842">
        <f>MOPFRA!BP12</f>
        <v>1</v>
      </c>
      <c r="BQ12" s="16">
        <f>MOPFRA!BQ12</f>
        <v>403</v>
      </c>
      <c r="BR12" s="16">
        <f>MOPFRA!BR12</f>
        <v>0</v>
      </c>
      <c r="BS12" s="16">
        <f>MOPFRA!BS12</f>
        <v>0</v>
      </c>
      <c r="BT12" s="1253">
        <f>MOPFRA!BT12</f>
        <v>1806.2490194410902</v>
      </c>
      <c r="BU12" s="1246">
        <f>MOPFRA!BU12</f>
        <v>1612.7413127413129</v>
      </c>
      <c r="BV12" s="406">
        <f>MOPFRA!BV12</f>
        <v>0</v>
      </c>
      <c r="BW12" s="407">
        <f>MOPFRA!BW12</f>
        <v>4.1532729315838353</v>
      </c>
      <c r="BX12" s="99">
        <f>MOPFRA!BX12</f>
        <v>4.2336353420808237</v>
      </c>
      <c r="BY12" s="18">
        <f>MOPFRA!BY12</f>
        <v>8855.1849603524242</v>
      </c>
      <c r="BZ12" s="18">
        <f>MOPFRA!BZ12</f>
        <v>4362.7520759193358</v>
      </c>
      <c r="CA12" s="18">
        <f>MOPFRA!CA12</f>
        <v>13793.153530837004</v>
      </c>
      <c r="CB12" s="1710">
        <f>MOPFRA!CB12</f>
        <v>3.3024355089039488</v>
      </c>
      <c r="CC12" s="266">
        <f>MOPFRA!CC12</f>
        <v>841</v>
      </c>
      <c r="CD12" s="267">
        <f>MOPFRA!CD12</f>
        <v>8.43</v>
      </c>
      <c r="CE12" s="99">
        <f>MOPFRA!CE12</f>
        <v>-10</v>
      </c>
      <c r="CF12" s="17">
        <f>MOPFRA!CF12</f>
        <v>1.021096684087798</v>
      </c>
      <c r="CG12" s="99">
        <f>MOPFRA!CG12</f>
        <v>3.9156132636488081</v>
      </c>
      <c r="CH12" s="494">
        <f>MOPFRA!CH12</f>
        <v>0.40809184572341695</v>
      </c>
      <c r="CI12" s="99">
        <f>MOPFRA!CI12</f>
        <v>0.12137768585125386</v>
      </c>
      <c r="CJ12" s="20">
        <f>MOPFRA!CJ12</f>
        <v>0</v>
      </c>
      <c r="CK12" s="691">
        <f>MOPFRA!CK12</f>
        <v>5180</v>
      </c>
      <c r="CL12" s="419">
        <f>MOPFRA!CL12</f>
        <v>1478</v>
      </c>
      <c r="CM12" s="468">
        <f>MOPFRA!CM12</f>
        <v>18</v>
      </c>
      <c r="CN12" s="843">
        <f>MOPFRA!CN12</f>
        <v>3</v>
      </c>
      <c r="CO12" s="21">
        <f>MOPFRA!CO12</f>
        <v>2087</v>
      </c>
      <c r="CP12" s="21">
        <f>MOPFRA!CP12</f>
        <v>0</v>
      </c>
      <c r="CQ12" s="469">
        <f>MOPFRA!CQ12</f>
        <v>2088.5</v>
      </c>
      <c r="CR12" s="1239">
        <f>MOPFRA!CR12</f>
        <v>3112.7899735682822</v>
      </c>
      <c r="CS12" s="21">
        <f>MOPFRA!CS12</f>
        <v>3565</v>
      </c>
      <c r="CT12" s="16">
        <f>MOPFRA!CT12</f>
        <v>-150</v>
      </c>
      <c r="CU12" s="154" t="str">
        <f>MOPFRA!CU12</f>
        <v/>
      </c>
      <c r="CV12" s="693">
        <f>MOPFRA!CV12</f>
        <v>8903</v>
      </c>
      <c r="CW12" s="49">
        <f>MOPFRA!CW12</f>
        <v>7527</v>
      </c>
      <c r="CX12" s="21">
        <f>MOPFRA!CX12</f>
        <v>2723</v>
      </c>
      <c r="CY12" s="49">
        <f>MOPFRA!CY12</f>
        <v>1515</v>
      </c>
      <c r="CZ12" s="53">
        <f>MOPFRA!CZ12</f>
        <v>9042</v>
      </c>
      <c r="DA12" s="1058">
        <f>MOPFRA!DA12</f>
        <v>1.7000132855055134</v>
      </c>
      <c r="DB12" s="99">
        <f>MOPFRA!DB12</f>
        <v>4.000106284044108</v>
      </c>
      <c r="DC12" s="53">
        <f>MOPFRA!DC12</f>
        <v>17945</v>
      </c>
      <c r="DD12" s="645">
        <f>MOPFRA!DD12</f>
        <v>0.50387294511005853</v>
      </c>
      <c r="DE12" s="13">
        <f>MOPFRA!DE12</f>
        <v>5149</v>
      </c>
      <c r="DF12" s="24">
        <f>MOPFRA!DF12</f>
        <v>5142</v>
      </c>
      <c r="DG12" s="24">
        <f>MOPFRA!DG12</f>
        <v>1</v>
      </c>
      <c r="DH12" s="51">
        <f>MOPFRA!DH12</f>
        <v>12796</v>
      </c>
      <c r="DI12" s="8">
        <f>MOPFRA!DI12</f>
        <v>5269</v>
      </c>
      <c r="DJ12" s="644">
        <f>MOPFRA!DJ12</f>
        <v>4.521232159175562</v>
      </c>
      <c r="DK12" s="22">
        <f>MOPFRA!DK12</f>
        <v>2223</v>
      </c>
      <c r="DL12" s="22">
        <f>MOPFRA!DL12</f>
        <v>269</v>
      </c>
      <c r="DM12" s="22">
        <f>MOPFRA!DM12</f>
        <v>9505</v>
      </c>
      <c r="DN12" s="138">
        <f>MOPFRA!DN12</f>
        <v>0.50387294511005853</v>
      </c>
      <c r="DO12" s="99">
        <f>MOPFRA!DO12</f>
        <v>0.84992165092440009</v>
      </c>
      <c r="DP12" s="22">
        <f>MOPFRA!DP12</f>
        <v>0</v>
      </c>
      <c r="DQ12" s="8">
        <f>MOPFRA!DQ12</f>
        <v>799</v>
      </c>
      <c r="DR12" s="32">
        <f>MOPFRA!DR12</f>
        <v>-0.19741678318248673</v>
      </c>
      <c r="DS12" s="99">
        <f>MOPFRA!DS12</f>
        <v>0</v>
      </c>
      <c r="DT12" s="8">
        <f>MOPFRA!DT12</f>
        <v>3061.24</v>
      </c>
      <c r="DU12" s="8">
        <f>MOPFRA!DU12</f>
        <v>5805.8687258687269</v>
      </c>
      <c r="DV12" s="235">
        <f>MOPFRA!DV12</f>
        <v>285.32818532818533</v>
      </c>
      <c r="DW12" s="8">
        <f>MOPFRA!DW12</f>
        <v>4576.2184555984559</v>
      </c>
      <c r="DX12" s="411">
        <f>MOPFRA!DX12</f>
        <v>120</v>
      </c>
      <c r="DY12" s="1532">
        <f>MOPFRA!DY12</f>
        <v>260</v>
      </c>
      <c r="DZ12" s="857">
        <f>MOPFRA!DZ12</f>
        <v>6.3631913852178174E-2</v>
      </c>
      <c r="EA12" s="386">
        <f>MOPFRA!EA12</f>
        <v>19.73</v>
      </c>
      <c r="EB12" s="504">
        <f>MOPFRA!EB12</f>
        <v>0</v>
      </c>
      <c r="EC12" s="510">
        <f>MOPFRA!EC12</f>
        <v>27220</v>
      </c>
      <c r="ED12" s="435">
        <f>MOPFRA!ED12</f>
        <v>4083</v>
      </c>
      <c r="EE12" s="510">
        <f>MOPFRA!EE12</f>
        <v>29450</v>
      </c>
      <c r="EF12" s="435">
        <f>MOPFRA!EF12</f>
        <v>7657</v>
      </c>
      <c r="EG12" s="510">
        <f>MOPFRA!EG12</f>
        <v>16950</v>
      </c>
      <c r="EH12" s="435">
        <f>MOPFRA!EH12</f>
        <v>4407</v>
      </c>
      <c r="EI12" s="510">
        <f>MOPFRA!EI12</f>
        <v>21420</v>
      </c>
      <c r="EJ12" s="435">
        <f>MOPFRA!EJ12</f>
        <v>5569</v>
      </c>
      <c r="EK12" s="510">
        <f>MOPFRA!EK12</f>
        <v>3826</v>
      </c>
      <c r="EL12" s="1606">
        <f>MOPFRA!EL12</f>
        <v>19819</v>
      </c>
      <c r="EM12" s="1685">
        <f>MOPFRA!EM12</f>
        <v>3826</v>
      </c>
      <c r="EN12" s="1686">
        <f>MOPFRA!EN12</f>
        <v>19819</v>
      </c>
      <c r="EO12" s="1609">
        <f>MOPFRA!EO12</f>
        <v>3.8540289003183932</v>
      </c>
      <c r="EP12" s="1648">
        <f>MOPFRA!EP12</f>
        <v>9</v>
      </c>
      <c r="EQ12"/>
    </row>
    <row r="13" spans="1:147" ht="35" customHeight="1">
      <c r="A13" s="100">
        <f>MOPFRA!A13</f>
        <v>24.251489960105612</v>
      </c>
      <c r="B13" s="99">
        <f>MOPFRA!B13</f>
        <v>20.551489960105613</v>
      </c>
      <c r="C13" s="1585">
        <f ca="1">MOPFRA!C13</f>
        <v>0.28259446071946076</v>
      </c>
      <c r="D13" s="1651">
        <f>MOPFRA!D13</f>
        <v>1.952366686791053</v>
      </c>
      <c r="E13" s="1414">
        <f>MOPFRA!E13</f>
        <v>6.1</v>
      </c>
      <c r="F13" s="1415">
        <f>MOPFRA!F13</f>
        <v>3.7000000000000006</v>
      </c>
      <c r="G13" s="2124">
        <f>MOPFRA!G13</f>
        <v>-8.1632192128888938</v>
      </c>
      <c r="H13" s="2379">
        <f>MOPFRA!H13</f>
        <v>1.3478760045924225</v>
      </c>
      <c r="I13" s="2379">
        <f>MOPFRA!I13</f>
        <v>0.69759450171821302</v>
      </c>
      <c r="J13" s="2379">
        <f>MOPFRA!J13</f>
        <v>1.1227863046044864</v>
      </c>
      <c r="K13" s="1942">
        <f>MOPFRA!K13</f>
        <v>14</v>
      </c>
      <c r="L13" s="1587">
        <f>MOPFRA!L13</f>
        <v>8</v>
      </c>
      <c r="M13" s="1582" t="str">
        <f>MOPFRA!M13</f>
        <v>BB</v>
      </c>
      <c r="N13" s="1582" t="str">
        <f>MOPFRA!N13</f>
        <v>BB</v>
      </c>
      <c r="O13" s="179" t="str">
        <f>MOPFRA!O13</f>
        <v/>
      </c>
      <c r="P13" s="856" t="str">
        <f>MOPFRA!P13</f>
        <v>F</v>
      </c>
      <c r="Q13" s="1571" t="str">
        <f>MOPFRA!Q13</f>
        <v>سالمين‌</v>
      </c>
      <c r="R13" s="1571" t="str">
        <f>MOPFRA!R13</f>
        <v>غسالم</v>
      </c>
      <c r="S13" s="1572">
        <f>MOPFRA!S13</f>
        <v>12</v>
      </c>
      <c r="T13" s="66">
        <f>MOPFRA!T13</f>
        <v>4884</v>
      </c>
      <c r="U13" s="258">
        <f>MOPFRA!U13</f>
        <v>8140</v>
      </c>
      <c r="V13" s="338">
        <f>MOPFRA!V13</f>
        <v>2.91</v>
      </c>
      <c r="W13" s="258">
        <f>MOPFRA!W13</f>
        <v>8140</v>
      </c>
      <c r="X13" s="337">
        <f>MOPFRA!X13</f>
        <v>2.91</v>
      </c>
      <c r="Y13" s="1708">
        <f>MOPFRA!Y13</f>
        <v>6201</v>
      </c>
      <c r="Z13" s="661" t="str">
        <f>MOPFRA!Z13</f>
        <v/>
      </c>
      <c r="AA13" s="2382">
        <f>MOPFRA!AA13</f>
        <v>0.15297450424929179</v>
      </c>
      <c r="AB13" s="511">
        <f ca="1">MOPFRA!AB13</f>
        <v>4.4383561643835619E-2</v>
      </c>
      <c r="AC13" s="823">
        <f ca="1">MOPFRA!AC13</f>
        <v>-60.32830144747566</v>
      </c>
      <c r="AD13" s="1150">
        <f>MOPFRA!AD13</f>
        <v>0.15297450424929179</v>
      </c>
      <c r="AE13" s="1150">
        <f>MOPFRA!AE13</f>
        <v>1.4567404426559356</v>
      </c>
      <c r="AF13" s="1150">
        <f>MOPFRA!AF13</f>
        <v>1.7028223574986165</v>
      </c>
      <c r="AG13" s="1150">
        <f>MOPFRA!AG13</f>
        <v>0.8641221374045801</v>
      </c>
      <c r="AH13" s="1150">
        <f>MOPFRA!AH13</f>
        <v>2.3659545141281875</v>
      </c>
      <c r="AI13" s="275">
        <f ca="1">MOPFRA!AI13</f>
        <v>347</v>
      </c>
      <c r="AJ13" s="1120">
        <f>MOPFRA!AJ13</f>
        <v>46221</v>
      </c>
      <c r="AK13" s="1693">
        <f>MOPFRA!AK13</f>
        <v>46290</v>
      </c>
      <c r="AL13" s="1345">
        <f>MOPFRA!AL13</f>
        <v>6000000000</v>
      </c>
      <c r="AM13" s="29">
        <f>MOPFRA!AM13</f>
        <v>0</v>
      </c>
      <c r="AN13" s="29">
        <f>MOPFRA!AN13</f>
        <v>0</v>
      </c>
      <c r="AO13" s="685">
        <f>MOPFRA!AO13</f>
        <v>0.39</v>
      </c>
      <c r="AP13" s="174">
        <f>MOPFRA!AP13</f>
        <v>0</v>
      </c>
      <c r="AQ13" s="1416">
        <f>MOPFRA!AQ13</f>
        <v>3210</v>
      </c>
      <c r="AR13" s="1416">
        <f>MOPFRA!AR13</f>
        <v>710</v>
      </c>
      <c r="AS13" s="766">
        <f>MOPFRA!AS13</f>
        <v>6398.0909873708388</v>
      </c>
      <c r="AT13" s="984">
        <f>MOPFRA!AT13</f>
        <v>4</v>
      </c>
      <c r="AU13" s="376">
        <f>MOPFRA!AU13</f>
        <v>0.76335269530247452</v>
      </c>
      <c r="AV13" s="99">
        <f>MOPFRA!AV13</f>
        <v>0.978925903346336</v>
      </c>
      <c r="AW13" s="2380">
        <f>MOPFRA!AW13</f>
        <v>1482</v>
      </c>
      <c r="AX13" s="2380">
        <f>MOPFRA!AX13</f>
        <v>350</v>
      </c>
      <c r="AY13" s="2374">
        <f>MOPFRA!AY13</f>
        <v>0.23599999999999999</v>
      </c>
      <c r="AZ13" s="2370">
        <f>MOPFRA!AZ13</f>
        <v>0.17499999999999999</v>
      </c>
      <c r="BA13" s="2372">
        <f>MOPFRA!BA13</f>
        <v>0.221</v>
      </c>
      <c r="BB13" s="2373">
        <f>MOPFRA!BB13</f>
        <v>0.24099999999999999</v>
      </c>
      <c r="BC13" s="2375">
        <f>MOPFRA!BC13</f>
        <v>3.7000000000000006</v>
      </c>
      <c r="BD13" s="2376">
        <f>MOPFRA!BD13</f>
        <v>0.185</v>
      </c>
      <c r="BE13" s="2370">
        <f>MOPFRA!BE13</f>
        <v>0.14799999999999999</v>
      </c>
      <c r="BF13" s="2371">
        <f>MOPFRA!BF13</f>
        <v>0.17799999999999999</v>
      </c>
      <c r="BG13" s="1688">
        <f>MOPFRA!BG13</f>
        <v>0.21199999999999999</v>
      </c>
      <c r="BH13" s="306">
        <f>MOPFRA!BH13</f>
        <v>5.099999999999999E-2</v>
      </c>
      <c r="BI13" s="1861">
        <f>MOPFRA!BI13</f>
        <v>302.32799999999992</v>
      </c>
      <c r="BJ13" s="306">
        <f>MOPFRA!BJ13</f>
        <v>2.6999999999999996E-2</v>
      </c>
      <c r="BK13" s="99">
        <f>MOPFRA!BK13</f>
        <v>0</v>
      </c>
      <c r="BL13" s="306">
        <f>MOPFRA!BL13</f>
        <v>0.99317476242082203</v>
      </c>
      <c r="BM13" s="99">
        <f>MOPFRA!BM13</f>
        <v>10</v>
      </c>
      <c r="BN13" s="15">
        <f>MOPFRA!BN13</f>
        <v>0</v>
      </c>
      <c r="BO13" s="1803">
        <f>MOPFRA!BO13</f>
        <v>3</v>
      </c>
      <c r="BP13" s="842">
        <f>MOPFRA!BP13</f>
        <v>1</v>
      </c>
      <c r="BQ13" s="16">
        <f>MOPFRA!BQ13</f>
        <v>460</v>
      </c>
      <c r="BR13" s="16">
        <f>MOPFRA!BR13</f>
        <v>0</v>
      </c>
      <c r="BS13" s="16">
        <f>MOPFRA!BS13</f>
        <v>0</v>
      </c>
      <c r="BT13" s="1253">
        <f>MOPFRA!BT13</f>
        <v>2064.4113877726754</v>
      </c>
      <c r="BU13" s="1246">
        <f>MOPFRA!BU13</f>
        <v>1918.3333333333333</v>
      </c>
      <c r="BV13" s="406">
        <f>MOPFRA!BV13</f>
        <v>0</v>
      </c>
      <c r="BW13" s="407">
        <f>MOPFRA!BW13</f>
        <v>4.0876333132089471</v>
      </c>
      <c r="BX13" s="99">
        <f>MOPFRA!BX13</f>
        <v>4.5618334339552646</v>
      </c>
      <c r="BY13" s="18">
        <f>MOPFRA!BY13</f>
        <v>1194.8234163318027</v>
      </c>
      <c r="BZ13" s="18">
        <f>MOPFRA!BZ13</f>
        <v>808.60927152317879</v>
      </c>
      <c r="CA13" s="18">
        <f>MOPFRA!CA13</f>
        <v>1509.9494730195179</v>
      </c>
      <c r="CB13" s="1710">
        <f>MOPFRA!CB13</f>
        <v>4.1067599352179416</v>
      </c>
      <c r="CC13" s="266">
        <f>MOPFRA!CC13</f>
        <v>1348</v>
      </c>
      <c r="CD13" s="267">
        <f>MOPFRA!CD13</f>
        <v>6.04</v>
      </c>
      <c r="CE13" s="99">
        <f>MOPFRA!CE13</f>
        <v>-3.12</v>
      </c>
      <c r="CF13" s="17">
        <f>MOPFRA!CF13</f>
        <v>1.1533084982804933</v>
      </c>
      <c r="CG13" s="99">
        <f>MOPFRA!CG13</f>
        <v>3.3867660068780268</v>
      </c>
      <c r="CH13" s="494">
        <f>MOPFRA!CH13</f>
        <v>0.25623491664846726</v>
      </c>
      <c r="CI13" s="99">
        <f>MOPFRA!CI13</f>
        <v>-2.1564762502729913</v>
      </c>
      <c r="CJ13" s="20">
        <f>MOPFRA!CJ13</f>
        <v>0</v>
      </c>
      <c r="CK13" s="691">
        <f>MOPFRA!CK13</f>
        <v>600</v>
      </c>
      <c r="CL13" s="419">
        <f>MOPFRA!CL13</f>
        <v>926</v>
      </c>
      <c r="CM13" s="468">
        <f>MOPFRA!CM13</f>
        <v>55</v>
      </c>
      <c r="CN13" s="843">
        <f>MOPFRA!CN13</f>
        <v>2</v>
      </c>
      <c r="CO13" s="21">
        <f>MOPFRA!CO13</f>
        <v>276</v>
      </c>
      <c r="CP13" s="21">
        <f>MOPFRA!CP13</f>
        <v>0</v>
      </c>
      <c r="CQ13" s="469">
        <f>MOPFRA!CQ13</f>
        <v>287.75</v>
      </c>
      <c r="CR13" s="1239">
        <f>MOPFRA!CR13</f>
        <v>394.54894422120174</v>
      </c>
      <c r="CS13" s="21">
        <f>MOPFRA!CS13</f>
        <v>1202</v>
      </c>
      <c r="CT13" s="16">
        <f>MOPFRA!CT13</f>
        <v>0</v>
      </c>
      <c r="CU13" s="154" t="str">
        <f>MOPFRA!CU13</f>
        <v/>
      </c>
      <c r="CV13" s="693">
        <f>MOPFRA!CV13</f>
        <v>1865</v>
      </c>
      <c r="CW13" s="49">
        <f>MOPFRA!CW13</f>
        <v>1149</v>
      </c>
      <c r="CX13" s="21">
        <f>MOPFRA!CX13</f>
        <v>151</v>
      </c>
      <c r="CY13" s="49">
        <f>MOPFRA!CY13</f>
        <v>229</v>
      </c>
      <c r="CZ13" s="53">
        <f>MOPFRA!CZ13</f>
        <v>1378</v>
      </c>
      <c r="DA13" s="1058">
        <f>MOPFRA!DA13</f>
        <v>2.4351610095735423</v>
      </c>
      <c r="DB13" s="99">
        <f>MOPFRA!DB13</f>
        <v>6</v>
      </c>
      <c r="DC13" s="53">
        <f>MOPFRA!DC13</f>
        <v>3243</v>
      </c>
      <c r="DD13" s="645">
        <f>MOPFRA!DD13</f>
        <v>0.42491520197348137</v>
      </c>
      <c r="DE13" s="13">
        <f>MOPFRA!DE13</f>
        <v>445</v>
      </c>
      <c r="DF13" s="24">
        <f>MOPFRA!DF13</f>
        <v>445</v>
      </c>
      <c r="DG13" s="24">
        <f>MOPFRA!DG13</f>
        <v>0</v>
      </c>
      <c r="DH13" s="51">
        <f>MOPFRA!DH13</f>
        <v>2798</v>
      </c>
      <c r="DI13" s="8">
        <f>MOPFRA!DI13</f>
        <v>1649</v>
      </c>
      <c r="DJ13" s="644">
        <f>MOPFRA!DJ13</f>
        <v>3.8799824059253116</v>
      </c>
      <c r="DK13" s="22">
        <f>MOPFRA!DK13</f>
        <v>334</v>
      </c>
      <c r="DL13" s="22">
        <f>MOPFRA!DL13</f>
        <v>61</v>
      </c>
      <c r="DM13" s="22">
        <f>MOPFRA!DM13</f>
        <v>2022</v>
      </c>
      <c r="DN13" s="138">
        <f>MOPFRA!DN13</f>
        <v>0.42491520197348137</v>
      </c>
      <c r="DO13" s="99">
        <f>MOPFRA!DO13</f>
        <v>0.90044086619897767</v>
      </c>
      <c r="DP13" s="22">
        <f>MOPFRA!DP13</f>
        <v>0</v>
      </c>
      <c r="DQ13" s="8">
        <f>MOPFRA!DQ13</f>
        <v>381</v>
      </c>
      <c r="DR13" s="32">
        <f>MOPFRA!DR13</f>
        <v>-0.10000334626961928</v>
      </c>
      <c r="DS13" s="99">
        <f>MOPFRA!DS13</f>
        <v>0</v>
      </c>
      <c r="DT13" s="8">
        <f>MOPFRA!DT13</f>
        <v>4906.72</v>
      </c>
      <c r="DU13" s="8">
        <f>MOPFRA!DU13</f>
        <v>6906</v>
      </c>
      <c r="DV13" s="235">
        <f>MOPFRA!DV13</f>
        <v>1543.3333333333333</v>
      </c>
      <c r="DW13" s="8">
        <f>MOPFRA!DW13</f>
        <v>6678.0266666666676</v>
      </c>
      <c r="DX13" s="411">
        <f>MOPFRA!DX13</f>
        <v>69</v>
      </c>
      <c r="DY13" s="1532">
        <f>MOPFRA!DY13</f>
        <v>350</v>
      </c>
      <c r="DZ13" s="857">
        <f>MOPFRA!DZ13</f>
        <v>4.7233468286099867E-2</v>
      </c>
      <c r="EA13" s="386">
        <f>MOPFRA!EA13</f>
        <v>0.33800000000000002</v>
      </c>
      <c r="EB13" s="504">
        <f>MOPFRA!EB13</f>
        <v>0</v>
      </c>
      <c r="EC13" s="510">
        <f>MOPFRA!EC13</f>
        <v>3238</v>
      </c>
      <c r="ED13" s="435">
        <f>MOPFRA!ED13</f>
        <v>1451</v>
      </c>
      <c r="EE13" s="510">
        <f>MOPFRA!EE13</f>
        <v>5850</v>
      </c>
      <c r="EF13" s="435">
        <f>MOPFRA!EF13</f>
        <v>2620</v>
      </c>
      <c r="EG13" s="510">
        <f>MOPFRA!EG13</f>
        <v>4035</v>
      </c>
      <c r="EH13" s="435">
        <f>MOPFRA!EH13</f>
        <v>1807</v>
      </c>
      <c r="EI13" s="510">
        <f>MOPFRA!EI13</f>
        <v>3313</v>
      </c>
      <c r="EJ13" s="435">
        <f>MOPFRA!EJ13</f>
        <v>1988</v>
      </c>
      <c r="EK13" s="510">
        <f>MOPFRA!EK13</f>
        <v>7060</v>
      </c>
      <c r="EL13" s="1606">
        <f>MOPFRA!EL13</f>
        <v>4236</v>
      </c>
      <c r="EM13" s="1224">
        <f>MOPFRA!EM13</f>
        <v>7060</v>
      </c>
      <c r="EN13" s="834">
        <f>MOPFRA!EN13</f>
        <v>4236</v>
      </c>
      <c r="EO13" s="835">
        <f>MOPFRA!EO13</f>
        <v>1.9193659545141282</v>
      </c>
      <c r="EP13" s="1648">
        <f>MOPFRA!EP13</f>
        <v>14</v>
      </c>
      <c r="EQ13"/>
    </row>
    <row r="14" spans="1:147" ht="35" customHeight="1">
      <c r="A14" s="100">
        <f>MOPFRA!A14</f>
        <v>22.537123972438035</v>
      </c>
      <c r="B14" s="99">
        <f>MOPFRA!B14</f>
        <v>20.037123972438032</v>
      </c>
      <c r="C14" s="1585">
        <f ca="1">MOPFRA!C14</f>
        <v>0.35360424408253976</v>
      </c>
      <c r="D14" s="1651">
        <f>MOPFRA!D14</f>
        <v>2.9950139723083997</v>
      </c>
      <c r="E14" s="1414">
        <f>MOPFRA!E14</f>
        <v>2.599999999999997</v>
      </c>
      <c r="F14" s="1415">
        <f>MOPFRA!F14</f>
        <v>2.5000000000000022</v>
      </c>
      <c r="G14" s="2124">
        <f>MOPFRA!G14</f>
        <v>16.218014216720452</v>
      </c>
      <c r="H14" s="2379">
        <f>MOPFRA!H14</f>
        <v>0.47426067907995617</v>
      </c>
      <c r="I14" s="2379">
        <f>MOPFRA!I14</f>
        <v>1.6872852233676976</v>
      </c>
      <c r="J14" s="2379">
        <f>MOPFRA!J14</f>
        <v>10.302521008403362</v>
      </c>
      <c r="K14" s="1942">
        <f>MOPFRA!K14</f>
        <v>38</v>
      </c>
      <c r="L14" s="1587">
        <f>MOPFRA!L14</f>
        <v>14</v>
      </c>
      <c r="M14" s="1582" t="str">
        <f>MOPFRA!M14</f>
        <v>B</v>
      </c>
      <c r="N14" s="1582" t="str">
        <f>MOPFRA!N14</f>
        <v>BB</v>
      </c>
      <c r="O14" s="179" t="str">
        <f>MOPFRA!O14</f>
        <v/>
      </c>
      <c r="P14" s="856" t="str">
        <f>MOPFRA!P14</f>
        <v>AP</v>
      </c>
      <c r="Q14" s="1571" t="str">
        <f>MOPFRA!Q14</f>
        <v>توليدي برنا باطري</v>
      </c>
      <c r="R14" s="1571" t="str">
        <f>MOPFRA!R14</f>
        <v>خبرنا</v>
      </c>
      <c r="S14" s="1572">
        <f>MOPFRA!S14</f>
        <v>12</v>
      </c>
      <c r="T14" s="66">
        <f>MOPFRA!T14</f>
        <v>3295</v>
      </c>
      <c r="U14" s="258">
        <f>MOPFRA!U14</f>
        <v>6570</v>
      </c>
      <c r="V14" s="338">
        <f>MOPFRA!V14</f>
        <v>2.66</v>
      </c>
      <c r="W14" s="258">
        <f>MOPFRA!W14</f>
        <v>6590</v>
      </c>
      <c r="X14" s="337">
        <f>MOPFRA!X14</f>
        <v>2.97</v>
      </c>
      <c r="Y14" s="1708">
        <f>MOPFRA!Y14</f>
        <v>4050</v>
      </c>
      <c r="Z14" s="661" t="str">
        <f>MOPFRA!Z14</f>
        <v/>
      </c>
      <c r="AA14" s="2382">
        <f>MOPFRA!AA14</f>
        <v>0.14211438474870017</v>
      </c>
      <c r="AB14" s="511">
        <f ca="1">MOPFRA!AB14</f>
        <v>5.6712328767123295E-2</v>
      </c>
      <c r="AC14" s="823">
        <f ca="1">MOPFRA!AC14</f>
        <v>-37.131328687642124</v>
      </c>
      <c r="AD14" s="1150">
        <f>MOPFRA!AD14</f>
        <v>0.14211438474870017</v>
      </c>
      <c r="AE14" s="1150">
        <f>MOPFRA!AE14</f>
        <v>0.10942760942760943</v>
      </c>
      <c r="AF14" s="1150" t="str">
        <f>MOPFRA!AF14</f>
        <v/>
      </c>
      <c r="AG14" s="1150" t="str">
        <f>MOPFRA!AG14</f>
        <v/>
      </c>
      <c r="AH14" s="1150" t="str">
        <f>MOPFRA!AH14</f>
        <v/>
      </c>
      <c r="AI14" s="275">
        <f ca="1">MOPFRA!AI14</f>
        <v>342</v>
      </c>
      <c r="AJ14" s="1120">
        <f>MOPFRA!AJ14</f>
        <v>46216</v>
      </c>
      <c r="AK14" s="1693">
        <f>MOPFRA!AK14</f>
        <v>46255</v>
      </c>
      <c r="AL14" s="1345">
        <f>MOPFRA!AL14</f>
        <v>5000000000</v>
      </c>
      <c r="AM14" s="29">
        <f>MOPFRA!AM14</f>
        <v>0</v>
      </c>
      <c r="AN14" s="29">
        <f>MOPFRA!AN14</f>
        <v>0</v>
      </c>
      <c r="AO14" s="685">
        <f>MOPFRA!AO14</f>
        <v>0.05</v>
      </c>
      <c r="AP14" s="174">
        <f>MOPFRA!AP14</f>
        <v>0</v>
      </c>
      <c r="AQ14" s="1416">
        <f>MOPFRA!AQ14</f>
        <v>2996</v>
      </c>
      <c r="AR14" s="1416">
        <f>MOPFRA!AR14</f>
        <v>565</v>
      </c>
      <c r="AS14" s="766">
        <f>MOPFRA!AS14</f>
        <v>4075.1924972617744</v>
      </c>
      <c r="AT14" s="984">
        <f>MOPFRA!AT14</f>
        <v>4</v>
      </c>
      <c r="AU14" s="376">
        <f>MOPFRA!AU14</f>
        <v>0.80855076225576938</v>
      </c>
      <c r="AV14" s="99">
        <f>MOPFRA!AV14</f>
        <v>0</v>
      </c>
      <c r="AW14" s="2380">
        <f>MOPFRA!AW14</f>
        <v>782</v>
      </c>
      <c r="AX14" s="2380">
        <f>MOPFRA!AX14</f>
        <v>280</v>
      </c>
      <c r="AY14" s="2374">
        <f>MOPFRA!AY14</f>
        <v>0.35799999999999998</v>
      </c>
      <c r="AZ14" s="2370">
        <f>MOPFRA!AZ14</f>
        <v>0.33200000000000002</v>
      </c>
      <c r="BA14" s="2372">
        <f>MOPFRA!BA14</f>
        <v>0.189</v>
      </c>
      <c r="BB14" s="2373">
        <f>MOPFRA!BB14</f>
        <v>0.20200000000000001</v>
      </c>
      <c r="BC14" s="2375">
        <f>MOPFRA!BC14</f>
        <v>2.5000000000000022</v>
      </c>
      <c r="BD14" s="2376">
        <f>MOPFRA!BD14</f>
        <v>0.26300000000000001</v>
      </c>
      <c r="BE14" s="2370">
        <f>MOPFRA!BE14</f>
        <v>0.23799999999999999</v>
      </c>
      <c r="BF14" s="2371">
        <f>MOPFRA!BF14</f>
        <v>0.13200000000000001</v>
      </c>
      <c r="BG14" s="1422">
        <f>MOPFRA!BG14</f>
        <v>0.16300000000000001</v>
      </c>
      <c r="BH14" s="306">
        <f>MOPFRA!BH14</f>
        <v>9.4999999999999973E-2</v>
      </c>
      <c r="BI14" s="1861">
        <f>MOPFRA!BI14</f>
        <v>297.15999999999991</v>
      </c>
      <c r="BJ14" s="306">
        <f>MOPFRA!BJ14</f>
        <v>9.4000000000000028E-2</v>
      </c>
      <c r="BK14" s="99">
        <f>MOPFRA!BK14</f>
        <v>0</v>
      </c>
      <c r="BL14" s="306">
        <f>MOPFRA!BL14</f>
        <v>0.36021111390579919</v>
      </c>
      <c r="BM14" s="99">
        <f>MOPFRA!BM14</f>
        <v>6.5429018747129701</v>
      </c>
      <c r="BN14" s="15">
        <f>MOPFRA!BN14</f>
        <v>0</v>
      </c>
      <c r="BO14" s="1803">
        <f>MOPFRA!BO14</f>
        <v>3</v>
      </c>
      <c r="BP14" s="842">
        <f>MOPFRA!BP14</f>
        <v>1</v>
      </c>
      <c r="BQ14" s="16">
        <f>MOPFRA!BQ14</f>
        <v>462</v>
      </c>
      <c r="BR14" s="16">
        <f>MOPFRA!BR14</f>
        <v>0</v>
      </c>
      <c r="BS14" s="16">
        <f>MOPFRA!BS14</f>
        <v>0</v>
      </c>
      <c r="BT14" s="1253">
        <f>MOPFRA!BT14</f>
        <v>2251.5512535596936</v>
      </c>
      <c r="BU14" s="1246">
        <f>MOPFRA!BU14</f>
        <v>1848</v>
      </c>
      <c r="BV14" s="406">
        <f>MOPFRA!BV14</f>
        <v>0</v>
      </c>
      <c r="BW14" s="407">
        <f>MOPFRA!BW14</f>
        <v>3.2149860276916002</v>
      </c>
      <c r="BX14" s="99">
        <f>MOPFRA!BX14</f>
        <v>8.9250698615419992</v>
      </c>
      <c r="BY14" s="18">
        <f>MOPFRA!BY14</f>
        <v>1024.8878133899234</v>
      </c>
      <c r="BZ14" s="18">
        <f>MOPFRA!BZ14</f>
        <v>530.59581320450889</v>
      </c>
      <c r="CA14" s="18">
        <f>MOPFRA!CA14</f>
        <v>1458.9189140197152</v>
      </c>
      <c r="CB14" s="1710">
        <f>MOPFRA!CB14</f>
        <v>2.7760281678994465</v>
      </c>
      <c r="CC14" s="266">
        <f>MOPFRA!CC14</f>
        <v>1058</v>
      </c>
      <c r="CD14" s="267">
        <f>MOPFRA!CD14</f>
        <v>6.21</v>
      </c>
      <c r="CE14" s="99">
        <f>MOPFRA!CE14</f>
        <v>-3.63</v>
      </c>
      <c r="CF14" s="17">
        <f>MOPFRA!CF14</f>
        <v>0.98059513135965348</v>
      </c>
      <c r="CG14" s="99">
        <f>MOPFRA!CG14</f>
        <v>4.0776194745613861</v>
      </c>
      <c r="CH14" s="494">
        <f>MOPFRA!CH14</f>
        <v>0.27476885077477842</v>
      </c>
      <c r="CI14" s="99">
        <f>MOPFRA!CI14</f>
        <v>-1.8784672383783241</v>
      </c>
      <c r="CJ14" s="20">
        <f>MOPFRA!CJ14</f>
        <v>0</v>
      </c>
      <c r="CK14" s="691">
        <f>MOPFRA!CK14</f>
        <v>500</v>
      </c>
      <c r="CL14" s="419">
        <f>MOPFRA!CL14</f>
        <v>793</v>
      </c>
      <c r="CM14" s="468">
        <f>MOPFRA!CM14</f>
        <v>54</v>
      </c>
      <c r="CN14" s="843">
        <f>MOPFRA!CN14</f>
        <v>25</v>
      </c>
      <c r="CO14" s="21">
        <f>MOPFRA!CO14</f>
        <v>231</v>
      </c>
      <c r="CP14" s="21">
        <f>MOPFRA!CP14</f>
        <v>0</v>
      </c>
      <c r="CQ14" s="469">
        <f>MOPFRA!CQ14</f>
        <v>231</v>
      </c>
      <c r="CR14" s="1239">
        <f>MOPFRA!CR14</f>
        <v>357.25854225994891</v>
      </c>
      <c r="CS14" s="21">
        <f>MOPFRA!CS14</f>
        <v>1024</v>
      </c>
      <c r="CT14" s="16">
        <f>MOPFRA!CT14</f>
        <v>0</v>
      </c>
      <c r="CU14" s="154" t="str">
        <f>MOPFRA!CU14</f>
        <v/>
      </c>
      <c r="CV14" s="693">
        <f>MOPFRA!CV14</f>
        <v>1575</v>
      </c>
      <c r="CW14" s="49">
        <f>MOPFRA!CW14</f>
        <v>992</v>
      </c>
      <c r="CX14" s="21">
        <f>MOPFRA!CX14</f>
        <v>140</v>
      </c>
      <c r="CY14" s="49">
        <f>MOPFRA!CY14</f>
        <v>13</v>
      </c>
      <c r="CZ14" s="53">
        <f>MOPFRA!CZ14</f>
        <v>1005</v>
      </c>
      <c r="DA14" s="1058">
        <f>MOPFRA!DA14</f>
        <v>2.1723790322580645</v>
      </c>
      <c r="DB14" s="99">
        <f>MOPFRA!DB14</f>
        <v>6</v>
      </c>
      <c r="DC14" s="53">
        <f>MOPFRA!DC14</f>
        <v>2580</v>
      </c>
      <c r="DD14" s="645">
        <f>MOPFRA!DD14</f>
        <v>0.38953488372093026</v>
      </c>
      <c r="DE14" s="13">
        <f>MOPFRA!DE14</f>
        <v>425</v>
      </c>
      <c r="DF14" s="24">
        <f>MOPFRA!DF14</f>
        <v>376</v>
      </c>
      <c r="DG14" s="24">
        <f>MOPFRA!DG14</f>
        <v>49</v>
      </c>
      <c r="DH14" s="51">
        <f>MOPFRA!DH14</f>
        <v>2155</v>
      </c>
      <c r="DI14" s="8">
        <f>MOPFRA!DI14</f>
        <v>1163</v>
      </c>
      <c r="DJ14" s="644">
        <f>MOPFRA!DJ14</f>
        <v>3.5040348213772781</v>
      </c>
      <c r="DK14" s="22">
        <f>MOPFRA!DK14</f>
        <v>1630</v>
      </c>
      <c r="DL14" s="22">
        <f>MOPFRA!DL14</f>
        <v>9</v>
      </c>
      <c r="DM14" s="22">
        <f>MOPFRA!DM14</f>
        <v>255</v>
      </c>
      <c r="DN14" s="138">
        <f>MOPFRA!DN14</f>
        <v>0.38953488372093026</v>
      </c>
      <c r="DO14" s="99">
        <f>MOPFRA!DO14</f>
        <v>0</v>
      </c>
      <c r="DP14" s="22">
        <f>MOPFRA!DP14</f>
        <v>241</v>
      </c>
      <c r="DQ14" s="8">
        <f>MOPFRA!DQ14</f>
        <v>20</v>
      </c>
      <c r="DR14" s="32">
        <f>MOPFRA!DR14</f>
        <v>6.9229344434035583E-2</v>
      </c>
      <c r="DS14" s="99">
        <f>MOPFRA!DS14</f>
        <v>0</v>
      </c>
      <c r="DT14" s="8">
        <f>MOPFRA!DT14</f>
        <v>3851.12</v>
      </c>
      <c r="DU14" s="8">
        <f>MOPFRA!DU14</f>
        <v>6652.8</v>
      </c>
      <c r="DV14" s="235">
        <f>MOPFRA!DV14</f>
        <v>1586</v>
      </c>
      <c r="DW14" s="8">
        <f>MOPFRA!DW14</f>
        <v>6044.96</v>
      </c>
      <c r="DX14" s="411">
        <f>MOPFRA!DX14</f>
        <v>39</v>
      </c>
      <c r="DY14" s="1532">
        <f>MOPFRA!DY14</f>
        <v>400</v>
      </c>
      <c r="DZ14" s="857">
        <f>MOPFRA!DZ14</f>
        <v>6.4829821717990274E-2</v>
      </c>
      <c r="EA14" s="386">
        <f>MOPFRA!EA14</f>
        <v>0</v>
      </c>
      <c r="EB14" s="504">
        <f>MOPFRA!EB14</f>
        <v>0</v>
      </c>
      <c r="EC14" s="510">
        <f>MOPFRA!EC14</f>
        <v>0</v>
      </c>
      <c r="ED14" s="435">
        <f>MOPFRA!ED14</f>
        <v>0</v>
      </c>
      <c r="EE14" s="510">
        <f>MOPFRA!EE14</f>
        <v>0</v>
      </c>
      <c r="EF14" s="435">
        <f>MOPFRA!EF14</f>
        <v>0</v>
      </c>
      <c r="EG14" s="510">
        <f>MOPFRA!EG14</f>
        <v>0</v>
      </c>
      <c r="EH14" s="435">
        <f>MOPFRA!EH14</f>
        <v>0</v>
      </c>
      <c r="EI14" s="510">
        <f>MOPFRA!EI14</f>
        <v>5940</v>
      </c>
      <c r="EJ14" s="435">
        <f>MOPFRA!EJ14</f>
        <v>2970</v>
      </c>
      <c r="EK14" s="510">
        <f>MOPFRA!EK14</f>
        <v>5770</v>
      </c>
      <c r="EL14" s="1606">
        <f>MOPFRA!EL14</f>
        <v>2885</v>
      </c>
      <c r="EM14" s="1685">
        <f>MOPFRA!EM14</f>
        <v>5770</v>
      </c>
      <c r="EN14" s="1686">
        <f>MOPFRA!EN14</f>
        <v>2885</v>
      </c>
      <c r="EO14" s="1609" t="str">
        <f>MOPFRA!EO14</f>
        <v/>
      </c>
      <c r="EP14" s="1648" t="str">
        <f>MOPFRA!EP14</f>
        <v>NEW</v>
      </c>
      <c r="EQ14"/>
    </row>
    <row r="15" spans="1:147" ht="35" customHeight="1">
      <c r="A15" s="100">
        <f>MOPFRA!A15</f>
        <v>21.915394470166301</v>
      </c>
      <c r="B15" s="99">
        <f>MOPFRA!B15</f>
        <v>22.915394470166301</v>
      </c>
      <c r="C15" s="1585">
        <f ca="1">MOPFRA!C15</f>
        <v>0.16832968547151153</v>
      </c>
      <c r="D15" s="1651">
        <f>MOPFRA!D15</f>
        <v>3.1881062704957381</v>
      </c>
      <c r="E15" s="1414">
        <f>MOPFRA!E15</f>
        <v>-4.7000000000000046</v>
      </c>
      <c r="F15" s="1415">
        <f>MOPFRA!F15</f>
        <v>-1.0000000000000009</v>
      </c>
      <c r="G15" s="2124">
        <f>MOPFRA!G15</f>
        <v>-2.4543884252858916</v>
      </c>
      <c r="H15" s="2379">
        <f>MOPFRA!H15</f>
        <v>2.4231805929919137</v>
      </c>
      <c r="I15" s="2379">
        <f>MOPFRA!I15</f>
        <v>2.7273936170212765</v>
      </c>
      <c r="J15" s="2379">
        <f>MOPFRA!J15</f>
        <v>2.0871212121212119</v>
      </c>
      <c r="K15" s="1942">
        <f>MOPFRA!K15</f>
        <v>2</v>
      </c>
      <c r="L15" s="1587">
        <f>MOPFRA!L15</f>
        <v>6</v>
      </c>
      <c r="M15" s="1582" t="str">
        <f>MOPFRA!M15</f>
        <v>BB</v>
      </c>
      <c r="N15" s="1582" t="str">
        <f>MOPFRA!N15</f>
        <v>BB</v>
      </c>
      <c r="O15" s="179" t="str">
        <f>MOPFRA!O15</f>
        <v/>
      </c>
      <c r="P15" s="856" t="str">
        <f>MOPFRA!P15</f>
        <v>PH</v>
      </c>
      <c r="Q15" s="1571" t="str">
        <f>MOPFRA!Q15</f>
        <v>دارويي و نهاده هاي زاگرس دارو</v>
      </c>
      <c r="R15" s="1571" t="str">
        <f>MOPFRA!R15</f>
        <v>دزاگرس</v>
      </c>
      <c r="S15" s="1572">
        <f>MOPFRA!S15</f>
        <v>12</v>
      </c>
      <c r="T15" s="66">
        <f>MOPFRA!T15</f>
        <v>16316.3</v>
      </c>
      <c r="U15" s="258">
        <f>MOPFRA!U15</f>
        <v>21130</v>
      </c>
      <c r="V15" s="338">
        <f>MOPFRA!V15</f>
        <v>2.67</v>
      </c>
      <c r="W15" s="258">
        <f>MOPFRA!W15</f>
        <v>21190</v>
      </c>
      <c r="X15" s="337">
        <f>MOPFRA!X15</f>
        <v>2.96</v>
      </c>
      <c r="Y15" s="1708">
        <f>MOPFRA!Y15</f>
        <v>19623.3</v>
      </c>
      <c r="Z15" s="661" t="str">
        <f>MOPFRA!Z15</f>
        <v/>
      </c>
      <c r="AA15" s="2382">
        <f>MOPFRA!AA15</f>
        <v>0.12409920771615565</v>
      </c>
      <c r="AB15" s="511">
        <f ca="1">MOPFRA!AB15</f>
        <v>3.6986301369863014E-2</v>
      </c>
      <c r="AC15" s="823">
        <f ca="1">MOPFRA!AC15</f>
        <v>-58.075270897528426</v>
      </c>
      <c r="AD15" s="1150">
        <f>MOPFRA!AD15</f>
        <v>0.12409920771615565</v>
      </c>
      <c r="AE15" s="1150">
        <f>MOPFRA!AE15</f>
        <v>2.0372859270290395</v>
      </c>
      <c r="AF15" s="1150" t="str">
        <f>MOPFRA!AF15</f>
        <v/>
      </c>
      <c r="AG15" s="1150" t="str">
        <f>MOPFRA!AG15</f>
        <v/>
      </c>
      <c r="AH15" s="1150" t="str">
        <f>MOPFRA!AH15</f>
        <v/>
      </c>
      <c r="AI15" s="275">
        <f ca="1">MOPFRA!AI15</f>
        <v>350</v>
      </c>
      <c r="AJ15" s="1120">
        <f>MOPFRA!AJ15</f>
        <v>46224</v>
      </c>
      <c r="AK15" s="1693">
        <f>MOPFRA!AK15</f>
        <v>46299</v>
      </c>
      <c r="AL15" s="1345">
        <f>MOPFRA!AL15</f>
        <v>7700000000</v>
      </c>
      <c r="AM15" s="29">
        <f>MOPFRA!AM15</f>
        <v>0</v>
      </c>
      <c r="AN15" s="29">
        <f>MOPFRA!AN15</f>
        <v>0</v>
      </c>
      <c r="AO15" s="685">
        <f>MOPFRA!AO15</f>
        <v>0.05</v>
      </c>
      <c r="AP15" s="174">
        <f>MOPFRA!AP15</f>
        <v>0</v>
      </c>
      <c r="AQ15" s="1416">
        <f>MOPFRA!AQ15</f>
        <v>3615</v>
      </c>
      <c r="AR15" s="1416">
        <f>MOPFRA!AR15</f>
        <v>2001</v>
      </c>
      <c r="AS15" s="766">
        <f>MOPFRA!AS15</f>
        <v>10622.898921832884</v>
      </c>
      <c r="AT15" s="984">
        <f>MOPFRA!AT15</f>
        <v>4</v>
      </c>
      <c r="AU15" s="376">
        <f>MOPFRA!AU15</f>
        <v>1.5359554976528733</v>
      </c>
      <c r="AV15" s="99">
        <f>MOPFRA!AV15</f>
        <v>2.6783955284946104</v>
      </c>
      <c r="AW15" s="2380">
        <f>MOPFRA!AW15</f>
        <v>2803</v>
      </c>
      <c r="AX15" s="2380">
        <f>MOPFRA!AX15</f>
        <v>1406</v>
      </c>
      <c r="AY15" s="2374">
        <f>MOPFRA!AY15</f>
        <v>0.502</v>
      </c>
      <c r="AZ15" s="2370">
        <f>MOPFRA!AZ15</f>
        <v>0.54900000000000004</v>
      </c>
      <c r="BA15" s="2372">
        <f>MOPFRA!BA15</f>
        <v>0.55400000000000005</v>
      </c>
      <c r="BB15" s="2373">
        <f>MOPFRA!BB15</f>
        <v>0.55700000000000005</v>
      </c>
      <c r="BC15" s="2375">
        <f>MOPFRA!BC15</f>
        <v>-1.0000000000000009</v>
      </c>
      <c r="BD15" s="2376">
        <f>MOPFRA!BD15</f>
        <v>0.377</v>
      </c>
      <c r="BE15" s="2370">
        <f>MOPFRA!BE15</f>
        <v>0.38700000000000001</v>
      </c>
      <c r="BF15" s="2371">
        <f>MOPFRA!BF15</f>
        <v>0.40400000000000003</v>
      </c>
      <c r="BG15" s="1422">
        <f>MOPFRA!BG15</f>
        <v>0.38200000000000001</v>
      </c>
      <c r="BH15" s="306">
        <f>MOPFRA!BH15</f>
        <v>0.125</v>
      </c>
      <c r="BI15" s="1861">
        <f>MOPFRA!BI15</f>
        <v>1401.5</v>
      </c>
      <c r="BJ15" s="306">
        <f>MOPFRA!BJ15</f>
        <v>0.16200000000000003</v>
      </c>
      <c r="BK15" s="99">
        <f>MOPFRA!BK15</f>
        <v>0</v>
      </c>
      <c r="BL15" s="306">
        <f>MOPFRA!BL15</f>
        <v>1.9385612508528034</v>
      </c>
      <c r="BM15" s="99">
        <f>MOPFRA!BM15</f>
        <v>10</v>
      </c>
      <c r="BN15" s="15">
        <f>MOPFRA!BN15</f>
        <v>0</v>
      </c>
      <c r="BO15" s="1803">
        <f>MOPFRA!BO15</f>
        <v>3</v>
      </c>
      <c r="BP15" s="842">
        <f>MOPFRA!BP15</f>
        <v>1</v>
      </c>
      <c r="BQ15" s="16">
        <f>MOPFRA!BQ15</f>
        <v>1428</v>
      </c>
      <c r="BR15" s="16">
        <f>MOPFRA!BR15</f>
        <v>0</v>
      </c>
      <c r="BS15" s="16">
        <f>MOPFRA!BS15</f>
        <v>0</v>
      </c>
      <c r="BT15" s="1253">
        <f>MOPFRA!BT15</f>
        <v>5288.0946669233736</v>
      </c>
      <c r="BU15" s="1246">
        <f>MOPFRA!BU15</f>
        <v>5714.2857142857147</v>
      </c>
      <c r="BV15" s="406">
        <f>MOPFRA!BV15</f>
        <v>0</v>
      </c>
      <c r="BW15" s="407">
        <f>MOPFRA!BW15</f>
        <v>3.8518937295042619</v>
      </c>
      <c r="BX15" s="99">
        <f>MOPFRA!BX15</f>
        <v>5.7405313524786905</v>
      </c>
      <c r="BY15" s="18">
        <f>MOPFRA!BY15</f>
        <v>4235.9164467654991</v>
      </c>
      <c r="BZ15" s="18">
        <f>MOPFRA!BZ15</f>
        <v>2317.65625</v>
      </c>
      <c r="CA15" s="18">
        <f>MOPFRA!CA15</f>
        <v>5332.6952587601081</v>
      </c>
      <c r="CB15" s="1710">
        <f>MOPFRA!CB15</f>
        <v>3.6798089986043125</v>
      </c>
      <c r="CC15" s="266">
        <f>MOPFRA!CC15</f>
        <v>3000</v>
      </c>
      <c r="CD15" s="267">
        <f>MOPFRA!CD15</f>
        <v>7.04</v>
      </c>
      <c r="CE15" s="99">
        <f>MOPFRA!CE15</f>
        <v>-6.12</v>
      </c>
      <c r="CF15" s="17">
        <f>MOPFRA!CF15</f>
        <v>0.84279282768337282</v>
      </c>
      <c r="CG15" s="99">
        <f>MOPFRA!CG15</f>
        <v>4.6288286892665091</v>
      </c>
      <c r="CH15" s="494">
        <f>MOPFRA!CH15</f>
        <v>0.43705287317019181</v>
      </c>
      <c r="CI15" s="99">
        <f>MOPFRA!CI15</f>
        <v>0.55579309755287687</v>
      </c>
      <c r="CJ15" s="20">
        <f>MOPFRA!CJ15</f>
        <v>0</v>
      </c>
      <c r="CK15" s="691">
        <f>MOPFRA!CK15</f>
        <v>770</v>
      </c>
      <c r="CL15" s="419">
        <f>MOPFRA!CL15</f>
        <v>1350</v>
      </c>
      <c r="CM15" s="468">
        <f>MOPFRA!CM15</f>
        <v>67</v>
      </c>
      <c r="CN15" s="843">
        <f>MOPFRA!CN15</f>
        <v>42</v>
      </c>
      <c r="CO15" s="21">
        <f>MOPFRA!CO15</f>
        <v>1100</v>
      </c>
      <c r="CP15" s="21">
        <f>MOPFRA!CP15</f>
        <v>0</v>
      </c>
      <c r="CQ15" s="469">
        <f>MOPFRA!CQ15</f>
        <v>1100</v>
      </c>
      <c r="CR15" s="1239">
        <f>MOPFRA!CR15</f>
        <v>1334.9442978436657</v>
      </c>
      <c r="CS15" s="21">
        <f>MOPFRA!CS15</f>
        <v>2450</v>
      </c>
      <c r="CT15" s="16">
        <f>MOPFRA!CT15</f>
        <v>-60</v>
      </c>
      <c r="CU15" s="154" t="str">
        <f>MOPFRA!CU15</f>
        <v/>
      </c>
      <c r="CV15" s="693">
        <f>MOPFRA!CV15</f>
        <v>3296</v>
      </c>
      <c r="CW15" s="49">
        <f>MOPFRA!CW15</f>
        <v>3335</v>
      </c>
      <c r="CX15" s="21">
        <f>MOPFRA!CX15</f>
        <v>1192</v>
      </c>
      <c r="CY15" s="49">
        <f>MOPFRA!CY15</f>
        <v>235</v>
      </c>
      <c r="CZ15" s="53">
        <f>MOPFRA!CZ15</f>
        <v>3570</v>
      </c>
      <c r="DA15" s="1058">
        <f>MOPFRA!DA15</f>
        <v>1.9178410794602698</v>
      </c>
      <c r="DB15" s="99">
        <f>MOPFRA!DB15</f>
        <v>5.742728635682159</v>
      </c>
      <c r="DC15" s="53">
        <f>MOPFRA!DC15</f>
        <v>6866</v>
      </c>
      <c r="DD15" s="645">
        <f>MOPFRA!DD15</f>
        <v>0.51995339353335279</v>
      </c>
      <c r="DE15" s="13">
        <f>MOPFRA!DE15</f>
        <v>470</v>
      </c>
      <c r="DF15" s="24">
        <f>MOPFRA!DF15</f>
        <v>469</v>
      </c>
      <c r="DG15" s="24">
        <f>MOPFRA!DG15</f>
        <v>0</v>
      </c>
      <c r="DH15" s="51">
        <f>MOPFRA!DH15</f>
        <v>6396</v>
      </c>
      <c r="DI15" s="8">
        <f>MOPFRA!DI15</f>
        <v>3061</v>
      </c>
      <c r="DJ15" s="644">
        <f>MOPFRA!DJ15</f>
        <v>3.4704014772404066</v>
      </c>
      <c r="DK15" s="22">
        <f>MOPFRA!DK15</f>
        <v>1161</v>
      </c>
      <c r="DL15" s="22">
        <f>MOPFRA!DL15</f>
        <v>263</v>
      </c>
      <c r="DM15" s="22">
        <f>MOPFRA!DM15</f>
        <v>3938</v>
      </c>
      <c r="DN15" s="138">
        <f>MOPFRA!DN15</f>
        <v>0.51995339353335279</v>
      </c>
      <c r="DO15" s="99">
        <f>MOPFRA!DO15</f>
        <v>0.68911716669145751</v>
      </c>
      <c r="DP15" s="22">
        <f>MOPFRA!DP15</f>
        <v>0</v>
      </c>
      <c r="DQ15" s="8">
        <f>MOPFRA!DQ15</f>
        <v>1034</v>
      </c>
      <c r="DR15" s="32">
        <f>MOPFRA!DR15</f>
        <v>-0.22352674251203114</v>
      </c>
      <c r="DS15" s="99">
        <f>MOPFRA!DS15</f>
        <v>-1</v>
      </c>
      <c r="DT15" s="8">
        <f>MOPFRA!DT15</f>
        <v>10920</v>
      </c>
      <c r="DU15" s="8">
        <f>MOPFRA!DU15</f>
        <v>20571.428571428572</v>
      </c>
      <c r="DV15" s="235">
        <f>MOPFRA!DV15</f>
        <v>1753.2467532467533</v>
      </c>
      <c r="DW15" s="8">
        <f>MOPFRA!DW15</f>
        <v>16622.337662337664</v>
      </c>
      <c r="DX15" s="411">
        <f>MOPFRA!DX15</f>
        <v>75</v>
      </c>
      <c r="DY15" s="1532">
        <f>MOPFRA!DY15</f>
        <v>300</v>
      </c>
      <c r="DZ15" s="857">
        <f>MOPFRA!DZ15</f>
        <v>1.5665796344647518E-2</v>
      </c>
      <c r="EA15" s="386">
        <f>MOPFRA!EA15</f>
        <v>3.53</v>
      </c>
      <c r="EB15" s="504">
        <f>MOPFRA!EB15</f>
        <v>0</v>
      </c>
      <c r="EC15" s="510">
        <f>MOPFRA!EC15</f>
        <v>0</v>
      </c>
      <c r="ED15" s="435">
        <f>MOPFRA!ED15</f>
        <v>0</v>
      </c>
      <c r="EE15" s="510">
        <f>MOPFRA!EE15</f>
        <v>0</v>
      </c>
      <c r="EF15" s="435">
        <f>MOPFRA!EF15</f>
        <v>0</v>
      </c>
      <c r="EG15" s="510">
        <f>MOPFRA!EG15</f>
        <v>0</v>
      </c>
      <c r="EH15" s="435">
        <f>MOPFRA!EH15</f>
        <v>0</v>
      </c>
      <c r="EI15" s="510">
        <f>MOPFRA!EI15</f>
        <v>31600</v>
      </c>
      <c r="EJ15" s="435">
        <f>MOPFRA!EJ15</f>
        <v>5372</v>
      </c>
      <c r="EK15" s="510">
        <f>MOPFRA!EK15</f>
        <v>18850</v>
      </c>
      <c r="EL15" s="1606">
        <f>MOPFRA!EL15</f>
        <v>14515</v>
      </c>
      <c r="EM15" s="1685">
        <f>MOPFRA!EM15</f>
        <v>18850</v>
      </c>
      <c r="EN15" s="1686">
        <f>MOPFRA!EN15</f>
        <v>14515</v>
      </c>
      <c r="EO15" s="1609" t="str">
        <f>MOPFRA!EO15</f>
        <v/>
      </c>
      <c r="EP15" s="1648" t="str">
        <f>MOPFRA!EP15</f>
        <v>NEW</v>
      </c>
      <c r="EQ15"/>
    </row>
    <row r="16" spans="1:147" ht="35" customHeight="1">
      <c r="A16" s="100">
        <f>MOPFRA!A16</f>
        <v>21.973793847562622</v>
      </c>
      <c r="B16" s="99">
        <f>MOPFRA!B16</f>
        <v>11.973793847562622</v>
      </c>
      <c r="C16" s="1585">
        <f ca="1">MOPFRA!C16</f>
        <v>0.21917477602718566</v>
      </c>
      <c r="D16" s="1651">
        <f>MOPFRA!D16</f>
        <v>2.6407948169983704</v>
      </c>
      <c r="E16" s="1414">
        <f>MOPFRA!E16</f>
        <v>28.500000000000004</v>
      </c>
      <c r="F16" s="1415">
        <f>MOPFRA!F16</f>
        <v>26.3</v>
      </c>
      <c r="G16" s="2124">
        <f>MOPFRA!G16</f>
        <v>27.340047640340437</v>
      </c>
      <c r="H16" s="2379">
        <f>MOPFRA!H16</f>
        <v>0.8349433011339773</v>
      </c>
      <c r="I16" s="2379">
        <f>MOPFRA!I16</f>
        <v>2.190051967334818E-2</v>
      </c>
      <c r="J16" s="2379">
        <f>MOPFRA!J16</f>
        <v>1.025883524141364</v>
      </c>
      <c r="K16" s="1942">
        <f>MOPFRA!K16</f>
        <v>28</v>
      </c>
      <c r="L16" s="1587">
        <f>MOPFRA!L16</f>
        <v>3</v>
      </c>
      <c r="M16" s="1582" t="str">
        <f>MOPFRA!M16</f>
        <v>BB</v>
      </c>
      <c r="N16" s="1582" t="str">
        <f>MOPFRA!N16</f>
        <v>BB</v>
      </c>
      <c r="O16" s="179" t="str">
        <f>MOPFRA!O16</f>
        <v/>
      </c>
      <c r="P16" s="856" t="str">
        <f>MOPFRA!P16</f>
        <v>M</v>
      </c>
      <c r="Q16" s="1571" t="str">
        <f>MOPFRA!Q16</f>
        <v>فولاد اميركبيركاشان</v>
      </c>
      <c r="R16" s="1571" t="str">
        <f>MOPFRA!R16</f>
        <v>فجر</v>
      </c>
      <c r="S16" s="1572">
        <f>MOPFRA!S16</f>
        <v>12</v>
      </c>
      <c r="T16" s="66">
        <f>MOPFRA!T16</f>
        <v>9960</v>
      </c>
      <c r="U16" s="258">
        <f>MOPFRA!U16</f>
        <v>4980</v>
      </c>
      <c r="V16" s="338">
        <f>MOPFRA!V16</f>
        <v>2.89</v>
      </c>
      <c r="W16" s="258">
        <f>MOPFRA!W16</f>
        <v>4980</v>
      </c>
      <c r="X16" s="337">
        <f>MOPFRA!X16</f>
        <v>2.89</v>
      </c>
      <c r="Y16" s="1708">
        <f>MOPFRA!Y16</f>
        <v>13088</v>
      </c>
      <c r="Z16" s="661" t="str">
        <f>MOPFRA!Z16</f>
        <v/>
      </c>
      <c r="AA16" s="2382">
        <f>MOPFRA!AA16</f>
        <v>1.1057082452431291</v>
      </c>
      <c r="AB16" s="511">
        <f ca="1">MOPFRA!AB16</f>
        <v>0.17506849315068493</v>
      </c>
      <c r="AC16" s="823">
        <f ca="1">MOPFRA!AC16</f>
        <v>-131.07602142147101</v>
      </c>
      <c r="AD16" s="1150">
        <f>MOPFRA!AD16</f>
        <v>1.1057082452431291</v>
      </c>
      <c r="AE16" s="1150">
        <f>MOPFRA!AE16</f>
        <v>1.4221789883268483</v>
      </c>
      <c r="AF16" s="1150">
        <f>MOPFRA!AF16</f>
        <v>0.70694087403598971</v>
      </c>
      <c r="AG16" s="1150">
        <f>MOPFRA!AG16</f>
        <v>0.52340165188130927</v>
      </c>
      <c r="AH16" s="1150">
        <f>MOPFRA!AH16</f>
        <v>1.1396348012889366</v>
      </c>
      <c r="AI16" s="275">
        <f ca="1">MOPFRA!AI16</f>
        <v>294</v>
      </c>
      <c r="AJ16" s="1120">
        <f>MOPFRA!AJ16</f>
        <v>46168</v>
      </c>
      <c r="AK16" s="1693">
        <f>MOPFRA!AK16</f>
        <v>46290</v>
      </c>
      <c r="AL16" s="1345">
        <f>MOPFRA!AL16</f>
        <v>20000000000</v>
      </c>
      <c r="AM16" s="29">
        <f>MOPFRA!AM16</f>
        <v>0</v>
      </c>
      <c r="AN16" s="29">
        <f>MOPFRA!AN16</f>
        <v>0</v>
      </c>
      <c r="AO16" s="685">
        <f>MOPFRA!AO16</f>
        <v>0.27</v>
      </c>
      <c r="AP16" s="174">
        <f>MOPFRA!AP16</f>
        <v>0</v>
      </c>
      <c r="AQ16" s="1416">
        <f>MOPFRA!AQ16</f>
        <v>9834</v>
      </c>
      <c r="AR16" s="1416">
        <f>MOPFRA!AR16</f>
        <v>1257</v>
      </c>
      <c r="AS16" s="766">
        <f>MOPFRA!AS16</f>
        <v>15254.666211675767</v>
      </c>
      <c r="AT16" s="984">
        <f>MOPFRA!AT16</f>
        <v>4</v>
      </c>
      <c r="AU16" s="376">
        <f>MOPFRA!AU16</f>
        <v>0.65291497446051727</v>
      </c>
      <c r="AV16" s="99">
        <f>MOPFRA!AV16</f>
        <v>0.87634797847292445</v>
      </c>
      <c r="AW16" s="2380">
        <f>MOPFRA!AW16</f>
        <v>2753</v>
      </c>
      <c r="AX16" s="2380">
        <f>MOPFRA!AX16</f>
        <v>1201</v>
      </c>
      <c r="AY16" s="2374">
        <f>MOPFRA!AY16</f>
        <v>0.436</v>
      </c>
      <c r="AZ16" s="2370">
        <f>MOPFRA!AZ16</f>
        <v>0.151</v>
      </c>
      <c r="BA16" s="2372">
        <f>MOPFRA!BA16</f>
        <v>0.128</v>
      </c>
      <c r="BB16" s="2373">
        <f>MOPFRA!BB16</f>
        <v>0.13600000000000001</v>
      </c>
      <c r="BC16" s="2375">
        <f>MOPFRA!BC16</f>
        <v>10</v>
      </c>
      <c r="BD16" s="2376">
        <f>MOPFRA!BD16</f>
        <v>0.32400000000000001</v>
      </c>
      <c r="BE16" s="2370">
        <f>MOPFRA!BE16</f>
        <v>6.0999999999999999E-2</v>
      </c>
      <c r="BF16" s="2371">
        <f>MOPFRA!BF16</f>
        <v>7.3999999999999996E-2</v>
      </c>
      <c r="BG16" s="1422">
        <f>MOPFRA!BG16</f>
        <v>8.7999999999999995E-2</v>
      </c>
      <c r="BH16" s="306">
        <f>MOPFRA!BH16</f>
        <v>0.11199999999999999</v>
      </c>
      <c r="BI16" s="1861">
        <f>MOPFRA!BI16</f>
        <v>1233.3439999999998</v>
      </c>
      <c r="BJ16" s="306">
        <f>MOPFRA!BJ16</f>
        <v>0.09</v>
      </c>
      <c r="BK16" s="99">
        <f>MOPFRA!BK16</f>
        <v>0</v>
      </c>
      <c r="BL16" s="306">
        <f>MOPFRA!BL16</f>
        <v>0.55121682038598407</v>
      </c>
      <c r="BM16" s="99">
        <f>MOPFRA!BM16</f>
        <v>-10</v>
      </c>
      <c r="BN16" s="15">
        <f>MOPFRA!BN16</f>
        <v>0</v>
      </c>
      <c r="BO16" s="1803">
        <f>MOPFRA!BO16</f>
        <v>3</v>
      </c>
      <c r="BP16" s="842">
        <f>MOPFRA!BP16</f>
        <v>1</v>
      </c>
      <c r="BQ16" s="16">
        <f>MOPFRA!BQ16</f>
        <v>485</v>
      </c>
      <c r="BR16" s="16">
        <f>MOPFRA!BR16</f>
        <v>0</v>
      </c>
      <c r="BS16" s="16">
        <f>MOPFRA!BS16</f>
        <v>0</v>
      </c>
      <c r="BT16" s="1253">
        <f>MOPFRA!BT16</f>
        <v>2786.7559262914742</v>
      </c>
      <c r="BU16" s="1246">
        <f>MOPFRA!BU16</f>
        <v>2097.5</v>
      </c>
      <c r="BV16" s="406">
        <f>MOPFRA!BV16</f>
        <v>0</v>
      </c>
      <c r="BW16" s="407">
        <f>MOPFRA!BW16</f>
        <v>2.0392051830016293</v>
      </c>
      <c r="BX16" s="99">
        <f>MOPFRA!BX16</f>
        <v>10</v>
      </c>
      <c r="BY16" s="18">
        <f>MOPFRA!BY16</f>
        <v>4884.2559262914747</v>
      </c>
      <c r="BZ16" s="18">
        <f>MOPFRA!BZ16</f>
        <v>2128.2051282051284</v>
      </c>
      <c r="CA16" s="18">
        <f>MOPFRA!CA16</f>
        <v>6651.0344682906343</v>
      </c>
      <c r="CB16" s="1710">
        <f>MOPFRA!CB16</f>
        <v>1.9678141892660668</v>
      </c>
      <c r="CC16" s="266">
        <f>MOPFRA!CC16</f>
        <v>1065</v>
      </c>
      <c r="CD16" s="267">
        <f>MOPFRA!CD16</f>
        <v>4.68</v>
      </c>
      <c r="CE16" s="99">
        <f>MOPFRA!CE16</f>
        <v>0.96000000000000085</v>
      </c>
      <c r="CF16" s="17">
        <f>MOPFRA!CF16</f>
        <v>0.89143567939649548</v>
      </c>
      <c r="CG16" s="99">
        <f>MOPFRA!CG16</f>
        <v>4.4342572824140181</v>
      </c>
      <c r="CH16" s="494">
        <f>MOPFRA!CH16</f>
        <v>0.41888987360990348</v>
      </c>
      <c r="CI16" s="99">
        <f>MOPFRA!CI16</f>
        <v>0.28334810414855194</v>
      </c>
      <c r="CJ16" s="20">
        <f>MOPFRA!CJ16</f>
        <v>0</v>
      </c>
      <c r="CK16" s="691">
        <f>MOPFRA!CK16</f>
        <v>2000</v>
      </c>
      <c r="CL16" s="419">
        <f>MOPFRA!CL16</f>
        <v>784</v>
      </c>
      <c r="CM16" s="468">
        <f>MOPFRA!CM16</f>
        <v>631</v>
      </c>
      <c r="CN16" s="843">
        <f>MOPFRA!CN16</f>
        <v>80</v>
      </c>
      <c r="CO16" s="21">
        <f>MOPFRA!CO16</f>
        <v>971</v>
      </c>
      <c r="CP16" s="21">
        <f>MOPFRA!CP16</f>
        <v>0</v>
      </c>
      <c r="CQ16" s="469">
        <f>MOPFRA!CQ16</f>
        <v>1048.75</v>
      </c>
      <c r="CR16" s="1239">
        <f>MOPFRA!CR16</f>
        <v>1647.5039508609827</v>
      </c>
      <c r="CS16" s="21">
        <f>MOPFRA!CS16</f>
        <v>1755</v>
      </c>
      <c r="CT16" s="16">
        <f>MOPFRA!CT16</f>
        <v>0</v>
      </c>
      <c r="CU16" s="154" t="str">
        <f>MOPFRA!CU16</f>
        <v/>
      </c>
      <c r="CV16" s="693">
        <f>MOPFRA!CV16</f>
        <v>3955</v>
      </c>
      <c r="CW16" s="49">
        <f>MOPFRA!CW16</f>
        <v>4204</v>
      </c>
      <c r="CX16" s="21">
        <f>MOPFRA!CX16</f>
        <v>835</v>
      </c>
      <c r="CY16" s="49">
        <f>MOPFRA!CY16</f>
        <v>150</v>
      </c>
      <c r="CZ16" s="53">
        <f>MOPFRA!CZ16</f>
        <v>4354</v>
      </c>
      <c r="DA16" s="1058">
        <f>MOPFRA!DA16</f>
        <v>1.832778306374881</v>
      </c>
      <c r="DB16" s="99">
        <f>MOPFRA!DB16</f>
        <v>5.0622264509990487</v>
      </c>
      <c r="DC16" s="53">
        <f>MOPFRA!DC16</f>
        <v>8309</v>
      </c>
      <c r="DD16" s="645">
        <f>MOPFRA!DD16</f>
        <v>0.52401010951979776</v>
      </c>
      <c r="DE16" s="13">
        <f>MOPFRA!DE16</f>
        <v>604</v>
      </c>
      <c r="DF16" s="24">
        <f>MOPFRA!DF16</f>
        <v>563</v>
      </c>
      <c r="DG16" s="24">
        <f>MOPFRA!DG16</f>
        <v>1</v>
      </c>
      <c r="DH16" s="51">
        <f>MOPFRA!DH16</f>
        <v>7705</v>
      </c>
      <c r="DI16" s="8">
        <f>MOPFRA!DI16</f>
        <v>3501</v>
      </c>
      <c r="DJ16" s="644">
        <f>MOPFRA!DJ16</f>
        <v>4.3572311372967061</v>
      </c>
      <c r="DK16" s="22">
        <f>MOPFRA!DK16</f>
        <v>4501</v>
      </c>
      <c r="DL16" s="22">
        <f>MOPFRA!DL16</f>
        <v>825</v>
      </c>
      <c r="DM16" s="22">
        <f>MOPFRA!DM16</f>
        <v>1151</v>
      </c>
      <c r="DN16" s="138">
        <f>MOPFRA!DN16</f>
        <v>0.52401010951979776</v>
      </c>
      <c r="DO16" s="99">
        <f>MOPFRA!DO16</f>
        <v>0.35761403152807625</v>
      </c>
      <c r="DP16" s="22">
        <f>MOPFRA!DP16</f>
        <v>401</v>
      </c>
      <c r="DQ16" s="8">
        <f>MOPFRA!DQ16</f>
        <v>827</v>
      </c>
      <c r="DR16" s="32">
        <f>MOPFRA!DR16</f>
        <v>-6.5253007192960955E-2</v>
      </c>
      <c r="DS16" s="99">
        <f>MOPFRA!DS16</f>
        <v>0</v>
      </c>
      <c r="DT16" s="8">
        <f>MOPFRA!DT16</f>
        <v>3876.6</v>
      </c>
      <c r="DU16" s="8">
        <f>MOPFRA!DU16</f>
        <v>7551</v>
      </c>
      <c r="DV16" s="235">
        <f>MOPFRA!DV16</f>
        <v>392</v>
      </c>
      <c r="DW16" s="8">
        <f>MOPFRA!DW16</f>
        <v>5909.8</v>
      </c>
      <c r="DX16" s="411">
        <f>MOPFRA!DX16</f>
        <v>122</v>
      </c>
      <c r="DY16" s="1532">
        <f>MOPFRA!DY16</f>
        <v>475</v>
      </c>
      <c r="DZ16" s="857">
        <f>MOPFRA!DZ16</f>
        <v>0.16725352112676056</v>
      </c>
      <c r="EA16" s="386">
        <f>MOPFRA!EA16</f>
        <v>0.33329999999999999</v>
      </c>
      <c r="EB16" s="504">
        <f>MOPFRA!EB16</f>
        <v>0</v>
      </c>
      <c r="EC16" s="510">
        <f>MOPFRA!EC16</f>
        <v>18940</v>
      </c>
      <c r="ED16" s="435">
        <f>MOPFRA!ED16</f>
        <v>4655</v>
      </c>
      <c r="EE16" s="510">
        <f>MOPFRA!EE16</f>
        <v>7730</v>
      </c>
      <c r="EF16" s="435">
        <f>MOPFRA!EF16</f>
        <v>6538</v>
      </c>
      <c r="EG16" s="510">
        <f>MOPFRA!EG16</f>
        <v>3890</v>
      </c>
      <c r="EH16" s="435">
        <f>MOPFRA!EH16</f>
        <v>5835</v>
      </c>
      <c r="EI16" s="510">
        <f>MOPFRA!EI16</f>
        <v>2741</v>
      </c>
      <c r="EJ16" s="435">
        <f>MOPFRA!EJ16</f>
        <v>4112</v>
      </c>
      <c r="EK16" s="510">
        <f>MOPFRA!EK16</f>
        <v>2365</v>
      </c>
      <c r="EL16" s="1606">
        <f>MOPFRA!EL16</f>
        <v>4730</v>
      </c>
      <c r="EM16" s="1685">
        <f>MOPFRA!EM16</f>
        <v>2365</v>
      </c>
      <c r="EN16" s="1686">
        <f>MOPFRA!EN16</f>
        <v>4730</v>
      </c>
      <c r="EO16" s="1609">
        <f>MOPFRA!EO16</f>
        <v>1.611170784103115E-2</v>
      </c>
      <c r="EP16" s="1648">
        <f>MOPFRA!EP16</f>
        <v>34</v>
      </c>
      <c r="EQ16"/>
    </row>
    <row r="17" spans="1:147" ht="35" customHeight="1">
      <c r="A17" s="100">
        <f>MOPFRA!A17</f>
        <v>18.611866641113266</v>
      </c>
      <c r="B17" s="99">
        <f>MOPFRA!B17</f>
        <v>13.611866641113265</v>
      </c>
      <c r="C17" s="1585">
        <f ca="1">MOPFRA!C17</f>
        <v>1.7058784671013232</v>
      </c>
      <c r="D17" s="1651">
        <f>MOPFRA!D17</f>
        <v>0.32399785399901759</v>
      </c>
      <c r="E17" s="1414">
        <f>MOPFRA!E17</f>
        <v>6.3000000000000016</v>
      </c>
      <c r="F17" s="1415">
        <f>MOPFRA!F17</f>
        <v>5.0000000000000018</v>
      </c>
      <c r="G17" s="2124">
        <f>MOPFRA!G17</f>
        <v>19.298883119513878</v>
      </c>
      <c r="H17" s="2379">
        <f>MOPFRA!H17</f>
        <v>0.5212685228621099</v>
      </c>
      <c r="I17" s="2379">
        <f>MOPFRA!I17</f>
        <v>-1.2070944821449194E-2</v>
      </c>
      <c r="J17" s="2379">
        <f>MOPFRA!J17</f>
        <v>0.47224834680382072</v>
      </c>
      <c r="K17" s="1942">
        <f>MOPFRA!K17</f>
        <v>36</v>
      </c>
      <c r="L17" s="1587">
        <f>MOPFRA!L17</f>
        <v>9</v>
      </c>
      <c r="M17" s="1582" t="str">
        <f>MOPFRA!M17</f>
        <v>B</v>
      </c>
      <c r="N17" s="1582" t="str">
        <f>MOPFRA!N17</f>
        <v>B</v>
      </c>
      <c r="O17" s="179" t="str">
        <f>MOPFRA!O17</f>
        <v/>
      </c>
      <c r="P17" s="856" t="str">
        <f>MOPFRA!P17</f>
        <v>R</v>
      </c>
      <c r="Q17" s="1972" t="str">
        <f>MOPFRA!Q17</f>
        <v>پالايش نفت تهران</v>
      </c>
      <c r="R17" s="1972" t="str">
        <f>MOPFRA!R17</f>
        <v>شتران</v>
      </c>
      <c r="S17" s="1572">
        <f>MOPFRA!S17</f>
        <v>12</v>
      </c>
      <c r="T17" s="66">
        <f>MOPFRA!T17</f>
        <v>294277.5</v>
      </c>
      <c r="U17" s="258">
        <f>MOPFRA!U17</f>
        <v>4510</v>
      </c>
      <c r="V17" s="338">
        <f>MOPFRA!V17</f>
        <v>2.97</v>
      </c>
      <c r="W17" s="258">
        <f>MOPFRA!W17</f>
        <v>4510</v>
      </c>
      <c r="X17" s="337">
        <f>MOPFRA!X17</f>
        <v>2.97</v>
      </c>
      <c r="Y17" s="1708">
        <f>MOPFRA!Y17</f>
        <v>336761.5</v>
      </c>
      <c r="Z17" s="661" t="str">
        <f>MOPFRA!Z17</f>
        <v/>
      </c>
      <c r="AA17" s="2382">
        <f>MOPFRA!AA17</f>
        <v>1.537028096523066</v>
      </c>
      <c r="AB17" s="511">
        <f ca="1">MOPFRA!AB17</f>
        <v>0.88767123287671235</v>
      </c>
      <c r="AC17" s="823">
        <f ca="1">MOPFRA!AC17</f>
        <v>-18.037690656843157</v>
      </c>
      <c r="AD17" s="1150" t="str">
        <f>MOPFRA!AD17</f>
        <v/>
      </c>
      <c r="AE17" s="1150">
        <f>MOPFRA!AE17</f>
        <v>1.537028096523066</v>
      </c>
      <c r="AF17" s="1150">
        <f>MOPFRA!AF17</f>
        <v>1.948642799170349</v>
      </c>
      <c r="AG17" s="1150">
        <f>MOPFRA!AG17</f>
        <v>1.9999847083889779</v>
      </c>
      <c r="AH17" s="1150">
        <f>MOPFRA!AH17</f>
        <v>2.3612507138777841</v>
      </c>
      <c r="AI17" s="275">
        <f ca="1">MOPFRA!AI17</f>
        <v>5</v>
      </c>
      <c r="AJ17" s="1120">
        <f>MOPFRA!AJ17</f>
        <v>46244</v>
      </c>
      <c r="AK17" s="1693">
        <f>MOPFRA!AK17</f>
        <v>46322</v>
      </c>
      <c r="AL17" s="1345">
        <f>MOPFRA!AL17</f>
        <v>652500000000</v>
      </c>
      <c r="AM17" s="29">
        <f>MOPFRA!AM17</f>
        <v>0</v>
      </c>
      <c r="AN17" s="29">
        <f>MOPFRA!AN17</f>
        <v>0</v>
      </c>
      <c r="AO17" s="685">
        <f>MOPFRA!AO17</f>
        <v>0.51619999999999999</v>
      </c>
      <c r="AP17" s="174">
        <f>MOPFRA!AP17</f>
        <v>0</v>
      </c>
      <c r="AQ17" s="1416">
        <f>MOPFRA!AQ17</f>
        <v>456866</v>
      </c>
      <c r="AR17" s="1416">
        <f>MOPFRA!AR17</f>
        <v>97121</v>
      </c>
      <c r="AS17" s="766">
        <f>MOPFRA!AS17</f>
        <v>650494.47474647011</v>
      </c>
      <c r="AT17" s="984">
        <f>MOPFRA!AT17</f>
        <v>4</v>
      </c>
      <c r="AU17" s="376">
        <f>MOPFRA!AU17</f>
        <v>0.46671959837680005</v>
      </c>
      <c r="AV17" s="99">
        <f>MOPFRA!AV17</f>
        <v>-0.29128943445609734</v>
      </c>
      <c r="AW17" s="2380">
        <f>MOPFRA!AW17</f>
        <v>145436</v>
      </c>
      <c r="AX17" s="2380">
        <f>MOPFRA!AX17</f>
        <v>24912</v>
      </c>
      <c r="AY17" s="2374">
        <f>MOPFRA!AY17</f>
        <v>0.17100000000000001</v>
      </c>
      <c r="AZ17" s="2370">
        <f>MOPFRA!AZ17</f>
        <v>0.108</v>
      </c>
      <c r="BA17" s="2372">
        <f>MOPFRA!BA17</f>
        <v>0.21299999999999999</v>
      </c>
      <c r="BB17" s="2373">
        <f>MOPFRA!BB17</f>
        <v>7.2999999999999995E-2</v>
      </c>
      <c r="BC17" s="2375">
        <f>MOPFRA!BC17</f>
        <v>5.0000000000000018</v>
      </c>
      <c r="BD17" s="2376">
        <f>MOPFRA!BD17</f>
        <v>0.13700000000000001</v>
      </c>
      <c r="BE17" s="2370">
        <f>MOPFRA!BE17</f>
        <v>8.6999999999999994E-2</v>
      </c>
      <c r="BF17" s="2371">
        <f>MOPFRA!BF17</f>
        <v>0.16700000000000001</v>
      </c>
      <c r="BG17" s="1422">
        <f>MOPFRA!BG17</f>
        <v>0.06</v>
      </c>
      <c r="BH17" s="306">
        <f>MOPFRA!BH17</f>
        <v>3.4000000000000002E-2</v>
      </c>
      <c r="BI17" s="1861">
        <f>MOPFRA!BI17</f>
        <v>19779.296000000002</v>
      </c>
      <c r="BJ17" s="306">
        <f>MOPFRA!BJ17</f>
        <v>2.1000000000000005E-2</v>
      </c>
      <c r="BK17" s="99">
        <f>MOPFRA!BK17</f>
        <v>0</v>
      </c>
      <c r="BL17" s="306">
        <f>MOPFRA!BL17</f>
        <v>0.42381896386789586</v>
      </c>
      <c r="BM17" s="99">
        <f>MOPFRA!BM17</f>
        <v>-10</v>
      </c>
      <c r="BN17" s="15">
        <f>MOPFRA!BN17</f>
        <v>0</v>
      </c>
      <c r="BO17" s="1803">
        <f>MOPFRA!BO17</f>
        <v>3</v>
      </c>
      <c r="BP17" s="842">
        <f>MOPFRA!BP17</f>
        <v>1</v>
      </c>
      <c r="BQ17" s="16">
        <f>MOPFRA!BQ17</f>
        <v>324</v>
      </c>
      <c r="BR17" s="16">
        <f>MOPFRA!BR17</f>
        <v>0</v>
      </c>
      <c r="BS17" s="16">
        <f>MOPFRA!BS17</f>
        <v>0</v>
      </c>
      <c r="BT17" s="1253">
        <f>MOPFRA!BT17</f>
        <v>1444.7470197741982</v>
      </c>
      <c r="BU17" s="1246">
        <f>MOPFRA!BU17</f>
        <v>1300.2298850574712</v>
      </c>
      <c r="BV17" s="406">
        <f>MOPFRA!BV17</f>
        <v>0</v>
      </c>
      <c r="BW17" s="407">
        <f>MOPFRA!BW17</f>
        <v>3.2860021460009823</v>
      </c>
      <c r="BX17" s="99">
        <f>MOPFRA!BX17</f>
        <v>8.569989269995089</v>
      </c>
      <c r="BY17" s="18">
        <f>MOPFRA!BY17</f>
        <v>89554.871520133223</v>
      </c>
      <c r="BZ17" s="18">
        <f>MOPFRA!BZ17</f>
        <v>81517.313019390582</v>
      </c>
      <c r="CA17" s="18">
        <f>MOPFRA!CA17</f>
        <v>111234.5551816464</v>
      </c>
      <c r="CB17" s="1710">
        <f>MOPFRA!CB17</f>
        <v>3.0274899688326831</v>
      </c>
      <c r="CC17" s="266">
        <f>MOPFRA!CC17</f>
        <v>1249</v>
      </c>
      <c r="CD17" s="267">
        <f>MOPFRA!CD17</f>
        <v>3.61</v>
      </c>
      <c r="CE17" s="99">
        <f>MOPFRA!CE17</f>
        <v>4.17</v>
      </c>
      <c r="CF17" s="17">
        <f>MOPFRA!CF17</f>
        <v>0.54361085191278913</v>
      </c>
      <c r="CG17" s="99">
        <f>MOPFRA!CG17</f>
        <v>5.8255565923488435</v>
      </c>
      <c r="CH17" s="494">
        <f>MOPFRA!CH17</f>
        <v>0.28262070772875325</v>
      </c>
      <c r="CI17" s="99">
        <f>MOPFRA!CI17</f>
        <v>-1.7606893840687015</v>
      </c>
      <c r="CJ17" s="20">
        <f>MOPFRA!CJ17</f>
        <v>0</v>
      </c>
      <c r="CK17" s="691">
        <f>MOPFRA!CK17</f>
        <v>65250</v>
      </c>
      <c r="CL17" s="419">
        <f>MOPFRA!CL17</f>
        <v>48956</v>
      </c>
      <c r="CM17" s="468">
        <f>MOPFRA!CM17</f>
        <v>5152</v>
      </c>
      <c r="CN17" s="843">
        <f>MOPFRA!CN17</f>
        <v>1232</v>
      </c>
      <c r="CO17" s="21">
        <f>MOPFRA!CO17</f>
        <v>21154</v>
      </c>
      <c r="CP17" s="21">
        <f>MOPFRA!CP17</f>
        <v>-2582</v>
      </c>
      <c r="CQ17" s="469">
        <f>MOPFRA!CQ17</f>
        <v>21210</v>
      </c>
      <c r="CR17" s="1239">
        <f>MOPFRA!CR17</f>
        <v>27123.914346755471</v>
      </c>
      <c r="CS17" s="21">
        <f>MOPFRA!CS17</f>
        <v>70110</v>
      </c>
      <c r="CT17" s="16">
        <f>MOPFRA!CT17</f>
        <v>-608</v>
      </c>
      <c r="CU17" s="154" t="str">
        <f>MOPFRA!CU17</f>
        <v/>
      </c>
      <c r="CV17" s="693">
        <f>MOPFRA!CV17</f>
        <v>175007</v>
      </c>
      <c r="CW17" s="49">
        <f>MOPFRA!CW17</f>
        <v>41746</v>
      </c>
      <c r="CX17" s="21">
        <f>MOPFRA!CX17</f>
        <v>0</v>
      </c>
      <c r="CY17" s="49">
        <f>MOPFRA!CY17</f>
        <v>6937</v>
      </c>
      <c r="CZ17" s="378">
        <f>MOPFRA!CZ17</f>
        <v>48683</v>
      </c>
      <c r="DA17" s="1058">
        <f>MOPFRA!DA17</f>
        <v>3.398313610884875</v>
      </c>
      <c r="DB17" s="99">
        <f>MOPFRA!DB17</f>
        <v>6</v>
      </c>
      <c r="DC17" s="53">
        <f>MOPFRA!DC17</f>
        <v>223690</v>
      </c>
      <c r="DD17" s="645">
        <f>MOPFRA!DD17</f>
        <v>0.2176360141266932</v>
      </c>
      <c r="DE17" s="13">
        <f>MOPFRA!DE17</f>
        <v>81824</v>
      </c>
      <c r="DF17" s="24">
        <f>MOPFRA!DF17</f>
        <v>40132</v>
      </c>
      <c r="DG17" s="24">
        <f>MOPFRA!DG17</f>
        <v>31693</v>
      </c>
      <c r="DH17" s="51">
        <f>MOPFRA!DH17</f>
        <v>141866</v>
      </c>
      <c r="DI17" s="8">
        <f>MOPFRA!DI17</f>
        <v>100120</v>
      </c>
      <c r="DJ17" s="644">
        <f>MOPFRA!DJ17</f>
        <v>6.4971481696611075</v>
      </c>
      <c r="DK17" s="22">
        <f>MOPFRA!DK17</f>
        <v>30723</v>
      </c>
      <c r="DL17" s="22">
        <f>MOPFRA!DL17</f>
        <v>358</v>
      </c>
      <c r="DM17" s="22">
        <f>MOPFRA!DM17</f>
        <v>104418</v>
      </c>
      <c r="DN17" s="138">
        <f>MOPFRA!DN17</f>
        <v>0.2176360141266932</v>
      </c>
      <c r="DO17" s="99">
        <f>MOPFRA!DO17</f>
        <v>1.0982995972941312</v>
      </c>
      <c r="DP17" s="22">
        <f>MOPFRA!DP17</f>
        <v>5841</v>
      </c>
      <c r="DQ17" s="8">
        <f>MOPFRA!DQ17</f>
        <v>526</v>
      </c>
      <c r="DR17" s="32">
        <f>MOPFRA!DR17</f>
        <v>5.2510660832523016E-2</v>
      </c>
      <c r="DS17" s="99">
        <f>MOPFRA!DS17</f>
        <v>0</v>
      </c>
      <c r="DT17" s="8">
        <f>MOPFRA!DT17</f>
        <v>4546.3599999999997</v>
      </c>
      <c r="DU17" s="8">
        <f>MOPFRA!DU17</f>
        <v>4680.8275862068958</v>
      </c>
      <c r="DV17" s="235">
        <f>MOPFRA!DV17</f>
        <v>750.28352490421457</v>
      </c>
      <c r="DW17" s="8">
        <f>MOPFRA!DW17</f>
        <v>4988.735555555555</v>
      </c>
      <c r="DX17" s="411">
        <f>MOPFRA!DX17</f>
        <v>78</v>
      </c>
      <c r="DY17" s="1532">
        <f>MOPFRA!DY17</f>
        <v>190</v>
      </c>
      <c r="DZ17" s="857">
        <f>MOPFRA!DZ17</f>
        <v>8.11965811965812E-2</v>
      </c>
      <c r="EA17" s="386">
        <f>MOPFRA!EA17</f>
        <v>0.38</v>
      </c>
      <c r="EB17" s="504">
        <f>MOPFRA!EB17</f>
        <v>0</v>
      </c>
      <c r="EC17" s="510">
        <f>MOPFRA!EC17</f>
        <v>5150</v>
      </c>
      <c r="ED17" s="435">
        <f>MOPFRA!ED17</f>
        <v>87550</v>
      </c>
      <c r="EE17" s="510">
        <f>MOPFRA!EE17</f>
        <v>3567</v>
      </c>
      <c r="EF17" s="435">
        <f>MOPFRA!EF17</f>
        <v>98093</v>
      </c>
      <c r="EG17" s="510">
        <f>MOPFRA!EG17</f>
        <v>2559</v>
      </c>
      <c r="EH17" s="435">
        <f>MOPFRA!EH17</f>
        <v>99801</v>
      </c>
      <c r="EI17" s="510">
        <f>MOPFRA!EI17</f>
        <v>2150</v>
      </c>
      <c r="EJ17" s="435">
        <f>MOPFRA!EJ17</f>
        <v>115993</v>
      </c>
      <c r="EK17" s="510">
        <f>MOPFRA!EK17</f>
        <v>0</v>
      </c>
      <c r="EL17" s="1606">
        <f>MOPFRA!EL17</f>
        <v>0</v>
      </c>
      <c r="EM17" s="1685">
        <f>MOPFRA!EM17</f>
        <v>2150</v>
      </c>
      <c r="EN17" s="1686">
        <f>MOPFRA!EN17</f>
        <v>115993</v>
      </c>
      <c r="EO17" s="1609">
        <f>MOPFRA!EO17</f>
        <v>0.32487721302113076</v>
      </c>
      <c r="EP17" s="1648">
        <f>MOPFRA!EP17</f>
        <v>27</v>
      </c>
      <c r="EQ17"/>
    </row>
    <row r="18" spans="1:147" ht="35" customHeight="1">
      <c r="A18" s="100">
        <f>MOPFRA!A18</f>
        <v>17.984453865135521</v>
      </c>
      <c r="B18" s="99">
        <f>MOPFRA!B18</f>
        <v>14.384453865135514</v>
      </c>
      <c r="C18" s="1585">
        <f ca="1">MOPFRA!C18</f>
        <v>0.14932142100576917</v>
      </c>
      <c r="D18" s="1651">
        <f>MOPFRA!D18</f>
        <v>2.3935069616322808</v>
      </c>
      <c r="E18" s="1414">
        <f>MOPFRA!E18</f>
        <v>2.1999999999999993</v>
      </c>
      <c r="F18" s="1415">
        <f>MOPFRA!F18</f>
        <v>3.5999999999999992</v>
      </c>
      <c r="G18" s="2124">
        <f>MOPFRA!G18</f>
        <v>-106.74176521249188</v>
      </c>
      <c r="H18" s="2379">
        <f>MOPFRA!H18</f>
        <v>3.3424031096375901</v>
      </c>
      <c r="I18" s="2379">
        <f>MOPFRA!I18</f>
        <v>0.10494603973610953</v>
      </c>
      <c r="J18" s="2379">
        <f>MOPFRA!J18</f>
        <v>-6.2162437582798328E-3</v>
      </c>
      <c r="K18" s="1942">
        <f>MOPFRA!K18</f>
        <v>1</v>
      </c>
      <c r="L18" s="1587">
        <f>MOPFRA!L18</f>
        <v>11</v>
      </c>
      <c r="M18" s="1582" t="str">
        <f>MOPFRA!M18</f>
        <v>B</v>
      </c>
      <c r="N18" s="1582" t="str">
        <f>MOPFRA!N18</f>
        <v>B</v>
      </c>
      <c r="O18" s="179" t="str">
        <f>MOPFRA!O18</f>
        <v/>
      </c>
      <c r="P18" s="856" t="str">
        <f>MOPFRA!P18</f>
        <v>F</v>
      </c>
      <c r="Q18" s="1972" t="str">
        <f>MOPFRA!Q18</f>
        <v>صنعت غذايي كورش</v>
      </c>
      <c r="R18" s="1972" t="str">
        <f>MOPFRA!R18</f>
        <v>غكورش</v>
      </c>
      <c r="S18" s="1572">
        <f>MOPFRA!S18</f>
        <v>12</v>
      </c>
      <c r="T18" s="66">
        <f>MOPFRA!T18</f>
        <v>84436</v>
      </c>
      <c r="U18" s="258">
        <f>MOPFRA!U18</f>
        <v>19170</v>
      </c>
      <c r="V18" s="338">
        <f>MOPFRA!V18</f>
        <v>2.84</v>
      </c>
      <c r="W18" s="258">
        <f>MOPFRA!W18</f>
        <v>19190</v>
      </c>
      <c r="X18" s="337">
        <f>MOPFRA!X18</f>
        <v>2.95</v>
      </c>
      <c r="Y18" s="1708">
        <f>MOPFRA!Y18</f>
        <v>110358</v>
      </c>
      <c r="Z18" s="661" t="str">
        <f>MOPFRA!Z18</f>
        <v/>
      </c>
      <c r="AA18" s="2382">
        <f>MOPFRA!AA18</f>
        <v>0.22541507024265645</v>
      </c>
      <c r="AB18" s="511">
        <f ca="1">MOPFRA!AB18</f>
        <v>5.917808219178082E-2</v>
      </c>
      <c r="AC18" s="823">
        <f ca="1">MOPFRA!AC18</f>
        <v>-69.265411687864841</v>
      </c>
      <c r="AD18" s="1150">
        <f>MOPFRA!AD18</f>
        <v>0.22541507024265645</v>
      </c>
      <c r="AE18" s="1150">
        <f>MOPFRA!AE18</f>
        <v>5.2508143322475567</v>
      </c>
      <c r="AF18" s="1150">
        <f>MOPFRA!AF18</f>
        <v>3.9551643192488264</v>
      </c>
      <c r="AG18" s="1150">
        <f>MOPFRA!AG18</f>
        <v>3.9102116771342175</v>
      </c>
      <c r="AH18" s="1150">
        <f>MOPFRA!AH18</f>
        <v>5.3262156289802949</v>
      </c>
      <c r="AI18" s="275">
        <f ca="1">MOPFRA!AI18</f>
        <v>341</v>
      </c>
      <c r="AJ18" s="1120">
        <f>MOPFRA!AJ18</f>
        <v>46215</v>
      </c>
      <c r="AK18" s="1693">
        <f>MOPFRA!AK18</f>
        <v>46245</v>
      </c>
      <c r="AL18" s="1345">
        <f>MOPFRA!AL18</f>
        <v>44000000000</v>
      </c>
      <c r="AM18" s="29">
        <f>MOPFRA!AM18</f>
        <v>0</v>
      </c>
      <c r="AN18" s="29">
        <f>MOPFRA!AN18</f>
        <v>0</v>
      </c>
      <c r="AO18" s="685">
        <f>MOPFRA!AO18</f>
        <v>0.12</v>
      </c>
      <c r="AP18" s="174">
        <f>MOPFRA!AP18</f>
        <v>0</v>
      </c>
      <c r="AQ18" s="1416">
        <f>MOPFRA!AQ18</f>
        <v>46676</v>
      </c>
      <c r="AR18" s="1416">
        <f>MOPFRA!AR18</f>
        <v>11224</v>
      </c>
      <c r="AS18" s="766">
        <f>MOPFRA!AS18</f>
        <v>148808.25377272209</v>
      </c>
      <c r="AT18" s="984">
        <f>MOPFRA!AT18</f>
        <v>4</v>
      </c>
      <c r="AU18" s="376">
        <f>MOPFRA!AU18</f>
        <v>0.50238611168827541</v>
      </c>
      <c r="AV18" s="99">
        <f>MOPFRA!AV18</f>
        <v>3.5885917394883271</v>
      </c>
      <c r="AW18" s="2380">
        <f>MOPFRA!AW18</f>
        <v>28975</v>
      </c>
      <c r="AX18" s="2380">
        <f>MOPFRA!AX18</f>
        <v>6047</v>
      </c>
      <c r="AY18" s="2374">
        <f>MOPFRA!AY18</f>
        <v>0.20899999999999999</v>
      </c>
      <c r="AZ18" s="2370">
        <f>MOPFRA!AZ18</f>
        <v>0.187</v>
      </c>
      <c r="BA18" s="2372">
        <f>MOPFRA!BA18</f>
        <v>0.24</v>
      </c>
      <c r="BB18" s="2373">
        <f>MOPFRA!BB18</f>
        <v>0.16400000000000001</v>
      </c>
      <c r="BC18" s="2375">
        <f>MOPFRA!BC18</f>
        <v>3.5999999999999992</v>
      </c>
      <c r="BD18" s="2376">
        <f>MOPFRA!BD18</f>
        <v>0.14299999999999999</v>
      </c>
      <c r="BE18" s="2370">
        <f>MOPFRA!BE18</f>
        <v>0.107</v>
      </c>
      <c r="BF18" s="2371">
        <f>MOPFRA!BF18</f>
        <v>0.156</v>
      </c>
      <c r="BG18" s="1422">
        <f>MOPFRA!BG18</f>
        <v>9.8000000000000004E-2</v>
      </c>
      <c r="BH18" s="306">
        <f>MOPFRA!BH18</f>
        <v>6.6000000000000003E-2</v>
      </c>
      <c r="BI18" s="1861">
        <f>MOPFRA!BI18</f>
        <v>7649.4000000000005</v>
      </c>
      <c r="BJ18" s="306">
        <f>MOPFRA!BJ18</f>
        <v>0.08</v>
      </c>
      <c r="BK18" s="99">
        <f>MOPFRA!BK18</f>
        <v>0</v>
      </c>
      <c r="BL18" s="306">
        <f>MOPFRA!BL18</f>
        <v>2.18811067299516</v>
      </c>
      <c r="BM18" s="99">
        <f>MOPFRA!BM18</f>
        <v>10</v>
      </c>
      <c r="BN18" s="15">
        <f>MOPFRA!BN18</f>
        <v>0</v>
      </c>
      <c r="BO18" s="1803">
        <f>MOPFRA!BO18</f>
        <v>3</v>
      </c>
      <c r="BP18" s="842">
        <f>MOPFRA!BP18</f>
        <v>1</v>
      </c>
      <c r="BQ18" s="16">
        <f>MOPFRA!BQ18</f>
        <v>1030</v>
      </c>
      <c r="BR18" s="16">
        <f>MOPFRA!BR18</f>
        <v>0</v>
      </c>
      <c r="BS18" s="16">
        <f>MOPFRA!BS18</f>
        <v>0</v>
      </c>
      <c r="BT18" s="1253">
        <f>MOPFRA!BT18</f>
        <v>5318.7682476134678</v>
      </c>
      <c r="BU18" s="1246">
        <f>MOPFRA!BU18</f>
        <v>4260.681818181818</v>
      </c>
      <c r="BV18" s="406">
        <f>MOPFRA!BV18</f>
        <v>0</v>
      </c>
      <c r="BW18" s="407">
        <f>MOPFRA!BW18</f>
        <v>4.0064930383677195</v>
      </c>
      <c r="BX18" s="99">
        <f>MOPFRA!BX18</f>
        <v>4.9675348081614024</v>
      </c>
      <c r="BY18" s="18">
        <f>MOPFRA!BY18</f>
        <v>21074.790144749626</v>
      </c>
      <c r="BZ18" s="18">
        <f>MOPFRA!BZ18</f>
        <v>13193.125</v>
      </c>
      <c r="CA18" s="18">
        <f>MOPFRA!CA18</f>
        <v>31100.925038498917</v>
      </c>
      <c r="CB18" s="1710">
        <f>MOPFRA!CB18</f>
        <v>3.5483832028594353</v>
      </c>
      <c r="CC18" s="266">
        <f>MOPFRA!CC18</f>
        <v>2993</v>
      </c>
      <c r="CD18" s="267">
        <f>MOPFRA!CD18</f>
        <v>6.4</v>
      </c>
      <c r="CE18" s="99">
        <f>MOPFRA!CE18</f>
        <v>-4.2000000000000011</v>
      </c>
      <c r="CF18" s="17">
        <f>MOPFRA!CF18</f>
        <v>1.5242856407755534</v>
      </c>
      <c r="CG18" s="99">
        <f>MOPFRA!CG18</f>
        <v>1.9028574368977864</v>
      </c>
      <c r="CH18" s="494">
        <f>MOPFRA!CH18</f>
        <v>0.42855844608649801</v>
      </c>
      <c r="CI18" s="99">
        <f>MOPFRA!CI18</f>
        <v>0.42837669129746986</v>
      </c>
      <c r="CJ18" s="20">
        <f>MOPFRA!CJ18</f>
        <v>0</v>
      </c>
      <c r="CK18" s="691">
        <f>MOPFRA!CK18</f>
        <v>4400</v>
      </c>
      <c r="CL18" s="419">
        <f>MOPFRA!CL18</f>
        <v>2280</v>
      </c>
      <c r="CM18" s="468">
        <f>MOPFRA!CM18</f>
        <v>2123</v>
      </c>
      <c r="CN18" s="843">
        <f>MOPFRA!CN18</f>
        <v>378</v>
      </c>
      <c r="CO18" s="21">
        <f>MOPFRA!CO18</f>
        <v>4534</v>
      </c>
      <c r="CP18" s="21">
        <f>MOPFRA!CP18</f>
        <v>1512</v>
      </c>
      <c r="CQ18" s="469">
        <f>MOPFRA!CQ18</f>
        <v>4686.75</v>
      </c>
      <c r="CR18" s="1239">
        <f>MOPFRA!CR18</f>
        <v>8605.1934298330852</v>
      </c>
      <c r="CS18" s="21">
        <f>MOPFRA!CS18</f>
        <v>6814</v>
      </c>
      <c r="CT18" s="16">
        <f>MOPFRA!CT18</f>
        <v>0</v>
      </c>
      <c r="CU18" s="154" t="str">
        <f>MOPFRA!CU18</f>
        <v/>
      </c>
      <c r="CV18" s="693">
        <f>MOPFRA!CV18</f>
        <v>11654</v>
      </c>
      <c r="CW18" s="49">
        <f>MOPFRA!CW18</f>
        <v>31646</v>
      </c>
      <c r="CX18" s="21">
        <f>MOPFRA!CX18</f>
        <v>5222</v>
      </c>
      <c r="CY18" s="49">
        <f>MOPFRA!CY18</f>
        <v>478</v>
      </c>
      <c r="CZ18" s="378">
        <f>MOPFRA!CZ18</f>
        <v>32124</v>
      </c>
      <c r="DA18" s="1058">
        <f>MOPFRA!DA18</f>
        <v>1.1856790747645831</v>
      </c>
      <c r="DB18" s="99">
        <f>MOPFRA!DB18</f>
        <v>-0.1145674018833347</v>
      </c>
      <c r="DC18" s="53">
        <f>MOPFRA!DC18</f>
        <v>43778</v>
      </c>
      <c r="DD18" s="645">
        <f>MOPFRA!DD18</f>
        <v>0.73379322947599246</v>
      </c>
      <c r="DE18" s="13">
        <f>MOPFRA!DE18</f>
        <v>6256</v>
      </c>
      <c r="DF18" s="24">
        <f>MOPFRA!DF18</f>
        <v>954</v>
      </c>
      <c r="DG18" s="24">
        <f>MOPFRA!DG18</f>
        <v>5150</v>
      </c>
      <c r="DH18" s="51">
        <f>MOPFRA!DH18</f>
        <v>37522</v>
      </c>
      <c r="DI18" s="8">
        <f>MOPFRA!DI18</f>
        <v>5876</v>
      </c>
      <c r="DJ18" s="644">
        <f>MOPFRA!DJ18</f>
        <v>25.324753875548346</v>
      </c>
      <c r="DK18" s="22">
        <f>MOPFRA!DK18</f>
        <v>3827</v>
      </c>
      <c r="DL18" s="22">
        <f>MOPFRA!DL18</f>
        <v>1497</v>
      </c>
      <c r="DM18" s="22">
        <f>MOPFRA!DM18</f>
        <v>17833</v>
      </c>
      <c r="DN18" s="138">
        <f>MOPFRA!DN18</f>
        <v>0.73379322947599246</v>
      </c>
      <c r="DO18" s="99">
        <f>MOPFRA!DO18</f>
        <v>-2.188339408826133</v>
      </c>
      <c r="DP18" s="22">
        <f>MOPFRA!DP18</f>
        <v>4705</v>
      </c>
      <c r="DQ18" s="8">
        <f>MOPFRA!DQ18</f>
        <v>9660</v>
      </c>
      <c r="DR18" s="32">
        <f>MOPFRA!DR18</f>
        <v>-1.6623299768737457E-2</v>
      </c>
      <c r="DS18" s="99">
        <f>MOPFRA!DS18</f>
        <v>0</v>
      </c>
      <c r="DT18" s="8">
        <f>MOPFRA!DT18</f>
        <v>10894.52</v>
      </c>
      <c r="DU18" s="8">
        <f>MOPFRA!DU18</f>
        <v>15338.454545454546</v>
      </c>
      <c r="DV18" s="235">
        <f>MOPFRA!DV18</f>
        <v>518.18181818181813</v>
      </c>
      <c r="DW18" s="8">
        <f>MOPFRA!DW18</f>
        <v>13375.578181818184</v>
      </c>
      <c r="DX18" s="411">
        <f>MOPFRA!DX18</f>
        <v>30</v>
      </c>
      <c r="DY18" s="1532">
        <f>MOPFRA!DY18</f>
        <v>1600</v>
      </c>
      <c r="DZ18" s="857">
        <f>MOPFRA!DZ18</f>
        <v>9.2699884125144849E-2</v>
      </c>
      <c r="EA18" s="386">
        <f>MOPFRA!EA18</f>
        <v>0</v>
      </c>
      <c r="EB18" s="504">
        <f>MOPFRA!EB18</f>
        <v>0</v>
      </c>
      <c r="EC18" s="510">
        <f>MOPFRA!EC18</f>
        <v>44490</v>
      </c>
      <c r="ED18" s="435">
        <f>MOPFRA!ED18</f>
        <v>13347</v>
      </c>
      <c r="EE18" s="510">
        <f>MOPFRA!EE18</f>
        <v>14330</v>
      </c>
      <c r="EF18" s="435">
        <f>MOPFRA!EF18</f>
        <v>17196</v>
      </c>
      <c r="EG18" s="510">
        <f>MOPFRA!EG18</f>
        <v>8520</v>
      </c>
      <c r="EH18" s="435">
        <f>MOPFRA!EH18</f>
        <v>17040</v>
      </c>
      <c r="EI18" s="510">
        <f>MOPFRA!EI18</f>
        <v>3070</v>
      </c>
      <c r="EJ18" s="435">
        <f>MOPFRA!EJ18</f>
        <v>13508</v>
      </c>
      <c r="EK18" s="510">
        <f>MOPFRA!EK18</f>
        <v>15660</v>
      </c>
      <c r="EL18" s="1606">
        <f>MOPFRA!EL18</f>
        <v>68904</v>
      </c>
      <c r="EM18" s="1685">
        <f>MOPFRA!EM18</f>
        <v>15660</v>
      </c>
      <c r="EN18" s="1686">
        <f>MOPFRA!EN18</f>
        <v>68904</v>
      </c>
      <c r="EO18" s="1609">
        <f>MOPFRA!EO18</f>
        <v>4.1625084288604182</v>
      </c>
      <c r="EP18" s="1648">
        <f>MOPFRA!EP18</f>
        <v>7</v>
      </c>
      <c r="EQ18"/>
    </row>
    <row r="19" spans="1:147" ht="35" customHeight="1">
      <c r="A19" s="100">
        <f>MOPFRA!A19</f>
        <v>15.917114604278469</v>
      </c>
      <c r="B19" s="99">
        <f>MOPFRA!B19</f>
        <v>8.4171146042784706</v>
      </c>
      <c r="C19" s="1585">
        <f ca="1">MOPFRA!C19</f>
        <v>0.24108981296481299</v>
      </c>
      <c r="D19" s="1651">
        <f>MOPFRA!D19</f>
        <v>2.1959807475102675</v>
      </c>
      <c r="E19" s="1414">
        <f>MOPFRA!E19</f>
        <v>8.0000000000000018</v>
      </c>
      <c r="F19" s="1415">
        <f>MOPFRA!F19</f>
        <v>7.5000000000000009</v>
      </c>
      <c r="G19" s="2124">
        <f>MOPFRA!G19</f>
        <v>15.712199654851977</v>
      </c>
      <c r="H19" s="2379">
        <f>MOPFRA!H19</f>
        <v>0.68387096774193545</v>
      </c>
      <c r="I19" s="2379">
        <f>MOPFRA!I19</f>
        <v>0.3639705882352941</v>
      </c>
      <c r="J19" s="2379">
        <f>MOPFRA!J19</f>
        <v>0.84453781512605042</v>
      </c>
      <c r="K19" s="1942">
        <f>MOPFRA!K19</f>
        <v>31</v>
      </c>
      <c r="L19" s="1587">
        <f>MOPFRA!L19</f>
        <v>16</v>
      </c>
      <c r="M19" s="1582" t="str">
        <f>MOPFRA!M19</f>
        <v>B</v>
      </c>
      <c r="N19" s="1582" t="str">
        <f>MOPFRA!N19</f>
        <v>BB</v>
      </c>
      <c r="O19" s="179" t="str">
        <f>MOPFRA!O19</f>
        <v/>
      </c>
      <c r="P19" s="856" t="str">
        <f>MOPFRA!P19</f>
        <v>KN</v>
      </c>
      <c r="Q19" s="1972" t="str">
        <f>MOPFRA!Q19</f>
        <v>فرآورده‌هاي‌نسوزآذر</v>
      </c>
      <c r="R19" s="1972" t="str">
        <f>MOPFRA!R19</f>
        <v>كاذر</v>
      </c>
      <c r="S19" s="1572">
        <f>MOPFRA!S19</f>
        <v>12</v>
      </c>
      <c r="T19" s="66">
        <f>MOPFRA!T19</f>
        <v>1456</v>
      </c>
      <c r="U19" s="258">
        <f>MOPFRA!U19</f>
        <v>3640</v>
      </c>
      <c r="V19" s="338">
        <f>MOPFRA!V19</f>
        <v>2.82</v>
      </c>
      <c r="W19" s="258">
        <f>MOPFRA!W19</f>
        <v>3640</v>
      </c>
      <c r="X19" s="337">
        <f>MOPFRA!X19</f>
        <v>2.82</v>
      </c>
      <c r="Y19" s="1708">
        <f>MOPFRA!Y19</f>
        <v>1886</v>
      </c>
      <c r="Z19" s="661" t="str">
        <f>MOPFRA!Z19</f>
        <v/>
      </c>
      <c r="AA19" s="2382">
        <f>MOPFRA!AA19</f>
        <v>0.66210045662100458</v>
      </c>
      <c r="AB19" s="511">
        <f ca="1">MOPFRA!AB19</f>
        <v>0.18246575342465754</v>
      </c>
      <c r="AC19" s="823">
        <f ca="1">MOPFRA!AC19</f>
        <v>-64.815500431938787</v>
      </c>
      <c r="AD19" s="1150">
        <f>MOPFRA!AD19</f>
        <v>0.66210045662100458</v>
      </c>
      <c r="AE19" s="1150">
        <f>MOPFRA!AE19</f>
        <v>0.52780692549842601</v>
      </c>
      <c r="AF19" s="1150">
        <f>MOPFRA!AF19</f>
        <v>0.36329588014981273</v>
      </c>
      <c r="AG19" s="1150">
        <f>MOPFRA!AG19</f>
        <v>8.7378640776699032E-2</v>
      </c>
      <c r="AH19" s="1150">
        <f>MOPFRA!AH19</f>
        <v>0.3</v>
      </c>
      <c r="AI19" s="275">
        <f ca="1">MOPFRA!AI19</f>
        <v>291</v>
      </c>
      <c r="AJ19" s="1120">
        <f>MOPFRA!AJ19</f>
        <v>46165</v>
      </c>
      <c r="AK19" s="1693">
        <f>MOPFRA!AK19</f>
        <v>46270</v>
      </c>
      <c r="AL19" s="1345">
        <f>MOPFRA!AL19</f>
        <v>4000000000</v>
      </c>
      <c r="AM19" s="29">
        <f>MOPFRA!AM19</f>
        <v>0</v>
      </c>
      <c r="AN19" s="29">
        <f>MOPFRA!AN19</f>
        <v>0</v>
      </c>
      <c r="AO19" s="685">
        <f>MOPFRA!AO19</f>
        <v>0.5605</v>
      </c>
      <c r="AP19" s="174">
        <f>MOPFRA!AP19</f>
        <v>0</v>
      </c>
      <c r="AQ19" s="1416">
        <f>MOPFRA!AQ19</f>
        <v>1055</v>
      </c>
      <c r="AR19" s="1416">
        <f>MOPFRA!AR19</f>
        <v>248</v>
      </c>
      <c r="AS19" s="766">
        <f>MOPFRA!AS19</f>
        <v>1596.491935483871</v>
      </c>
      <c r="AT19" s="984">
        <f>MOPFRA!AT19</f>
        <v>4</v>
      </c>
      <c r="AU19" s="376">
        <f>MOPFRA!AU19</f>
        <v>0.91572651731366661</v>
      </c>
      <c r="AV19" s="99">
        <f>MOPFRA!AV19</f>
        <v>4.5383118423140338</v>
      </c>
      <c r="AW19" s="2380">
        <f>MOPFRA!AW19</f>
        <v>344</v>
      </c>
      <c r="AX19" s="2380">
        <f>MOPFRA!AX19</f>
        <v>111</v>
      </c>
      <c r="AY19" s="2374">
        <f>MOPFRA!AY19</f>
        <v>0.32300000000000001</v>
      </c>
      <c r="AZ19" s="2370">
        <f>MOPFRA!AZ19</f>
        <v>0.24299999999999999</v>
      </c>
      <c r="BA19" s="2372">
        <f>MOPFRA!BA19</f>
        <v>0.23499999999999999</v>
      </c>
      <c r="BB19" s="2373">
        <f>MOPFRA!BB19</f>
        <v>0.255</v>
      </c>
      <c r="BC19" s="2375">
        <f>MOPFRA!BC19</f>
        <v>7.5000000000000009</v>
      </c>
      <c r="BD19" s="2376">
        <f>MOPFRA!BD19</f>
        <v>0.25600000000000001</v>
      </c>
      <c r="BE19" s="2370">
        <f>MOPFRA!BE19</f>
        <v>0.18099999999999999</v>
      </c>
      <c r="BF19" s="2371">
        <f>MOPFRA!BF19</f>
        <v>0.20200000000000001</v>
      </c>
      <c r="BG19" s="1422">
        <f>MOPFRA!BG19</f>
        <v>0.255</v>
      </c>
      <c r="BH19" s="306">
        <f>MOPFRA!BH19</f>
        <v>6.7000000000000004E-2</v>
      </c>
      <c r="BI19" s="1861">
        <f>MOPFRA!BI19</f>
        <v>92.192000000000007</v>
      </c>
      <c r="BJ19" s="306">
        <f>MOPFRA!BJ19</f>
        <v>6.2E-2</v>
      </c>
      <c r="BK19" s="99">
        <f>MOPFRA!BK19</f>
        <v>0</v>
      </c>
      <c r="BL19" s="306">
        <f>MOPFRA!BL19</f>
        <v>0.51326249808897728</v>
      </c>
      <c r="BM19" s="99">
        <f>MOPFRA!BM19</f>
        <v>-4.4651387559608189</v>
      </c>
      <c r="BN19" s="15">
        <f>MOPFRA!BN19</f>
        <v>0</v>
      </c>
      <c r="BO19" s="1803">
        <f>MOPFRA!BO19</f>
        <v>3</v>
      </c>
      <c r="BP19" s="842">
        <f>MOPFRA!BP19</f>
        <v>1</v>
      </c>
      <c r="BQ19" s="16">
        <f>MOPFRA!BQ19</f>
        <v>229</v>
      </c>
      <c r="BR19" s="16">
        <f>MOPFRA!BR19</f>
        <v>0</v>
      </c>
      <c r="BS19" s="16">
        <f>MOPFRA!BS19</f>
        <v>0</v>
      </c>
      <c r="BT19" s="1253">
        <f>MOPFRA!BT19</f>
        <v>1029.2548387096774</v>
      </c>
      <c r="BU19" s="1246">
        <f>MOPFRA!BU19</f>
        <v>910</v>
      </c>
      <c r="BV19" s="406">
        <f>MOPFRA!BV19</f>
        <v>0</v>
      </c>
      <c r="BW19" s="407">
        <f>MOPFRA!BW19</f>
        <v>3.7540192524897327</v>
      </c>
      <c r="BX19" s="99">
        <f>MOPFRA!BX19</f>
        <v>6.2299037375513366</v>
      </c>
      <c r="BY19" s="18">
        <f>MOPFRA!BY19</f>
        <v>387.85096774193545</v>
      </c>
      <c r="BZ19" s="18">
        <f>MOPFRA!BZ19</f>
        <v>244.70588235294116</v>
      </c>
      <c r="CA19" s="18">
        <f>MOPFRA!CA19</f>
        <v>515.66689516129031</v>
      </c>
      <c r="CB19" s="1710">
        <f>MOPFRA!CB19</f>
        <v>3.6573998014941349</v>
      </c>
      <c r="CC19" s="266">
        <f>MOPFRA!CC19</f>
        <v>612</v>
      </c>
      <c r="CD19" s="267">
        <f>MOPFRA!CD19</f>
        <v>5.95</v>
      </c>
      <c r="CE19" s="99">
        <f>MOPFRA!CE19</f>
        <v>-2.8500000000000005</v>
      </c>
      <c r="CF19" s="17">
        <f>MOPFRA!CF19</f>
        <v>1.5805039847364053</v>
      </c>
      <c r="CG19" s="99">
        <f>MOPFRA!CG19</f>
        <v>1.6779840610543788</v>
      </c>
      <c r="CH19" s="494">
        <f>MOPFRA!CH19</f>
        <v>0.22949761404848251</v>
      </c>
      <c r="CI19" s="99">
        <f>MOPFRA!CI19</f>
        <v>-2.5575357892727628</v>
      </c>
      <c r="CJ19" s="20">
        <f>MOPFRA!CJ19</f>
        <v>0</v>
      </c>
      <c r="CK19" s="691">
        <f>MOPFRA!CK19</f>
        <v>400</v>
      </c>
      <c r="CL19" s="419">
        <f>MOPFRA!CL19</f>
        <v>185</v>
      </c>
      <c r="CM19" s="468">
        <f>MOPFRA!CM19</f>
        <v>3</v>
      </c>
      <c r="CN19" s="843">
        <f>MOPFRA!CN19</f>
        <v>3</v>
      </c>
      <c r="CO19" s="21">
        <f>MOPFRA!CO19</f>
        <v>91</v>
      </c>
      <c r="CP19" s="21">
        <f>MOPFRA!CP19</f>
        <v>-1</v>
      </c>
      <c r="CQ19" s="469">
        <f>MOPFRA!CQ19</f>
        <v>91</v>
      </c>
      <c r="CR19" s="1239">
        <f>MOPFRA!CR19</f>
        <v>135.23397849462364</v>
      </c>
      <c r="CS19" s="21">
        <f>MOPFRA!CS19</f>
        <v>276</v>
      </c>
      <c r="CT19" s="16">
        <f>MOPFRA!CT19</f>
        <v>0</v>
      </c>
      <c r="CU19" s="154" t="str">
        <f>MOPFRA!CU19</f>
        <v/>
      </c>
      <c r="CV19" s="693">
        <f>MOPFRA!CV19</f>
        <v>710</v>
      </c>
      <c r="CW19" s="49">
        <f>MOPFRA!CW19</f>
        <v>507</v>
      </c>
      <c r="CX19" s="21">
        <f>MOPFRA!CX19</f>
        <v>31</v>
      </c>
      <c r="CY19" s="49">
        <f>MOPFRA!CY19</f>
        <v>106</v>
      </c>
      <c r="CZ19" s="378">
        <f>MOPFRA!CZ19</f>
        <v>613</v>
      </c>
      <c r="DA19" s="1058">
        <f>MOPFRA!DA19</f>
        <v>1.9329388560157792</v>
      </c>
      <c r="DB19" s="99">
        <f>MOPFRA!DB19</f>
        <v>5.8635108481262339</v>
      </c>
      <c r="DC19" s="53">
        <f>MOPFRA!DC19</f>
        <v>1323</v>
      </c>
      <c r="DD19" s="645">
        <f>MOPFRA!DD19</f>
        <v>0.46334089191232047</v>
      </c>
      <c r="DE19" s="13">
        <f>MOPFRA!DE19</f>
        <v>343</v>
      </c>
      <c r="DF19" s="24">
        <f>MOPFRA!DF19</f>
        <v>329</v>
      </c>
      <c r="DG19" s="24">
        <f>MOPFRA!DG19</f>
        <v>8</v>
      </c>
      <c r="DH19" s="51">
        <f>MOPFRA!DH19</f>
        <v>980</v>
      </c>
      <c r="DI19" s="8">
        <f>MOPFRA!DI19</f>
        <v>473</v>
      </c>
      <c r="DJ19" s="644">
        <f>MOPFRA!DJ19</f>
        <v>3.3752472208961333</v>
      </c>
      <c r="DK19" s="22">
        <f>MOPFRA!DK19</f>
        <v>190</v>
      </c>
      <c r="DL19" s="22">
        <f>MOPFRA!DL19</f>
        <v>116</v>
      </c>
      <c r="DM19" s="22">
        <f>MOPFRA!DM19</f>
        <v>445</v>
      </c>
      <c r="DN19" s="138">
        <f>MOPFRA!DN19</f>
        <v>0.46334089191232047</v>
      </c>
      <c r="DO19" s="99">
        <f>MOPFRA!DO19</f>
        <v>-1.9921339533930382E-2</v>
      </c>
      <c r="DP19" s="22">
        <f>MOPFRA!DP19</f>
        <v>67</v>
      </c>
      <c r="DQ19" s="8">
        <f>MOPFRA!DQ19</f>
        <v>162</v>
      </c>
      <c r="DR19" s="32">
        <f>MOPFRA!DR19</f>
        <v>6.9812509466484013E-2</v>
      </c>
      <c r="DS19" s="99">
        <f>MOPFRA!DS19</f>
        <v>0</v>
      </c>
      <c r="DT19" s="8">
        <f>MOPFRA!DT19</f>
        <v>2227.6799999999998</v>
      </c>
      <c r="DU19" s="8">
        <f>MOPFRA!DU19</f>
        <v>3276</v>
      </c>
      <c r="DV19" s="235">
        <f>MOPFRA!DV19</f>
        <v>462.5</v>
      </c>
      <c r="DW19" s="8">
        <f>MOPFRA!DW19</f>
        <v>2983.09</v>
      </c>
      <c r="DX19" s="411">
        <f>MOPFRA!DX19</f>
        <v>105</v>
      </c>
      <c r="DY19" s="1532">
        <f>MOPFRA!DY19</f>
        <v>150</v>
      </c>
      <c r="DZ19" s="857">
        <f>MOPFRA!DZ19</f>
        <v>6.4075181546347712E-2</v>
      </c>
      <c r="EA19" s="386">
        <f>MOPFRA!EA19</f>
        <v>0.33</v>
      </c>
      <c r="EB19" s="504">
        <f>MOPFRA!EB19</f>
        <v>0</v>
      </c>
      <c r="EC19" s="510">
        <f>MOPFRA!EC19</f>
        <v>13930</v>
      </c>
      <c r="ED19" s="435">
        <f>MOPFRA!ED19</f>
        <v>1120</v>
      </c>
      <c r="EE19" s="510">
        <f>MOPFRA!EE19</f>
        <v>6694</v>
      </c>
      <c r="EF19" s="435">
        <f>MOPFRA!EF19</f>
        <v>1339</v>
      </c>
      <c r="EG19" s="510">
        <f>MOPFRA!EG19</f>
        <v>5340</v>
      </c>
      <c r="EH19" s="435">
        <f>MOPFRA!EH19</f>
        <v>1068</v>
      </c>
      <c r="EI19" s="510">
        <f>MOPFRA!EI19</f>
        <v>3178</v>
      </c>
      <c r="EJ19" s="435">
        <f>MOPFRA!EJ19</f>
        <v>953</v>
      </c>
      <c r="EK19" s="510">
        <f>MOPFRA!EK19</f>
        <v>2191</v>
      </c>
      <c r="EL19" s="1606">
        <f>MOPFRA!EL19</f>
        <v>876</v>
      </c>
      <c r="EM19" s="1684">
        <f>MOPFRA!EM19</f>
        <v>2191</v>
      </c>
      <c r="EN19" s="1608">
        <f>MOPFRA!EN19</f>
        <v>876</v>
      </c>
      <c r="EO19" s="1609">
        <f>MOPFRA!EO19</f>
        <v>-0.21785714285714286</v>
      </c>
      <c r="EP19" s="1648">
        <f>MOPFRA!EP19</f>
        <v>38</v>
      </c>
      <c r="EQ19"/>
    </row>
    <row r="20" spans="1:147" ht="35" customHeight="1">
      <c r="A20" s="100">
        <f>MOPFRA!A20</f>
        <v>16.038839843918019</v>
      </c>
      <c r="B20" s="99">
        <f>MOPFRA!B20</f>
        <v>6.0388398439180211</v>
      </c>
      <c r="C20" s="1585">
        <f ca="1">MOPFRA!C20</f>
        <v>0.18987870222291683</v>
      </c>
      <c r="D20" s="1651">
        <f>MOPFRA!D20</f>
        <v>1.5294932514476089</v>
      </c>
      <c r="E20" s="1414">
        <f>MOPFRA!E20</f>
        <v>16.799999999999997</v>
      </c>
      <c r="F20" s="1415">
        <f>MOPFRA!F20</f>
        <v>13.200000000000003</v>
      </c>
      <c r="G20" s="2124">
        <f>MOPFRA!G20</f>
        <v>-15.339183550565672</v>
      </c>
      <c r="H20" s="2379">
        <f>MOPFRA!H20</f>
        <v>0.36759581881533099</v>
      </c>
      <c r="I20" s="2379">
        <f>MOPFRA!I20</f>
        <v>9.7061442564559217E-2</v>
      </c>
      <c r="J20" s="2379">
        <f>MOPFRA!J20</f>
        <v>0.52860411899313497</v>
      </c>
      <c r="K20" s="1942">
        <f>MOPFRA!K20</f>
        <v>41</v>
      </c>
      <c r="L20" s="1587">
        <f>MOPFRA!L20</f>
        <v>13</v>
      </c>
      <c r="M20" s="1582" t="str">
        <f>MOPFRA!M20</f>
        <v>S</v>
      </c>
      <c r="N20" s="1582" t="str">
        <f>MOPFRA!N20</f>
        <v>B</v>
      </c>
      <c r="O20" s="179" t="str">
        <f>MOPFRA!O20</f>
        <v/>
      </c>
      <c r="P20" s="856" t="str">
        <f>MOPFRA!P20</f>
        <v>T</v>
      </c>
      <c r="Q20" s="1571" t="str">
        <f>MOPFRA!Q20</f>
        <v>ايران‌ياساتايرورابر</v>
      </c>
      <c r="R20" s="1571" t="str">
        <f>MOPFRA!R20</f>
        <v>پاسا</v>
      </c>
      <c r="S20" s="1572">
        <f>MOPFRA!S20</f>
        <v>12</v>
      </c>
      <c r="T20" s="66">
        <f>MOPFRA!T20</f>
        <v>3526</v>
      </c>
      <c r="U20" s="258">
        <f>MOPFRA!U20</f>
        <v>8200</v>
      </c>
      <c r="V20" s="338">
        <f>MOPFRA!V20</f>
        <v>2.89</v>
      </c>
      <c r="W20" s="258">
        <f>MOPFRA!W20</f>
        <v>8200</v>
      </c>
      <c r="X20" s="337">
        <f>MOPFRA!X20</f>
        <v>2.89</v>
      </c>
      <c r="Y20" s="1708">
        <f>MOPFRA!Y20</f>
        <v>5580</v>
      </c>
      <c r="Z20" s="661" t="str">
        <f>MOPFRA!Z20</f>
        <v/>
      </c>
      <c r="AA20" s="2382">
        <f>MOPFRA!AA20</f>
        <v>0.43742356298410112</v>
      </c>
      <c r="AB20" s="511">
        <f ca="1">MOPFRA!AB20</f>
        <v>0.15534246575342467</v>
      </c>
      <c r="AC20" s="823">
        <f ca="1">MOPFRA!AC20</f>
        <v>-44.774777338202604</v>
      </c>
      <c r="AD20" s="1150">
        <f>MOPFRA!AD20</f>
        <v>0.43742356298410112</v>
      </c>
      <c r="AE20" s="1150">
        <f>MOPFRA!AE20</f>
        <v>4.878048780487805E-2</v>
      </c>
      <c r="AF20" s="1150">
        <f>MOPFRA!AF20</f>
        <v>0.5505716798592788</v>
      </c>
      <c r="AG20" s="1150">
        <f>MOPFRA!AG20</f>
        <v>0.2977548767022451</v>
      </c>
      <c r="AH20" s="1150">
        <f>MOPFRA!AH20</f>
        <v>2.3201506591337098</v>
      </c>
      <c r="AI20" s="275">
        <f ca="1">MOPFRA!AI20</f>
        <v>302</v>
      </c>
      <c r="AJ20" s="1120">
        <f>MOPFRA!AJ20</f>
        <v>46176</v>
      </c>
      <c r="AK20" s="1693">
        <f>MOPFRA!AK20</f>
        <v>46295</v>
      </c>
      <c r="AL20" s="1345">
        <f>MOPFRA!AL20</f>
        <v>4300000000</v>
      </c>
      <c r="AM20" s="29">
        <f>MOPFRA!AM20</f>
        <v>0</v>
      </c>
      <c r="AN20" s="29">
        <f>MOPFRA!AN20</f>
        <v>0</v>
      </c>
      <c r="AO20" s="685">
        <f>MOPFRA!AO20</f>
        <v>0.26</v>
      </c>
      <c r="AP20" s="174">
        <f>MOPFRA!AP20</f>
        <v>0</v>
      </c>
      <c r="AQ20" s="1416">
        <f>MOPFRA!AQ20</f>
        <v>4479</v>
      </c>
      <c r="AR20" s="1416">
        <f>MOPFRA!AR20</f>
        <v>869</v>
      </c>
      <c r="AS20" s="766">
        <f>MOPFRA!AS20</f>
        <v>5465.4808362369331</v>
      </c>
      <c r="AT20" s="984">
        <f>MOPFRA!AT20</f>
        <v>4</v>
      </c>
      <c r="AU20" s="376">
        <f>MOPFRA!AU20</f>
        <v>0.6451399438860177</v>
      </c>
      <c r="AV20" s="99">
        <f>MOPFRA!AV20</f>
        <v>0.60819603724610816</v>
      </c>
      <c r="AW20" s="2380">
        <f>MOPFRA!AW20</f>
        <v>1232</v>
      </c>
      <c r="AX20" s="2380">
        <f>MOPFRA!AX20</f>
        <v>445</v>
      </c>
      <c r="AY20" s="2374">
        <f>MOPFRA!AY20</f>
        <v>0.36099999999999999</v>
      </c>
      <c r="AZ20" s="2370">
        <f>MOPFRA!AZ20</f>
        <v>0.193</v>
      </c>
      <c r="BA20" s="2372">
        <f>MOPFRA!BA20</f>
        <v>0.19400000000000001</v>
      </c>
      <c r="BB20" s="2373">
        <f>MOPFRA!BB20</f>
        <v>0.188</v>
      </c>
      <c r="BC20" s="2375">
        <f>MOPFRA!BC20</f>
        <v>10</v>
      </c>
      <c r="BD20" s="2376">
        <f>MOPFRA!BD20</f>
        <v>0.27300000000000002</v>
      </c>
      <c r="BE20" s="2370">
        <f>MOPFRA!BE20</f>
        <v>0.14099999999999999</v>
      </c>
      <c r="BF20" s="2371">
        <f>MOPFRA!BF20</f>
        <v>0.14099999999999999</v>
      </c>
      <c r="BG20" s="1422">
        <f>MOPFRA!BG20</f>
        <v>0.14299999999999999</v>
      </c>
      <c r="BH20" s="306">
        <f>MOPFRA!BH20</f>
        <v>8.7999999999999967E-2</v>
      </c>
      <c r="BI20" s="1861">
        <f>MOPFRA!BI20</f>
        <v>433.66399999999982</v>
      </c>
      <c r="BJ20" s="306">
        <f>MOPFRA!BJ20</f>
        <v>5.2000000000000018E-2</v>
      </c>
      <c r="BK20" s="99">
        <f>MOPFRA!BK20</f>
        <v>0</v>
      </c>
      <c r="BL20" s="306">
        <f>MOPFRA!BL20</f>
        <v>0.22024577723530545</v>
      </c>
      <c r="BM20" s="99">
        <f>MOPFRA!BM20</f>
        <v>-6.5153335724638701</v>
      </c>
      <c r="BN20" s="15">
        <f>MOPFRA!BN20</f>
        <v>0</v>
      </c>
      <c r="BO20" s="1803">
        <f>MOPFRA!BO20</f>
        <v>3</v>
      </c>
      <c r="BP20" s="842">
        <f>MOPFRA!BP20</f>
        <v>1</v>
      </c>
      <c r="BQ20" s="16">
        <f>MOPFRA!BQ20</f>
        <v>781</v>
      </c>
      <c r="BR20" s="16">
        <f>MOPFRA!BR20</f>
        <v>0</v>
      </c>
      <c r="BS20" s="16">
        <f>MOPFRA!BS20</f>
        <v>0</v>
      </c>
      <c r="BT20" s="1253">
        <f>MOPFRA!BT20</f>
        <v>3539.7122518434485</v>
      </c>
      <c r="BU20" s="1246">
        <f>MOPFRA!BU20</f>
        <v>3125.5813953488373</v>
      </c>
      <c r="BV20" s="406">
        <f>MOPFRA!BV20</f>
        <v>0</v>
      </c>
      <c r="BW20" s="407">
        <f>MOPFRA!BW20</f>
        <v>2.4605067485523913</v>
      </c>
      <c r="BX20" s="99">
        <f>MOPFRA!BX20</f>
        <v>10</v>
      </c>
      <c r="BY20" s="18">
        <f>MOPFRA!BY20</f>
        <v>1433.0381341463415</v>
      </c>
      <c r="BZ20" s="18">
        <f>MOPFRA!BZ20</f>
        <v>883.7092731829573</v>
      </c>
      <c r="CA20" s="18">
        <f>MOPFRA!CA20</f>
        <v>1973.0385818815328</v>
      </c>
      <c r="CB20" s="1710">
        <f>MOPFRA!CB20</f>
        <v>2.8281251320887959</v>
      </c>
      <c r="CC20" s="266">
        <f>MOPFRA!CC20</f>
        <v>2053</v>
      </c>
      <c r="CD20" s="267">
        <f>MOPFRA!CD20</f>
        <v>3.99</v>
      </c>
      <c r="CE20" s="99">
        <f>MOPFRA!CE20</f>
        <v>3.0299999999999994</v>
      </c>
      <c r="CF20" s="17">
        <f>MOPFRA!CF20</f>
        <v>1.8764329684791208</v>
      </c>
      <c r="CG20" s="99">
        <f>MOPFRA!CG20</f>
        <v>0.49426812608351689</v>
      </c>
      <c r="CH20" s="494">
        <f>MOPFRA!CH20</f>
        <v>0.39652411016777572</v>
      </c>
      <c r="CI20" s="99">
        <f>MOPFRA!CI20</f>
        <v>-5.2138347483364489E-2</v>
      </c>
      <c r="CJ20" s="20">
        <f>MOPFRA!CJ20</f>
        <v>0</v>
      </c>
      <c r="CK20" s="691">
        <f>MOPFRA!CK20</f>
        <v>430</v>
      </c>
      <c r="CL20" s="419">
        <f>MOPFRA!CL20</f>
        <v>66</v>
      </c>
      <c r="CM20" s="468">
        <f>MOPFRA!CM20</f>
        <v>30</v>
      </c>
      <c r="CN20" s="843">
        <f>MOPFRA!CN20</f>
        <v>0</v>
      </c>
      <c r="CO20" s="21">
        <f>MOPFRA!CO20</f>
        <v>336</v>
      </c>
      <c r="CP20" s="21">
        <f>MOPFRA!CP20</f>
        <v>0</v>
      </c>
      <c r="CQ20" s="469">
        <f>MOPFRA!CQ20</f>
        <v>336</v>
      </c>
      <c r="CR20" s="1239">
        <f>MOPFRA!CR20</f>
        <v>497.35875609756096</v>
      </c>
      <c r="CS20" s="21">
        <f>MOPFRA!CS20</f>
        <v>402</v>
      </c>
      <c r="CT20" s="16">
        <f>MOPFRA!CT20</f>
        <v>-24</v>
      </c>
      <c r="CU20" s="154" t="str">
        <f>MOPFRA!CU20</f>
        <v/>
      </c>
      <c r="CV20" s="693">
        <f>MOPFRA!CV20</f>
        <v>854</v>
      </c>
      <c r="CW20" s="49">
        <f>MOPFRA!CW20</f>
        <v>2510</v>
      </c>
      <c r="CX20" s="21">
        <f>MOPFRA!CX20</f>
        <v>347</v>
      </c>
      <c r="CY20" s="49">
        <f>MOPFRA!CY20</f>
        <v>179</v>
      </c>
      <c r="CZ20" s="378">
        <f>MOPFRA!CZ20</f>
        <v>2689</v>
      </c>
      <c r="DA20" s="1058">
        <f>MOPFRA!DA20</f>
        <v>1.0996015936254979</v>
      </c>
      <c r="DB20" s="99">
        <f>MOPFRA!DB20</f>
        <v>-0.80318725099601629</v>
      </c>
      <c r="DC20" s="53">
        <f>MOPFRA!DC20</f>
        <v>3543</v>
      </c>
      <c r="DD20" s="645">
        <f>MOPFRA!DD20</f>
        <v>0.75896133220434658</v>
      </c>
      <c r="DE20" s="13">
        <f>MOPFRA!DE20</f>
        <v>783</v>
      </c>
      <c r="DF20" s="24">
        <f>MOPFRA!DF20</f>
        <v>740</v>
      </c>
      <c r="DG20" s="24">
        <f>MOPFRA!DG20</f>
        <v>1</v>
      </c>
      <c r="DH20" s="51">
        <f>MOPFRA!DH20</f>
        <v>2760</v>
      </c>
      <c r="DI20" s="8">
        <f>MOPFRA!DI20</f>
        <v>250</v>
      </c>
      <c r="DJ20" s="644">
        <f>MOPFRA!DJ20</f>
        <v>21.861923344947733</v>
      </c>
      <c r="DK20" s="22">
        <f>MOPFRA!DK20</f>
        <v>1218</v>
      </c>
      <c r="DL20" s="22">
        <f>MOPFRA!DL20</f>
        <v>635</v>
      </c>
      <c r="DM20" s="22">
        <f>MOPFRA!DM20</f>
        <v>581</v>
      </c>
      <c r="DN20" s="138">
        <f>MOPFRA!DN20</f>
        <v>0.75896133220434658</v>
      </c>
      <c r="DO20" s="99">
        <f>MOPFRA!DO20</f>
        <v>-0.72296514846835302</v>
      </c>
      <c r="DP20" s="22">
        <f>MOPFRA!DP20</f>
        <v>0</v>
      </c>
      <c r="DQ20" s="8">
        <f>MOPFRA!DQ20</f>
        <v>326</v>
      </c>
      <c r="DR20" s="32">
        <f>MOPFRA!DR20</f>
        <v>-0.17587086394889107</v>
      </c>
      <c r="DS20" s="99">
        <f>MOPFRA!DS20</f>
        <v>0</v>
      </c>
      <c r="DT20" s="8">
        <f>MOPFRA!DT20</f>
        <v>7472.92</v>
      </c>
      <c r="DU20" s="8">
        <f>MOPFRA!DU20</f>
        <v>11252.093023255815</v>
      </c>
      <c r="DV20" s="235">
        <f>MOPFRA!DV20</f>
        <v>153.48837209302326</v>
      </c>
      <c r="DW20" s="8">
        <f>MOPFRA!DW20</f>
        <v>9439.2506976744189</v>
      </c>
      <c r="DX20" s="411">
        <f>MOPFRA!DX20</f>
        <v>119</v>
      </c>
      <c r="DY20" s="1532">
        <f>MOPFRA!DY20</f>
        <v>3132</v>
      </c>
      <c r="DZ20" s="857">
        <f>MOPFRA!DZ20</f>
        <v>0.19526184538653366</v>
      </c>
      <c r="EA20" s="386">
        <f>MOPFRA!EA20</f>
        <v>1.26</v>
      </c>
      <c r="EB20" s="505">
        <f>MOPFRA!EB20</f>
        <v>0</v>
      </c>
      <c r="EC20" s="510">
        <f>MOPFRA!EC20</f>
        <v>11800</v>
      </c>
      <c r="ED20" s="435">
        <f>MOPFRA!ED20</f>
        <v>1062</v>
      </c>
      <c r="EE20" s="510">
        <f>MOPFRA!EE20</f>
        <v>14300</v>
      </c>
      <c r="EF20" s="435">
        <f>MOPFRA!EF20</f>
        <v>2717</v>
      </c>
      <c r="EG20" s="510">
        <f>MOPFRA!EG20</f>
        <v>11970</v>
      </c>
      <c r="EH20" s="435">
        <f>MOPFRA!EH20</f>
        <v>2274</v>
      </c>
      <c r="EI20" s="510">
        <f>MOPFRA!EI20</f>
        <v>17695</v>
      </c>
      <c r="EJ20" s="435">
        <f>MOPFRA!EJ20</f>
        <v>3362</v>
      </c>
      <c r="EK20" s="510">
        <f>MOPFRA!EK20</f>
        <v>12908</v>
      </c>
      <c r="EL20" s="1606">
        <f>MOPFRA!EL20</f>
        <v>2453</v>
      </c>
      <c r="EM20" s="1684">
        <f>MOPFRA!EM20</f>
        <v>12908</v>
      </c>
      <c r="EN20" s="1608">
        <f>MOPFRA!EN20</f>
        <v>2453</v>
      </c>
      <c r="EO20" s="1609">
        <f>MOPFRA!EO20</f>
        <v>1.3097928436911488</v>
      </c>
      <c r="EP20" s="1648">
        <f>MOPFRA!EP20</f>
        <v>18</v>
      </c>
      <c r="EQ20"/>
    </row>
    <row r="21" spans="1:147" ht="35" customHeight="1">
      <c r="A21" s="100">
        <f>MOPFRA!A21</f>
        <v>16.387529442051104</v>
      </c>
      <c r="B21" s="99">
        <f>MOPFRA!B21</f>
        <v>14.687529442051105</v>
      </c>
      <c r="C21" s="1585">
        <f ca="1">MOPFRA!C21</f>
        <v>0.17365027936088065</v>
      </c>
      <c r="D21" s="1651">
        <f>MOPFRA!D21</f>
        <v>1.9536940581890816</v>
      </c>
      <c r="E21" s="1414">
        <f>MOPFRA!E21</f>
        <v>2.2000000000000006</v>
      </c>
      <c r="F21" s="1415">
        <f>MOPFRA!F21</f>
        <v>1.7000000000000002</v>
      </c>
      <c r="G21" s="2124">
        <f>MOPFRA!G21</f>
        <v>13.629381392764817</v>
      </c>
      <c r="H21" s="2379">
        <f>MOPFRA!H21</f>
        <v>1.5242796840164541</v>
      </c>
      <c r="I21" s="2379">
        <f>MOPFRA!I21</f>
        <v>0.27290174338986622</v>
      </c>
      <c r="J21" s="2379">
        <f>MOPFRA!J21</f>
        <v>0.30838105993385495</v>
      </c>
      <c r="K21" s="1942">
        <f>MOPFRA!K21</f>
        <v>10</v>
      </c>
      <c r="L21" s="1587">
        <f>MOPFRA!L21</f>
        <v>12</v>
      </c>
      <c r="M21" s="1582" t="str">
        <f>MOPFRA!M21</f>
        <v>BB</v>
      </c>
      <c r="N21" s="1582" t="str">
        <f>MOPFRA!N21</f>
        <v>BB</v>
      </c>
      <c r="O21" s="179" t="str">
        <f>MOPFRA!O21</f>
        <v/>
      </c>
      <c r="P21" s="856" t="str">
        <f>MOPFRA!P21</f>
        <v>R</v>
      </c>
      <c r="Q21" s="1571" t="str">
        <f>MOPFRA!Q21</f>
        <v>پالايش نفت اصفهان</v>
      </c>
      <c r="R21" s="1571" t="str">
        <f>MOPFRA!R21</f>
        <v>شپنا</v>
      </c>
      <c r="S21" s="1572">
        <f>MOPFRA!S21</f>
        <v>12</v>
      </c>
      <c r="T21" s="66">
        <f>MOPFRA!T21</f>
        <v>705011.24080000003</v>
      </c>
      <c r="U21" s="258">
        <f>MOPFRA!U21</f>
        <v>11240</v>
      </c>
      <c r="V21" s="338">
        <f>MOPFRA!V21</f>
        <v>2.93</v>
      </c>
      <c r="W21" s="258">
        <f>MOPFRA!W21</f>
        <v>11240</v>
      </c>
      <c r="X21" s="337">
        <f>MOPFRA!X21</f>
        <v>2.93</v>
      </c>
      <c r="Y21" s="1708">
        <f>MOPFRA!Y21</f>
        <v>852034.24080000003</v>
      </c>
      <c r="Z21" s="661" t="str">
        <f>MOPFRA!Z21</f>
        <v/>
      </c>
      <c r="AA21" s="2382">
        <f>MOPFRA!AA21</f>
        <v>0.2270732260372085</v>
      </c>
      <c r="AB21" s="511">
        <f ca="1">MOPFRA!AB21</f>
        <v>3.6986301369863014E-2</v>
      </c>
      <c r="AC21" s="823">
        <f ca="1">MOPFRA!AC21</f>
        <v>-126.72461644489701</v>
      </c>
      <c r="AD21" s="1150">
        <f>MOPFRA!AD21</f>
        <v>0.2270732260372085</v>
      </c>
      <c r="AE21" s="1150">
        <f>MOPFRA!AE21</f>
        <v>2.8789524288457415</v>
      </c>
      <c r="AF21" s="1150">
        <f>MOPFRA!AF21</f>
        <v>2.8082161130887111</v>
      </c>
      <c r="AG21" s="1150">
        <f>MOPFRA!AG21</f>
        <v>3.6703404378788385</v>
      </c>
      <c r="AH21" s="1150">
        <f>MOPFRA!AH21</f>
        <v>4.7977898092105269</v>
      </c>
      <c r="AI21" s="275">
        <f ca="1">MOPFRA!AI21</f>
        <v>350</v>
      </c>
      <c r="AJ21" s="1120">
        <f>MOPFRA!AJ21</f>
        <v>46224</v>
      </c>
      <c r="AK21" s="1693">
        <f>MOPFRA!AK21</f>
        <v>46271</v>
      </c>
      <c r="AL21" s="1345">
        <f>MOPFRA!AL21</f>
        <v>627234200000</v>
      </c>
      <c r="AM21" s="29">
        <f>MOPFRA!AM21</f>
        <v>0</v>
      </c>
      <c r="AN21" s="29">
        <f>MOPFRA!AN21</f>
        <v>0</v>
      </c>
      <c r="AO21" s="685">
        <f>MOPFRA!AO21</f>
        <v>0.48599999999999999</v>
      </c>
      <c r="AP21" s="174">
        <f>MOPFRA!AP21</f>
        <v>0</v>
      </c>
      <c r="AQ21" s="1416">
        <f>MOPFRA!AQ21</f>
        <v>847187</v>
      </c>
      <c r="AR21" s="1416">
        <f>MOPFRA!AR21</f>
        <v>106686</v>
      </c>
      <c r="AS21" s="766">
        <f>MOPFRA!AS21</f>
        <v>1781674.8225220123</v>
      </c>
      <c r="AT21" s="984">
        <f>MOPFRA!AT21</f>
        <v>4</v>
      </c>
      <c r="AU21" s="376">
        <f>MOPFRA!AU21</f>
        <v>0.39670199739339229</v>
      </c>
      <c r="AV21" s="99">
        <f>MOPFRA!AV21</f>
        <v>0.40888657537798023</v>
      </c>
      <c r="AW21" s="2380">
        <f>MOPFRA!AW21</f>
        <v>386120</v>
      </c>
      <c r="AX21" s="2380">
        <f>MOPFRA!AX21</f>
        <v>48461</v>
      </c>
      <c r="AY21" s="2374">
        <f>MOPFRA!AY21</f>
        <v>0.126</v>
      </c>
      <c r="AZ21" s="2370">
        <f>MOPFRA!AZ21</f>
        <v>0.104</v>
      </c>
      <c r="BA21" s="2372">
        <f>MOPFRA!BA21</f>
        <v>0.126</v>
      </c>
      <c r="BB21" s="2373">
        <f>MOPFRA!BB21</f>
        <v>6.5000000000000002E-2</v>
      </c>
      <c r="BC21" s="2375">
        <f>MOPFRA!BC21</f>
        <v>1.7000000000000002</v>
      </c>
      <c r="BD21" s="2376">
        <f>MOPFRA!BD21</f>
        <v>9.7000000000000003E-2</v>
      </c>
      <c r="BE21" s="2370">
        <f>MOPFRA!BE21</f>
        <v>0.08</v>
      </c>
      <c r="BF21" s="2371">
        <f>MOPFRA!BF21</f>
        <v>0.1</v>
      </c>
      <c r="BG21" s="1422">
        <f>MOPFRA!BG21</f>
        <v>4.7E-2</v>
      </c>
      <c r="BH21" s="306">
        <f>MOPFRA!BH21</f>
        <v>2.8999999999999998E-2</v>
      </c>
      <c r="BI21" s="1861">
        <f>MOPFRA!BI21</f>
        <v>44789.919999999998</v>
      </c>
      <c r="BJ21" s="306">
        <f>MOPFRA!BJ21</f>
        <v>2.3999999999999994E-2</v>
      </c>
      <c r="BK21" s="99">
        <f>MOPFRA!BK21</f>
        <v>0</v>
      </c>
      <c r="BL21" s="306">
        <f>MOPFRA!BL21</f>
        <v>1.1030478778852983</v>
      </c>
      <c r="BM21" s="99">
        <f>MOPFRA!BM21</f>
        <v>10</v>
      </c>
      <c r="BN21" s="15">
        <f>MOPFRA!BN21</f>
        <v>0</v>
      </c>
      <c r="BO21" s="1803">
        <f>MOPFRA!BO21</f>
        <v>3</v>
      </c>
      <c r="BP21" s="842">
        <f>MOPFRA!BP21</f>
        <v>1</v>
      </c>
      <c r="BQ21" s="16">
        <f>MOPFRA!BQ21</f>
        <v>614</v>
      </c>
      <c r="BR21" s="16">
        <f>MOPFRA!BR21</f>
        <v>0</v>
      </c>
      <c r="BS21" s="16">
        <f>MOPFRA!BS21</f>
        <v>0</v>
      </c>
      <c r="BT21" s="1253">
        <f>MOPFRA!BT21</f>
        <v>2831.9957327683214</v>
      </c>
      <c r="BU21" s="1246">
        <f>MOPFRA!BU21</f>
        <v>2474.5143042263958</v>
      </c>
      <c r="BV21" s="406">
        <f>MOPFRA!BV21</f>
        <v>0</v>
      </c>
      <c r="BW21" s="407">
        <f>MOPFRA!BW21</f>
        <v>4.2363059418109188</v>
      </c>
      <c r="BX21" s="99">
        <f>MOPFRA!BX21</f>
        <v>3.818470290945406</v>
      </c>
      <c r="BY21" s="18">
        <f>MOPFRA!BY21</f>
        <v>166421.22889231759</v>
      </c>
      <c r="BZ21" s="18">
        <f>MOPFRA!BZ21</f>
        <v>113895.19237479806</v>
      </c>
      <c r="CA21" s="18">
        <f>MOPFRA!CA21</f>
        <v>224491.02763777354</v>
      </c>
      <c r="CB21" s="1710">
        <f>MOPFRA!CB21</f>
        <v>3.7954044300371592</v>
      </c>
      <c r="CC21" s="266">
        <f>MOPFRA!CC21</f>
        <v>1816</v>
      </c>
      <c r="CD21" s="267">
        <f>MOPFRA!CD21</f>
        <v>6.19</v>
      </c>
      <c r="CE21" s="99">
        <f>MOPFRA!CE21</f>
        <v>-3.5700000000000012</v>
      </c>
      <c r="CF21" s="17">
        <f>MOPFRA!CF21</f>
        <v>0.97741737086469094</v>
      </c>
      <c r="CG21" s="99">
        <f>MOPFRA!CG21</f>
        <v>4.0903305165412362</v>
      </c>
      <c r="CH21" s="494">
        <f>MOPFRA!CH21</f>
        <v>0.4866615849350594</v>
      </c>
      <c r="CI21" s="99">
        <f>MOPFRA!CI21</f>
        <v>1.2999237740258907</v>
      </c>
      <c r="CJ21" s="20">
        <f>MOPFRA!CJ21</f>
        <v>0</v>
      </c>
      <c r="CK21" s="691">
        <f>MOPFRA!CK21</f>
        <v>62723.42</v>
      </c>
      <c r="CL21" s="419">
        <f>MOPFRA!CL21</f>
        <v>42034</v>
      </c>
      <c r="CM21" s="468">
        <f>MOPFRA!CM21</f>
        <v>4810</v>
      </c>
      <c r="CN21" s="843">
        <f>MOPFRA!CN21</f>
        <v>940</v>
      </c>
      <c r="CO21" s="21">
        <f>MOPFRA!CO21</f>
        <v>38540</v>
      </c>
      <c r="CP21" s="21">
        <f>MOPFRA!CP21</f>
        <v>-288</v>
      </c>
      <c r="CQ21" s="469">
        <f>MOPFRA!CQ21</f>
        <v>38802.5</v>
      </c>
      <c r="CR21" s="1239">
        <f>MOPFRA!CR21</f>
        <v>57319.485928211725</v>
      </c>
      <c r="CS21" s="21">
        <f>MOPFRA!CS21</f>
        <v>80574</v>
      </c>
      <c r="CT21" s="16">
        <f>MOPFRA!CT21</f>
        <v>-2430</v>
      </c>
      <c r="CU21" s="154" t="str">
        <f>MOPFRA!CU21</f>
        <v/>
      </c>
      <c r="CV21" s="693">
        <f>MOPFRA!CV21</f>
        <v>153315</v>
      </c>
      <c r="CW21" s="49">
        <f>MOPFRA!CW21</f>
        <v>149231</v>
      </c>
      <c r="CX21" s="21">
        <f>MOPFRA!CX21</f>
        <v>20390</v>
      </c>
      <c r="CY21" s="49">
        <f>MOPFRA!CY21</f>
        <v>13432</v>
      </c>
      <c r="CZ21" s="378">
        <f>MOPFRA!CZ21</f>
        <v>162663</v>
      </c>
      <c r="DA21" s="1058">
        <f>MOPFRA!DA21</f>
        <v>1.2641475296687685</v>
      </c>
      <c r="DB21" s="99">
        <f>MOPFRA!DB21</f>
        <v>0.51318023735014862</v>
      </c>
      <c r="DC21" s="53">
        <f>MOPFRA!DC21</f>
        <v>315978</v>
      </c>
      <c r="DD21" s="645">
        <f>MOPFRA!DD21</f>
        <v>0.5147921690750622</v>
      </c>
      <c r="DE21" s="13">
        <f>MOPFRA!DE21</f>
        <v>127328</v>
      </c>
      <c r="DF21" s="24">
        <f>MOPFRA!DF21</f>
        <v>110576</v>
      </c>
      <c r="DG21" s="24">
        <f>MOPFRA!DG21</f>
        <v>12834</v>
      </c>
      <c r="DH21" s="51">
        <f>MOPFRA!DH21</f>
        <v>188650</v>
      </c>
      <c r="DI21" s="8">
        <f>MOPFRA!DI21</f>
        <v>39419</v>
      </c>
      <c r="DJ21" s="644">
        <f>MOPFRA!DJ21</f>
        <v>45.198376988812811</v>
      </c>
      <c r="DK21" s="22">
        <f>MOPFRA!DK21</f>
        <v>47153</v>
      </c>
      <c r="DL21" s="22">
        <f>MOPFRA!DL21</f>
        <v>15637</v>
      </c>
      <c r="DM21" s="22">
        <f>MOPFRA!DM21</f>
        <v>123700</v>
      </c>
      <c r="DN21" s="138">
        <f>MOPFRA!DN21</f>
        <v>0.5147921690750622</v>
      </c>
      <c r="DO21" s="99">
        <f>MOPFRA!DO21</f>
        <v>-1.8732619521895588</v>
      </c>
      <c r="DP21" s="22">
        <f>MOPFRA!DP21</f>
        <v>3</v>
      </c>
      <c r="DQ21" s="8">
        <f>MOPFRA!DQ21</f>
        <v>2157</v>
      </c>
      <c r="DR21" s="32">
        <f>MOPFRA!DR21</f>
        <v>-9.0814319906340979E-2</v>
      </c>
      <c r="DS21" s="99">
        <f>MOPFRA!DS21</f>
        <v>0</v>
      </c>
      <c r="DT21" s="8">
        <f>MOPFRA!DT21</f>
        <v>6610.24</v>
      </c>
      <c r="DU21" s="8">
        <f>MOPFRA!DU21</f>
        <v>8908.251495215025</v>
      </c>
      <c r="DV21" s="235">
        <f>MOPFRA!DV21</f>
        <v>670.1484070862208</v>
      </c>
      <c r="DW21" s="8">
        <f>MOPFRA!DW21</f>
        <v>8094.3199511506227</v>
      </c>
      <c r="DX21" s="411">
        <f>MOPFRA!DX21</f>
        <v>47</v>
      </c>
      <c r="DY21" s="1532">
        <f>MOPFRA!DY21</f>
        <v>740</v>
      </c>
      <c r="DZ21" s="857">
        <f>MOPFRA!DZ21</f>
        <v>7.4747474747474743E-2</v>
      </c>
      <c r="EA21" s="386">
        <f>MOPFRA!EA21</f>
        <v>0.19</v>
      </c>
      <c r="EB21" s="505">
        <f>MOPFRA!EB21</f>
        <v>0</v>
      </c>
      <c r="EC21" s="510">
        <f>MOPFRA!EC21</f>
        <v>6400</v>
      </c>
      <c r="ED21" s="435">
        <f>MOPFRA!ED21</f>
        <v>121600</v>
      </c>
      <c r="EE21" s="510">
        <f>MOPFRA!EE21</f>
        <v>6650</v>
      </c>
      <c r="EF21" s="435">
        <f>MOPFRA!EF21</f>
        <v>150955</v>
      </c>
      <c r="EG21" s="510">
        <f>MOPFRA!EG21</f>
        <v>4990</v>
      </c>
      <c r="EH21" s="435">
        <f>MOPFRA!EH21</f>
        <v>185129</v>
      </c>
      <c r="EI21" s="510">
        <f>MOPFRA!EI21</f>
        <v>3450</v>
      </c>
      <c r="EJ21" s="435">
        <f>MOPFRA!EJ21</f>
        <v>181753</v>
      </c>
      <c r="EK21" s="510">
        <f>MOPFRA!EK21</f>
        <v>9160</v>
      </c>
      <c r="EL21" s="1606">
        <f>MOPFRA!EL21</f>
        <v>574547</v>
      </c>
      <c r="EM21" s="1684">
        <f>MOPFRA!EM21</f>
        <v>9160</v>
      </c>
      <c r="EN21" s="1608">
        <f>MOPFRA!EN21</f>
        <v>574547</v>
      </c>
      <c r="EO21" s="1609">
        <f>MOPFRA!EO21</f>
        <v>3.7248930921052632</v>
      </c>
      <c r="EP21" s="1648">
        <f>MOPFRA!EP21</f>
        <v>10</v>
      </c>
      <c r="EQ21"/>
    </row>
    <row r="22" spans="1:147" ht="35" customHeight="1">
      <c r="A22" s="100">
        <f>MOPFRA!A22</f>
        <v>13.754050345773464</v>
      </c>
      <c r="B22" s="99">
        <f>MOPFRA!B22</f>
        <v>3.7540503457734609</v>
      </c>
      <c r="C22" s="1585">
        <f ca="1">MOPFRA!C22</f>
        <v>0.23554790057531996</v>
      </c>
      <c r="D22" s="1651">
        <f>MOPFRA!D22</f>
        <v>1.1407495647527846</v>
      </c>
      <c r="E22" s="1414">
        <f>MOPFRA!E22</f>
        <v>12.400000000000006</v>
      </c>
      <c r="F22" s="1415">
        <f>MOPFRA!F22</f>
        <v>12.3</v>
      </c>
      <c r="G22" s="2124">
        <f>MOPFRA!G22</f>
        <v>34.188210346367768</v>
      </c>
      <c r="H22" s="2379">
        <f>MOPFRA!H22</f>
        <v>0.53115922894111434</v>
      </c>
      <c r="I22" s="2379">
        <f>MOPFRA!I22</f>
        <v>-0.46305167017947246</v>
      </c>
      <c r="J22" s="2379">
        <f>MOPFRA!J22</f>
        <v>-0.43374393430384472</v>
      </c>
      <c r="K22" s="1942">
        <f>MOPFRA!K22</f>
        <v>35</v>
      </c>
      <c r="L22" s="1587">
        <f>MOPFRA!L22</f>
        <v>15</v>
      </c>
      <c r="M22" s="1582" t="str">
        <f>MOPFRA!M22</f>
        <v>B</v>
      </c>
      <c r="N22" s="1582" t="str">
        <f>MOPFRA!N22</f>
        <v>B</v>
      </c>
      <c r="O22" s="179" t="str">
        <f>MOPFRA!O22</f>
        <v/>
      </c>
      <c r="P22" s="856" t="str">
        <f>MOPFRA!P22</f>
        <v>PUR</v>
      </c>
      <c r="Q22" s="1571" t="str">
        <f>MOPFRA!Q22</f>
        <v>پتروشيمي‌شيراز</v>
      </c>
      <c r="R22" s="1571" t="str">
        <f>MOPFRA!R22</f>
        <v>شيراز</v>
      </c>
      <c r="S22" s="1572">
        <f>MOPFRA!S22</f>
        <v>12</v>
      </c>
      <c r="T22" s="66">
        <f>MOPFRA!T22</f>
        <v>98960.4</v>
      </c>
      <c r="U22" s="258">
        <f>MOPFRA!U22</f>
        <v>64680</v>
      </c>
      <c r="V22" s="338">
        <f>MOPFRA!V22</f>
        <v>2.99</v>
      </c>
      <c r="W22" s="258">
        <f>MOPFRA!W22</f>
        <v>64680</v>
      </c>
      <c r="X22" s="337">
        <f>MOPFRA!X22</f>
        <v>2.99</v>
      </c>
      <c r="Y22" s="1708">
        <f>MOPFRA!Y22</f>
        <v>136323.4</v>
      </c>
      <c r="Z22" s="661" t="str">
        <f>MOPFRA!Z22</f>
        <v/>
      </c>
      <c r="AA22" s="2382">
        <f>MOPFRA!AA22</f>
        <v>-0.21706066647678729</v>
      </c>
      <c r="AB22" s="511">
        <f ca="1">MOPFRA!AB22</f>
        <v>0.12082191780821919</v>
      </c>
      <c r="AC22" s="823">
        <f ca="1">MOPFRA!AC22</f>
        <v>68.955629445919698</v>
      </c>
      <c r="AD22" s="1150">
        <f>MOPFRA!AD22</f>
        <v>-0.2168747922700727</v>
      </c>
      <c r="AE22" s="1150">
        <f>MOPFRA!AE22</f>
        <v>1.2329617762534408</v>
      </c>
      <c r="AF22" s="1150">
        <f>MOPFRA!AF22</f>
        <v>2.2692566897918729</v>
      </c>
      <c r="AG22" s="1150">
        <f>MOPFRA!AG22</f>
        <v>1.7988121500084844</v>
      </c>
      <c r="AH22" s="1150">
        <f>MOPFRA!AH22</f>
        <v>1.7947809878844361</v>
      </c>
      <c r="AI22" s="275">
        <f ca="1">MOPFRA!AI22</f>
        <v>316</v>
      </c>
      <c r="AJ22" s="1120">
        <f>MOPFRA!AJ22</f>
        <v>46190</v>
      </c>
      <c r="AK22" s="1693">
        <f>MOPFRA!AK22</f>
        <v>46300</v>
      </c>
      <c r="AL22" s="1345">
        <f>MOPFRA!AL22</f>
        <v>15300000000</v>
      </c>
      <c r="AM22" s="29">
        <f>MOPFRA!AM22</f>
        <v>0</v>
      </c>
      <c r="AN22" s="29">
        <f>MOPFRA!AN22</f>
        <v>0</v>
      </c>
      <c r="AO22" s="685">
        <f>MOPFRA!AO22</f>
        <v>0.12</v>
      </c>
      <c r="AP22" s="174">
        <f>MOPFRA!AP22</f>
        <v>0</v>
      </c>
      <c r="AQ22" s="1416">
        <f>MOPFRA!AQ22</f>
        <v>47988</v>
      </c>
      <c r="AR22" s="1416">
        <f>MOPFRA!AR22</f>
        <v>19331</v>
      </c>
      <c r="AS22" s="766">
        <f>MOPFRA!AS22</f>
        <v>58439.134539213097</v>
      </c>
      <c r="AT22" s="984">
        <f>MOPFRA!AT22</f>
        <v>4</v>
      </c>
      <c r="AU22" s="376">
        <f>MOPFRA!AU22</f>
        <v>1.6927067928020685</v>
      </c>
      <c r="AV22" s="99">
        <f>MOPFRA!AV22</f>
        <v>5.436475637953853</v>
      </c>
      <c r="AW22" s="2380">
        <f>MOPFRA!AW22</f>
        <v>8407</v>
      </c>
      <c r="AX22" s="2380">
        <f>MOPFRA!AX22</f>
        <v>4488</v>
      </c>
      <c r="AY22" s="2374">
        <f>MOPFRA!AY22</f>
        <v>0.53400000000000003</v>
      </c>
      <c r="AZ22" s="2370">
        <f>MOPFRA!AZ22</f>
        <v>0.41</v>
      </c>
      <c r="BA22" s="2372">
        <f>MOPFRA!BA22</f>
        <v>0.40300000000000002</v>
      </c>
      <c r="BB22" s="2372">
        <f>MOPFRA!BB22</f>
        <v>0.433</v>
      </c>
      <c r="BC22" s="2375">
        <f>MOPFRA!BC22</f>
        <v>10</v>
      </c>
      <c r="BD22" s="2376">
        <f>MOPFRA!BD22</f>
        <v>0.45</v>
      </c>
      <c r="BE22" s="2370">
        <f>MOPFRA!BE22</f>
        <v>0.32700000000000001</v>
      </c>
      <c r="BF22" s="2371">
        <f>MOPFRA!BF22</f>
        <v>0.313</v>
      </c>
      <c r="BG22" s="1422">
        <f>MOPFRA!BG22</f>
        <v>0.33700000000000002</v>
      </c>
      <c r="BH22" s="306">
        <f>MOPFRA!BH22</f>
        <v>8.4000000000000019E-2</v>
      </c>
      <c r="BI22" s="1861">
        <f>MOPFRA!BI22</f>
        <v>2824.7520000000009</v>
      </c>
      <c r="BJ22" s="306">
        <f>MOPFRA!BJ22</f>
        <v>8.2999999999999963E-2</v>
      </c>
      <c r="BK22" s="99">
        <f>MOPFRA!BK22</f>
        <v>0</v>
      </c>
      <c r="BL22" s="306">
        <f>MOPFRA!BL22</f>
        <v>0.21778641617098227</v>
      </c>
      <c r="BM22" s="99">
        <f>MOPFRA!BM22</f>
        <v>10</v>
      </c>
      <c r="BN22" s="15">
        <f>MOPFRA!BN22</f>
        <v>0</v>
      </c>
      <c r="BO22" s="1803">
        <f>MOPFRA!BO22</f>
        <v>3</v>
      </c>
      <c r="BP22" s="842">
        <f>MOPFRA!BP22</f>
        <v>1</v>
      </c>
      <c r="BQ22" s="16">
        <f>MOPFRA!BQ22</f>
        <v>2052</v>
      </c>
      <c r="BR22" s="16">
        <f>MOPFRA!BR22</f>
        <v>0</v>
      </c>
      <c r="BS22" s="16">
        <f>MOPFRA!BS22</f>
        <v>0</v>
      </c>
      <c r="BT22" s="1253">
        <f>MOPFRA!BT22</f>
        <v>15144.18989715418</v>
      </c>
      <c r="BU22" s="1246">
        <f>MOPFRA!BU22</f>
        <v>8209.1503267973858</v>
      </c>
      <c r="BV22" s="406">
        <f>MOPFRA!BV22</f>
        <v>0</v>
      </c>
      <c r="BW22" s="407">
        <f>MOPFRA!BW22</f>
        <v>5.5392504352472152</v>
      </c>
      <c r="BX22" s="99">
        <f>MOPFRA!BX22</f>
        <v>-2.6962521762360758</v>
      </c>
      <c r="BY22" s="18">
        <f>MOPFRA!BY22</f>
        <v>17865.305271322944</v>
      </c>
      <c r="BZ22" s="18">
        <f>MOPFRA!BZ22</f>
        <v>14814.43113772455</v>
      </c>
      <c r="CA22" s="18">
        <f>MOPFRA!CA22</f>
        <v>31206.497843939796</v>
      </c>
      <c r="CB22" s="1710">
        <f>MOPFRA!CB22</f>
        <v>4.3684299558937392</v>
      </c>
      <c r="CC22" s="266">
        <f>MOPFRA!CC22</f>
        <v>9681</v>
      </c>
      <c r="CD22" s="267">
        <f>MOPFRA!CD22</f>
        <v>6.68</v>
      </c>
      <c r="CE22" s="99">
        <f>MOPFRA!CE22</f>
        <v>-5.0399999999999991</v>
      </c>
      <c r="CF22" s="17">
        <f>MOPFRA!CF22</f>
        <v>2.2878422383080448</v>
      </c>
      <c r="CG22" s="99">
        <f>MOPFRA!CG22</f>
        <v>-1.1513689532321791</v>
      </c>
      <c r="CH22" s="494">
        <f>MOPFRA!CH22</f>
        <v>0.30475427776812364</v>
      </c>
      <c r="CI22" s="99">
        <f>MOPFRA!CI22</f>
        <v>-1.4286858334781458</v>
      </c>
      <c r="CJ22" s="20">
        <f>MOPFRA!CJ22</f>
        <v>0</v>
      </c>
      <c r="CK22" s="691">
        <f>MOPFRA!CK22</f>
        <v>1530</v>
      </c>
      <c r="CL22" s="419">
        <f>MOPFRA!CL22</f>
        <v>15356</v>
      </c>
      <c r="CM22" s="468">
        <f>MOPFRA!CM22</f>
        <v>-3127</v>
      </c>
      <c r="CN22" s="843">
        <f>MOPFRA!CN22</f>
        <v>-643</v>
      </c>
      <c r="CO22" s="21">
        <f>MOPFRA!CO22</f>
        <v>3140</v>
      </c>
      <c r="CP22" s="21">
        <f>MOPFRA!CP22</f>
        <v>6</v>
      </c>
      <c r="CQ22" s="469">
        <f>MOPFRA!CQ22</f>
        <v>3140</v>
      </c>
      <c r="CR22" s="1239">
        <f>MOPFRA!CR22</f>
        <v>8771.8701808819642</v>
      </c>
      <c r="CS22" s="21">
        <f>MOPFRA!CS22</f>
        <v>18496</v>
      </c>
      <c r="CT22" s="16">
        <f>MOPFRA!CT22</f>
        <v>-155</v>
      </c>
      <c r="CU22" s="154" t="str">
        <f>MOPFRA!CU22</f>
        <v/>
      </c>
      <c r="CV22" s="693">
        <f>MOPFRA!CV22</f>
        <v>20105</v>
      </c>
      <c r="CW22" s="49">
        <f>MOPFRA!CW22</f>
        <v>32924</v>
      </c>
      <c r="CX22" s="21">
        <f>MOPFRA!CX22</f>
        <v>2389</v>
      </c>
      <c r="CY22" s="49">
        <f>MOPFRA!CY22</f>
        <v>7949</v>
      </c>
      <c r="CZ22" s="378">
        <f>MOPFRA!CZ22</f>
        <v>40873</v>
      </c>
      <c r="DA22" s="1058">
        <f>MOPFRA!DA22</f>
        <v>1.1698760782407971</v>
      </c>
      <c r="DB22" s="99">
        <f>MOPFRA!DB22</f>
        <v>-0.24099137407362292</v>
      </c>
      <c r="DC22" s="53">
        <f>MOPFRA!DC22</f>
        <v>60978</v>
      </c>
      <c r="DD22" s="645">
        <f>MOPFRA!DD22</f>
        <v>0.6702909245957559</v>
      </c>
      <c r="DE22" s="13">
        <f>MOPFRA!DE22</f>
        <v>22461</v>
      </c>
      <c r="DF22" s="24">
        <f>MOPFRA!DF22</f>
        <v>4824</v>
      </c>
      <c r="DG22" s="24">
        <f>MOPFRA!DG22</f>
        <v>17532</v>
      </c>
      <c r="DH22" s="51">
        <f>MOPFRA!DH22</f>
        <v>38517</v>
      </c>
      <c r="DI22" s="8">
        <f>MOPFRA!DI22</f>
        <v>5593</v>
      </c>
      <c r="DJ22" s="644">
        <f>MOPFRA!DJ22</f>
        <v>10.448620514788681</v>
      </c>
      <c r="DK22" s="22">
        <f>MOPFRA!DK22</f>
        <v>9801</v>
      </c>
      <c r="DL22" s="22">
        <f>MOPFRA!DL22</f>
        <v>2825</v>
      </c>
      <c r="DM22" s="22">
        <f>MOPFRA!DM22</f>
        <v>24021</v>
      </c>
      <c r="DN22" s="138">
        <f>MOPFRA!DN22</f>
        <v>0.6702909245957559</v>
      </c>
      <c r="DO22" s="99">
        <f>MOPFRA!DO22</f>
        <v>-1.1251269551603693</v>
      </c>
      <c r="DP22" s="22">
        <f>MOPFRA!DP22</f>
        <v>685</v>
      </c>
      <c r="DQ22" s="8">
        <f>MOPFRA!DQ22</f>
        <v>1185</v>
      </c>
      <c r="DR22" s="32">
        <f>MOPFRA!DR22</f>
        <v>-5.4604012552818756E-2</v>
      </c>
      <c r="DS22" s="99">
        <f>MOPFRA!DS22</f>
        <v>0</v>
      </c>
      <c r="DT22" s="8">
        <f>MOPFRA!DT22</f>
        <v>35238.839999999997</v>
      </c>
      <c r="DU22" s="8">
        <f>MOPFRA!DU22</f>
        <v>29552.941176470587</v>
      </c>
      <c r="DV22" s="235">
        <f>MOPFRA!DV22</f>
        <v>10036.601307189543</v>
      </c>
      <c r="DW22" s="8">
        <f>MOPFRA!DW22</f>
        <v>37414.191241830064</v>
      </c>
      <c r="DX22" s="411">
        <f>MOPFRA!DX22</f>
        <v>110</v>
      </c>
      <c r="DY22" s="1532">
        <f>MOPFRA!DY22</f>
        <v>6928</v>
      </c>
      <c r="DZ22" s="857">
        <f>MOPFRA!DZ22</f>
        <v>7.7390527256479005E-2</v>
      </c>
      <c r="EA22" s="386">
        <f>MOPFRA!EA22</f>
        <v>0</v>
      </c>
      <c r="EB22" s="504">
        <f>MOPFRA!EB22</f>
        <v>0</v>
      </c>
      <c r="EC22" s="510">
        <f>MOPFRA!EC22</f>
        <v>69430</v>
      </c>
      <c r="ED22" s="435">
        <f>MOPFRA!ED22</f>
        <v>35409</v>
      </c>
      <c r="EE22" s="510">
        <f>MOPFRA!EE22</f>
        <v>23110</v>
      </c>
      <c r="EF22" s="435">
        <f>MOPFRA!EF22</f>
        <v>35358</v>
      </c>
      <c r="EG22" s="510">
        <f>MOPFRA!EG22</f>
        <v>19784</v>
      </c>
      <c r="EH22" s="435">
        <f>MOPFRA!EH22</f>
        <v>30270</v>
      </c>
      <c r="EI22" s="510">
        <f>MOPFRA!EI22</f>
        <v>28966</v>
      </c>
      <c r="EJ22" s="435">
        <f>MOPFRA!EJ22</f>
        <v>44318</v>
      </c>
      <c r="EK22" s="510">
        <f>MOPFRA!EK22</f>
        <v>82592</v>
      </c>
      <c r="EL22" s="1606">
        <f>MOPFRA!EL22</f>
        <v>126366</v>
      </c>
      <c r="EM22" s="1684">
        <f>MOPFRA!EM22</f>
        <v>82592</v>
      </c>
      <c r="EN22" s="1608">
        <f>MOPFRA!EN22</f>
        <v>126396</v>
      </c>
      <c r="EO22" s="1609">
        <f>MOPFRA!EO22</f>
        <v>2.5696009489112939</v>
      </c>
      <c r="EP22" s="1648">
        <f>MOPFRA!EP22</f>
        <v>13</v>
      </c>
      <c r="EQ22"/>
    </row>
    <row r="23" spans="1:147" ht="35" customHeight="1">
      <c r="A23" s="100">
        <f>MOPFRA!A23</f>
        <v>12.65688189714186</v>
      </c>
      <c r="B23" s="99">
        <f>MOPFRA!B23</f>
        <v>8.5568818971418619</v>
      </c>
      <c r="C23" s="1585">
        <f ca="1">MOPFRA!C23</f>
        <v>0.15976243346069857</v>
      </c>
      <c r="D23" s="1651">
        <f>MOPFRA!D23</f>
        <v>3.1790383673397797</v>
      </c>
      <c r="E23" s="1414">
        <f>MOPFRA!E23</f>
        <v>7.0999999999999952</v>
      </c>
      <c r="F23" s="1415">
        <f>MOPFRA!F23</f>
        <v>4.0999999999999979</v>
      </c>
      <c r="G23" s="2124">
        <f>MOPFRA!G23</f>
        <v>21.412431849325042</v>
      </c>
      <c r="H23" s="2379">
        <f>MOPFRA!H23</f>
        <v>2.1480582524271843</v>
      </c>
      <c r="I23" s="2379">
        <f>MOPFRA!I23</f>
        <v>0.5483359746434231</v>
      </c>
      <c r="J23" s="2379">
        <f>MOPFRA!J23</f>
        <v>0.60089020771513357</v>
      </c>
      <c r="K23" s="1942">
        <f>MOPFRA!K23</f>
        <v>5</v>
      </c>
      <c r="L23" s="1587">
        <f>MOPFRA!L23</f>
        <v>19</v>
      </c>
      <c r="M23" s="1582" t="str">
        <f>MOPFRA!M23</f>
        <v>BB</v>
      </c>
      <c r="N23" s="1582" t="str">
        <f>MOPFRA!N23</f>
        <v>BB</v>
      </c>
      <c r="O23" s="179" t="str">
        <f>MOPFRA!O23</f>
        <v/>
      </c>
      <c r="P23" s="856" t="str">
        <f>MOPFRA!P23</f>
        <v>F</v>
      </c>
      <c r="Q23" s="1571" t="str">
        <f>MOPFRA!Q23</f>
        <v>شركت صنايع غذايي مينو شرق</v>
      </c>
      <c r="R23" s="1571" t="str">
        <f>MOPFRA!R23</f>
        <v>غمينو</v>
      </c>
      <c r="S23" s="1572">
        <f>MOPFRA!S23</f>
        <v>12</v>
      </c>
      <c r="T23" s="66">
        <f>MOPFRA!T23</f>
        <v>5887</v>
      </c>
      <c r="U23" s="258">
        <f>MOPFRA!U23</f>
        <v>8370</v>
      </c>
      <c r="V23" s="338">
        <f>MOPFRA!V23</f>
        <v>1.21</v>
      </c>
      <c r="W23" s="258">
        <f>MOPFRA!W23</f>
        <v>8410</v>
      </c>
      <c r="X23" s="337">
        <f>MOPFRA!X23</f>
        <v>1.69</v>
      </c>
      <c r="Y23" s="1708">
        <f>MOPFRA!Y23</f>
        <v>6461</v>
      </c>
      <c r="Z23" s="661" t="str">
        <f>MOPFRA!Z23</f>
        <v/>
      </c>
      <c r="AA23" s="2382">
        <f>MOPFRA!AA23</f>
        <v>1.5991169977924944</v>
      </c>
      <c r="AB23" s="511">
        <f ca="1">MOPFRA!AB23</f>
        <v>0.18000000000000002</v>
      </c>
      <c r="AC23" s="823">
        <f ca="1">MOPFRA!AC23</f>
        <v>-194.39958873869787</v>
      </c>
      <c r="AD23" s="1150">
        <f>MOPFRA!AD23</f>
        <v>1.5991169977924944</v>
      </c>
      <c r="AE23" s="1150">
        <f>MOPFRA!AE23</f>
        <v>2.050259067357513</v>
      </c>
      <c r="AF23" s="1150">
        <f>MOPFRA!AF23</f>
        <v>4.5328947368421053</v>
      </c>
      <c r="AG23" s="1150">
        <f>MOPFRA!AG23</f>
        <v>2.4107763615295479</v>
      </c>
      <c r="AH23" s="1150">
        <f>MOPFRA!AH23</f>
        <v>5.2099156118143464</v>
      </c>
      <c r="AI23" s="275">
        <f ca="1">MOPFRA!AI23</f>
        <v>292</v>
      </c>
      <c r="AJ23" s="1120">
        <f>MOPFRA!AJ23</f>
        <v>46166</v>
      </c>
      <c r="AK23" s="1693">
        <f>MOPFRA!AK23</f>
        <v>46289</v>
      </c>
      <c r="AL23" s="1345">
        <f>MOPFRA!AL23</f>
        <v>7000000000</v>
      </c>
      <c r="AM23" s="29">
        <f>MOPFRA!AM23</f>
        <v>0</v>
      </c>
      <c r="AN23" s="29">
        <f>MOPFRA!AN23</f>
        <v>0</v>
      </c>
      <c r="AO23" s="685">
        <f>MOPFRA!AO23</f>
        <v>0.05</v>
      </c>
      <c r="AP23" s="174">
        <f>MOPFRA!AP23</f>
        <v>0</v>
      </c>
      <c r="AQ23" s="1416">
        <f>MOPFRA!AQ23</f>
        <v>1820</v>
      </c>
      <c r="AR23" s="1416">
        <f>MOPFRA!AR23</f>
        <v>643</v>
      </c>
      <c r="AS23" s="766">
        <f>MOPFRA!AS23</f>
        <v>4513.7330097087379</v>
      </c>
      <c r="AT23" s="984">
        <f>MOPFRA!AT23</f>
        <v>4</v>
      </c>
      <c r="AU23" s="376">
        <f>MOPFRA!AU23</f>
        <v>1.3042419627694986</v>
      </c>
      <c r="AV23" s="99">
        <f>MOPFRA!AV23</f>
        <v>-4.4299667713239046</v>
      </c>
      <c r="AW23" s="2380">
        <f>MOPFRA!AW23</f>
        <v>977</v>
      </c>
      <c r="AX23" s="2380">
        <f>MOPFRA!AX23</f>
        <v>463</v>
      </c>
      <c r="AY23" s="2374">
        <f>MOPFRA!AY23</f>
        <v>0.47399999999999998</v>
      </c>
      <c r="AZ23" s="2370">
        <f>MOPFRA!AZ23</f>
        <v>0.40300000000000002</v>
      </c>
      <c r="BA23" s="2372">
        <f>MOPFRA!BA23</f>
        <v>0.35299999999999998</v>
      </c>
      <c r="BB23" s="2373">
        <f>MOPFRA!BB23</f>
        <v>0.26800000000000002</v>
      </c>
      <c r="BC23" s="2375">
        <f>MOPFRA!BC23</f>
        <v>4.0999999999999979</v>
      </c>
      <c r="BD23" s="2376">
        <f>MOPFRA!BD23</f>
        <v>0.373</v>
      </c>
      <c r="BE23" s="2370">
        <f>MOPFRA!BE23</f>
        <v>0.33200000000000002</v>
      </c>
      <c r="BF23" s="2371">
        <f>MOPFRA!BF23</f>
        <v>0.29699999999999999</v>
      </c>
      <c r="BG23" s="1422">
        <f>MOPFRA!BG23</f>
        <v>0.23200000000000001</v>
      </c>
      <c r="BH23" s="306">
        <f>MOPFRA!BH23</f>
        <v>0.10099999999999998</v>
      </c>
      <c r="BI23" s="1861">
        <f>MOPFRA!BI23</f>
        <v>394.70799999999991</v>
      </c>
      <c r="BJ23" s="306">
        <f>MOPFRA!BJ23</f>
        <v>7.1000000000000008E-2</v>
      </c>
      <c r="BK23" s="99">
        <f>MOPFRA!BK23</f>
        <v>0</v>
      </c>
      <c r="BL23" s="306">
        <f>MOPFRA!BL23</f>
        <v>1.4800730822575483</v>
      </c>
      <c r="BM23" s="99">
        <f>MOPFRA!BM23</f>
        <v>-3.5713174660483826</v>
      </c>
      <c r="BN23" s="15">
        <f>MOPFRA!BN23</f>
        <v>0</v>
      </c>
      <c r="BO23" s="1803">
        <f>MOPFRA!BO23</f>
        <v>3</v>
      </c>
      <c r="BP23" s="842">
        <f>MOPFRA!BP23</f>
        <v>1</v>
      </c>
      <c r="BQ23" s="16">
        <f>MOPFRA!BQ23</f>
        <v>543</v>
      </c>
      <c r="BR23" s="16">
        <f>MOPFRA!BR23</f>
        <v>0</v>
      </c>
      <c r="BS23" s="16">
        <f>MOPFRA!BS23</f>
        <v>0</v>
      </c>
      <c r="BT23" s="1253">
        <f>MOPFRA!BT23</f>
        <v>2473.7463037447988</v>
      </c>
      <c r="BU23" s="1246">
        <f>MOPFRA!BU23</f>
        <v>2171.4285714285711</v>
      </c>
      <c r="BV23" s="406">
        <f>MOPFRA!BV23</f>
        <v>0</v>
      </c>
      <c r="BW23" s="407">
        <f>MOPFRA!BW23</f>
        <v>3.6209616326602201</v>
      </c>
      <c r="BX23" s="99">
        <f>MOPFRA!BX23</f>
        <v>6.8951918366988991</v>
      </c>
      <c r="BY23" s="18">
        <f>MOPFRA!BY23</f>
        <v>1625.8112063106796</v>
      </c>
      <c r="BZ23" s="18">
        <f>MOPFRA!BZ23</f>
        <v>865.73529411764707</v>
      </c>
      <c r="CA23" s="18">
        <f>MOPFRA!CA23</f>
        <v>2139.5094466019418</v>
      </c>
      <c r="CB23" s="1710">
        <f>MOPFRA!CB23</f>
        <v>3.0198511206676977</v>
      </c>
      <c r="CC23" s="266">
        <f>MOPFRA!CC23</f>
        <v>1231</v>
      </c>
      <c r="CD23" s="267">
        <f>MOPFRA!CD23</f>
        <v>6.8</v>
      </c>
      <c r="CE23" s="99">
        <f>MOPFRA!CE23</f>
        <v>-5.3999999999999995</v>
      </c>
      <c r="CF23" s="17">
        <f>MOPFRA!CF23</f>
        <v>0.47422480359793268</v>
      </c>
      <c r="CG23" s="99">
        <f>MOPFRA!CG23</f>
        <v>6.1031007856082695</v>
      </c>
      <c r="CH23" s="494">
        <f>MOPFRA!CH23</f>
        <v>0.45363035890364944</v>
      </c>
      <c r="CI23" s="99">
        <f>MOPFRA!CI23</f>
        <v>0.80445538355474133</v>
      </c>
      <c r="CJ23" s="20">
        <f>MOPFRA!CJ23</f>
        <v>0</v>
      </c>
      <c r="CK23" s="691">
        <f>MOPFRA!CK23</f>
        <v>700</v>
      </c>
      <c r="CL23" s="419">
        <f>MOPFRA!CL23</f>
        <v>380</v>
      </c>
      <c r="CM23" s="468">
        <f>MOPFRA!CM23</f>
        <v>48</v>
      </c>
      <c r="CN23" s="843">
        <f>MOPFRA!CN23</f>
        <v>16</v>
      </c>
      <c r="CO23" s="21">
        <f>MOPFRA!CO23</f>
        <v>380</v>
      </c>
      <c r="CP23" s="21">
        <f>MOPFRA!CP23</f>
        <v>0</v>
      </c>
      <c r="CQ23" s="469">
        <f>MOPFRA!CQ23</f>
        <v>380</v>
      </c>
      <c r="CR23" s="1239">
        <f>MOPFRA!CR23</f>
        <v>561.20747087378641</v>
      </c>
      <c r="CS23" s="21">
        <f>MOPFRA!CS23</f>
        <v>760</v>
      </c>
      <c r="CT23" s="16">
        <f>MOPFRA!CT23</f>
        <v>0</v>
      </c>
      <c r="CU23" s="154" t="str">
        <f>MOPFRA!CU23</f>
        <v/>
      </c>
      <c r="CV23" s="693">
        <f>MOPFRA!CV23</f>
        <v>1804</v>
      </c>
      <c r="CW23" s="49">
        <f>MOPFRA!CW23</f>
        <v>655</v>
      </c>
      <c r="CX23" s="21">
        <f>MOPFRA!CX23</f>
        <v>70</v>
      </c>
      <c r="CY23" s="49">
        <f>MOPFRA!CY23</f>
        <v>116</v>
      </c>
      <c r="CZ23" s="378">
        <f>MOPFRA!CZ23</f>
        <v>771</v>
      </c>
      <c r="DA23" s="1058">
        <f>MOPFRA!DA23</f>
        <v>2.717557251908397</v>
      </c>
      <c r="DB23" s="99">
        <f>MOPFRA!DB23</f>
        <v>6</v>
      </c>
      <c r="DC23" s="53">
        <f>MOPFRA!DC23</f>
        <v>2575</v>
      </c>
      <c r="DD23" s="645">
        <f>MOPFRA!DD23</f>
        <v>0.29941747572815536</v>
      </c>
      <c r="DE23" s="13">
        <f>MOPFRA!DE23</f>
        <v>795</v>
      </c>
      <c r="DF23" s="24">
        <f>MOPFRA!DF23</f>
        <v>742</v>
      </c>
      <c r="DG23" s="24">
        <f>MOPFRA!DG23</f>
        <v>53</v>
      </c>
      <c r="DH23" s="51">
        <f>MOPFRA!DH23</f>
        <v>1780</v>
      </c>
      <c r="DI23" s="8">
        <f>MOPFRA!DI23</f>
        <v>1125</v>
      </c>
      <c r="DJ23" s="644">
        <f>MOPFRA!DJ23</f>
        <v>4.0122071197411007</v>
      </c>
      <c r="DK23" s="22">
        <f>MOPFRA!DK23</f>
        <v>739</v>
      </c>
      <c r="DL23" s="22">
        <f>MOPFRA!DL23</f>
        <v>185</v>
      </c>
      <c r="DM23" s="22">
        <f>MOPFRA!DM23</f>
        <v>705</v>
      </c>
      <c r="DN23" s="138">
        <f>MOPFRA!DN23</f>
        <v>0.29941747572815536</v>
      </c>
      <c r="DO23" s="99">
        <f>MOPFRA!DO23</f>
        <v>2.1554181286522378</v>
      </c>
      <c r="DP23" s="22">
        <f>MOPFRA!DP23</f>
        <v>12</v>
      </c>
      <c r="DQ23" s="8">
        <f>MOPFRA!DQ23</f>
        <v>139</v>
      </c>
      <c r="DR23" s="32">
        <f>MOPFRA!DR23</f>
        <v>-2.7109017953679999E-2</v>
      </c>
      <c r="DS23" s="99">
        <f>MOPFRA!DS23</f>
        <v>0</v>
      </c>
      <c r="DT23" s="8">
        <f>MOPFRA!DT23</f>
        <v>4480.84</v>
      </c>
      <c r="DU23" s="8">
        <f>MOPFRA!DU23</f>
        <v>7817.142857142856</v>
      </c>
      <c r="DV23" s="235">
        <f>MOPFRA!DV23</f>
        <v>542.85714285714289</v>
      </c>
      <c r="DW23" s="8">
        <f>MOPFRA!DW23</f>
        <v>6420.4199999999992</v>
      </c>
      <c r="DX23" s="411">
        <f>MOPFRA!DX23</f>
        <v>123</v>
      </c>
      <c r="DY23" s="1532">
        <f>MOPFRA!DY23</f>
        <v>310</v>
      </c>
      <c r="DZ23" s="857">
        <f>MOPFRA!DZ23</f>
        <v>8.7422447828539196E-2</v>
      </c>
      <c r="EA23" s="386">
        <f>MOPFRA!EA23</f>
        <v>0.2</v>
      </c>
      <c r="EB23" s="504">
        <f>MOPFRA!EB23</f>
        <v>0</v>
      </c>
      <c r="EC23" s="510">
        <f>MOPFRA!EC23</f>
        <v>6320</v>
      </c>
      <c r="ED23" s="435">
        <f>MOPFRA!ED23</f>
        <v>948</v>
      </c>
      <c r="EE23" s="510">
        <f>MOPFRA!EE23</f>
        <v>11510</v>
      </c>
      <c r="EF23" s="435">
        <f>MOPFRA!EF23</f>
        <v>1726</v>
      </c>
      <c r="EG23" s="510">
        <f>MOPFRA!EG23</f>
        <v>3941</v>
      </c>
      <c r="EH23" s="435">
        <f>MOPFRA!EH23</f>
        <v>1064</v>
      </c>
      <c r="EI23" s="510">
        <f>MOPFRA!EI23</f>
        <v>3299</v>
      </c>
      <c r="EJ23" s="435">
        <f>MOPFRA!EJ23</f>
        <v>1930</v>
      </c>
      <c r="EK23" s="510">
        <f>MOPFRA!EK23</f>
        <v>3236</v>
      </c>
      <c r="EL23" s="1606">
        <f>MOPFRA!EL23</f>
        <v>2265</v>
      </c>
      <c r="EM23" s="1684">
        <f>MOPFRA!EM23</f>
        <v>3236</v>
      </c>
      <c r="EN23" s="1608">
        <f>MOPFRA!EN23</f>
        <v>2265</v>
      </c>
      <c r="EO23" s="1609">
        <f>MOPFRA!EO23</f>
        <v>1.389240506329114</v>
      </c>
      <c r="EP23" s="1648">
        <f>MOPFRA!EP23</f>
        <v>17</v>
      </c>
      <c r="EQ23"/>
    </row>
    <row r="24" spans="1:147" ht="35" customHeight="1">
      <c r="A24" s="100">
        <f>MOPFRA!A24</f>
        <v>13.443311016965691</v>
      </c>
      <c r="B24" s="99">
        <f>MOPFRA!B24</f>
        <v>11.543311016965692</v>
      </c>
      <c r="C24" s="1585">
        <f ca="1">MOPFRA!C24</f>
        <v>1.1102675425455555</v>
      </c>
      <c r="D24" s="1651">
        <f>MOPFRA!D24</f>
        <v>1.5809740327560635</v>
      </c>
      <c r="E24" s="1414">
        <f>MOPFRA!E24</f>
        <v>1.9000000000000017</v>
      </c>
      <c r="F24" s="1415">
        <f>MOPFRA!F24</f>
        <v>1.9000000000000004</v>
      </c>
      <c r="G24" s="2124">
        <f>MOPFRA!G24</f>
        <v>15.887594895889945</v>
      </c>
      <c r="H24" s="2379">
        <f>MOPFRA!H24</f>
        <v>1.0053832891587968</v>
      </c>
      <c r="I24" s="2379">
        <f>MOPFRA!I24</f>
        <v>0.18018429096708458</v>
      </c>
      <c r="J24" s="2379">
        <f>MOPFRA!J24</f>
        <v>0.15961645643049693</v>
      </c>
      <c r="K24" s="1942">
        <f>MOPFRA!K24</f>
        <v>22</v>
      </c>
      <c r="L24" s="1587">
        <f>MOPFRA!L24</f>
        <v>10</v>
      </c>
      <c r="M24" s="1582" t="str">
        <f>MOPFRA!M24</f>
        <v>BB</v>
      </c>
      <c r="N24" s="1582" t="str">
        <f>MOPFRA!N24</f>
        <v>BB</v>
      </c>
      <c r="O24" s="179" t="str">
        <f>MOPFRA!O24</f>
        <v/>
      </c>
      <c r="P24" s="856" t="str">
        <f>MOPFRA!P24</f>
        <v>R</v>
      </c>
      <c r="Q24" s="1571" t="str">
        <f>MOPFRA!Q24</f>
        <v>پالايش نفت بندرعباس</v>
      </c>
      <c r="R24" s="1571" t="str">
        <f>MOPFRA!R24</f>
        <v>شبندر</v>
      </c>
      <c r="S24" s="1572">
        <f>MOPFRA!S24</f>
        <v>12</v>
      </c>
      <c r="T24" s="66">
        <f>MOPFRA!T24</f>
        <v>521613.40490000002</v>
      </c>
      <c r="U24" s="258">
        <f>MOPFRA!U24</f>
        <v>12730</v>
      </c>
      <c r="V24" s="338">
        <f>MOPFRA!V24</f>
        <v>2.99</v>
      </c>
      <c r="W24" s="258">
        <f>MOPFRA!W24</f>
        <v>12730</v>
      </c>
      <c r="X24" s="337">
        <f>MOPFRA!X24</f>
        <v>2.99</v>
      </c>
      <c r="Y24" s="1708">
        <f>MOPFRA!Y24</f>
        <v>557193.40489999996</v>
      </c>
      <c r="Z24" s="661" t="str">
        <f>MOPFRA!Z24</f>
        <v/>
      </c>
      <c r="AA24" s="2382">
        <f>MOPFRA!AA24</f>
        <v>2.9402437275741988</v>
      </c>
      <c r="AB24" s="511">
        <f ca="1">MOPFRA!AB24</f>
        <v>0.89013698630136995</v>
      </c>
      <c r="AC24" s="823">
        <f ca="1">MOPFRA!AC24</f>
        <v>-56.789660423070046</v>
      </c>
      <c r="AD24" s="1150" t="str">
        <f>MOPFRA!AD24</f>
        <v/>
      </c>
      <c r="AE24" s="1150">
        <f>MOPFRA!AE24</f>
        <v>2.9402437275741988</v>
      </c>
      <c r="AF24" s="1150">
        <f>MOPFRA!AF24</f>
        <v>3.3382464894041721</v>
      </c>
      <c r="AG24" s="1150">
        <f>MOPFRA!AG24</f>
        <v>2.7155392230049791</v>
      </c>
      <c r="AH24" s="1150">
        <f>MOPFRA!AH24</f>
        <v>3.7640713213199501</v>
      </c>
      <c r="AI24" s="275">
        <f ca="1">MOPFRA!AI24</f>
        <v>4</v>
      </c>
      <c r="AJ24" s="1120">
        <f>MOPFRA!AJ24</f>
        <v>46243</v>
      </c>
      <c r="AK24" s="1693">
        <f>MOPFRA!AK24</f>
        <v>46344</v>
      </c>
      <c r="AL24" s="1345">
        <f>MOPFRA!AL24</f>
        <v>409751300000</v>
      </c>
      <c r="AM24" s="29">
        <f>MOPFRA!AM24</f>
        <v>0</v>
      </c>
      <c r="AN24" s="29">
        <f>MOPFRA!AN24</f>
        <v>0</v>
      </c>
      <c r="AO24" s="685">
        <f>MOPFRA!AO24</f>
        <v>0.3155</v>
      </c>
      <c r="AP24" s="174">
        <f>MOPFRA!AP24</f>
        <v>0</v>
      </c>
      <c r="AQ24" s="1416">
        <f>MOPFRA!AQ24</f>
        <v>654407</v>
      </c>
      <c r="AR24" s="1416">
        <f>MOPFRA!AR24</f>
        <v>99772</v>
      </c>
      <c r="AS24" s="766">
        <f>MOPFRA!AS24</f>
        <v>1160849.9310542704</v>
      </c>
      <c r="AT24" s="984">
        <f>MOPFRA!AT24</f>
        <v>4</v>
      </c>
      <c r="AU24" s="376">
        <f>MOPFRA!AU24</f>
        <v>0.4493503690233786</v>
      </c>
      <c r="AV24" s="99">
        <f>MOPFRA!AV24</f>
        <v>-0.11759714092188289</v>
      </c>
      <c r="AW24" s="2380">
        <f>MOPFRA!AW24</f>
        <v>266655</v>
      </c>
      <c r="AX24" s="2380">
        <f>MOPFRA!AX24</f>
        <v>43253</v>
      </c>
      <c r="AY24" s="2374">
        <f>MOPFRA!AY24</f>
        <v>0.16200000000000001</v>
      </c>
      <c r="AZ24" s="2370">
        <f>MOPFRA!AZ24</f>
        <v>0.14299999999999999</v>
      </c>
      <c r="BA24" s="2372">
        <f>MOPFRA!BA24</f>
        <v>0.152</v>
      </c>
      <c r="BB24" s="2373">
        <f>MOPFRA!BB24</f>
        <v>5.3999999999999999E-2</v>
      </c>
      <c r="BC24" s="2375">
        <f>MOPFRA!BC24</f>
        <v>1.9000000000000004</v>
      </c>
      <c r="BD24" s="2376">
        <f>MOPFRA!BD24</f>
        <v>0.13100000000000001</v>
      </c>
      <c r="BE24" s="2370">
        <f>MOPFRA!BE24</f>
        <v>0.112</v>
      </c>
      <c r="BF24" s="2371">
        <f>MOPFRA!BF24</f>
        <v>0.11899999999999999</v>
      </c>
      <c r="BG24" s="1688">
        <f>MOPFRA!BG24</f>
        <v>4.1000000000000002E-2</v>
      </c>
      <c r="BH24" s="306">
        <f>MOPFRA!BH24</f>
        <v>3.1E-2</v>
      </c>
      <c r="BI24" s="1861">
        <f>MOPFRA!BI24</f>
        <v>33065.22</v>
      </c>
      <c r="BJ24" s="306">
        <f>MOPFRA!BJ24</f>
        <v>3.0999999999999986E-2</v>
      </c>
      <c r="BK24" s="99">
        <f>MOPFRA!BK24</f>
        <v>0</v>
      </c>
      <c r="BL24" s="306">
        <f>MOPFRA!BL24</f>
        <v>0.77389595626921837</v>
      </c>
      <c r="BM24" s="99">
        <f>MOPFRA!BM24</f>
        <v>-10</v>
      </c>
      <c r="BN24" s="15">
        <f>MOPFRA!BN24</f>
        <v>0</v>
      </c>
      <c r="BO24" s="1803">
        <f>MOPFRA!BO24</f>
        <v>3</v>
      </c>
      <c r="BP24" s="842">
        <f>MOPFRA!BP24</f>
        <v>1</v>
      </c>
      <c r="BQ24" s="16">
        <f>MOPFRA!BQ24</f>
        <v>889</v>
      </c>
      <c r="BR24" s="16">
        <f>MOPFRA!BR24</f>
        <v>0</v>
      </c>
      <c r="BS24" s="16">
        <f>MOPFRA!BS24</f>
        <v>0</v>
      </c>
      <c r="BT24" s="1253">
        <f>MOPFRA!BT24</f>
        <v>3897.3235952664322</v>
      </c>
      <c r="BU24" s="1246">
        <f>MOPFRA!BU24</f>
        <v>3593.0575449058983</v>
      </c>
      <c r="BV24" s="406">
        <f>MOPFRA!BV24</f>
        <v>0</v>
      </c>
      <c r="BW24" s="407">
        <f>MOPFRA!BW24</f>
        <v>3.3990259672439369</v>
      </c>
      <c r="BX24" s="99">
        <f>MOPFRA!BX24</f>
        <v>8.0048701637803159</v>
      </c>
      <c r="BY24" s="18">
        <f>MOPFRA!BY24</f>
        <v>153459.67048405475</v>
      </c>
      <c r="BZ24" s="18">
        <f>MOPFRA!BZ24</f>
        <v>104741.64757028111</v>
      </c>
      <c r="CA24" s="18">
        <f>MOPFRA!CA24</f>
        <v>188057.6888307918</v>
      </c>
      <c r="CB24" s="1710">
        <f>MOPFRA!CB24</f>
        <v>2.9628855292449354</v>
      </c>
      <c r="CC24" s="266">
        <f>MOPFRA!CC24</f>
        <v>2555</v>
      </c>
      <c r="CD24" s="267">
        <f>MOPFRA!CD24</f>
        <v>4.9800000000000004</v>
      </c>
      <c r="CE24" s="99">
        <f>MOPFRA!CE24</f>
        <v>5.9999999999998721E-2</v>
      </c>
      <c r="CF24" s="17">
        <f>MOPFRA!CF24</f>
        <v>0.37678954879554499</v>
      </c>
      <c r="CG24" s="99">
        <f>MOPFRA!CG24</f>
        <v>6.4928418048178198</v>
      </c>
      <c r="CH24" s="494">
        <f>MOPFRA!CH24</f>
        <v>0.42188225562626736</v>
      </c>
      <c r="CI24" s="99">
        <f>MOPFRA!CI24</f>
        <v>0.32823383439400999</v>
      </c>
      <c r="CJ24" s="20">
        <f>MOPFRA!CJ24</f>
        <v>0</v>
      </c>
      <c r="CK24" s="691">
        <f>MOPFRA!CK24</f>
        <v>40975.129999999997</v>
      </c>
      <c r="CL24" s="419">
        <f>MOPFRA!CL24</f>
        <v>82846</v>
      </c>
      <c r="CM24" s="468">
        <f>MOPFRA!CM24</f>
        <v>7622</v>
      </c>
      <c r="CN24" s="843">
        <f>MOPFRA!CN24</f>
        <v>1520</v>
      </c>
      <c r="CO24" s="21">
        <f>MOPFRA!CO24</f>
        <v>36421</v>
      </c>
      <c r="CP24" s="21">
        <f>MOPFRA!CP24</f>
        <v>-3</v>
      </c>
      <c r="CQ24" s="469">
        <f>MOPFRA!CQ24</f>
        <v>36806.5</v>
      </c>
      <c r="CR24" s="1239">
        <f>MOPFRA!CR24</f>
        <v>50687.446989369811</v>
      </c>
      <c r="CS24" s="21">
        <f>MOPFRA!CS24</f>
        <v>119267</v>
      </c>
      <c r="CT24" s="16">
        <f>MOPFRA!CT24</f>
        <v>0</v>
      </c>
      <c r="CU24" s="154" t="str">
        <f>MOPFRA!CU24</f>
        <v/>
      </c>
      <c r="CV24" s="693">
        <f>MOPFRA!CV24</f>
        <v>173494</v>
      </c>
      <c r="CW24" s="49">
        <f>MOPFRA!CW24</f>
        <v>56024</v>
      </c>
      <c r="CX24" s="21">
        <f>MOPFRA!CX24</f>
        <v>4805</v>
      </c>
      <c r="CY24" s="49">
        <f>MOPFRA!CY24</f>
        <v>1798</v>
      </c>
      <c r="CZ24" s="378">
        <f>MOPFRA!CZ24</f>
        <v>57822</v>
      </c>
      <c r="DA24" s="1058">
        <f>MOPFRA!DA24</f>
        <v>3.3959731543624163</v>
      </c>
      <c r="DB24" s="99">
        <f>MOPFRA!DB24</f>
        <v>6</v>
      </c>
      <c r="DC24" s="53">
        <f>MOPFRA!DC24</f>
        <v>231316</v>
      </c>
      <c r="DD24" s="645">
        <f>MOPFRA!DD24</f>
        <v>0.2499697383665635</v>
      </c>
      <c r="DE24" s="13">
        <f>MOPFRA!DE24</f>
        <v>41060</v>
      </c>
      <c r="DF24" s="24">
        <f>MOPFRA!DF24</f>
        <v>39858</v>
      </c>
      <c r="DG24" s="24">
        <f>MOPFRA!DG24</f>
        <v>1013</v>
      </c>
      <c r="DH24" s="51">
        <f>MOPFRA!DH24</f>
        <v>190256</v>
      </c>
      <c r="DI24" s="8">
        <f>MOPFRA!DI24</f>
        <v>134232</v>
      </c>
      <c r="DJ24" s="644">
        <f>MOPFRA!DJ24</f>
        <v>8.6480863807011019</v>
      </c>
      <c r="DK24" s="22">
        <f>MOPFRA!DK24</f>
        <v>66111</v>
      </c>
      <c r="DL24" s="22">
        <f>MOPFRA!DL24</f>
        <v>8869</v>
      </c>
      <c r="DM24" s="22">
        <f>MOPFRA!DM24</f>
        <v>99364</v>
      </c>
      <c r="DN24" s="138">
        <f>MOPFRA!DN24</f>
        <v>0.2499697383665635</v>
      </c>
      <c r="DO24" s="99">
        <f>MOPFRA!DO24</f>
        <v>0.7749623548954282</v>
      </c>
      <c r="DP24" s="22">
        <f>MOPFRA!DP24</f>
        <v>13373</v>
      </c>
      <c r="DQ24" s="8">
        <f>MOPFRA!DQ24</f>
        <v>2539</v>
      </c>
      <c r="DR24" s="32">
        <f>MOPFRA!DR24</f>
        <v>4.5560487599681225E-2</v>
      </c>
      <c r="DS24" s="99">
        <f>MOPFRA!DS24</f>
        <v>0</v>
      </c>
      <c r="DT24" s="8">
        <f>MOPFRA!DT24</f>
        <v>9300.2000000000007</v>
      </c>
      <c r="DU24" s="8">
        <f>MOPFRA!DU24</f>
        <v>12935.007161661235</v>
      </c>
      <c r="DV24" s="235">
        <f>MOPFRA!DV24</f>
        <v>2021.8605773794982</v>
      </c>
      <c r="DW24" s="8">
        <f>MOPFRA!DW24</f>
        <v>12128.533869520368</v>
      </c>
      <c r="DX24" s="411">
        <f>MOPFRA!DX24</f>
        <v>101</v>
      </c>
      <c r="DY24" s="1532">
        <f>MOPFRA!DY24</f>
        <v>936</v>
      </c>
      <c r="DZ24" s="857">
        <f>MOPFRA!DZ24</f>
        <v>8.6746987951807228E-2</v>
      </c>
      <c r="EA24" s="386">
        <f>MOPFRA!EA24</f>
        <v>2.0499999999999998</v>
      </c>
      <c r="EB24" s="504">
        <f>MOPFRA!EB24</f>
        <v>0</v>
      </c>
      <c r="EC24" s="510">
        <f>MOPFRA!EC24</f>
        <v>8150</v>
      </c>
      <c r="ED24" s="435">
        <f>MOPFRA!ED24</f>
        <v>109489</v>
      </c>
      <c r="EE24" s="510">
        <f>MOPFRA!EE24</f>
        <v>10310</v>
      </c>
      <c r="EF24" s="435">
        <f>MOPFRA!EF24</f>
        <v>140387</v>
      </c>
      <c r="EG24" s="510">
        <f>MOPFRA!EG24</f>
        <v>8950</v>
      </c>
      <c r="EH24" s="435">
        <f>MOPFRA!EH24</f>
        <v>120236</v>
      </c>
      <c r="EI24" s="510">
        <f>MOPFRA!EI24</f>
        <v>9854</v>
      </c>
      <c r="EJ24" s="435">
        <f>MOPFRA!EJ24</f>
        <v>132381</v>
      </c>
      <c r="EK24" s="510">
        <f>MOPFRA!EK24</f>
        <v>0</v>
      </c>
      <c r="EL24" s="1606">
        <f>MOPFRA!EL24</f>
        <v>0</v>
      </c>
      <c r="EM24" s="1684">
        <f>MOPFRA!EM24</f>
        <v>9854</v>
      </c>
      <c r="EN24" s="1608">
        <f>MOPFRA!EN24</f>
        <v>132381</v>
      </c>
      <c r="EO24" s="1609">
        <f>MOPFRA!EO24</f>
        <v>0.20908036423750331</v>
      </c>
      <c r="EP24" s="1648">
        <f>MOPFRA!EP24</f>
        <v>28</v>
      </c>
      <c r="EQ24"/>
    </row>
    <row r="25" spans="1:147" ht="35" customHeight="1">
      <c r="A25" s="100">
        <f>MOPFRA!A25</f>
        <v>11.948830102828419</v>
      </c>
      <c r="B25" s="99">
        <f>MOPFRA!B25</f>
        <v>3.2488301028284168</v>
      </c>
      <c r="C25" s="1585">
        <f ca="1">MOPFRA!C25</f>
        <v>0.13313443076256135</v>
      </c>
      <c r="D25" s="1651">
        <f>MOPFRA!D25</f>
        <v>1.2764594316789841</v>
      </c>
      <c r="E25" s="1414">
        <f>MOPFRA!E25</f>
        <v>11.800000000000002</v>
      </c>
      <c r="F25" s="1415">
        <f>MOPFRA!F25</f>
        <v>8.7000000000000011</v>
      </c>
      <c r="G25" s="2124">
        <f>MOPFRA!G25</f>
        <v>14.044747405884728</v>
      </c>
      <c r="H25" s="2379">
        <f>MOPFRA!H25</f>
        <v>0.62269020336533498</v>
      </c>
      <c r="I25" s="2379">
        <f>MOPFRA!I25</f>
        <v>1.4935375777884155E-2</v>
      </c>
      <c r="J25" s="2379">
        <f>MOPFRA!J25</f>
        <v>0.5008288208641839</v>
      </c>
      <c r="K25" s="1942">
        <f>MOPFRA!K25</f>
        <v>32</v>
      </c>
      <c r="L25" s="1587">
        <f>MOPFRA!L25</f>
        <v>34</v>
      </c>
      <c r="M25" s="1582" t="str">
        <f>MOPFRA!M25</f>
        <v>BB</v>
      </c>
      <c r="N25" s="1582" t="str">
        <f>MOPFRA!N25</f>
        <v>BB</v>
      </c>
      <c r="O25" s="179" t="str">
        <f>MOPFRA!O25</f>
        <v/>
      </c>
      <c r="P25" s="856" t="str">
        <f>MOPFRA!P25</f>
        <v>L</v>
      </c>
      <c r="Q25" s="1571" t="str">
        <f>MOPFRA!Q25</f>
        <v>نفت ايرانول</v>
      </c>
      <c r="R25" s="1571" t="str">
        <f>MOPFRA!R25</f>
        <v>شرانل</v>
      </c>
      <c r="S25" s="1572">
        <f>MOPFRA!S25</f>
        <v>12</v>
      </c>
      <c r="T25" s="66">
        <f>MOPFRA!T25</f>
        <v>52044</v>
      </c>
      <c r="U25" s="258">
        <f>MOPFRA!U25</f>
        <v>86740</v>
      </c>
      <c r="V25" s="338">
        <f>MOPFRA!V25</f>
        <v>2.99</v>
      </c>
      <c r="W25" s="258">
        <f>MOPFRA!W25</f>
        <v>86740</v>
      </c>
      <c r="X25" s="337">
        <f>MOPFRA!X25</f>
        <v>2.99</v>
      </c>
      <c r="Y25" s="1708">
        <f>MOPFRA!Y25</f>
        <v>61178</v>
      </c>
      <c r="Z25" s="661" t="str">
        <f>MOPFRA!Z25</f>
        <v/>
      </c>
      <c r="AA25" s="2382">
        <f>MOPFRA!AA25</f>
        <v>0.14101552223099184</v>
      </c>
      <c r="AB25" s="511">
        <f ca="1">MOPFRA!AB25</f>
        <v>8.6301369863013691E-2</v>
      </c>
      <c r="AC25" s="823">
        <f ca="1">MOPFRA!AC25</f>
        <v>-15.632614962279471</v>
      </c>
      <c r="AD25" s="1150">
        <f>MOPFRA!AD25</f>
        <v>0.14101552223099184</v>
      </c>
      <c r="AE25" s="1150">
        <f>MOPFRA!AE25</f>
        <v>1.845489338436304</v>
      </c>
      <c r="AF25" s="1150">
        <f>MOPFRA!AF25</f>
        <v>2.7713043478260868</v>
      </c>
      <c r="AG25" s="1150">
        <f>MOPFRA!AG25</f>
        <v>1.8377317339149399</v>
      </c>
      <c r="AH25" s="1150">
        <f>MOPFRA!AH25</f>
        <v>4.6142394822006469</v>
      </c>
      <c r="AI25" s="275">
        <f ca="1">MOPFRA!AI25</f>
        <v>330</v>
      </c>
      <c r="AJ25" s="1120">
        <f>MOPFRA!AJ25</f>
        <v>46204</v>
      </c>
      <c r="AK25" s="1693">
        <f>MOPFRA!AK25</f>
        <v>46230</v>
      </c>
      <c r="AL25" s="1345">
        <f>MOPFRA!AL25</f>
        <v>6000000000</v>
      </c>
      <c r="AM25" s="29">
        <f>MOPFRA!AM25</f>
        <v>0</v>
      </c>
      <c r="AN25" s="29">
        <f>MOPFRA!AN25</f>
        <v>0</v>
      </c>
      <c r="AO25" s="685">
        <f>MOPFRA!AO25</f>
        <v>0.05</v>
      </c>
      <c r="AP25" s="174">
        <f>MOPFRA!AP25</f>
        <v>0</v>
      </c>
      <c r="AQ25" s="1416">
        <f>MOPFRA!AQ25</f>
        <v>34215</v>
      </c>
      <c r="AR25" s="1416">
        <f>MOPFRA!AR25</f>
        <v>7889</v>
      </c>
      <c r="AS25" s="766">
        <f>MOPFRA!AS25</f>
        <v>49611.172654072463</v>
      </c>
      <c r="AT25" s="984">
        <f>MOPFRA!AT25</f>
        <v>4</v>
      </c>
      <c r="AU25" s="376">
        <f>MOPFRA!AU25</f>
        <v>1.052097687026057</v>
      </c>
      <c r="AV25" s="99">
        <f>MOPFRA!AV25</f>
        <v>-1.8957495643108135</v>
      </c>
      <c r="AW25" s="2380">
        <f>MOPFRA!AW25</f>
        <v>10601</v>
      </c>
      <c r="AX25" s="2380">
        <f>MOPFRA!AX25</f>
        <v>2758</v>
      </c>
      <c r="AY25" s="2374">
        <f>MOPFRA!AY25</f>
        <v>0.26</v>
      </c>
      <c r="AZ25" s="2370">
        <f>MOPFRA!AZ25</f>
        <v>0.14199999999999999</v>
      </c>
      <c r="BA25" s="2372">
        <f>MOPFRA!BA25</f>
        <v>0.23100000000000001</v>
      </c>
      <c r="BB25" s="2373">
        <f>MOPFRA!BB25</f>
        <v>0.14899999999999999</v>
      </c>
      <c r="BC25" s="2375">
        <f>MOPFRA!BC25</f>
        <v>8.7000000000000011</v>
      </c>
      <c r="BD25" s="2376">
        <f>MOPFRA!BD25</f>
        <v>0.19700000000000001</v>
      </c>
      <c r="BE25" s="2370">
        <f>MOPFRA!BE25</f>
        <v>0.11</v>
      </c>
      <c r="BF25" s="2371">
        <f>MOPFRA!BF25</f>
        <v>0.17199999999999999</v>
      </c>
      <c r="BG25" s="1422">
        <f>MOPFRA!BG25</f>
        <v>0.122</v>
      </c>
      <c r="BH25" s="306">
        <f>MOPFRA!BH25</f>
        <v>6.3E-2</v>
      </c>
      <c r="BI25" s="1861">
        <f>MOPFRA!BI25</f>
        <v>2671.4520000000002</v>
      </c>
      <c r="BJ25" s="306">
        <f>MOPFRA!BJ25</f>
        <v>3.1999999999999987E-2</v>
      </c>
      <c r="BK25" s="99">
        <f>MOPFRA!BK25</f>
        <v>0</v>
      </c>
      <c r="BL25" s="306">
        <f>MOPFRA!BL25</f>
        <v>0.44998312594103357</v>
      </c>
      <c r="BM25" s="99">
        <f>MOPFRA!BM25</f>
        <v>9.2690281113012514</v>
      </c>
      <c r="BN25" s="15">
        <f>MOPFRA!BN25</f>
        <v>0</v>
      </c>
      <c r="BO25" s="1803">
        <f>MOPFRA!BO25</f>
        <v>3</v>
      </c>
      <c r="BP25" s="842">
        <f>MOPFRA!BP25</f>
        <v>1</v>
      </c>
      <c r="BQ25" s="16">
        <f>MOPFRA!BQ25</f>
        <v>3870</v>
      </c>
      <c r="BR25" s="16">
        <f>MOPFRA!BR25</f>
        <v>0</v>
      </c>
      <c r="BS25" s="16">
        <f>MOPFRA!BS25</f>
        <v>0</v>
      </c>
      <c r="BT25" s="1253">
        <f>MOPFRA!BT25</f>
        <v>17107.335021420458</v>
      </c>
      <c r="BU25" s="1246">
        <f>MOPFRA!BU25</f>
        <v>15480</v>
      </c>
      <c r="BV25" s="406">
        <f>MOPFRA!BV25</f>
        <v>0</v>
      </c>
      <c r="BW25" s="407">
        <f>MOPFRA!BW25</f>
        <v>5.3235405683210155</v>
      </c>
      <c r="BX25" s="99">
        <f>MOPFRA!BX25</f>
        <v>-1.6177028416050776</v>
      </c>
      <c r="BY25" s="18">
        <f>MOPFRA!BY25</f>
        <v>9776.2005064261375</v>
      </c>
      <c r="BZ25" s="18">
        <f>MOPFRA!BZ25</f>
        <v>7885.454545454546</v>
      </c>
      <c r="CA25" s="18">
        <f>MOPFRA!CA25</f>
        <v>12898.90489005884</v>
      </c>
      <c r="CB25" s="1710">
        <f>MOPFRA!CB25</f>
        <v>4.7428832541551458</v>
      </c>
      <c r="CC25" s="266">
        <f>MOPFRA!CC25</f>
        <v>13150</v>
      </c>
      <c r="CD25" s="267">
        <f>MOPFRA!CD25</f>
        <v>6.6</v>
      </c>
      <c r="CE25" s="99">
        <f>MOPFRA!CE25</f>
        <v>-4.7999999999999989</v>
      </c>
      <c r="CF25" s="17">
        <f>MOPFRA!CF25</f>
        <v>1.5915180943529836</v>
      </c>
      <c r="CG25" s="99">
        <f>MOPFRA!CG25</f>
        <v>1.6339276225880655</v>
      </c>
      <c r="CH25" s="494">
        <f>MOPFRA!CH25</f>
        <v>0.47768007946966373</v>
      </c>
      <c r="CI25" s="99">
        <f>MOPFRA!CI25</f>
        <v>1.1652011920449556</v>
      </c>
      <c r="CJ25" s="20">
        <f>MOPFRA!CJ25</f>
        <v>10</v>
      </c>
      <c r="CK25" s="691">
        <f>MOPFRA!CK25</f>
        <v>600</v>
      </c>
      <c r="CL25" s="419">
        <f>MOPFRA!CL25</f>
        <v>446</v>
      </c>
      <c r="CM25" s="468">
        <f>MOPFRA!CM25</f>
        <v>491</v>
      </c>
      <c r="CN25" s="843">
        <f>MOPFRA!CN25</f>
        <v>232</v>
      </c>
      <c r="CO25" s="21">
        <f>MOPFRA!CO25</f>
        <v>2322</v>
      </c>
      <c r="CP25" s="21">
        <f>MOPFRA!CP25</f>
        <v>-23</v>
      </c>
      <c r="CQ25" s="469">
        <f>MOPFRA!CQ25</f>
        <v>2322</v>
      </c>
      <c r="CR25" s="1239">
        <f>MOPFRA!CR25</f>
        <v>3234.8003376174247</v>
      </c>
      <c r="CS25" s="21">
        <f>MOPFRA!CS25</f>
        <v>2768</v>
      </c>
      <c r="CT25" s="16">
        <f>MOPFRA!CT25</f>
        <v>-8</v>
      </c>
      <c r="CU25" s="154" t="str">
        <f>MOPFRA!CU25</f>
        <v/>
      </c>
      <c r="CV25" s="693">
        <f>MOPFRA!CV25</f>
        <v>3435</v>
      </c>
      <c r="CW25" s="49">
        <f>MOPFRA!CW25</f>
        <v>14994</v>
      </c>
      <c r="CX25" s="21">
        <f>MOPFRA!CX25</f>
        <v>1046</v>
      </c>
      <c r="CY25" s="49">
        <f>MOPFRA!CY25</f>
        <v>565</v>
      </c>
      <c r="CZ25" s="53">
        <f>MOPFRA!CZ25</f>
        <v>15559</v>
      </c>
      <c r="DA25" s="1058">
        <f>MOPFRA!DA25</f>
        <v>1.1358543417366946</v>
      </c>
      <c r="DB25" s="99">
        <f>MOPFRA!DB25</f>
        <v>-0.51316526610644253</v>
      </c>
      <c r="DC25" s="53">
        <f>MOPFRA!DC25</f>
        <v>18994</v>
      </c>
      <c r="DD25" s="645">
        <f>MOPFRA!DD25</f>
        <v>0.81915341686848475</v>
      </c>
      <c r="DE25" s="13">
        <f>MOPFRA!DE25</f>
        <v>1963</v>
      </c>
      <c r="DF25" s="24">
        <f>MOPFRA!DF25</f>
        <v>802</v>
      </c>
      <c r="DG25" s="24">
        <f>MOPFRA!DG25</f>
        <v>843</v>
      </c>
      <c r="DH25" s="51">
        <f>MOPFRA!DH25</f>
        <v>17031</v>
      </c>
      <c r="DI25" s="8">
        <f>MOPFRA!DI25</f>
        <v>2037</v>
      </c>
      <c r="DJ25" s="644">
        <f>MOPFRA!DJ25</f>
        <v>24.355018485062573</v>
      </c>
      <c r="DK25" s="22">
        <f>MOPFRA!DK25</f>
        <v>6710</v>
      </c>
      <c r="DL25" s="22">
        <f>MOPFRA!DL25</f>
        <v>1845</v>
      </c>
      <c r="DM25" s="22">
        <f>MOPFRA!DM25</f>
        <v>1892</v>
      </c>
      <c r="DN25" s="138">
        <f>MOPFRA!DN25</f>
        <v>0.81915341686848475</v>
      </c>
      <c r="DO25" s="99">
        <f>MOPFRA!DO25</f>
        <v>-0.99270915108352287</v>
      </c>
      <c r="DP25" s="22">
        <f>MOPFRA!DP25</f>
        <v>4580</v>
      </c>
      <c r="DQ25" s="8">
        <f>MOPFRA!DQ25</f>
        <v>2004</v>
      </c>
      <c r="DR25" s="32">
        <f>MOPFRA!DR25</f>
        <v>0.2739767468728021</v>
      </c>
      <c r="DS25" s="99">
        <f>MOPFRA!DS25</f>
        <v>1</v>
      </c>
      <c r="DT25" s="8">
        <f>MOPFRA!DT25</f>
        <v>47866</v>
      </c>
      <c r="DU25" s="8">
        <f>MOPFRA!DU25</f>
        <v>55728</v>
      </c>
      <c r="DV25" s="235">
        <f>MOPFRA!DV25</f>
        <v>743.33333333333337</v>
      </c>
      <c r="DW25" s="8">
        <f>MOPFRA!DW25</f>
        <v>52168.666666666664</v>
      </c>
      <c r="DX25" s="411">
        <f>MOPFRA!DX25</f>
        <v>26</v>
      </c>
      <c r="DY25" s="1532">
        <f>MOPFRA!DY25</f>
        <v>10000</v>
      </c>
      <c r="DZ25" s="857">
        <f>MOPFRA!DZ25</f>
        <v>0.11625203441060218</v>
      </c>
      <c r="EA25" s="386">
        <f>MOPFRA!EA25</f>
        <v>2</v>
      </c>
      <c r="EB25" s="504">
        <f>MOPFRA!EB25</f>
        <v>0</v>
      </c>
      <c r="EC25" s="510">
        <f>MOPFRA!EC25</f>
        <v>46350</v>
      </c>
      <c r="ED25" s="435">
        <f>MOPFRA!ED25</f>
        <v>9270</v>
      </c>
      <c r="EE25" s="510">
        <f>MOPFRA!EE25</f>
        <v>91700</v>
      </c>
      <c r="EF25" s="435">
        <f>MOPFRA!EF25</f>
        <v>18340</v>
      </c>
      <c r="EG25" s="510">
        <f>MOPFRA!EG25</f>
        <v>69200</v>
      </c>
      <c r="EH25" s="435">
        <f>MOPFRA!EH25</f>
        <v>13800</v>
      </c>
      <c r="EI25" s="510">
        <f>MOPFRA!EI25</f>
        <v>91450</v>
      </c>
      <c r="EJ25" s="435">
        <f>MOPFRA!EJ25</f>
        <v>18290</v>
      </c>
      <c r="EK25" s="510">
        <f>MOPFRA!EK25</f>
        <v>76020</v>
      </c>
      <c r="EL25" s="1606">
        <f>MOPFRA!EL25</f>
        <v>45612</v>
      </c>
      <c r="EM25" s="1685">
        <f>MOPFRA!EM25</f>
        <v>76020</v>
      </c>
      <c r="EN25" s="1686">
        <f>MOPFRA!EN25</f>
        <v>45612</v>
      </c>
      <c r="EO25" s="1609">
        <f>MOPFRA!EO25</f>
        <v>3.9203883495145631</v>
      </c>
      <c r="EP25" s="1648">
        <f>MOPFRA!EP25</f>
        <v>8</v>
      </c>
      <c r="EQ25"/>
    </row>
    <row r="26" spans="1:147" ht="35" customHeight="1">
      <c r="A26" s="100">
        <f>MOPFRA!A26</f>
        <v>11.736609338117248</v>
      </c>
      <c r="B26" s="99">
        <f>MOPFRA!B26</f>
        <v>5.4366093381172478</v>
      </c>
      <c r="C26" s="1585">
        <f ca="1">MOPFRA!C26</f>
        <v>0.1043052803606468</v>
      </c>
      <c r="D26" s="1651">
        <f>MOPFRA!D26</f>
        <v>3.3381467050359568</v>
      </c>
      <c r="E26" s="1414">
        <f>MOPFRA!E26</f>
        <v>2.4000000000000021</v>
      </c>
      <c r="F26" s="1415">
        <f>MOPFRA!F26</f>
        <v>6.3</v>
      </c>
      <c r="G26" s="2124">
        <f>MOPFRA!G26</f>
        <v>15.736458299705514</v>
      </c>
      <c r="H26" s="2379">
        <f>MOPFRA!H26</f>
        <v>1.9105984138428262</v>
      </c>
      <c r="I26" s="2379">
        <f>MOPFRA!I26</f>
        <v>1.0211833455076698</v>
      </c>
      <c r="J26" s="2379">
        <f>MOPFRA!J26</f>
        <v>1.2491781722550954</v>
      </c>
      <c r="K26" s="1942">
        <f>MOPFRA!K26</f>
        <v>7</v>
      </c>
      <c r="L26" s="1587">
        <f>MOPFRA!L26</f>
        <v>18</v>
      </c>
      <c r="M26" s="1582" t="str">
        <f>MOPFRA!M26</f>
        <v>BB</v>
      </c>
      <c r="N26" s="1582" t="str">
        <f>MOPFRA!N26</f>
        <v>BB</v>
      </c>
      <c r="O26" s="179" t="str">
        <f>MOPFRA!O26</f>
        <v/>
      </c>
      <c r="P26" s="856" t="str">
        <f>MOPFRA!P26</f>
        <v>PH</v>
      </c>
      <c r="Q26" s="1571" t="str">
        <f>MOPFRA!Q26</f>
        <v>داروسازي كاسپين تامين</v>
      </c>
      <c r="R26" s="1571" t="str">
        <f>MOPFRA!R26</f>
        <v>كاسپين</v>
      </c>
      <c r="S26" s="1572">
        <f>MOPFRA!S26</f>
        <v>12</v>
      </c>
      <c r="T26" s="66">
        <f>MOPFRA!T26</f>
        <v>24606.06</v>
      </c>
      <c r="U26" s="258">
        <f>MOPFRA!U26</f>
        <v>30990</v>
      </c>
      <c r="V26" s="338">
        <f>MOPFRA!V26</f>
        <v>2.99</v>
      </c>
      <c r="W26" s="258">
        <f>MOPFRA!W26</f>
        <v>30990</v>
      </c>
      <c r="X26" s="337">
        <f>MOPFRA!X26</f>
        <v>2.99</v>
      </c>
      <c r="Y26" s="1708">
        <f>MOPFRA!Y26</f>
        <v>29275.06</v>
      </c>
      <c r="Z26" s="661" t="str">
        <f>MOPFRA!Z26</f>
        <v/>
      </c>
      <c r="AA26" s="2382">
        <f>MOPFRA!AA26</f>
        <v>0.21529411764705889</v>
      </c>
      <c r="AB26" s="511">
        <f ca="1">MOPFRA!AB26</f>
        <v>6.9041095890410964E-2</v>
      </c>
      <c r="AC26" s="823">
        <f ca="1">MOPFRA!AC26</f>
        <v>-52.233222055945689</v>
      </c>
      <c r="AD26" s="1150">
        <f>MOPFRA!AD26</f>
        <v>0.21529411764705889</v>
      </c>
      <c r="AE26" s="1150">
        <f>MOPFRA!AE26</f>
        <v>2.594224364592463</v>
      </c>
      <c r="AF26" s="1150">
        <f>MOPFRA!AF26</f>
        <v>8.3988006111535523</v>
      </c>
      <c r="AG26" s="1150">
        <f>MOPFRA!AG26</f>
        <v>8.7643095238095245</v>
      </c>
      <c r="AH26" s="1150">
        <f>MOPFRA!AH26</f>
        <v>13.796187612748046</v>
      </c>
      <c r="AI26" s="275">
        <f ca="1">MOPFRA!AI26</f>
        <v>337</v>
      </c>
      <c r="AJ26" s="1120">
        <f>MOPFRA!AJ26</f>
        <v>46211</v>
      </c>
      <c r="AK26" s="1693">
        <f>MOPFRA!AK26</f>
        <v>46331</v>
      </c>
      <c r="AL26" s="1345">
        <f>MOPFRA!AL26</f>
        <v>7940000000</v>
      </c>
      <c r="AM26" s="29">
        <f>MOPFRA!AM26</f>
        <v>0</v>
      </c>
      <c r="AN26" s="29">
        <f>MOPFRA!AN26</f>
        <v>0</v>
      </c>
      <c r="AO26" s="685">
        <f>MOPFRA!AO26</f>
        <v>0.1</v>
      </c>
      <c r="AP26" s="174">
        <f>MOPFRA!AP26</f>
        <v>0</v>
      </c>
      <c r="AQ26" s="1416">
        <f>MOPFRA!AQ26</f>
        <v>4859</v>
      </c>
      <c r="AR26" s="1416">
        <f>MOPFRA!AR26</f>
        <v>3122</v>
      </c>
      <c r="AS26" s="766">
        <f>MOPFRA!AS26</f>
        <v>11976.298846431146</v>
      </c>
      <c r="AT26" s="984">
        <f>MOPFRA!AT26</f>
        <v>4</v>
      </c>
      <c r="AU26" s="376">
        <f>MOPFRA!AU26</f>
        <v>2.0545629593513723</v>
      </c>
      <c r="AV26" s="99">
        <f>MOPFRA!AV26</f>
        <v>-2.5076790884903799</v>
      </c>
      <c r="AW26" s="2380">
        <f>MOPFRA!AW26</f>
        <v>2767</v>
      </c>
      <c r="AX26" s="2380">
        <f>MOPFRA!AX26</f>
        <v>1748</v>
      </c>
      <c r="AY26" s="2374">
        <f>MOPFRA!AY26</f>
        <v>0.63200000000000001</v>
      </c>
      <c r="AZ26" s="2370">
        <f>MOPFRA!AZ26</f>
        <v>0.60799999999999998</v>
      </c>
      <c r="BA26" s="2372">
        <f>MOPFRA!BA26</f>
        <v>0.64300000000000002</v>
      </c>
      <c r="BB26" s="2373">
        <f>MOPFRA!BB26</f>
        <v>0.54300000000000004</v>
      </c>
      <c r="BC26" s="2375">
        <f>MOPFRA!BC26</f>
        <v>6.3</v>
      </c>
      <c r="BD26" s="2376">
        <f>MOPFRA!BD26</f>
        <v>0.44700000000000001</v>
      </c>
      <c r="BE26" s="2370">
        <f>MOPFRA!BE26</f>
        <v>0.38400000000000001</v>
      </c>
      <c r="BF26" s="2371">
        <f>MOPFRA!BF26</f>
        <v>0.44600000000000001</v>
      </c>
      <c r="BG26" s="1422">
        <f>MOPFRA!BG26</f>
        <v>0.38400000000000001</v>
      </c>
      <c r="BH26" s="306">
        <f>MOPFRA!BH26</f>
        <v>0.185</v>
      </c>
      <c r="BI26" s="1861">
        <f>MOPFRA!BI26</f>
        <v>2047.58</v>
      </c>
      <c r="BJ26" s="306">
        <f>MOPFRA!BJ26</f>
        <v>0.22399999999999998</v>
      </c>
      <c r="BK26" s="99">
        <f>MOPFRA!BK26</f>
        <v>0</v>
      </c>
      <c r="BL26" s="306">
        <f>MOPFRA!BL26</f>
        <v>1.4647661754334524</v>
      </c>
      <c r="BM26" s="99">
        <f>MOPFRA!BM26</f>
        <v>10</v>
      </c>
      <c r="BN26" s="15">
        <f>MOPFRA!BN26</f>
        <v>0</v>
      </c>
      <c r="BO26" s="1803">
        <f>MOPFRA!BO26</f>
        <v>3</v>
      </c>
      <c r="BP26" s="842">
        <f>MOPFRA!BP26</f>
        <v>1</v>
      </c>
      <c r="BQ26" s="16">
        <f>MOPFRA!BQ26</f>
        <v>1570</v>
      </c>
      <c r="BR26" s="16">
        <f>MOPFRA!BR26</f>
        <v>0</v>
      </c>
      <c r="BS26" s="16">
        <f>MOPFRA!BS26</f>
        <v>0</v>
      </c>
      <c r="BT26" s="1253">
        <f>MOPFRA!BT26</f>
        <v>6761.2161012024208</v>
      </c>
      <c r="BU26" s="1246">
        <f>MOPFRA!BU26</f>
        <v>6282.1158690176326</v>
      </c>
      <c r="BV26" s="406">
        <f>MOPFRA!BV26</f>
        <v>0</v>
      </c>
      <c r="BW26" s="407">
        <f>MOPFRA!BW26</f>
        <v>4.7518532949640431</v>
      </c>
      <c r="BX26" s="99">
        <f>MOPFRA!BX26</f>
        <v>1.2407335251797846</v>
      </c>
      <c r="BY26" s="18">
        <f>MOPFRA!BY26</f>
        <v>5178.2027921773615</v>
      </c>
      <c r="BZ26" s="18">
        <f>MOPFRA!BZ26</f>
        <v>3041.5401730531521</v>
      </c>
      <c r="CA26" s="18">
        <f>MOPFRA!CA26</f>
        <v>7569.0208709444842</v>
      </c>
      <c r="CB26" s="1710">
        <f>MOPFRA!CB26</f>
        <v>3.8677472950800538</v>
      </c>
      <c r="CC26" s="266">
        <f>MOPFRA!CC26</f>
        <v>3831</v>
      </c>
      <c r="CD26" s="267">
        <f>MOPFRA!CD26</f>
        <v>8.09</v>
      </c>
      <c r="CE26" s="99">
        <f>MOPFRA!CE26</f>
        <v>-9.27</v>
      </c>
      <c r="CF26" s="17">
        <f>MOPFRA!CF26</f>
        <v>1.0434122062894555</v>
      </c>
      <c r="CG26" s="99">
        <f>MOPFRA!CG26</f>
        <v>3.8263511748421779</v>
      </c>
      <c r="CH26" s="494">
        <f>MOPFRA!CH26</f>
        <v>0.49891153214927847</v>
      </c>
      <c r="CI26" s="99">
        <f>MOPFRA!CI26</f>
        <v>1.4836729822391768</v>
      </c>
      <c r="CJ26" s="20">
        <f>MOPFRA!CJ26</f>
        <v>0</v>
      </c>
      <c r="CK26" s="691">
        <f>MOPFRA!CK26</f>
        <v>794</v>
      </c>
      <c r="CL26" s="419">
        <f>MOPFRA!CL26</f>
        <v>780</v>
      </c>
      <c r="CM26" s="468">
        <f>MOPFRA!CM26</f>
        <v>15</v>
      </c>
      <c r="CN26" s="843">
        <f>MOPFRA!CN26</f>
        <v>11</v>
      </c>
      <c r="CO26" s="21">
        <f>MOPFRA!CO26</f>
        <v>1247</v>
      </c>
      <c r="CP26" s="21">
        <f>MOPFRA!CP26</f>
        <v>0</v>
      </c>
      <c r="CQ26" s="469">
        <f>MOPFRA!CQ26</f>
        <v>1247</v>
      </c>
      <c r="CR26" s="1239">
        <f>MOPFRA!CR26</f>
        <v>1784.4685281182406</v>
      </c>
      <c r="CS26" s="21">
        <f>MOPFRA!CS26</f>
        <v>2027</v>
      </c>
      <c r="CT26" s="16">
        <f>MOPFRA!CT26</f>
        <v>-2</v>
      </c>
      <c r="CU26" s="154" t="str">
        <f>MOPFRA!CU26</f>
        <v/>
      </c>
      <c r="CV26" s="693">
        <f>MOPFRA!CV26</f>
        <v>2913</v>
      </c>
      <c r="CW26" s="49">
        <f>MOPFRA!CW26</f>
        <v>5031</v>
      </c>
      <c r="CX26" s="21">
        <f>MOPFRA!CX26</f>
        <v>1740</v>
      </c>
      <c r="CY26" s="49">
        <f>MOPFRA!CY26</f>
        <v>372</v>
      </c>
      <c r="CZ26" s="378">
        <f>MOPFRA!CZ26</f>
        <v>5403</v>
      </c>
      <c r="DA26" s="1058">
        <f>MOPFRA!DA26</f>
        <v>1.4839992049294375</v>
      </c>
      <c r="DB26" s="99">
        <f>MOPFRA!DB26</f>
        <v>2.2719936394355003</v>
      </c>
      <c r="DC26" s="53">
        <f>MOPFRA!DC26</f>
        <v>8316</v>
      </c>
      <c r="DD26" s="645">
        <f>MOPFRA!DD26</f>
        <v>0.64971139971139968</v>
      </c>
      <c r="DE26" s="13">
        <f>MOPFRA!DE26</f>
        <v>850</v>
      </c>
      <c r="DF26" s="24">
        <f>MOPFRA!DF26</f>
        <v>834</v>
      </c>
      <c r="DG26" s="24">
        <f>MOPFRA!DG26</f>
        <v>0</v>
      </c>
      <c r="DH26" s="51">
        <f>MOPFRA!DH26</f>
        <v>7466</v>
      </c>
      <c r="DI26" s="8">
        <f>MOPFRA!DI26</f>
        <v>2435</v>
      </c>
      <c r="DJ26" s="644">
        <f>MOPFRA!DJ26</f>
        <v>4.9183978835446185</v>
      </c>
      <c r="DK26" s="22">
        <f>MOPFRA!DK26</f>
        <v>921</v>
      </c>
      <c r="DL26" s="22">
        <f>MOPFRA!DL26</f>
        <v>724</v>
      </c>
      <c r="DM26" s="22">
        <f>MOPFRA!DM26</f>
        <v>5172</v>
      </c>
      <c r="DN26" s="138">
        <f>MOPFRA!DN26</f>
        <v>0.64971139971139968</v>
      </c>
      <c r="DO26" s="99">
        <f>MOPFRA!DO26</f>
        <v>-0.60846289508901141</v>
      </c>
      <c r="DP26" s="22">
        <f>MOPFRA!DP26</f>
        <v>10</v>
      </c>
      <c r="DQ26" s="8">
        <f>MOPFRA!DQ26</f>
        <v>639</v>
      </c>
      <c r="DR26" s="32">
        <f>MOPFRA!DR26</f>
        <v>-0.22856324873419534</v>
      </c>
      <c r="DS26" s="99">
        <f>MOPFRA!DS26</f>
        <v>-1</v>
      </c>
      <c r="DT26" s="8">
        <f>MOPFRA!DT26</f>
        <v>13944.84</v>
      </c>
      <c r="DU26" s="8">
        <f>MOPFRA!DU26</f>
        <v>22615.617128463477</v>
      </c>
      <c r="DV26" s="235">
        <f>MOPFRA!DV26</f>
        <v>982.36775818639796</v>
      </c>
      <c r="DW26" s="8">
        <f>MOPFRA!DW26</f>
        <v>18771.412443324934</v>
      </c>
      <c r="DX26" s="411">
        <f>MOPFRA!DX26</f>
        <v>120</v>
      </c>
      <c r="DY26" s="1532">
        <f>MOPFRA!DY26</f>
        <v>1930</v>
      </c>
      <c r="DZ26" s="857">
        <f>MOPFRA!DZ26</f>
        <v>7.0360918702150929E-2</v>
      </c>
      <c r="EA26" s="386">
        <f>MOPFRA!EA26</f>
        <v>5.24</v>
      </c>
      <c r="EB26" s="504">
        <f>MOPFRA!EB26</f>
        <v>0</v>
      </c>
      <c r="EC26" s="510">
        <f>MOPFRA!EC26</f>
        <v>23750</v>
      </c>
      <c r="ED26" s="435">
        <f>MOPFRA!ED26</f>
        <v>1663</v>
      </c>
      <c r="EE26" s="510">
        <f>MOPFRA!EE26</f>
        <v>18000</v>
      </c>
      <c r="EF26" s="435">
        <f>MOPFRA!EF26</f>
        <v>2520</v>
      </c>
      <c r="EG26" s="510">
        <f>MOPFRA!EG26</f>
        <v>18700</v>
      </c>
      <c r="EH26" s="435">
        <f>MOPFRA!EH26</f>
        <v>2618</v>
      </c>
      <c r="EI26" s="510">
        <f>MOPFRA!EI26</f>
        <v>48900</v>
      </c>
      <c r="EJ26" s="435">
        <f>MOPFRA!EJ26</f>
        <v>6846</v>
      </c>
      <c r="EK26" s="510">
        <f>MOPFRA!EK26</f>
        <v>25500</v>
      </c>
      <c r="EL26" s="1606">
        <f>MOPFRA!EL26</f>
        <v>20247</v>
      </c>
      <c r="EM26" s="1685">
        <f>MOPFRA!EM26</f>
        <v>25500</v>
      </c>
      <c r="EN26" s="1686">
        <f>MOPFRA!EN26</f>
        <v>20247</v>
      </c>
      <c r="EO26" s="1609">
        <f>MOPFRA!EO26</f>
        <v>11.174984966927241</v>
      </c>
      <c r="EP26" s="1648">
        <f>MOPFRA!EP26</f>
        <v>1</v>
      </c>
      <c r="EQ26"/>
    </row>
    <row r="27" spans="1:147" ht="35" customHeight="1">
      <c r="A27" s="100">
        <f>MOPFRA!A27</f>
        <v>10.895140384574557</v>
      </c>
      <c r="B27" s="99">
        <f>MOPFRA!B27</f>
        <v>2.5951403845745542</v>
      </c>
      <c r="C27" s="1585">
        <f ca="1">MOPFRA!C27</f>
        <v>0.2923429204504257</v>
      </c>
      <c r="D27" s="1651">
        <f>MOPFRA!D27</f>
        <v>3.2354511215363528</v>
      </c>
      <c r="E27" s="1414">
        <f>MOPFRA!E27</f>
        <v>13.499999999999998</v>
      </c>
      <c r="F27" s="1415">
        <f>MOPFRA!F27</f>
        <v>8.3000000000000025</v>
      </c>
      <c r="G27" s="2124">
        <f>MOPFRA!G27</f>
        <v>11.836846823115899</v>
      </c>
      <c r="H27" s="2379">
        <f>MOPFRA!H27</f>
        <v>0.59988038277511957</v>
      </c>
      <c r="I27" s="2379">
        <f>MOPFRA!I27</f>
        <v>0.15428937259923176</v>
      </c>
      <c r="J27" s="2379">
        <f>MOPFRA!J27</f>
        <v>0.82533733133433285</v>
      </c>
      <c r="K27" s="1942">
        <f>MOPFRA!K27</f>
        <v>34</v>
      </c>
      <c r="L27" s="1587">
        <f>MOPFRA!L27</f>
        <v>25</v>
      </c>
      <c r="M27" s="1582" t="str">
        <f>MOPFRA!M27</f>
        <v>B</v>
      </c>
      <c r="N27" s="1582" t="str">
        <f>MOPFRA!N27</f>
        <v>BB</v>
      </c>
      <c r="O27" s="179" t="str">
        <f>MOPFRA!O27</f>
        <v/>
      </c>
      <c r="P27" s="856" t="str">
        <f>MOPFRA!P27</f>
        <v>T</v>
      </c>
      <c r="Q27" s="1571" t="str">
        <f>MOPFRA!Q27</f>
        <v>ايران‌ تاير</v>
      </c>
      <c r="R27" s="1571" t="str">
        <f>MOPFRA!R27</f>
        <v>پتاير</v>
      </c>
      <c r="S27" s="1572">
        <f>MOPFRA!S27</f>
        <v>12</v>
      </c>
      <c r="T27" s="1641">
        <f>MOPFRA!T27</f>
        <v>3923.56</v>
      </c>
      <c r="U27" s="258">
        <f>MOPFRA!U27</f>
        <v>2087</v>
      </c>
      <c r="V27" s="338">
        <f>MOPFRA!V27</f>
        <v>2.96</v>
      </c>
      <c r="W27" s="258">
        <f>MOPFRA!W27</f>
        <v>2087</v>
      </c>
      <c r="X27" s="337">
        <f>MOPFRA!X27</f>
        <v>2.96</v>
      </c>
      <c r="Y27" s="1708">
        <f>MOPFRA!Y27</f>
        <v>8619.56</v>
      </c>
      <c r="Z27" s="661" t="str">
        <f>MOPFRA!Z27</f>
        <v/>
      </c>
      <c r="AA27" s="2382">
        <f>MOPFRA!AA27</f>
        <v>0.33590738849165813</v>
      </c>
      <c r="AB27" s="511">
        <f ca="1">MOPFRA!AB27</f>
        <v>3.9452054794520547E-2</v>
      </c>
      <c r="AC27" s="823">
        <f ca="1">MOPFRA!AC27</f>
        <v>-185.28458356071101</v>
      </c>
      <c r="AD27" s="1150">
        <f>MOPFRA!AD27</f>
        <v>0.33590738849165813</v>
      </c>
      <c r="AE27" s="1150">
        <f>MOPFRA!AE27</f>
        <v>6.7635374149659852E-2</v>
      </c>
      <c r="AF27" s="1150">
        <f>MOPFRA!AF27</f>
        <v>0.28472822527832348</v>
      </c>
      <c r="AG27" s="1150">
        <f>MOPFRA!AG27</f>
        <v>1.600106030483764</v>
      </c>
      <c r="AH27" s="1150">
        <f>MOPFRA!AH27</f>
        <v>0.34969384244926038</v>
      </c>
      <c r="AI27" s="275">
        <f ca="1">MOPFRA!AI27</f>
        <v>349</v>
      </c>
      <c r="AJ27" s="1120">
        <f>MOPFRA!AJ27</f>
        <v>46223</v>
      </c>
      <c r="AK27" s="1693">
        <f>MOPFRA!AK27</f>
        <v>46327</v>
      </c>
      <c r="AL27" s="1345">
        <f>MOPFRA!AL27</f>
        <v>18800000000</v>
      </c>
      <c r="AM27" s="29">
        <f>MOPFRA!AM27</f>
        <v>0</v>
      </c>
      <c r="AN27" s="29">
        <f>MOPFRA!AN27</f>
        <v>0</v>
      </c>
      <c r="AO27" s="685">
        <f>MOPFRA!AO27</f>
        <v>0.3</v>
      </c>
      <c r="AP27" s="174">
        <f>MOPFRA!AP27</f>
        <v>0</v>
      </c>
      <c r="AQ27" s="1416">
        <f>MOPFRA!AQ27</f>
        <v>5814</v>
      </c>
      <c r="AR27" s="1416">
        <f>MOPFRA!AR27</f>
        <v>481</v>
      </c>
      <c r="AS27" s="766">
        <f>MOPFRA!AS27</f>
        <v>8361.3522727272721</v>
      </c>
      <c r="AT27" s="984">
        <f>MOPFRA!AT27</f>
        <v>4</v>
      </c>
      <c r="AU27" s="376">
        <f>MOPFRA!AU27</f>
        <v>0.46924945535397578</v>
      </c>
      <c r="AV27" s="99">
        <f>MOPFRA!AV27</f>
        <v>2.3671009225665274</v>
      </c>
      <c r="AW27" s="2380">
        <f>MOPFRA!AW27</f>
        <v>1803</v>
      </c>
      <c r="AX27" s="2380">
        <f>MOPFRA!AX27</f>
        <v>426</v>
      </c>
      <c r="AY27" s="2374">
        <f>MOPFRA!AY27</f>
        <v>0.23599999999999999</v>
      </c>
      <c r="AZ27" s="2370">
        <f>MOPFRA!AZ27</f>
        <v>0.10100000000000001</v>
      </c>
      <c r="BA27" s="2372">
        <f>MOPFRA!BA27</f>
        <v>8.3000000000000004E-2</v>
      </c>
      <c r="BB27" s="2373">
        <f>MOPFRA!BB27</f>
        <v>0.20699999999999999</v>
      </c>
      <c r="BC27" s="2375">
        <f>MOPFRA!BC27</f>
        <v>8.3000000000000025</v>
      </c>
      <c r="BD27" s="2376">
        <f>MOPFRA!BD27</f>
        <v>0.13400000000000001</v>
      </c>
      <c r="BE27" s="2370">
        <f>MOPFRA!BE27</f>
        <v>5.0999999999999997E-2</v>
      </c>
      <c r="BF27" s="2371">
        <f>MOPFRA!BF27</f>
        <v>-0.06</v>
      </c>
      <c r="BG27" s="1422">
        <f>MOPFRA!BG27</f>
        <v>0.14899999999999999</v>
      </c>
      <c r="BH27" s="306">
        <f>MOPFRA!BH27</f>
        <v>0.10199999999999998</v>
      </c>
      <c r="BI27" s="1861">
        <f>MOPFRA!BI27</f>
        <v>735.6239999999998</v>
      </c>
      <c r="BJ27" s="306">
        <f>MOPFRA!BJ27</f>
        <v>5.000000000000001E-2</v>
      </c>
      <c r="BK27" s="99">
        <f>MOPFRA!BK27</f>
        <v>0</v>
      </c>
      <c r="BL27" s="306">
        <f>MOPFRA!BL27</f>
        <v>0.43814108578040456</v>
      </c>
      <c r="BM27" s="99">
        <f>MOPFRA!BM27</f>
        <v>3.0670109186623931</v>
      </c>
      <c r="BN27" s="15">
        <f>MOPFRA!BN27</f>
        <v>0</v>
      </c>
      <c r="BO27" s="1803">
        <f>MOPFRA!BO27</f>
        <v>3</v>
      </c>
      <c r="BP27" s="842">
        <f>MOPFRA!BP27</f>
        <v>1</v>
      </c>
      <c r="BQ27" s="16">
        <f>MOPFRA!BQ27</f>
        <v>166</v>
      </c>
      <c r="BR27" s="16">
        <f>MOPFRA!BR27</f>
        <v>0</v>
      </c>
      <c r="BS27" s="16">
        <f>MOPFRA!BS27</f>
        <v>0</v>
      </c>
      <c r="BT27" s="1253">
        <f>MOPFRA!BT27</f>
        <v>1042.7772364603481</v>
      </c>
      <c r="BU27" s="1246">
        <f>MOPFRA!BU27</f>
        <v>959.57446808510633</v>
      </c>
      <c r="BV27" s="406">
        <f>MOPFRA!BV27</f>
        <v>0</v>
      </c>
      <c r="BW27" s="407">
        <f>MOPFRA!BW27</f>
        <v>2.0845488784636474</v>
      </c>
      <c r="BX27" s="99">
        <f>MOPFRA!BX27</f>
        <v>10</v>
      </c>
      <c r="BY27" s="18">
        <f>MOPFRA!BY27</f>
        <v>1882.2106022727273</v>
      </c>
      <c r="BZ27" s="18">
        <f>MOPFRA!BZ27</f>
        <v>737.51127819548867</v>
      </c>
      <c r="CA27" s="18">
        <f>MOPFRA!CA27</f>
        <v>1973.2791363636361</v>
      </c>
      <c r="CB27" s="1710">
        <f>MOPFRA!CB27</f>
        <v>4.3681402398467286</v>
      </c>
      <c r="CC27" s="266">
        <f>MOPFRA!CC27</f>
        <v>392</v>
      </c>
      <c r="CD27" s="267">
        <f>MOPFRA!CD27</f>
        <v>5.32</v>
      </c>
      <c r="CE27" s="99">
        <f>MOPFRA!CE27</f>
        <v>-0.96000000000000085</v>
      </c>
      <c r="CF27" s="17">
        <f>MOPFRA!CF27</f>
        <v>2.9571611132564968</v>
      </c>
      <c r="CG27" s="99">
        <f>MOPFRA!CG27</f>
        <v>-3.8286444530259871</v>
      </c>
      <c r="CH27" s="494">
        <f>MOPFRA!CH27</f>
        <v>0.18765808596936465</v>
      </c>
      <c r="CI27" s="99">
        <f>MOPFRA!CI27</f>
        <v>-3.1851287104595305</v>
      </c>
      <c r="CJ27" s="377">
        <f>MOPFRA!CJ27</f>
        <v>0</v>
      </c>
      <c r="CK27" s="691">
        <f>MOPFRA!CK27</f>
        <v>1880</v>
      </c>
      <c r="CL27" s="419">
        <f>MOPFRA!CL27</f>
        <v>834</v>
      </c>
      <c r="CM27" s="468">
        <f>MOPFRA!CM27</f>
        <v>840</v>
      </c>
      <c r="CN27" s="843">
        <f>MOPFRA!CN27</f>
        <v>72</v>
      </c>
      <c r="CO27" s="21">
        <f>MOPFRA!CO27</f>
        <v>313</v>
      </c>
      <c r="CP27" s="21">
        <f>MOPFRA!CP27</f>
        <v>0</v>
      </c>
      <c r="CQ27" s="469">
        <f>MOPFRA!CQ27</f>
        <v>451</v>
      </c>
      <c r="CR27" s="1239">
        <f>MOPFRA!CR27</f>
        <v>373.47373484848481</v>
      </c>
      <c r="CS27" s="21">
        <f>MOPFRA!CS27</f>
        <v>1147</v>
      </c>
      <c r="CT27" s="16">
        <f>MOPFRA!CT27</f>
        <v>-51</v>
      </c>
      <c r="CU27" s="154" t="str">
        <f>MOPFRA!CU27</f>
        <v/>
      </c>
      <c r="CV27" s="693">
        <f>MOPFRA!CV27</f>
        <v>5026</v>
      </c>
      <c r="CW27" s="49">
        <f>MOPFRA!CW27</f>
        <v>4388</v>
      </c>
      <c r="CX27" s="21">
        <f>MOPFRA!CX27</f>
        <v>2520</v>
      </c>
      <c r="CY27" s="49">
        <f>MOPFRA!CY27</f>
        <v>1178</v>
      </c>
      <c r="CZ27" s="378">
        <f>MOPFRA!CZ27</f>
        <v>5566</v>
      </c>
      <c r="DA27" s="1058">
        <f>MOPFRA!DA27</f>
        <v>1.1403828623518688</v>
      </c>
      <c r="DB27" s="99">
        <f>MOPFRA!DB27</f>
        <v>-0.47693710118504917</v>
      </c>
      <c r="DC27" s="53">
        <f>MOPFRA!DC27</f>
        <v>10592</v>
      </c>
      <c r="DD27" s="645">
        <f>MOPFRA!DD27</f>
        <v>0.52549093655589119</v>
      </c>
      <c r="DE27" s="13">
        <f>MOPFRA!DE27</f>
        <v>5588</v>
      </c>
      <c r="DF27" s="24">
        <f>MOPFRA!DF27</f>
        <v>5564</v>
      </c>
      <c r="DG27" s="24">
        <f>MOPFRA!DG27</f>
        <v>5</v>
      </c>
      <c r="DH27" s="51">
        <f>MOPFRA!DH27</f>
        <v>5004</v>
      </c>
      <c r="DI27" s="8">
        <f>MOPFRA!DI27</f>
        <v>616</v>
      </c>
      <c r="DJ27" s="644">
        <f>MOPFRA!DJ27</f>
        <v>13.573623819362455</v>
      </c>
      <c r="DK27" s="22">
        <f>MOPFRA!DK27</f>
        <v>1309</v>
      </c>
      <c r="DL27" s="22">
        <f>MOPFRA!DL27</f>
        <v>870</v>
      </c>
      <c r="DM27" s="22">
        <f>MOPFRA!DM27</f>
        <v>1791</v>
      </c>
      <c r="DN27" s="138">
        <f>MOPFRA!DN27</f>
        <v>0.52549093655589119</v>
      </c>
      <c r="DO27" s="99">
        <f>MOPFRA!DO27</f>
        <v>1.611738808016201</v>
      </c>
      <c r="DP27" s="22">
        <f>MOPFRA!DP27</f>
        <v>0</v>
      </c>
      <c r="DQ27" s="8">
        <f>MOPFRA!DQ27</f>
        <v>1034</v>
      </c>
      <c r="DR27" s="32">
        <f>MOPFRA!DR27</f>
        <v>-1.2770621011297278</v>
      </c>
      <c r="DS27" s="99">
        <f>MOPFRA!DS27</f>
        <v>-6</v>
      </c>
      <c r="DT27" s="8">
        <f>MOPFRA!DT27</f>
        <v>1426.88</v>
      </c>
      <c r="DU27" s="8">
        <f>MOPFRA!DU27</f>
        <v>3454.4680851063831</v>
      </c>
      <c r="DV27" s="235">
        <f>MOPFRA!DV27</f>
        <v>443.61702127659572</v>
      </c>
      <c r="DW27" s="8">
        <f>MOPFRA!DW27</f>
        <v>2662.4825531914894</v>
      </c>
      <c r="DX27" s="411">
        <f>MOPFRA!DX27</f>
        <v>104</v>
      </c>
      <c r="DY27" s="1532">
        <f>MOPFRA!DY27</f>
        <v>30</v>
      </c>
      <c r="DZ27" s="857">
        <f>MOPFRA!DZ27</f>
        <v>1.8844221105527637E-2</v>
      </c>
      <c r="EA27" s="386">
        <f>MOPFRA!EA27</f>
        <v>0.34</v>
      </c>
      <c r="EB27" s="504">
        <f>MOPFRA!EB27</f>
        <v>0</v>
      </c>
      <c r="EC27" s="510">
        <f>MOPFRA!EC27</f>
        <v>2943</v>
      </c>
      <c r="ED27" s="435">
        <f>MOPFRA!ED27</f>
        <v>2907</v>
      </c>
      <c r="EE27" s="510">
        <f>MOPFRA!EE27</f>
        <v>1161</v>
      </c>
      <c r="EF27" s="435">
        <f>MOPFRA!EF27</f>
        <v>1509</v>
      </c>
      <c r="EG27" s="510">
        <f>MOPFRA!EG27</f>
        <v>2349</v>
      </c>
      <c r="EH27" s="435">
        <f>MOPFRA!EH27</f>
        <v>3054</v>
      </c>
      <c r="EI27" s="510">
        <f>MOPFRA!EI27</f>
        <v>1955</v>
      </c>
      <c r="EJ27" s="435">
        <f>MOPFRA!EJ27</f>
        <v>3675</v>
      </c>
      <c r="EK27" s="510">
        <f>MOPFRA!EK27</f>
        <v>1562</v>
      </c>
      <c r="EL27" s="1606">
        <f>MOPFRA!EL27</f>
        <v>2937</v>
      </c>
      <c r="EM27" s="1684">
        <f>MOPFRA!EM27</f>
        <v>1562</v>
      </c>
      <c r="EN27" s="1608">
        <f>MOPFRA!EN27</f>
        <v>2937</v>
      </c>
      <c r="EO27" s="1609">
        <f>MOPFRA!EO27</f>
        <v>1.0319917440660475E-2</v>
      </c>
      <c r="EP27" s="1648">
        <f>MOPFRA!EP27</f>
        <v>35</v>
      </c>
      <c r="EQ27"/>
    </row>
    <row r="28" spans="1:147" ht="35" customHeight="1">
      <c r="A28" s="100">
        <f>MOPFRA!A28</f>
        <v>11.047850751719084</v>
      </c>
      <c r="B28" s="99">
        <f>MOPFRA!B28</f>
        <v>2.7478507517190858</v>
      </c>
      <c r="C28" s="1585">
        <f ca="1">MOPFRA!C28</f>
        <v>0.14189747028837732</v>
      </c>
      <c r="D28" s="1651">
        <f>MOPFRA!D28</f>
        <v>0.75417801381204264</v>
      </c>
      <c r="E28" s="1414">
        <f>MOPFRA!E28</f>
        <v>8.0000000000000018</v>
      </c>
      <c r="F28" s="1415">
        <f>MOPFRA!F28</f>
        <v>8.2999999999999989</v>
      </c>
      <c r="G28" s="2124">
        <f>MOPFRA!G28</f>
        <v>21.174646363928275</v>
      </c>
      <c r="H28" s="2379">
        <f>MOPFRA!H28</f>
        <v>0.88698010849909581</v>
      </c>
      <c r="I28" s="2379">
        <f>MOPFRA!I28</f>
        <v>0.3265494912118409</v>
      </c>
      <c r="J28" s="2379">
        <f>MOPFRA!J28</f>
        <v>0.82485322896281799</v>
      </c>
      <c r="K28" s="1942">
        <f>MOPFRA!K28</f>
        <v>25</v>
      </c>
      <c r="L28" s="1587">
        <f>MOPFRA!L28</f>
        <v>20</v>
      </c>
      <c r="M28" s="1582" t="str">
        <f>MOPFRA!M28</f>
        <v>B</v>
      </c>
      <c r="N28" s="1582" t="str">
        <f>MOPFRA!N28</f>
        <v>B</v>
      </c>
      <c r="O28" s="179" t="str">
        <f>MOPFRA!O28</f>
        <v/>
      </c>
      <c r="P28" s="856" t="str">
        <f>MOPFRA!P28</f>
        <v>PH</v>
      </c>
      <c r="Q28" s="1571" t="str">
        <f>MOPFRA!Q28</f>
        <v>داروسازي‌ فارابي‌</v>
      </c>
      <c r="R28" s="1571" t="str">
        <f>MOPFRA!R28</f>
        <v>دفارا</v>
      </c>
      <c r="S28" s="1572">
        <f>MOPFRA!S28</f>
        <v>12</v>
      </c>
      <c r="T28" s="66">
        <f>MOPFRA!T28</f>
        <v>11774.474</v>
      </c>
      <c r="U28" s="258">
        <f>MOPFRA!U28</f>
        <v>12790</v>
      </c>
      <c r="V28" s="338">
        <f>MOPFRA!V28</f>
        <v>2.98</v>
      </c>
      <c r="W28" s="258">
        <f>MOPFRA!W28</f>
        <v>12790</v>
      </c>
      <c r="X28" s="337">
        <f>MOPFRA!X28</f>
        <v>2.98</v>
      </c>
      <c r="Y28" s="1708">
        <f>MOPFRA!Y28</f>
        <v>15341.474</v>
      </c>
      <c r="Z28" s="661" t="str">
        <f>MOPFRA!Z28</f>
        <v/>
      </c>
      <c r="AA28" s="2382">
        <f>MOPFRA!AA28</f>
        <v>6.4984985528219991E-2</v>
      </c>
      <c r="AB28" s="511">
        <f ca="1">MOPFRA!AB28</f>
        <v>3.6986301369863014E-2</v>
      </c>
      <c r="AC28" s="823">
        <f ca="1">MOPFRA!AC28</f>
        <v>-18.66578943890465</v>
      </c>
      <c r="AD28" s="1150">
        <f>MOPFRA!AD28</f>
        <v>6.4984985528219991E-2</v>
      </c>
      <c r="AE28" s="1150">
        <f>MOPFRA!AE28</f>
        <v>1.4924796782387808</v>
      </c>
      <c r="AF28" s="1150">
        <f>MOPFRA!AF28</f>
        <v>2.3834695402298851</v>
      </c>
      <c r="AG28" s="1150">
        <f>MOPFRA!AG28</f>
        <v>1.2444670224933283</v>
      </c>
      <c r="AH28" s="1150">
        <f>MOPFRA!AH28</f>
        <v>5.4908897464167588</v>
      </c>
      <c r="AI28" s="275">
        <f ca="1">MOPFRA!AI28</f>
        <v>350</v>
      </c>
      <c r="AJ28" s="1120">
        <f>MOPFRA!AJ28</f>
        <v>46224</v>
      </c>
      <c r="AK28" s="1693">
        <f>MOPFRA!AK28</f>
        <v>46346</v>
      </c>
      <c r="AL28" s="1345">
        <f>MOPFRA!AL28</f>
        <v>9206000000</v>
      </c>
      <c r="AM28" s="29">
        <f>MOPFRA!AM28</f>
        <v>0</v>
      </c>
      <c r="AN28" s="29">
        <f>MOPFRA!AN28</f>
        <v>0</v>
      </c>
      <c r="AO28" s="685">
        <f>MOPFRA!AO28</f>
        <v>0.11</v>
      </c>
      <c r="AP28" s="174">
        <f>MOPFRA!AP28</f>
        <v>0</v>
      </c>
      <c r="AQ28" s="1416">
        <f>MOPFRA!AQ28</f>
        <v>4060</v>
      </c>
      <c r="AR28" s="1416">
        <f>MOPFRA!AR28</f>
        <v>1357</v>
      </c>
      <c r="AS28" s="766">
        <f>MOPFRA!AS28</f>
        <v>6656.0696202531644</v>
      </c>
      <c r="AT28" s="984">
        <f>MOPFRA!AT28</f>
        <v>4</v>
      </c>
      <c r="AU28" s="376">
        <f>MOPFRA!AU28</f>
        <v>1.6225812853786254</v>
      </c>
      <c r="AV28" s="99">
        <f>MOPFRA!AV28</f>
        <v>1.812137651237089</v>
      </c>
      <c r="AW28" s="2380">
        <f>MOPFRA!AW28</f>
        <v>1434</v>
      </c>
      <c r="AX28" s="2380">
        <f>MOPFRA!AX28</f>
        <v>479</v>
      </c>
      <c r="AY28" s="2374">
        <f>MOPFRA!AY28</f>
        <v>0.33400000000000002</v>
      </c>
      <c r="AZ28" s="2370">
        <f>MOPFRA!AZ28</f>
        <v>0.254</v>
      </c>
      <c r="BA28" s="2372">
        <f>MOPFRA!BA28</f>
        <v>0.33400000000000002</v>
      </c>
      <c r="BB28" s="2373">
        <f>MOPFRA!BB28</f>
        <v>0.2</v>
      </c>
      <c r="BC28" s="2375">
        <f>MOPFRA!BC28</f>
        <v>8.2999999999999989</v>
      </c>
      <c r="BD28" s="2376">
        <f>MOPFRA!BD28</f>
        <v>0.24099999999999999</v>
      </c>
      <c r="BE28" s="2370">
        <f>MOPFRA!BE28</f>
        <v>0.158</v>
      </c>
      <c r="BF28" s="2371">
        <f>MOPFRA!BF28</f>
        <v>0.25900000000000001</v>
      </c>
      <c r="BG28" s="1422">
        <f>MOPFRA!BG28</f>
        <v>0.126</v>
      </c>
      <c r="BH28" s="306">
        <f>MOPFRA!BH28</f>
        <v>9.3000000000000027E-2</v>
      </c>
      <c r="BI28" s="1861">
        <f>MOPFRA!BI28</f>
        <v>533.44800000000021</v>
      </c>
      <c r="BJ28" s="306">
        <f>MOPFRA!BJ28</f>
        <v>9.6000000000000002E-2</v>
      </c>
      <c r="BK28" s="99">
        <f>MOPFRA!BK28</f>
        <v>0</v>
      </c>
      <c r="BL28" s="306">
        <f>MOPFRA!BL28</f>
        <v>0.63942601484068085</v>
      </c>
      <c r="BM28" s="99">
        <f>MOPFRA!BM28</f>
        <v>10</v>
      </c>
      <c r="BN28" s="15">
        <f>MOPFRA!BN28</f>
        <v>0</v>
      </c>
      <c r="BO28" s="1803">
        <f>MOPFRA!BO28</f>
        <v>3</v>
      </c>
      <c r="BP28" s="842">
        <f>MOPFRA!BP28</f>
        <v>1</v>
      </c>
      <c r="BQ28" s="16">
        <f>MOPFRA!BQ28</f>
        <v>377</v>
      </c>
      <c r="BR28" s="16">
        <f>MOPFRA!BR28</f>
        <v>0</v>
      </c>
      <c r="BS28" s="16">
        <f>MOPFRA!BS28</f>
        <v>0</v>
      </c>
      <c r="BT28" s="1253">
        <f>MOPFRA!BT28</f>
        <v>2330.1246779068133</v>
      </c>
      <c r="BU28" s="1246">
        <f>MOPFRA!BU28</f>
        <v>2091.0275907017162</v>
      </c>
      <c r="BV28" s="406">
        <f>MOPFRA!BV28</f>
        <v>0</v>
      </c>
      <c r="BW28" s="407">
        <f>MOPFRA!BW28</f>
        <v>5.7858219861879574</v>
      </c>
      <c r="BX28" s="99">
        <f>MOPFRA!BX28</f>
        <v>-3.929109930939787</v>
      </c>
      <c r="BY28" s="18">
        <f>MOPFRA!BY28</f>
        <v>2035.0563892405064</v>
      </c>
      <c r="BZ28" s="18">
        <f>MOPFRA!BZ28</f>
        <v>1800.3782874617737</v>
      </c>
      <c r="CA28" s="18">
        <f>MOPFRA!CA28</f>
        <v>2223.1272531645573</v>
      </c>
      <c r="CB28" s="1710">
        <f>MOPFRA!CB28</f>
        <v>6.9008528315965076</v>
      </c>
      <c r="CC28" s="266">
        <f>MOPFRA!CC28</f>
        <v>1956</v>
      </c>
      <c r="CD28" s="267">
        <f>MOPFRA!CD28</f>
        <v>6.54</v>
      </c>
      <c r="CE28" s="99">
        <f>MOPFRA!CE28</f>
        <v>-4.62</v>
      </c>
      <c r="CF28" s="17">
        <f>MOPFRA!CF28</f>
        <v>1.7911051601672487</v>
      </c>
      <c r="CG28" s="99">
        <f>MOPFRA!CG28</f>
        <v>0.83557935933100502</v>
      </c>
      <c r="CH28" s="494">
        <f>MOPFRA!CH28</f>
        <v>0.28739675035171675</v>
      </c>
      <c r="CI28" s="99">
        <f>MOPFRA!CI28</f>
        <v>-1.689048744724249</v>
      </c>
      <c r="CJ28" s="20">
        <f>MOPFRA!CJ28</f>
        <v>0</v>
      </c>
      <c r="CK28" s="691">
        <f>MOPFRA!CK28</f>
        <v>920.6</v>
      </c>
      <c r="CL28" s="419">
        <f>MOPFRA!CL28</f>
        <v>720</v>
      </c>
      <c r="CM28" s="468">
        <f>MOPFRA!CM28</f>
        <v>541</v>
      </c>
      <c r="CN28" s="843">
        <f>MOPFRA!CN28</f>
        <v>1</v>
      </c>
      <c r="CO28" s="21">
        <f>MOPFRA!CO28</f>
        <v>347</v>
      </c>
      <c r="CP28" s="21">
        <f>MOPFRA!CP28</f>
        <v>149</v>
      </c>
      <c r="CQ28" s="469">
        <f>MOPFRA!CQ28</f>
        <v>481.25</v>
      </c>
      <c r="CR28" s="1239">
        <f>MOPFRA!CR28</f>
        <v>683.70425949367086</v>
      </c>
      <c r="CS28" s="21">
        <f>MOPFRA!CS28</f>
        <v>1067</v>
      </c>
      <c r="CT28" s="16">
        <f>MOPFRA!CT28</f>
        <v>-10</v>
      </c>
      <c r="CU28" s="154" t="str">
        <f>MOPFRA!CU28</f>
        <v/>
      </c>
      <c r="CV28" s="693">
        <f>MOPFRA!CV28</f>
        <v>2070</v>
      </c>
      <c r="CW28" s="49">
        <f>MOPFRA!CW28</f>
        <v>3508</v>
      </c>
      <c r="CX28" s="21">
        <f>MOPFRA!CX28</f>
        <v>504</v>
      </c>
      <c r="CY28" s="49">
        <f>MOPFRA!CY28</f>
        <v>137</v>
      </c>
      <c r="CZ28" s="378">
        <f>MOPFRA!CZ28</f>
        <v>3645</v>
      </c>
      <c r="DA28" s="1058">
        <f>MOPFRA!DA28</f>
        <v>1.4284492588369442</v>
      </c>
      <c r="DB28" s="99">
        <f>MOPFRA!DB28</f>
        <v>1.8275940706955538</v>
      </c>
      <c r="DC28" s="53">
        <f>MOPFRA!DC28</f>
        <v>5715</v>
      </c>
      <c r="DD28" s="645">
        <f>MOPFRA!DD28</f>
        <v>0.63779527559055116</v>
      </c>
      <c r="DE28" s="13">
        <f>MOPFRA!DE28</f>
        <v>704</v>
      </c>
      <c r="DF28" s="24">
        <f>MOPFRA!DF28</f>
        <v>549</v>
      </c>
      <c r="DG28" s="24">
        <f>MOPFRA!DG28</f>
        <v>51</v>
      </c>
      <c r="DH28" s="51">
        <f>MOPFRA!DH28</f>
        <v>5011</v>
      </c>
      <c r="DI28" s="8">
        <f>MOPFRA!DI28</f>
        <v>1503</v>
      </c>
      <c r="DJ28" s="644">
        <f>MOPFRA!DJ28</f>
        <v>4.4285227014325779</v>
      </c>
      <c r="DK28" s="22">
        <f>MOPFRA!DK28</f>
        <v>576</v>
      </c>
      <c r="DL28" s="22">
        <f>MOPFRA!DL28</f>
        <v>76</v>
      </c>
      <c r="DM28" s="22">
        <f>MOPFRA!DM28</f>
        <v>3782</v>
      </c>
      <c r="DN28" s="138">
        <f>MOPFRA!DN28</f>
        <v>0.63779527559055116</v>
      </c>
      <c r="DO28" s="99">
        <f>MOPFRA!DO28</f>
        <v>-0.48930165388052616</v>
      </c>
      <c r="DP28" s="22">
        <f>MOPFRA!DP28</f>
        <v>2</v>
      </c>
      <c r="DQ28" s="8">
        <f>MOPFRA!DQ28</f>
        <v>575</v>
      </c>
      <c r="DR28" s="32">
        <f>MOPFRA!DR28</f>
        <v>-0.22580803653295939</v>
      </c>
      <c r="DS28" s="99">
        <f>MOPFRA!DS28</f>
        <v>-1</v>
      </c>
      <c r="DT28" s="8">
        <f>MOPFRA!DT28</f>
        <v>7119.84</v>
      </c>
      <c r="DU28" s="8">
        <f>MOPFRA!DU28</f>
        <v>7527.6993265261781</v>
      </c>
      <c r="DV28" s="235">
        <f>MOPFRA!DV28</f>
        <v>782.0986313273952</v>
      </c>
      <c r="DW28" s="8">
        <f>MOPFRA!DW28</f>
        <v>7714.8189789267863</v>
      </c>
      <c r="DX28" s="411">
        <f>MOPFRA!DX28</f>
        <v>122</v>
      </c>
      <c r="DY28" s="1532">
        <f>MOPFRA!DY28</f>
        <v>930</v>
      </c>
      <c r="DZ28" s="857">
        <f>MOPFRA!DZ28</f>
        <v>7.1870170015455953E-2</v>
      </c>
      <c r="EA28" s="386">
        <f>MOPFRA!EA28</f>
        <v>4.75</v>
      </c>
      <c r="EB28" s="504">
        <f>MOPFRA!EB28</f>
        <v>0</v>
      </c>
      <c r="EC28" s="510">
        <f>MOPFRA!EC28</f>
        <v>11340</v>
      </c>
      <c r="ED28" s="435">
        <f>MOPFRA!ED28</f>
        <v>1814</v>
      </c>
      <c r="EE28" s="510">
        <f>MOPFRA!EE28</f>
        <v>32790</v>
      </c>
      <c r="EF28" s="435">
        <f>MOPFRA!EF28</f>
        <v>5246</v>
      </c>
      <c r="EG28" s="510">
        <f>MOPFRA!EG28</f>
        <v>21750</v>
      </c>
      <c r="EH28" s="435">
        <f>MOPFRA!EH28</f>
        <v>3480</v>
      </c>
      <c r="EI28" s="510">
        <f>MOPFRA!EI28</f>
        <v>29525</v>
      </c>
      <c r="EJ28" s="435">
        <f>MOPFRA!EJ28</f>
        <v>4724</v>
      </c>
      <c r="EK28" s="510">
        <f>MOPFRA!EK28</f>
        <v>12010</v>
      </c>
      <c r="EL28" s="1606">
        <f>MOPFRA!EL28</f>
        <v>11056</v>
      </c>
      <c r="EM28" s="1685">
        <f>MOPFRA!EM28</f>
        <v>12010</v>
      </c>
      <c r="EN28" s="1686">
        <f>MOPFRA!EN28</f>
        <v>11056</v>
      </c>
      <c r="EO28" s="1609">
        <f>MOPFRA!EO28</f>
        <v>5.0948180815876514</v>
      </c>
      <c r="EP28" s="1648">
        <f>MOPFRA!EP28</f>
        <v>6</v>
      </c>
      <c r="EQ28"/>
    </row>
    <row r="29" spans="1:147" ht="35" customHeight="1">
      <c r="A29" s="100">
        <f>MOPFRA!A29</f>
        <v>6.5163029754594088</v>
      </c>
      <c r="B29" s="99">
        <f>MOPFRA!B29</f>
        <v>-3.4836970245405898</v>
      </c>
      <c r="C29" s="1585">
        <f ca="1">MOPFRA!C29</f>
        <v>0.21262135922330097</v>
      </c>
      <c r="D29" s="1651">
        <f>MOPFRA!D29</f>
        <v>1.7057836514589675</v>
      </c>
      <c r="E29" s="1414">
        <f>MOPFRA!E29</f>
        <v>9</v>
      </c>
      <c r="F29" s="1415">
        <f>MOPFRA!F29</f>
        <v>10.8</v>
      </c>
      <c r="G29" s="2124">
        <f>MOPFRA!G29</f>
        <v>-9.8013564698948841</v>
      </c>
      <c r="H29" s="2379">
        <f>MOPFRA!H29</f>
        <v>1.0967225777973957</v>
      </c>
      <c r="I29" s="2379">
        <f>MOPFRA!I29</f>
        <v>0.72189251566106161</v>
      </c>
      <c r="J29" s="2379">
        <f>MOPFRA!J29</f>
        <v>1.093360809963265</v>
      </c>
      <c r="K29" s="1942">
        <f>MOPFRA!K29</f>
        <v>18</v>
      </c>
      <c r="L29" s="1587">
        <f>MOPFRA!L29</f>
        <v>23</v>
      </c>
      <c r="M29" s="1582" t="str">
        <f>MOPFRA!M29</f>
        <v>BB</v>
      </c>
      <c r="N29" s="1582" t="str">
        <f>MOPFRA!N29</f>
        <v>B</v>
      </c>
      <c r="O29" s="179" t="str">
        <f>MOPFRA!O29</f>
        <v/>
      </c>
      <c r="P29" s="856" t="str">
        <f>MOPFRA!P29</f>
        <v>M</v>
      </c>
      <c r="Q29" s="1571" t="str">
        <f>MOPFRA!Q29</f>
        <v>فولاد سيرجان ايرانيان</v>
      </c>
      <c r="R29" s="1571" t="str">
        <f>MOPFRA!R29</f>
        <v>سيسكو</v>
      </c>
      <c r="S29" s="1572">
        <f>MOPFRA!S29</f>
        <v>9</v>
      </c>
      <c r="T29" s="66">
        <f>MOPFRA!T29</f>
        <v>51250</v>
      </c>
      <c r="U29" s="258">
        <f>MOPFRA!U29</f>
        <v>4100</v>
      </c>
      <c r="V29" s="338">
        <f>MOPFRA!V29</f>
        <v>2.76</v>
      </c>
      <c r="W29" s="258">
        <f>MOPFRA!W29</f>
        <v>4100</v>
      </c>
      <c r="X29" s="337">
        <f>MOPFRA!X29</f>
        <v>2.76</v>
      </c>
      <c r="Y29" s="1708">
        <f>MOPFRA!Y29</f>
        <v>84784</v>
      </c>
      <c r="Z29" s="661" t="str">
        <f>MOPFRA!Z29</f>
        <v/>
      </c>
      <c r="AA29" s="2382">
        <f>MOPFRA!AA29</f>
        <v>0.92756130585226415</v>
      </c>
      <c r="AB29" s="511">
        <f ca="1">MOPFRA!AB29</f>
        <v>0.18000000000000002</v>
      </c>
      <c r="AC29" s="823">
        <f ca="1">MOPFRA!AC29</f>
        <v>-102.40565833592659</v>
      </c>
      <c r="AD29" s="1150">
        <f>MOPFRA!AD29</f>
        <v>0.92756130585226415</v>
      </c>
      <c r="AE29" s="1150">
        <f>MOPFRA!AE29</f>
        <v>0.85802849581263818</v>
      </c>
      <c r="AF29" s="1150">
        <f>MOPFRA!AF29</f>
        <v>0.83042251508982468</v>
      </c>
      <c r="AG29" s="1150" t="str">
        <f>MOPFRA!AG29</f>
        <v/>
      </c>
      <c r="AH29" s="1150" t="str">
        <f>MOPFRA!AH29</f>
        <v/>
      </c>
      <c r="AI29" s="275">
        <f ca="1">MOPFRA!AI29</f>
        <v>292</v>
      </c>
      <c r="AJ29" s="1120">
        <f>MOPFRA!AJ29</f>
        <v>46166</v>
      </c>
      <c r="AK29" s="1693">
        <f>MOPFRA!AK29</f>
        <v>46286</v>
      </c>
      <c r="AL29" s="1345">
        <f>MOPFRA!AL29</f>
        <v>125000000000</v>
      </c>
      <c r="AM29" s="29">
        <f>MOPFRA!AM29</f>
        <v>0</v>
      </c>
      <c r="AN29" s="29">
        <f>MOPFRA!AN29</f>
        <v>0</v>
      </c>
      <c r="AO29" s="685">
        <f>MOPFRA!AO29</f>
        <v>0.05</v>
      </c>
      <c r="AP29" s="174">
        <f>MOPFRA!AP29</f>
        <v>0</v>
      </c>
      <c r="AQ29" s="1416">
        <f>MOPFRA!AQ29</f>
        <v>41084</v>
      </c>
      <c r="AR29" s="1416">
        <f>MOPFRA!AR29</f>
        <v>7156</v>
      </c>
      <c r="AS29" s="766">
        <f>MOPFRA!AS29</f>
        <v>74597.268050256956</v>
      </c>
      <c r="AT29" s="984">
        <f>MOPFRA!AT29</f>
        <v>4</v>
      </c>
      <c r="AU29" s="376">
        <f>MOPFRA!AU29</f>
        <v>0.6870224786981789</v>
      </c>
      <c r="AV29" s="99">
        <f>MOPFRA!AV29</f>
        <v>0.53527293609630822</v>
      </c>
      <c r="AW29" s="2380">
        <f>MOPFRA!AW29</f>
        <v>33022</v>
      </c>
      <c r="AX29" s="2380">
        <f>MOPFRA!AX29</f>
        <v>9711</v>
      </c>
      <c r="AY29" s="2374">
        <f>MOPFRA!AY29</f>
        <v>0.29399999999999998</v>
      </c>
      <c r="AZ29" s="2370">
        <f>MOPFRA!AZ29</f>
        <v>0.20399999999999999</v>
      </c>
      <c r="BA29" s="2372">
        <f>MOPFRA!BA29</f>
        <v>0.17399999999999999</v>
      </c>
      <c r="BB29" s="2373">
        <f>MOPFRA!BB29</f>
        <v>0.193</v>
      </c>
      <c r="BC29" s="2375">
        <f>MOPFRA!BC29</f>
        <v>10</v>
      </c>
      <c r="BD29" s="2376">
        <f>MOPFRA!BD29</f>
        <v>0.19900000000000001</v>
      </c>
      <c r="BE29" s="2370">
        <f>MOPFRA!BE29</f>
        <v>9.0999999999999998E-2</v>
      </c>
      <c r="BF29" s="2371">
        <f>MOPFRA!BF29</f>
        <v>8.2000000000000003E-2</v>
      </c>
      <c r="BG29" s="1422">
        <f>MOPFRA!BG29</f>
        <v>8.6999999999999994E-2</v>
      </c>
      <c r="BH29" s="306">
        <f>MOPFRA!BH29</f>
        <v>9.4999999999999973E-2</v>
      </c>
      <c r="BI29" s="1861">
        <f>MOPFRA!BI29</f>
        <v>6274.1799999999985</v>
      </c>
      <c r="BJ29" s="306">
        <f>MOPFRA!BJ29</f>
        <v>0.11299999999999999</v>
      </c>
      <c r="BK29" s="99">
        <f>MOPFRA!BK29</f>
        <v>0</v>
      </c>
      <c r="BL29" s="306">
        <f>MOPFRA!BL29</f>
        <v>0.81572553914557877</v>
      </c>
      <c r="BM29" s="99">
        <f>MOPFRA!BM29</f>
        <v>-3.3550730012005614</v>
      </c>
      <c r="BN29" s="15">
        <f>MOPFRA!BN29</f>
        <v>0</v>
      </c>
      <c r="BO29" s="1803">
        <f>MOPFRA!BO29</f>
        <v>3</v>
      </c>
      <c r="BP29" s="842">
        <f>MOPFRA!BP29</f>
        <v>2</v>
      </c>
      <c r="BQ29" s="16">
        <f>MOPFRA!BQ29</f>
        <v>389</v>
      </c>
      <c r="BR29" s="16">
        <f>MOPFRA!BR29</f>
        <v>621</v>
      </c>
      <c r="BS29" s="16">
        <f>MOPFRA!BS29</f>
        <v>0</v>
      </c>
      <c r="BT29" s="1253">
        <f>MOPFRA!BT29</f>
        <v>1216.4685073600908</v>
      </c>
      <c r="BU29" s="1246">
        <f>MOPFRA!BU29</f>
        <v>1242.8799999999999</v>
      </c>
      <c r="BV29" s="406">
        <f>MOPFRA!BV29</f>
        <v>0</v>
      </c>
      <c r="BW29" s="407">
        <f>MOPFRA!BW29</f>
        <v>3.3342163485410325</v>
      </c>
      <c r="BX29" s="99">
        <f>MOPFRA!BX29</f>
        <v>8.3289182572948377</v>
      </c>
      <c r="BY29" s="18">
        <f>MOPFRA!BY29</f>
        <v>15370.928171000567</v>
      </c>
      <c r="BZ29" s="18">
        <f>MOPFRA!BZ29</f>
        <v>10168.650793650793</v>
      </c>
      <c r="CA29" s="18">
        <f>MOPFRA!CA29</f>
        <v>21931.596806775546</v>
      </c>
      <c r="CB29" s="1710">
        <f>MOPFRA!CB29</f>
        <v>3.8658379846654318</v>
      </c>
      <c r="CC29" s="266">
        <f>MOPFRA!CC29</f>
        <v>813</v>
      </c>
      <c r="CD29" s="267">
        <f>MOPFRA!CD29</f>
        <v>5.04</v>
      </c>
      <c r="CE29" s="99">
        <f>MOPFRA!CE29</f>
        <v>-0.12000000000000011</v>
      </c>
      <c r="CF29" s="17">
        <f>MOPFRA!CF29</f>
        <v>2.3930239989928741</v>
      </c>
      <c r="CG29" s="99">
        <f>MOPFRA!CG29</f>
        <v>-1.5720959959714964</v>
      </c>
      <c r="CH29" s="494">
        <f>MOPFRA!CH29</f>
        <v>0.26385141738191031</v>
      </c>
      <c r="CI29" s="99">
        <f>MOPFRA!CI29</f>
        <v>-2.0422287392713456</v>
      </c>
      <c r="CJ29" s="20">
        <f>MOPFRA!CJ29</f>
        <v>0</v>
      </c>
      <c r="CK29" s="691">
        <f>MOPFRA!CK29</f>
        <v>12500</v>
      </c>
      <c r="CL29" s="419">
        <f>MOPFRA!CL29</f>
        <v>4170</v>
      </c>
      <c r="CM29" s="468">
        <f>MOPFRA!CM29</f>
        <v>361</v>
      </c>
      <c r="CN29" s="843">
        <f>MOPFRA!CN29</f>
        <v>1206</v>
      </c>
      <c r="CO29" s="21">
        <f>MOPFRA!CO29</f>
        <v>7768</v>
      </c>
      <c r="CP29" s="21">
        <f>MOPFRA!CP29</f>
        <v>0</v>
      </c>
      <c r="CQ29" s="469">
        <f>MOPFRA!CQ29</f>
        <v>7768</v>
      </c>
      <c r="CR29" s="1239">
        <f>MOPFRA!CR29</f>
        <v>8659.4995328339974</v>
      </c>
      <c r="CS29" s="21">
        <f>MOPFRA!CS29</f>
        <v>11938</v>
      </c>
      <c r="CT29" s="16">
        <f>MOPFRA!CT29</f>
        <v>-600</v>
      </c>
      <c r="CU29" s="154" t="str">
        <f>MOPFRA!CU29</f>
        <v/>
      </c>
      <c r="CV29" s="693">
        <f>MOPFRA!CV29</f>
        <v>25121</v>
      </c>
      <c r="CW29" s="49">
        <f>MOPFRA!CW29</f>
        <v>30519</v>
      </c>
      <c r="CX29" s="21">
        <f>MOPFRA!CX29</f>
        <v>17838</v>
      </c>
      <c r="CY29" s="49">
        <f>MOPFRA!CY29</f>
        <v>6264</v>
      </c>
      <c r="CZ29" s="378">
        <f>MOPFRA!CZ29</f>
        <v>36783</v>
      </c>
      <c r="DA29" s="1058">
        <f>MOPFRA!DA29</f>
        <v>1.0857170942691439</v>
      </c>
      <c r="DB29" s="99">
        <f>MOPFRA!DB29</f>
        <v>-0.9142632458468487</v>
      </c>
      <c r="DC29" s="53">
        <f>MOPFRA!DC29</f>
        <v>61904</v>
      </c>
      <c r="DD29" s="645">
        <f>MOPFRA!DD29</f>
        <v>0.59419423623675371</v>
      </c>
      <c r="DE29" s="13">
        <f>MOPFRA!DE29</f>
        <v>28769</v>
      </c>
      <c r="DF29" s="24">
        <f>MOPFRA!DF29</f>
        <v>23347</v>
      </c>
      <c r="DG29" s="24">
        <f>MOPFRA!DG29</f>
        <v>1065</v>
      </c>
      <c r="DH29" s="51">
        <f>MOPFRA!DH29</f>
        <v>33135</v>
      </c>
      <c r="DI29" s="8">
        <f>MOPFRA!DI29</f>
        <v>2616</v>
      </c>
      <c r="DJ29" s="644">
        <f>MOPFRA!DJ29</f>
        <v>28.515775248569174</v>
      </c>
      <c r="DK29" s="22">
        <f>MOPFRA!DK29</f>
        <v>15851</v>
      </c>
      <c r="DL29" s="22">
        <f>MOPFRA!DL29</f>
        <v>3249</v>
      </c>
      <c r="DM29" s="22">
        <f>MOPFRA!DM29</f>
        <v>7039</v>
      </c>
      <c r="DN29" s="138">
        <f>MOPFRA!DN29</f>
        <v>0.59419423623675371</v>
      </c>
      <c r="DO29" s="99">
        <f>MOPFRA!DO29</f>
        <v>-0.34422723564148328</v>
      </c>
      <c r="DP29" s="22">
        <f>MOPFRA!DP29</f>
        <v>0</v>
      </c>
      <c r="DQ29" s="8">
        <f>MOPFRA!DQ29</f>
        <v>6996</v>
      </c>
      <c r="DR29" s="32">
        <f>MOPFRA!DR29</f>
        <v>-0.81334706985353344</v>
      </c>
      <c r="DS29" s="99">
        <f>MOPFRA!DS29</f>
        <v>-4</v>
      </c>
      <c r="DT29" s="8">
        <f>MOPFRA!DT29</f>
        <v>3056.88</v>
      </c>
      <c r="DU29" s="8">
        <f>MOPFRA!DU29</f>
        <v>4623.5135999999993</v>
      </c>
      <c r="DV29" s="235">
        <f>MOPFRA!DV29</f>
        <v>333.6</v>
      </c>
      <c r="DW29" s="8">
        <f>MOPFRA!DW29</f>
        <v>4006.9967999999999</v>
      </c>
      <c r="DX29" s="411">
        <f>MOPFRA!DX29</f>
        <v>120</v>
      </c>
      <c r="DY29" s="1532">
        <f>MOPFRA!DY29</f>
        <v>0</v>
      </c>
      <c r="DZ29" s="857">
        <f>MOPFRA!DZ29</f>
        <v>0</v>
      </c>
      <c r="EA29" s="386">
        <f>MOPFRA!EA29</f>
        <v>0.47</v>
      </c>
      <c r="EB29" s="504">
        <f>MOPFRA!EB29</f>
        <v>0</v>
      </c>
      <c r="EC29" s="510">
        <f>MOPFRA!EC29</f>
        <v>0</v>
      </c>
      <c r="ED29" s="435">
        <f>MOPFRA!ED29</f>
        <v>0</v>
      </c>
      <c r="EE29" s="510">
        <f>MOPFRA!EE29</f>
        <v>0</v>
      </c>
      <c r="EF29" s="435">
        <f>MOPFRA!EF29</f>
        <v>0</v>
      </c>
      <c r="EG29" s="510">
        <f>MOPFRA!EG29</f>
        <v>3294</v>
      </c>
      <c r="EH29" s="435">
        <f>MOPFRA!EH29</f>
        <v>27999</v>
      </c>
      <c r="EI29" s="510">
        <f>MOPFRA!EI29</f>
        <v>3245</v>
      </c>
      <c r="EJ29" s="435">
        <f>MOPFRA!EJ29</f>
        <v>27583</v>
      </c>
      <c r="EK29" s="510">
        <f>MOPFRA!EK29</f>
        <v>2127</v>
      </c>
      <c r="EL29" s="1606">
        <f>MOPFRA!EL29</f>
        <v>26588</v>
      </c>
      <c r="EM29" s="1684">
        <f>MOPFRA!EM29</f>
        <v>2127</v>
      </c>
      <c r="EN29" s="1608">
        <f>MOPFRA!EN29</f>
        <v>26588</v>
      </c>
      <c r="EO29" s="1609" t="str">
        <f>MOPFRA!EO29</f>
        <v/>
      </c>
      <c r="EP29" s="1648" t="str">
        <f>MOPFRA!EP29</f>
        <v>NEW</v>
      </c>
      <c r="EQ29"/>
    </row>
    <row r="30" spans="1:147" ht="35" customHeight="1">
      <c r="A30" s="100">
        <f>MOPFRA!A30</f>
        <v>8.9948642701746628</v>
      </c>
      <c r="B30" s="99">
        <f>MOPFRA!B30</f>
        <v>-1.0051357298253387</v>
      </c>
      <c r="C30" s="1585">
        <f ca="1">MOPFRA!C30</f>
        <v>0.29447764010503813</v>
      </c>
      <c r="D30" s="1651">
        <f>MOPFRA!D30</f>
        <v>2.1772699489883491</v>
      </c>
      <c r="E30" s="1414">
        <f>MOPFRA!E30</f>
        <v>19.899999999999999</v>
      </c>
      <c r="F30" s="1415">
        <f>MOPFRA!F30</f>
        <v>14.700000000000003</v>
      </c>
      <c r="G30" s="2124">
        <f>MOPFRA!G30</f>
        <v>1.1074684556152459</v>
      </c>
      <c r="H30" s="2379">
        <f>MOPFRA!H30</f>
        <v>1.1067146282973621</v>
      </c>
      <c r="I30" s="2379">
        <f>MOPFRA!I30</f>
        <v>0.6048951048951049</v>
      </c>
      <c r="J30" s="2379">
        <f>MOPFRA!J30</f>
        <v>0.6468699839486356</v>
      </c>
      <c r="K30" s="1942">
        <f>MOPFRA!K30</f>
        <v>17</v>
      </c>
      <c r="L30" s="1587">
        <f>MOPFRA!L30</f>
        <v>21</v>
      </c>
      <c r="M30" s="1582" t="str">
        <f>MOPFRA!M30</f>
        <v>BB</v>
      </c>
      <c r="N30" s="1582" t="str">
        <f>MOPFRA!N30</f>
        <v>BB</v>
      </c>
      <c r="O30" s="179" t="str">
        <f>MOPFRA!O30</f>
        <v>Closed</v>
      </c>
      <c r="P30" s="856" t="str">
        <f>MOPFRA!P30</f>
        <v>DH</v>
      </c>
      <c r="Q30" s="1571" t="str">
        <f>MOPFRA!Q30</f>
        <v>صنايع بهداشتي ساينا</v>
      </c>
      <c r="R30" s="1571" t="str">
        <f>MOPFRA!R30</f>
        <v>ساينا</v>
      </c>
      <c r="S30" s="1572">
        <f>MOPFRA!S30</f>
        <v>9</v>
      </c>
      <c r="T30" s="66">
        <f>MOPFRA!T30</f>
        <v>2123.1</v>
      </c>
      <c r="U30" s="258">
        <f>MOPFRA!U30</f>
        <v>10110</v>
      </c>
      <c r="V30" s="338" t="str">
        <f>MOPFRA!V30</f>
        <v/>
      </c>
      <c r="W30" s="258">
        <f>MOPFRA!W30</f>
        <v>10110</v>
      </c>
      <c r="X30" s="337" t="str">
        <f>MOPFRA!X30</f>
        <v/>
      </c>
      <c r="Y30" s="1708">
        <f>MOPFRA!Y30</f>
        <v>3203.7999999999997</v>
      </c>
      <c r="Z30" s="661" t="str">
        <f>MOPFRA!Z30</f>
        <v/>
      </c>
      <c r="AA30" s="2382">
        <f>MOPFRA!AA30</f>
        <v>1.6773013871374527</v>
      </c>
      <c r="AB30" s="511">
        <f ca="1">MOPFRA!AB30</f>
        <v>0.41671232876712327</v>
      </c>
      <c r="AC30" s="823">
        <f ca="1">MOPFRA!AC30</f>
        <v>-74.591068542623049</v>
      </c>
      <c r="AD30" s="1150">
        <f>MOPFRA!AD30</f>
        <v>1.6773013871374527</v>
      </c>
      <c r="AE30" s="1150">
        <f>MOPFRA!AE30</f>
        <v>1.3254107338444687</v>
      </c>
      <c r="AF30" s="1150">
        <f>MOPFRA!AF30</f>
        <v>0.74167350287120581</v>
      </c>
      <c r="AG30" s="1150">
        <f>MOPFRA!AG30</f>
        <v>2.002970297029703</v>
      </c>
      <c r="AH30" s="1150">
        <f>MOPFRA!AH30</f>
        <v>2.0329999999999999</v>
      </c>
      <c r="AI30" s="275">
        <f ca="1">MOPFRA!AI30</f>
        <v>196</v>
      </c>
      <c r="AJ30" s="1120">
        <f>MOPFRA!AJ30</f>
        <v>46070</v>
      </c>
      <c r="AK30" s="1693">
        <f>MOPFRA!AK30</f>
        <v>46188</v>
      </c>
      <c r="AL30" s="1345">
        <f>MOPFRA!AL30</f>
        <v>2100000000</v>
      </c>
      <c r="AM30" s="29">
        <f>MOPFRA!AM30</f>
        <v>0</v>
      </c>
      <c r="AN30" s="29">
        <f>MOPFRA!AN30</f>
        <v>0</v>
      </c>
      <c r="AO30" s="685">
        <f>MOPFRA!AO30</f>
        <v>0.18820000000000001</v>
      </c>
      <c r="AP30" s="174">
        <f>MOPFRA!AP30</f>
        <v>0</v>
      </c>
      <c r="AQ30" s="1416">
        <f>MOPFRA!AQ30</f>
        <v>1600</v>
      </c>
      <c r="AR30" s="1416">
        <f>MOPFRA!AR30</f>
        <v>168</v>
      </c>
      <c r="AS30" s="766">
        <f>MOPFRA!AS30</f>
        <v>3069.1217026378895</v>
      </c>
      <c r="AT30" s="984">
        <f>MOPFRA!AT30</f>
        <v>4</v>
      </c>
      <c r="AU30" s="376">
        <f>MOPFRA!AU30</f>
        <v>0.69176142418047804</v>
      </c>
      <c r="AV30" s="99">
        <f>MOPFRA!AV30</f>
        <v>-0.30695138070247152</v>
      </c>
      <c r="AW30" s="2380">
        <f>MOPFRA!AW30</f>
        <v>1490</v>
      </c>
      <c r="AX30" s="2380">
        <f>MOPFRA!AX30</f>
        <v>442</v>
      </c>
      <c r="AY30" s="2374">
        <f>MOPFRA!AY30</f>
        <v>0.29699999999999999</v>
      </c>
      <c r="AZ30" s="2370">
        <f>MOPFRA!AZ30</f>
        <v>9.8000000000000004E-2</v>
      </c>
      <c r="BA30" s="2372">
        <f>MOPFRA!BA30</f>
        <v>0.105</v>
      </c>
      <c r="BB30" s="2373">
        <f>MOPFRA!BB30</f>
        <v>0.11600000000000001</v>
      </c>
      <c r="BC30" s="2375">
        <f>MOPFRA!BC30</f>
        <v>10</v>
      </c>
      <c r="BD30" s="2376">
        <f>MOPFRA!BD30</f>
        <v>0.219</v>
      </c>
      <c r="BE30" s="2370">
        <f>MOPFRA!BE30</f>
        <v>7.1999999999999995E-2</v>
      </c>
      <c r="BF30" s="2371">
        <f>MOPFRA!BF30</f>
        <v>7.0000000000000007E-2</v>
      </c>
      <c r="BG30" s="1422">
        <f>MOPFRA!BG30</f>
        <v>9.7000000000000003E-2</v>
      </c>
      <c r="BH30" s="306">
        <f>MOPFRA!BH30</f>
        <v>7.7999999999999986E-2</v>
      </c>
      <c r="BI30" s="1861">
        <f>MOPFRA!BI30</f>
        <v>232.43999999999997</v>
      </c>
      <c r="BJ30" s="306">
        <f>MOPFRA!BJ30</f>
        <v>2.6000000000000009E-2</v>
      </c>
      <c r="BK30" s="99">
        <f>MOPFRA!BK30</f>
        <v>0</v>
      </c>
      <c r="BL30" s="306">
        <f>MOPFRA!BL30</f>
        <v>0.91820106414868097</v>
      </c>
      <c r="BM30" s="99">
        <f>MOPFRA!BM30</f>
        <v>-10</v>
      </c>
      <c r="BN30" s="15">
        <f>MOPFRA!BN30</f>
        <v>0</v>
      </c>
      <c r="BO30" s="1803">
        <f>MOPFRA!BO30</f>
        <v>3</v>
      </c>
      <c r="BP30" s="842">
        <f>MOPFRA!BP30</f>
        <v>2</v>
      </c>
      <c r="BQ30" s="16">
        <f>MOPFRA!BQ30</f>
        <v>397</v>
      </c>
      <c r="BR30" s="16">
        <f>MOPFRA!BR30</f>
        <v>1556</v>
      </c>
      <c r="BS30" s="16">
        <f>MOPFRA!BS30</f>
        <v>0</v>
      </c>
      <c r="BT30" s="1253">
        <f>MOPFRA!BT30</f>
        <v>3238.7507279890369</v>
      </c>
      <c r="BU30" s="1246">
        <f>MOPFRA!BU30</f>
        <v>3114.2857142857142</v>
      </c>
      <c r="BV30" s="406">
        <f>MOPFRA!BV30</f>
        <v>0</v>
      </c>
      <c r="BW30" s="407">
        <f>MOPFRA!BW30</f>
        <v>3.1827300510116512</v>
      </c>
      <c r="BX30" s="99">
        <f>MOPFRA!BX30</f>
        <v>9.0863497449417441</v>
      </c>
      <c r="BY30" s="18">
        <f>MOPFRA!BY30</f>
        <v>667.06882643884887</v>
      </c>
      <c r="BZ30" s="18">
        <f>MOPFRA!BZ30</f>
        <v>396.10074626865668</v>
      </c>
      <c r="CA30" s="18">
        <f>MOPFRA!CA30</f>
        <v>911.52914568345318</v>
      </c>
      <c r="CB30" s="1710">
        <f>MOPFRA!CB30</f>
        <v>3.5147532200935063</v>
      </c>
      <c r="CC30" s="266">
        <f>MOPFRA!CC30</f>
        <v>1886</v>
      </c>
      <c r="CD30" s="267">
        <f>MOPFRA!CD30</f>
        <v>5.36</v>
      </c>
      <c r="CE30" s="99">
        <f>MOPFRA!CE30</f>
        <v>-1.080000000000001</v>
      </c>
      <c r="CF30" s="17">
        <f>MOPFRA!CF30</f>
        <v>1.6579998287498876</v>
      </c>
      <c r="CG30" s="99">
        <f>MOPFRA!CG30</f>
        <v>1.3680006850004496</v>
      </c>
      <c r="CH30" s="494">
        <f>MOPFRA!CH30</f>
        <v>0.27205090800931847</v>
      </c>
      <c r="CI30" s="99">
        <f>MOPFRA!CI30</f>
        <v>-1.9192363798602232</v>
      </c>
      <c r="CJ30" s="20">
        <f>MOPFRA!CJ30</f>
        <v>0</v>
      </c>
      <c r="CK30" s="691">
        <f>MOPFRA!CK30</f>
        <v>210</v>
      </c>
      <c r="CL30" s="419">
        <f>MOPFRA!CL30</f>
        <v>221</v>
      </c>
      <c r="CM30" s="468">
        <f>MOPFRA!CM30</f>
        <v>8</v>
      </c>
      <c r="CN30" s="843">
        <f>MOPFRA!CN30</f>
        <v>0</v>
      </c>
      <c r="CO30" s="21">
        <f>MOPFRA!CO30</f>
        <v>327</v>
      </c>
      <c r="CP30" s="21">
        <f>MOPFRA!CP30</f>
        <v>0</v>
      </c>
      <c r="CQ30" s="469">
        <f>MOPFRA!CQ30</f>
        <v>327</v>
      </c>
      <c r="CR30" s="1239">
        <f>MOPFRA!CR30</f>
        <v>392.08029751199035</v>
      </c>
      <c r="CS30" s="21">
        <f>MOPFRA!CS30</f>
        <v>548</v>
      </c>
      <c r="CT30" s="16">
        <f>MOPFRA!CT30</f>
        <v>0</v>
      </c>
      <c r="CU30" s="154" t="str">
        <f>MOPFRA!CU30</f>
        <v/>
      </c>
      <c r="CV30" s="693">
        <f>MOPFRA!CV30</f>
        <v>779</v>
      </c>
      <c r="CW30" s="49">
        <f>MOPFRA!CW30</f>
        <v>1068</v>
      </c>
      <c r="CX30" s="21">
        <f>MOPFRA!CX30</f>
        <v>188</v>
      </c>
      <c r="CY30" s="49">
        <f>MOPFRA!CY30</f>
        <v>38</v>
      </c>
      <c r="CZ30" s="378">
        <f>MOPFRA!CZ30</f>
        <v>1106</v>
      </c>
      <c r="DA30" s="1058">
        <f>MOPFRA!DA30</f>
        <v>1.5664794007490637</v>
      </c>
      <c r="DB30" s="99">
        <f>MOPFRA!DB30</f>
        <v>2.9318352059925097</v>
      </c>
      <c r="DC30" s="53">
        <f>MOPFRA!DC30</f>
        <v>1885</v>
      </c>
      <c r="DD30" s="645">
        <f>MOPFRA!DD30</f>
        <v>0.58673740053050394</v>
      </c>
      <c r="DE30" s="13">
        <f>MOPFRA!DE30</f>
        <v>212</v>
      </c>
      <c r="DF30" s="24">
        <f>MOPFRA!DF30</f>
        <v>26</v>
      </c>
      <c r="DG30" s="24">
        <f>MOPFRA!DG30</f>
        <v>0</v>
      </c>
      <c r="DH30" s="51">
        <f>MOPFRA!DH30</f>
        <v>1673</v>
      </c>
      <c r="DI30" s="8">
        <f>MOPFRA!DI30</f>
        <v>605</v>
      </c>
      <c r="DJ30" s="644">
        <f>MOPFRA!DJ30</f>
        <v>5.0729284341122138</v>
      </c>
      <c r="DK30" s="22">
        <f>MOPFRA!DK30</f>
        <v>368</v>
      </c>
      <c r="DL30" s="22">
        <f>MOPFRA!DL30</f>
        <v>25</v>
      </c>
      <c r="DM30" s="22">
        <f>MOPFRA!DM30</f>
        <v>809</v>
      </c>
      <c r="DN30" s="138">
        <f>MOPFRA!DN30</f>
        <v>0.58673740053050394</v>
      </c>
      <c r="DO30" s="99">
        <f>MOPFRA!DO30</f>
        <v>-8.5133605197346141E-2</v>
      </c>
      <c r="DP30" s="22">
        <f>MOPFRA!DP30</f>
        <v>0.3</v>
      </c>
      <c r="DQ30" s="8">
        <f>MOPFRA!DQ30</f>
        <v>470.70000000000005</v>
      </c>
      <c r="DR30" s="32">
        <f>MOPFRA!DR30</f>
        <v>-0.20591771627802957</v>
      </c>
      <c r="DS30" s="99">
        <f>MOPFRA!DS30</f>
        <v>-1</v>
      </c>
      <c r="DT30" s="8">
        <f>MOPFRA!DT30</f>
        <v>7091.36</v>
      </c>
      <c r="DU30" s="8">
        <f>MOPFRA!DU30</f>
        <v>11585.142857142857</v>
      </c>
      <c r="DV30" s="235">
        <f>MOPFRA!DV30</f>
        <v>1052.3809523809523</v>
      </c>
      <c r="DW30" s="8">
        <f>MOPFRA!DW30</f>
        <v>9864.4419047619049</v>
      </c>
      <c r="DX30" s="411">
        <f>MOPFRA!DX30</f>
        <v>118</v>
      </c>
      <c r="DY30" s="1532">
        <f>MOPFRA!DY30</f>
        <v>60</v>
      </c>
      <c r="DZ30" s="857">
        <f>MOPFRA!DZ30</f>
        <v>1.5576323987538941E-2</v>
      </c>
      <c r="EA30" s="386">
        <f>MOPFRA!EA30</f>
        <v>0</v>
      </c>
      <c r="EB30" s="504">
        <f>MOPFRA!EB30</f>
        <v>0</v>
      </c>
      <c r="EC30" s="510">
        <f>MOPFRA!EC30</f>
        <v>70050</v>
      </c>
      <c r="ED30" s="435">
        <f>MOPFRA!ED30</f>
        <v>700</v>
      </c>
      <c r="EE30" s="510">
        <f>MOPFRA!EE30</f>
        <v>28290</v>
      </c>
      <c r="EF30" s="435">
        <f>MOPFRA!EF30</f>
        <v>707</v>
      </c>
      <c r="EG30" s="510">
        <f>MOPFRA!EG30</f>
        <v>48770</v>
      </c>
      <c r="EH30" s="435">
        <f>MOPFRA!EH30</f>
        <v>1219</v>
      </c>
      <c r="EI30" s="510">
        <f>MOPFRA!EI30</f>
        <v>4349</v>
      </c>
      <c r="EJ30" s="435">
        <f>MOPFRA!EJ30</f>
        <v>913</v>
      </c>
      <c r="EK30" s="510">
        <f>MOPFRA!EK30</f>
        <v>3792</v>
      </c>
      <c r="EL30" s="1606">
        <f>MOPFRA!EL30</f>
        <v>793</v>
      </c>
      <c r="EM30" s="1684">
        <f>MOPFRA!EM30</f>
        <v>3792</v>
      </c>
      <c r="EN30" s="1608">
        <f>MOPFRA!EN30</f>
        <v>793</v>
      </c>
      <c r="EO30" s="1609">
        <f>MOPFRA!EO30</f>
        <v>0.13285714285714287</v>
      </c>
      <c r="EP30" s="1648">
        <f>MOPFRA!EP30</f>
        <v>29</v>
      </c>
      <c r="EQ30"/>
    </row>
    <row r="31" spans="1:147" ht="35" customHeight="1">
      <c r="A31" s="100">
        <f>MOPFRA!A31</f>
        <v>5.6361761382487128</v>
      </c>
      <c r="B31" s="99">
        <f>MOPFRA!B31</f>
        <v>1.3361761382487121</v>
      </c>
      <c r="C31" s="1585">
        <f ca="1">MOPFRA!C31</f>
        <v>0.13449977365323676</v>
      </c>
      <c r="D31" s="1651">
        <f>MOPFRA!D31</f>
        <v>2.5527100395123794</v>
      </c>
      <c r="E31" s="1414">
        <f>MOPFRA!E31</f>
        <v>5.1000000000000014</v>
      </c>
      <c r="F31" s="1415">
        <f>MOPFRA!F31</f>
        <v>4.3000000000000007</v>
      </c>
      <c r="G31" s="2124">
        <f>MOPFRA!G31</f>
        <v>-18.537458123761972</v>
      </c>
      <c r="H31" s="2379">
        <f>MOPFRA!H31</f>
        <v>1.7205542725173211</v>
      </c>
      <c r="I31" s="2379">
        <f>MOPFRA!I31</f>
        <v>0.31992818671454221</v>
      </c>
      <c r="J31" s="2379">
        <f>MOPFRA!J31</f>
        <v>0.40083652840711048</v>
      </c>
      <c r="K31" s="1942">
        <f>MOPFRA!K31</f>
        <v>9</v>
      </c>
      <c r="L31" s="1587">
        <f>MOPFRA!L31</f>
        <v>26</v>
      </c>
      <c r="M31" s="1582" t="str">
        <f>MOPFRA!M31</f>
        <v>BB</v>
      </c>
      <c r="N31" s="1582" t="str">
        <f>MOPFRA!N31</f>
        <v>B</v>
      </c>
      <c r="O31" s="179" t="str">
        <f>MOPFRA!O31</f>
        <v/>
      </c>
      <c r="P31" s="856" t="str">
        <f>MOPFRA!P31</f>
        <v>F</v>
      </c>
      <c r="Q31" s="1571" t="str">
        <f>MOPFRA!Q31</f>
        <v>توليدي‌مهرام‌</v>
      </c>
      <c r="R31" s="1571" t="str">
        <f>MOPFRA!R31</f>
        <v>غمهرا</v>
      </c>
      <c r="S31" s="1572">
        <f>MOPFRA!S31</f>
        <v>12</v>
      </c>
      <c r="T31" s="66">
        <f>MOPFRA!T31</f>
        <v>8930</v>
      </c>
      <c r="U31" s="258">
        <f>MOPFRA!U31</f>
        <v>17850</v>
      </c>
      <c r="V31" s="338">
        <f>MOPFRA!V31</f>
        <v>2.94</v>
      </c>
      <c r="W31" s="258">
        <f>MOPFRA!W31</f>
        <v>17860</v>
      </c>
      <c r="X31" s="337">
        <f>MOPFRA!X31</f>
        <v>3</v>
      </c>
      <c r="Y31" s="1708">
        <f>MOPFRA!Y31</f>
        <v>13265</v>
      </c>
      <c r="Z31" s="661" t="str">
        <f>MOPFRA!Z31</f>
        <v/>
      </c>
      <c r="AA31" s="2382">
        <f>MOPFRA!AA31</f>
        <v>1.0180995475113122E-2</v>
      </c>
      <c r="AB31" s="511">
        <f ca="1">MOPFRA!AB31</f>
        <v>3.9452054794520547E-2</v>
      </c>
      <c r="AC31" s="823">
        <f ca="1">MOPFRA!AC31</f>
        <v>18.294412074629641</v>
      </c>
      <c r="AD31" s="1150">
        <f>MOPFRA!AD31</f>
        <v>1.0180995475113122E-2</v>
      </c>
      <c r="AE31" s="1150">
        <f>MOPFRA!AE31</f>
        <v>1.6704545454545454</v>
      </c>
      <c r="AF31" s="1150">
        <f>MOPFRA!AF31</f>
        <v>3.7298728813559321</v>
      </c>
      <c r="AG31" s="1150">
        <f>MOPFRA!AG31</f>
        <v>3.0832190214906263</v>
      </c>
      <c r="AH31" s="1150">
        <f>MOPFRA!AH31</f>
        <v>6.3740710156895126</v>
      </c>
      <c r="AI31" s="275">
        <f ca="1">MOPFRA!AI31</f>
        <v>349</v>
      </c>
      <c r="AJ31" s="1120">
        <f>MOPFRA!AJ31</f>
        <v>46223</v>
      </c>
      <c r="AK31" s="1693">
        <f>MOPFRA!AK31</f>
        <v>46344</v>
      </c>
      <c r="AL31" s="1345">
        <f>MOPFRA!AL31</f>
        <v>5000000000</v>
      </c>
      <c r="AM31" s="29">
        <f>MOPFRA!AM31</f>
        <v>0</v>
      </c>
      <c r="AN31" s="29">
        <f>MOPFRA!AN31</f>
        <v>0</v>
      </c>
      <c r="AO31" s="685">
        <f>MOPFRA!AO31</f>
        <v>0.22</v>
      </c>
      <c r="AP31" s="174">
        <f>MOPFRA!AP31</f>
        <v>0</v>
      </c>
      <c r="AQ31" s="1416">
        <f>MOPFRA!AQ31</f>
        <v>7000</v>
      </c>
      <c r="AR31" s="1416">
        <f>MOPFRA!AR31</f>
        <v>1277</v>
      </c>
      <c r="AS31" s="766">
        <f>MOPFRA!AS31</f>
        <v>15550.939953810623</v>
      </c>
      <c r="AT31" s="984">
        <f>MOPFRA!AT31</f>
        <v>4</v>
      </c>
      <c r="AU31" s="376">
        <f>MOPFRA!AU31</f>
        <v>0.57289913191497455</v>
      </c>
      <c r="AV31" s="99">
        <f>MOPFRA!AV31</f>
        <v>2.8834615372213355</v>
      </c>
      <c r="AW31" s="2380">
        <f>MOPFRA!AW31</f>
        <v>3675</v>
      </c>
      <c r="AX31" s="2380">
        <f>MOPFRA!AX31</f>
        <v>725</v>
      </c>
      <c r="AY31" s="2374">
        <f>MOPFRA!AY31</f>
        <v>0.19700000000000001</v>
      </c>
      <c r="AZ31" s="2370">
        <f>MOPFRA!AZ31</f>
        <v>0.14599999999999999</v>
      </c>
      <c r="BA31" s="2372">
        <f>MOPFRA!BA31</f>
        <v>0.182</v>
      </c>
      <c r="BB31" s="2373">
        <f>MOPFRA!BB31</f>
        <v>0.16400000000000001</v>
      </c>
      <c r="BC31" s="2375">
        <f>MOPFRA!BC31</f>
        <v>4.3000000000000007</v>
      </c>
      <c r="BD31" s="2376">
        <f>MOPFRA!BD31</f>
        <v>0.13500000000000001</v>
      </c>
      <c r="BE31" s="2370">
        <f>MOPFRA!BE31</f>
        <v>9.1999999999999998E-2</v>
      </c>
      <c r="BF31" s="2371">
        <f>MOPFRA!BF31</f>
        <v>0.13</v>
      </c>
      <c r="BG31" s="1422">
        <f>MOPFRA!BG31</f>
        <v>0.115</v>
      </c>
      <c r="BH31" s="306">
        <f>MOPFRA!BH31</f>
        <v>6.2E-2</v>
      </c>
      <c r="BI31" s="1861">
        <f>MOPFRA!BI31</f>
        <v>911.4</v>
      </c>
      <c r="BJ31" s="306">
        <f>MOPFRA!BJ31</f>
        <v>5.3999999999999992E-2</v>
      </c>
      <c r="BK31" s="99">
        <f>MOPFRA!BK31</f>
        <v>0</v>
      </c>
      <c r="BL31" s="306">
        <f>MOPFRA!BL31</f>
        <v>1.2215628505443747</v>
      </c>
      <c r="BM31" s="99">
        <f>MOPFRA!BM31</f>
        <v>10</v>
      </c>
      <c r="BN31" s="15">
        <f>MOPFRA!BN31</f>
        <v>0</v>
      </c>
      <c r="BO31" s="1803">
        <f>MOPFRA!BO31</f>
        <v>3</v>
      </c>
      <c r="BP31" s="842">
        <f>MOPFRA!BP31</f>
        <v>1</v>
      </c>
      <c r="BQ31" s="16">
        <f>MOPFRA!BQ31</f>
        <v>977</v>
      </c>
      <c r="BR31" s="16">
        <f>MOPFRA!BR31</f>
        <v>0</v>
      </c>
      <c r="BS31" s="16">
        <f>MOPFRA!BS31</f>
        <v>0</v>
      </c>
      <c r="BT31" s="1253">
        <f>MOPFRA!BT31</f>
        <v>4192.7537875288681</v>
      </c>
      <c r="BU31" s="1246">
        <f>MOPFRA!BU31</f>
        <v>3912</v>
      </c>
      <c r="BV31" s="406">
        <f>MOPFRA!BV31</f>
        <v>0</v>
      </c>
      <c r="BW31" s="407">
        <f>MOPFRA!BW31</f>
        <v>4.4072899604876206</v>
      </c>
      <c r="BX31" s="99">
        <f>MOPFRA!BX31</f>
        <v>2.9635501975618972</v>
      </c>
      <c r="BY31" s="18">
        <f>MOPFRA!BY31</f>
        <v>2026.188446882217</v>
      </c>
      <c r="BZ31" s="18">
        <f>MOPFRA!BZ31</f>
        <v>1283.0459770114942</v>
      </c>
      <c r="CA31" s="18">
        <f>MOPFRA!CA31</f>
        <v>3063.5351709006927</v>
      </c>
      <c r="CB31" s="1710">
        <f>MOPFRA!CB31</f>
        <v>4.3299649783684488</v>
      </c>
      <c r="CC31" s="266">
        <f>MOPFRA!CC31</f>
        <v>2564</v>
      </c>
      <c r="CD31" s="267">
        <f>MOPFRA!CD31</f>
        <v>6.96</v>
      </c>
      <c r="CE31" s="99">
        <f>MOPFRA!CE31</f>
        <v>-5.88</v>
      </c>
      <c r="CF31" s="17">
        <f>MOPFRA!CF31</f>
        <v>2.423269172003832</v>
      </c>
      <c r="CG31" s="99">
        <f>MOPFRA!CG31</f>
        <v>-1.6930766880153278</v>
      </c>
      <c r="CH31" s="494">
        <f>MOPFRA!CH31</f>
        <v>0.29394870838273857</v>
      </c>
      <c r="CI31" s="99">
        <f>MOPFRA!CI31</f>
        <v>-1.590769374258922</v>
      </c>
      <c r="CJ31" s="20">
        <f>MOPFRA!CJ31</f>
        <v>0</v>
      </c>
      <c r="CK31" s="691">
        <f>MOPFRA!CK31</f>
        <v>500</v>
      </c>
      <c r="CL31" s="419">
        <f>MOPFRA!CL31</f>
        <v>521</v>
      </c>
      <c r="CM31" s="468">
        <f>MOPFRA!CM31</f>
        <v>-3</v>
      </c>
      <c r="CN31" s="843">
        <f>MOPFRA!CN31</f>
        <v>-8</v>
      </c>
      <c r="CO31" s="21">
        <f>MOPFRA!CO31</f>
        <v>489</v>
      </c>
      <c r="CP31" s="21">
        <f>MOPFRA!CP31</f>
        <v>3</v>
      </c>
      <c r="CQ31" s="469">
        <f>MOPFRA!CQ31</f>
        <v>489</v>
      </c>
      <c r="CR31" s="1239">
        <f>MOPFRA!CR31</f>
        <v>702.79229792147794</v>
      </c>
      <c r="CS31" s="21">
        <f>MOPFRA!CS31</f>
        <v>1010</v>
      </c>
      <c r="CT31" s="16">
        <f>MOPFRA!CT31</f>
        <v>0</v>
      </c>
      <c r="CU31" s="154" t="str">
        <f>MOPFRA!CU31</f>
        <v/>
      </c>
      <c r="CV31" s="693">
        <f>MOPFRA!CV31</f>
        <v>1561</v>
      </c>
      <c r="CW31" s="49">
        <f>MOPFRA!CW31</f>
        <v>4908</v>
      </c>
      <c r="CX31" s="21">
        <f>MOPFRA!CX31</f>
        <v>1687</v>
      </c>
      <c r="CY31" s="49">
        <f>MOPFRA!CY31</f>
        <v>2</v>
      </c>
      <c r="CZ31" s="378">
        <f>MOPFRA!CZ31</f>
        <v>4910</v>
      </c>
      <c r="DA31" s="1058">
        <f>MOPFRA!DA31</f>
        <v>1.0863895680521598</v>
      </c>
      <c r="DB31" s="99">
        <f>MOPFRA!DB31</f>
        <v>-0.90888345558272121</v>
      </c>
      <c r="DC31" s="53">
        <f>MOPFRA!DC31</f>
        <v>6471</v>
      </c>
      <c r="DD31" s="645">
        <f>MOPFRA!DD31</f>
        <v>0.75876989646113424</v>
      </c>
      <c r="DE31" s="13">
        <f>MOPFRA!DE31</f>
        <v>1139</v>
      </c>
      <c r="DF31" s="24">
        <f>MOPFRA!DF31</f>
        <v>810</v>
      </c>
      <c r="DG31" s="24">
        <f>MOPFRA!DG31</f>
        <v>321</v>
      </c>
      <c r="DH31" s="51">
        <f>MOPFRA!DH31</f>
        <v>5332</v>
      </c>
      <c r="DI31" s="8">
        <f>MOPFRA!DI31</f>
        <v>424</v>
      </c>
      <c r="DJ31" s="644">
        <f>MOPFRA!DJ31</f>
        <v>36.67674517408166</v>
      </c>
      <c r="DK31" s="22">
        <f>MOPFRA!DK31</f>
        <v>1019</v>
      </c>
      <c r="DL31" s="22">
        <f>MOPFRA!DL31</f>
        <v>553</v>
      </c>
      <c r="DM31" s="22">
        <f>MOPFRA!DM31</f>
        <v>3577</v>
      </c>
      <c r="DN31" s="138">
        <f>MOPFRA!DN31</f>
        <v>0.75876989646113424</v>
      </c>
      <c r="DO31" s="99">
        <f>MOPFRA!DO31</f>
        <v>-2.438106078677551</v>
      </c>
      <c r="DP31" s="22">
        <f>MOPFRA!DP31</f>
        <v>22</v>
      </c>
      <c r="DQ31" s="8">
        <f>MOPFRA!DQ31</f>
        <v>161</v>
      </c>
      <c r="DR31" s="32">
        <f>MOPFRA!DR31</f>
        <v>-0.54348976170248531</v>
      </c>
      <c r="DS31" s="99">
        <f>MOPFRA!DS31</f>
        <v>-2</v>
      </c>
      <c r="DT31" s="8">
        <f>MOPFRA!DT31</f>
        <v>9332.9599999999991</v>
      </c>
      <c r="DU31" s="8">
        <f>MOPFRA!DU31</f>
        <v>14083.2</v>
      </c>
      <c r="DV31" s="235">
        <f>MOPFRA!DV31</f>
        <v>1042</v>
      </c>
      <c r="DW31" s="8">
        <f>MOPFRA!DW31</f>
        <v>12229.08</v>
      </c>
      <c r="DX31" s="411">
        <f>MOPFRA!DX31</f>
        <v>121</v>
      </c>
      <c r="DY31" s="1532">
        <f>MOPFRA!DY31</f>
        <v>850</v>
      </c>
      <c r="DZ31" s="857">
        <f>MOPFRA!DZ31</f>
        <v>4.5871559633027525E-2</v>
      </c>
      <c r="EA31" s="386">
        <f>MOPFRA!EA31</f>
        <v>0.56000000000000005</v>
      </c>
      <c r="EB31" s="505">
        <f>MOPFRA!EB31</f>
        <v>0</v>
      </c>
      <c r="EC31" s="510">
        <f>MOPFRA!EC31</f>
        <v>12110</v>
      </c>
      <c r="ED31" s="435">
        <f>MOPFRA!ED31</f>
        <v>1211</v>
      </c>
      <c r="EE31" s="510">
        <f>MOPFRA!EE31</f>
        <v>11510</v>
      </c>
      <c r="EF31" s="435">
        <f>MOPFRA!EF31</f>
        <v>2187</v>
      </c>
      <c r="EG31" s="510">
        <f>MOPFRA!EG31</f>
        <v>5900</v>
      </c>
      <c r="EH31" s="435">
        <f>MOPFRA!EH31</f>
        <v>1888</v>
      </c>
      <c r="EI31" s="510">
        <f>MOPFRA!EI31</f>
        <v>10450</v>
      </c>
      <c r="EJ31" s="435">
        <f>MOPFRA!EJ31</f>
        <v>3344</v>
      </c>
      <c r="EK31" s="510">
        <f>MOPFRA!EK31</f>
        <v>17680</v>
      </c>
      <c r="EL31" s="1606">
        <f>MOPFRA!EL31</f>
        <v>8840</v>
      </c>
      <c r="EM31" s="1684">
        <f>MOPFRA!EM31</f>
        <v>17680</v>
      </c>
      <c r="EN31" s="1608">
        <f>MOPFRA!EN31</f>
        <v>8840</v>
      </c>
      <c r="EO31" s="1609">
        <f>MOPFRA!EO31</f>
        <v>6.2997522708505365</v>
      </c>
      <c r="EP31" s="1648">
        <f>MOPFRA!EP31</f>
        <v>5</v>
      </c>
      <c r="EQ31"/>
    </row>
    <row r="32" spans="1:147" ht="35" customHeight="1">
      <c r="A32" s="100">
        <f>MOPFRA!A32</f>
        <v>6.6054331585631454</v>
      </c>
      <c r="B32" s="99">
        <f>MOPFRA!B32</f>
        <v>1.4054331585631461</v>
      </c>
      <c r="C32" s="1585">
        <f ca="1">MOPFRA!C32</f>
        <v>0.15042094491526894</v>
      </c>
      <c r="D32" s="1651">
        <f>MOPFRA!D32</f>
        <v>3.1130186287097281</v>
      </c>
      <c r="E32" s="1414">
        <f>MOPFRA!E32</f>
        <v>4.9999999999999991</v>
      </c>
      <c r="F32" s="1415">
        <f>MOPFRA!F32</f>
        <v>5.1999999999999993</v>
      </c>
      <c r="G32" s="2124">
        <f>MOPFRA!G32</f>
        <v>-8.5123473406429895</v>
      </c>
      <c r="H32" s="2379">
        <f>MOPFRA!H32</f>
        <v>1.0793477347230394</v>
      </c>
      <c r="I32" s="2379">
        <f>MOPFRA!I32</f>
        <v>0.3512687969924812</v>
      </c>
      <c r="J32" s="2379">
        <f>MOPFRA!J32</f>
        <v>1.0616109450031712</v>
      </c>
      <c r="K32" s="1942">
        <f>MOPFRA!K32</f>
        <v>21</v>
      </c>
      <c r="L32" s="2199">
        <f>MOPFRA!L32</f>
        <v>24</v>
      </c>
      <c r="M32" s="1582" t="str">
        <f>MOPFRA!M32</f>
        <v>BB</v>
      </c>
      <c r="N32" s="1582" t="str">
        <f>MOPFRA!N32</f>
        <v>BB</v>
      </c>
      <c r="O32" s="179" t="str">
        <f>MOPFRA!O32</f>
        <v>Closed</v>
      </c>
      <c r="P32" s="856" t="str">
        <f>MOPFRA!P32</f>
        <v>L</v>
      </c>
      <c r="Q32" s="1571" t="str">
        <f>MOPFRA!Q32</f>
        <v>نفت‌ بهران‌</v>
      </c>
      <c r="R32" s="1571" t="str">
        <f>MOPFRA!R32</f>
        <v>شبهرن</v>
      </c>
      <c r="S32" s="1572">
        <f>MOPFRA!S32</f>
        <v>12</v>
      </c>
      <c r="T32" s="66">
        <f>MOPFRA!T32</f>
        <v>58140</v>
      </c>
      <c r="U32" s="258">
        <f>MOPFRA!U32</f>
        <v>32300</v>
      </c>
      <c r="V32" s="338" t="str">
        <f>MOPFRA!V32</f>
        <v/>
      </c>
      <c r="W32" s="258">
        <f>MOPFRA!W32</f>
        <v>32300</v>
      </c>
      <c r="X32" s="337" t="str">
        <f>MOPFRA!X32</f>
        <v/>
      </c>
      <c r="Y32" s="1708">
        <f>MOPFRA!Y32</f>
        <v>74575</v>
      </c>
      <c r="Z32" s="661" t="str">
        <f>MOPFRA!Z32</f>
        <v/>
      </c>
      <c r="AA32" s="2382">
        <f>MOPFRA!AA32</f>
        <v>0</v>
      </c>
      <c r="AB32" s="511">
        <f ca="1">MOPFRA!AB32</f>
        <v>2.2191780821917809E-2</v>
      </c>
      <c r="AC32" s="823">
        <f ca="1">MOPFRA!AC32</f>
        <v>24.657534246575342</v>
      </c>
      <c r="AD32" s="1150">
        <f>MOPFRA!AD32</f>
        <v>0</v>
      </c>
      <c r="AE32" s="1150">
        <f>MOPFRA!AE32</f>
        <v>1.1461794019933556</v>
      </c>
      <c r="AF32" s="1150">
        <f>MOPFRA!AF32</f>
        <v>1.6410466067048242</v>
      </c>
      <c r="AG32" s="1150">
        <f>MOPFRA!AG32</f>
        <v>0.89017848434604507</v>
      </c>
      <c r="AH32" s="1150">
        <f>MOPFRA!AH32</f>
        <v>2.8338278931750742</v>
      </c>
      <c r="AI32" s="275">
        <f ca="1">MOPFRA!AI32</f>
        <v>356</v>
      </c>
      <c r="AJ32" s="1120">
        <f>MOPFRA!AJ32</f>
        <v>46230</v>
      </c>
      <c r="AK32" s="1693">
        <f>MOPFRA!AK32</f>
        <v>46270</v>
      </c>
      <c r="AL32" s="1345">
        <f>MOPFRA!AL32</f>
        <v>18000000000</v>
      </c>
      <c r="AM32" s="29">
        <f>MOPFRA!AM32</f>
        <v>0</v>
      </c>
      <c r="AN32" s="29">
        <f>MOPFRA!AN32</f>
        <v>0</v>
      </c>
      <c r="AO32" s="685">
        <f>MOPFRA!AO32</f>
        <v>0.33</v>
      </c>
      <c r="AP32" s="174">
        <f>MOPFRA!AP32</f>
        <v>0</v>
      </c>
      <c r="AQ32" s="1416">
        <f>MOPFRA!AQ32</f>
        <v>44617</v>
      </c>
      <c r="AR32" s="1416">
        <f>MOPFRA!AR32</f>
        <v>12583</v>
      </c>
      <c r="AS32" s="766">
        <f>MOPFRA!AS32</f>
        <v>79305.128940068913</v>
      </c>
      <c r="AT32" s="984">
        <f>MOPFRA!AT32</f>
        <v>4</v>
      </c>
      <c r="AU32" s="376">
        <f>MOPFRA!AU32</f>
        <v>0.67294777416389417</v>
      </c>
      <c r="AV32" s="99">
        <f>MOPFRA!AV32</f>
        <v>1.8957495643108146</v>
      </c>
      <c r="AW32" s="2380">
        <f>MOPFRA!AW32</f>
        <v>17253</v>
      </c>
      <c r="AX32" s="2380">
        <f>MOPFRA!AX32</f>
        <v>3566</v>
      </c>
      <c r="AY32" s="2374">
        <f>MOPFRA!AY32</f>
        <v>0.20699999999999999</v>
      </c>
      <c r="AZ32" s="2370">
        <f>MOPFRA!AZ32</f>
        <v>0.157</v>
      </c>
      <c r="BA32" s="2372">
        <f>MOPFRA!BA32</f>
        <v>0.28199999999999997</v>
      </c>
      <c r="BB32" s="2373">
        <f>MOPFRA!BB32</f>
        <v>0.157</v>
      </c>
      <c r="BC32" s="2375">
        <f>MOPFRA!BC32</f>
        <v>5.1999999999999993</v>
      </c>
      <c r="BD32" s="2376">
        <f>MOPFRA!BD32</f>
        <v>0.151</v>
      </c>
      <c r="BE32" s="2370">
        <f>MOPFRA!BE32</f>
        <v>9.9000000000000005E-2</v>
      </c>
      <c r="BF32" s="2371">
        <f>MOPFRA!BF32</f>
        <v>0.193</v>
      </c>
      <c r="BG32" s="1422">
        <f>MOPFRA!BG32</f>
        <v>0.10100000000000001</v>
      </c>
      <c r="BH32" s="306">
        <f>MOPFRA!BH32</f>
        <v>5.5999999999999994E-2</v>
      </c>
      <c r="BI32" s="1861">
        <f>MOPFRA!BI32</f>
        <v>3864.6719999999996</v>
      </c>
      <c r="BJ32" s="306">
        <f>MOPFRA!BJ32</f>
        <v>5.7999999999999996E-2</v>
      </c>
      <c r="BK32" s="99">
        <f>MOPFRA!BK32</f>
        <v>0</v>
      </c>
      <c r="BL32" s="306">
        <f>MOPFRA!BL32</f>
        <v>0.77746439563549574</v>
      </c>
      <c r="BM32" s="99">
        <f>MOPFRA!BM32</f>
        <v>10</v>
      </c>
      <c r="BN32" s="15">
        <f>MOPFRA!BN32</f>
        <v>0</v>
      </c>
      <c r="BO32" s="1803">
        <f>MOPFRA!BO32</f>
        <v>3</v>
      </c>
      <c r="BP32" s="842">
        <f>MOPFRA!BP32</f>
        <v>1</v>
      </c>
      <c r="BQ32" s="16">
        <f>MOPFRA!BQ32</f>
        <v>1467</v>
      </c>
      <c r="BR32" s="16">
        <f>MOPFRA!BR32</f>
        <v>0</v>
      </c>
      <c r="BS32" s="16">
        <f>MOPFRA!BS32</f>
        <v>0</v>
      </c>
      <c r="BT32" s="1253">
        <f>MOPFRA!BT32</f>
        <v>6660.0413721946688</v>
      </c>
      <c r="BU32" s="1246">
        <f>MOPFRA!BU32</f>
        <v>5866.6666666666661</v>
      </c>
      <c r="BV32" s="406">
        <f>MOPFRA!BV32</f>
        <v>0</v>
      </c>
      <c r="BW32" s="407">
        <f>MOPFRA!BW32</f>
        <v>5.1569813712902715</v>
      </c>
      <c r="BX32" s="99">
        <f>MOPFRA!BX32</f>
        <v>-0.78490685645135727</v>
      </c>
      <c r="BY32" s="18">
        <f>MOPFRA!BY32</f>
        <v>11274.037234975203</v>
      </c>
      <c r="BZ32" s="18">
        <f>MOPFRA!BZ32</f>
        <v>7030.2297460701329</v>
      </c>
      <c r="CA32" s="18">
        <f>MOPFRA!CA32</f>
        <v>16416.161690594265</v>
      </c>
      <c r="CB32" s="1710">
        <f>MOPFRA!CB32</f>
        <v>4.5427793296363657</v>
      </c>
      <c r="CC32" s="266">
        <f>MOPFRA!CC32</f>
        <v>4271</v>
      </c>
      <c r="CD32" s="267">
        <f>MOPFRA!CD32</f>
        <v>8.27</v>
      </c>
      <c r="CE32" s="99">
        <f>MOPFRA!CE32</f>
        <v>-9.8099999999999987</v>
      </c>
      <c r="CF32" s="17">
        <f>MOPFRA!CF32</f>
        <v>1.7749630928945581</v>
      </c>
      <c r="CG32" s="99">
        <f>MOPFRA!CG32</f>
        <v>0.90014762842176754</v>
      </c>
      <c r="CH32" s="494">
        <f>MOPFRA!CH32</f>
        <v>0.3043582213426706</v>
      </c>
      <c r="CI32" s="99">
        <f>MOPFRA!CI32</f>
        <v>-1.4346266798599414</v>
      </c>
      <c r="CJ32" s="20">
        <f>MOPFRA!CJ32</f>
        <v>0</v>
      </c>
      <c r="CK32" s="691">
        <f>MOPFRA!CK32</f>
        <v>1800</v>
      </c>
      <c r="CL32" s="419">
        <f>MOPFRA!CL32</f>
        <v>3338</v>
      </c>
      <c r="CM32" s="468">
        <f>MOPFRA!CM32</f>
        <v>13</v>
      </c>
      <c r="CN32" s="843">
        <f>MOPFRA!CN32</f>
        <v>42</v>
      </c>
      <c r="CO32" s="21">
        <f>MOPFRA!CO32</f>
        <v>2640</v>
      </c>
      <c r="CP32" s="21">
        <f>MOPFRA!CP32</f>
        <v>577</v>
      </c>
      <c r="CQ32" s="469">
        <f>MOPFRA!CQ32</f>
        <v>2640</v>
      </c>
      <c r="CR32" s="1239">
        <f>MOPFRA!CR32</f>
        <v>4568.6914899834683</v>
      </c>
      <c r="CS32" s="21">
        <f>MOPFRA!CS32</f>
        <v>5978</v>
      </c>
      <c r="CT32" s="16">
        <f>MOPFRA!CT32</f>
        <v>-64</v>
      </c>
      <c r="CU32" s="154" t="str">
        <f>MOPFRA!CU32</f>
        <v/>
      </c>
      <c r="CV32" s="693">
        <f>MOPFRA!CV32</f>
        <v>12233</v>
      </c>
      <c r="CW32" s="49">
        <f>MOPFRA!CW32</f>
        <v>19370</v>
      </c>
      <c r="CX32" s="21">
        <f>MOPFRA!CX32</f>
        <v>5787</v>
      </c>
      <c r="CY32" s="49">
        <f>MOPFRA!CY32</f>
        <v>641</v>
      </c>
      <c r="CZ32" s="378">
        <f>MOPFRA!CZ32</f>
        <v>20011</v>
      </c>
      <c r="DA32" s="1058">
        <f>MOPFRA!DA32</f>
        <v>1.2807950438822922</v>
      </c>
      <c r="DB32" s="99">
        <f>MOPFRA!DB32</f>
        <v>0.64636035105833756</v>
      </c>
      <c r="DC32" s="53">
        <f>MOPFRA!DC32</f>
        <v>32244</v>
      </c>
      <c r="DD32" s="645">
        <f>MOPFRA!DD32</f>
        <v>0.62061158665178018</v>
      </c>
      <c r="DE32" s="13">
        <f>MOPFRA!DE32</f>
        <v>7435</v>
      </c>
      <c r="DF32" s="24">
        <f>MOPFRA!DF32</f>
        <v>6607</v>
      </c>
      <c r="DG32" s="24">
        <f>MOPFRA!DG32</f>
        <v>474</v>
      </c>
      <c r="DH32" s="51">
        <f>MOPFRA!DH32</f>
        <v>24809</v>
      </c>
      <c r="DI32" s="8">
        <f>MOPFRA!DI32</f>
        <v>5439</v>
      </c>
      <c r="DJ32" s="644">
        <f>MOPFRA!DJ32</f>
        <v>14.580829001667386</v>
      </c>
      <c r="DK32" s="22">
        <f>MOPFRA!DK32</f>
        <v>11369</v>
      </c>
      <c r="DL32" s="22">
        <f>MOPFRA!DL32</f>
        <v>2736</v>
      </c>
      <c r="DM32" s="22">
        <f>MOPFRA!DM32</f>
        <v>7186</v>
      </c>
      <c r="DN32" s="138">
        <f>MOPFRA!DN32</f>
        <v>0.62061158665178018</v>
      </c>
      <c r="DO32" s="99">
        <f>MOPFRA!DO32</f>
        <v>0.99270915108352287</v>
      </c>
      <c r="DP32" s="22">
        <f>MOPFRA!DP32</f>
        <v>840</v>
      </c>
      <c r="DQ32" s="8">
        <f>MOPFRA!DQ32</f>
        <v>2678</v>
      </c>
      <c r="DR32" s="32">
        <f>MOPFRA!DR32</f>
        <v>-0.30134937101858666</v>
      </c>
      <c r="DS32" s="99">
        <f>MOPFRA!DS32</f>
        <v>-1</v>
      </c>
      <c r="DT32" s="8">
        <f>MOPFRA!DT32</f>
        <v>15546.44</v>
      </c>
      <c r="DU32" s="8">
        <f>MOPFRA!DU32</f>
        <v>21120</v>
      </c>
      <c r="DV32" s="235">
        <f>MOPFRA!DV32</f>
        <v>1854.4444444444443</v>
      </c>
      <c r="DW32" s="8">
        <f>MOPFRA!DW32</f>
        <v>19260.442222222224</v>
      </c>
      <c r="DX32" s="411">
        <f>MOPFRA!DX32</f>
        <v>40</v>
      </c>
      <c r="DY32" s="1532">
        <f>MOPFRA!DY32</f>
        <v>3000</v>
      </c>
      <c r="DZ32" s="857">
        <f>MOPFRA!DZ32</f>
        <v>8.4985835694050993E-2</v>
      </c>
      <c r="EA32" s="386">
        <f>MOPFRA!EA32</f>
        <v>0</v>
      </c>
      <c r="EB32" s="504">
        <f>MOPFRA!EB32</f>
        <v>0</v>
      </c>
      <c r="EC32" s="510">
        <f>MOPFRA!EC32</f>
        <v>12690</v>
      </c>
      <c r="ED32" s="435">
        <f>MOPFRA!ED32</f>
        <v>15165</v>
      </c>
      <c r="EE32" s="510">
        <f>MOPFRA!EE32</f>
        <v>25740</v>
      </c>
      <c r="EF32" s="435">
        <f>MOPFRA!EF32</f>
        <v>30759</v>
      </c>
      <c r="EG32" s="510">
        <f>MOPFRA!EG32</f>
        <v>12230</v>
      </c>
      <c r="EH32" s="435">
        <f>MOPFRA!EH32</f>
        <v>22014</v>
      </c>
      <c r="EI32" s="510">
        <f>MOPFRA!EI32</f>
        <v>15050</v>
      </c>
      <c r="EJ32" s="435">
        <f>MOPFRA!EJ32</f>
        <v>27090</v>
      </c>
      <c r="EK32" s="510">
        <f>MOPFRA!EK32</f>
        <v>32300</v>
      </c>
      <c r="EL32" s="1606">
        <f>MOPFRA!EL32</f>
        <v>58140</v>
      </c>
      <c r="EM32" s="1684">
        <f>MOPFRA!EM32</f>
        <v>32300</v>
      </c>
      <c r="EN32" s="1608">
        <f>MOPFRA!EN32</f>
        <v>58140</v>
      </c>
      <c r="EO32" s="1609">
        <f>MOPFRA!EO32</f>
        <v>2.8338278931750742</v>
      </c>
      <c r="EP32" s="1648">
        <f>MOPFRA!EP32</f>
        <v>12</v>
      </c>
      <c r="EQ32"/>
    </row>
    <row r="33" spans="1:147" ht="35" customHeight="1">
      <c r="A33" s="100">
        <f>MOPFRA!A33</f>
        <v>3.7897457124291933</v>
      </c>
      <c r="B33" s="99">
        <f>MOPFRA!B33</f>
        <v>-0.51025428757080471</v>
      </c>
      <c r="C33" s="1585">
        <f ca="1">MOPFRA!C33</f>
        <v>0.21230822490016568</v>
      </c>
      <c r="D33" s="1651">
        <f>MOPFRA!D33</f>
        <v>-0.73999564825824748</v>
      </c>
      <c r="E33" s="1414">
        <f>MOPFRA!E33</f>
        <v>3.2999999999999972</v>
      </c>
      <c r="F33" s="1415">
        <f>MOPFRA!F33</f>
        <v>4.299999999999998</v>
      </c>
      <c r="G33" s="2124">
        <f>MOPFRA!G33</f>
        <v>-10.649619536801779</v>
      </c>
      <c r="H33" s="2379">
        <f>MOPFRA!H33</f>
        <v>0.61666779378282721</v>
      </c>
      <c r="I33" s="2379">
        <f>MOPFRA!I33</f>
        <v>-0.70354051435892628</v>
      </c>
      <c r="J33" s="2379">
        <f>MOPFRA!J33</f>
        <v>-0.63971692043748662</v>
      </c>
      <c r="K33" s="1942">
        <f>MOPFRA!K33</f>
        <v>33</v>
      </c>
      <c r="L33" s="1587">
        <f>MOPFRA!L33</f>
        <v>32</v>
      </c>
      <c r="M33" s="1582" t="str">
        <f>MOPFRA!M33</f>
        <v>N</v>
      </c>
      <c r="N33" s="1582" t="str">
        <f>MOPFRA!N33</f>
        <v>N</v>
      </c>
      <c r="O33" s="179" t="str">
        <f>MOPFRA!O33</f>
        <v/>
      </c>
      <c r="P33" s="856" t="str">
        <f>MOPFRA!P33</f>
        <v>PUR</v>
      </c>
      <c r="Q33" s="1571" t="str">
        <f>MOPFRA!Q33</f>
        <v>پتروشيمي پرديس</v>
      </c>
      <c r="R33" s="1571" t="str">
        <f>MOPFRA!R33</f>
        <v>شپديس</v>
      </c>
      <c r="S33" s="1572">
        <f>MOPFRA!S33</f>
        <v>6</v>
      </c>
      <c r="T33" s="66">
        <f>MOPFRA!T33</f>
        <v>255295.0704</v>
      </c>
      <c r="U33" s="258">
        <f>MOPFRA!U33</f>
        <v>10930</v>
      </c>
      <c r="V33" s="338">
        <f>MOPFRA!V33</f>
        <v>2.92</v>
      </c>
      <c r="W33" s="258">
        <f>MOPFRA!W33</f>
        <v>10930</v>
      </c>
      <c r="X33" s="337">
        <f>MOPFRA!X33</f>
        <v>2.92</v>
      </c>
      <c r="Y33" s="1708">
        <f>MOPFRA!Y33</f>
        <v>296132.07039999997</v>
      </c>
      <c r="Z33" s="661" t="str">
        <f>MOPFRA!Z33</f>
        <v/>
      </c>
      <c r="AA33" s="2382">
        <f>MOPFRA!AA33</f>
        <v>0.22064313500487692</v>
      </c>
      <c r="AB33" s="511">
        <f ca="1">MOPFRA!AB33</f>
        <v>0.57945205479452055</v>
      </c>
      <c r="AC33" s="823">
        <f ca="1">MOPFRA!AC33</f>
        <v>15.268464671899729</v>
      </c>
      <c r="AD33" s="1150">
        <f>MOPFRA!AD33</f>
        <v>0.22064313500487692</v>
      </c>
      <c r="AE33" s="1150">
        <f>MOPFRA!AE33</f>
        <v>1.1908850419648833</v>
      </c>
      <c r="AF33" s="1150">
        <f>MOPFRA!AF33</f>
        <v>1.8809789694630645</v>
      </c>
      <c r="AG33" s="1150">
        <f>MOPFRA!AG33</f>
        <v>-0.9375250071448985</v>
      </c>
      <c r="AH33" s="1150">
        <f>MOPFRA!AH33</f>
        <v>1.2992098994920567</v>
      </c>
      <c r="AI33" s="275">
        <f ca="1">MOPFRA!AI33</f>
        <v>130</v>
      </c>
      <c r="AJ33" s="1120">
        <f>MOPFRA!AJ33</f>
        <v>46004</v>
      </c>
      <c r="AK33" s="1693">
        <f>MOPFRA!AK33</f>
        <v>46117</v>
      </c>
      <c r="AL33" s="1345">
        <f>MOPFRA!AL33</f>
        <v>233572800000</v>
      </c>
      <c r="AM33" s="29">
        <f>MOPFRA!AM33</f>
        <v>0</v>
      </c>
      <c r="AN33" s="29">
        <f>MOPFRA!AN33</f>
        <v>0</v>
      </c>
      <c r="AO33" s="685">
        <f>MOPFRA!AO33</f>
        <v>0.16769999999999999</v>
      </c>
      <c r="AP33" s="174">
        <f>MOPFRA!AP33</f>
        <v>0</v>
      </c>
      <c r="AQ33" s="1416">
        <f>MOPFRA!AQ33</f>
        <v>60047</v>
      </c>
      <c r="AR33" s="1416">
        <f>MOPFRA!AR33</f>
        <v>30004</v>
      </c>
      <c r="AS33" s="766">
        <f>MOPFRA!AS33</f>
        <v>91903.875506638709</v>
      </c>
      <c r="AT33" s="984">
        <f>MOPFRA!AT33</f>
        <v>4</v>
      </c>
      <c r="AU33" s="376">
        <f>MOPFRA!AU33</f>
        <v>2.7800019203928388</v>
      </c>
      <c r="AV33" s="99">
        <f>MOPFRA!AV33</f>
        <v>-5.4364756379538504</v>
      </c>
      <c r="AW33" s="2380">
        <f>MOPFRA!AW33</f>
        <v>66073</v>
      </c>
      <c r="AX33" s="2380">
        <f>MOPFRA!AX33</f>
        <v>31333</v>
      </c>
      <c r="AY33" s="2374">
        <f>MOPFRA!AY33</f>
        <v>0.47399999999999998</v>
      </c>
      <c r="AZ33" s="2370">
        <f>MOPFRA!AZ33</f>
        <v>0.441</v>
      </c>
      <c r="BA33" s="2372">
        <f>MOPFRA!BA33</f>
        <v>0.5</v>
      </c>
      <c r="BB33" s="2373">
        <f>MOPFRA!BB33</f>
        <v>0.52100000000000002</v>
      </c>
      <c r="BC33" s="2375">
        <f>MOPFRA!BC33</f>
        <v>4.299999999999998</v>
      </c>
      <c r="BD33" s="2376">
        <f>MOPFRA!BD33</f>
        <v>0.36499999999999999</v>
      </c>
      <c r="BE33" s="2370">
        <f>MOPFRA!BE33</f>
        <v>0.32200000000000001</v>
      </c>
      <c r="BF33" s="2371">
        <f>MOPFRA!BF33</f>
        <v>0.42599999999999999</v>
      </c>
      <c r="BG33" s="1422">
        <f>MOPFRA!BG33</f>
        <v>0.45600000000000002</v>
      </c>
      <c r="BH33" s="306">
        <f>MOPFRA!BH33</f>
        <v>0.10899999999999999</v>
      </c>
      <c r="BI33" s="1861">
        <f>MOPFRA!BI33</f>
        <v>9602.609333333332</v>
      </c>
      <c r="BJ33" s="306">
        <f>MOPFRA!BJ33</f>
        <v>0.11899999999999999</v>
      </c>
      <c r="BK33" s="99">
        <f>MOPFRA!BK33</f>
        <v>0</v>
      </c>
      <c r="BL33" s="306">
        <f>MOPFRA!BL33</f>
        <v>0.53053234144318129</v>
      </c>
      <c r="BM33" s="99">
        <f>MOPFRA!BM33</f>
        <v>9.2966761931491302</v>
      </c>
      <c r="BN33" s="15">
        <f>MOPFRA!BN33</f>
        <v>0</v>
      </c>
      <c r="BO33" s="1803">
        <f>MOPFRA!BO33</f>
        <v>3</v>
      </c>
      <c r="BP33" s="842">
        <f>MOPFRA!BP33</f>
        <v>3</v>
      </c>
      <c r="BQ33" s="16">
        <f>MOPFRA!BQ33</f>
        <v>23350</v>
      </c>
      <c r="BR33" s="16">
        <f>MOPFRA!BR33</f>
        <v>41856</v>
      </c>
      <c r="BS33" s="16">
        <f>MOPFRA!BS33</f>
        <v>1291</v>
      </c>
      <c r="BT33" s="1253">
        <f>MOPFRA!BT33</f>
        <v>1610.8859661708525</v>
      </c>
      <c r="BU33" s="1246">
        <f>MOPFRA!BU33</f>
        <v>1721.4333175780741</v>
      </c>
      <c r="BV33" s="406">
        <f>MOPFRA!BV33</f>
        <v>0</v>
      </c>
      <c r="BW33" s="407">
        <f>MOPFRA!BW33</f>
        <v>6.5599956482582478</v>
      </c>
      <c r="BX33" s="99">
        <f>MOPFRA!BX33</f>
        <v>-7.7999782412912388</v>
      </c>
      <c r="BY33" s="18">
        <f>MOPFRA!BY33</f>
        <v>38916.957279961563</v>
      </c>
      <c r="BZ33" s="18">
        <f>MOPFRA!BZ33</f>
        <v>43865.132371134016</v>
      </c>
      <c r="CA33" s="18">
        <f>MOPFRA!CA33</f>
        <v>43562.436990146743</v>
      </c>
      <c r="CB33" s="1710">
        <f>MOPFRA!CB33</f>
        <v>6.7978765849803393</v>
      </c>
      <c r="CC33" s="266">
        <f>MOPFRA!CC33</f>
        <v>1879</v>
      </c>
      <c r="CD33" s="267">
        <f>MOPFRA!CD33</f>
        <v>5.82</v>
      </c>
      <c r="CE33" s="99">
        <f>MOPFRA!CE33</f>
        <v>-2.4600000000000009</v>
      </c>
      <c r="CF33" s="17">
        <f>MOPFRA!CF33</f>
        <v>1.1457216369522925</v>
      </c>
      <c r="CG33" s="99">
        <f>MOPFRA!CG33</f>
        <v>3.4171134521908302</v>
      </c>
      <c r="CH33" s="494">
        <f>MOPFRA!CH33</f>
        <v>0.32808367361014307</v>
      </c>
      <c r="CI33" s="99">
        <f>MOPFRA!CI33</f>
        <v>-1.0787448958478543</v>
      </c>
      <c r="CJ33" s="377">
        <f>MOPFRA!CJ33</f>
        <v>0</v>
      </c>
      <c r="CK33" s="691">
        <f>MOPFRA!CK33</f>
        <v>23357.279999999999</v>
      </c>
      <c r="CL33" s="419">
        <f>MOPFRA!CL33</f>
        <v>974</v>
      </c>
      <c r="CM33" s="468">
        <f>MOPFRA!CM33</f>
        <v>4081</v>
      </c>
      <c r="CN33" s="843">
        <f>MOPFRA!CN33</f>
        <v>6032</v>
      </c>
      <c r="CO33" s="21">
        <f>MOPFRA!CO33</f>
        <v>30156</v>
      </c>
      <c r="CP33" s="21">
        <f>MOPFRA!CP33</f>
        <v>-34</v>
      </c>
      <c r="CQ33" s="469">
        <f>MOPFRA!CQ33</f>
        <v>30156</v>
      </c>
      <c r="CR33" s="1239">
        <f>MOPFRA!CR33</f>
        <v>27920.095466602608</v>
      </c>
      <c r="CS33" s="21">
        <f>MOPFRA!CS33</f>
        <v>31130</v>
      </c>
      <c r="CT33" s="16">
        <f>MOPFRA!CT33</f>
        <v>-492</v>
      </c>
      <c r="CU33" s="154" t="str">
        <f>MOPFRA!CU33</f>
        <v/>
      </c>
      <c r="CV33" s="693">
        <f>MOPFRA!CV33</f>
        <v>55550</v>
      </c>
      <c r="CW33" s="49">
        <f>MOPFRA!CW33</f>
        <v>41955</v>
      </c>
      <c r="CX33" s="21">
        <f>MOPFRA!CX33</f>
        <v>9630</v>
      </c>
      <c r="CY33" s="49">
        <f>MOPFRA!CY33</f>
        <v>2633</v>
      </c>
      <c r="CZ33" s="378">
        <f>MOPFRA!CZ33</f>
        <v>44588</v>
      </c>
      <c r="DA33" s="1058">
        <f>MOPFRA!DA33</f>
        <v>1.5032534858777262</v>
      </c>
      <c r="DB33" s="99">
        <f>MOPFRA!DB33</f>
        <v>2.4260278870218102</v>
      </c>
      <c r="DC33" s="53">
        <f>MOPFRA!DC33</f>
        <v>100138</v>
      </c>
      <c r="DD33" s="645">
        <f>MOPFRA!DD33</f>
        <v>0.44526553356368209</v>
      </c>
      <c r="DE33" s="13">
        <f>MOPFRA!DE33</f>
        <v>37069</v>
      </c>
      <c r="DF33" s="24">
        <f>MOPFRA!DF33</f>
        <v>2097</v>
      </c>
      <c r="DG33" s="24">
        <f>MOPFRA!DG33</f>
        <v>33784</v>
      </c>
      <c r="DH33" s="51">
        <f>MOPFRA!DH33</f>
        <v>63069</v>
      </c>
      <c r="DI33" s="8">
        <f>MOPFRA!DI33</f>
        <v>21114</v>
      </c>
      <c r="DJ33" s="644">
        <f>MOPFRA!DJ33</f>
        <v>4.3527458324637074</v>
      </c>
      <c r="DK33" s="22">
        <f>MOPFRA!DK33</f>
        <v>7034</v>
      </c>
      <c r="DL33" s="22">
        <f>MOPFRA!DL33</f>
        <v>2502</v>
      </c>
      <c r="DM33" s="22">
        <f>MOPFRA!DM33</f>
        <v>50798</v>
      </c>
      <c r="DN33" s="138">
        <f>MOPFRA!DN33</f>
        <v>0.44526553356368209</v>
      </c>
      <c r="DO33" s="99">
        <f>MOPFRA!DO33</f>
        <v>1.1251269551603689</v>
      </c>
      <c r="DP33" s="22">
        <f>MOPFRA!DP33</f>
        <v>1249</v>
      </c>
      <c r="DQ33" s="8">
        <f>MOPFRA!DQ33</f>
        <v>1486</v>
      </c>
      <c r="DR33" s="32">
        <f>MOPFRA!DR33</f>
        <v>-0.19239052218074193</v>
      </c>
      <c r="DS33" s="99">
        <f>MOPFRA!DS33</f>
        <v>0</v>
      </c>
      <c r="DT33" s="8">
        <f>MOPFRA!DT33</f>
        <v>7290.52</v>
      </c>
      <c r="DU33" s="8">
        <f>MOPFRA!DU33</f>
        <v>6610.303939499805</v>
      </c>
      <c r="DV33" s="235">
        <f>MOPFRA!DV33</f>
        <v>41.700060966002894</v>
      </c>
      <c r="DW33" s="8">
        <f>MOPFRA!DW33</f>
        <v>6971.262000232904</v>
      </c>
      <c r="DX33" s="411">
        <f>MOPFRA!DX33</f>
        <v>113</v>
      </c>
      <c r="DY33" s="1532">
        <f>MOPFRA!DY33</f>
        <v>11000</v>
      </c>
      <c r="DZ33" s="857">
        <f>MOPFRA!DZ33</f>
        <v>3.0591245341787639E-2</v>
      </c>
      <c r="EA33" s="386">
        <f>MOPFRA!EA33</f>
        <v>37.928800000000003</v>
      </c>
      <c r="EB33" s="504">
        <f>MOPFRA!EB33</f>
        <v>0</v>
      </c>
      <c r="EC33" s="510">
        <f>MOPFRA!EC33</f>
        <v>185060</v>
      </c>
      <c r="ED33" s="435">
        <f>MOPFRA!ED33</f>
        <v>111036</v>
      </c>
      <c r="EE33" s="510">
        <f>MOPFRA!EE33</f>
        <v>174950</v>
      </c>
      <c r="EF33" s="435">
        <f>MOPFRA!EF33</f>
        <v>4086356.1359999999</v>
      </c>
      <c r="EG33" s="510">
        <f>MOPFRA!EG33</f>
        <v>147690</v>
      </c>
      <c r="EH33" s="435">
        <f>MOPFRA!EH33</f>
        <v>88614</v>
      </c>
      <c r="EI33" s="510">
        <f>MOPFRA!EI33</f>
        <v>194210</v>
      </c>
      <c r="EJ33" s="435">
        <f>MOPFRA!EJ33</f>
        <v>116526</v>
      </c>
      <c r="EK33" s="510">
        <f>MOPFRA!EK33</f>
        <v>348580</v>
      </c>
      <c r="EL33" s="1606">
        <f>MOPFRA!EL33</f>
        <v>209148</v>
      </c>
      <c r="EM33" s="1685">
        <f>MOPFRA!EM33</f>
        <v>348580</v>
      </c>
      <c r="EN33" s="1686">
        <f>MOPFRA!EN33</f>
        <v>209148</v>
      </c>
      <c r="EO33" s="1609">
        <f>MOPFRA!EO33</f>
        <v>0.88360531719442348</v>
      </c>
      <c r="EP33" s="1648">
        <f>MOPFRA!EP33</f>
        <v>20</v>
      </c>
      <c r="EQ33"/>
    </row>
    <row r="34" spans="1:147" ht="35" customHeight="1">
      <c r="A34" s="100">
        <f>MOPFRA!A34</f>
        <v>2.361815286894287</v>
      </c>
      <c r="B34" s="99">
        <f>MOPFRA!B34</f>
        <v>-1.9381847131057122</v>
      </c>
      <c r="C34" s="1585">
        <f ca="1">MOPFRA!C34</f>
        <v>0.18254715810656075</v>
      </c>
      <c r="D34" s="1651">
        <f>MOPFRA!D34</f>
        <v>-0.18660680866113744</v>
      </c>
      <c r="E34" s="1414">
        <f>MOPFRA!E34</f>
        <v>6.1999999999999975</v>
      </c>
      <c r="F34" s="1415">
        <f>MOPFRA!F34</f>
        <v>4.299999999999998</v>
      </c>
      <c r="G34" s="2124">
        <f>MOPFRA!G34</f>
        <v>-15.14472482762404</v>
      </c>
      <c r="H34" s="2379">
        <f>MOPFRA!H34</f>
        <v>0.4131054131054131</v>
      </c>
      <c r="I34" s="2379">
        <f>MOPFRA!I34</f>
        <v>-0.23185988323603002</v>
      </c>
      <c r="J34" s="2379">
        <f>MOPFRA!J34</f>
        <v>0.27752048450302813</v>
      </c>
      <c r="K34" s="1942">
        <f>MOPFRA!K34</f>
        <v>39</v>
      </c>
      <c r="L34" s="1587">
        <f>MOPFRA!L34</f>
        <v>37</v>
      </c>
      <c r="M34" s="1582" t="str">
        <f>MOPFRA!M34</f>
        <v>N</v>
      </c>
      <c r="N34" s="1582" t="str">
        <f>MOPFRA!N34</f>
        <v>B</v>
      </c>
      <c r="O34" s="179" t="str">
        <f>MOPFRA!O34</f>
        <v/>
      </c>
      <c r="P34" s="856" t="str">
        <f>MOPFRA!P34</f>
        <v>F</v>
      </c>
      <c r="Q34" s="1571" t="str">
        <f>MOPFRA!Q34</f>
        <v>صنعتي زر ماكارون</v>
      </c>
      <c r="R34" s="1571" t="str">
        <f>MOPFRA!R34</f>
        <v>غزر</v>
      </c>
      <c r="S34" s="1572">
        <f>MOPFRA!S34</f>
        <v>12</v>
      </c>
      <c r="T34" s="66">
        <f>MOPFRA!T34</f>
        <v>14452.3</v>
      </c>
      <c r="U34" s="258">
        <f>MOPFRA!U34</f>
        <v>3361</v>
      </c>
      <c r="V34" s="338">
        <f>MOPFRA!V34</f>
        <v>2.97</v>
      </c>
      <c r="W34" s="258">
        <f>MOPFRA!W34</f>
        <v>3361</v>
      </c>
      <c r="X34" s="337">
        <f>MOPFRA!X34</f>
        <v>2.97</v>
      </c>
      <c r="Y34" s="1708">
        <f>MOPFRA!Y34</f>
        <v>18687.3</v>
      </c>
      <c r="Z34" s="661" t="str">
        <f>MOPFRA!Z34</f>
        <v/>
      </c>
      <c r="AA34" s="2382">
        <f>MOPFRA!AA34</f>
        <v>0.26541458716399607</v>
      </c>
      <c r="AB34" s="511">
        <f ca="1">MOPFRA!AB34</f>
        <v>3.4520547945205482E-2</v>
      </c>
      <c r="AC34" s="823">
        <f ca="1">MOPFRA!AC34</f>
        <v>-164.92431372770758</v>
      </c>
      <c r="AD34" s="1150">
        <f>MOPFRA!AD34</f>
        <v>0.26541458716399607</v>
      </c>
      <c r="AE34" s="1150">
        <f>MOPFRA!AE34</f>
        <v>1.9220177921552768</v>
      </c>
      <c r="AF34" s="1150">
        <f>MOPFRA!AF34</f>
        <v>2.0980278670953911</v>
      </c>
      <c r="AG34" s="1150">
        <f>MOPFRA!AG34</f>
        <v>1.2118610345883072</v>
      </c>
      <c r="AH34" s="1150">
        <f>MOPFRA!AH34</f>
        <v>1.3183028553095923</v>
      </c>
      <c r="AI34" s="275">
        <f ca="1">MOPFRA!AI34</f>
        <v>351</v>
      </c>
      <c r="AJ34" s="1120">
        <f>MOPFRA!AJ34</f>
        <v>46225</v>
      </c>
      <c r="AK34" s="1693">
        <f>MOPFRA!AK34</f>
        <v>46338</v>
      </c>
      <c r="AL34" s="1345">
        <f>MOPFRA!AL34</f>
        <v>43000000000</v>
      </c>
      <c r="AM34" s="29">
        <f>MOPFRA!AM34</f>
        <v>0</v>
      </c>
      <c r="AN34" s="29">
        <f>MOPFRA!AN34</f>
        <v>0</v>
      </c>
      <c r="AO34" s="685">
        <f>MOPFRA!AO34</f>
        <v>0.25</v>
      </c>
      <c r="AP34" s="174">
        <f>MOPFRA!AP34</f>
        <v>0</v>
      </c>
      <c r="AQ34" s="1416">
        <f>MOPFRA!AQ34</f>
        <v>11147</v>
      </c>
      <c r="AR34" s="1416">
        <f>MOPFRA!AR34</f>
        <v>3128</v>
      </c>
      <c r="AS34" s="766">
        <f>MOPFRA!AS34</f>
        <v>13928.693019943021</v>
      </c>
      <c r="AT34" s="984">
        <f>MOPFRA!AT34</f>
        <v>4</v>
      </c>
      <c r="AU34" s="376">
        <f>MOPFRA!AU34</f>
        <v>1.03759196783986</v>
      </c>
      <c r="AV34" s="99">
        <f>MOPFRA!AV34</f>
        <v>-1.7634668220275185</v>
      </c>
      <c r="AW34" s="2380">
        <f>MOPFRA!AW34</f>
        <v>2763</v>
      </c>
      <c r="AX34" s="2380">
        <f>MOPFRA!AX34</f>
        <v>811</v>
      </c>
      <c r="AY34" s="2374">
        <f>MOPFRA!AY34</f>
        <v>0.29399999999999998</v>
      </c>
      <c r="AZ34" s="2370">
        <f>MOPFRA!AZ34</f>
        <v>0.23200000000000001</v>
      </c>
      <c r="BA34" s="2372">
        <f>MOPFRA!BA34</f>
        <v>0.28100000000000003</v>
      </c>
      <c r="BB34" s="2373">
        <f>MOPFRA!BB34</f>
        <v>0.24</v>
      </c>
      <c r="BC34" s="2375">
        <f>MOPFRA!BC34</f>
        <v>4.299999999999998</v>
      </c>
      <c r="BD34" s="2376">
        <f>MOPFRA!BD34</f>
        <v>0.20399999999999999</v>
      </c>
      <c r="BE34" s="2370">
        <f>MOPFRA!BE34</f>
        <v>0.161</v>
      </c>
      <c r="BF34" s="2371">
        <f>MOPFRA!BF34</f>
        <v>0.21099999999999999</v>
      </c>
      <c r="BG34" s="1422">
        <f>MOPFRA!BG34</f>
        <v>0.20100000000000001</v>
      </c>
      <c r="BH34" s="306">
        <f>MOPFRA!BH34</f>
        <v>0.09</v>
      </c>
      <c r="BI34" s="1861">
        <f>MOPFRA!BI34</f>
        <v>994.68</v>
      </c>
      <c r="BJ34" s="306">
        <f>MOPFRA!BJ34</f>
        <v>7.1000000000000008E-2</v>
      </c>
      <c r="BK34" s="99">
        <f>MOPFRA!BK34</f>
        <v>0</v>
      </c>
      <c r="BL34" s="306">
        <f>MOPFRA!BL34</f>
        <v>0.24954633712595503</v>
      </c>
      <c r="BM34" s="99">
        <f>MOPFRA!BM34</f>
        <v>-0.47604750114123129</v>
      </c>
      <c r="BN34" s="15">
        <f>MOPFRA!BN34</f>
        <v>0</v>
      </c>
      <c r="BO34" s="1803">
        <f>MOPFRA!BO34</f>
        <v>3</v>
      </c>
      <c r="BP34" s="842">
        <f>MOPFRA!BP34</f>
        <v>1</v>
      </c>
      <c r="BQ34" s="16">
        <f>MOPFRA!BQ34</f>
        <v>132</v>
      </c>
      <c r="BR34" s="16">
        <f>MOPFRA!BR34</f>
        <v>0</v>
      </c>
      <c r="BS34" s="16">
        <f>MOPFRA!BS34</f>
        <v>0</v>
      </c>
      <c r="BT34" s="1253">
        <f>MOPFRA!BT34</f>
        <v>667.54729676008742</v>
      </c>
      <c r="BU34" s="1246">
        <f>MOPFRA!BU34</f>
        <v>531.39534883720933</v>
      </c>
      <c r="BV34" s="406">
        <f>MOPFRA!BV34</f>
        <v>0</v>
      </c>
      <c r="BW34" s="407">
        <f>MOPFRA!BW34</f>
        <v>5.6066068086611374</v>
      </c>
      <c r="BX34" s="99">
        <f>MOPFRA!BX34</f>
        <v>-3.0330340433056868</v>
      </c>
      <c r="BY34" s="18">
        <f>MOPFRA!BY34</f>
        <v>2577.7266880341876</v>
      </c>
      <c r="BZ34" s="18">
        <f>MOPFRA!BZ34</f>
        <v>2666.4760147601473</v>
      </c>
      <c r="CA34" s="18">
        <f>MOPFRA!CA34</f>
        <v>4095.0357478632477</v>
      </c>
      <c r="CB34" s="1710">
        <f>MOPFRA!CB34</f>
        <v>4.5634033865884716</v>
      </c>
      <c r="CC34" s="266">
        <f>MOPFRA!CC34</f>
        <v>620</v>
      </c>
      <c r="CD34" s="267">
        <f>MOPFRA!CD34</f>
        <v>5.42</v>
      </c>
      <c r="CE34" s="99">
        <f>MOPFRA!CE34</f>
        <v>-1.2599999999999998</v>
      </c>
      <c r="CF34" s="17">
        <f>MOPFRA!CF34</f>
        <v>1.7387413571832315</v>
      </c>
      <c r="CG34" s="99">
        <f>MOPFRA!CG34</f>
        <v>1.0450345712670739</v>
      </c>
      <c r="CH34" s="494">
        <f>MOPFRA!CH34</f>
        <v>0.16898693379010016</v>
      </c>
      <c r="CI34" s="99">
        <f>MOPFRA!CI34</f>
        <v>-3.4651959931484981</v>
      </c>
      <c r="CJ34" s="20">
        <f>MOPFRA!CJ34</f>
        <v>0</v>
      </c>
      <c r="CK34" s="691">
        <f>MOPFRA!CK34</f>
        <v>4300</v>
      </c>
      <c r="CL34" s="419">
        <f>MOPFRA!CL34</f>
        <v>1221</v>
      </c>
      <c r="CM34" s="468">
        <f>MOPFRA!CM34</f>
        <v>29</v>
      </c>
      <c r="CN34" s="843">
        <f>MOPFRA!CN34</f>
        <v>3</v>
      </c>
      <c r="CO34" s="21">
        <f>MOPFRA!CO34</f>
        <v>567</v>
      </c>
      <c r="CP34" s="21">
        <f>MOPFRA!CP34</f>
        <v>0</v>
      </c>
      <c r="CQ34" s="469">
        <f>MOPFRA!CQ34</f>
        <v>571.25</v>
      </c>
      <c r="CR34" s="1239">
        <f>MOPFRA!CR34</f>
        <v>947.15112535612536</v>
      </c>
      <c r="CS34" s="21">
        <f>MOPFRA!CS34</f>
        <v>1788</v>
      </c>
      <c r="CT34" s="16">
        <f>MOPFRA!CT34</f>
        <v>-59</v>
      </c>
      <c r="CU34" s="154" t="str">
        <f>MOPFRA!CU34</f>
        <v/>
      </c>
      <c r="CV34" s="693">
        <f>MOPFRA!CV34</f>
        <v>6357</v>
      </c>
      <c r="CW34" s="49">
        <f>MOPFRA!CW34</f>
        <v>4415</v>
      </c>
      <c r="CX34" s="21">
        <f>MOPFRA!CX34</f>
        <v>889</v>
      </c>
      <c r="CY34" s="49">
        <f>MOPFRA!CY34</f>
        <v>67</v>
      </c>
      <c r="CZ34" s="378">
        <f>MOPFRA!CZ34</f>
        <v>4482</v>
      </c>
      <c r="DA34" s="1058">
        <f>MOPFRA!DA34</f>
        <v>2.0151755379388447</v>
      </c>
      <c r="DB34" s="99">
        <f>MOPFRA!DB34</f>
        <v>6</v>
      </c>
      <c r="DC34" s="53">
        <f>MOPFRA!DC34</f>
        <v>10839</v>
      </c>
      <c r="DD34" s="645">
        <f>MOPFRA!DD34</f>
        <v>0.41350678106836425</v>
      </c>
      <c r="DE34" s="13">
        <f>MOPFRA!DE34</f>
        <v>1942</v>
      </c>
      <c r="DF34" s="24">
        <f>MOPFRA!DF34</f>
        <v>1475</v>
      </c>
      <c r="DG34" s="24">
        <f>MOPFRA!DG34</f>
        <v>442</v>
      </c>
      <c r="DH34" s="51">
        <f>MOPFRA!DH34</f>
        <v>8897</v>
      </c>
      <c r="DI34" s="8">
        <f>MOPFRA!DI34</f>
        <v>4482</v>
      </c>
      <c r="DJ34" s="644">
        <f>MOPFRA!DJ34</f>
        <v>3.1076958991394514</v>
      </c>
      <c r="DK34" s="22">
        <f>MOPFRA!DK34</f>
        <v>959</v>
      </c>
      <c r="DL34" s="22">
        <f>MOPFRA!DL34</f>
        <v>70</v>
      </c>
      <c r="DM34" s="22">
        <f>MOPFRA!DM34</f>
        <v>5481</v>
      </c>
      <c r="DN34" s="138">
        <f>MOPFRA!DN34</f>
        <v>0.41350678106836425</v>
      </c>
      <c r="DO34" s="99">
        <f>MOPFRA!DO34</f>
        <v>1.0145250752501489</v>
      </c>
      <c r="DP34" s="22">
        <f>MOPFRA!DP34</f>
        <v>177</v>
      </c>
      <c r="DQ34" s="8">
        <f>MOPFRA!DQ34</f>
        <v>2210</v>
      </c>
      <c r="DR34" s="32">
        <f>MOPFRA!DR34</f>
        <v>-0.1738690560568403</v>
      </c>
      <c r="DS34" s="99">
        <f>MOPFRA!DS34</f>
        <v>0</v>
      </c>
      <c r="DT34" s="8">
        <f>MOPFRA!DT34</f>
        <v>2256.8000000000002</v>
      </c>
      <c r="DU34" s="8">
        <f>MOPFRA!DU34</f>
        <v>1913.0232558139535</v>
      </c>
      <c r="DV34" s="235">
        <f>MOPFRA!DV34</f>
        <v>283.95348837209303</v>
      </c>
      <c r="DW34" s="8">
        <f>MOPFRA!DW34</f>
        <v>2226.8883720930235</v>
      </c>
      <c r="DX34" s="411">
        <f>MOPFRA!DX34</f>
        <v>113</v>
      </c>
      <c r="DY34" s="1532">
        <f>MOPFRA!DY34</f>
        <v>250</v>
      </c>
      <c r="DZ34" s="857">
        <f>MOPFRA!DZ34</f>
        <v>8.6028905712319345E-2</v>
      </c>
      <c r="EA34" s="386">
        <f>MOPFRA!EA34</f>
        <v>0.36499999999999999</v>
      </c>
      <c r="EB34" s="504">
        <f>MOPFRA!EB34</f>
        <v>0</v>
      </c>
      <c r="EC34" s="510">
        <f>MOPFRA!EC34</f>
        <v>7860</v>
      </c>
      <c r="ED34" s="435">
        <f>MOPFRA!ED34</f>
        <v>6234</v>
      </c>
      <c r="EE34" s="510">
        <f>MOPFRA!EE34</f>
        <v>3630</v>
      </c>
      <c r="EF34" s="435">
        <f>MOPFRA!EF34</f>
        <v>6534</v>
      </c>
      <c r="EG34" s="510">
        <f>MOPFRA!EG34</f>
        <v>1904</v>
      </c>
      <c r="EH34" s="435">
        <f>MOPFRA!EH34</f>
        <v>4665</v>
      </c>
      <c r="EI34" s="510">
        <f>MOPFRA!EI34</f>
        <v>1570</v>
      </c>
      <c r="EJ34" s="435">
        <f>MOPFRA!EJ34</f>
        <v>4946</v>
      </c>
      <c r="EK34" s="510">
        <f>MOPFRA!EK34</f>
        <v>2656</v>
      </c>
      <c r="EL34" s="1606">
        <f>MOPFRA!EL34</f>
        <v>11421</v>
      </c>
      <c r="EM34" s="1684">
        <f>MOPFRA!EM34</f>
        <v>2656</v>
      </c>
      <c r="EN34" s="1608">
        <f>MOPFRA!EN34</f>
        <v>11421</v>
      </c>
      <c r="EO34" s="1609">
        <f>MOPFRA!EO34</f>
        <v>0.83205004812319538</v>
      </c>
      <c r="EP34" s="1648">
        <f>MOPFRA!EP34</f>
        <v>21</v>
      </c>
      <c r="EQ34"/>
    </row>
    <row r="35" spans="1:147" ht="35" customHeight="1">
      <c r="A35" s="100">
        <f>MOPFRA!A35</f>
        <v>3.3763719181679717</v>
      </c>
      <c r="B35" s="99">
        <f>MOPFRA!B35</f>
        <v>-0.3236280818320254</v>
      </c>
      <c r="C35" s="1585">
        <f ca="1">MOPFRA!C35</f>
        <v>0.11861446139521008</v>
      </c>
      <c r="D35" s="1651">
        <f>MOPFRA!D35</f>
        <v>2.5163304780839475</v>
      </c>
      <c r="E35" s="1414">
        <f>MOPFRA!E35</f>
        <v>5.8999999999999995</v>
      </c>
      <c r="F35" s="1415">
        <f>MOPFRA!F35</f>
        <v>3.6999999999999975</v>
      </c>
      <c r="G35" s="2124">
        <f>MOPFRA!G35</f>
        <v>11.101224646000762</v>
      </c>
      <c r="H35" s="2379">
        <f>MOPFRA!H35</f>
        <v>1.4647435897435896</v>
      </c>
      <c r="I35" s="2379">
        <f>MOPFRA!I35</f>
        <v>1.6066115702479338</v>
      </c>
      <c r="J35" s="2379">
        <f>MOPFRA!J35</f>
        <v>3.023076923076923</v>
      </c>
      <c r="K35" s="1942">
        <f>MOPFRA!K35</f>
        <v>11</v>
      </c>
      <c r="L35" s="1587">
        <f>MOPFRA!L35</f>
        <v>30</v>
      </c>
      <c r="M35" s="1582" t="str">
        <f>MOPFRA!M35</f>
        <v>BB</v>
      </c>
      <c r="N35" s="1582" t="str">
        <f>MOPFRA!N35</f>
        <v>B</v>
      </c>
      <c r="O35" s="179" t="str">
        <f>MOPFRA!O35</f>
        <v/>
      </c>
      <c r="P35" s="856" t="str">
        <f>MOPFRA!P35</f>
        <v>PH</v>
      </c>
      <c r="Q35" s="1571" t="str">
        <f>MOPFRA!Q35</f>
        <v>توليدمواداوليه‌داروپخش‌</v>
      </c>
      <c r="R35" s="1571" t="str">
        <f>MOPFRA!R35</f>
        <v>دتماد</v>
      </c>
      <c r="S35" s="1572">
        <f>MOPFRA!S35</f>
        <v>12</v>
      </c>
      <c r="T35" s="1641">
        <f>MOPFRA!T35</f>
        <v>12535.6</v>
      </c>
      <c r="U35" s="258">
        <f>MOPFRA!U35</f>
        <v>44670</v>
      </c>
      <c r="V35" s="338">
        <f>MOPFRA!V35</f>
        <v>2.76</v>
      </c>
      <c r="W35" s="258">
        <f>MOPFRA!W35</f>
        <v>44770</v>
      </c>
      <c r="X35" s="337">
        <f>MOPFRA!X35</f>
        <v>2.99</v>
      </c>
      <c r="Y35" s="1708">
        <f>MOPFRA!Y35</f>
        <v>16397.599999999999</v>
      </c>
      <c r="Z35" s="661" t="str">
        <f>MOPFRA!Z35</f>
        <v/>
      </c>
      <c r="AA35" s="2382">
        <f>MOPFRA!AA35</f>
        <v>0.29020172910662828</v>
      </c>
      <c r="AB35" s="511">
        <f ca="1">MOPFRA!AB35</f>
        <v>7.1506849315068496E-2</v>
      </c>
      <c r="AC35" s="823">
        <f ca="1">MOPFRA!AC35</f>
        <v>-75.412027514330958</v>
      </c>
      <c r="AD35" s="1150">
        <f>MOPFRA!AD35</f>
        <v>0.29020172910662828</v>
      </c>
      <c r="AE35" s="1150">
        <f>MOPFRA!AE35</f>
        <v>1.6463162339033144</v>
      </c>
      <c r="AF35" s="1150">
        <f>MOPFRA!AF35</f>
        <v>2.4447925254190714</v>
      </c>
      <c r="AG35" s="1150">
        <f>MOPFRA!AG35</f>
        <v>2.3852551984877128</v>
      </c>
      <c r="AH35" s="1150">
        <f>MOPFRA!AH35</f>
        <v>4.0323564833400241</v>
      </c>
      <c r="AI35" s="275">
        <f ca="1">MOPFRA!AI35</f>
        <v>336</v>
      </c>
      <c r="AJ35" s="1120">
        <f>MOPFRA!AJ35</f>
        <v>46210</v>
      </c>
      <c r="AK35" s="1693">
        <f>MOPFRA!AK35</f>
        <v>46333</v>
      </c>
      <c r="AL35" s="1345">
        <f>MOPFRA!AL35</f>
        <v>2800000000</v>
      </c>
      <c r="AM35" s="29">
        <f>MOPFRA!AM35</f>
        <v>0</v>
      </c>
      <c r="AN35" s="29">
        <f>MOPFRA!AN35</f>
        <v>0</v>
      </c>
      <c r="AO35" s="685">
        <f>MOPFRA!AO35</f>
        <v>0.23</v>
      </c>
      <c r="AP35" s="174">
        <f>MOPFRA!AP35</f>
        <v>0</v>
      </c>
      <c r="AQ35" s="1416">
        <f>MOPFRA!AQ35</f>
        <v>3120</v>
      </c>
      <c r="AR35" s="1416">
        <f>MOPFRA!AR35</f>
        <v>1575</v>
      </c>
      <c r="AS35" s="766">
        <f>MOPFRA!AS35</f>
        <v>6698</v>
      </c>
      <c r="AT35" s="984">
        <f>MOPFRA!AT35</f>
        <v>4</v>
      </c>
      <c r="AU35" s="376">
        <f>MOPFRA!AU35</f>
        <v>1.8715437444013139</v>
      </c>
      <c r="AV35" s="99">
        <f>MOPFRA!AV35</f>
        <v>-0.67748693898979528</v>
      </c>
      <c r="AW35" s="2380">
        <f>MOPFRA!AW35</f>
        <v>1577</v>
      </c>
      <c r="AX35" s="2380">
        <f>MOPFRA!AX35</f>
        <v>761</v>
      </c>
      <c r="AY35" s="2374">
        <f>MOPFRA!AY35</f>
        <v>0.48299999999999998</v>
      </c>
      <c r="AZ35" s="2370">
        <f>MOPFRA!AZ35</f>
        <v>0.42399999999999999</v>
      </c>
      <c r="BA35" s="2372">
        <f>MOPFRA!BA35</f>
        <v>0.505</v>
      </c>
      <c r="BB35" s="2373">
        <f>MOPFRA!BB35</f>
        <v>0.40500000000000003</v>
      </c>
      <c r="BC35" s="2375">
        <f>MOPFRA!BC35</f>
        <v>3.6999999999999975</v>
      </c>
      <c r="BD35" s="2376">
        <f>MOPFRA!BD35</f>
        <v>0.36399999999999999</v>
      </c>
      <c r="BE35" s="2370">
        <f>MOPFRA!BE35</f>
        <v>0.32700000000000001</v>
      </c>
      <c r="BF35" s="2371">
        <f>MOPFRA!BF35</f>
        <v>0.39800000000000002</v>
      </c>
      <c r="BG35" s="1422">
        <f>MOPFRA!BG35</f>
        <v>0.30299999999999999</v>
      </c>
      <c r="BH35" s="306">
        <f>MOPFRA!BH35</f>
        <v>0.11899999999999999</v>
      </c>
      <c r="BI35" s="1861">
        <f>MOPFRA!BI35</f>
        <v>750.65199999999993</v>
      </c>
      <c r="BJ35" s="306">
        <f>MOPFRA!BJ35</f>
        <v>9.6999999999999975E-2</v>
      </c>
      <c r="BK35" s="99">
        <f>MOPFRA!BK35</f>
        <v>0</v>
      </c>
      <c r="BL35" s="306">
        <f>MOPFRA!BL35</f>
        <v>1.1467948717948717</v>
      </c>
      <c r="BM35" s="99">
        <f>MOPFRA!BM35</f>
        <v>10</v>
      </c>
      <c r="BN35" s="15">
        <f>MOPFRA!BN35</f>
        <v>0</v>
      </c>
      <c r="BO35" s="1803">
        <f>MOPFRA!BO35</f>
        <v>3</v>
      </c>
      <c r="BP35" s="842">
        <f>MOPFRA!BP35</f>
        <v>1</v>
      </c>
      <c r="BQ35" s="16">
        <f>MOPFRA!BQ35</f>
        <v>2052</v>
      </c>
      <c r="BR35" s="16">
        <f>MOPFRA!BR35</f>
        <v>0</v>
      </c>
      <c r="BS35" s="16">
        <f>MOPFRA!BS35</f>
        <v>0</v>
      </c>
      <c r="BT35" s="1253">
        <f>MOPFRA!BT35</f>
        <v>8714.5428571428565</v>
      </c>
      <c r="BU35" s="1246">
        <f>MOPFRA!BU35</f>
        <v>8200</v>
      </c>
      <c r="BV35" s="406">
        <f>MOPFRA!BV35</f>
        <v>0</v>
      </c>
      <c r="BW35" s="407">
        <f>MOPFRA!BW35</f>
        <v>5.2936695219160521</v>
      </c>
      <c r="BX35" s="99">
        <f>MOPFRA!BX35</f>
        <v>-1.4683476095802606</v>
      </c>
      <c r="BY35" s="18">
        <f>MOPFRA!BY35</f>
        <v>2368.0360000000001</v>
      </c>
      <c r="BZ35" s="18">
        <f>MOPFRA!BZ35</f>
        <v>1605.0704225352115</v>
      </c>
      <c r="CA35" s="18">
        <f>MOPFRA!CA35</f>
        <v>3235.134</v>
      </c>
      <c r="CB35" s="1710">
        <f>MOPFRA!CB35</f>
        <v>5.0685999405279656</v>
      </c>
      <c r="CC35" s="266">
        <f>MOPFRA!CC35</f>
        <v>5718</v>
      </c>
      <c r="CD35" s="267">
        <f>MOPFRA!CD35</f>
        <v>7.81</v>
      </c>
      <c r="CE35" s="99">
        <f>MOPFRA!CE35</f>
        <v>-8.43</v>
      </c>
      <c r="CF35" s="17">
        <f>MOPFRA!CF35</f>
        <v>1.6967647451305639</v>
      </c>
      <c r="CG35" s="99">
        <f>MOPFRA!CG35</f>
        <v>1.2129410194777446</v>
      </c>
      <c r="CH35" s="494">
        <f>MOPFRA!CH35</f>
        <v>0.35999331103678933</v>
      </c>
      <c r="CI35" s="99">
        <f>MOPFRA!CI35</f>
        <v>-0.60010033444816036</v>
      </c>
      <c r="CJ35" s="20">
        <f>MOPFRA!CJ35</f>
        <v>0</v>
      </c>
      <c r="CK35" s="691">
        <f>MOPFRA!CK35</f>
        <v>280</v>
      </c>
      <c r="CL35" s="419">
        <f>MOPFRA!CL35</f>
        <v>589</v>
      </c>
      <c r="CM35" s="468">
        <f>MOPFRA!CM35</f>
        <v>2</v>
      </c>
      <c r="CN35" s="843">
        <f>MOPFRA!CN35</f>
        <v>0</v>
      </c>
      <c r="CO35" s="21">
        <f>MOPFRA!CO35</f>
        <v>574</v>
      </c>
      <c r="CP35" s="21">
        <f>MOPFRA!CP35</f>
        <v>0</v>
      </c>
      <c r="CQ35" s="469">
        <f>MOPFRA!CQ35</f>
        <v>574</v>
      </c>
      <c r="CR35" s="1239">
        <f>MOPFRA!CR35</f>
        <v>812.69066666666663</v>
      </c>
      <c r="CS35" s="21">
        <f>MOPFRA!CS35</f>
        <v>1163</v>
      </c>
      <c r="CT35" s="16">
        <f>MOPFRA!CT35</f>
        <v>-14</v>
      </c>
      <c r="CU35" s="154" t="str">
        <f>MOPFRA!CU35</f>
        <v/>
      </c>
      <c r="CV35" s="693">
        <f>MOPFRA!CV35</f>
        <v>1459</v>
      </c>
      <c r="CW35" s="49">
        <f>MOPFRA!CW35</f>
        <v>3832</v>
      </c>
      <c r="CX35" s="21">
        <f>MOPFRA!CX35</f>
        <v>596</v>
      </c>
      <c r="CY35" s="49">
        <f>MOPFRA!CY35</f>
        <v>186</v>
      </c>
      <c r="CZ35" s="378">
        <f>MOPFRA!CZ35</f>
        <v>4018</v>
      </c>
      <c r="DA35" s="1058">
        <f>MOPFRA!DA35</f>
        <v>1.335855949895616</v>
      </c>
      <c r="DB35" s="99">
        <f>MOPFRA!DB35</f>
        <v>1.086847599164928</v>
      </c>
      <c r="DC35" s="53">
        <f>MOPFRA!DC35</f>
        <v>5477</v>
      </c>
      <c r="DD35" s="645">
        <f>MOPFRA!DD35</f>
        <v>0.73361329194814684</v>
      </c>
      <c r="DE35" s="13">
        <f>MOPFRA!DE35</f>
        <v>358</v>
      </c>
      <c r="DF35" s="24">
        <f>MOPFRA!DF35</f>
        <v>328</v>
      </c>
      <c r="DG35" s="24">
        <f>MOPFRA!DG35</f>
        <v>0</v>
      </c>
      <c r="DH35" s="51">
        <f>MOPFRA!DH35</f>
        <v>5119</v>
      </c>
      <c r="DI35" s="8">
        <f>MOPFRA!DI35</f>
        <v>1287</v>
      </c>
      <c r="DJ35" s="644">
        <f>MOPFRA!DJ35</f>
        <v>5.2043512043512044</v>
      </c>
      <c r="DK35" s="22">
        <f>MOPFRA!DK35</f>
        <v>970</v>
      </c>
      <c r="DL35" s="22">
        <f>MOPFRA!DL35</f>
        <v>156</v>
      </c>
      <c r="DM35" s="22">
        <f>MOPFRA!DM35</f>
        <v>2401</v>
      </c>
      <c r="DN35" s="138">
        <f>MOPFRA!DN35</f>
        <v>0.73361329194814684</v>
      </c>
      <c r="DO35" s="99">
        <f>MOPFRA!DO35</f>
        <v>-1.447481817456483</v>
      </c>
      <c r="DP35" s="22">
        <f>MOPFRA!DP35</f>
        <v>0</v>
      </c>
      <c r="DQ35" s="8">
        <f>MOPFRA!DQ35</f>
        <v>1592</v>
      </c>
      <c r="DR35" s="32">
        <f>MOPFRA!DR35</f>
        <v>-0.18422729939470822</v>
      </c>
      <c r="DS35" s="99">
        <f>MOPFRA!DS35</f>
        <v>0</v>
      </c>
      <c r="DT35" s="8">
        <f>MOPFRA!DT35</f>
        <v>20813.52</v>
      </c>
      <c r="DU35" s="8">
        <f>MOPFRA!DU35</f>
        <v>29520</v>
      </c>
      <c r="DV35" s="235">
        <f>MOPFRA!DV35</f>
        <v>2103.5714285714284</v>
      </c>
      <c r="DW35" s="8">
        <f>MOPFRA!DW35</f>
        <v>26218.545714285716</v>
      </c>
      <c r="DX35" s="411">
        <f>MOPFRA!DX35</f>
        <v>123</v>
      </c>
      <c r="DY35" s="1532">
        <f>MOPFRA!DY35</f>
        <v>2750</v>
      </c>
      <c r="DZ35" s="857">
        <f>MOPFRA!DZ35</f>
        <v>7.3431241655540727E-2</v>
      </c>
      <c r="EA35" s="386">
        <f>MOPFRA!EA35</f>
        <v>0</v>
      </c>
      <c r="EB35" s="504">
        <f>MOPFRA!EB35</f>
        <v>0</v>
      </c>
      <c r="EC35" s="510">
        <f>MOPFRA!EC35</f>
        <v>34840</v>
      </c>
      <c r="ED35" s="435">
        <f>MOPFRA!ED35</f>
        <v>2491</v>
      </c>
      <c r="EE35" s="510">
        <f>MOPFRA!EE35</f>
        <v>51790</v>
      </c>
      <c r="EF35" s="435">
        <f>MOPFRA!EF35</f>
        <v>3703</v>
      </c>
      <c r="EG35" s="510">
        <f>MOPFRA!EG35</f>
        <v>50890</v>
      </c>
      <c r="EH35" s="435">
        <f>MOPFRA!EH35</f>
        <v>3639</v>
      </c>
      <c r="EI35" s="510">
        <f>MOPFRA!EI35</f>
        <v>66250</v>
      </c>
      <c r="EJ35" s="435">
        <f>MOPFRA!EJ35</f>
        <v>4737</v>
      </c>
      <c r="EK35" s="510">
        <f>MOPFRA!EK35</f>
        <v>34700</v>
      </c>
      <c r="EL35" s="1606">
        <f>MOPFRA!EL35</f>
        <v>9716</v>
      </c>
      <c r="EM35" s="1684">
        <f>MOPFRA!EM35</f>
        <v>34700</v>
      </c>
      <c r="EN35" s="1608">
        <f>MOPFRA!EN35</f>
        <v>9716</v>
      </c>
      <c r="EO35" s="1609">
        <f>MOPFRA!EO35</f>
        <v>2.9004415897230027</v>
      </c>
      <c r="EP35" s="1648">
        <f>MOPFRA!EP35</f>
        <v>11</v>
      </c>
      <c r="EQ35"/>
    </row>
    <row r="36" spans="1:147" ht="35" customHeight="1">
      <c r="A36" s="100">
        <f>MOPFRA!A36</f>
        <v>1.0347963292789695</v>
      </c>
      <c r="B36" s="99">
        <f>MOPFRA!B36</f>
        <v>-2.0652036707210284</v>
      </c>
      <c r="C36" s="1585">
        <f ca="1">MOPFRA!C36</f>
        <v>0.32064990584640995</v>
      </c>
      <c r="D36" s="1651">
        <f>MOPFRA!D36</f>
        <v>1.4514814144861301</v>
      </c>
      <c r="E36" s="1414">
        <f>MOPFRA!E36</f>
        <v>5.6999999999999993</v>
      </c>
      <c r="F36" s="1415">
        <f>MOPFRA!F36</f>
        <v>3.099999999999997</v>
      </c>
      <c r="G36" s="2124">
        <f>MOPFRA!G36</f>
        <v>5.3135740402366016</v>
      </c>
      <c r="H36" s="2379">
        <f>MOPFRA!H36</f>
        <v>0.88596932361076186</v>
      </c>
      <c r="I36" s="2379">
        <f>MOPFRA!I36</f>
        <v>0.26346972782817996</v>
      </c>
      <c r="J36" s="2379">
        <f>MOPFRA!J36</f>
        <v>0.38994858185437054</v>
      </c>
      <c r="K36" s="1942">
        <f>MOPFRA!K36</f>
        <v>26</v>
      </c>
      <c r="L36" s="1587">
        <f>MOPFRA!L36</f>
        <v>28</v>
      </c>
      <c r="M36" s="1582" t="str">
        <f>MOPFRA!M36</f>
        <v>B</v>
      </c>
      <c r="N36" s="1582" t="str">
        <f>MOPFRA!N36</f>
        <v>B</v>
      </c>
      <c r="O36" s="179" t="str">
        <f>MOPFRA!O36</f>
        <v/>
      </c>
      <c r="P36" s="856" t="str">
        <f>MOPFRA!P36</f>
        <v>M</v>
      </c>
      <c r="Q36" s="1571" t="str">
        <f>MOPFRA!Q36</f>
        <v>پارس فولاد سبزوار</v>
      </c>
      <c r="R36" s="1571" t="str">
        <f>MOPFRA!R36</f>
        <v>فسبزوار</v>
      </c>
      <c r="S36" s="1572">
        <f>MOPFRA!S36</f>
        <v>9</v>
      </c>
      <c r="T36" s="66">
        <f>MOPFRA!T36</f>
        <v>27092</v>
      </c>
      <c r="U36" s="258">
        <f>MOPFRA!U36</f>
        <v>67620</v>
      </c>
      <c r="V36" s="338">
        <f>MOPFRA!V36</f>
        <v>2.83</v>
      </c>
      <c r="W36" s="258">
        <f>MOPFRA!W36</f>
        <v>67730</v>
      </c>
      <c r="X36" s="337">
        <f>MOPFRA!X36</f>
        <v>3</v>
      </c>
      <c r="Y36" s="1708">
        <f>MOPFRA!Y36</f>
        <v>39903</v>
      </c>
      <c r="Z36" s="661" t="str">
        <f>MOPFRA!Z36</f>
        <v/>
      </c>
      <c r="AA36" s="2382">
        <f>MOPFRA!AA36</f>
        <v>1.0833589664718548</v>
      </c>
      <c r="AB36" s="511">
        <f ca="1">MOPFRA!AB36</f>
        <v>0.26876712328767122</v>
      </c>
      <c r="AC36" s="823">
        <f ca="1">MOPFRA!AC36</f>
        <v>-74.733196622402176</v>
      </c>
      <c r="AD36" s="1150">
        <f>MOPFRA!AD36</f>
        <v>1.0833589664718548</v>
      </c>
      <c r="AE36" s="1150">
        <f>MOPFRA!AE36</f>
        <v>0.64993909866017052</v>
      </c>
      <c r="AF36" s="1150">
        <f>MOPFRA!AF36</f>
        <v>0.77083469507810964</v>
      </c>
      <c r="AG36" s="1150">
        <f>MOPFRA!AG36</f>
        <v>2.4069416498993963</v>
      </c>
      <c r="AH36" s="1150">
        <f>MOPFRA!AH36</f>
        <v>1.2501661129568107</v>
      </c>
      <c r="AI36" s="275">
        <f ca="1">MOPFRA!AI36</f>
        <v>256</v>
      </c>
      <c r="AJ36" s="1120">
        <f>MOPFRA!AJ36</f>
        <v>46130</v>
      </c>
      <c r="AK36" s="1693">
        <f>MOPFRA!AK36</f>
        <v>46183</v>
      </c>
      <c r="AL36" s="1345">
        <f>MOPFRA!AL36</f>
        <v>4000000000</v>
      </c>
      <c r="AM36" s="29">
        <f>MOPFRA!AM36</f>
        <v>0</v>
      </c>
      <c r="AN36" s="29">
        <f>MOPFRA!AN36</f>
        <v>0</v>
      </c>
      <c r="AO36" s="685">
        <f>MOPFRA!AO36</f>
        <v>8.9599999999999999E-2</v>
      </c>
      <c r="AP36" s="174">
        <f>MOPFRA!AP36</f>
        <v>0</v>
      </c>
      <c r="AQ36" s="1416">
        <f>MOPFRA!AQ36</f>
        <v>14130</v>
      </c>
      <c r="AR36" s="1416">
        <f>MOPFRA!AR36</f>
        <v>4303</v>
      </c>
      <c r="AS36" s="766">
        <f>MOPFRA!AS36</f>
        <v>25047.623271310033</v>
      </c>
      <c r="AT36" s="984">
        <f>MOPFRA!AT36</f>
        <v>4</v>
      </c>
      <c r="AU36" s="376">
        <f>MOPFRA!AU36</f>
        <v>1.0816195894734504</v>
      </c>
      <c r="AV36" s="99">
        <f>MOPFRA!AV36</f>
        <v>-3.4106981716564064</v>
      </c>
      <c r="AW36" s="2380">
        <f>MOPFRA!AW36</f>
        <v>12179</v>
      </c>
      <c r="AX36" s="2380">
        <f>MOPFRA!AX36</f>
        <v>4813</v>
      </c>
      <c r="AY36" s="2374">
        <f>MOPFRA!AY36</f>
        <v>0.39500000000000002</v>
      </c>
      <c r="AZ36" s="2370">
        <f>MOPFRA!AZ36</f>
        <v>0.33800000000000002</v>
      </c>
      <c r="BA36" s="2372">
        <f>MOPFRA!BA36</f>
        <v>0.30499999999999999</v>
      </c>
      <c r="BB36" s="2373">
        <f>MOPFRA!BB36</f>
        <v>0.40200000000000002</v>
      </c>
      <c r="BC36" s="2375">
        <f>MOPFRA!BC36</f>
        <v>3.099999999999997</v>
      </c>
      <c r="BD36" s="2376">
        <f>MOPFRA!BD36</f>
        <v>0.35299999999999998</v>
      </c>
      <c r="BE36" s="2370">
        <f>MOPFRA!BE36</f>
        <v>0.32200000000000001</v>
      </c>
      <c r="BF36" s="2371">
        <f>MOPFRA!BF36</f>
        <v>0.26800000000000002</v>
      </c>
      <c r="BG36" s="1422">
        <f>MOPFRA!BG36</f>
        <v>0.39800000000000002</v>
      </c>
      <c r="BH36" s="306">
        <f>MOPFRA!BH36</f>
        <v>4.2000000000000037E-2</v>
      </c>
      <c r="BI36" s="1861">
        <f>MOPFRA!BI36</f>
        <v>1023.0360000000009</v>
      </c>
      <c r="BJ36" s="306">
        <f>MOPFRA!BJ36</f>
        <v>1.6000000000000014E-2</v>
      </c>
      <c r="BK36" s="99">
        <f>MOPFRA!BK36</f>
        <v>0</v>
      </c>
      <c r="BL36" s="306">
        <f>MOPFRA!BL36</f>
        <v>0.77265557475654867</v>
      </c>
      <c r="BM36" s="99">
        <f>MOPFRA!BM36</f>
        <v>-9.3211017514591852</v>
      </c>
      <c r="BN36" s="15">
        <f>MOPFRA!BN36</f>
        <v>0</v>
      </c>
      <c r="BO36" s="1501">
        <f>MOPFRA!BO36</f>
        <v>3</v>
      </c>
      <c r="BP36" s="842">
        <f>MOPFRA!BP36</f>
        <v>2</v>
      </c>
      <c r="BQ36" s="16">
        <f>MOPFRA!BQ36</f>
        <v>5396</v>
      </c>
      <c r="BR36" s="16">
        <f>MOPFRA!BR36</f>
        <v>10720</v>
      </c>
      <c r="BS36" s="16">
        <f>MOPFRA!BS36</f>
        <v>0</v>
      </c>
      <c r="BT36" s="1253">
        <f>MOPFRA!BT36</f>
        <v>22137.027536931098</v>
      </c>
      <c r="BU36" s="1246">
        <f>MOPFRA!BU36</f>
        <v>21440</v>
      </c>
      <c r="BV36" s="406">
        <f>MOPFRA!BV36</f>
        <v>0</v>
      </c>
      <c r="BW36" s="407">
        <f>MOPFRA!BW36</f>
        <v>3.1085185855138695</v>
      </c>
      <c r="BX36" s="99">
        <f>MOPFRA!BX36</f>
        <v>9.4574070724306516</v>
      </c>
      <c r="BY36" s="18">
        <f>MOPFRA!BY36</f>
        <v>8715.4055073862201</v>
      </c>
      <c r="BZ36" s="18">
        <f>MOPFRA!BZ36</f>
        <v>5941.2280701754389</v>
      </c>
      <c r="CA36" s="18">
        <f>MOPFRA!CA36</f>
        <v>9893.8111921674627</v>
      </c>
      <c r="CB36" s="1710">
        <f>MOPFRA!CB36</f>
        <v>4.0331272979607311</v>
      </c>
      <c r="CC36" s="266">
        <f>MOPFRA!CC36</f>
        <v>14832</v>
      </c>
      <c r="CD36" s="267">
        <f>MOPFRA!CD36</f>
        <v>4.5599999999999996</v>
      </c>
      <c r="CE36" s="99">
        <f>MOPFRA!CE36</f>
        <v>1.3200000000000012</v>
      </c>
      <c r="CF36" s="17">
        <f>MOPFRA!CF36</f>
        <v>1.5409495276631946</v>
      </c>
      <c r="CG36" s="99">
        <f>MOPFRA!CG36</f>
        <v>1.8362018893472216</v>
      </c>
      <c r="CH36" s="494">
        <f>MOPFRA!CH36</f>
        <v>0.36475288806337242</v>
      </c>
      <c r="CI36" s="99">
        <f>MOPFRA!CI36</f>
        <v>-0.52870667904941415</v>
      </c>
      <c r="CJ36" s="19">
        <f>MOPFRA!CJ36</f>
        <v>0</v>
      </c>
      <c r="CK36" s="691">
        <f>MOPFRA!CK36</f>
        <v>400</v>
      </c>
      <c r="CL36" s="419">
        <f>MOPFRA!CL36</f>
        <v>2608</v>
      </c>
      <c r="CM36" s="468">
        <f>MOPFRA!CM36</f>
        <v>13</v>
      </c>
      <c r="CN36" s="843">
        <f>MOPFRA!CN36</f>
        <v>-15</v>
      </c>
      <c r="CO36" s="21">
        <f>MOPFRA!CO36</f>
        <v>4288</v>
      </c>
      <c r="CP36" s="21">
        <f>MOPFRA!CP36</f>
        <v>0</v>
      </c>
      <c r="CQ36" s="469">
        <f>MOPFRA!CQ36</f>
        <v>4288</v>
      </c>
      <c r="CR36" s="1239">
        <f>MOPFRA!CR36</f>
        <v>5157.7230919505901</v>
      </c>
      <c r="CS36" s="21">
        <f>MOPFRA!CS36</f>
        <v>6896</v>
      </c>
      <c r="CT36" s="16">
        <f>MOPFRA!CT36</f>
        <v>-408</v>
      </c>
      <c r="CU36" s="154" t="str">
        <f>MOPFRA!CU36</f>
        <v/>
      </c>
      <c r="CV36" s="693">
        <f>MOPFRA!CV36</f>
        <v>6927</v>
      </c>
      <c r="CW36" s="49">
        <f>MOPFRA!CW36</f>
        <v>13332</v>
      </c>
      <c r="CX36" s="21">
        <f>MOPFRA!CX36</f>
        <v>3749</v>
      </c>
      <c r="CY36" s="49">
        <f>MOPFRA!CY36</f>
        <v>98</v>
      </c>
      <c r="CZ36" s="53">
        <f>MOPFRA!CZ36</f>
        <v>13430</v>
      </c>
      <c r="DA36" s="1058">
        <f>MOPFRA!DA36</f>
        <v>1.2726522652265226</v>
      </c>
      <c r="DB36" s="99">
        <f>MOPFRA!DB36</f>
        <v>0.58121812181218147</v>
      </c>
      <c r="DC36" s="53">
        <f>MOPFRA!DC36</f>
        <v>20357</v>
      </c>
      <c r="DD36" s="645">
        <f>MOPFRA!DD36</f>
        <v>0.65972392788721324</v>
      </c>
      <c r="DE36" s="13">
        <f>MOPFRA!DE36</f>
        <v>3390</v>
      </c>
      <c r="DF36" s="24">
        <f>MOPFRA!DF36</f>
        <v>1187</v>
      </c>
      <c r="DG36" s="24">
        <f>MOPFRA!DG36</f>
        <v>0</v>
      </c>
      <c r="DH36" s="51">
        <f>MOPFRA!DH36</f>
        <v>16967</v>
      </c>
      <c r="DI36" s="8">
        <f>MOPFRA!DI36</f>
        <v>3635</v>
      </c>
      <c r="DJ36" s="644">
        <f>MOPFRA!DJ36</f>
        <v>6.8906804047620449</v>
      </c>
      <c r="DK36" s="22">
        <f>MOPFRA!DK36</f>
        <v>3707</v>
      </c>
      <c r="DL36" s="22">
        <f>MOPFRA!DL36</f>
        <v>619</v>
      </c>
      <c r="DM36" s="22">
        <f>MOPFRA!DM36</f>
        <v>10035</v>
      </c>
      <c r="DN36" s="138">
        <f>MOPFRA!DN36</f>
        <v>0.65972392788721324</v>
      </c>
      <c r="DO36" s="99">
        <f>MOPFRA!DO36</f>
        <v>-0.99952415214607848</v>
      </c>
      <c r="DP36" s="22">
        <f>MOPFRA!DP36</f>
        <v>0</v>
      </c>
      <c r="DQ36" s="8">
        <f>MOPFRA!DQ36</f>
        <v>2606</v>
      </c>
      <c r="DR36" s="32">
        <f>MOPFRA!DR36</f>
        <v>-0.37892374608562718</v>
      </c>
      <c r="DS36" s="99">
        <f>MOPFRA!DS36</f>
        <v>-1</v>
      </c>
      <c r="DT36" s="8">
        <f>MOPFRA!DT36</f>
        <v>55768.32</v>
      </c>
      <c r="DU36" s="8">
        <f>MOPFRA!DU36</f>
        <v>79756.800000000003</v>
      </c>
      <c r="DV36" s="235">
        <f>MOPFRA!DV36</f>
        <v>6520</v>
      </c>
      <c r="DW36" s="8">
        <f>MOPFRA!DW36</f>
        <v>71022.559999999998</v>
      </c>
      <c r="DX36" s="411">
        <f>MOPFRA!DX36</f>
        <v>53</v>
      </c>
      <c r="DY36" s="1532">
        <f>MOPFRA!DY36</f>
        <v>6800</v>
      </c>
      <c r="DZ36" s="857">
        <f>MOPFRA!DZ36</f>
        <v>0.17298397354362757</v>
      </c>
      <c r="EA36" s="386">
        <f>MOPFRA!EA36</f>
        <v>0</v>
      </c>
      <c r="EB36" s="504">
        <f>MOPFRA!EB36</f>
        <v>0</v>
      </c>
      <c r="EC36" s="510">
        <f>MOPFRA!EC36</f>
        <v>30100</v>
      </c>
      <c r="ED36" s="435">
        <f>MOPFRA!ED36</f>
        <v>12040</v>
      </c>
      <c r="EE36" s="510">
        <f>MOPFRA!EE36</f>
        <v>19880</v>
      </c>
      <c r="EF36" s="435">
        <f>MOPFRA!EF36</f>
        <v>7952</v>
      </c>
      <c r="EG36" s="510">
        <f>MOPFRA!EG36</f>
        <v>38247</v>
      </c>
      <c r="EH36" s="435">
        <f>MOPFRA!EH36</f>
        <v>15299</v>
      </c>
      <c r="EI36" s="510">
        <f>MOPFRA!EI36</f>
        <v>41050</v>
      </c>
      <c r="EJ36" s="435">
        <f>MOPFRA!EJ36</f>
        <v>16420</v>
      </c>
      <c r="EK36" s="510">
        <f>MOPFRA!EK36</f>
        <v>32510</v>
      </c>
      <c r="EL36" s="1606">
        <f>MOPFRA!EL36</f>
        <v>13004</v>
      </c>
      <c r="EM36" s="1685">
        <f>MOPFRA!EM36</f>
        <v>32510</v>
      </c>
      <c r="EN36" s="1686">
        <f>MOPFRA!EN36</f>
        <v>13004</v>
      </c>
      <c r="EO36" s="1609">
        <f>MOPFRA!EO36</f>
        <v>8.0066445182724252E-2</v>
      </c>
      <c r="EP36" s="1648">
        <f>MOPFRA!EP36</f>
        <v>31</v>
      </c>
      <c r="EQ36"/>
    </row>
    <row r="37" spans="1:147" ht="35" customHeight="1">
      <c r="A37" s="100">
        <f>MOPFRA!A37</f>
        <v>1.5067957015240805</v>
      </c>
      <c r="B37" s="99">
        <f>MOPFRA!B37</f>
        <v>1.1067957015240801</v>
      </c>
      <c r="C37" s="1585">
        <f ca="1">MOPFRA!C37</f>
        <v>0.56408931143005958</v>
      </c>
      <c r="D37" s="1651">
        <f>MOPFRA!D37</f>
        <v>1.2108961258936652</v>
      </c>
      <c r="E37" s="1414">
        <f>MOPFRA!E37</f>
        <v>0.10000000000000009</v>
      </c>
      <c r="F37" s="1415">
        <f>MOPFRA!F37</f>
        <v>0.40000000000000036</v>
      </c>
      <c r="G37" s="2124">
        <f>MOPFRA!G37</f>
        <v>42.274791359842887</v>
      </c>
      <c r="H37" s="2379">
        <f>MOPFRA!H37</f>
        <v>2.2351190476190474</v>
      </c>
      <c r="I37" s="2379">
        <f>MOPFRA!I37</f>
        <v>1.0058823529411764</v>
      </c>
      <c r="J37" s="2379">
        <f>MOPFRA!J37</f>
        <v>2.4385665529010239</v>
      </c>
      <c r="K37" s="1942">
        <f>MOPFRA!K37</f>
        <v>4</v>
      </c>
      <c r="L37" s="2199">
        <f>MOPFRA!L37</f>
        <v>22</v>
      </c>
      <c r="M37" s="1582" t="str">
        <f>MOPFRA!M37</f>
        <v>BB</v>
      </c>
      <c r="N37" s="1582" t="str">
        <f>MOPFRA!N37</f>
        <v>BB</v>
      </c>
      <c r="O37" s="179" t="str">
        <f>MOPFRA!O37</f>
        <v/>
      </c>
      <c r="P37" s="856" t="str">
        <f>MOPFRA!P37</f>
        <v>PH</v>
      </c>
      <c r="Q37" s="1571" t="str">
        <f>MOPFRA!Q37</f>
        <v>پارس‌ دارو</v>
      </c>
      <c r="R37" s="1571" t="str">
        <f>MOPFRA!R37</f>
        <v>دپارس</v>
      </c>
      <c r="S37" s="1572">
        <f>MOPFRA!S37</f>
        <v>12</v>
      </c>
      <c r="T37" s="66">
        <f>MOPFRA!T37</f>
        <v>12115.25</v>
      </c>
      <c r="U37" s="258">
        <f>MOPFRA!U37</f>
        <v>49450</v>
      </c>
      <c r="V37" s="338">
        <f>MOPFRA!V37</f>
        <v>3</v>
      </c>
      <c r="W37" s="258">
        <f>MOPFRA!W37</f>
        <v>49450</v>
      </c>
      <c r="X37" s="337">
        <f>MOPFRA!X37</f>
        <v>3</v>
      </c>
      <c r="Y37" s="1708">
        <f>MOPFRA!Y37</f>
        <v>14133.25</v>
      </c>
      <c r="Z37" s="661" t="str">
        <f>MOPFRA!Z37</f>
        <v/>
      </c>
      <c r="AA37" s="2382">
        <f>MOPFRA!AA37</f>
        <v>0.71531219028741333</v>
      </c>
      <c r="AB37" s="511">
        <f ca="1">MOPFRA!AB37</f>
        <v>0.87287671232876718</v>
      </c>
      <c r="AC37" s="823">
        <f ca="1">MOPFRA!AC37</f>
        <v>4.4509751989083011</v>
      </c>
      <c r="AD37" s="1150" t="str">
        <f>MOPFRA!AD37</f>
        <v/>
      </c>
      <c r="AE37" s="1150">
        <f>MOPFRA!AE37</f>
        <v>0.71531219028741333</v>
      </c>
      <c r="AF37" s="1150">
        <f>MOPFRA!AF37</f>
        <v>1.9973404255319149</v>
      </c>
      <c r="AG37" s="1150">
        <f>MOPFRA!AG37</f>
        <v>1.1162008733624453</v>
      </c>
      <c r="AH37" s="1150">
        <f>MOPFRA!AH37</f>
        <v>3.8558116232464932</v>
      </c>
      <c r="AI37" s="275">
        <f ca="1">MOPFRA!AI37</f>
        <v>11</v>
      </c>
      <c r="AJ37" s="1120">
        <f>MOPFRA!AJ37</f>
        <v>46250</v>
      </c>
      <c r="AK37" s="1693">
        <f>MOPFRA!AK37</f>
        <v>46371</v>
      </c>
      <c r="AL37" s="1345">
        <f>MOPFRA!AL37</f>
        <v>2450000000</v>
      </c>
      <c r="AM37" s="29">
        <f>MOPFRA!AM37</f>
        <v>0</v>
      </c>
      <c r="AN37" s="29">
        <f>MOPFRA!AN37</f>
        <v>0</v>
      </c>
      <c r="AO37" s="685">
        <f>MOPFRA!AO37</f>
        <v>0.19</v>
      </c>
      <c r="AP37" s="174">
        <f>MOPFRA!AP37</f>
        <v>0</v>
      </c>
      <c r="AQ37" s="1416">
        <f>MOPFRA!AQ37</f>
        <v>2410</v>
      </c>
      <c r="AR37" s="1416">
        <f>MOPFRA!AR37</f>
        <v>1281</v>
      </c>
      <c r="AS37" s="766">
        <f>MOPFRA!AS37</f>
        <v>6506.8184523809523</v>
      </c>
      <c r="AT37" s="984">
        <f>MOPFRA!AT37</f>
        <v>4</v>
      </c>
      <c r="AU37" s="376">
        <f>MOPFRA!AU37</f>
        <v>1.429328337353079</v>
      </c>
      <c r="AV37" s="99">
        <f>MOPFRA!AV37</f>
        <v>3.7446671314925539</v>
      </c>
      <c r="AW37" s="2380">
        <f>MOPFRA!AW37</f>
        <v>1364</v>
      </c>
      <c r="AX37" s="2380">
        <f>MOPFRA!AX37</f>
        <v>445</v>
      </c>
      <c r="AY37" s="2374">
        <f>MOPFRA!AY37</f>
        <v>0.32600000000000001</v>
      </c>
      <c r="AZ37" s="2370">
        <f>MOPFRA!AZ37</f>
        <v>0.32500000000000001</v>
      </c>
      <c r="BA37" s="2372">
        <f>MOPFRA!BA37</f>
        <v>0.53200000000000003</v>
      </c>
      <c r="BB37" s="2373">
        <f>MOPFRA!BB37</f>
        <v>0.65200000000000002</v>
      </c>
      <c r="BC37" s="2375">
        <f>MOPFRA!BC37</f>
        <v>0.40000000000000036</v>
      </c>
      <c r="BD37" s="2376">
        <f>MOPFRA!BD37</f>
        <v>0.24299999999999999</v>
      </c>
      <c r="BE37" s="2370">
        <f>MOPFRA!BE37</f>
        <v>0.23899999999999999</v>
      </c>
      <c r="BF37" s="2371">
        <f>MOPFRA!BF37</f>
        <v>0.433</v>
      </c>
      <c r="BG37" s="1422">
        <f>MOPFRA!BG37</f>
        <v>0.55000000000000004</v>
      </c>
      <c r="BH37" s="306">
        <f>MOPFRA!BH37</f>
        <v>8.3000000000000018E-2</v>
      </c>
      <c r="BI37" s="1861">
        <f>MOPFRA!BI37</f>
        <v>452.84800000000013</v>
      </c>
      <c r="BJ37" s="306">
        <f>MOPFRA!BJ37</f>
        <v>8.6000000000000021E-2</v>
      </c>
      <c r="BK37" s="99">
        <f>MOPFRA!BK37</f>
        <v>0</v>
      </c>
      <c r="BL37" s="306">
        <f>MOPFRA!BL37</f>
        <v>1.6999246690377396</v>
      </c>
      <c r="BM37" s="99">
        <f>MOPFRA!BM37</f>
        <v>10</v>
      </c>
      <c r="BN37" s="15">
        <f>MOPFRA!BN37</f>
        <v>0</v>
      </c>
      <c r="BO37" s="1803">
        <f>MOPFRA!BO37</f>
        <v>3</v>
      </c>
      <c r="BP37" s="842">
        <f>MOPFRA!BP37</f>
        <v>1</v>
      </c>
      <c r="BQ37" s="16">
        <f>MOPFRA!BQ37</f>
        <v>1358</v>
      </c>
      <c r="BR37" s="16">
        <f>MOPFRA!BR37</f>
        <v>0</v>
      </c>
      <c r="BS37" s="16">
        <f>MOPFRA!BS37</f>
        <v>0</v>
      </c>
      <c r="BT37" s="1253">
        <f>MOPFRA!BT37</f>
        <v>6637.375036443148</v>
      </c>
      <c r="BU37" s="1246">
        <f>MOPFRA!BU37</f>
        <v>5604.0816326530612</v>
      </c>
      <c r="BV37" s="406">
        <f>MOPFRA!BV37</f>
        <v>0</v>
      </c>
      <c r="BW37" s="407">
        <f>MOPFRA!BW37</f>
        <v>8.0791038741063339</v>
      </c>
      <c r="BX37" s="99">
        <f>MOPFRA!BX37</f>
        <v>-10</v>
      </c>
      <c r="BY37" s="18">
        <f>MOPFRA!BY37</f>
        <v>1499.5784419642855</v>
      </c>
      <c r="BZ37" s="18">
        <f>MOPFRA!BZ37</f>
        <v>1304.1173304628635</v>
      </c>
      <c r="CA37" s="18">
        <f>MOPFRA!CA37</f>
        <v>2121.2228154761906</v>
      </c>
      <c r="CB37" s="1710">
        <f>MOPFRA!CB37</f>
        <v>6.6627842661720784</v>
      </c>
      <c r="CC37" s="266">
        <f>MOPFRA!CC37</f>
        <v>5324</v>
      </c>
      <c r="CD37" s="267">
        <f>MOPFRA!CD37</f>
        <v>9.2899999999999991</v>
      </c>
      <c r="CE37" s="99">
        <f>MOPFRA!CE37</f>
        <v>-10</v>
      </c>
      <c r="CF37" s="17">
        <f>MOPFRA!CF37</f>
        <v>1.3463783844180426</v>
      </c>
      <c r="CG37" s="99">
        <f>MOPFRA!CG37</f>
        <v>2.6144864623278297</v>
      </c>
      <c r="CH37" s="494">
        <f>MOPFRA!CH37</f>
        <v>0.25668922320511561</v>
      </c>
      <c r="CI37" s="99">
        <f>MOPFRA!CI37</f>
        <v>-2.1496616519232661</v>
      </c>
      <c r="CJ37" s="20">
        <f>MOPFRA!CJ37</f>
        <v>0</v>
      </c>
      <c r="CK37" s="691">
        <f>MOPFRA!CK37</f>
        <v>245</v>
      </c>
      <c r="CL37" s="419">
        <f>MOPFRA!CL37</f>
        <v>1428</v>
      </c>
      <c r="CM37" s="468">
        <f>MOPFRA!CM37</f>
        <v>45</v>
      </c>
      <c r="CN37" s="843">
        <f>MOPFRA!CN37</f>
        <v>1</v>
      </c>
      <c r="CO37" s="21">
        <f>MOPFRA!CO37</f>
        <v>333</v>
      </c>
      <c r="CP37" s="21">
        <f>MOPFRA!CP37</f>
        <v>303</v>
      </c>
      <c r="CQ37" s="469">
        <f>MOPFRA!CQ37</f>
        <v>343.25</v>
      </c>
      <c r="CR37" s="1239">
        <f>MOPFRA!CR37</f>
        <v>830.05229464285708</v>
      </c>
      <c r="CS37" s="21">
        <f>MOPFRA!CS37</f>
        <v>1761</v>
      </c>
      <c r="CT37" s="16">
        <f>MOPFRA!CT37</f>
        <v>-6</v>
      </c>
      <c r="CU37" s="154" t="str">
        <f>MOPFRA!CU37</f>
        <v/>
      </c>
      <c r="CV37" s="693">
        <f>MOPFRA!CV37</f>
        <v>2026</v>
      </c>
      <c r="CW37" s="49">
        <f>MOPFRA!CW37</f>
        <v>1927</v>
      </c>
      <c r="CX37" s="21">
        <f>MOPFRA!CX37</f>
        <v>253</v>
      </c>
      <c r="CY37" s="49">
        <f>MOPFRA!CY37</f>
        <v>92</v>
      </c>
      <c r="CZ37" s="53">
        <f>MOPFRA!CZ37</f>
        <v>2019</v>
      </c>
      <c r="DA37" s="1058">
        <f>MOPFRA!DA37</f>
        <v>1.9802802283341983</v>
      </c>
      <c r="DB37" s="99">
        <f>MOPFRA!DB37</f>
        <v>6</v>
      </c>
      <c r="DC37" s="53">
        <f>MOPFRA!DC37</f>
        <v>4045</v>
      </c>
      <c r="DD37" s="645">
        <f>MOPFRA!DD37</f>
        <v>0.4991347342398022</v>
      </c>
      <c r="DE37" s="13">
        <f>MOPFRA!DE37</f>
        <v>229</v>
      </c>
      <c r="DF37" s="24">
        <f>MOPFRA!DF37</f>
        <v>139</v>
      </c>
      <c r="DG37" s="24">
        <f>MOPFRA!DG37</f>
        <v>85</v>
      </c>
      <c r="DH37" s="51">
        <f>MOPFRA!DH37</f>
        <v>3816</v>
      </c>
      <c r="DI37" s="8">
        <f>MOPFRA!DI37</f>
        <v>1889</v>
      </c>
      <c r="DJ37" s="644">
        <f>MOPFRA!DJ37</f>
        <v>3.4445836169300965</v>
      </c>
      <c r="DK37" s="22">
        <f>MOPFRA!DK37</f>
        <v>312</v>
      </c>
      <c r="DL37" s="22">
        <f>MOPFRA!DL37</f>
        <v>1</v>
      </c>
      <c r="DM37" s="22">
        <f>MOPFRA!DM37</f>
        <v>3320</v>
      </c>
      <c r="DN37" s="138">
        <f>MOPFRA!DN37</f>
        <v>0.4991347342398022</v>
      </c>
      <c r="DO37" s="99">
        <f>MOPFRA!DO37</f>
        <v>0.8973037596269634</v>
      </c>
      <c r="DP37" s="22">
        <f>MOPFRA!DP37</f>
        <v>0</v>
      </c>
      <c r="DQ37" s="8">
        <f>MOPFRA!DQ37</f>
        <v>183</v>
      </c>
      <c r="DR37" s="32">
        <f>MOPFRA!DR37</f>
        <v>-0.11927082725781656</v>
      </c>
      <c r="DS37" s="99">
        <f>MOPFRA!DS37</f>
        <v>0</v>
      </c>
      <c r="DT37" s="8">
        <f>MOPFRA!DT37</f>
        <v>19379.36</v>
      </c>
      <c r="DU37" s="8">
        <f>MOPFRA!DU37</f>
        <v>20174.693877551021</v>
      </c>
      <c r="DV37" s="235">
        <f>MOPFRA!DV37</f>
        <v>5828.5714285714284</v>
      </c>
      <c r="DW37" s="8">
        <f>MOPFRA!DW37</f>
        <v>22691.312653061224</v>
      </c>
      <c r="DX37" s="411">
        <f>MOPFRA!DX37</f>
        <v>121</v>
      </c>
      <c r="DY37" s="1532">
        <f>MOPFRA!DY37</f>
        <v>12050</v>
      </c>
      <c r="DZ37" s="857">
        <f>MOPFRA!DZ37</f>
        <v>0.29476516634050881</v>
      </c>
      <c r="EA37" s="386">
        <f>MOPFRA!EA37</f>
        <v>0</v>
      </c>
      <c r="EB37" s="504">
        <f>MOPFRA!EB37</f>
        <v>0</v>
      </c>
      <c r="EC37" s="510">
        <f>MOPFRA!EC37</f>
        <v>26260</v>
      </c>
      <c r="ED37" s="435">
        <f>MOPFRA!ED37</f>
        <v>2495</v>
      </c>
      <c r="EE37" s="510">
        <f>MOPFRA!EE37</f>
        <v>60260</v>
      </c>
      <c r="EF37" s="435">
        <f>MOPFRA!EF37</f>
        <v>5725</v>
      </c>
      <c r="EG37" s="510">
        <f>MOPFRA!EG37</f>
        <v>42550</v>
      </c>
      <c r="EH37" s="435">
        <f>MOPFRA!EH37</f>
        <v>4042</v>
      </c>
      <c r="EI37" s="510">
        <f>MOPFRA!EI37</f>
        <v>28830</v>
      </c>
      <c r="EJ37" s="435">
        <f>MOPFRA!EJ37</f>
        <v>7063</v>
      </c>
      <c r="EK37" s="510">
        <f>MOPFRA!EK37</f>
        <v>0</v>
      </c>
      <c r="EL37" s="1606">
        <f>MOPFRA!EL37</f>
        <v>0</v>
      </c>
      <c r="EM37" s="1685">
        <f>MOPFRA!EM37</f>
        <v>28830</v>
      </c>
      <c r="EN37" s="1686">
        <f>MOPFRA!EN37</f>
        <v>7063</v>
      </c>
      <c r="EO37" s="1609">
        <f>MOPFRA!EO37</f>
        <v>1.8308617234468938</v>
      </c>
      <c r="EP37" s="1648">
        <f>MOPFRA!EP37</f>
        <v>16</v>
      </c>
      <c r="EQ37"/>
    </row>
    <row r="38" spans="1:147" ht="35" customHeight="1">
      <c r="A38" s="100">
        <f>MOPFRA!A38</f>
        <v>1.2283214162342571E-2</v>
      </c>
      <c r="B38" s="99">
        <f>MOPFRA!B38</f>
        <v>1.7122832141623427</v>
      </c>
      <c r="C38" s="1585">
        <f ca="1">MOPFRA!C38</f>
        <v>0.27063632587929265</v>
      </c>
      <c r="D38" s="1651">
        <f>MOPFRA!D38</f>
        <v>-1.3688019735483934</v>
      </c>
      <c r="E38" s="1414">
        <f>MOPFRA!E38</f>
        <v>-1.7000000000000002</v>
      </c>
      <c r="F38" s="1415">
        <f>MOPFRA!F38</f>
        <v>-1.7000000000000002</v>
      </c>
      <c r="G38" s="2124">
        <f>MOPFRA!G38</f>
        <v>-12.549292507538867</v>
      </c>
      <c r="H38" s="2379">
        <f>MOPFRA!H38</f>
        <v>1.4300626304801669</v>
      </c>
      <c r="I38" s="2379">
        <f>MOPFRA!I38</f>
        <v>0.17631224764468373</v>
      </c>
      <c r="J38" s="2379">
        <f>MOPFRA!J38</f>
        <v>0.20626631853785901</v>
      </c>
      <c r="K38" s="1942">
        <f>MOPFRA!K38</f>
        <v>12</v>
      </c>
      <c r="L38" s="1587">
        <f>MOPFRA!L38</f>
        <v>36</v>
      </c>
      <c r="M38" s="1582" t="str">
        <f>MOPFRA!M38</f>
        <v>B</v>
      </c>
      <c r="N38" s="1582" t="str">
        <f>MOPFRA!N38</f>
        <v>S</v>
      </c>
      <c r="O38" s="179" t="str">
        <f>MOPFRA!O38</f>
        <v/>
      </c>
      <c r="P38" s="856" t="str">
        <f>MOPFRA!P38</f>
        <v>F</v>
      </c>
      <c r="Q38" s="1571" t="str">
        <f>MOPFRA!Q38</f>
        <v>كشاورزي و دامپروري فجر اصفهان</v>
      </c>
      <c r="R38" s="1571" t="str">
        <f>MOPFRA!R38</f>
        <v>زفجر</v>
      </c>
      <c r="S38" s="1572">
        <f>MOPFRA!S38</f>
        <v>12</v>
      </c>
      <c r="T38" s="66">
        <f>MOPFRA!T38</f>
        <v>4119.3</v>
      </c>
      <c r="U38" s="258">
        <f>MOPFRA!U38</f>
        <v>45770</v>
      </c>
      <c r="V38" s="338">
        <f>MOPFRA!V38</f>
        <v>2.99</v>
      </c>
      <c r="W38" s="258">
        <f>MOPFRA!W38</f>
        <v>45770</v>
      </c>
      <c r="X38" s="337">
        <f>MOPFRA!X38</f>
        <v>2.99</v>
      </c>
      <c r="Y38" s="1708">
        <f>MOPFRA!Y38</f>
        <v>5163.3</v>
      </c>
      <c r="Z38" s="661">
        <f>MOPFRA!Z38</f>
        <v>0</v>
      </c>
      <c r="AA38" s="2382">
        <f>MOPFRA!AA38</f>
        <v>7.4693451604487399E-2</v>
      </c>
      <c r="AB38" s="511">
        <f ca="1">MOPFRA!AB38</f>
        <v>4.9315068493150684E-2</v>
      </c>
      <c r="AC38" s="823">
        <f ca="1">MOPFRA!AC38</f>
        <v>-12.689191555668357</v>
      </c>
      <c r="AD38" s="1150">
        <f>MOPFRA!AD38</f>
        <v>7.4693451604487399E-2</v>
      </c>
      <c r="AE38" s="1150">
        <f>MOPFRA!AE38</f>
        <v>2.0244493392070484</v>
      </c>
      <c r="AF38" s="1150">
        <f>MOPFRA!AF38</f>
        <v>1.7462000000000002</v>
      </c>
      <c r="AG38" s="1150">
        <f>MOPFRA!AG38</f>
        <v>1.4755408653846156</v>
      </c>
      <c r="AH38" s="1150" t="str">
        <f>MOPFRA!AH38</f>
        <v/>
      </c>
      <c r="AI38" s="275">
        <f ca="1">MOPFRA!AI38</f>
        <v>345</v>
      </c>
      <c r="AJ38" s="1120">
        <f>MOPFRA!AJ38</f>
        <v>46219</v>
      </c>
      <c r="AK38" s="1693">
        <f>MOPFRA!AK38</f>
        <v>46316</v>
      </c>
      <c r="AL38" s="1345">
        <f>MOPFRA!AL38</f>
        <v>900000000</v>
      </c>
      <c r="AM38" s="29">
        <f>MOPFRA!AM38</f>
        <v>0</v>
      </c>
      <c r="AN38" s="29">
        <f>MOPFRA!AN38</f>
        <v>0</v>
      </c>
      <c r="AO38" s="685">
        <f>MOPFRA!AO38</f>
        <v>0.05</v>
      </c>
      <c r="AP38" s="174">
        <f>MOPFRA!AP38</f>
        <v>0</v>
      </c>
      <c r="AQ38" s="1416">
        <f>MOPFRA!AQ38</f>
        <v>2136</v>
      </c>
      <c r="AR38" s="1416">
        <f>MOPFRA!AR38</f>
        <v>485</v>
      </c>
      <c r="AS38" s="766">
        <f>MOPFRA!AS38</f>
        <v>4173.556889352818</v>
      </c>
      <c r="AT38" s="984">
        <f>MOPFRA!AT38</f>
        <v>4</v>
      </c>
      <c r="AU38" s="376">
        <f>MOPFRA!AU38</f>
        <v>0.98699984430756582</v>
      </c>
      <c r="AV38" s="99">
        <f>MOPFRA!AV38</f>
        <v>-1.2575455867045771</v>
      </c>
      <c r="AW38" s="2380">
        <f>MOPFRA!AW38</f>
        <v>874</v>
      </c>
      <c r="AX38" s="2380">
        <f>MOPFRA!AX38</f>
        <v>85</v>
      </c>
      <c r="AY38" s="2374">
        <f>MOPFRA!AY38</f>
        <v>9.7000000000000003E-2</v>
      </c>
      <c r="AZ38" s="2370">
        <f>MOPFRA!AZ38</f>
        <v>0.114</v>
      </c>
      <c r="BA38" s="2372">
        <f>MOPFRA!BA38</f>
        <v>0.22700000000000001</v>
      </c>
      <c r="BB38" s="2373">
        <f>MOPFRA!BB38</f>
        <v>0.14599999999999999</v>
      </c>
      <c r="BC38" s="2375">
        <f>MOPFRA!BC38</f>
        <v>-1.7000000000000002</v>
      </c>
      <c r="BD38" s="2376">
        <f>MOPFRA!BD38</f>
        <v>9.7000000000000003E-2</v>
      </c>
      <c r="BE38" s="2370">
        <f>MOPFRA!BE38</f>
        <v>0.114</v>
      </c>
      <c r="BF38" s="2371">
        <f>MOPFRA!BF38</f>
        <v>0.22700000000000001</v>
      </c>
      <c r="BG38" s="1422">
        <f>MOPFRA!BG38</f>
        <v>0.14499999999999999</v>
      </c>
      <c r="BH38" s="306">
        <f>MOPFRA!BH38</f>
        <v>0</v>
      </c>
      <c r="BI38" s="1861">
        <f>MOPFRA!BI38</f>
        <v>0</v>
      </c>
      <c r="BJ38" s="306">
        <f>MOPFRA!BJ38</f>
        <v>0</v>
      </c>
      <c r="BK38" s="99">
        <f>MOPFRA!BK38</f>
        <v>1</v>
      </c>
      <c r="BL38" s="306">
        <f>MOPFRA!BL38</f>
        <v>0.95391240138240541</v>
      </c>
      <c r="BM38" s="99">
        <f>MOPFRA!BM38</f>
        <v>10</v>
      </c>
      <c r="BN38" s="15">
        <f>MOPFRA!BN38</f>
        <v>0</v>
      </c>
      <c r="BO38" s="1803">
        <f>MOPFRA!BO38</f>
        <v>3</v>
      </c>
      <c r="BP38" s="842">
        <f>MOPFRA!BP38</f>
        <v>1</v>
      </c>
      <c r="BQ38" s="16">
        <f>MOPFRA!BQ38</f>
        <v>1743</v>
      </c>
      <c r="BR38" s="16">
        <f>MOPFRA!BR38</f>
        <v>0</v>
      </c>
      <c r="BS38" s="16">
        <f>MOPFRA!BS38</f>
        <v>0</v>
      </c>
      <c r="BT38" s="1253">
        <f>MOPFRA!BT38</f>
        <v>5809.277980746926</v>
      </c>
      <c r="BU38" s="1246">
        <f>MOPFRA!BU38</f>
        <v>6977.7777777777783</v>
      </c>
      <c r="BV38" s="406">
        <f>MOPFRA!BV38</f>
        <v>0</v>
      </c>
      <c r="BW38" s="407">
        <f>MOPFRA!BW38</f>
        <v>7.1588019735483934</v>
      </c>
      <c r="BX38" s="99">
        <f>MOPFRA!BX38</f>
        <v>-10</v>
      </c>
      <c r="BY38" s="18">
        <f>MOPFRA!BY38</f>
        <v>575.4175091336117</v>
      </c>
      <c r="BZ38" s="18">
        <f>MOPFRA!BZ38</f>
        <v>711.45077720207257</v>
      </c>
      <c r="CA38" s="18">
        <f>MOPFRA!CA38</f>
        <v>404.83501826722335</v>
      </c>
      <c r="CB38" s="1710">
        <f>MOPFRA!CB38</f>
        <v>12.754084422093671</v>
      </c>
      <c r="CC38" s="266">
        <f>MOPFRA!CC38</f>
        <v>7903</v>
      </c>
      <c r="CD38" s="267">
        <f>MOPFRA!CD38</f>
        <v>5.79</v>
      </c>
      <c r="CE38" s="99">
        <f>MOPFRA!CE38</f>
        <v>-2.37</v>
      </c>
      <c r="CF38" s="17">
        <f>MOPFRA!CF38</f>
        <v>1.8264998602188143</v>
      </c>
      <c r="CG38" s="99">
        <f>MOPFRA!CG38</f>
        <v>0.6940005591247429</v>
      </c>
      <c r="CH38" s="494">
        <f>MOPFRA!CH38</f>
        <v>0.24888300568062791</v>
      </c>
      <c r="CI38" s="99">
        <f>MOPFRA!CI38</f>
        <v>-2.2667549147905817</v>
      </c>
      <c r="CJ38" s="20">
        <f>MOPFRA!CJ38</f>
        <v>0</v>
      </c>
      <c r="CK38" s="691">
        <f>MOPFRA!CK38</f>
        <v>90</v>
      </c>
      <c r="CL38" s="419">
        <f>MOPFRA!CL38</f>
        <v>781</v>
      </c>
      <c r="CM38" s="468">
        <f>MOPFRA!CM38</f>
        <v>118</v>
      </c>
      <c r="CN38" s="843">
        <f>MOPFRA!CN38</f>
        <v>72</v>
      </c>
      <c r="CO38" s="21">
        <f>MOPFRA!CO38</f>
        <v>157</v>
      </c>
      <c r="CP38" s="21">
        <f>MOPFRA!CP38</f>
        <v>0</v>
      </c>
      <c r="CQ38" s="469">
        <f>MOPFRA!CQ38</f>
        <v>157</v>
      </c>
      <c r="CR38" s="1239">
        <f>MOPFRA!CR38</f>
        <v>134.94500608907444</v>
      </c>
      <c r="CS38" s="21">
        <f>MOPFRA!CS38</f>
        <v>938</v>
      </c>
      <c r="CT38" s="16">
        <f>MOPFRA!CT38</f>
        <v>-400</v>
      </c>
      <c r="CU38" s="154" t="str">
        <f>MOPFRA!CU38</f>
        <v/>
      </c>
      <c r="CV38" s="693">
        <f>MOPFRA!CV38</f>
        <v>1237</v>
      </c>
      <c r="CW38" s="49">
        <f>MOPFRA!CW38</f>
        <v>575</v>
      </c>
      <c r="CX38" s="21">
        <f>MOPFRA!CX38</f>
        <v>33</v>
      </c>
      <c r="CY38" s="49">
        <f>MOPFRA!CY38</f>
        <v>476</v>
      </c>
      <c r="CZ38" s="53">
        <f>MOPFRA!CZ38</f>
        <v>1051</v>
      </c>
      <c r="DA38" s="1058">
        <f>MOPFRA!DA38</f>
        <v>1.8695652173913044</v>
      </c>
      <c r="DB38" s="99">
        <f>MOPFRA!DB38</f>
        <v>5.3565217391304358</v>
      </c>
      <c r="DC38" s="53">
        <f>MOPFRA!DC38</f>
        <v>2288</v>
      </c>
      <c r="DD38" s="645">
        <f>MOPFRA!DD38</f>
        <v>0.45935314685314688</v>
      </c>
      <c r="DE38" s="13">
        <f>MOPFRA!DE38</f>
        <v>1213</v>
      </c>
      <c r="DF38" s="24">
        <f>MOPFRA!DF38</f>
        <v>520</v>
      </c>
      <c r="DG38" s="24">
        <f>MOPFRA!DG38</f>
        <v>0</v>
      </c>
      <c r="DH38" s="51">
        <f>MOPFRA!DH38</f>
        <v>1075</v>
      </c>
      <c r="DI38" s="8">
        <f>MOPFRA!DI38</f>
        <v>500</v>
      </c>
      <c r="DJ38" s="644">
        <f>MOPFRA!DJ38</f>
        <v>8.3471137787056353</v>
      </c>
      <c r="DK38" s="22">
        <f>MOPFRA!DK38</f>
        <v>602</v>
      </c>
      <c r="DL38" s="22">
        <f>MOPFRA!DL38</f>
        <v>7</v>
      </c>
      <c r="DM38" s="22">
        <f>MOPFRA!DM38</f>
        <v>245</v>
      </c>
      <c r="DN38" s="138">
        <f>MOPFRA!DN38</f>
        <v>0.45935314685314688</v>
      </c>
      <c r="DO38" s="99">
        <f>MOPFRA!DO38</f>
        <v>0.55606141740232262</v>
      </c>
      <c r="DP38" s="22">
        <f>MOPFRA!DP38</f>
        <v>0</v>
      </c>
      <c r="DQ38" s="8">
        <f>MOPFRA!DQ38</f>
        <v>221</v>
      </c>
      <c r="DR38" s="32">
        <f>MOPFRA!DR38</f>
        <v>-8.1514687492319091E-2</v>
      </c>
      <c r="DS38" s="99">
        <f>MOPFRA!DS38</f>
        <v>0</v>
      </c>
      <c r="DT38" s="8">
        <f>MOPFRA!DT38</f>
        <v>28766.92</v>
      </c>
      <c r="DU38" s="8">
        <f>MOPFRA!DU38</f>
        <v>25120</v>
      </c>
      <c r="DV38" s="235">
        <f>MOPFRA!DV38</f>
        <v>8677.7777777777774</v>
      </c>
      <c r="DW38" s="8">
        <f>MOPFRA!DW38</f>
        <v>31282.34888888889</v>
      </c>
      <c r="DX38" s="411">
        <f>MOPFRA!DX38</f>
        <v>97</v>
      </c>
      <c r="DY38" s="1532">
        <f>MOPFRA!DY38</f>
        <v>4470</v>
      </c>
      <c r="DZ38" s="857">
        <f>MOPFRA!DZ38</f>
        <v>9.4985125371865708E-2</v>
      </c>
      <c r="EA38" s="386">
        <f>MOPFRA!EA38</f>
        <v>0</v>
      </c>
      <c r="EB38" s="504">
        <f>MOPFRA!EB38</f>
        <v>0</v>
      </c>
      <c r="EC38" s="510">
        <f>MOPFRA!EC38</f>
        <v>0</v>
      </c>
      <c r="ED38" s="435">
        <f>MOPFRA!ED38</f>
        <v>0</v>
      </c>
      <c r="EE38" s="510">
        <f>MOPFRA!EE38</f>
        <v>18490</v>
      </c>
      <c r="EF38" s="435">
        <f>MOPFRA!EF38</f>
        <v>1664</v>
      </c>
      <c r="EG38" s="510">
        <f>MOPFRA!EG38</f>
        <v>16670</v>
      </c>
      <c r="EH38" s="435">
        <f>MOPFRA!EH38</f>
        <v>1500</v>
      </c>
      <c r="EI38" s="510">
        <f>MOPFRA!EI38</f>
        <v>15130</v>
      </c>
      <c r="EJ38" s="435">
        <f>MOPFRA!EJ38</f>
        <v>1362</v>
      </c>
      <c r="EK38" s="510">
        <f>MOPFRA!EK38</f>
        <v>42590</v>
      </c>
      <c r="EL38" s="1606">
        <f>MOPFRA!EL38</f>
        <v>3833</v>
      </c>
      <c r="EM38" s="1685">
        <f>MOPFRA!EM38</f>
        <v>42590</v>
      </c>
      <c r="EN38" s="1686">
        <f>MOPFRA!EN38</f>
        <v>3833</v>
      </c>
      <c r="EO38" s="1609" t="str">
        <f>MOPFRA!EO38</f>
        <v/>
      </c>
      <c r="EP38" s="1648" t="str">
        <f>MOPFRA!EP38</f>
        <v>NEW</v>
      </c>
      <c r="EQ38"/>
    </row>
    <row r="39" spans="1:147" ht="35" customHeight="1">
      <c r="A39" s="100">
        <f>MOPFRA!A39</f>
        <v>-1.2993818292259467</v>
      </c>
      <c r="B39" s="99">
        <f>MOPFRA!B39</f>
        <v>-2.1993818292259473</v>
      </c>
      <c r="C39" s="1585">
        <f ca="1">MOPFRA!C39</f>
        <v>0.15070326019384275</v>
      </c>
      <c r="D39" s="1651">
        <f>MOPFRA!D39</f>
        <v>1.8111582735754963</v>
      </c>
      <c r="E39" s="1414">
        <f>MOPFRA!E39</f>
        <v>1.8000000000000016</v>
      </c>
      <c r="F39" s="1415">
        <f>MOPFRA!F39</f>
        <v>0.9000000000000008</v>
      </c>
      <c r="G39" s="2124">
        <f>MOPFRA!G39</f>
        <v>9.4059925961879731</v>
      </c>
      <c r="H39" s="2379">
        <f>MOPFRA!H39</f>
        <v>0.78352180936995153</v>
      </c>
      <c r="I39" s="2379">
        <f>MOPFRA!I39</f>
        <v>0.70861678004535145</v>
      </c>
      <c r="J39" s="2379">
        <f>MOPFRA!J39</f>
        <v>1.5026041666666667</v>
      </c>
      <c r="K39" s="1942">
        <f>MOPFRA!K39</f>
        <v>30</v>
      </c>
      <c r="L39" s="2199">
        <f>MOPFRA!L39</f>
        <v>29</v>
      </c>
      <c r="M39" s="1582" t="str">
        <f>MOPFRA!M39</f>
        <v>B</v>
      </c>
      <c r="N39" s="1582" t="str">
        <f>MOPFRA!N39</f>
        <v>B</v>
      </c>
      <c r="O39" s="179" t="str">
        <f>MOPFRA!O39</f>
        <v/>
      </c>
      <c r="P39" s="856" t="str">
        <f>MOPFRA!P39</f>
        <v>PH</v>
      </c>
      <c r="Q39" s="1571" t="str">
        <f>MOPFRA!Q39</f>
        <v>داروسازي‌ سينا</v>
      </c>
      <c r="R39" s="1571" t="str">
        <f>MOPFRA!R39</f>
        <v>دسينا</v>
      </c>
      <c r="S39" s="1572">
        <f>MOPFRA!S39</f>
        <v>12</v>
      </c>
      <c r="T39" s="66">
        <f>MOPFRA!T39</f>
        <v>17248.8</v>
      </c>
      <c r="U39" s="258">
        <f>MOPFRA!U39</f>
        <v>71870</v>
      </c>
      <c r="V39" s="338">
        <f>MOPFRA!V39</f>
        <v>3</v>
      </c>
      <c r="W39" s="258">
        <f>MOPFRA!W39</f>
        <v>71870</v>
      </c>
      <c r="X39" s="337">
        <f>MOPFRA!X39</f>
        <v>3</v>
      </c>
      <c r="Y39" s="1708">
        <f>MOPFRA!Y39</f>
        <v>19298.8</v>
      </c>
      <c r="Z39" s="661" t="str">
        <f>MOPFRA!Z39</f>
        <v/>
      </c>
      <c r="AA39" s="2382">
        <f>MOPFRA!AA39</f>
        <v>6.395262768319758E-2</v>
      </c>
      <c r="AB39" s="511">
        <f ca="1">MOPFRA!AB39</f>
        <v>0.11095890410958904</v>
      </c>
      <c r="AC39" s="823">
        <f ca="1">MOPFRA!AC39</f>
        <v>10.44583920586477</v>
      </c>
      <c r="AD39" s="1150">
        <f>MOPFRA!AD39</f>
        <v>6.395262768319758E-2</v>
      </c>
      <c r="AE39" s="1150">
        <f>MOPFRA!AE39</f>
        <v>1.4563941896895469</v>
      </c>
      <c r="AF39" s="1150">
        <f>MOPFRA!AF39</f>
        <v>3.2982307500622974</v>
      </c>
      <c r="AG39" s="1150">
        <f>MOPFRA!AG39</f>
        <v>3.5631746031746028</v>
      </c>
      <c r="AH39" s="1150">
        <f>MOPFRA!AH39</f>
        <v>9.0517482517482506</v>
      </c>
      <c r="AI39" s="275">
        <f ca="1">MOPFRA!AI39</f>
        <v>320</v>
      </c>
      <c r="AJ39" s="1120">
        <f>MOPFRA!AJ39</f>
        <v>46194</v>
      </c>
      <c r="AK39" s="1693">
        <f>MOPFRA!AK39</f>
        <v>46305</v>
      </c>
      <c r="AL39" s="1345">
        <f>MOPFRA!AL39</f>
        <v>2400000000</v>
      </c>
      <c r="AM39" s="29">
        <f>MOPFRA!AM39</f>
        <v>0</v>
      </c>
      <c r="AN39" s="29">
        <f>MOPFRA!AN39</f>
        <v>0</v>
      </c>
      <c r="AO39" s="685">
        <f>MOPFRA!AO39</f>
        <v>0.2</v>
      </c>
      <c r="AP39" s="174">
        <f>MOPFRA!AP39</f>
        <v>0</v>
      </c>
      <c r="AQ39" s="1416">
        <f>MOPFRA!AQ39</f>
        <v>4221</v>
      </c>
      <c r="AR39" s="1416">
        <f>MOPFRA!AR39</f>
        <v>2302</v>
      </c>
      <c r="AS39" s="766">
        <f>MOPFRA!AS39</f>
        <v>6717.8727786752825</v>
      </c>
      <c r="AT39" s="984">
        <f>MOPFRA!AT39</f>
        <v>4</v>
      </c>
      <c r="AU39" s="376">
        <f>MOPFRA!AU39</f>
        <v>2.5687506400505056</v>
      </c>
      <c r="AV39" s="99">
        <f>MOPFRA!AV39</f>
        <v>-7.6495558954817122</v>
      </c>
      <c r="AW39" s="2380">
        <f>MOPFRA!AW39</f>
        <v>1507</v>
      </c>
      <c r="AX39" s="2380">
        <f>MOPFRA!AX39</f>
        <v>901</v>
      </c>
      <c r="AY39" s="2374">
        <f>MOPFRA!AY39</f>
        <v>0.59799999999999998</v>
      </c>
      <c r="AZ39" s="2370">
        <f>MOPFRA!AZ39</f>
        <v>0.57999999999999996</v>
      </c>
      <c r="BA39" s="2372">
        <f>MOPFRA!BA39</f>
        <v>0.54500000000000004</v>
      </c>
      <c r="BB39" s="2373">
        <f>MOPFRA!BB39</f>
        <v>0.49299999999999999</v>
      </c>
      <c r="BC39" s="2375">
        <f>MOPFRA!BC39</f>
        <v>0.9000000000000008</v>
      </c>
      <c r="BD39" s="2376">
        <f>MOPFRA!BD39</f>
        <v>0.44800000000000001</v>
      </c>
      <c r="BE39" s="2370">
        <f>MOPFRA!BE39</f>
        <v>0.439</v>
      </c>
      <c r="BF39" s="2371">
        <f>MOPFRA!BF39</f>
        <v>0.44700000000000001</v>
      </c>
      <c r="BG39" s="1688">
        <f>MOPFRA!BG39</f>
        <v>0.39600000000000002</v>
      </c>
      <c r="BH39" s="306">
        <f>MOPFRA!BH39</f>
        <v>0.14999999999999997</v>
      </c>
      <c r="BI39" s="1861">
        <f>MOPFRA!BI39</f>
        <v>904.19999999999982</v>
      </c>
      <c r="BJ39" s="306">
        <f>MOPFRA!BJ39</f>
        <v>0.14099999999999996</v>
      </c>
      <c r="BK39" s="99">
        <f>MOPFRA!BK39</f>
        <v>0</v>
      </c>
      <c r="BL39" s="306">
        <f>MOPFRA!BL39</f>
        <v>0.59153583953453748</v>
      </c>
      <c r="BM39" s="99">
        <f>MOPFRA!BM39</f>
        <v>10</v>
      </c>
      <c r="BN39" s="15">
        <f>MOPFRA!BN39</f>
        <v>0</v>
      </c>
      <c r="BO39" s="1803">
        <f>MOPFRA!BO39</f>
        <v>3</v>
      </c>
      <c r="BP39" s="842">
        <f>MOPFRA!BP39</f>
        <v>1</v>
      </c>
      <c r="BQ39" s="16">
        <f>MOPFRA!BQ39</f>
        <v>2881</v>
      </c>
      <c r="BR39" s="16">
        <f>MOPFRA!BR39</f>
        <v>0</v>
      </c>
      <c r="BS39" s="16">
        <f>MOPFRA!BS39</f>
        <v>0</v>
      </c>
      <c r="BT39" s="1253">
        <f>MOPFRA!BT39</f>
        <v>12727.529186860529</v>
      </c>
      <c r="BU39" s="1246">
        <f>MOPFRA!BU39</f>
        <v>11516.666666666668</v>
      </c>
      <c r="BV39" s="406">
        <f>MOPFRA!BV39</f>
        <v>0</v>
      </c>
      <c r="BW39" s="407">
        <f>MOPFRA!BW39</f>
        <v>5.9288417264245039</v>
      </c>
      <c r="BX39" s="99">
        <f>MOPFRA!BX39</f>
        <v>-4.6442086321225196</v>
      </c>
      <c r="BY39" s="18">
        <f>MOPFRA!BY39</f>
        <v>2909.3035024232636</v>
      </c>
      <c r="BZ39" s="18">
        <f>MOPFRA!BZ39</f>
        <v>2228.5271317829456</v>
      </c>
      <c r="CA39" s="18">
        <f>MOPFRA!CA39</f>
        <v>4017.2879216478186</v>
      </c>
      <c r="CB39" s="1710">
        <f>MOPFRA!CB39</f>
        <v>4.803937476327059</v>
      </c>
      <c r="CC39" s="266">
        <f>MOPFRA!CC39</f>
        <v>9289</v>
      </c>
      <c r="CD39" s="267">
        <f>MOPFRA!CD39</f>
        <v>7.74</v>
      </c>
      <c r="CE39" s="99">
        <f>MOPFRA!CE39</f>
        <v>-8.2200000000000006</v>
      </c>
      <c r="CF39" s="17">
        <f>MOPFRA!CF39</f>
        <v>1.0535167600929403</v>
      </c>
      <c r="CG39" s="99">
        <f>MOPFRA!CG39</f>
        <v>3.7859329596282389</v>
      </c>
      <c r="CH39" s="494">
        <f>MOPFRA!CH39</f>
        <v>0.41290143378133176</v>
      </c>
      <c r="CI39" s="99">
        <f>MOPFRA!CI39</f>
        <v>0.19352150671997609</v>
      </c>
      <c r="CJ39" s="20">
        <f>MOPFRA!CJ39</f>
        <v>0</v>
      </c>
      <c r="CK39" s="691">
        <f>MOPFRA!CK39</f>
        <v>240</v>
      </c>
      <c r="CL39" s="419">
        <f>MOPFRA!CL39</f>
        <v>1286</v>
      </c>
      <c r="CM39" s="468">
        <f>MOPFRA!CM39</f>
        <v>45</v>
      </c>
      <c r="CN39" s="843">
        <f>MOPFRA!CN39</f>
        <v>16</v>
      </c>
      <c r="CO39" s="21">
        <f>MOPFRA!CO39</f>
        <v>691</v>
      </c>
      <c r="CP39" s="21">
        <f>MOPFRA!CP39</f>
        <v>-1</v>
      </c>
      <c r="CQ39" s="469">
        <f>MOPFRA!CQ39</f>
        <v>691</v>
      </c>
      <c r="CR39" s="1239">
        <f>MOPFRA!CR39</f>
        <v>1002.2023349488422</v>
      </c>
      <c r="CS39" s="21">
        <f>MOPFRA!CS39</f>
        <v>1977</v>
      </c>
      <c r="CT39" s="16">
        <f>MOPFRA!CT39</f>
        <v>-4</v>
      </c>
      <c r="CU39" s="154" t="str">
        <f>MOPFRA!CU39</f>
        <v/>
      </c>
      <c r="CV39" s="693">
        <f>MOPFRA!CV39</f>
        <v>2238</v>
      </c>
      <c r="CW39" s="49">
        <f>MOPFRA!CW39</f>
        <v>2782</v>
      </c>
      <c r="CX39" s="21">
        <f>MOPFRA!CX39</f>
        <v>603</v>
      </c>
      <c r="CY39" s="49">
        <f>MOPFRA!CY39</f>
        <v>283</v>
      </c>
      <c r="CZ39" s="53">
        <f>MOPFRA!CZ39</f>
        <v>3065</v>
      </c>
      <c r="DA39" s="1058">
        <f>MOPFRA!DA39</f>
        <v>1.728253055355859</v>
      </c>
      <c r="DB39" s="99">
        <f>MOPFRA!DB39</f>
        <v>4.2260244428468727</v>
      </c>
      <c r="DC39" s="53">
        <f>MOPFRA!DC39</f>
        <v>5303</v>
      </c>
      <c r="DD39" s="645">
        <f>MOPFRA!DD39</f>
        <v>0.57797473128417876</v>
      </c>
      <c r="DE39" s="13">
        <f>MOPFRA!DE39</f>
        <v>495</v>
      </c>
      <c r="DF39" s="24">
        <f>MOPFRA!DF39</f>
        <v>491</v>
      </c>
      <c r="DG39" s="24">
        <f>MOPFRA!DG39</f>
        <v>1</v>
      </c>
      <c r="DH39" s="51">
        <f>MOPFRA!DH39</f>
        <v>4808</v>
      </c>
      <c r="DI39" s="8">
        <f>MOPFRA!DI39</f>
        <v>2026</v>
      </c>
      <c r="DJ39" s="644">
        <f>MOPFRA!DJ39</f>
        <v>3.3158305916462401</v>
      </c>
      <c r="DK39" s="22">
        <f>MOPFRA!DK39</f>
        <v>1077</v>
      </c>
      <c r="DL39" s="22">
        <f>MOPFRA!DL39</f>
        <v>1012</v>
      </c>
      <c r="DM39" s="22">
        <f>MOPFRA!DM39</f>
        <v>1847</v>
      </c>
      <c r="DN39" s="138">
        <f>MOPFRA!DN39</f>
        <v>0.57797473128417876</v>
      </c>
      <c r="DO39" s="99">
        <f>MOPFRA!DO39</f>
        <v>0.10890378918319787</v>
      </c>
      <c r="DP39" s="22">
        <f>MOPFRA!DP39</f>
        <v>3</v>
      </c>
      <c r="DQ39" s="8">
        <f>MOPFRA!DQ39</f>
        <v>869</v>
      </c>
      <c r="DR39" s="32">
        <f>MOPFRA!DR39</f>
        <v>-0.14935449280764793</v>
      </c>
      <c r="DS39" s="99">
        <f>MOPFRA!DS39</f>
        <v>0</v>
      </c>
      <c r="DT39" s="8">
        <f>MOPFRA!DT39</f>
        <v>33811.96</v>
      </c>
      <c r="DU39" s="8">
        <f>MOPFRA!DU39</f>
        <v>41460.000000000007</v>
      </c>
      <c r="DV39" s="235">
        <f>MOPFRA!DV39</f>
        <v>5358.333333333333</v>
      </c>
      <c r="DW39" s="8">
        <f>MOPFRA!DW39</f>
        <v>40315.146666666667</v>
      </c>
      <c r="DX39" s="411">
        <f>MOPFRA!DX39</f>
        <v>111</v>
      </c>
      <c r="DY39" s="1532">
        <f>MOPFRA!DY39</f>
        <v>5700</v>
      </c>
      <c r="DZ39" s="857">
        <f>MOPFRA!DZ39</f>
        <v>7.7815699658703066E-2</v>
      </c>
      <c r="EA39" s="386">
        <f>MOPFRA!EA39</f>
        <v>0</v>
      </c>
      <c r="EB39" s="504">
        <f>MOPFRA!EB39</f>
        <v>0</v>
      </c>
      <c r="EC39" s="510">
        <f>MOPFRA!EC39</f>
        <v>21450</v>
      </c>
      <c r="ED39" s="435">
        <f>MOPFRA!ED39</f>
        <v>1716</v>
      </c>
      <c r="EE39" s="510">
        <f>MOPFRA!EE39</f>
        <v>15750</v>
      </c>
      <c r="EF39" s="435">
        <f>MOPFRA!EF39</f>
        <v>3780</v>
      </c>
      <c r="EG39" s="510">
        <f>MOPFRA!EG39</f>
        <v>16720</v>
      </c>
      <c r="EH39" s="435">
        <f>MOPFRA!EH39</f>
        <v>4013</v>
      </c>
      <c r="EI39" s="510">
        <f>MOPFRA!EI39</f>
        <v>29260</v>
      </c>
      <c r="EJ39" s="435">
        <f>MOPFRA!EJ39</f>
        <v>7022</v>
      </c>
      <c r="EK39" s="510">
        <f>MOPFRA!EK39</f>
        <v>67550</v>
      </c>
      <c r="EL39" s="1606">
        <f>MOPFRA!EL39</f>
        <v>16212</v>
      </c>
      <c r="EM39" s="1224">
        <f>MOPFRA!EM39</f>
        <v>67550</v>
      </c>
      <c r="EN39" s="834">
        <f>MOPFRA!EN39</f>
        <v>16212</v>
      </c>
      <c r="EO39" s="835">
        <f>MOPFRA!EO39</f>
        <v>8.4475524475524484</v>
      </c>
      <c r="EP39" s="1648">
        <f>MOPFRA!EP39</f>
        <v>3</v>
      </c>
      <c r="EQ39"/>
    </row>
    <row r="40" spans="1:147" ht="35" customHeight="1">
      <c r="A40" s="100">
        <f>MOPFRA!A40</f>
        <v>-2.1757077800753883</v>
      </c>
      <c r="B40" s="99">
        <f>MOPFRA!B40</f>
        <v>-1.7757077800753882</v>
      </c>
      <c r="C40" s="1585">
        <f ca="1">MOPFRA!C40</f>
        <v>0.29432040037345641</v>
      </c>
      <c r="D40" s="1651">
        <f>MOPFRA!D40</f>
        <v>0.57232885613075801</v>
      </c>
      <c r="E40" s="1414">
        <f>MOPFRA!E40</f>
        <v>-0.10000000000000009</v>
      </c>
      <c r="F40" s="1415">
        <f>MOPFRA!F40</f>
        <v>-0.40000000000000036</v>
      </c>
      <c r="G40" s="2124">
        <f>MOPFRA!G40</f>
        <v>5.0638005307690745</v>
      </c>
      <c r="H40" s="2379">
        <f>MOPFRA!H40</f>
        <v>0.36567593480345156</v>
      </c>
      <c r="I40" s="2379">
        <f>MOPFRA!I40</f>
        <v>0</v>
      </c>
      <c r="J40" s="2379">
        <f>MOPFRA!J40</f>
        <v>0.37887485648679681</v>
      </c>
      <c r="K40" s="1942">
        <f>MOPFRA!K40</f>
        <v>42</v>
      </c>
      <c r="L40" s="2199">
        <f>MOPFRA!L40</f>
        <v>39</v>
      </c>
      <c r="M40" s="1582" t="str">
        <f>MOPFRA!M40</f>
        <v>N</v>
      </c>
      <c r="N40" s="1582" t="str">
        <f>MOPFRA!N40</f>
        <v>N</v>
      </c>
      <c r="O40" s="179" t="str">
        <f>MOPFRA!O40</f>
        <v/>
      </c>
      <c r="P40" s="856" t="str">
        <f>MOPFRA!P40</f>
        <v>T</v>
      </c>
      <c r="Q40" s="1571" t="str">
        <f>MOPFRA!Q40</f>
        <v>كوير تاير</v>
      </c>
      <c r="R40" s="1571" t="str">
        <f>MOPFRA!R40</f>
        <v>پكوير</v>
      </c>
      <c r="S40" s="1572">
        <f>MOPFRA!S40</f>
        <v>9</v>
      </c>
      <c r="T40" s="66">
        <f>MOPFRA!T40</f>
        <v>8871.0512000000017</v>
      </c>
      <c r="U40" s="258">
        <f>MOPFRA!U40</f>
        <v>6460</v>
      </c>
      <c r="V40" s="338">
        <f>MOPFRA!V40</f>
        <v>2.38</v>
      </c>
      <c r="W40" s="258">
        <f>MOPFRA!W40</f>
        <v>6490</v>
      </c>
      <c r="X40" s="337">
        <f>MOPFRA!X40</f>
        <v>2.85</v>
      </c>
      <c r="Y40" s="1708">
        <f>MOPFRA!Y40</f>
        <v>15605.051200000002</v>
      </c>
      <c r="Z40" s="661" t="str">
        <f>MOPFRA!Z40</f>
        <v/>
      </c>
      <c r="AA40" s="2382">
        <f>MOPFRA!AA40</f>
        <v>0.13862805801565931</v>
      </c>
      <c r="AB40" s="511">
        <f ca="1">MOPFRA!AB40</f>
        <v>0.26383561643835618</v>
      </c>
      <c r="AC40" s="823">
        <f ca="1">MOPFRA!AC40</f>
        <v>11.701640974083819</v>
      </c>
      <c r="AD40" s="1150">
        <f>MOPFRA!AD40</f>
        <v>0.13862805801565931</v>
      </c>
      <c r="AE40" s="1150">
        <f>MOPFRA!AE40</f>
        <v>0.89755105882352981</v>
      </c>
      <c r="AF40" s="1150">
        <f>MOPFRA!AF40</f>
        <v>0.98014535714285755</v>
      </c>
      <c r="AG40" s="1150">
        <f>MOPFRA!AG40</f>
        <v>4.7604228571428582</v>
      </c>
      <c r="AH40" s="1150">
        <f>MOPFRA!AH40</f>
        <v>8.2023352697095451</v>
      </c>
      <c r="AI40" s="275">
        <f ca="1">MOPFRA!AI40</f>
        <v>258</v>
      </c>
      <c r="AJ40" s="1120">
        <f>MOPFRA!AJ40</f>
        <v>46132</v>
      </c>
      <c r="AK40" s="1693">
        <f>MOPFRA!AK40</f>
        <v>46201</v>
      </c>
      <c r="AL40" s="1345">
        <f>MOPFRA!AL40</f>
        <v>13668800000.000002</v>
      </c>
      <c r="AM40" s="29">
        <f>MOPFRA!AM40</f>
        <v>0</v>
      </c>
      <c r="AN40" s="29">
        <f>MOPFRA!AN40</f>
        <v>0</v>
      </c>
      <c r="AO40" s="685">
        <f>MOPFRA!AO40</f>
        <v>0.28460000000000002</v>
      </c>
      <c r="AP40" s="174">
        <f>MOPFRA!AP40</f>
        <v>0</v>
      </c>
      <c r="AQ40" s="1416">
        <f>MOPFRA!AQ40</f>
        <v>9231</v>
      </c>
      <c r="AR40" s="1416">
        <f>MOPFRA!AR40</f>
        <v>2232</v>
      </c>
      <c r="AS40" s="766">
        <f>MOPFRA!AS40</f>
        <v>12140.062991371045</v>
      </c>
      <c r="AT40" s="984">
        <f>MOPFRA!AT40</f>
        <v>4</v>
      </c>
      <c r="AU40" s="376">
        <f>MOPFRA!AU40</f>
        <v>0.73191887112247245</v>
      </c>
      <c r="AV40" s="99">
        <f>MOPFRA!AV40</f>
        <v>-0.25959323511843935</v>
      </c>
      <c r="AW40" s="2380">
        <f>MOPFRA!AW40</f>
        <v>5894</v>
      </c>
      <c r="AX40" s="2380">
        <f>MOPFRA!AX40</f>
        <v>1544</v>
      </c>
      <c r="AY40" s="2374">
        <f>MOPFRA!AY40</f>
        <v>0.26200000000000001</v>
      </c>
      <c r="AZ40" s="2370">
        <f>MOPFRA!AZ40</f>
        <v>0.26300000000000001</v>
      </c>
      <c r="BA40" s="2372">
        <f>MOPFRA!BA40</f>
        <v>0.24199999999999999</v>
      </c>
      <c r="BB40" s="2373">
        <f>MOPFRA!BB40</f>
        <v>0.27400000000000002</v>
      </c>
      <c r="BC40" s="2375">
        <f>MOPFRA!BC40</f>
        <v>-0.40000000000000036</v>
      </c>
      <c r="BD40" s="2376">
        <f>MOPFRA!BD40</f>
        <v>0.17199999999999999</v>
      </c>
      <c r="BE40" s="2370">
        <f>MOPFRA!BE40</f>
        <v>0.17599999999999999</v>
      </c>
      <c r="BF40" s="2371">
        <f>MOPFRA!BF40</f>
        <v>0.16900000000000001</v>
      </c>
      <c r="BG40" s="1422">
        <f>MOPFRA!BG40</f>
        <v>0.191</v>
      </c>
      <c r="BH40" s="306">
        <f>MOPFRA!BH40</f>
        <v>9.0000000000000024E-2</v>
      </c>
      <c r="BI40" s="1861">
        <f>MOPFRA!BI40</f>
        <v>1060.9200000000003</v>
      </c>
      <c r="BJ40" s="306">
        <f>MOPFRA!BJ40</f>
        <v>8.7000000000000022E-2</v>
      </c>
      <c r="BK40" s="99">
        <f>MOPFRA!BK40</f>
        <v>0</v>
      </c>
      <c r="BL40" s="306">
        <f>MOPFRA!BL40</f>
        <v>0.31514061221655781</v>
      </c>
      <c r="BM40" s="99">
        <f>MOPFRA!BM40</f>
        <v>5.2953766260269557</v>
      </c>
      <c r="BN40" s="15">
        <f>MOPFRA!BN40</f>
        <v>0</v>
      </c>
      <c r="BO40" s="1803">
        <f>MOPFRA!BO40</f>
        <v>3</v>
      </c>
      <c r="BP40" s="842">
        <f>MOPFRA!BP40</f>
        <v>2</v>
      </c>
      <c r="BQ40" s="16">
        <f>MOPFRA!BQ40</f>
        <v>437</v>
      </c>
      <c r="BR40" s="16">
        <f>MOPFRA!BR40</f>
        <v>756</v>
      </c>
      <c r="BS40" s="16">
        <f>MOPFRA!BS40</f>
        <v>0</v>
      </c>
      <c r="BT40" s="1253">
        <f>MOPFRA!BT40</f>
        <v>1537.1435930848495</v>
      </c>
      <c r="BU40" s="1246">
        <f>MOPFRA!BU40</f>
        <v>1511.4713800772561</v>
      </c>
      <c r="BV40" s="406">
        <f>MOPFRA!BV40</f>
        <v>0</v>
      </c>
      <c r="BW40" s="407">
        <f>MOPFRA!BW40</f>
        <v>4.2576711438692421</v>
      </c>
      <c r="BX40" s="99">
        <f>MOPFRA!BX40</f>
        <v>3.7116442806537897</v>
      </c>
      <c r="BY40" s="18">
        <f>MOPFRA!BY40</f>
        <v>2083.5454172579098</v>
      </c>
      <c r="BZ40" s="18">
        <f>MOPFRA!BZ40</f>
        <v>1836.6565631469982</v>
      </c>
      <c r="CA40" s="18">
        <f>MOPFRA!CA40</f>
        <v>3180.6965037392142</v>
      </c>
      <c r="CB40" s="1710">
        <f>MOPFRA!CB40</f>
        <v>4.9061742236817523</v>
      </c>
      <c r="CC40" s="266">
        <f>MOPFRA!CC40</f>
        <v>1338</v>
      </c>
      <c r="CD40" s="267">
        <f>MOPFRA!CD40</f>
        <v>4.83</v>
      </c>
      <c r="CE40" s="99">
        <f>MOPFRA!CE40</f>
        <v>0.50999999999999979</v>
      </c>
      <c r="CF40" s="17">
        <f>MOPFRA!CF40</f>
        <v>3.4369301195384416</v>
      </c>
      <c r="CG40" s="99">
        <f>MOPFRA!CG40</f>
        <v>-5.7477204781537665</v>
      </c>
      <c r="CH40" s="494">
        <f>MOPFRA!CH40</f>
        <v>0.18905230172016241</v>
      </c>
      <c r="CI40" s="99">
        <f>MOPFRA!CI40</f>
        <v>-3.1642154741975643</v>
      </c>
      <c r="CJ40" s="20">
        <f>MOPFRA!CJ40</f>
        <v>0</v>
      </c>
      <c r="CK40" s="691">
        <f>MOPFRA!CK40</f>
        <v>1366.88</v>
      </c>
      <c r="CL40" s="419">
        <f>MOPFRA!CL40</f>
        <v>876</v>
      </c>
      <c r="CM40" s="468">
        <f>MOPFRA!CM40</f>
        <v>13</v>
      </c>
      <c r="CN40" s="843">
        <f>MOPFRA!CN40</f>
        <v>18</v>
      </c>
      <c r="CO40" s="21">
        <f>MOPFRA!CO40</f>
        <v>1033</v>
      </c>
      <c r="CP40" s="21">
        <f>MOPFRA!CP40</f>
        <v>-3</v>
      </c>
      <c r="CQ40" s="469">
        <f>MOPFRA!CQ40</f>
        <v>1033</v>
      </c>
      <c r="CR40" s="1239">
        <f>MOPFRA!CR40</f>
        <v>1215.0529868008948</v>
      </c>
      <c r="CS40" s="21">
        <f>MOPFRA!CS40</f>
        <v>1909</v>
      </c>
      <c r="CT40" s="16">
        <f>MOPFRA!CT40</f>
        <v>-37</v>
      </c>
      <c r="CU40" s="154" t="str">
        <f>MOPFRA!CU40</f>
        <v/>
      </c>
      <c r="CV40" s="693">
        <f>MOPFRA!CV40</f>
        <v>3417</v>
      </c>
      <c r="CW40" s="49">
        <f>MOPFRA!CW40</f>
        <v>6484</v>
      </c>
      <c r="CX40" s="21">
        <f>MOPFRA!CX40</f>
        <v>1477</v>
      </c>
      <c r="CY40" s="49">
        <f>MOPFRA!CY40</f>
        <v>677</v>
      </c>
      <c r="CZ40" s="53">
        <f>MOPFRA!CZ40</f>
        <v>7161</v>
      </c>
      <c r="DA40" s="1058">
        <f>MOPFRA!DA40</f>
        <v>1.1727328809376927</v>
      </c>
      <c r="DB40" s="99">
        <f>MOPFRA!DB40</f>
        <v>-0.21813695249845821</v>
      </c>
      <c r="DC40" s="53">
        <f>MOPFRA!DC40</f>
        <v>10578</v>
      </c>
      <c r="DD40" s="645">
        <f>MOPFRA!DD40</f>
        <v>0.6769710720363018</v>
      </c>
      <c r="DE40" s="13">
        <f>MOPFRA!DE40</f>
        <v>2974</v>
      </c>
      <c r="DF40" s="24">
        <f>MOPFRA!DF40</f>
        <v>2610</v>
      </c>
      <c r="DG40" s="24">
        <f>MOPFRA!DG40</f>
        <v>63</v>
      </c>
      <c r="DH40" s="51">
        <f>MOPFRA!DH40</f>
        <v>7604</v>
      </c>
      <c r="DI40" s="8">
        <f>MOPFRA!DI40</f>
        <v>1120</v>
      </c>
      <c r="DJ40" s="644">
        <f>MOPFRA!DJ40</f>
        <v>10.83934195658129</v>
      </c>
      <c r="DK40" s="22">
        <f>MOPFRA!DK40</f>
        <v>2689</v>
      </c>
      <c r="DL40" s="22">
        <f>MOPFRA!DL40</f>
        <v>427</v>
      </c>
      <c r="DM40" s="22">
        <f>MOPFRA!DM40</f>
        <v>1597</v>
      </c>
      <c r="DN40" s="138">
        <f>MOPFRA!DN40</f>
        <v>0.6769710720363018</v>
      </c>
      <c r="DO40" s="99">
        <f>MOPFRA!DO40</f>
        <v>9.6937453212094793E-2</v>
      </c>
      <c r="DP40" s="22">
        <f>MOPFRA!DP40</f>
        <v>0</v>
      </c>
      <c r="DQ40" s="8">
        <f>MOPFRA!DQ40</f>
        <v>2891</v>
      </c>
      <c r="DR40" s="32">
        <f>MOPFRA!DR40</f>
        <v>-0.46436370092639917</v>
      </c>
      <c r="DS40" s="99">
        <f>MOPFRA!DS40</f>
        <v>-2</v>
      </c>
      <c r="DT40" s="8">
        <f>MOPFRA!DT40</f>
        <v>5030.88</v>
      </c>
      <c r="DU40" s="8">
        <f>MOPFRA!DU40</f>
        <v>5622.6735338873932</v>
      </c>
      <c r="DV40" s="235">
        <f>MOPFRA!DV40</f>
        <v>640.87557064263126</v>
      </c>
      <c r="DW40" s="8">
        <f>MOPFRA!DW40</f>
        <v>5647.2145522650117</v>
      </c>
      <c r="DX40" s="411">
        <f>MOPFRA!DX40</f>
        <v>69</v>
      </c>
      <c r="DY40" s="1532">
        <f>MOPFRA!DY40</f>
        <v>580</v>
      </c>
      <c r="DZ40" s="857">
        <f>MOPFRA!DZ40</f>
        <v>9.2356687898089165E-2</v>
      </c>
      <c r="EA40" s="386">
        <f>MOPFRA!EA40</f>
        <v>0.3977</v>
      </c>
      <c r="EB40" s="504">
        <f>MOPFRA!EB40</f>
        <v>0</v>
      </c>
      <c r="EC40" s="510">
        <f>MOPFRA!EC40</f>
        <v>4420</v>
      </c>
      <c r="ED40" s="435">
        <f>MOPFRA!ED40</f>
        <v>964</v>
      </c>
      <c r="EE40" s="510">
        <f>MOPFRA!EE40</f>
        <v>3531</v>
      </c>
      <c r="EF40" s="435">
        <f>MOPFRA!EF40</f>
        <v>1540</v>
      </c>
      <c r="EG40" s="510">
        <f>MOPFRA!EG40</f>
        <v>6850</v>
      </c>
      <c r="EH40" s="435">
        <f>MOPFRA!EH40</f>
        <v>4480</v>
      </c>
      <c r="EI40" s="510">
        <f>MOPFRA!EI40</f>
        <v>4780</v>
      </c>
      <c r="EJ40" s="435">
        <f>MOPFRA!EJ40</f>
        <v>4675</v>
      </c>
      <c r="EK40" s="510">
        <f>MOPFRA!EK40</f>
        <v>5700</v>
      </c>
      <c r="EL40" s="1606">
        <f>MOPFRA!EL40</f>
        <v>7791</v>
      </c>
      <c r="EM40" s="1684">
        <f>MOPFRA!EM40</f>
        <v>5700</v>
      </c>
      <c r="EN40" s="1608">
        <f>MOPFRA!EN40</f>
        <v>7791</v>
      </c>
      <c r="EO40" s="1609">
        <f>MOPFRA!EO40</f>
        <v>7.0819502074688794</v>
      </c>
      <c r="EP40" s="1648">
        <f>MOPFRA!EP40</f>
        <v>4</v>
      </c>
      <c r="EQ40"/>
    </row>
    <row r="41" spans="1:147" ht="35" customHeight="1">
      <c r="A41" s="100">
        <f>MOPFRA!A41</f>
        <v>-1.4993665976421144</v>
      </c>
      <c r="B41" s="99">
        <f>MOPFRA!B41</f>
        <v>-11.499366597642114</v>
      </c>
      <c r="C41" s="1585">
        <f ca="1">MOPFRA!C41</f>
        <v>0.10424401815710072</v>
      </c>
      <c r="D41" s="1651">
        <f>MOPFRA!D41</f>
        <v>4.798743132917819</v>
      </c>
      <c r="E41" s="1414">
        <f>MOPFRA!E41</f>
        <v>16.100000000000001</v>
      </c>
      <c r="F41" s="1415">
        <f>MOPFRA!F41</f>
        <v>12.100000000000005</v>
      </c>
      <c r="G41" s="2124">
        <f>MOPFRA!G41</f>
        <v>16.71763188591131</v>
      </c>
      <c r="H41" s="2379">
        <f>MOPFRA!H41</f>
        <v>1.9947422373598758</v>
      </c>
      <c r="I41" s="2379">
        <f>MOPFRA!I41</f>
        <v>-1.3382300387022211E-2</v>
      </c>
      <c r="J41" s="2379">
        <f>MOPFRA!J41</f>
        <v>0.32530838448245036</v>
      </c>
      <c r="K41" s="1942">
        <f>MOPFRA!K41</f>
        <v>6</v>
      </c>
      <c r="L41" s="1587">
        <f>MOPFRA!L41</f>
        <v>27</v>
      </c>
      <c r="M41" s="1582" t="str">
        <f>MOPFRA!M41</f>
        <v>BB</v>
      </c>
      <c r="N41" s="1582" t="str">
        <f>MOPFRA!N41</f>
        <v>BB</v>
      </c>
      <c r="O41" s="179" t="str">
        <f>MOPFRA!O41</f>
        <v/>
      </c>
      <c r="P41" s="856" t="str">
        <f>MOPFRA!P41</f>
        <v>CO</v>
      </c>
      <c r="Q41" s="1571" t="str">
        <f>MOPFRA!Q41</f>
        <v>ملي‌ صنايع‌ مس‌ ايران‌</v>
      </c>
      <c r="R41" s="1571" t="str">
        <f>MOPFRA!R41</f>
        <v>فملي</v>
      </c>
      <c r="S41" s="1572">
        <f>MOPFRA!S41</f>
        <v>12</v>
      </c>
      <c r="T41" s="66">
        <f>MOPFRA!T41</f>
        <v>2335680</v>
      </c>
      <c r="U41" s="258">
        <f>MOPFRA!U41</f>
        <v>16220</v>
      </c>
      <c r="V41" s="338">
        <f>MOPFRA!V41</f>
        <v>2.98</v>
      </c>
      <c r="W41" s="258">
        <f>MOPFRA!W41</f>
        <v>16220</v>
      </c>
      <c r="X41" s="337">
        <f>MOPFRA!X41</f>
        <v>2.98</v>
      </c>
      <c r="Y41" s="1708">
        <f>MOPFRA!Y41</f>
        <v>2592931</v>
      </c>
      <c r="Z41" s="661" t="str">
        <f>MOPFRA!Z41</f>
        <v/>
      </c>
      <c r="AA41" s="2382">
        <f>MOPFRA!AA41</f>
        <v>0.11095890410958904</v>
      </c>
      <c r="AB41" s="511">
        <f ca="1">MOPFRA!AB41</f>
        <v>3.4520547945205482E-2</v>
      </c>
      <c r="AC41" s="823">
        <f ca="1">MOPFRA!AC41</f>
        <v>-54.598825831702541</v>
      </c>
      <c r="AD41" s="1150">
        <f>MOPFRA!AD41</f>
        <v>0.11095890410958904</v>
      </c>
      <c r="AE41" s="1150">
        <f>MOPFRA!AE41</f>
        <v>2.4866099417823557</v>
      </c>
      <c r="AF41" s="1150">
        <f>MOPFRA!AF41</f>
        <v>3.0907944514501891</v>
      </c>
      <c r="AG41" s="1150">
        <f>MOPFRA!AG41</f>
        <v>4.907132018209408</v>
      </c>
      <c r="AH41" s="1150">
        <f>MOPFRA!AH41</f>
        <v>10.143511450381679</v>
      </c>
      <c r="AI41" s="275">
        <f ca="1">MOPFRA!AI41</f>
        <v>351</v>
      </c>
      <c r="AJ41" s="1120">
        <f>MOPFRA!AJ41</f>
        <v>46225</v>
      </c>
      <c r="AK41" s="1693">
        <f>MOPFRA!AK41</f>
        <v>46275</v>
      </c>
      <c r="AL41" s="1345">
        <f>MOPFRA!AL41</f>
        <v>1440000000000</v>
      </c>
      <c r="AM41" s="29">
        <f>MOPFRA!AM41</f>
        <v>0</v>
      </c>
      <c r="AN41" s="29">
        <f>MOPFRA!AN41</f>
        <v>0</v>
      </c>
      <c r="AO41" s="685">
        <f>MOPFRA!AO41</f>
        <v>0.43959999999999999</v>
      </c>
      <c r="AP41" s="174">
        <f>MOPFRA!AP41</f>
        <v>0</v>
      </c>
      <c r="AQ41" s="1416">
        <f>MOPFRA!AQ41</f>
        <v>321889</v>
      </c>
      <c r="AR41" s="1416">
        <f>MOPFRA!AR41</f>
        <v>180643</v>
      </c>
      <c r="AS41" s="766">
        <f>MOPFRA!AS41</f>
        <v>728467.04202076653</v>
      </c>
      <c r="AT41" s="984">
        <f>MOPFRA!AT41</f>
        <v>4</v>
      </c>
      <c r="AU41" s="376">
        <f>MOPFRA!AU41</f>
        <v>3.2134617833997594</v>
      </c>
      <c r="AV41" s="99">
        <f>MOPFRA!AV41</f>
        <v>-10</v>
      </c>
      <c r="AW41" s="2380">
        <f>MOPFRA!AW41</f>
        <v>129757</v>
      </c>
      <c r="AX41" s="2380">
        <f>MOPFRA!AX41</f>
        <v>85635</v>
      </c>
      <c r="AY41" s="2374">
        <f>MOPFRA!AY41</f>
        <v>0.66</v>
      </c>
      <c r="AZ41" s="2370">
        <f>MOPFRA!AZ41</f>
        <v>0.499</v>
      </c>
      <c r="BA41" s="2372">
        <f>MOPFRA!BA41</f>
        <v>0.56100000000000005</v>
      </c>
      <c r="BB41" s="2373">
        <f>MOPFRA!BB41</f>
        <v>0.52100000000000002</v>
      </c>
      <c r="BC41" s="2375">
        <f>MOPFRA!BC41</f>
        <v>10</v>
      </c>
      <c r="BD41" s="2376">
        <f>MOPFRA!BD41</f>
        <v>0.55700000000000005</v>
      </c>
      <c r="BE41" s="2370">
        <f>MOPFRA!BE41</f>
        <v>0.436</v>
      </c>
      <c r="BF41" s="2371">
        <f>MOPFRA!BF41</f>
        <v>0.46500000000000002</v>
      </c>
      <c r="BG41" s="1422">
        <f>MOPFRA!BG41</f>
        <v>0.45700000000000002</v>
      </c>
      <c r="BH41" s="306">
        <f>MOPFRA!BH41</f>
        <v>0.10299999999999998</v>
      </c>
      <c r="BI41" s="1861">
        <f>MOPFRA!BI41</f>
        <v>53459.883999999991</v>
      </c>
      <c r="BJ41" s="306">
        <f>MOPFRA!BJ41</f>
        <v>6.3E-2</v>
      </c>
      <c r="BK41" s="99">
        <f>MOPFRA!BK41</f>
        <v>0</v>
      </c>
      <c r="BL41" s="306">
        <f>MOPFRA!BL41</f>
        <v>1.2631001432815863</v>
      </c>
      <c r="BM41" s="99">
        <f>MOPFRA!BM41</f>
        <v>10</v>
      </c>
      <c r="BN41" s="15">
        <f>MOPFRA!BN41</f>
        <v>0</v>
      </c>
      <c r="BO41" s="1501">
        <f>MOPFRA!BO41</f>
        <v>3</v>
      </c>
      <c r="BP41" s="842">
        <f>MOPFRA!BP41</f>
        <v>1</v>
      </c>
      <c r="BQ41" s="16">
        <f>MOPFRA!BQ41</f>
        <v>691</v>
      </c>
      <c r="BR41" s="16">
        <f>MOPFRA!BR41</f>
        <v>0</v>
      </c>
      <c r="BS41" s="16">
        <f>MOPFRA!BS41</f>
        <v>0</v>
      </c>
      <c r="BT41" s="1253">
        <f>MOPFRA!BT41</f>
        <v>2824.5218222608819</v>
      </c>
      <c r="BU41" s="1246">
        <f>MOPFRA!BU41</f>
        <v>2016.3611111111113</v>
      </c>
      <c r="BV41" s="406">
        <f>MOPFRA!BV41</f>
        <v>0</v>
      </c>
      <c r="BW41" s="407">
        <f>MOPFRA!BW41</f>
        <v>6.701256867082181</v>
      </c>
      <c r="BX41" s="99">
        <f>MOPFRA!BX41</f>
        <v>-8.5062843354109052</v>
      </c>
      <c r="BY41" s="18">
        <f>MOPFRA!BY41</f>
        <v>348543.5712027835</v>
      </c>
      <c r="BZ41" s="18">
        <f>MOPFRA!BZ41</f>
        <v>203102.60869565216</v>
      </c>
      <c r="CA41" s="18">
        <f>MOPFRA!CA41</f>
        <v>480788.24773370591</v>
      </c>
      <c r="CB41" s="1710">
        <f>MOPFRA!CB41</f>
        <v>5.3930831550527962</v>
      </c>
      <c r="CC41" s="266">
        <f>MOPFRA!CC41</f>
        <v>1411</v>
      </c>
      <c r="CD41" s="267">
        <f>MOPFRA!CD41</f>
        <v>11.5</v>
      </c>
      <c r="CE41" s="99">
        <f>MOPFRA!CE41</f>
        <v>-10</v>
      </c>
      <c r="CF41" s="17">
        <f>MOPFRA!CF41</f>
        <v>0.86131555651427982</v>
      </c>
      <c r="CG41" s="99">
        <f>MOPFRA!CG41</f>
        <v>4.5547377739428807</v>
      </c>
      <c r="CH41" s="494">
        <f>MOPFRA!CH41</f>
        <v>0.50588564088900423</v>
      </c>
      <c r="CI41" s="99">
        <f>MOPFRA!CI41</f>
        <v>1.588284613335063</v>
      </c>
      <c r="CJ41" s="20">
        <f>MOPFRA!CJ41</f>
        <v>10</v>
      </c>
      <c r="CK41" s="691">
        <f>MOPFRA!CK41</f>
        <v>144000</v>
      </c>
      <c r="CL41" s="419">
        <f>MOPFRA!CL41</f>
        <v>104948</v>
      </c>
      <c r="CM41" s="468">
        <f>MOPFRA!CM41</f>
        <v>975</v>
      </c>
      <c r="CN41" s="843">
        <f>MOPFRA!CN41</f>
        <v>308</v>
      </c>
      <c r="CO41" s="21">
        <f>MOPFRA!CO41</f>
        <v>72589</v>
      </c>
      <c r="CP41" s="21">
        <f>MOPFRA!CP41</f>
        <v>-454</v>
      </c>
      <c r="CQ41" s="469">
        <f>MOPFRA!CQ41</f>
        <v>72589</v>
      </c>
      <c r="CR41" s="1239">
        <f>MOPFRA!CR41</f>
        <v>134798.04746852233</v>
      </c>
      <c r="CS41" s="21">
        <f>MOPFRA!CS41</f>
        <v>177537</v>
      </c>
      <c r="CT41" s="16">
        <f>MOPFRA!CT41</f>
        <v>0</v>
      </c>
      <c r="CU41" s="154" t="str">
        <f>MOPFRA!CU41</f>
        <v/>
      </c>
      <c r="CV41" s="693">
        <f>MOPFRA!CV41</f>
        <v>371300</v>
      </c>
      <c r="CW41" s="1599">
        <f>MOPFRA!CW41</f>
        <v>293160</v>
      </c>
      <c r="CX41" s="21">
        <f>MOPFRA!CX41</f>
        <v>3580</v>
      </c>
      <c r="CY41" s="49">
        <f>MOPFRA!CY41</f>
        <v>7046</v>
      </c>
      <c r="CZ41" s="53">
        <f>MOPFRA!CZ41</f>
        <v>300206</v>
      </c>
      <c r="DA41" s="1058">
        <f>MOPFRA!DA41</f>
        <v>1.0836300996043116</v>
      </c>
      <c r="DB41" s="99">
        <f>MOPFRA!DB41</f>
        <v>-0.93095920316550718</v>
      </c>
      <c r="DC41" s="53">
        <f>MOPFRA!DC41</f>
        <v>671506</v>
      </c>
      <c r="DD41" s="645">
        <f>MOPFRA!DD41</f>
        <v>0.4470637641361358</v>
      </c>
      <c r="DE41" s="13">
        <f>MOPFRA!DE41</f>
        <v>353829</v>
      </c>
      <c r="DF41" s="24">
        <f>MOPFRA!DF41</f>
        <v>251730</v>
      </c>
      <c r="DG41" s="24">
        <f>MOPFRA!DG41</f>
        <v>50772</v>
      </c>
      <c r="DH41" s="51">
        <f>MOPFRA!DH41</f>
        <v>317677</v>
      </c>
      <c r="DI41" s="8">
        <f>MOPFRA!DI41</f>
        <v>24517</v>
      </c>
      <c r="DJ41" s="644">
        <f>MOPFRA!DJ41</f>
        <v>29.712731656432947</v>
      </c>
      <c r="DK41" s="22">
        <f>MOPFRA!DK41</f>
        <v>94993</v>
      </c>
      <c r="DL41" s="22">
        <f>MOPFRA!DL41</f>
        <v>23204</v>
      </c>
      <c r="DM41" s="22">
        <f>MOPFRA!DM41</f>
        <v>147892</v>
      </c>
      <c r="DN41" s="138">
        <f>MOPFRA!DN41</f>
        <v>0.4470637641361358</v>
      </c>
      <c r="DO41" s="99">
        <f>MOPFRA!DO41</f>
        <v>1.7948545536563543</v>
      </c>
      <c r="DP41" s="22">
        <f>MOPFRA!DP41</f>
        <v>19751</v>
      </c>
      <c r="DQ41" s="8">
        <f>MOPFRA!DQ41</f>
        <v>31837</v>
      </c>
      <c r="DR41" s="32">
        <f>MOPFRA!DR41</f>
        <v>3.3634349583679155E-2</v>
      </c>
      <c r="DS41" s="99">
        <f>MOPFRA!DS41</f>
        <v>0</v>
      </c>
      <c r="DT41" s="8">
        <f>MOPFRA!DT41</f>
        <v>5136.04</v>
      </c>
      <c r="DU41" s="8">
        <f>MOPFRA!DU41</f>
        <v>7258.9000000000015</v>
      </c>
      <c r="DV41" s="235">
        <f>MOPFRA!DV41</f>
        <v>728.80555555555554</v>
      </c>
      <c r="DW41" s="8">
        <f>MOPFRA!DW41</f>
        <v>6561.8727777777785</v>
      </c>
      <c r="DX41" s="411">
        <f>MOPFRA!DX41</f>
        <v>50</v>
      </c>
      <c r="DY41" s="1532">
        <f>MOPFRA!DY41</f>
        <v>450</v>
      </c>
      <c r="DZ41" s="857">
        <f>MOPFRA!DZ41</f>
        <v>2.9900332225913623E-2</v>
      </c>
      <c r="EA41" s="386">
        <f>MOPFRA!EA41</f>
        <v>0.37</v>
      </c>
      <c r="EB41" s="504">
        <f>MOPFRA!EB41</f>
        <v>0</v>
      </c>
      <c r="EC41" s="510">
        <f>MOPFRA!EC41</f>
        <v>5240</v>
      </c>
      <c r="ED41" s="435">
        <f>MOPFRA!ED41</f>
        <v>209600</v>
      </c>
      <c r="EE41" s="510">
        <f>MOPFRA!EE41</f>
        <v>6590</v>
      </c>
      <c r="EF41" s="435">
        <f>MOPFRA!EF41</f>
        <v>395400</v>
      </c>
      <c r="EG41" s="510">
        <f>MOPFRA!EG41</f>
        <v>7320</v>
      </c>
      <c r="EH41" s="435">
        <f>MOPFRA!EH41</f>
        <v>570960</v>
      </c>
      <c r="EI41" s="510">
        <f>MOPFRA!EI41</f>
        <v>6380</v>
      </c>
      <c r="EJ41" s="435">
        <f>MOPFRA!EJ41</f>
        <v>669900</v>
      </c>
      <c r="EK41" s="510">
        <f>MOPFRA!EK41</f>
        <v>14600</v>
      </c>
      <c r="EL41" s="1606">
        <f>MOPFRA!EL41</f>
        <v>2102400</v>
      </c>
      <c r="EM41" s="1685">
        <f>MOPFRA!EM41</f>
        <v>14600</v>
      </c>
      <c r="EN41" s="1686">
        <f>MOPFRA!EN41</f>
        <v>2102400</v>
      </c>
      <c r="EO41" s="1609">
        <f>MOPFRA!EO41</f>
        <v>9.0305343511450378</v>
      </c>
      <c r="EP41" s="1648">
        <f>MOPFRA!EP41</f>
        <v>2</v>
      </c>
      <c r="EQ41"/>
    </row>
    <row r="42" spans="1:147" ht="35" customHeight="1">
      <c r="A42" s="100">
        <f>MOPFRA!A42</f>
        <v>-5.9376752563919073</v>
      </c>
      <c r="B42" s="99">
        <f>MOPFRA!B42</f>
        <v>-12.937675256391906</v>
      </c>
      <c r="C42" s="1585">
        <f ca="1">MOPFRA!C42</f>
        <v>0.2297958682724818</v>
      </c>
      <c r="D42" s="1651">
        <f>MOPFRA!D42</f>
        <v>2.2617537840290107</v>
      </c>
      <c r="E42" s="1414">
        <f>MOPFRA!E42</f>
        <v>6.3</v>
      </c>
      <c r="F42" s="1415">
        <f>MOPFRA!F42</f>
        <v>6.9999999999999991</v>
      </c>
      <c r="G42" s="2124">
        <f>MOPFRA!G42</f>
        <v>-2.7937537200233953</v>
      </c>
      <c r="H42" s="2379">
        <f>MOPFRA!H42</f>
        <v>1.1472814865794907</v>
      </c>
      <c r="I42" s="2379">
        <f>MOPFRA!I42</f>
        <v>0.26794258373205743</v>
      </c>
      <c r="J42" s="2379">
        <f>MOPFRA!J42</f>
        <v>0.58688819039066009</v>
      </c>
      <c r="K42" s="1942">
        <f>MOPFRA!K42</f>
        <v>16</v>
      </c>
      <c r="L42" s="2199">
        <f>MOPFRA!L42</f>
        <v>35</v>
      </c>
      <c r="M42" s="1582" t="str">
        <f>MOPFRA!M42</f>
        <v>BB</v>
      </c>
      <c r="N42" s="1582" t="str">
        <f>MOPFRA!N42</f>
        <v>BB</v>
      </c>
      <c r="O42" s="179" t="str">
        <f>MOPFRA!O42</f>
        <v/>
      </c>
      <c r="P42" s="856" t="str">
        <f>MOPFRA!P42</f>
        <v>DH</v>
      </c>
      <c r="Q42" s="1571" t="str">
        <f>MOPFRA!Q42</f>
        <v>پاكسان‌</v>
      </c>
      <c r="R42" s="1571" t="str">
        <f>MOPFRA!R42</f>
        <v>شپاكسا</v>
      </c>
      <c r="S42" s="1572">
        <f>MOPFRA!S42</f>
        <v>9</v>
      </c>
      <c r="T42" s="66">
        <f>MOPFRA!T42</f>
        <v>6123.2</v>
      </c>
      <c r="U42" s="258">
        <f>MOPFRA!U42</f>
        <v>3440</v>
      </c>
      <c r="V42" s="338">
        <f>MOPFRA!V42</f>
        <v>2.99</v>
      </c>
      <c r="W42" s="258">
        <f>MOPFRA!W42</f>
        <v>3440</v>
      </c>
      <c r="X42" s="337">
        <f>MOPFRA!X42</f>
        <v>2.99</v>
      </c>
      <c r="Y42" s="1708">
        <f>MOPFRA!Y42</f>
        <v>10960.2</v>
      </c>
      <c r="Z42" s="661" t="str">
        <f>MOPFRA!Z42</f>
        <v/>
      </c>
      <c r="AA42" s="2382">
        <f>MOPFRA!AA42</f>
        <v>1.2306739526411656</v>
      </c>
      <c r="AB42" s="511">
        <f ca="1">MOPFRA!AB42</f>
        <v>0.34273972602739727</v>
      </c>
      <c r="AC42" s="823">
        <f ca="1">MOPFRA!AC42</f>
        <v>-63.880160188040897</v>
      </c>
      <c r="AD42" s="1150">
        <f>MOPFRA!AD42</f>
        <v>1.2306739526411656</v>
      </c>
      <c r="AE42" s="1150">
        <f>MOPFRA!AE42</f>
        <v>1.3946812671098943</v>
      </c>
      <c r="AF42" s="1150">
        <f>MOPFRA!AF42</f>
        <v>1.5354865424430642</v>
      </c>
      <c r="AG42" s="1150">
        <f>MOPFRA!AG42</f>
        <v>1.3054216867469879</v>
      </c>
      <c r="AH42" s="1150">
        <f>MOPFRA!AH42</f>
        <v>2.6578255675029867</v>
      </c>
      <c r="AI42" s="275">
        <f ca="1">MOPFRA!AI42</f>
        <v>226</v>
      </c>
      <c r="AJ42" s="1120">
        <f>MOPFRA!AJ42</f>
        <v>46100</v>
      </c>
      <c r="AK42" s="1693">
        <f>MOPFRA!AK42</f>
        <v>46204</v>
      </c>
      <c r="AL42" s="1345">
        <f>MOPFRA!AL42</f>
        <v>17800000000</v>
      </c>
      <c r="AM42" s="29">
        <f>MOPFRA!AM42</f>
        <v>0</v>
      </c>
      <c r="AN42" s="29">
        <f>MOPFRA!AN42</f>
        <v>0</v>
      </c>
      <c r="AO42" s="685">
        <f>MOPFRA!AO42</f>
        <v>0.33</v>
      </c>
      <c r="AP42" s="174">
        <f>MOPFRA!AP42</f>
        <v>0</v>
      </c>
      <c r="AQ42" s="1416">
        <f>MOPFRA!AQ42</f>
        <v>5721</v>
      </c>
      <c r="AR42" s="1416">
        <f>MOPFRA!AR42</f>
        <v>781</v>
      </c>
      <c r="AS42" s="766">
        <f>MOPFRA!AS42</f>
        <v>11080.334406646349</v>
      </c>
      <c r="AT42" s="984">
        <f>MOPFRA!AT42</f>
        <v>4</v>
      </c>
      <c r="AU42" s="376">
        <f>MOPFRA!AU42</f>
        <v>0.55261870041820249</v>
      </c>
      <c r="AV42" s="99">
        <f>MOPFRA!AV42</f>
        <v>1.0844758569202839</v>
      </c>
      <c r="AW42" s="2380">
        <f>MOPFRA!AW42</f>
        <v>5214</v>
      </c>
      <c r="AX42" s="2380">
        <f>MOPFRA!AX42</f>
        <v>1194</v>
      </c>
      <c r="AY42" s="2374">
        <f>MOPFRA!AY42</f>
        <v>0.22900000000000001</v>
      </c>
      <c r="AZ42" s="2370">
        <f>MOPFRA!AZ42</f>
        <v>0.16600000000000001</v>
      </c>
      <c r="BA42" s="2372">
        <f>MOPFRA!BA42</f>
        <v>0.13700000000000001</v>
      </c>
      <c r="BB42" s="2373">
        <f>MOPFRA!BB42</f>
        <v>0.14199999999999999</v>
      </c>
      <c r="BC42" s="2375">
        <f>MOPFRA!BC42</f>
        <v>6.9999999999999991</v>
      </c>
      <c r="BD42" s="2376">
        <f>MOPFRA!BD42</f>
        <v>0.15</v>
      </c>
      <c r="BE42" s="2370">
        <f>MOPFRA!BE42</f>
        <v>0.08</v>
      </c>
      <c r="BF42" s="2371">
        <f>MOPFRA!BF42</f>
        <v>6.9000000000000006E-2</v>
      </c>
      <c r="BG42" s="1422">
        <f>MOPFRA!BG42</f>
        <v>4.3999999999999997E-2</v>
      </c>
      <c r="BH42" s="306">
        <f>MOPFRA!BH42</f>
        <v>7.9000000000000015E-2</v>
      </c>
      <c r="BI42" s="1861">
        <f>MOPFRA!BI42</f>
        <v>823.81200000000013</v>
      </c>
      <c r="BJ42" s="306">
        <f>MOPFRA!BJ42</f>
        <v>8.6000000000000007E-2</v>
      </c>
      <c r="BK42" s="99">
        <f>MOPFRA!BK42</f>
        <v>0</v>
      </c>
      <c r="BL42" s="306">
        <f>MOPFRA!BL42</f>
        <v>0.9367828013714995</v>
      </c>
      <c r="BM42" s="99">
        <f>MOPFRA!BM42</f>
        <v>-8.8167345380899835</v>
      </c>
      <c r="BN42" s="15">
        <f>MOPFRA!BN42</f>
        <v>0</v>
      </c>
      <c r="BO42" s="1803">
        <f>MOPFRA!BO42</f>
        <v>3</v>
      </c>
      <c r="BP42" s="842">
        <f>MOPFRA!BP42</f>
        <v>2</v>
      </c>
      <c r="BQ42" s="16">
        <f>MOPFRA!BQ42</f>
        <v>168</v>
      </c>
      <c r="BR42" s="16">
        <f>MOPFRA!BR42</f>
        <v>452</v>
      </c>
      <c r="BS42" s="16">
        <f>MOPFRA!BS42</f>
        <v>0</v>
      </c>
      <c r="BT42" s="1253">
        <f>MOPFRA!BT42</f>
        <v>992.72480954884952</v>
      </c>
      <c r="BU42" s="1246">
        <f>MOPFRA!BU42</f>
        <v>935.39325842696633</v>
      </c>
      <c r="BV42" s="406">
        <f>MOPFRA!BV42</f>
        <v>0</v>
      </c>
      <c r="BW42" s="407">
        <f>MOPFRA!BW42</f>
        <v>3.5682462159709893</v>
      </c>
      <c r="BX42" s="99">
        <f>MOPFRA!BX42</f>
        <v>7.1587689201450537</v>
      </c>
      <c r="BY42" s="18">
        <f>MOPFRA!BY42</f>
        <v>1716.0250804984762</v>
      </c>
      <c r="BZ42" s="18">
        <f>MOPFRA!BZ42</f>
        <v>1050.2915951972554</v>
      </c>
      <c r="CA42" s="18">
        <f>MOPFRA!CA42</f>
        <v>2537.3965791220139</v>
      </c>
      <c r="CB42" s="1710">
        <f>MOPFRA!CB42</f>
        <v>4.3194666888817324</v>
      </c>
      <c r="CC42" s="266">
        <f>MOPFRA!CC42</f>
        <v>590</v>
      </c>
      <c r="CD42" s="267">
        <f>MOPFRA!CD42</f>
        <v>5.83</v>
      </c>
      <c r="CE42" s="99">
        <f>MOPFRA!CE42</f>
        <v>-2.4900000000000002</v>
      </c>
      <c r="CF42" s="17">
        <f>MOPFRA!CF42</f>
        <v>2.9014727445321982</v>
      </c>
      <c r="CG42" s="99">
        <f>MOPFRA!CG42</f>
        <v>-3.6058909781287927</v>
      </c>
      <c r="CH42" s="494">
        <f>MOPFRA!CH42</f>
        <v>0.19324606762370228</v>
      </c>
      <c r="CI42" s="99">
        <f>MOPFRA!CI42</f>
        <v>-3.101308985644466</v>
      </c>
      <c r="CJ42" s="20">
        <f>MOPFRA!CJ42</f>
        <v>0</v>
      </c>
      <c r="CK42" s="691">
        <f>MOPFRA!CK42</f>
        <v>1780</v>
      </c>
      <c r="CL42" s="419">
        <f>MOPFRA!CL42</f>
        <v>432</v>
      </c>
      <c r="CM42" s="468">
        <f>MOPFRA!CM42</f>
        <v>105</v>
      </c>
      <c r="CN42" s="843">
        <f>MOPFRA!CN42</f>
        <v>25</v>
      </c>
      <c r="CO42" s="21">
        <f>MOPFRA!CO42</f>
        <v>805</v>
      </c>
      <c r="CP42" s="21">
        <f>MOPFRA!CP42</f>
        <v>0</v>
      </c>
      <c r="CQ42" s="469">
        <f>MOPFRA!CQ42</f>
        <v>832.5</v>
      </c>
      <c r="CR42" s="1239">
        <f>MOPFRA!CR42</f>
        <v>969.52926058155549</v>
      </c>
      <c r="CS42" s="21">
        <f>MOPFRA!CS42</f>
        <v>1237</v>
      </c>
      <c r="CT42" s="16">
        <f>MOPFRA!CT42</f>
        <v>-50</v>
      </c>
      <c r="CU42" s="154" t="str">
        <f>MOPFRA!CU42</f>
        <v/>
      </c>
      <c r="CV42" s="693">
        <f>MOPFRA!CV42</f>
        <v>3104</v>
      </c>
      <c r="CW42" s="49">
        <f>MOPFRA!CW42</f>
        <v>4710</v>
      </c>
      <c r="CX42" s="21">
        <f>MOPFRA!CX42</f>
        <v>1732</v>
      </c>
      <c r="CY42" s="49">
        <f>MOPFRA!CY42</f>
        <v>269</v>
      </c>
      <c r="CZ42" s="53">
        <f>MOPFRA!CZ42</f>
        <v>4979</v>
      </c>
      <c r="DA42" s="1058">
        <f>MOPFRA!DA42</f>
        <v>1.2263269639065817</v>
      </c>
      <c r="DB42" s="99">
        <f>MOPFRA!DB42</f>
        <v>0.21061571125265388</v>
      </c>
      <c r="DC42" s="53">
        <f>MOPFRA!DC42</f>
        <v>8083</v>
      </c>
      <c r="DD42" s="645">
        <f>MOPFRA!DD42</f>
        <v>0.6159841642954349</v>
      </c>
      <c r="DE42" s="13">
        <f>MOPFRA!DE42</f>
        <v>2307</v>
      </c>
      <c r="DF42" s="24">
        <f>MOPFRA!DF42</f>
        <v>1270</v>
      </c>
      <c r="DG42" s="24">
        <f>MOPFRA!DG42</f>
        <v>1020</v>
      </c>
      <c r="DH42" s="51">
        <f>MOPFRA!DH42</f>
        <v>5776</v>
      </c>
      <c r="DI42" s="8">
        <f>MOPFRA!DI42</f>
        <v>1066</v>
      </c>
      <c r="DJ42" s="644">
        <f>MOPFRA!DJ42</f>
        <v>10.394309949949671</v>
      </c>
      <c r="DK42" s="22">
        <f>MOPFRA!DK42</f>
        <v>1842</v>
      </c>
      <c r="DL42" s="22">
        <f>MOPFRA!DL42</f>
        <v>142</v>
      </c>
      <c r="DM42" s="22">
        <f>MOPFRA!DM42</f>
        <v>3021</v>
      </c>
      <c r="DN42" s="138">
        <f>MOPFRA!DN42</f>
        <v>0.6159841642954349</v>
      </c>
      <c r="DO42" s="99">
        <f>MOPFRA!DO42</f>
        <v>-0.37760124284665575</v>
      </c>
      <c r="DP42" s="22">
        <f>MOPFRA!DP42</f>
        <v>0</v>
      </c>
      <c r="DQ42" s="8">
        <f>MOPFRA!DQ42</f>
        <v>771</v>
      </c>
      <c r="DR42" s="32">
        <f>MOPFRA!DR42</f>
        <v>-0.68258939664815976</v>
      </c>
      <c r="DS42" s="99">
        <f>MOPFRA!DS42</f>
        <v>-3</v>
      </c>
      <c r="DT42" s="8">
        <f>MOPFRA!DT42</f>
        <v>2218.4</v>
      </c>
      <c r="DU42" s="8">
        <f>MOPFRA!DU42</f>
        <v>3479.6629213483147</v>
      </c>
      <c r="DV42" s="235">
        <f>MOPFRA!DV42</f>
        <v>242.69662921348313</v>
      </c>
      <c r="DW42" s="8">
        <f>MOPFRA!DW42</f>
        <v>2970.3797752808991</v>
      </c>
      <c r="DX42" s="411">
        <f>MOPFRA!DX42</f>
        <v>104</v>
      </c>
      <c r="DY42" s="1532">
        <f>MOPFRA!DY42</f>
        <v>30</v>
      </c>
      <c r="DZ42" s="857">
        <f>MOPFRA!DZ42</f>
        <v>1.9083969465648856E-2</v>
      </c>
      <c r="EA42" s="386">
        <f>MOPFRA!EA42</f>
        <v>0.45</v>
      </c>
      <c r="EB42" s="504">
        <f>MOPFRA!EB42</f>
        <v>0</v>
      </c>
      <c r="EC42" s="510">
        <f>MOPFRA!EC42</f>
        <v>15500</v>
      </c>
      <c r="ED42" s="435">
        <f>MOPFRA!ED42</f>
        <v>1674</v>
      </c>
      <c r="EE42" s="510">
        <f>MOPFRA!EE42</f>
        <v>2880</v>
      </c>
      <c r="EF42" s="435">
        <f>MOPFRA!EF42</f>
        <v>2656</v>
      </c>
      <c r="EG42" s="510">
        <f>MOPFRA!EG42</f>
        <v>2619</v>
      </c>
      <c r="EH42" s="435">
        <f>MOPFRA!EH42</f>
        <v>2415</v>
      </c>
      <c r="EI42" s="510">
        <f>MOPFRA!EI42</f>
        <v>2079</v>
      </c>
      <c r="EJ42" s="435">
        <f>MOPFRA!EJ42</f>
        <v>2557</v>
      </c>
      <c r="EK42" s="510">
        <f>MOPFRA!EK42</f>
        <v>1542</v>
      </c>
      <c r="EL42" s="1606">
        <f>MOPFRA!EL42</f>
        <v>2745</v>
      </c>
      <c r="EM42" s="1684">
        <f>MOPFRA!EM42</f>
        <v>1542</v>
      </c>
      <c r="EN42" s="1608">
        <f>MOPFRA!EN42</f>
        <v>2745</v>
      </c>
      <c r="EO42" s="1609">
        <f>MOPFRA!EO42</f>
        <v>0.63978494623655913</v>
      </c>
      <c r="EP42" s="1648">
        <f>MOPFRA!EP42</f>
        <v>26</v>
      </c>
      <c r="EQ42"/>
    </row>
    <row r="43" spans="1:147" ht="35" customHeight="1">
      <c r="A43" s="100">
        <f>MOPFRA!A43</f>
        <v>-5.7512781330747558</v>
      </c>
      <c r="B43" s="99">
        <f>MOPFRA!B43</f>
        <v>-15.751278133074752</v>
      </c>
      <c r="C43" s="1585">
        <f ca="1">MOPFRA!C43</f>
        <v>0.27163999423886426</v>
      </c>
      <c r="D43" s="1651">
        <f>MOPFRA!D43</f>
        <v>1.3149756002114987</v>
      </c>
      <c r="E43" s="1414">
        <f>MOPFRA!E43</f>
        <v>7.5000000000000009</v>
      </c>
      <c r="F43" s="1415">
        <f>MOPFRA!F43</f>
        <v>11.800000000000002</v>
      </c>
      <c r="G43" s="2124">
        <f>MOPFRA!G43</f>
        <v>16.09671302149178</v>
      </c>
      <c r="H43" s="2379">
        <f>MOPFRA!H43</f>
        <v>0.48928571428571427</v>
      </c>
      <c r="I43" s="2379">
        <f>MOPFRA!I43</f>
        <v>-1.2376237623762377E-2</v>
      </c>
      <c r="J43" s="2379">
        <f>MOPFRA!J43</f>
        <v>0.28121059268600251</v>
      </c>
      <c r="K43" s="1942">
        <f>MOPFRA!K43</f>
        <v>37</v>
      </c>
      <c r="L43" s="2199">
        <f>MOPFRA!L43</f>
        <v>33</v>
      </c>
      <c r="M43" s="1582" t="str">
        <f>MOPFRA!M43</f>
        <v>B</v>
      </c>
      <c r="N43" s="1582" t="str">
        <f>MOPFRA!N43</f>
        <v>B</v>
      </c>
      <c r="O43" s="179" t="str">
        <f>MOPFRA!O43</f>
        <v/>
      </c>
      <c r="P43" s="856" t="str">
        <f>MOPFRA!P43</f>
        <v>KN</v>
      </c>
      <c r="Q43" s="1571" t="str">
        <f>MOPFRA!Q43</f>
        <v>شيشه‌ همدان‌</v>
      </c>
      <c r="R43" s="1571" t="str">
        <f>MOPFRA!R43</f>
        <v>كهمدا</v>
      </c>
      <c r="S43" s="1572">
        <f>MOPFRA!S43</f>
        <v>3</v>
      </c>
      <c r="T43" s="66">
        <f>MOPFRA!T43</f>
        <v>7788</v>
      </c>
      <c r="U43" s="258">
        <f>MOPFRA!U43</f>
        <v>4690</v>
      </c>
      <c r="V43" s="338">
        <f>MOPFRA!V43</f>
        <v>-1.68</v>
      </c>
      <c r="W43" s="258">
        <f>MOPFRA!W43</f>
        <v>4720</v>
      </c>
      <c r="X43" s="337">
        <f>MOPFRA!X43</f>
        <v>-1.05</v>
      </c>
      <c r="Y43" s="1708">
        <f>MOPFRA!Y43</f>
        <v>9153</v>
      </c>
      <c r="Z43" s="661" t="str">
        <f>MOPFRA!Z43</f>
        <v/>
      </c>
      <c r="AA43" s="2382">
        <f>MOPFRA!AA43</f>
        <v>2.1555915721231766</v>
      </c>
      <c r="AB43" s="511">
        <f ca="1">MOPFRA!AB43</f>
        <v>0.71753424657534248</v>
      </c>
      <c r="AC43" s="823">
        <f ca="1">MOPFRA!AC43</f>
        <v>-49.417777510234849</v>
      </c>
      <c r="AD43" s="1150" t="str">
        <f>MOPFRA!AD43</f>
        <v/>
      </c>
      <c r="AE43" s="1150">
        <f>MOPFRA!AE43</f>
        <v>2.1555915721231766</v>
      </c>
      <c r="AF43" s="1150">
        <f>MOPFRA!AF43</f>
        <v>1.7774607703281027</v>
      </c>
      <c r="AG43" s="1150">
        <f>MOPFRA!AG43</f>
        <v>1.0202334630350194</v>
      </c>
      <c r="AH43" s="1150">
        <f>MOPFRA!AH43</f>
        <v>1.9300225733634311</v>
      </c>
      <c r="AI43" s="275">
        <f ca="1">MOPFRA!AI43</f>
        <v>74</v>
      </c>
      <c r="AJ43" s="1120">
        <f>MOPFRA!AJ43</f>
        <v>45948</v>
      </c>
      <c r="AK43" s="1693">
        <f>MOPFRA!AK43</f>
        <v>46063</v>
      </c>
      <c r="AL43" s="1345">
        <f>MOPFRA!AL43</f>
        <v>16500000000</v>
      </c>
      <c r="AM43" s="29">
        <f>MOPFRA!AM43</f>
        <v>0</v>
      </c>
      <c r="AN43" s="29">
        <f>MOPFRA!AN43</f>
        <v>0</v>
      </c>
      <c r="AO43" s="685">
        <f>MOPFRA!AO43</f>
        <v>0.51</v>
      </c>
      <c r="AP43" s="174">
        <f>MOPFRA!AP43</f>
        <v>0</v>
      </c>
      <c r="AQ43" s="1416">
        <f>MOPFRA!AQ43</f>
        <v>3002</v>
      </c>
      <c r="AR43" s="1416" t="str">
        <f>MOPFRA!AR43</f>
        <v>?</v>
      </c>
      <c r="AS43" s="766">
        <f>MOPFRA!AS43</f>
        <v>4271.1678571428565</v>
      </c>
      <c r="AT43" s="984">
        <f>MOPFRA!AT43</f>
        <v>4</v>
      </c>
      <c r="AU43" s="376">
        <f>MOPFRA!AU43</f>
        <v>1.8233888857764733</v>
      </c>
      <c r="AV43" s="99">
        <f>MOPFRA!AV43</f>
        <v>-4.5383118423140338</v>
      </c>
      <c r="AW43" s="2380">
        <f>MOPFRA!AW43</f>
        <v>2204</v>
      </c>
      <c r="AX43" s="2380">
        <f>MOPFRA!AX43</f>
        <v>1159</v>
      </c>
      <c r="AY43" s="2374">
        <f>MOPFRA!AY43</f>
        <v>0.52600000000000002</v>
      </c>
      <c r="AZ43" s="2370">
        <f>MOPFRA!AZ43</f>
        <v>0.45100000000000001</v>
      </c>
      <c r="BA43" s="2372">
        <f>MOPFRA!BA43</f>
        <v>0.41099999999999998</v>
      </c>
      <c r="BB43" s="2373">
        <f>MOPFRA!BB43</f>
        <v>0.46600000000000003</v>
      </c>
      <c r="BC43" s="2375">
        <f>MOPFRA!BC43</f>
        <v>10</v>
      </c>
      <c r="BD43" s="2376">
        <f>MOPFRA!BD43</f>
        <v>0.34200000000000003</v>
      </c>
      <c r="BE43" s="2370">
        <f>MOPFRA!BE43</f>
        <v>0.224</v>
      </c>
      <c r="BF43" s="2371">
        <f>MOPFRA!BF43</f>
        <v>0.33400000000000002</v>
      </c>
      <c r="BG43" s="1422">
        <f>MOPFRA!BG43</f>
        <v>0.33600000000000002</v>
      </c>
      <c r="BH43" s="306">
        <f>MOPFRA!BH43</f>
        <v>0.184</v>
      </c>
      <c r="BI43" s="1861">
        <f>MOPFRA!BI43</f>
        <v>540.71466666666663</v>
      </c>
      <c r="BJ43" s="306">
        <f>MOPFRA!BJ43</f>
        <v>0.22700000000000001</v>
      </c>
      <c r="BK43" s="99">
        <f>MOPFRA!BK43</f>
        <v>0</v>
      </c>
      <c r="BL43" s="306">
        <f>MOPFRA!BL43</f>
        <v>0.42277410297896617</v>
      </c>
      <c r="BM43" s="99">
        <f>MOPFRA!BM43</f>
        <v>-10</v>
      </c>
      <c r="BN43" s="15">
        <f>MOPFRA!BN43</f>
        <v>0</v>
      </c>
      <c r="BO43" s="1803">
        <f>MOPFRA!BO43</f>
        <v>12</v>
      </c>
      <c r="BP43" s="842">
        <f>MOPFRA!BP43</f>
        <v>3</v>
      </c>
      <c r="BQ43" s="16">
        <f>MOPFRA!BQ43</f>
        <v>123</v>
      </c>
      <c r="BR43" s="16">
        <f>MOPFRA!BR43</f>
        <v>434</v>
      </c>
      <c r="BS43" s="16">
        <f>MOPFRA!BS43</f>
        <v>724</v>
      </c>
      <c r="BT43" s="1253">
        <f>MOPFRA!BT43</f>
        <v>920.44812554112548</v>
      </c>
      <c r="BU43" s="1246">
        <f>MOPFRA!BU43</f>
        <v>965.65656565656559</v>
      </c>
      <c r="BV43" s="406">
        <f>MOPFRA!BV43</f>
        <v>0</v>
      </c>
      <c r="BW43" s="407">
        <f>MOPFRA!BW43</f>
        <v>5.0050243997885016</v>
      </c>
      <c r="BX43" s="99">
        <f>MOPFRA!BX43</f>
        <v>-2.5121998942507773E-2</v>
      </c>
      <c r="BY43" s="18">
        <f>MOPFRA!BY43</f>
        <v>1556.0363702380951</v>
      </c>
      <c r="BZ43" s="18">
        <f>MOPFRA!BZ43</f>
        <v>1232.2784810126582</v>
      </c>
      <c r="CA43" s="18">
        <f>MOPFRA!CA43</f>
        <v>2246.6342928571426</v>
      </c>
      <c r="CB43" s="1710">
        <f>MOPFRA!CB43</f>
        <v>4.0740943148160227</v>
      </c>
      <c r="CC43" s="266">
        <f>MOPFRA!CC43</f>
        <v>742</v>
      </c>
      <c r="CD43" s="267">
        <f>MOPFRA!CD43</f>
        <v>6.32</v>
      </c>
      <c r="CE43" s="99">
        <f>MOPFRA!CE43</f>
        <v>-3.9600000000000009</v>
      </c>
      <c r="CF43" s="17">
        <f>MOPFRA!CF43</f>
        <v>1.7069009766099461</v>
      </c>
      <c r="CG43" s="99">
        <f>MOPFRA!CG43</f>
        <v>1.1723960935602156</v>
      </c>
      <c r="CH43" s="494">
        <f>MOPFRA!CH43</f>
        <v>0.23865588500584281</v>
      </c>
      <c r="CI43" s="99">
        <f>MOPFRA!CI43</f>
        <v>-2.4201617249123584</v>
      </c>
      <c r="CJ43" s="20">
        <f>MOPFRA!CJ43</f>
        <v>0</v>
      </c>
      <c r="CK43" s="691">
        <f>MOPFRA!CK43</f>
        <v>1650</v>
      </c>
      <c r="CL43" s="419">
        <f>MOPFRA!CL43</f>
        <v>116</v>
      </c>
      <c r="CM43" s="468">
        <f>MOPFRA!CM43</f>
        <v>58</v>
      </c>
      <c r="CN43" s="843">
        <f>MOPFRA!CN43</f>
        <v>442</v>
      </c>
      <c r="CO43" s="21">
        <f>MOPFRA!CO43</f>
        <v>1195</v>
      </c>
      <c r="CP43" s="21">
        <f>MOPFRA!CP43</f>
        <v>0</v>
      </c>
      <c r="CQ43" s="469">
        <f>MOPFRA!CQ43</f>
        <v>1195</v>
      </c>
      <c r="CR43" s="1239">
        <f>MOPFRA!CR43</f>
        <v>121.72828392857141</v>
      </c>
      <c r="CS43" s="21">
        <f>MOPFRA!CS43</f>
        <v>1311</v>
      </c>
      <c r="CT43" s="16">
        <f>MOPFRA!CT43</f>
        <v>0</v>
      </c>
      <c r="CU43" s="154" t="str">
        <f>MOPFRA!CU43</f>
        <v/>
      </c>
      <c r="CV43" s="693">
        <f>MOPFRA!CV43</f>
        <v>3126</v>
      </c>
      <c r="CW43" s="49">
        <f>MOPFRA!CW43</f>
        <v>1076</v>
      </c>
      <c r="CX43" s="21">
        <f>MOPFRA!CX43</f>
        <v>2101</v>
      </c>
      <c r="CY43" s="49">
        <f>MOPFRA!CY43</f>
        <v>1580</v>
      </c>
      <c r="CZ43" s="53">
        <f>MOPFRA!CZ43</f>
        <v>2656</v>
      </c>
      <c r="DA43" s="1058">
        <f>MOPFRA!DA43</f>
        <v>3.1542750929368029</v>
      </c>
      <c r="DB43" s="99">
        <f>MOPFRA!DB43</f>
        <v>6</v>
      </c>
      <c r="DC43" s="53">
        <f>MOPFRA!DC43</f>
        <v>5782</v>
      </c>
      <c r="DD43" s="645">
        <f>MOPFRA!DD43</f>
        <v>0.4593566240055344</v>
      </c>
      <c r="DE43" s="13">
        <f>MOPFRA!DE43</f>
        <v>2388</v>
      </c>
      <c r="DF43" s="24">
        <f>MOPFRA!DF43</f>
        <v>2095</v>
      </c>
      <c r="DG43" s="24">
        <f>MOPFRA!DG43</f>
        <v>226</v>
      </c>
      <c r="DH43" s="51">
        <f>MOPFRA!DH43</f>
        <v>3394</v>
      </c>
      <c r="DI43" s="8">
        <f>MOPFRA!DI43</f>
        <v>2318</v>
      </c>
      <c r="DJ43" s="644">
        <f>MOPFRA!DJ43</f>
        <v>1.8426090841858742</v>
      </c>
      <c r="DK43" s="22">
        <f>MOPFRA!DK43</f>
        <v>988</v>
      </c>
      <c r="DL43" s="22">
        <f>MOPFRA!DL43</f>
        <v>270</v>
      </c>
      <c r="DM43" s="22">
        <f>MOPFRA!DM43</f>
        <v>1032</v>
      </c>
      <c r="DN43" s="138">
        <f>MOPFRA!DN43</f>
        <v>0.4593566240055344</v>
      </c>
      <c r="DO43" s="99">
        <f>MOPFRA!DO43</f>
        <v>1.9921339533930382E-2</v>
      </c>
      <c r="DP43" s="22">
        <f>MOPFRA!DP43</f>
        <v>1021</v>
      </c>
      <c r="DQ43" s="8">
        <f>MOPFRA!DQ43</f>
        <v>83</v>
      </c>
      <c r="DR43" s="32">
        <f>MOPFRA!DR43</f>
        <v>-0.48071909319363099</v>
      </c>
      <c r="DS43" s="99">
        <f>MOPFRA!DS43</f>
        <v>-2</v>
      </c>
      <c r="DT43" s="8">
        <f>MOPFRA!DT43</f>
        <v>2968</v>
      </c>
      <c r="DU43" s="8">
        <f>MOPFRA!DU43</f>
        <v>3824</v>
      </c>
      <c r="DV43" s="235">
        <f>MOPFRA!DV43</f>
        <v>70.303030303030297</v>
      </c>
      <c r="DW43" s="8">
        <f>MOPFRA!DW43</f>
        <v>3431.151515151515</v>
      </c>
      <c r="DX43" s="411">
        <f>MOPFRA!DX43</f>
        <v>115</v>
      </c>
      <c r="DY43" s="1532">
        <f>MOPFRA!DY43</f>
        <v>150</v>
      </c>
      <c r="DZ43" s="857">
        <f>MOPFRA!DZ43</f>
        <v>9.1130012150668294E-2</v>
      </c>
      <c r="EA43" s="386">
        <f>MOPFRA!EA43</f>
        <v>0.34</v>
      </c>
      <c r="EB43" s="504">
        <f>MOPFRA!EB43</f>
        <v>0</v>
      </c>
      <c r="EC43" s="510">
        <f>MOPFRA!EC43</f>
        <v>9230</v>
      </c>
      <c r="ED43" s="435">
        <f>MOPFRA!ED43</f>
        <v>2658</v>
      </c>
      <c r="EE43" s="510">
        <f>MOPFRA!EE43</f>
        <v>5140</v>
      </c>
      <c r="EF43" s="435">
        <f>MOPFRA!EF43</f>
        <v>3855</v>
      </c>
      <c r="EG43" s="510">
        <f>MOPFRA!EG43</f>
        <v>2280</v>
      </c>
      <c r="EH43" s="435">
        <f>MOPFRA!EH43</f>
        <v>2804</v>
      </c>
      <c r="EI43" s="510">
        <f>MOPFRA!EI43</f>
        <v>1496</v>
      </c>
      <c r="EJ43" s="435">
        <f>MOPFRA!EJ43</f>
        <v>2468</v>
      </c>
      <c r="EK43" s="510">
        <f>MOPFRA!EK43</f>
        <v>0</v>
      </c>
      <c r="EL43" s="1606">
        <f>MOPFRA!EL43</f>
        <v>0</v>
      </c>
      <c r="EM43" s="1685">
        <f>MOPFRA!EM43</f>
        <v>1496</v>
      </c>
      <c r="EN43" s="1686">
        <f>MOPFRA!EN43</f>
        <v>2468</v>
      </c>
      <c r="EO43" s="1609">
        <f>MOPFRA!EO43</f>
        <v>-7.1482317531978937E-2</v>
      </c>
      <c r="EP43" s="1648">
        <f>MOPFRA!EP43</f>
        <v>36</v>
      </c>
      <c r="EQ43"/>
    </row>
    <row r="44" spans="1:147" ht="35" customHeight="1">
      <c r="A44" s="100">
        <f>MOPFRA!A44</f>
        <v>-8.6546666382605597</v>
      </c>
      <c r="B44" s="99">
        <f>MOPFRA!B44</f>
        <v>4.5333361739440026E-2</v>
      </c>
      <c r="C44" s="1585">
        <f ca="1">MOPFRA!C44</f>
        <v>0.23472749772549714</v>
      </c>
      <c r="D44" s="1651">
        <f>MOPFRA!D44</f>
        <v>4.537898119489828</v>
      </c>
      <c r="E44" s="1414">
        <f>MOPFRA!E44</f>
        <v>-7.3000000000000007</v>
      </c>
      <c r="F44" s="1415">
        <f>MOPFRA!F44</f>
        <v>-8.6999999999999993</v>
      </c>
      <c r="G44" s="2124">
        <f>MOPFRA!G44</f>
        <v>2.4256361467676566</v>
      </c>
      <c r="H44" s="2379">
        <f>MOPFRA!H44</f>
        <v>0.37074665376552168</v>
      </c>
      <c r="I44" s="2379">
        <f>MOPFRA!I44</f>
        <v>0.10816505706760315</v>
      </c>
      <c r="J44" s="2379">
        <f>MOPFRA!J44</f>
        <v>0.80921206453121342</v>
      </c>
      <c r="K44" s="1942">
        <f>MOPFRA!K44</f>
        <v>40</v>
      </c>
      <c r="L44" s="2199">
        <f>MOPFRA!L44</f>
        <v>38</v>
      </c>
      <c r="M44" s="1582" t="str">
        <f>MOPFRA!M44</f>
        <v>N</v>
      </c>
      <c r="N44" s="1582" t="str">
        <f>MOPFRA!N44</f>
        <v>N</v>
      </c>
      <c r="O44" s="179" t="str">
        <f>MOPFRA!O44</f>
        <v/>
      </c>
      <c r="P44" s="856" t="str">
        <f>MOPFRA!P44</f>
        <v>AL</v>
      </c>
      <c r="Q44" s="1571" t="str">
        <f>MOPFRA!Q44</f>
        <v>آلوميناي ايران</v>
      </c>
      <c r="R44" s="1571" t="str">
        <f>MOPFRA!R44</f>
        <v>آلومينا</v>
      </c>
      <c r="S44" s="1572">
        <f>MOPFRA!S44</f>
        <v>12</v>
      </c>
      <c r="T44" s="66">
        <f>MOPFRA!T44</f>
        <v>30576.468010000001</v>
      </c>
      <c r="U44" s="258">
        <f>MOPFRA!U44</f>
        <v>152900</v>
      </c>
      <c r="V44" s="338">
        <f>MOPFRA!V44</f>
        <v>2.96</v>
      </c>
      <c r="W44" s="258">
        <f>MOPFRA!W44</f>
        <v>152900</v>
      </c>
      <c r="X44" s="337">
        <f>MOPFRA!X44</f>
        <v>2.96</v>
      </c>
      <c r="Y44" s="1708">
        <f>MOPFRA!Y44</f>
        <v>41261.468009999997</v>
      </c>
      <c r="Z44" s="661" t="str">
        <f>MOPFRA!Z44</f>
        <v/>
      </c>
      <c r="AA44" s="2382">
        <f>MOPFRA!AA44</f>
        <v>8.1625385050762334E-2</v>
      </c>
      <c r="AB44" s="511">
        <f ca="1">MOPFRA!AB44</f>
        <v>8.3835616438356172E-2</v>
      </c>
      <c r="AC44" s="823">
        <f ca="1">MOPFRA!AC44</f>
        <v>0.65006805517465849</v>
      </c>
      <c r="AD44" s="1150">
        <f>MOPFRA!AD44</f>
        <v>8.1625385050762334E-2</v>
      </c>
      <c r="AE44" s="1150">
        <f>MOPFRA!AE44</f>
        <v>0.26291636074511587</v>
      </c>
      <c r="AF44" s="1150" t="str">
        <f>MOPFRA!AF44</f>
        <v/>
      </c>
      <c r="AG44" s="1150" t="str">
        <f>MOPFRA!AG44</f>
        <v/>
      </c>
      <c r="AH44" s="1150" t="str">
        <f>MOPFRA!AH44</f>
        <v/>
      </c>
      <c r="AI44" s="275">
        <f ca="1">MOPFRA!AI44</f>
        <v>331</v>
      </c>
      <c r="AJ44" s="1120">
        <f>MOPFRA!AJ44</f>
        <v>46205</v>
      </c>
      <c r="AK44" s="1693">
        <f>MOPFRA!AK44</f>
        <v>46319</v>
      </c>
      <c r="AL44" s="1345">
        <f>MOPFRA!AL44</f>
        <v>1999769000</v>
      </c>
      <c r="AM44" s="29">
        <f>MOPFRA!AM44</f>
        <v>0</v>
      </c>
      <c r="AN44" s="29">
        <f>MOPFRA!AN44</f>
        <v>0</v>
      </c>
      <c r="AO44" s="685">
        <f>MOPFRA!AO44</f>
        <v>0.06</v>
      </c>
      <c r="AP44" s="174">
        <f>MOPFRA!AP44</f>
        <v>0</v>
      </c>
      <c r="AQ44" s="1416">
        <f>MOPFRA!AQ44</f>
        <v>19019</v>
      </c>
      <c r="AR44" s="1416">
        <f>MOPFRA!AR44</f>
        <v>3507</v>
      </c>
      <c r="AS44" s="766">
        <f>MOPFRA!AS44</f>
        <v>25107.622685185186</v>
      </c>
      <c r="AT44" s="984">
        <f>MOPFRA!AT44</f>
        <v>4</v>
      </c>
      <c r="AU44" s="376">
        <f>MOPFRA!AU44</f>
        <v>1.217816134700866</v>
      </c>
      <c r="AV44" s="99">
        <f>MOPFRA!AV44</f>
        <v>0</v>
      </c>
      <c r="AW44" s="2380">
        <f>MOPFRA!AW44</f>
        <v>6311</v>
      </c>
      <c r="AX44" s="2380">
        <f>MOPFRA!AX44</f>
        <v>1927</v>
      </c>
      <c r="AY44" s="2374">
        <f>MOPFRA!AY44</f>
        <v>0.30499999999999999</v>
      </c>
      <c r="AZ44" s="2370">
        <f>MOPFRA!AZ44</f>
        <v>0.378</v>
      </c>
      <c r="BA44" s="2372">
        <f>MOPFRA!BA44</f>
        <v>0.184</v>
      </c>
      <c r="BB44" s="2373">
        <f>MOPFRA!BB44</f>
        <v>0.26900000000000002</v>
      </c>
      <c r="BC44" s="2375">
        <f>MOPFRA!BC44</f>
        <v>-8.6999999999999993</v>
      </c>
      <c r="BD44" s="2376">
        <f>MOPFRA!BD44</f>
        <v>0.223</v>
      </c>
      <c r="BE44" s="2370">
        <f>MOPFRA!BE44</f>
        <v>0.31</v>
      </c>
      <c r="BF44" s="2371">
        <f>MOPFRA!BF44</f>
        <v>0.124</v>
      </c>
      <c r="BG44" s="1422">
        <f>MOPFRA!BG44</f>
        <v>0.25</v>
      </c>
      <c r="BH44" s="306">
        <f>MOPFRA!BH44</f>
        <v>8.199999999999999E-2</v>
      </c>
      <c r="BI44" s="1861">
        <f>MOPFRA!BI44</f>
        <v>2070.0079999999998</v>
      </c>
      <c r="BJ44" s="306">
        <f>MOPFRA!BJ44</f>
        <v>6.8000000000000005E-2</v>
      </c>
      <c r="BK44" s="99">
        <f>MOPFRA!BK44</f>
        <v>0</v>
      </c>
      <c r="BL44" s="306">
        <f>MOPFRA!BL44</f>
        <v>0.32013369184421819</v>
      </c>
      <c r="BM44" s="99">
        <f>MOPFRA!BM44</f>
        <v>7.1552492038036757</v>
      </c>
      <c r="BN44" s="15">
        <f>MOPFRA!BN44</f>
        <v>0</v>
      </c>
      <c r="BO44" s="1803">
        <f>MOPFRA!BO44</f>
        <v>3</v>
      </c>
      <c r="BP44" s="842">
        <f>MOPFRA!BP44</f>
        <v>1</v>
      </c>
      <c r="BQ44" s="16">
        <f>MOPFRA!BQ44</f>
        <v>8657</v>
      </c>
      <c r="BR44" s="16">
        <f>MOPFRA!BR44</f>
        <v>0</v>
      </c>
      <c r="BS44" s="16">
        <f>MOPFRA!BS44</f>
        <v>0</v>
      </c>
      <c r="BT44" s="1253">
        <f>MOPFRA!BT44</f>
        <v>32553.759253175223</v>
      </c>
      <c r="BU44" s="1246">
        <f>MOPFRA!BU44</f>
        <v>34623.999071892802</v>
      </c>
      <c r="BV44" s="406">
        <f>MOPFRA!BV44</f>
        <v>0</v>
      </c>
      <c r="BW44" s="407">
        <f>MOPFRA!BW44</f>
        <v>4.5521018805101718</v>
      </c>
      <c r="BX44" s="99">
        <f>MOPFRA!BX44</f>
        <v>2.2394905974491408</v>
      </c>
      <c r="BY44" s="18">
        <f>MOPFRA!BY44</f>
        <v>6716.9999293981482</v>
      </c>
      <c r="BZ44" s="18">
        <f>MOPFRA!BZ44</f>
        <v>3363.7478558855887</v>
      </c>
      <c r="CA44" s="18">
        <f>MOPFRA!CA44</f>
        <v>7657.8249189814815</v>
      </c>
      <c r="CB44" s="1710">
        <f>MOPFRA!CB44</f>
        <v>5.3881446032704448</v>
      </c>
      <c r="CC44" s="266">
        <f>MOPFRA!CC44</f>
        <v>16822</v>
      </c>
      <c r="CD44" s="267">
        <f>MOPFRA!CD44</f>
        <v>9.09</v>
      </c>
      <c r="CE44" s="99">
        <f>MOPFRA!CE44</f>
        <v>-10</v>
      </c>
      <c r="CF44" s="17">
        <f>MOPFRA!CF44</f>
        <v>1.6976328896614599</v>
      </c>
      <c r="CG44" s="99">
        <f>MOPFRA!CG44</f>
        <v>1.2094684413541605</v>
      </c>
      <c r="CH44" s="494">
        <f>MOPFRA!CH44</f>
        <v>0.280963731517888</v>
      </c>
      <c r="CI44" s="99">
        <f>MOPFRA!CI44</f>
        <v>-1.7855440272316803</v>
      </c>
      <c r="CJ44" s="20">
        <f>MOPFRA!CJ44</f>
        <v>0</v>
      </c>
      <c r="CK44" s="691">
        <f>MOPFRA!CK44</f>
        <v>199.9769</v>
      </c>
      <c r="CL44" s="419">
        <f>MOPFRA!CL44</f>
        <v>6059</v>
      </c>
      <c r="CM44" s="468">
        <f>MOPFRA!CM44</f>
        <v>911</v>
      </c>
      <c r="CN44" s="843">
        <f>MOPFRA!CN44</f>
        <v>325</v>
      </c>
      <c r="CO44" s="21">
        <f>MOPFRA!CO44</f>
        <v>1731</v>
      </c>
      <c r="CP44" s="21">
        <f>MOPFRA!CP44</f>
        <v>0</v>
      </c>
      <c r="CQ44" s="469">
        <f>MOPFRA!CQ44</f>
        <v>1731</v>
      </c>
      <c r="CR44" s="1239">
        <f>MOPFRA!CR44</f>
        <v>1866.333286265432</v>
      </c>
      <c r="CS44" s="21">
        <f>MOPFRA!CS44</f>
        <v>7790</v>
      </c>
      <c r="CT44" s="16">
        <f>MOPFRA!CT44</f>
        <v>0</v>
      </c>
      <c r="CU44" s="154" t="str">
        <f>MOPFRA!CU44</f>
        <v/>
      </c>
      <c r="CV44" s="693">
        <f>MOPFRA!CV44</f>
        <v>8009</v>
      </c>
      <c r="CW44" s="49">
        <f>MOPFRA!CW44</f>
        <v>10754</v>
      </c>
      <c r="CX44" s="21">
        <f>MOPFRA!CX44</f>
        <v>1962</v>
      </c>
      <c r="CY44" s="49">
        <f>MOPFRA!CY44</f>
        <v>649</v>
      </c>
      <c r="CZ44" s="378">
        <f>MOPFRA!CZ44</f>
        <v>11403</v>
      </c>
      <c r="DA44" s="1058">
        <f>MOPFRA!DA44</f>
        <v>1.4783336432955179</v>
      </c>
      <c r="DB44" s="99">
        <f>MOPFRA!DB44</f>
        <v>2.2266691463641433</v>
      </c>
      <c r="DC44" s="53">
        <f>MOPFRA!DC44</f>
        <v>19412</v>
      </c>
      <c r="DD44" s="645">
        <f>MOPFRA!DD44</f>
        <v>0.58742015248300017</v>
      </c>
      <c r="DE44" s="13">
        <f>MOPFRA!DE44</f>
        <v>3514</v>
      </c>
      <c r="DF44" s="24">
        <f>MOPFRA!DF44</f>
        <v>2899</v>
      </c>
      <c r="DG44" s="24">
        <f>MOPFRA!DG44</f>
        <v>0</v>
      </c>
      <c r="DH44" s="51">
        <f>MOPFRA!DH44</f>
        <v>15898</v>
      </c>
      <c r="DI44" s="8">
        <f>MOPFRA!DI44</f>
        <v>5144</v>
      </c>
      <c r="DJ44" s="644">
        <f>MOPFRA!DJ44</f>
        <v>4.8809530880997638</v>
      </c>
      <c r="DK44" s="22">
        <f>MOPFRA!DK44</f>
        <v>8381</v>
      </c>
      <c r="DL44" s="22">
        <f>MOPFRA!DL44</f>
        <v>718</v>
      </c>
      <c r="DM44" s="22">
        <f>MOPFRA!DM44</f>
        <v>5734</v>
      </c>
      <c r="DN44" s="138">
        <f>MOPFRA!DN44</f>
        <v>0.58742015248300017</v>
      </c>
      <c r="DO44" s="99">
        <f>MOPFRA!DO44</f>
        <v>0</v>
      </c>
      <c r="DP44" s="22">
        <f>MOPFRA!DP44</f>
        <v>0</v>
      </c>
      <c r="DQ44" s="8">
        <f>MOPFRA!DQ44</f>
        <v>1065</v>
      </c>
      <c r="DR44" s="32">
        <f>MOPFRA!DR44</f>
        <v>-0.25620852144801359</v>
      </c>
      <c r="DS44" s="99">
        <f>MOPFRA!DS44</f>
        <v>-1</v>
      </c>
      <c r="DT44" s="8">
        <f>MOPFRA!DT44</f>
        <v>61232.08</v>
      </c>
      <c r="DU44" s="8">
        <f>MOPFRA!DU44</f>
        <v>124646.39665881409</v>
      </c>
      <c r="DV44" s="235">
        <f>MOPFRA!DV44</f>
        <v>30298.499476689558</v>
      </c>
      <c r="DW44" s="8">
        <f>MOPFRA!DW44</f>
        <v>108088.48806775182</v>
      </c>
      <c r="DX44" s="411">
        <f>MOPFRA!DX44</f>
        <v>114</v>
      </c>
      <c r="DY44" s="1532">
        <f>MOPFRA!DY44</f>
        <v>1640</v>
      </c>
      <c r="DZ44" s="857">
        <f>MOPFRA!DZ44</f>
        <v>1.1468531468531469E-2</v>
      </c>
      <c r="EA44" s="386">
        <f>MOPFRA!EA44</f>
        <v>0</v>
      </c>
      <c r="EB44" s="504">
        <f>MOPFRA!EB44</f>
        <v>0</v>
      </c>
      <c r="EC44" s="510">
        <f>MOPFRA!EC44</f>
        <v>0</v>
      </c>
      <c r="ED44" s="435">
        <f>MOPFRA!ED44</f>
        <v>0</v>
      </c>
      <c r="EE44" s="510">
        <f>MOPFRA!EE44</f>
        <v>0</v>
      </c>
      <c r="EF44" s="435">
        <f>MOPFRA!EF44</f>
        <v>0</v>
      </c>
      <c r="EG44" s="510">
        <f>MOPFRA!EG44</f>
        <v>0</v>
      </c>
      <c r="EH44" s="435">
        <f>MOPFRA!EH44</f>
        <v>0</v>
      </c>
      <c r="EI44" s="510">
        <f>MOPFRA!EI44</f>
        <v>121070</v>
      </c>
      <c r="EJ44" s="435">
        <f>MOPFRA!EJ44</f>
        <v>24211</v>
      </c>
      <c r="EK44" s="510">
        <f>MOPFRA!EK44</f>
        <v>141360</v>
      </c>
      <c r="EL44" s="1606">
        <f>MOPFRA!EL44</f>
        <v>28269</v>
      </c>
      <c r="EM44" s="1685">
        <f>MOPFRA!EM44</f>
        <v>141360</v>
      </c>
      <c r="EN44" s="1686">
        <f>MOPFRA!EN44</f>
        <v>28269</v>
      </c>
      <c r="EO44" s="1609" t="str">
        <f>MOPFRA!EO44</f>
        <v/>
      </c>
      <c r="EP44" s="1648" t="str">
        <f>MOPFRA!EP44</f>
        <v>NEW</v>
      </c>
      <c r="EQ44"/>
    </row>
    <row r="45" spans="1:147" ht="35" customHeight="1">
      <c r="A45" s="100">
        <f>MOPFRA!A45</f>
        <v>-12.256156490777114</v>
      </c>
      <c r="B45" s="99">
        <f>MOPFRA!B45</f>
        <v>-22.256156490777116</v>
      </c>
      <c r="C45" s="1585">
        <f ca="1">MOPFRA!C45</f>
        <v>0.18409280641838785</v>
      </c>
      <c r="D45" s="1651">
        <f>MOPFRA!D45</f>
        <v>13.374336488953677</v>
      </c>
      <c r="E45" s="1414">
        <f>MOPFRA!E45</f>
        <v>6.9</v>
      </c>
      <c r="F45" s="1415">
        <f>MOPFRA!F45</f>
        <v>10.5</v>
      </c>
      <c r="G45" s="2124">
        <f>MOPFRA!G45</f>
        <v>47.041027332134391</v>
      </c>
      <c r="H45" s="2379">
        <f>MOPFRA!H45</f>
        <v>1.354436158879927</v>
      </c>
      <c r="I45" s="2379">
        <f>MOPFRA!I45</f>
        <v>-0.20464135021097046</v>
      </c>
      <c r="J45" s="2379">
        <f>MOPFRA!J45</f>
        <v>0.98828025477707004</v>
      </c>
      <c r="K45" s="1942">
        <f>MOPFRA!K45</f>
        <v>13</v>
      </c>
      <c r="L45" s="2199">
        <f>MOPFRA!L45</f>
        <v>31</v>
      </c>
      <c r="M45" s="1582" t="str">
        <f>MOPFRA!M45</f>
        <v>B</v>
      </c>
      <c r="N45" s="1582" t="str">
        <f>MOPFRA!N45</f>
        <v>B</v>
      </c>
      <c r="O45" s="179" t="str">
        <f>MOPFRA!O45</f>
        <v/>
      </c>
      <c r="P45" s="856" t="str">
        <f>MOPFRA!P45</f>
        <v>M</v>
      </c>
      <c r="Q45" s="1571" t="str">
        <f>MOPFRA!Q45</f>
        <v>صبا فولاد خليج فارس</v>
      </c>
      <c r="R45" s="1571" t="str">
        <f>MOPFRA!R45</f>
        <v>فصبا</v>
      </c>
      <c r="S45" s="1572">
        <f>MOPFRA!S45</f>
        <v>9</v>
      </c>
      <c r="T45" s="66">
        <f>MOPFRA!T45</f>
        <v>13975</v>
      </c>
      <c r="U45" s="258">
        <f>MOPFRA!U45</f>
        <v>2795</v>
      </c>
      <c r="V45" s="338">
        <f>MOPFRA!V45</f>
        <v>2.98</v>
      </c>
      <c r="W45" s="258">
        <f>MOPFRA!W45</f>
        <v>2795</v>
      </c>
      <c r="X45" s="337">
        <f>MOPFRA!X45</f>
        <v>2.98</v>
      </c>
      <c r="Y45" s="1708">
        <f>MOPFRA!Y45</f>
        <v>32786</v>
      </c>
      <c r="Z45" s="661" t="str">
        <f>MOPFRA!Z45</f>
        <v/>
      </c>
      <c r="AA45" s="2382">
        <f>MOPFRA!AA45</f>
        <v>0.38985579313774243</v>
      </c>
      <c r="AB45" s="511">
        <f ca="1">MOPFRA!AB45</f>
        <v>1.1613698630136986</v>
      </c>
      <c r="AC45" s="823">
        <f ca="1">MOPFRA!AC45</f>
        <v>16.380341186326035</v>
      </c>
      <c r="AD45" s="1150">
        <f>MOPFRA!AD45</f>
        <v>0.38985579313774243</v>
      </c>
      <c r="AE45" s="1150">
        <f>MOPFRA!AE45</f>
        <v>-0.22683264177040111</v>
      </c>
      <c r="AF45" s="1150">
        <f>MOPFRA!AF45</f>
        <v>-0.27137643378519288</v>
      </c>
      <c r="AG45" s="1150" t="str">
        <f>MOPFRA!AG45</f>
        <v/>
      </c>
      <c r="AH45" s="1150" t="str">
        <f>MOPFRA!AH45</f>
        <v/>
      </c>
      <c r="AI45" s="275">
        <f ca="1">MOPFRA!AI45</f>
        <v>-106</v>
      </c>
      <c r="AJ45" s="1120">
        <f>MOPFRA!AJ45</f>
        <v>45768</v>
      </c>
      <c r="AK45" s="1693">
        <f>MOPFRA!AK45</f>
        <v>46204</v>
      </c>
      <c r="AL45" s="1345">
        <f>MOPFRA!AL45</f>
        <v>50000000000</v>
      </c>
      <c r="AM45" s="29">
        <f>MOPFRA!AM45</f>
        <v>0</v>
      </c>
      <c r="AN45" s="29">
        <f>MOPFRA!AN45</f>
        <v>0</v>
      </c>
      <c r="AO45" s="685">
        <f>MOPFRA!AO45</f>
        <v>7.0000000000000007E-2</v>
      </c>
      <c r="AP45" s="174">
        <f>MOPFRA!AP45</f>
        <v>0</v>
      </c>
      <c r="AQ45" s="1416">
        <f>MOPFRA!AQ45</f>
        <v>18602</v>
      </c>
      <c r="AR45" s="1416">
        <f>MOPFRA!AR45</f>
        <v>736</v>
      </c>
      <c r="AS45" s="766">
        <f>MOPFRA!AS45</f>
        <v>35404.539285170773</v>
      </c>
      <c r="AT45" s="984">
        <f>MOPFRA!AT45</f>
        <v>4</v>
      </c>
      <c r="AU45" s="376">
        <f>MOPFRA!AU45</f>
        <v>0.39472339655196254</v>
      </c>
      <c r="AV45" s="99">
        <f>MOPFRA!AV45</f>
        <v>3.4582637575584716</v>
      </c>
      <c r="AW45" s="2380">
        <f>MOPFRA!AW45</f>
        <v>11063</v>
      </c>
      <c r="AX45" s="2380">
        <f>MOPFRA!AX45</f>
        <v>1061</v>
      </c>
      <c r="AY45" s="2374">
        <f>MOPFRA!AY45</f>
        <v>9.6000000000000002E-2</v>
      </c>
      <c r="AZ45" s="2370">
        <f>MOPFRA!AZ45</f>
        <v>2.7E-2</v>
      </c>
      <c r="BA45" s="2372">
        <f>MOPFRA!BA45</f>
        <v>4.1000000000000002E-2</v>
      </c>
      <c r="BB45" s="2373">
        <f>MOPFRA!BB45</f>
        <v>1.7000000000000001E-2</v>
      </c>
      <c r="BC45" s="2375">
        <f>MOPFRA!BC45</f>
        <v>10</v>
      </c>
      <c r="BD45" s="2376">
        <f>MOPFRA!BD45</f>
        <v>0.09</v>
      </c>
      <c r="BE45" s="2370">
        <f>MOPFRA!BE45</f>
        <v>-1.4999999999999999E-2</v>
      </c>
      <c r="BF45" s="2371">
        <f>MOPFRA!BF45</f>
        <v>0</v>
      </c>
      <c r="BG45" s="1422">
        <f>MOPFRA!BG45</f>
        <v>1.4999999999999999E-2</v>
      </c>
      <c r="BH45" s="306">
        <f>MOPFRA!BH45</f>
        <v>6.0000000000000053E-3</v>
      </c>
      <c r="BI45" s="1861">
        <f>MOPFRA!BI45</f>
        <v>132.75600000000011</v>
      </c>
      <c r="BJ45" s="306">
        <f>MOPFRA!BJ45</f>
        <v>4.1999999999999996E-2</v>
      </c>
      <c r="BK45" s="99">
        <f>MOPFRA!BK45</f>
        <v>0</v>
      </c>
      <c r="BL45" s="306">
        <f>MOPFRA!BL45</f>
        <v>0.90326520186919546</v>
      </c>
      <c r="BM45" s="99">
        <f>MOPFRA!BM45</f>
        <v>10</v>
      </c>
      <c r="BN45" s="15">
        <f>MOPFRA!BN45</f>
        <v>0</v>
      </c>
      <c r="BO45" s="1803">
        <f>MOPFRA!BO45</f>
        <v>3</v>
      </c>
      <c r="BP45" s="842">
        <f>MOPFRA!BP45</f>
        <v>2</v>
      </c>
      <c r="BQ45" s="16">
        <f>MOPFRA!BQ45</f>
        <v>231</v>
      </c>
      <c r="BR45" s="16">
        <f>MOPFRA!BR45</f>
        <v>52</v>
      </c>
      <c r="BS45" s="16">
        <f>MOPFRA!BS45</f>
        <v>0</v>
      </c>
      <c r="BT45" s="1253">
        <f>MOPFRA!BT45</f>
        <v>767.08170713307391</v>
      </c>
      <c r="BU45" s="1246">
        <f>MOPFRA!BU45</f>
        <v>528.20000000000005</v>
      </c>
      <c r="BV45" s="406">
        <f>MOPFRA!BV45</f>
        <v>0</v>
      </c>
      <c r="BW45" s="407">
        <f>MOPFRA!BW45</f>
        <v>4.3156635110463251</v>
      </c>
      <c r="BX45" s="99">
        <f>MOPFRA!BX45</f>
        <v>3.4216824447683747</v>
      </c>
      <c r="BY45" s="18">
        <f>MOPFRA!BY45</f>
        <v>3238.2042678326852</v>
      </c>
      <c r="BZ45" s="18">
        <f>MOPFRA!BZ45</f>
        <v>789.9943470887506</v>
      </c>
      <c r="CA45" s="18">
        <f>MOPFRA!CA45</f>
        <v>3398.8357713763944</v>
      </c>
      <c r="CB45" s="1710">
        <f>MOPFRA!CB45</f>
        <v>9.6462442451942785</v>
      </c>
      <c r="CC45" s="266">
        <f>MOPFRA!CC45</f>
        <v>158</v>
      </c>
      <c r="CD45" s="267">
        <f>MOPFRA!CD45</f>
        <v>17.690000000000001</v>
      </c>
      <c r="CE45" s="99">
        <f>MOPFRA!CE45</f>
        <v>-10</v>
      </c>
      <c r="CF45" s="17">
        <f>MOPFRA!CF45</f>
        <v>5.9878866174732188</v>
      </c>
      <c r="CG45" s="99">
        <f>MOPFRA!CG45</f>
        <v>-10</v>
      </c>
      <c r="CH45" s="494">
        <f>MOPFRA!CH45</f>
        <v>0.15223563856107777</v>
      </c>
      <c r="CI45" s="99">
        <f>MOPFRA!CI45</f>
        <v>-3.7164654215838335</v>
      </c>
      <c r="CJ45" s="20">
        <f>MOPFRA!CJ45</f>
        <v>0</v>
      </c>
      <c r="CK45" s="691">
        <f>MOPFRA!CK45</f>
        <v>5000</v>
      </c>
      <c r="CL45" s="419">
        <f>MOPFRA!CL45</f>
        <v>1694</v>
      </c>
      <c r="CM45" s="468">
        <f>MOPFRA!CM45</f>
        <v>649</v>
      </c>
      <c r="CN45" s="843">
        <f>MOPFRA!CN45</f>
        <v>65</v>
      </c>
      <c r="CO45" s="21">
        <f>MOPFRA!CO45</f>
        <v>1061</v>
      </c>
      <c r="CP45" s="21">
        <f>MOPFRA!CP45</f>
        <v>0</v>
      </c>
      <c r="CQ45" s="469">
        <f>MOPFRA!CQ45</f>
        <v>1320.5</v>
      </c>
      <c r="CR45" s="1239">
        <f>MOPFRA!CR45</f>
        <v>1858.7383124714656</v>
      </c>
      <c r="CS45" s="21">
        <f>MOPFRA!CS45</f>
        <v>2755</v>
      </c>
      <c r="CT45" s="16">
        <f>MOPFRA!CT45</f>
        <v>-1182</v>
      </c>
      <c r="CU45" s="154" t="str">
        <f>MOPFRA!CU45</f>
        <v/>
      </c>
      <c r="CV45" s="693">
        <f>MOPFRA!CV45</f>
        <v>7054</v>
      </c>
      <c r="CW45" s="49">
        <f>MOPFRA!CW45</f>
        <v>19228</v>
      </c>
      <c r="CX45" s="21">
        <f>MOPFRA!CX45</f>
        <v>7629</v>
      </c>
      <c r="CY45" s="49">
        <f>MOPFRA!CY45</f>
        <v>162</v>
      </c>
      <c r="CZ45" s="378">
        <f>MOPFRA!CZ45</f>
        <v>19390</v>
      </c>
      <c r="DA45" s="1058">
        <f>MOPFRA!DA45</f>
        <v>0.73939047222800081</v>
      </c>
      <c r="DB45" s="99">
        <f>MOPFRA!DB45</f>
        <v>-3.6848762221759932</v>
      </c>
      <c r="DC45" s="53">
        <f>MOPFRA!DC45</f>
        <v>26444</v>
      </c>
      <c r="DD45" s="645">
        <f>MOPFRA!DD45</f>
        <v>0.73324761760701862</v>
      </c>
      <c r="DE45" s="13">
        <f>MOPFRA!DE45</f>
        <v>12227</v>
      </c>
      <c r="DF45" s="24">
        <f>MOPFRA!DF45</f>
        <v>11275</v>
      </c>
      <c r="DG45" s="24">
        <f>MOPFRA!DG45</f>
        <v>700</v>
      </c>
      <c r="DH45" s="51">
        <f>MOPFRA!DH45</f>
        <v>14217</v>
      </c>
      <c r="DI45" s="8">
        <f>MOPFRA!DI45</f>
        <v>-5011</v>
      </c>
      <c r="DJ45" s="644">
        <f>MOPFRA!DJ45</f>
        <v>-7.0653640561107114</v>
      </c>
      <c r="DK45" s="22">
        <f>MOPFRA!DK45</f>
        <v>7858</v>
      </c>
      <c r="DL45" s="22">
        <f>MOPFRA!DL45</f>
        <v>537</v>
      </c>
      <c r="DM45" s="22">
        <f>MOPFRA!DM45</f>
        <v>4891</v>
      </c>
      <c r="DN45" s="138">
        <f>MOPFRA!DN45</f>
        <v>0.73324761760701862</v>
      </c>
      <c r="DO45" s="99">
        <f>MOPFRA!DO45</f>
        <v>-1.7347610493441323</v>
      </c>
      <c r="DP45" s="22">
        <f>MOPFRA!DP45</f>
        <v>42</v>
      </c>
      <c r="DQ45" s="8">
        <f>MOPFRA!DQ45</f>
        <v>889</v>
      </c>
      <c r="DR45" s="32">
        <f>MOPFRA!DR45</f>
        <v>-2.2322349505364785</v>
      </c>
      <c r="DS45" s="99">
        <f>MOPFRA!DS45</f>
        <v>-10</v>
      </c>
      <c r="DT45" s="8">
        <f>MOPFRA!DT45</f>
        <v>594.08000000000004</v>
      </c>
      <c r="DU45" s="8">
        <f>MOPFRA!DU45</f>
        <v>1964.9040000000002</v>
      </c>
      <c r="DV45" s="235">
        <f>MOPFRA!DV45</f>
        <v>338.8</v>
      </c>
      <c r="DW45" s="8">
        <f>MOPFRA!DW45</f>
        <v>1448.8920000000003</v>
      </c>
      <c r="DX45" s="411">
        <f>MOPFRA!DX45</f>
        <v>436</v>
      </c>
      <c r="DY45" s="1532">
        <f>MOPFRA!DY45</f>
        <v>105</v>
      </c>
      <c r="DZ45" s="857">
        <f>MOPFRA!DZ45</f>
        <v>4.9621928166351609E-2</v>
      </c>
      <c r="EA45" s="386">
        <f>MOPFRA!EA45</f>
        <v>8.09</v>
      </c>
      <c r="EB45" s="504">
        <f>MOPFRA!EB45</f>
        <v>0</v>
      </c>
      <c r="EC45" s="510">
        <f>MOPFRA!EC45</f>
        <v>0</v>
      </c>
      <c r="ED45" s="435">
        <f>MOPFRA!ED45</f>
        <v>0</v>
      </c>
      <c r="EE45" s="510">
        <f>MOPFRA!EE45</f>
        <v>0</v>
      </c>
      <c r="EF45" s="435">
        <f>MOPFRA!EF45</f>
        <v>0</v>
      </c>
      <c r="EG45" s="510">
        <f>MOPFRA!EG45</f>
        <v>3836</v>
      </c>
      <c r="EH45" s="435">
        <f>MOPFRA!EH45</f>
        <v>19180</v>
      </c>
      <c r="EI45" s="510">
        <f>MOPFRA!EI45</f>
        <v>3615</v>
      </c>
      <c r="EJ45" s="435">
        <f>MOPFRA!EJ45</f>
        <v>18075</v>
      </c>
      <c r="EK45" s="510">
        <f>MOPFRA!EK45</f>
        <v>2011</v>
      </c>
      <c r="EL45" s="1606">
        <f>MOPFRA!EL45</f>
        <v>10055</v>
      </c>
      <c r="EM45" s="1684">
        <f>MOPFRA!EM45</f>
        <v>2011</v>
      </c>
      <c r="EN45" s="1608">
        <f>MOPFRA!EN45</f>
        <v>10055</v>
      </c>
      <c r="EO45" s="1609" t="str">
        <f>MOPFRA!EO45</f>
        <v/>
      </c>
      <c r="EP45" s="1648" t="str">
        <f>MOPFRA!EP45</f>
        <v>NEW</v>
      </c>
      <c r="EQ45"/>
    </row>
    <row r="46" spans="1:147" ht="35" customHeight="1">
      <c r="A46" s="100">
        <f>MOPFRA!A46</f>
        <v>-16.082359578665564</v>
      </c>
      <c r="B46" s="99">
        <f>MOPFRA!B46</f>
        <v>-14.782359578665563</v>
      </c>
      <c r="C46" s="1585">
        <f ca="1">MOPFRA!C46</f>
        <v>0.19457477002144416</v>
      </c>
      <c r="D46" s="1651">
        <f>MOPFRA!D46</f>
        <v>3.1627869963684567</v>
      </c>
      <c r="E46" s="1414">
        <f>MOPFRA!E46</f>
        <v>0.60000000000000053</v>
      </c>
      <c r="F46" s="1415">
        <f>MOPFRA!F46</f>
        <v>-1.3000000000000012</v>
      </c>
      <c r="G46" s="2124">
        <f>MOPFRA!G46</f>
        <v>-25.020122778445021</v>
      </c>
      <c r="H46" s="2379">
        <f>MOPFRA!H46</f>
        <v>0.28739374208717672</v>
      </c>
      <c r="I46" s="2379">
        <f>MOPFRA!I46</f>
        <v>0.36774644604987183</v>
      </c>
      <c r="J46" s="2379">
        <f>MOPFRA!J46</f>
        <v>0.37152209492635024</v>
      </c>
      <c r="K46" s="1942">
        <f>MOPFRA!K46</f>
        <v>44</v>
      </c>
      <c r="L46" s="2199">
        <f>MOPFRA!L46</f>
        <v>44</v>
      </c>
      <c r="M46" s="1582" t="str">
        <f>MOPFRA!M46</f>
        <v>S</v>
      </c>
      <c r="N46" s="1582" t="str">
        <f>MOPFRA!N46</f>
        <v>N</v>
      </c>
      <c r="O46" s="179" t="str">
        <f>MOPFRA!O46</f>
        <v/>
      </c>
      <c r="P46" s="856" t="str">
        <f>MOPFRA!P46</f>
        <v>T</v>
      </c>
      <c r="Q46" s="1571" t="str">
        <f>MOPFRA!Q46</f>
        <v>گروه‌ صنعتي‌ بارز</v>
      </c>
      <c r="R46" s="1571" t="str">
        <f>MOPFRA!R46</f>
        <v>پكرمان</v>
      </c>
      <c r="S46" s="1572">
        <f>MOPFRA!S46</f>
        <v>12</v>
      </c>
      <c r="T46" s="66">
        <f>MOPFRA!T46</f>
        <v>11973.343999999999</v>
      </c>
      <c r="U46" s="258">
        <f>MOPFRA!U46</f>
        <v>6470</v>
      </c>
      <c r="V46" s="338">
        <f>MOPFRA!V46</f>
        <v>2.21</v>
      </c>
      <c r="W46" s="258">
        <f>MOPFRA!W46</f>
        <v>6080</v>
      </c>
      <c r="X46" s="337">
        <f>MOPFRA!X46</f>
        <v>2.84</v>
      </c>
      <c r="Y46" s="1708">
        <f>MOPFRA!Y46</f>
        <v>26754.343999999997</v>
      </c>
      <c r="Z46" s="661" t="str">
        <f>MOPFRA!Z46</f>
        <v/>
      </c>
      <c r="AA46" s="2382">
        <f>MOPFRA!AA46</f>
        <v>2.8731312118862561E-5</v>
      </c>
      <c r="AB46" s="511">
        <f ca="1">MOPFRA!AB46</f>
        <v>8.3835616438356172E-2</v>
      </c>
      <c r="AC46" s="823">
        <f ca="1">MOPFRA!AC46</f>
        <v>24.649083860658031</v>
      </c>
      <c r="AD46" s="1150">
        <f>MOPFRA!AD46</f>
        <v>2.8731312118862561E-5</v>
      </c>
      <c r="AE46" s="1150">
        <f>MOPFRA!AE46</f>
        <v>-0.18692489474399027</v>
      </c>
      <c r="AF46" s="1150">
        <f>MOPFRA!AF46</f>
        <v>-4.335698306168112E-2</v>
      </c>
      <c r="AG46" s="1150">
        <f>MOPFRA!AG46</f>
        <v>2.399586598523566</v>
      </c>
      <c r="AH46" s="1150">
        <f>MOPFRA!AH46</f>
        <v>0.76234088901972319</v>
      </c>
      <c r="AI46" s="275">
        <f ca="1">MOPFRA!AI46</f>
        <v>331</v>
      </c>
      <c r="AJ46" s="1120">
        <f>MOPFRA!AJ46</f>
        <v>46205</v>
      </c>
      <c r="AK46" s="1693">
        <f>MOPFRA!AK46</f>
        <v>46327</v>
      </c>
      <c r="AL46" s="1345">
        <f>MOPFRA!AL46</f>
        <v>19693000000</v>
      </c>
      <c r="AM46" s="29">
        <f>MOPFRA!AM46</f>
        <v>0</v>
      </c>
      <c r="AN46" s="29">
        <f>MOPFRA!AN46</f>
        <v>0</v>
      </c>
      <c r="AO46" s="685">
        <f>MOPFRA!AO46</f>
        <v>0.17</v>
      </c>
      <c r="AP46" s="174">
        <f>MOPFRA!AP46</f>
        <v>0</v>
      </c>
      <c r="AQ46" s="1416">
        <f>MOPFRA!AQ46</f>
        <v>18091</v>
      </c>
      <c r="AR46" s="1416">
        <f>MOPFRA!AR46</f>
        <v>2485</v>
      </c>
      <c r="AS46" s="766">
        <f>MOPFRA!AS46</f>
        <v>21903.620094049558</v>
      </c>
      <c r="AT46" s="984">
        <f>MOPFRA!AT46</f>
        <v>4</v>
      </c>
      <c r="AU46" s="376">
        <f>MOPFRA!AU46</f>
        <v>0.97752992008004802</v>
      </c>
      <c r="AV46" s="99">
        <f>MOPFRA!AV46</f>
        <v>-2.7157037246941949</v>
      </c>
      <c r="AW46" s="2380">
        <f>MOPFRA!AW46</f>
        <v>5869</v>
      </c>
      <c r="AX46" s="2380">
        <f>MOPFRA!AX46</f>
        <v>1184</v>
      </c>
      <c r="AY46" s="2374">
        <f>MOPFRA!AY46</f>
        <v>0.20200000000000001</v>
      </c>
      <c r="AZ46" s="2370">
        <f>MOPFRA!AZ46</f>
        <v>0.19600000000000001</v>
      </c>
      <c r="BA46" s="2372">
        <f>MOPFRA!BA46</f>
        <v>0.13700000000000001</v>
      </c>
      <c r="BB46" s="2373">
        <f>MOPFRA!BB46</f>
        <v>0.24099999999999999</v>
      </c>
      <c r="BC46" s="2375">
        <f>MOPFRA!BC46</f>
        <v>-1.3000000000000012</v>
      </c>
      <c r="BD46" s="2376">
        <f>MOPFRA!BD46</f>
        <v>0.125</v>
      </c>
      <c r="BE46" s="2370">
        <f>MOPFRA!BE46</f>
        <v>0.13800000000000001</v>
      </c>
      <c r="BF46" s="2371">
        <f>MOPFRA!BF46</f>
        <v>6.6000000000000003E-2</v>
      </c>
      <c r="BG46" s="1422">
        <f>MOPFRA!BG46</f>
        <v>0.17799999999999999</v>
      </c>
      <c r="BH46" s="306">
        <f>MOPFRA!BH46</f>
        <v>7.7000000000000013E-2</v>
      </c>
      <c r="BI46" s="1861">
        <f>MOPFRA!BI46</f>
        <v>1807.6520000000003</v>
      </c>
      <c r="BJ46" s="306">
        <f>MOPFRA!BJ46</f>
        <v>5.7999999999999996E-2</v>
      </c>
      <c r="BK46" s="99">
        <f>MOPFRA!BK46</f>
        <v>0</v>
      </c>
      <c r="BL46" s="306">
        <f>MOPFRA!BL46</f>
        <v>0.21074678536562702</v>
      </c>
      <c r="BM46" s="99">
        <f>MOPFRA!BM46</f>
        <v>6.3215416216052445</v>
      </c>
      <c r="BN46" s="15">
        <f>MOPFRA!BN46</f>
        <v>0</v>
      </c>
      <c r="BO46" s="1803">
        <f>MOPFRA!BO46</f>
        <v>3</v>
      </c>
      <c r="BP46" s="842">
        <f>MOPFRA!BP46</f>
        <v>1</v>
      </c>
      <c r="BQ46" s="16">
        <f>MOPFRA!BQ46</f>
        <v>381</v>
      </c>
      <c r="BR46" s="16">
        <f>MOPFRA!BR46</f>
        <v>0</v>
      </c>
      <c r="BS46" s="16">
        <f>MOPFRA!BS46</f>
        <v>0</v>
      </c>
      <c r="BT46" s="1253">
        <f>MOPFRA!BT46</f>
        <v>1625.9343481217666</v>
      </c>
      <c r="BU46" s="1246">
        <f>MOPFRA!BU46</f>
        <v>1726.501802671</v>
      </c>
      <c r="BV46" s="406">
        <f>MOPFRA!BV46</f>
        <v>0</v>
      </c>
      <c r="BW46" s="407">
        <f>MOPFRA!BW46</f>
        <v>3.6272130036315433</v>
      </c>
      <c r="BX46" s="99">
        <f>MOPFRA!BX46</f>
        <v>6.8639349818422835</v>
      </c>
      <c r="BY46" s="18">
        <f>MOPFRA!BY46</f>
        <v>3300.9762558780972</v>
      </c>
      <c r="BZ46" s="18">
        <f>MOPFRA!BZ46</f>
        <v>1763.3790868924889</v>
      </c>
      <c r="CA46" s="18">
        <f>MOPFRA!CA46</f>
        <v>4424.5312589980113</v>
      </c>
      <c r="CB46" s="1710">
        <f>MOPFRA!CB46</f>
        <v>6.0468199756958763</v>
      </c>
      <c r="CC46" s="266">
        <f>MOPFRA!CC46</f>
        <v>953</v>
      </c>
      <c r="CD46" s="267">
        <f>MOPFRA!CD46</f>
        <v>6.79</v>
      </c>
      <c r="CE46" s="99">
        <f>MOPFRA!CE46</f>
        <v>-5.37</v>
      </c>
      <c r="CF46" s="17">
        <f>MOPFRA!CF46</f>
        <v>4.6531688837955807</v>
      </c>
      <c r="CG46" s="99">
        <f>MOPFRA!CG46</f>
        <v>-10</v>
      </c>
      <c r="CH46" s="494">
        <f>MOPFRA!CH46</f>
        <v>0.17399200168027076</v>
      </c>
      <c r="CI46" s="99">
        <f>MOPFRA!CI46</f>
        <v>-3.390119974795939</v>
      </c>
      <c r="CJ46" s="20">
        <f>MOPFRA!CJ46</f>
        <v>0</v>
      </c>
      <c r="CK46" s="691">
        <f>MOPFRA!CK46</f>
        <v>1969.3</v>
      </c>
      <c r="CL46" s="419">
        <f>MOPFRA!CL46</f>
        <v>1390</v>
      </c>
      <c r="CM46" s="468">
        <f>MOPFRA!CM46</f>
        <v>464</v>
      </c>
      <c r="CN46" s="843">
        <f>MOPFRA!CN46</f>
        <v>17</v>
      </c>
      <c r="CO46" s="21">
        <f>MOPFRA!CO46</f>
        <v>751</v>
      </c>
      <c r="CP46" s="21">
        <f>MOPFRA!CP46</f>
        <v>-1390</v>
      </c>
      <c r="CQ46" s="469">
        <f>MOPFRA!CQ46</f>
        <v>850</v>
      </c>
      <c r="CR46" s="1239">
        <f>MOPFRA!CR46</f>
        <v>-477.34916274793511</v>
      </c>
      <c r="CS46" s="21">
        <f>MOPFRA!CS46</f>
        <v>2141</v>
      </c>
      <c r="CT46" s="16">
        <f>MOPFRA!CT46</f>
        <v>-11</v>
      </c>
      <c r="CU46" s="154" t="str">
        <f>MOPFRA!CU46</f>
        <v/>
      </c>
      <c r="CV46" s="693">
        <f>MOPFRA!CV46</f>
        <v>4201</v>
      </c>
      <c r="CW46" s="49">
        <f>MOPFRA!CW46</f>
        <v>14600</v>
      </c>
      <c r="CX46" s="21">
        <f>MOPFRA!CX46</f>
        <v>3838</v>
      </c>
      <c r="CY46" s="49">
        <f>MOPFRA!CY46</f>
        <v>760</v>
      </c>
      <c r="CZ46" s="378">
        <f>MOPFRA!CZ46</f>
        <v>15360</v>
      </c>
      <c r="DA46" s="1058">
        <f>MOPFRA!DA46</f>
        <v>1.0117123287671232</v>
      </c>
      <c r="DB46" s="99">
        <f>MOPFRA!DB46</f>
        <v>-1.5063013698630137</v>
      </c>
      <c r="DC46" s="53">
        <f>MOPFRA!DC46</f>
        <v>19561</v>
      </c>
      <c r="DD46" s="645">
        <f>MOPFRA!DD46</f>
        <v>0.78523592863350544</v>
      </c>
      <c r="DE46" s="13">
        <f>MOPFRA!DE46</f>
        <v>4790</v>
      </c>
      <c r="DF46" s="24">
        <f>MOPFRA!DF46</f>
        <v>3353</v>
      </c>
      <c r="DG46" s="24">
        <f>MOPFRA!DG46</f>
        <v>1309</v>
      </c>
      <c r="DH46" s="51">
        <f>MOPFRA!DH46</f>
        <v>14771</v>
      </c>
      <c r="DI46" s="8">
        <f>MOPFRA!DI46</f>
        <v>171</v>
      </c>
      <c r="DJ46" s="644">
        <f>MOPFRA!DJ46</f>
        <v>128.09134557923718</v>
      </c>
      <c r="DK46" s="22">
        <f>MOPFRA!DK46</f>
        <v>4918</v>
      </c>
      <c r="DL46" s="22">
        <f>MOPFRA!DL46</f>
        <v>579</v>
      </c>
      <c r="DM46" s="22">
        <f>MOPFRA!DM46</f>
        <v>5961</v>
      </c>
      <c r="DN46" s="138">
        <f>MOPFRA!DN46</f>
        <v>0.78523592863350544</v>
      </c>
      <c r="DO46" s="99">
        <f>MOPFRA!DO46</f>
        <v>-0.98571111275994161</v>
      </c>
      <c r="DP46" s="22">
        <f>MOPFRA!DP46</f>
        <v>0</v>
      </c>
      <c r="DQ46" s="8">
        <f>MOPFRA!DQ46</f>
        <v>3313</v>
      </c>
      <c r="DR46" s="32">
        <f>MOPFRA!DR46</f>
        <v>-0.86743652046638753</v>
      </c>
      <c r="DS46" s="99">
        <f>MOPFRA!DS46</f>
        <v>-4</v>
      </c>
      <c r="DT46" s="8">
        <f>MOPFRA!DT46</f>
        <v>3468.92</v>
      </c>
      <c r="DU46" s="8">
        <f>MOPFRA!DU46</f>
        <v>6215.4064896155996</v>
      </c>
      <c r="DV46" s="235">
        <f>MOPFRA!DV46</f>
        <v>705.83456050373229</v>
      </c>
      <c r="DW46" s="8">
        <f>MOPFRA!DW46</f>
        <v>5195.0805250596659</v>
      </c>
      <c r="DX46" s="411">
        <f>MOPFRA!DX46</f>
        <v>122</v>
      </c>
      <c r="DY46" s="1532">
        <f>MOPFRA!DY46</f>
        <v>580</v>
      </c>
      <c r="DZ46" s="857">
        <f>MOPFRA!DZ46</f>
        <v>8.7087087087087081E-2</v>
      </c>
      <c r="EA46" s="386">
        <f>MOPFRA!EA46</f>
        <v>0.41</v>
      </c>
      <c r="EB46" s="504">
        <f>MOPFRA!EB46</f>
        <v>0</v>
      </c>
      <c r="EC46" s="510">
        <f>MOPFRA!EC46</f>
        <v>26890</v>
      </c>
      <c r="ED46" s="435">
        <f>MOPFRA!ED46</f>
        <v>6794</v>
      </c>
      <c r="EE46" s="510">
        <f>MOPFRA!EE46</f>
        <v>13940</v>
      </c>
      <c r="EF46" s="435">
        <f>MOPFRA!EF46</f>
        <v>3522</v>
      </c>
      <c r="EG46" s="510">
        <f>MOPFRA!EG46</f>
        <v>24770</v>
      </c>
      <c r="EH46" s="435">
        <f>MOPFRA!EH46</f>
        <v>12516</v>
      </c>
      <c r="EI46" s="510">
        <f>MOPFRA!EI46</f>
        <v>7890</v>
      </c>
      <c r="EJ46" s="435">
        <f>MOPFRA!EJ46</f>
        <v>14726</v>
      </c>
      <c r="EK46" s="510">
        <f>MOPFRA!EK46</f>
        <v>6080</v>
      </c>
      <c r="EL46" s="1606">
        <f>MOPFRA!EL46</f>
        <v>11973</v>
      </c>
      <c r="EM46" s="1685">
        <f>MOPFRA!EM46</f>
        <v>6080</v>
      </c>
      <c r="EN46" s="1686">
        <f>MOPFRA!EN46</f>
        <v>11973</v>
      </c>
      <c r="EO46" s="1609">
        <f>MOPFRA!EO46</f>
        <v>0.7622902561083309</v>
      </c>
      <c r="EP46" s="1648">
        <f>MOPFRA!EP46</f>
        <v>24</v>
      </c>
      <c r="EQ46"/>
    </row>
    <row r="47" spans="1:147" ht="35" customHeight="1">
      <c r="A47" s="100">
        <f>MOPFRA!A47</f>
        <v>-21.000719895593619</v>
      </c>
      <c r="B47" s="99">
        <f>MOPFRA!B47</f>
        <v>-13.600719895593619</v>
      </c>
      <c r="C47" s="1585">
        <f ca="1">MOPFRA!C47</f>
        <v>0.11077334055835787</v>
      </c>
      <c r="D47" s="1651">
        <f>MOPFRA!D47</f>
        <v>2.3990654272327987</v>
      </c>
      <c r="E47" s="1414">
        <f>MOPFRA!E47</f>
        <v>-7.5999999999999988</v>
      </c>
      <c r="F47" s="1415">
        <f>MOPFRA!F47</f>
        <v>-7.3999999999999986</v>
      </c>
      <c r="G47" s="2124">
        <f>MOPFRA!G47</f>
        <v>1.5667179616726505</v>
      </c>
      <c r="H47" s="2379">
        <f>MOPFRA!H47</f>
        <v>0.25472829999345564</v>
      </c>
      <c r="I47" s="2379">
        <f>MOPFRA!I47</f>
        <v>1.6485051690416318E-2</v>
      </c>
      <c r="J47" s="2379">
        <f>MOPFRA!J47</f>
        <v>0.2532076339388365</v>
      </c>
      <c r="K47" s="1942">
        <f>MOPFRA!K47</f>
        <v>47</v>
      </c>
      <c r="L47" s="2199">
        <f>MOPFRA!L47</f>
        <v>45</v>
      </c>
      <c r="M47" s="1582" t="str">
        <f>MOPFRA!M47</f>
        <v>S</v>
      </c>
      <c r="N47" s="1582" t="str">
        <f>MOPFRA!N47</f>
        <v>B</v>
      </c>
      <c r="O47" s="179" t="str">
        <f>MOPFRA!O47</f>
        <v/>
      </c>
      <c r="P47" s="856" t="str">
        <f>MOPFRA!P47</f>
        <v>KM</v>
      </c>
      <c r="Q47" s="1571" t="str">
        <f>MOPFRA!Q47</f>
        <v>معدني‌وصنعتي‌چادرملو</v>
      </c>
      <c r="R47" s="1571" t="str">
        <f>MOPFRA!R47</f>
        <v>كچاد</v>
      </c>
      <c r="S47" s="1572">
        <f>MOPFRA!S47</f>
        <v>9</v>
      </c>
      <c r="T47" s="66">
        <f>MOPFRA!T47</f>
        <v>136988.54999999999</v>
      </c>
      <c r="U47" s="258">
        <f>MOPFRA!U47</f>
        <v>2397</v>
      </c>
      <c r="V47" s="338">
        <f>MOPFRA!V47</f>
        <v>2.96</v>
      </c>
      <c r="W47" s="258">
        <f>MOPFRA!W47</f>
        <v>2397</v>
      </c>
      <c r="X47" s="337">
        <f>MOPFRA!X47</f>
        <v>2.96</v>
      </c>
      <c r="Y47" s="1708">
        <f>MOPFRA!Y47</f>
        <v>206632.55</v>
      </c>
      <c r="Z47" s="661" t="str">
        <f>MOPFRA!Z47</f>
        <v/>
      </c>
      <c r="AA47" s="2382">
        <f>MOPFRA!AA47</f>
        <v>5.5943066807470757E-2</v>
      </c>
      <c r="AB47" s="511">
        <f ca="1">MOPFRA!AB47</f>
        <v>0.18986301369863012</v>
      </c>
      <c r="AC47" s="823">
        <f ca="1">MOPFRA!AC47</f>
        <v>17.392200894955764</v>
      </c>
      <c r="AD47" s="1150">
        <f>MOPFRA!AD47</f>
        <v>5.5943066807470757E-2</v>
      </c>
      <c r="AE47" s="1150">
        <f>MOPFRA!AE47</f>
        <v>0.87178627059820168</v>
      </c>
      <c r="AF47" s="1150">
        <f>MOPFRA!AF47</f>
        <v>-8.7801150665228408E-2</v>
      </c>
      <c r="AG47" s="1150">
        <f>MOPFRA!AG47</f>
        <v>5.2705371551525305E-2</v>
      </c>
      <c r="AH47" s="1150">
        <f>MOPFRA!AH47</f>
        <v>-0.20499704025256518</v>
      </c>
      <c r="AI47" s="275">
        <f ca="1">MOPFRA!AI47</f>
        <v>288</v>
      </c>
      <c r="AJ47" s="1120">
        <f>MOPFRA!AJ47</f>
        <v>46162</v>
      </c>
      <c r="AK47" s="1693">
        <f>MOPFRA!AK47</f>
        <v>46275</v>
      </c>
      <c r="AL47" s="1345">
        <f>MOPFRA!AL47</f>
        <v>571500000000</v>
      </c>
      <c r="AM47" s="29">
        <f>MOPFRA!AM47</f>
        <v>0</v>
      </c>
      <c r="AN47" s="29">
        <f>MOPFRA!AN47</f>
        <v>0</v>
      </c>
      <c r="AO47" s="685">
        <f>MOPFRA!AO47</f>
        <v>0.17</v>
      </c>
      <c r="AP47" s="174">
        <f>MOPFRA!AP47</f>
        <v>0</v>
      </c>
      <c r="AQ47" s="1416">
        <f>MOPFRA!AQ47</f>
        <v>65676</v>
      </c>
      <c r="AR47" s="1416">
        <f>MOPFRA!AR47</f>
        <v>11850</v>
      </c>
      <c r="AS47" s="766">
        <f>MOPFRA!AS47</f>
        <v>99035.195582636094</v>
      </c>
      <c r="AT47" s="984">
        <f>MOPFRA!AT47</f>
        <v>4</v>
      </c>
      <c r="AU47" s="376">
        <f>MOPFRA!AU47</f>
        <v>1.0387877702948405</v>
      </c>
      <c r="AV47" s="99">
        <f>MOPFRA!AV47</f>
        <v>10</v>
      </c>
      <c r="AW47" s="2380">
        <f>MOPFRA!AW47</f>
        <v>53097</v>
      </c>
      <c r="AX47" s="2380">
        <f>MOPFRA!AX47</f>
        <v>8530</v>
      </c>
      <c r="AY47" s="2374">
        <f>MOPFRA!AY47</f>
        <v>0.161</v>
      </c>
      <c r="AZ47" s="2370">
        <f>MOPFRA!AZ47</f>
        <v>0.23699999999999999</v>
      </c>
      <c r="BA47" s="2372">
        <f>MOPFRA!BA47</f>
        <v>0.18</v>
      </c>
      <c r="BB47" s="2373">
        <f>MOPFRA!BB47</f>
        <v>0.26200000000000001</v>
      </c>
      <c r="BC47" s="2375">
        <f>MOPFRA!BC47</f>
        <v>-7.3999999999999986</v>
      </c>
      <c r="BD47" s="2376">
        <f>MOPFRA!BD47</f>
        <v>0.13100000000000001</v>
      </c>
      <c r="BE47" s="2370">
        <f>MOPFRA!BE47</f>
        <v>0.20499999999999999</v>
      </c>
      <c r="BF47" s="2371">
        <f>MOPFRA!BF47</f>
        <v>0.14199999999999999</v>
      </c>
      <c r="BG47" s="1422">
        <f>MOPFRA!BG47</f>
        <v>0.20899999999999999</v>
      </c>
      <c r="BH47" s="306">
        <f>MOPFRA!BH47</f>
        <v>0.03</v>
      </c>
      <c r="BI47" s="1861">
        <f>MOPFRA!BI47</f>
        <v>3185.8199999999997</v>
      </c>
      <c r="BJ47" s="306">
        <f>MOPFRA!BJ47</f>
        <v>3.2000000000000001E-2</v>
      </c>
      <c r="BK47" s="99">
        <f>MOPFRA!BK47</f>
        <v>0</v>
      </c>
      <c r="BL47" s="306">
        <f>MOPFRA!BL47</f>
        <v>0.17054577196222601</v>
      </c>
      <c r="BM47" s="99">
        <f>MOPFRA!BM47</f>
        <v>3.4380811546426573</v>
      </c>
      <c r="BN47" s="15">
        <f>MOPFRA!BN47</f>
        <v>0</v>
      </c>
      <c r="BO47" s="1803">
        <f>MOPFRA!BO47</f>
        <v>3</v>
      </c>
      <c r="BP47" s="842">
        <f>MOPFRA!BP47</f>
        <v>2</v>
      </c>
      <c r="BQ47" s="16">
        <f>MOPFRA!BQ47</f>
        <v>146</v>
      </c>
      <c r="BR47" s="16">
        <f>MOPFRA!BR47</f>
        <v>265</v>
      </c>
      <c r="BS47" s="16">
        <f>MOPFRA!BS47</f>
        <v>0</v>
      </c>
      <c r="BT47" s="1253">
        <f>MOPFRA!BT47</f>
        <v>332.29414910455517</v>
      </c>
      <c r="BU47" s="1246">
        <f>MOPFRA!BU47</f>
        <v>477.37532808398953</v>
      </c>
      <c r="BV47" s="406">
        <f>MOPFRA!BV47</f>
        <v>0</v>
      </c>
      <c r="BW47" s="407">
        <f>MOPFRA!BW47</f>
        <v>5.9209345727672016</v>
      </c>
      <c r="BX47" s="99">
        <f>MOPFRA!BX47</f>
        <v>-4.6046728638360079</v>
      </c>
      <c r="BY47" s="18">
        <f>MOPFRA!BY47</f>
        <v>23136.305310662665</v>
      </c>
      <c r="BZ47" s="18">
        <f>MOPFRA!BZ47</f>
        <v>16464.969951923074</v>
      </c>
      <c r="CA47" s="18">
        <f>MOPFRA!CA47</f>
        <v>15944.666488804411</v>
      </c>
      <c r="CB47" s="1710">
        <f>MOPFRA!CB47</f>
        <v>12.959352279026191</v>
      </c>
      <c r="CC47" s="266">
        <f>MOPFRA!CC47</f>
        <v>288</v>
      </c>
      <c r="CD47" s="267">
        <f>MOPFRA!CD47</f>
        <v>8.32</v>
      </c>
      <c r="CE47" s="99">
        <f>MOPFRA!CE47</f>
        <v>-9.9600000000000009</v>
      </c>
      <c r="CF47" s="17">
        <f>MOPFRA!CF47</f>
        <v>3.0977720529547774</v>
      </c>
      <c r="CG47" s="99">
        <f>MOPFRA!CG47</f>
        <v>-4.3910882118191097</v>
      </c>
      <c r="CH47" s="494">
        <f>MOPFRA!CH47</f>
        <v>0.14892539867183333</v>
      </c>
      <c r="CI47" s="99">
        <f>MOPFRA!CI47</f>
        <v>-3.7661190199225008</v>
      </c>
      <c r="CJ47" s="20">
        <f>MOPFRA!CJ47</f>
        <v>0</v>
      </c>
      <c r="CK47" s="691">
        <f>MOPFRA!CK47</f>
        <v>57150</v>
      </c>
      <c r="CL47" s="419">
        <f>MOPFRA!CL47</f>
        <v>3504</v>
      </c>
      <c r="CM47" s="468">
        <f>MOPFRA!CM47</f>
        <v>6017</v>
      </c>
      <c r="CN47" s="843">
        <f>MOPFRA!CN47</f>
        <v>6667</v>
      </c>
      <c r="CO47" s="21">
        <f>MOPFRA!CO47</f>
        <v>13641</v>
      </c>
      <c r="CP47" s="21">
        <f>MOPFRA!CP47</f>
        <v>4100</v>
      </c>
      <c r="CQ47" s="469">
        <f>MOPFRA!CQ47</f>
        <v>13641</v>
      </c>
      <c r="CR47" s="1239">
        <f>MOPFRA!CR47</f>
        <v>11667.939529106443</v>
      </c>
      <c r="CS47" s="21">
        <f>MOPFRA!CS47</f>
        <v>17145</v>
      </c>
      <c r="CT47" s="16">
        <f>MOPFRA!CT47</f>
        <v>-6000</v>
      </c>
      <c r="CU47" s="154" t="str">
        <f>MOPFRA!CU47</f>
        <v/>
      </c>
      <c r="CV47" s="693">
        <f>MOPFRA!CV47</f>
        <v>78152</v>
      </c>
      <c r="CW47" s="49">
        <f>MOPFRA!CW47</f>
        <v>71540</v>
      </c>
      <c r="CX47" s="21">
        <f>MOPFRA!CX47</f>
        <v>6772</v>
      </c>
      <c r="CY47" s="49">
        <f>MOPFRA!CY47</f>
        <v>131</v>
      </c>
      <c r="CZ47" s="378">
        <f>MOPFRA!CZ47</f>
        <v>71671</v>
      </c>
      <c r="DA47" s="1058">
        <f>MOPFRA!DA47</f>
        <v>1.0791585127201566</v>
      </c>
      <c r="DB47" s="99">
        <f>MOPFRA!DB47</f>
        <v>-0.96673189823874672</v>
      </c>
      <c r="DC47" s="53">
        <f>MOPFRA!DC47</f>
        <v>149823</v>
      </c>
      <c r="DD47" s="645">
        <f>MOPFRA!DD47</f>
        <v>0.47837114461731511</v>
      </c>
      <c r="DE47" s="13">
        <f>MOPFRA!DE47</f>
        <v>72620</v>
      </c>
      <c r="DF47" s="24">
        <f>MOPFRA!DF47</f>
        <v>27096</v>
      </c>
      <c r="DG47" s="24">
        <f>MOPFRA!DG47</f>
        <v>40726</v>
      </c>
      <c r="DH47" s="51">
        <f>MOPFRA!DH47</f>
        <v>77203</v>
      </c>
      <c r="DI47" s="8">
        <f>MOPFRA!DI47</f>
        <v>5663</v>
      </c>
      <c r="DJ47" s="644">
        <f>MOPFRA!DJ47</f>
        <v>17.488115059621418</v>
      </c>
      <c r="DK47" s="22">
        <f>MOPFRA!DK47</f>
        <v>23463</v>
      </c>
      <c r="DL47" s="22">
        <f>MOPFRA!DL47</f>
        <v>1762</v>
      </c>
      <c r="DM47" s="22">
        <f>MOPFRA!DM47</f>
        <v>47028</v>
      </c>
      <c r="DN47" s="138">
        <f>MOPFRA!DN47</f>
        <v>0.47837114461731511</v>
      </c>
      <c r="DO47" s="99">
        <f>MOPFRA!DO47</f>
        <v>-1.3501890564199086</v>
      </c>
      <c r="DP47" s="22">
        <f>MOPFRA!DP47</f>
        <v>265</v>
      </c>
      <c r="DQ47" s="8">
        <f>MOPFRA!DQ47</f>
        <v>4685</v>
      </c>
      <c r="DR47" s="32">
        <f>MOPFRA!DR47</f>
        <v>-0.40809884638031829</v>
      </c>
      <c r="DS47" s="99">
        <f>MOPFRA!DS47</f>
        <v>-2</v>
      </c>
      <c r="DT47" s="8">
        <f>MOPFRA!DT47</f>
        <v>1082.8800000000001</v>
      </c>
      <c r="DU47" s="8">
        <f>MOPFRA!DU47</f>
        <v>1775.836220472441</v>
      </c>
      <c r="DV47" s="235">
        <f>MOPFRA!DV47</f>
        <v>61.312335958005249</v>
      </c>
      <c r="DW47" s="8">
        <f>MOPFRA!DW47</f>
        <v>1460.0142782152232</v>
      </c>
      <c r="DX47" s="411">
        <f>MOPFRA!DX47</f>
        <v>113</v>
      </c>
      <c r="DY47" s="1532">
        <f>MOPFRA!DY47</f>
        <v>200</v>
      </c>
      <c r="DZ47" s="857">
        <f>MOPFRA!DZ47</f>
        <v>8.0971659919028341E-2</v>
      </c>
      <c r="EA47" s="386">
        <f>MOPFRA!EA47</f>
        <v>0.21199999999999999</v>
      </c>
      <c r="EB47" s="504">
        <f>MOPFRA!EB47</f>
        <v>0</v>
      </c>
      <c r="EC47" s="510">
        <f>MOPFRA!EC47</f>
        <v>14480</v>
      </c>
      <c r="ED47" s="435">
        <f>MOPFRA!ED47</f>
        <v>172312</v>
      </c>
      <c r="EE47" s="510">
        <f>MOPFRA!EE47</f>
        <v>6760</v>
      </c>
      <c r="EF47" s="435">
        <f>MOPFRA!EF47</f>
        <v>130130</v>
      </c>
      <c r="EG47" s="510">
        <f>MOPFRA!EG47</f>
        <v>4635</v>
      </c>
      <c r="EH47" s="435">
        <f>MOPFRA!EH47</f>
        <v>150174</v>
      </c>
      <c r="EI47" s="510">
        <f>MOPFRA!EI47</f>
        <v>1970</v>
      </c>
      <c r="EJ47" s="435">
        <f>MOPFRA!EJ47</f>
        <v>73186</v>
      </c>
      <c r="EK47" s="510">
        <f>MOPFRA!EK47</f>
        <v>2270</v>
      </c>
      <c r="EL47" s="1606">
        <f>MOPFRA!EL47</f>
        <v>129731</v>
      </c>
      <c r="EM47" s="1684">
        <f>MOPFRA!EM47</f>
        <v>2270</v>
      </c>
      <c r="EN47" s="1608">
        <f>MOPFRA!EN47</f>
        <v>129731</v>
      </c>
      <c r="EO47" s="1609">
        <f>MOPFRA!EO47</f>
        <v>-0.24711569710757231</v>
      </c>
      <c r="EP47" s="1648">
        <f>MOPFRA!EP47</f>
        <v>39</v>
      </c>
      <c r="EQ47"/>
    </row>
    <row r="48" spans="1:147" ht="35" customHeight="1">
      <c r="A48" s="100">
        <f>MOPFRA!A48</f>
        <v>-19.430894563608156</v>
      </c>
      <c r="B48" s="99">
        <f>MOPFRA!B48</f>
        <v>-27.830894563608162</v>
      </c>
      <c r="C48" s="1585">
        <f ca="1">MOPFRA!C48</f>
        <v>0.10920762959861102</v>
      </c>
      <c r="D48" s="1651">
        <f>MOPFRA!D48</f>
        <v>2.9185395212263767</v>
      </c>
      <c r="E48" s="1414">
        <f>MOPFRA!E48</f>
        <v>3.4000000000000004</v>
      </c>
      <c r="F48" s="1415">
        <f>MOPFRA!F48</f>
        <v>8.3999999999999986</v>
      </c>
      <c r="G48" s="2124">
        <f>MOPFRA!G48</f>
        <v>-14.500778871929242</v>
      </c>
      <c r="H48" s="2379">
        <f>MOPFRA!H48</f>
        <v>1.1870503597122302</v>
      </c>
      <c r="I48" s="2379">
        <f>MOPFRA!I48</f>
        <v>0.72873769024171886</v>
      </c>
      <c r="J48" s="2379">
        <f>MOPFRA!J48</f>
        <v>0.76822276822276825</v>
      </c>
      <c r="K48" s="1942">
        <f>MOPFRA!K48</f>
        <v>15</v>
      </c>
      <c r="L48" s="2199">
        <f>MOPFRA!L48</f>
        <v>41</v>
      </c>
      <c r="M48" s="1582" t="str">
        <f>MOPFRA!M48</f>
        <v>BB</v>
      </c>
      <c r="N48" s="1582" t="str">
        <f>MOPFRA!N48</f>
        <v>BB</v>
      </c>
      <c r="O48" s="179" t="str">
        <f>MOPFRA!O48</f>
        <v/>
      </c>
      <c r="P48" s="856" t="str">
        <f>MOPFRA!P48</f>
        <v>DH</v>
      </c>
      <c r="Q48" s="1571" t="str">
        <f>MOPFRA!Q48</f>
        <v>گلتاش‌</v>
      </c>
      <c r="R48" s="1571" t="str">
        <f>MOPFRA!R48</f>
        <v>شگل</v>
      </c>
      <c r="S48" s="1572">
        <f>MOPFRA!S48</f>
        <v>9</v>
      </c>
      <c r="T48" s="66">
        <f>MOPFRA!T48</f>
        <v>4804.2</v>
      </c>
      <c r="U48" s="258">
        <f>MOPFRA!U48</f>
        <v>2816</v>
      </c>
      <c r="V48" s="338">
        <f>MOPFRA!V48</f>
        <v>-0.81</v>
      </c>
      <c r="W48" s="258">
        <f>MOPFRA!W48</f>
        <v>2826</v>
      </c>
      <c r="X48" s="337">
        <f>MOPFRA!X48</f>
        <v>-0.46</v>
      </c>
      <c r="Y48" s="1708">
        <f>MOPFRA!Y48</f>
        <v>7264.2</v>
      </c>
      <c r="Z48" s="661" t="str">
        <f>MOPFRA!Z48</f>
        <v/>
      </c>
      <c r="AA48" s="2382">
        <f>MOPFRA!AA48</f>
        <v>1.7802083333333332</v>
      </c>
      <c r="AB48" s="511">
        <f ca="1">MOPFRA!AB48</f>
        <v>0.34273972602739727</v>
      </c>
      <c r="AC48" s="823">
        <f ca="1">MOPFRA!AC48</f>
        <v>-103.41500771985152</v>
      </c>
      <c r="AD48" s="1150">
        <f>MOPFRA!AD48</f>
        <v>1.7802083333333332</v>
      </c>
      <c r="AE48" s="1150">
        <f>MOPFRA!AE48</f>
        <v>2.06</v>
      </c>
      <c r="AF48" s="1150">
        <f>MOPFRA!AF48</f>
        <v>2.1858090185676393</v>
      </c>
      <c r="AG48" s="1150">
        <f>MOPFRA!AG48</f>
        <v>2.4939636363636364</v>
      </c>
      <c r="AH48" s="1150">
        <f>MOPFRA!AH48</f>
        <v>3.9425925925925922</v>
      </c>
      <c r="AI48" s="275">
        <f ca="1">MOPFRA!AI48</f>
        <v>226</v>
      </c>
      <c r="AJ48" s="1120">
        <f>MOPFRA!AJ48</f>
        <v>46100</v>
      </c>
      <c r="AK48" s="1693">
        <f>MOPFRA!AK48</f>
        <v>46214</v>
      </c>
      <c r="AL48" s="1345">
        <f>MOPFRA!AL48</f>
        <v>17000000000</v>
      </c>
      <c r="AM48" s="29">
        <f>MOPFRA!AM48</f>
        <v>0</v>
      </c>
      <c r="AN48" s="29">
        <f>MOPFRA!AN48</f>
        <v>0</v>
      </c>
      <c r="AO48" s="685">
        <f>MOPFRA!AO48</f>
        <v>0.28000000000000003</v>
      </c>
      <c r="AP48" s="174">
        <f>MOPFRA!AP48</f>
        <v>0</v>
      </c>
      <c r="AQ48" s="1416">
        <f>MOPFRA!AQ48</f>
        <v>3315</v>
      </c>
      <c r="AR48" s="1416">
        <f>MOPFRA!AR48</f>
        <v>517</v>
      </c>
      <c r="AS48" s="766">
        <f>MOPFRA!AS48</f>
        <v>6502.5422077922076</v>
      </c>
      <c r="AT48" s="984">
        <f>MOPFRA!AT48</f>
        <v>4</v>
      </c>
      <c r="AU48" s="376">
        <f>MOPFRA!AU48</f>
        <v>0.7388187337320119</v>
      </c>
      <c r="AV48" s="99">
        <f>MOPFRA!AV48</f>
        <v>-0.77752447621781018</v>
      </c>
      <c r="AW48" s="2380">
        <f>MOPFRA!AW48</f>
        <v>3048</v>
      </c>
      <c r="AX48" s="2380">
        <f>MOPFRA!AX48</f>
        <v>686</v>
      </c>
      <c r="AY48" s="2374">
        <f>MOPFRA!AY48</f>
        <v>0.22500000000000001</v>
      </c>
      <c r="AZ48" s="2370">
        <f>MOPFRA!AZ48</f>
        <v>0.191</v>
      </c>
      <c r="BA48" s="2372">
        <f>MOPFRA!BA48</f>
        <v>0.156</v>
      </c>
      <c r="BB48" s="2373">
        <f>MOPFRA!BB48</f>
        <v>0.219</v>
      </c>
      <c r="BC48" s="2375">
        <f>MOPFRA!BC48</f>
        <v>8.3999999999999986</v>
      </c>
      <c r="BD48" s="2376">
        <f>MOPFRA!BD48</f>
        <v>0.14699999999999999</v>
      </c>
      <c r="BE48" s="2370">
        <f>MOPFRA!BE48</f>
        <v>6.3E-2</v>
      </c>
      <c r="BF48" s="2371">
        <f>MOPFRA!BF48</f>
        <v>6.7000000000000004E-2</v>
      </c>
      <c r="BG48" s="1422">
        <f>MOPFRA!BG48</f>
        <v>0.123</v>
      </c>
      <c r="BH48" s="306">
        <f>MOPFRA!BH48</f>
        <v>7.8000000000000014E-2</v>
      </c>
      <c r="BI48" s="1861">
        <f>MOPFRA!BI48</f>
        <v>475.48800000000006</v>
      </c>
      <c r="BJ48" s="306">
        <f>MOPFRA!BJ48</f>
        <v>0.128</v>
      </c>
      <c r="BK48" s="99">
        <f>MOPFRA!BK48</f>
        <v>0</v>
      </c>
      <c r="BL48" s="306">
        <f>MOPFRA!BL48</f>
        <v>0.96155119390413502</v>
      </c>
      <c r="BM48" s="99">
        <f>MOPFRA!BM48</f>
        <v>-10</v>
      </c>
      <c r="BN48" s="15">
        <f>MOPFRA!BN48</f>
        <v>0</v>
      </c>
      <c r="BO48" s="1803">
        <f>MOPFRA!BO48</f>
        <v>3</v>
      </c>
      <c r="BP48" s="842">
        <f>MOPFRA!BP48</f>
        <v>2</v>
      </c>
      <c r="BQ48" s="16">
        <f>MOPFRA!BQ48</f>
        <v>184</v>
      </c>
      <c r="BR48" s="16">
        <f>MOPFRA!BR48</f>
        <v>751</v>
      </c>
      <c r="BS48" s="16">
        <f>MOPFRA!BS48</f>
        <v>0</v>
      </c>
      <c r="BT48" s="1253">
        <f>MOPFRA!BT48</f>
        <v>568.74923796791438</v>
      </c>
      <c r="BU48" s="1246">
        <f>MOPFRA!BU48</f>
        <v>543.52941176470597</v>
      </c>
      <c r="BV48" s="406">
        <f>MOPFRA!BV48</f>
        <v>0</v>
      </c>
      <c r="BW48" s="407">
        <f>MOPFRA!BW48</f>
        <v>5.0814604787736233</v>
      </c>
      <c r="BX48" s="99">
        <f>MOPFRA!BX48</f>
        <v>-0.4073023938681164</v>
      </c>
      <c r="BY48" s="18">
        <f>MOPFRA!BY48</f>
        <v>945.43685227272726</v>
      </c>
      <c r="BZ48" s="18">
        <f>MOPFRA!BZ48</f>
        <v>600.52499999999998</v>
      </c>
      <c r="CA48" s="18">
        <f>MOPFRA!CA48</f>
        <v>1463.0719967532468</v>
      </c>
      <c r="CB48" s="1710">
        <f>MOPFRA!CB48</f>
        <v>4.9650324906226313</v>
      </c>
      <c r="CC48" s="266">
        <f>MOPFRA!CC48</f>
        <v>352</v>
      </c>
      <c r="CD48" s="267">
        <f>MOPFRA!CD48</f>
        <v>8</v>
      </c>
      <c r="CE48" s="99">
        <f>MOPFRA!CE48</f>
        <v>-9</v>
      </c>
      <c r="CF48" s="17">
        <f>MOPFRA!CF48</f>
        <v>2.6855310261034573</v>
      </c>
      <c r="CG48" s="99">
        <f>MOPFRA!CG48</f>
        <v>-2.7421241044138291</v>
      </c>
      <c r="CH48" s="494">
        <f>MOPFRA!CH48</f>
        <v>0.17205402225163371</v>
      </c>
      <c r="CI48" s="99">
        <f>MOPFRA!CI48</f>
        <v>-3.4191896662254946</v>
      </c>
      <c r="CJ48" s="20">
        <f>MOPFRA!CJ48</f>
        <v>0</v>
      </c>
      <c r="CK48" s="691">
        <f>MOPFRA!CK48</f>
        <v>1700</v>
      </c>
      <c r="CL48" s="419">
        <f>MOPFRA!CL48</f>
        <v>10</v>
      </c>
      <c r="CM48" s="468">
        <f>MOPFRA!CM48</f>
        <v>11</v>
      </c>
      <c r="CN48" s="843">
        <f>MOPFRA!CN48</f>
        <v>14</v>
      </c>
      <c r="CO48" s="21">
        <f>MOPFRA!CO48</f>
        <v>462</v>
      </c>
      <c r="CP48" s="21">
        <f>MOPFRA!CP48</f>
        <v>0</v>
      </c>
      <c r="CQ48" s="469">
        <f>MOPFRA!CQ48</f>
        <v>462</v>
      </c>
      <c r="CR48" s="1239">
        <f>MOPFRA!CR48</f>
        <v>557.59299431818181</v>
      </c>
      <c r="CS48" s="21">
        <f>MOPFRA!CS48</f>
        <v>472</v>
      </c>
      <c r="CT48" s="16">
        <f>MOPFRA!CT48</f>
        <v>-100</v>
      </c>
      <c r="CU48" s="154" t="str">
        <f>MOPFRA!CU48</f>
        <v/>
      </c>
      <c r="CV48" s="693">
        <f>MOPFRA!CV48</f>
        <v>2234</v>
      </c>
      <c r="CW48" s="49">
        <f>MOPFRA!CW48</f>
        <v>2449</v>
      </c>
      <c r="CX48" s="21">
        <f>MOPFRA!CX48</f>
        <v>1015</v>
      </c>
      <c r="CY48" s="49">
        <f>MOPFRA!CY48</f>
        <v>90</v>
      </c>
      <c r="CZ48" s="378">
        <f>MOPFRA!CZ48</f>
        <v>2539</v>
      </c>
      <c r="DA48" s="1058">
        <f>MOPFRA!DA48</f>
        <v>1.3315639036341365</v>
      </c>
      <c r="DB48" s="99">
        <f>MOPFRA!DB48</f>
        <v>1.052511229073092</v>
      </c>
      <c r="DC48" s="53">
        <f>MOPFRA!DC48</f>
        <v>4773</v>
      </c>
      <c r="DD48" s="645">
        <f>MOPFRA!DD48</f>
        <v>0.53195055520636914</v>
      </c>
      <c r="DE48" s="13">
        <f>MOPFRA!DE48</f>
        <v>1512</v>
      </c>
      <c r="DF48" s="24">
        <f>MOPFRA!DF48</f>
        <v>163</v>
      </c>
      <c r="DG48" s="24">
        <f>MOPFRA!DG48</f>
        <v>719</v>
      </c>
      <c r="DH48" s="51">
        <f>MOPFRA!DH48</f>
        <v>3261</v>
      </c>
      <c r="DI48" s="8">
        <f>MOPFRA!DI48</f>
        <v>812</v>
      </c>
      <c r="DJ48" s="644">
        <f>MOPFRA!DJ48</f>
        <v>8.0080569061480382</v>
      </c>
      <c r="DK48" s="22">
        <f>MOPFRA!DK48</f>
        <v>881</v>
      </c>
      <c r="DL48" s="22">
        <f>MOPFRA!DL48</f>
        <v>76</v>
      </c>
      <c r="DM48" s="22">
        <f>MOPFRA!DM48</f>
        <v>2073</v>
      </c>
      <c r="DN48" s="138">
        <f>MOPFRA!DN48</f>
        <v>0.53195055520636914</v>
      </c>
      <c r="DO48" s="99">
        <f>MOPFRA!DO48</f>
        <v>0.46273484804400189</v>
      </c>
      <c r="DP48" s="22">
        <f>MOPFRA!DP48</f>
        <v>3</v>
      </c>
      <c r="DQ48" s="8">
        <f>MOPFRA!DQ48</f>
        <v>228</v>
      </c>
      <c r="DR48" s="32">
        <f>MOPFRA!DR48</f>
        <v>-0.69169528379038347</v>
      </c>
      <c r="DS48" s="99">
        <f>MOPFRA!DS48</f>
        <v>-3</v>
      </c>
      <c r="DT48" s="8">
        <f>MOPFRA!DT48</f>
        <v>1323.52</v>
      </c>
      <c r="DU48" s="8">
        <f>MOPFRA!DU48</f>
        <v>2021.9294117647064</v>
      </c>
      <c r="DV48" s="235">
        <f>MOPFRA!DV48</f>
        <v>5.882352941176471</v>
      </c>
      <c r="DW48" s="8">
        <f>MOPFRA!DW48</f>
        <v>1675.6658823529415</v>
      </c>
      <c r="DX48" s="411">
        <f>MOPFRA!DX48</f>
        <v>114</v>
      </c>
      <c r="DY48" s="1532">
        <f>MOPFRA!DY48</f>
        <v>40</v>
      </c>
      <c r="DZ48" s="857">
        <f>MOPFRA!DZ48</f>
        <v>1.4035087719298246E-2</v>
      </c>
      <c r="EA48" s="386">
        <f>MOPFRA!EA48</f>
        <v>1.76</v>
      </c>
      <c r="EB48" s="504">
        <f>MOPFRA!EB48</f>
        <v>0</v>
      </c>
      <c r="EC48" s="510">
        <f>MOPFRA!EC48</f>
        <v>3739</v>
      </c>
      <c r="ED48" s="435">
        <f>MOPFRA!ED48</f>
        <v>972</v>
      </c>
      <c r="EE48" s="510">
        <f>MOPFRA!EE48</f>
        <v>5290</v>
      </c>
      <c r="EF48" s="435">
        <f>MOPFRA!EF48</f>
        <v>1375</v>
      </c>
      <c r="EG48" s="510">
        <f>MOPFRA!EG48</f>
        <v>5800</v>
      </c>
      <c r="EH48" s="435">
        <f>MOPFRA!EH48</f>
        <v>1508</v>
      </c>
      <c r="EI48" s="510">
        <f>MOPFRA!EI48</f>
        <v>6040</v>
      </c>
      <c r="EJ48" s="435">
        <f>MOPFRA!EJ48</f>
        <v>1570</v>
      </c>
      <c r="EK48" s="510">
        <f>MOPFRA!EK48</f>
        <v>2810</v>
      </c>
      <c r="EL48" s="1606">
        <f>MOPFRA!EL48</f>
        <v>1728</v>
      </c>
      <c r="EM48" s="1685">
        <f>MOPFRA!EM48</f>
        <v>2810</v>
      </c>
      <c r="EN48" s="1686">
        <f>MOPFRA!EN48</f>
        <v>1728</v>
      </c>
      <c r="EO48" s="1609">
        <f>MOPFRA!EO48</f>
        <v>0.77777777777777779</v>
      </c>
      <c r="EP48" s="1648">
        <f>MOPFRA!EP48</f>
        <v>22</v>
      </c>
      <c r="EQ48"/>
    </row>
    <row r="49" spans="1:155" ht="35" customHeight="1">
      <c r="A49" s="100">
        <f>MOPFRA!A49</f>
        <v>-19.324231968038298</v>
      </c>
      <c r="B49" s="99">
        <f>MOPFRA!B49</f>
        <v>-14.924231968038297</v>
      </c>
      <c r="C49" s="1585">
        <f ca="1">MOPFRA!C49</f>
        <v>0.2901393459295783</v>
      </c>
      <c r="D49" s="1651">
        <f>MOPFRA!D49</f>
        <v>-1.6610981364639192</v>
      </c>
      <c r="E49" s="1414">
        <f>MOPFRA!E49</f>
        <v>-4.0000000000000036</v>
      </c>
      <c r="F49" s="1415">
        <f>MOPFRA!F49</f>
        <v>-4.4000000000000012</v>
      </c>
      <c r="G49" s="2124">
        <f>MOPFRA!G49</f>
        <v>24.176309680389515</v>
      </c>
      <c r="H49" s="2379">
        <f>MOPFRA!H49</f>
        <v>0.25667567183278828</v>
      </c>
      <c r="I49" s="2379">
        <f>MOPFRA!I49</f>
        <v>-0.34785316734674321</v>
      </c>
      <c r="J49" s="2379">
        <f>MOPFRA!J49</f>
        <v>0.50667374756594086</v>
      </c>
      <c r="K49" s="1942">
        <f>MOPFRA!K49</f>
        <v>46</v>
      </c>
      <c r="L49" s="2199">
        <f>MOPFRA!L49</f>
        <v>42</v>
      </c>
      <c r="M49" s="1582" t="str">
        <f>MOPFRA!M49</f>
        <v>B</v>
      </c>
      <c r="N49" s="1582" t="str">
        <f>MOPFRA!N49</f>
        <v>B</v>
      </c>
      <c r="O49" s="179" t="str">
        <f>MOPFRA!O49</f>
        <v>Closed</v>
      </c>
      <c r="P49" s="856" t="str">
        <f>MOPFRA!P49</f>
        <v>M</v>
      </c>
      <c r="Q49" s="1571" t="str">
        <f>MOPFRA!Q49</f>
        <v>فولاد مباركه اصفهان</v>
      </c>
      <c r="R49" s="1571" t="str">
        <f>MOPFRA!R49</f>
        <v>فولاد</v>
      </c>
      <c r="S49" s="1572">
        <f>MOPFRA!S49</f>
        <v>12</v>
      </c>
      <c r="T49" s="66">
        <f>MOPFRA!T49</f>
        <v>493231.5</v>
      </c>
      <c r="U49" s="258">
        <f>MOPFRA!U49</f>
        <v>2549</v>
      </c>
      <c r="V49" s="338" t="str">
        <f>MOPFRA!V49</f>
        <v/>
      </c>
      <c r="W49" s="258">
        <f>MOPFRA!W49</f>
        <v>2549</v>
      </c>
      <c r="X49" s="337" t="str">
        <f>MOPFRA!X49</f>
        <v/>
      </c>
      <c r="Y49" s="1708">
        <f>MOPFRA!Y49</f>
        <v>690202.5</v>
      </c>
      <c r="Z49" s="661" t="str">
        <f>MOPFRA!Z49</f>
        <v/>
      </c>
      <c r="AA49" s="2382">
        <f>MOPFRA!AA49</f>
        <v>-1.0137217374379602E-6</v>
      </c>
      <c r="AB49" s="511">
        <f ca="1">MOPFRA!AB49</f>
        <v>7.3972602739726025E-3</v>
      </c>
      <c r="AC49" s="823">
        <f ca="1">MOPFRA!AC49</f>
        <v>24.660913319033469</v>
      </c>
      <c r="AD49" s="1150">
        <f>MOPFRA!AD49</f>
        <v>-1.0137217374379602E-6</v>
      </c>
      <c r="AE49" s="1150">
        <f>MOPFRA!AE49</f>
        <v>0.2749941837921675</v>
      </c>
      <c r="AF49" s="1150">
        <f>MOPFRA!AF49</f>
        <v>3.7945075757575761E-2</v>
      </c>
      <c r="AG49" s="1150">
        <f>MOPFRA!AG49</f>
        <v>0.24302293346774193</v>
      </c>
      <c r="AH49" s="1150">
        <f>MOPFRA!AH49</f>
        <v>0.77600280858418547</v>
      </c>
      <c r="AI49" s="275">
        <f ca="1">MOPFRA!AI49</f>
        <v>362</v>
      </c>
      <c r="AJ49" s="1120">
        <f>MOPFRA!AJ49</f>
        <v>46236</v>
      </c>
      <c r="AK49" s="1693">
        <f>MOPFRA!AK49</f>
        <v>46303</v>
      </c>
      <c r="AL49" s="1345">
        <f>MOPFRA!AL49</f>
        <v>1935000000000</v>
      </c>
      <c r="AM49" s="29">
        <f>MOPFRA!AM49</f>
        <v>0</v>
      </c>
      <c r="AN49" s="29">
        <f>MOPFRA!AN49</f>
        <v>0</v>
      </c>
      <c r="AO49" s="685">
        <f>MOPFRA!AO49</f>
        <v>0.35389999999999999</v>
      </c>
      <c r="AP49" s="174">
        <f>MOPFRA!AP49</f>
        <v>0</v>
      </c>
      <c r="AQ49" s="1416">
        <f>MOPFRA!AQ49</f>
        <v>366886</v>
      </c>
      <c r="AR49" s="1416">
        <f>MOPFRA!AR49</f>
        <v>95239</v>
      </c>
      <c r="AS49" s="766">
        <f>MOPFRA!AS49</f>
        <v>415517.63792940439</v>
      </c>
      <c r="AT49" s="984">
        <f>MOPFRA!AT49</f>
        <v>4</v>
      </c>
      <c r="AU49" s="376">
        <f>MOPFRA!AU49</f>
        <v>0.89652406058221445</v>
      </c>
      <c r="AV49" s="99">
        <f>MOPFRA!AV49</f>
        <v>-1.5597428827440474</v>
      </c>
      <c r="AW49" s="2380">
        <f>MOPFRA!AW49</f>
        <v>83417</v>
      </c>
      <c r="AX49" s="2380">
        <f>MOPFRA!AX49</f>
        <v>19800</v>
      </c>
      <c r="AY49" s="2374">
        <f>MOPFRA!AY49</f>
        <v>0.23699999999999999</v>
      </c>
      <c r="AZ49" s="2370">
        <f>MOPFRA!AZ49</f>
        <v>0.27700000000000002</v>
      </c>
      <c r="BA49" s="2372">
        <f>MOPFRA!BA49</f>
        <v>0.26</v>
      </c>
      <c r="BB49" s="2373">
        <f>MOPFRA!BB49</f>
        <v>0.34899999999999998</v>
      </c>
      <c r="BC49" s="2375">
        <f>MOPFRA!BC49</f>
        <v>-4.4000000000000012</v>
      </c>
      <c r="BD49" s="2376">
        <f>MOPFRA!BD49</f>
        <v>0.151</v>
      </c>
      <c r="BE49" s="2370">
        <f>MOPFRA!BE49</f>
        <v>0.19500000000000001</v>
      </c>
      <c r="BF49" s="2371">
        <f>MOPFRA!BF49</f>
        <v>0.17299999999999999</v>
      </c>
      <c r="BG49" s="1422">
        <f>MOPFRA!BG49</f>
        <v>0.26900000000000002</v>
      </c>
      <c r="BH49" s="306">
        <f>MOPFRA!BH49</f>
        <v>8.5999999999999993E-2</v>
      </c>
      <c r="BI49" s="1861">
        <f>MOPFRA!BI49</f>
        <v>28695.447999999997</v>
      </c>
      <c r="BJ49" s="306">
        <f>MOPFRA!BJ49</f>
        <v>8.2000000000000017E-2</v>
      </c>
      <c r="BK49" s="99">
        <f>MOPFRA!BK49</f>
        <v>0</v>
      </c>
      <c r="BL49" s="306">
        <f>MOPFRA!BL49</f>
        <v>0.13255244934231447</v>
      </c>
      <c r="BM49" s="99">
        <f>MOPFRA!BM49</f>
        <v>3.9766038919215574</v>
      </c>
      <c r="BN49" s="15">
        <f>MOPFRA!BN49</f>
        <v>0</v>
      </c>
      <c r="BO49" s="1803">
        <f>MOPFRA!BO49</f>
        <v>3</v>
      </c>
      <c r="BP49" s="842">
        <f>MOPFRA!BP49</f>
        <v>1</v>
      </c>
      <c r="BQ49" s="16">
        <f>MOPFRA!BQ49</f>
        <v>62</v>
      </c>
      <c r="BR49" s="16">
        <f>MOPFRA!BR49</f>
        <v>0</v>
      </c>
      <c r="BS49" s="16">
        <f>MOPFRA!BS49</f>
        <v>0</v>
      </c>
      <c r="BT49" s="1253">
        <f>MOPFRA!BT49</f>
        <v>513.1016192627394</v>
      </c>
      <c r="BU49" s="1246">
        <f>MOPFRA!BU49</f>
        <v>248.80620155038761</v>
      </c>
      <c r="BV49" s="406">
        <f>MOPFRA!BV49</f>
        <v>0</v>
      </c>
      <c r="BW49" s="407">
        <f>MOPFRA!BW49</f>
        <v>6.6910981364639195</v>
      </c>
      <c r="BX49" s="99">
        <f>MOPFRA!BX49</f>
        <v>-8.4554906823195974</v>
      </c>
      <c r="BY49" s="18">
        <f>MOPFRA!BY49</f>
        <v>73714.581663670033</v>
      </c>
      <c r="BZ49" s="18">
        <f>MOPFRA!BZ49</f>
        <v>98057.952286282307</v>
      </c>
      <c r="CA49" s="18">
        <f>MOPFRA!CA49</f>
        <v>98477.680189268838</v>
      </c>
      <c r="CB49" s="1710">
        <f>MOPFRA!CB49</f>
        <v>7.0087201350952588</v>
      </c>
      <c r="CC49" s="266">
        <f>MOPFRA!CC49</f>
        <v>518</v>
      </c>
      <c r="CD49" s="267">
        <f>MOPFRA!CD49</f>
        <v>5.03</v>
      </c>
      <c r="CE49" s="99">
        <f>MOPFRA!CE49</f>
        <v>-9.0000000000000746E-2</v>
      </c>
      <c r="CF49" s="17">
        <f>MOPFRA!CF49</f>
        <v>3.9295753087446652</v>
      </c>
      <c r="CG49" s="99">
        <f>MOPFRA!CG49</f>
        <v>-7.7183012349786608</v>
      </c>
      <c r="CH49" s="494">
        <f>MOPFRA!CH49</f>
        <v>9.9659550368370001E-2</v>
      </c>
      <c r="CI49" s="99">
        <f>MOPFRA!CI49</f>
        <v>-4.5051067444744506</v>
      </c>
      <c r="CJ49" s="20">
        <f>MOPFRA!CJ49</f>
        <v>-10</v>
      </c>
      <c r="CK49" s="691">
        <f>MOPFRA!CK49</f>
        <v>193500</v>
      </c>
      <c r="CL49" s="419">
        <f>MOPFRA!CL49</f>
        <v>88012</v>
      </c>
      <c r="CM49" s="468">
        <f>MOPFRA!CM49</f>
        <v>36542</v>
      </c>
      <c r="CN49" s="843">
        <f>MOPFRA!CN49</f>
        <v>-581</v>
      </c>
      <c r="CO49" s="21">
        <f>MOPFRA!CO49</f>
        <v>12036</v>
      </c>
      <c r="CP49" s="21">
        <f>MOPFRA!CP49</f>
        <v>23998</v>
      </c>
      <c r="CQ49" s="469">
        <f>MOPFRA!CQ49</f>
        <v>12036</v>
      </c>
      <c r="CR49" s="1239">
        <f>MOPFRA!CR49</f>
        <v>44912.387775780022</v>
      </c>
      <c r="CS49" s="21">
        <f>MOPFRA!CS49</f>
        <v>100048</v>
      </c>
      <c r="CT49" s="16">
        <f>MOPFRA!CT49</f>
        <v>-2984</v>
      </c>
      <c r="CU49" s="154" t="str">
        <f>MOPFRA!CU49</f>
        <v/>
      </c>
      <c r="CV49" s="693">
        <f>MOPFRA!CV49</f>
        <v>338162</v>
      </c>
      <c r="CW49" s="49">
        <f>MOPFRA!CW49</f>
        <v>246247</v>
      </c>
      <c r="CX49" s="21">
        <f>MOPFRA!CX49</f>
        <v>81869</v>
      </c>
      <c r="CY49" s="49">
        <f>MOPFRA!CY49</f>
        <v>43420</v>
      </c>
      <c r="CZ49" s="378">
        <f>MOPFRA!CZ49</f>
        <v>289667</v>
      </c>
      <c r="DA49" s="1058">
        <f>MOPFRA!DA49</f>
        <v>1.6304848383939703</v>
      </c>
      <c r="DB49" s="99">
        <f>MOPFRA!DB49</f>
        <v>3.4438787071517627</v>
      </c>
      <c r="DC49" s="53">
        <f>MOPFRA!DC49</f>
        <v>627829</v>
      </c>
      <c r="DD49" s="645">
        <f>MOPFRA!DD49</f>
        <v>0.46137881493209137</v>
      </c>
      <c r="DE49" s="13">
        <f>MOPFRA!DE49</f>
        <v>226327</v>
      </c>
      <c r="DF49" s="24">
        <f>MOPFRA!DF49</f>
        <v>112643</v>
      </c>
      <c r="DG49" s="24">
        <f>MOPFRA!DG49</f>
        <v>97784</v>
      </c>
      <c r="DH49" s="51">
        <f>MOPFRA!DH49</f>
        <v>401502</v>
      </c>
      <c r="DI49" s="8">
        <f>MOPFRA!DI49</f>
        <v>155255</v>
      </c>
      <c r="DJ49" s="644">
        <f>MOPFRA!DJ49</f>
        <v>2.6763559172291029</v>
      </c>
      <c r="DK49" s="22">
        <f>MOPFRA!DK49</f>
        <v>109464</v>
      </c>
      <c r="DL49" s="22">
        <f>MOPFRA!DL49</f>
        <v>50066</v>
      </c>
      <c r="DM49" s="22">
        <f>MOPFRA!DM49</f>
        <v>172196</v>
      </c>
      <c r="DN49" s="138">
        <f>MOPFRA!DN49</f>
        <v>0.46137881493209137</v>
      </c>
      <c r="DO49" s="99">
        <f>MOPFRA!DO49</f>
        <v>0.98392697740514012</v>
      </c>
      <c r="DP49" s="22">
        <f>MOPFRA!DP49</f>
        <v>42630</v>
      </c>
      <c r="DQ49" s="8">
        <f>MOPFRA!DQ49</f>
        <v>27146</v>
      </c>
      <c r="DR49" s="32">
        <f>MOPFRA!DR49</f>
        <v>-0.39845577114108233</v>
      </c>
      <c r="DS49" s="99">
        <f>MOPFRA!DS49</f>
        <v>-1</v>
      </c>
      <c r="DT49" s="8">
        <f>MOPFRA!DT49</f>
        <v>1885.52</v>
      </c>
      <c r="DU49" s="8">
        <f>MOPFRA!DU49</f>
        <v>895.70232558139537</v>
      </c>
      <c r="DV49" s="235">
        <f>MOPFRA!DV49</f>
        <v>454.84237726098189</v>
      </c>
      <c r="DW49" s="8">
        <f>MOPFRA!DW49</f>
        <v>1618.0323514211884</v>
      </c>
      <c r="DX49" s="411">
        <f>MOPFRA!DX49</f>
        <v>67</v>
      </c>
      <c r="DY49" s="1532">
        <f>MOPFRA!DY49</f>
        <v>55</v>
      </c>
      <c r="DZ49" s="857">
        <f>MOPFRA!DZ49</f>
        <v>2.1121351766513058E-2</v>
      </c>
      <c r="EA49" s="386">
        <f>MOPFRA!EA49</f>
        <v>0.28999999999999998</v>
      </c>
      <c r="EB49" s="504">
        <f>MOPFRA!EB49</f>
        <v>0</v>
      </c>
      <c r="EC49" s="510">
        <f>MOPFRA!EC49</f>
        <v>5240</v>
      </c>
      <c r="ED49" s="435">
        <f>MOPFRA!ED49</f>
        <v>277720</v>
      </c>
      <c r="EE49" s="510">
        <f>MOPFRA!EE49</f>
        <v>4960</v>
      </c>
      <c r="EF49" s="435">
        <f>MOPFRA!EF49</f>
        <v>396800</v>
      </c>
      <c r="EG49" s="510">
        <f>MOPFRA!EG49</f>
        <v>4400</v>
      </c>
      <c r="EH49" s="435">
        <f>MOPFRA!EH49</f>
        <v>475200</v>
      </c>
      <c r="EI49" s="510">
        <f>MOPFRA!EI49</f>
        <v>2579</v>
      </c>
      <c r="EJ49" s="435">
        <f>MOPFRA!EJ49</f>
        <v>386850</v>
      </c>
      <c r="EK49" s="510">
        <f>MOPFRA!EK49</f>
        <v>2549</v>
      </c>
      <c r="EL49" s="1606">
        <f>MOPFRA!EL49</f>
        <v>493232</v>
      </c>
      <c r="EM49" s="1685">
        <f>MOPFRA!EM49</f>
        <v>2549</v>
      </c>
      <c r="EN49" s="1686">
        <f>MOPFRA!EN49</f>
        <v>493232</v>
      </c>
      <c r="EO49" s="1609">
        <f>MOPFRA!EO49</f>
        <v>0.77600460895866341</v>
      </c>
      <c r="EP49" s="1648">
        <f>MOPFRA!EP49</f>
        <v>23</v>
      </c>
      <c r="EQ49"/>
    </row>
    <row r="50" spans="1:155" ht="35" customHeight="1">
      <c r="A50" s="100">
        <f>MOPFRA!A50</f>
        <v>-22.462275219400578</v>
      </c>
      <c r="B50" s="99">
        <f>MOPFRA!B50</f>
        <v>-18.862275219400576</v>
      </c>
      <c r="C50" s="1585">
        <f ca="1">MOPFRA!C50</f>
        <v>8.8991737064660861E-2</v>
      </c>
      <c r="D50" s="1651">
        <f>MOPFRA!D50</f>
        <v>0.95942452737950035</v>
      </c>
      <c r="E50" s="1414">
        <f>MOPFRA!E50</f>
        <v>7.8000000000000016</v>
      </c>
      <c r="F50" s="1415">
        <f>MOPFRA!F50</f>
        <v>-3.6000000000000005</v>
      </c>
      <c r="G50" s="2124">
        <f>MOPFRA!G50</f>
        <v>-2.0646163771013359</v>
      </c>
      <c r="H50" s="2379">
        <f>MOPFRA!H50</f>
        <v>0.78721409823772026</v>
      </c>
      <c r="I50" s="2379">
        <f>MOPFRA!I50</f>
        <v>5.9620596205962058E-2</v>
      </c>
      <c r="J50" s="2379">
        <f>MOPFRA!J50</f>
        <v>0.95775563258232232</v>
      </c>
      <c r="K50" s="1942">
        <f>MOPFRA!K50</f>
        <v>29</v>
      </c>
      <c r="L50" s="2199">
        <f>MOPFRA!L50</f>
        <v>43</v>
      </c>
      <c r="M50" s="1582" t="str">
        <f>MOPFRA!M50</f>
        <v>B</v>
      </c>
      <c r="N50" s="1582" t="str">
        <f>MOPFRA!N50</f>
        <v>B</v>
      </c>
      <c r="O50" s="179" t="str">
        <f>MOPFRA!O50</f>
        <v/>
      </c>
      <c r="P50" s="856" t="str">
        <f>MOPFRA!P50</f>
        <v>CO</v>
      </c>
      <c r="Q50" s="1571" t="str">
        <f>MOPFRA!Q50</f>
        <v>مس‌ شهيدباهنر</v>
      </c>
      <c r="R50" s="1571" t="str">
        <f>MOPFRA!R50</f>
        <v>فباهنر</v>
      </c>
      <c r="S50" s="1572">
        <f>MOPFRA!S50</f>
        <v>12</v>
      </c>
      <c r="T50" s="66">
        <f>MOPFRA!T50</f>
        <v>26549.99856</v>
      </c>
      <c r="U50" s="258">
        <f>MOPFRA!U50</f>
        <v>10800</v>
      </c>
      <c r="V50" s="338">
        <f>MOPFRA!V50</f>
        <v>2.96</v>
      </c>
      <c r="W50" s="258">
        <f>MOPFRA!W50</f>
        <v>10800</v>
      </c>
      <c r="X50" s="337">
        <f>MOPFRA!X50</f>
        <v>2.96</v>
      </c>
      <c r="Y50" s="1708">
        <f>MOPFRA!Y50</f>
        <v>44023.99856</v>
      </c>
      <c r="Z50" s="661" t="str">
        <f>MOPFRA!Z50</f>
        <v/>
      </c>
      <c r="AA50" s="2382">
        <f>MOPFRA!AA50</f>
        <v>0.25877102977432204</v>
      </c>
      <c r="AB50" s="511">
        <f ca="1">MOPFRA!AB50</f>
        <v>3.9452054794520547E-2</v>
      </c>
      <c r="AC50" s="823">
        <f ca="1">MOPFRA!AC50</f>
        <v>-137.07435936237593</v>
      </c>
      <c r="AD50" s="1150">
        <f>MOPFRA!AD50</f>
        <v>0.25877102977432204</v>
      </c>
      <c r="AE50" s="1150">
        <f>MOPFRA!AE50</f>
        <v>0.61309912874415218</v>
      </c>
      <c r="AF50" s="1150">
        <f>MOPFRA!AF50</f>
        <v>1.6180848594813135</v>
      </c>
      <c r="AG50" s="1150">
        <f>MOPFRA!AG50</f>
        <v>1.0148742930864385</v>
      </c>
      <c r="AH50" s="1150">
        <f>MOPFRA!AH50</f>
        <v>2.6122447020408162</v>
      </c>
      <c r="AI50" s="275">
        <f ca="1">MOPFRA!AI50</f>
        <v>349</v>
      </c>
      <c r="AJ50" s="1120">
        <f>MOPFRA!AJ50</f>
        <v>46223</v>
      </c>
      <c r="AK50" s="1693">
        <f>MOPFRA!AK50</f>
        <v>46346</v>
      </c>
      <c r="AL50" s="1345">
        <f>MOPFRA!AL50</f>
        <v>24583332000</v>
      </c>
      <c r="AM50" s="29">
        <f>MOPFRA!AM50</f>
        <v>0</v>
      </c>
      <c r="AN50" s="29">
        <f>MOPFRA!AN50</f>
        <v>0</v>
      </c>
      <c r="AO50" s="685">
        <f>MOPFRA!AO50</f>
        <v>0.2258</v>
      </c>
      <c r="AP50" s="174">
        <f>MOPFRA!AP50</f>
        <v>0</v>
      </c>
      <c r="AQ50" s="1416">
        <f>MOPFRA!AQ50</f>
        <v>21022</v>
      </c>
      <c r="AR50" s="1416">
        <f>MOPFRA!AR50</f>
        <v>3815</v>
      </c>
      <c r="AS50" s="766">
        <f>MOPFRA!AS50</f>
        <v>32593.101678748571</v>
      </c>
      <c r="AT50" s="984">
        <f>MOPFRA!AT50</f>
        <v>4</v>
      </c>
      <c r="AU50" s="376">
        <f>MOPFRA!AU50</f>
        <v>0.81458950491082571</v>
      </c>
      <c r="AV50" s="99">
        <f>MOPFRA!AV50</f>
        <v>10</v>
      </c>
      <c r="AW50" s="2380">
        <f>MOPFRA!AW50</f>
        <v>7038</v>
      </c>
      <c r="AX50" s="2380">
        <f>MOPFRA!AX50</f>
        <v>1927</v>
      </c>
      <c r="AY50" s="2374">
        <f>MOPFRA!AY50</f>
        <v>0.27400000000000002</v>
      </c>
      <c r="AZ50" s="2370">
        <f>MOPFRA!AZ50</f>
        <v>0.19600000000000001</v>
      </c>
      <c r="BA50" s="2372">
        <f>MOPFRA!BA50</f>
        <v>0.18099999999999999</v>
      </c>
      <c r="BB50" s="2373">
        <f>MOPFRA!BB50</f>
        <v>0.16800000000000001</v>
      </c>
      <c r="BC50" s="2375">
        <f>MOPFRA!BC50</f>
        <v>-3.6000000000000005</v>
      </c>
      <c r="BD50" s="2376">
        <f>MOPFRA!BD50</f>
        <v>7.8E-2</v>
      </c>
      <c r="BE50" s="2370">
        <f>MOPFRA!BE50</f>
        <v>0.114</v>
      </c>
      <c r="BF50" s="2371">
        <f>MOPFRA!BF50</f>
        <v>9.2999999999999999E-2</v>
      </c>
      <c r="BG50" s="1422">
        <f>MOPFRA!BG50</f>
        <v>0.11799999999999999</v>
      </c>
      <c r="BH50" s="306">
        <f>MOPFRA!BH50</f>
        <v>0.19600000000000001</v>
      </c>
      <c r="BI50" s="1861">
        <f>MOPFRA!BI50</f>
        <v>5517.7920000000004</v>
      </c>
      <c r="BJ50" s="306">
        <f>MOPFRA!BJ50</f>
        <v>8.2000000000000003E-2</v>
      </c>
      <c r="BK50" s="99">
        <f>MOPFRA!BK50</f>
        <v>0</v>
      </c>
      <c r="BL50" s="306">
        <f>MOPFRA!BL50</f>
        <v>0.55042820277559568</v>
      </c>
      <c r="BM50" s="99">
        <f>MOPFRA!BM50</f>
        <v>8.7497151900382093</v>
      </c>
      <c r="BN50" s="15">
        <f>MOPFRA!BN50</f>
        <v>0</v>
      </c>
      <c r="BO50" s="1803">
        <f>MOPFRA!BO50</f>
        <v>3</v>
      </c>
      <c r="BP50" s="842">
        <f>MOPFRA!BP50</f>
        <v>1</v>
      </c>
      <c r="BQ50" s="16">
        <f>MOPFRA!BQ50</f>
        <v>283</v>
      </c>
      <c r="BR50" s="16">
        <f>MOPFRA!BR50</f>
        <v>0</v>
      </c>
      <c r="BS50" s="16">
        <f>MOPFRA!BS50</f>
        <v>0</v>
      </c>
      <c r="BT50" s="1253">
        <f>MOPFRA!BT50</f>
        <v>1232.2422082337694</v>
      </c>
      <c r="BU50" s="1246">
        <f>MOPFRA!BU50</f>
        <v>1130.8475189612213</v>
      </c>
      <c r="BV50" s="406">
        <f>MOPFRA!BV50</f>
        <v>0</v>
      </c>
      <c r="BW50" s="407">
        <f>MOPFRA!BW50</f>
        <v>9.1405754726204993</v>
      </c>
      <c r="BX50" s="99">
        <f>MOPFRA!BX50</f>
        <v>-10</v>
      </c>
      <c r="BY50" s="18">
        <f>MOPFRA!BY50</f>
        <v>2904.6309654711945</v>
      </c>
      <c r="BZ50" s="18">
        <f>MOPFRA!BZ50</f>
        <v>2628.7127287128715</v>
      </c>
      <c r="CA50" s="18">
        <f>MOPFRA!CA50</f>
        <v>8930.50985997711</v>
      </c>
      <c r="CB50" s="1710">
        <f>MOPFRA!CB50</f>
        <v>4.9296175974562821</v>
      </c>
      <c r="CC50" s="266">
        <f>MOPFRA!CC50</f>
        <v>1069</v>
      </c>
      <c r="CD50" s="267">
        <f>MOPFRA!CD50</f>
        <v>10.1</v>
      </c>
      <c r="CE50" s="99">
        <f>MOPFRA!CE50</f>
        <v>-10</v>
      </c>
      <c r="CF50" s="17">
        <f>MOPFRA!CF50</f>
        <v>6.2262642707405753</v>
      </c>
      <c r="CG50" s="99">
        <f>MOPFRA!CG50</f>
        <v>-10</v>
      </c>
      <c r="CH50" s="494">
        <f>MOPFRA!CH50</f>
        <v>0.11973415909440598</v>
      </c>
      <c r="CI50" s="99">
        <f>MOPFRA!CI50</f>
        <v>-4.2039876135839105</v>
      </c>
      <c r="CJ50" s="20">
        <f>MOPFRA!CJ50</f>
        <v>0</v>
      </c>
      <c r="CK50" s="691">
        <f>MOPFRA!CK50</f>
        <v>2458.3332</v>
      </c>
      <c r="CL50" s="419">
        <f>MOPFRA!CL50</f>
        <v>953</v>
      </c>
      <c r="CM50" s="468">
        <f>MOPFRA!CM50</f>
        <v>487</v>
      </c>
      <c r="CN50" s="843">
        <f>MOPFRA!CN50</f>
        <v>148</v>
      </c>
      <c r="CO50" s="21">
        <f>MOPFRA!CO50</f>
        <v>695</v>
      </c>
      <c r="CP50" s="21">
        <f>MOPFRA!CP50</f>
        <v>0</v>
      </c>
      <c r="CQ50" s="469">
        <f>MOPFRA!CQ50</f>
        <v>695</v>
      </c>
      <c r="CR50" s="1239">
        <f>MOPFRA!CR50</f>
        <v>847.42064364746284</v>
      </c>
      <c r="CS50" s="21">
        <f>MOPFRA!CS50</f>
        <v>1648</v>
      </c>
      <c r="CT50" s="16">
        <f>MOPFRA!CT50</f>
        <v>0</v>
      </c>
      <c r="CU50" s="154" t="str">
        <f>MOPFRA!CU50</f>
        <v/>
      </c>
      <c r="CV50" s="693">
        <f>MOPFRA!CV50</f>
        <v>4352</v>
      </c>
      <c r="CW50" s="49">
        <f>MOPFRA!CW50</f>
        <v>17721</v>
      </c>
      <c r="CX50" s="21">
        <f>MOPFRA!CX50</f>
        <v>3338</v>
      </c>
      <c r="CY50" s="49">
        <f>MOPFRA!CY50</f>
        <v>364</v>
      </c>
      <c r="CZ50" s="378">
        <f>MOPFRA!CZ50</f>
        <v>18085</v>
      </c>
      <c r="DA50" s="1058">
        <f>MOPFRA!DA50</f>
        <v>1.1233564697251848</v>
      </c>
      <c r="DB50" s="99">
        <f>MOPFRA!DB50</f>
        <v>-0.61314824219852149</v>
      </c>
      <c r="DC50" s="53">
        <f>MOPFRA!DC50</f>
        <v>22437</v>
      </c>
      <c r="DD50" s="645">
        <f>MOPFRA!DD50</f>
        <v>0.80603467486740654</v>
      </c>
      <c r="DE50" s="13">
        <f>MOPFRA!DE50</f>
        <v>2530</v>
      </c>
      <c r="DF50" s="24">
        <f>MOPFRA!DF50</f>
        <v>2492</v>
      </c>
      <c r="DG50" s="24">
        <f>MOPFRA!DG50</f>
        <v>27</v>
      </c>
      <c r="DH50" s="51">
        <f>MOPFRA!DH50</f>
        <v>19907</v>
      </c>
      <c r="DI50" s="8">
        <f>MOPFRA!DI50</f>
        <v>2186</v>
      </c>
      <c r="DJ50" s="644">
        <f>MOPFRA!DJ50</f>
        <v>14.909927574907854</v>
      </c>
      <c r="DK50" s="22">
        <f>MOPFRA!DK50</f>
        <v>15139</v>
      </c>
      <c r="DL50" s="22">
        <f>MOPFRA!DL50</f>
        <v>611</v>
      </c>
      <c r="DM50" s="22">
        <f>MOPFRA!DM50</f>
        <v>3695</v>
      </c>
      <c r="DN50" s="138">
        <f>MOPFRA!DN50</f>
        <v>0.80603467486740654</v>
      </c>
      <c r="DO50" s="99">
        <f>MOPFRA!DO50</f>
        <v>-1.7948545536563532</v>
      </c>
      <c r="DP50" s="22">
        <f>MOPFRA!DP50</f>
        <v>0</v>
      </c>
      <c r="DQ50" s="8">
        <f>MOPFRA!DQ50</f>
        <v>462</v>
      </c>
      <c r="DR50" s="32">
        <f>MOPFRA!DR50</f>
        <v>-0.37377485186591081</v>
      </c>
      <c r="DS50" s="99">
        <f>MOPFRA!DS50</f>
        <v>-1</v>
      </c>
      <c r="DT50" s="8">
        <f>MOPFRA!DT50</f>
        <v>3891.16</v>
      </c>
      <c r="DU50" s="8">
        <f>MOPFRA!DU50</f>
        <v>4071.0510682603967</v>
      </c>
      <c r="DV50" s="235">
        <f>MOPFRA!DV50</f>
        <v>387.66103797483595</v>
      </c>
      <c r="DW50" s="8">
        <f>MOPFRA!DW50</f>
        <v>4174.9360531176162</v>
      </c>
      <c r="DX50" s="411">
        <f>MOPFRA!DX50</f>
        <v>123</v>
      </c>
      <c r="DY50" s="1532">
        <f>MOPFRA!DY50</f>
        <v>720</v>
      </c>
      <c r="DZ50" s="857">
        <f>MOPFRA!DZ50</f>
        <v>7.7419354838709681E-2</v>
      </c>
      <c r="EA50" s="386">
        <f>MOPFRA!EA50</f>
        <v>8.3650000000000002</v>
      </c>
      <c r="EB50" s="504">
        <f>MOPFRA!EB50</f>
        <v>0</v>
      </c>
      <c r="EC50" s="510">
        <f>MOPFRA!EC50</f>
        <v>28000</v>
      </c>
      <c r="ED50" s="435">
        <f>MOPFRA!ED50</f>
        <v>7350</v>
      </c>
      <c r="EE50" s="510">
        <f>MOPFRA!EE50</f>
        <v>4755</v>
      </c>
      <c r="EF50" s="435">
        <f>MOPFRA!EF50</f>
        <v>13177</v>
      </c>
      <c r="EG50" s="510">
        <f>MOPFRA!EG50</f>
        <v>4126</v>
      </c>
      <c r="EH50" s="435">
        <f>MOPFRA!EH50</f>
        <v>10141</v>
      </c>
      <c r="EI50" s="510">
        <f>MOPFRA!EI50</f>
        <v>6695</v>
      </c>
      <c r="EJ50" s="435">
        <f>MOPFRA!EJ50</f>
        <v>16459</v>
      </c>
      <c r="EK50" s="510">
        <f>MOPFRA!EK50</f>
        <v>8580</v>
      </c>
      <c r="EL50" s="1606">
        <f>MOPFRA!EL50</f>
        <v>21092</v>
      </c>
      <c r="EM50" s="1685">
        <f>MOPFRA!EM50</f>
        <v>8580</v>
      </c>
      <c r="EN50" s="1686">
        <f>MOPFRA!EN50</f>
        <v>21092</v>
      </c>
      <c r="EO50" s="1609">
        <f>MOPFRA!EO50</f>
        <v>1.8696598639455781</v>
      </c>
      <c r="EP50" s="1648">
        <f>MOPFRA!EP50</f>
        <v>15</v>
      </c>
      <c r="EQ50"/>
    </row>
    <row r="51" spans="1:155" ht="35" customHeight="1">
      <c r="A51" s="100">
        <f>MOPFRA!A51</f>
        <v>-24.01592737459827</v>
      </c>
      <c r="B51" s="99">
        <f>MOPFRA!B51</f>
        <v>-24.215927374598269</v>
      </c>
      <c r="C51" s="1585">
        <f ca="1">MOPFRA!C51</f>
        <v>0.20787021191637431</v>
      </c>
      <c r="D51" s="1651">
        <f>MOPFRA!D51</f>
        <v>0.35121412803699315</v>
      </c>
      <c r="E51" s="1414">
        <f>MOPFRA!E51</f>
        <v>-3.2</v>
      </c>
      <c r="F51" s="1415">
        <f>MOPFRA!F51</f>
        <v>0.20000000000000018</v>
      </c>
      <c r="G51" s="2124">
        <f>MOPFRA!G51</f>
        <v>-19.832607764332401</v>
      </c>
      <c r="H51" s="2379">
        <f>MOPFRA!H51</f>
        <v>0.92467634366418205</v>
      </c>
      <c r="I51" s="2379">
        <f>MOPFRA!I51</f>
        <v>-0.24077046548956663</v>
      </c>
      <c r="J51" s="2379">
        <f>MOPFRA!J51</f>
        <v>0.17831449126413154</v>
      </c>
      <c r="K51" s="1942">
        <f>MOPFRA!K51</f>
        <v>24</v>
      </c>
      <c r="L51" s="2199">
        <f>MOPFRA!L51</f>
        <v>40</v>
      </c>
      <c r="M51" s="1582" t="str">
        <f>MOPFRA!M51</f>
        <v>N</v>
      </c>
      <c r="N51" s="1582" t="str">
        <f>MOPFRA!N51</f>
        <v>N</v>
      </c>
      <c r="O51" s="179" t="str">
        <f>MOPFRA!O51</f>
        <v/>
      </c>
      <c r="P51" s="856" t="str">
        <f>MOPFRA!P51</f>
        <v>IT</v>
      </c>
      <c r="Q51" s="1571" t="str">
        <f>MOPFRA!Q51</f>
        <v>توسعه فن افزار توسن</v>
      </c>
      <c r="R51" s="1571" t="str">
        <f>MOPFRA!R51</f>
        <v>فن‌ افزار</v>
      </c>
      <c r="S51" s="1572">
        <f>MOPFRA!S51</f>
        <v>9</v>
      </c>
      <c r="T51" s="66">
        <f>MOPFRA!T51</f>
        <v>4464</v>
      </c>
      <c r="U51" s="258">
        <f>MOPFRA!U51</f>
        <v>7440</v>
      </c>
      <c r="V51" s="338">
        <f>MOPFRA!V51</f>
        <v>2.9</v>
      </c>
      <c r="W51" s="258">
        <f>MOPFRA!W51</f>
        <v>7440</v>
      </c>
      <c r="X51" s="337">
        <f>MOPFRA!X51</f>
        <v>2.9</v>
      </c>
      <c r="Y51" s="1708">
        <f>MOPFRA!Y51</f>
        <v>8195</v>
      </c>
      <c r="Z51" s="661" t="str">
        <f>MOPFRA!Z51</f>
        <v/>
      </c>
      <c r="AA51" s="2382">
        <f>MOPFRA!AA51</f>
        <v>2.4577846630518976</v>
      </c>
      <c r="AB51" s="511">
        <f ca="1">MOPFRA!AB51</f>
        <v>0.26630136986301373</v>
      </c>
      <c r="AC51" s="823">
        <f ca="1">MOPFRA!AC51</f>
        <v>-202.91511973971143</v>
      </c>
      <c r="AD51" s="1150">
        <f>MOPFRA!AD51</f>
        <v>2.4577846630518976</v>
      </c>
      <c r="AE51" s="1150">
        <f>MOPFRA!AE51</f>
        <v>1.6826923076923077</v>
      </c>
      <c r="AF51" s="1150">
        <f>MOPFRA!AF51</f>
        <v>1.4090663788451161</v>
      </c>
      <c r="AG51" s="1150" t="str">
        <f>MOPFRA!AG51</f>
        <v/>
      </c>
      <c r="AH51" s="1150" t="str">
        <f>MOPFRA!AH51</f>
        <v/>
      </c>
      <c r="AI51" s="275">
        <f ca="1">MOPFRA!AI51</f>
        <v>257</v>
      </c>
      <c r="AJ51" s="1120">
        <f>MOPFRA!AJ51</f>
        <v>46131</v>
      </c>
      <c r="AK51" s="1693">
        <f>MOPFRA!AK51</f>
        <v>46251</v>
      </c>
      <c r="AL51" s="1345">
        <f>MOPFRA!AL51</f>
        <v>6000000000</v>
      </c>
      <c r="AM51" s="29">
        <f>MOPFRA!AM51</f>
        <v>0</v>
      </c>
      <c r="AN51" s="29">
        <f>MOPFRA!AN51</f>
        <v>0</v>
      </c>
      <c r="AO51" s="685">
        <f>MOPFRA!AO51</f>
        <v>0.1</v>
      </c>
      <c r="AP51" s="174">
        <f>MOPFRA!AP51</f>
        <v>0</v>
      </c>
      <c r="AQ51" s="1416">
        <f>MOPFRA!AQ51</f>
        <v>5066</v>
      </c>
      <c r="AR51" s="1416">
        <f>MOPFRA!AR51</f>
        <v>1028</v>
      </c>
      <c r="AS51" s="766">
        <f>MOPFRA!AS51</f>
        <v>8833.5266070728012</v>
      </c>
      <c r="AT51" s="984">
        <f>MOPFRA!AT51</f>
        <v>4</v>
      </c>
      <c r="AU51" s="376">
        <f>MOPFRA!AU51</f>
        <v>0.50990280556732104</v>
      </c>
      <c r="AV51" s="99">
        <f>MOPFRA!AV51</f>
        <v>0</v>
      </c>
      <c r="AW51" s="2380">
        <f>MOPFRA!AW51</f>
        <v>4384</v>
      </c>
      <c r="AX51" s="2380">
        <f>MOPFRA!AX51</f>
        <v>699</v>
      </c>
      <c r="AY51" s="2374">
        <f>MOPFRA!AY51</f>
        <v>0.159</v>
      </c>
      <c r="AZ51" s="2370">
        <f>MOPFRA!AZ51</f>
        <v>0.191</v>
      </c>
      <c r="BA51" s="2372">
        <f>MOPFRA!BA51</f>
        <v>0.20300000000000001</v>
      </c>
      <c r="BB51" s="2373">
        <f>MOPFRA!BB51</f>
        <v>0.14399999999999999</v>
      </c>
      <c r="BC51" s="2375">
        <f>MOPFRA!BC51</f>
        <v>0.20000000000000018</v>
      </c>
      <c r="BD51" s="2376">
        <f>MOPFRA!BD51</f>
        <v>0.107</v>
      </c>
      <c r="BE51" s="2370">
        <f>MOPFRA!BE51</f>
        <v>0.105</v>
      </c>
      <c r="BF51" s="2371">
        <f>MOPFRA!BF51</f>
        <v>0.122</v>
      </c>
      <c r="BG51" s="1422">
        <f>MOPFRA!BG51</f>
        <v>7.8E-2</v>
      </c>
      <c r="BH51" s="306">
        <f>MOPFRA!BH51</f>
        <v>5.2000000000000005E-2</v>
      </c>
      <c r="BI51" s="1861">
        <f>MOPFRA!BI51</f>
        <v>455.93600000000004</v>
      </c>
      <c r="BJ51" s="306">
        <f>MOPFRA!BJ51</f>
        <v>8.6000000000000007E-2</v>
      </c>
      <c r="BK51" s="99">
        <f>MOPFRA!BK51</f>
        <v>0</v>
      </c>
      <c r="BL51" s="306">
        <f>MOPFRA!BL51</f>
        <v>0.74368863147903697</v>
      </c>
      <c r="BM51" s="99">
        <f>MOPFRA!BM51</f>
        <v>-10</v>
      </c>
      <c r="BN51" s="15">
        <f>MOPFRA!BN51</f>
        <v>0</v>
      </c>
      <c r="BO51" s="1803">
        <f>MOPFRA!BO51</f>
        <v>3</v>
      </c>
      <c r="BP51" s="842">
        <f>MOPFRA!BP51</f>
        <v>2</v>
      </c>
      <c r="BQ51" s="16">
        <f>MOPFRA!BQ51</f>
        <v>265</v>
      </c>
      <c r="BR51" s="16">
        <f>MOPFRA!BR51</f>
        <v>795</v>
      </c>
      <c r="BS51" s="16">
        <f>MOPFRA!BS51</f>
        <v>0</v>
      </c>
      <c r="BT51" s="1253">
        <f>MOPFRA!BT51</f>
        <v>1590.3122449279829</v>
      </c>
      <c r="BU51" s="1246">
        <f>MOPFRA!BU51</f>
        <v>1590</v>
      </c>
      <c r="BV51" s="406">
        <f>MOPFRA!BV51</f>
        <v>0</v>
      </c>
      <c r="BW51" s="407">
        <f>MOPFRA!BW51</f>
        <v>4.6787858719630071</v>
      </c>
      <c r="BX51" s="99">
        <f>MOPFRA!BX51</f>
        <v>1.6060706401849645</v>
      </c>
      <c r="BY51" s="18">
        <f>MOPFRA!BY51</f>
        <v>954.09367347839475</v>
      </c>
      <c r="BZ51" s="18">
        <f>MOPFRA!BZ51</f>
        <v>887.47514910536779</v>
      </c>
      <c r="CA51" s="18">
        <f>MOPFRA!CA51</f>
        <v>1404.5307305245753</v>
      </c>
      <c r="CB51" s="1710">
        <f>MOPFRA!CB51</f>
        <v>5.8346889974698284</v>
      </c>
      <c r="CC51" s="266">
        <f>MOPFRA!CC51</f>
        <v>1478</v>
      </c>
      <c r="CD51" s="267">
        <f>MOPFRA!CD51</f>
        <v>5.03</v>
      </c>
      <c r="CE51" s="99">
        <f>MOPFRA!CE51</f>
        <v>-9.0000000000000746E-2</v>
      </c>
      <c r="CF51" s="17">
        <f>MOPFRA!CF51</f>
        <v>4.5016544175808955</v>
      </c>
      <c r="CG51" s="99">
        <f>MOPFRA!CG51</f>
        <v>-10</v>
      </c>
      <c r="CH51" s="494">
        <f>MOPFRA!CH51</f>
        <v>0.16526826147209331</v>
      </c>
      <c r="CI51" s="99">
        <f>MOPFRA!CI51</f>
        <v>-3.5209760779186006</v>
      </c>
      <c r="CJ51" s="20">
        <f>MOPFRA!CJ51</f>
        <v>0</v>
      </c>
      <c r="CK51" s="691">
        <f>MOPFRA!CK51</f>
        <v>600</v>
      </c>
      <c r="CL51" s="419">
        <f>MOPFRA!CL51</f>
        <v>249</v>
      </c>
      <c r="CM51" s="468">
        <f>MOPFRA!CM51</f>
        <v>9</v>
      </c>
      <c r="CN51" s="843">
        <f>MOPFRA!CN51</f>
        <v>7</v>
      </c>
      <c r="CO51" s="21">
        <f>MOPFRA!CO51</f>
        <v>477</v>
      </c>
      <c r="CP51" s="21">
        <f>MOPFRA!CP51</f>
        <v>-8</v>
      </c>
      <c r="CQ51" s="469">
        <f>MOPFRA!CQ51</f>
        <v>477</v>
      </c>
      <c r="CR51" s="1239">
        <f>MOPFRA!CR51</f>
        <v>543.35928572479406</v>
      </c>
      <c r="CS51" s="21">
        <f>MOPFRA!CS51</f>
        <v>726</v>
      </c>
      <c r="CT51" s="16">
        <f>MOPFRA!CT51</f>
        <v>0</v>
      </c>
      <c r="CU51" s="154" t="str">
        <f>MOPFRA!CU51</f>
        <v/>
      </c>
      <c r="CV51" s="693">
        <f>MOPFRA!CV51</f>
        <v>1386</v>
      </c>
      <c r="CW51" s="49">
        <f>MOPFRA!CW51</f>
        <v>3738</v>
      </c>
      <c r="CX51" s="21">
        <f>MOPFRA!CX51</f>
        <v>958</v>
      </c>
      <c r="CY51" s="49">
        <f>MOPFRA!CY51</f>
        <v>557</v>
      </c>
      <c r="CZ51" s="378">
        <f>MOPFRA!CZ51</f>
        <v>4295</v>
      </c>
      <c r="DA51" s="1058">
        <f>MOPFRA!DA51</f>
        <v>1.1736222578919209</v>
      </c>
      <c r="DB51" s="99">
        <f>MOPFRA!DB51</f>
        <v>-0.21102193686463266</v>
      </c>
      <c r="DC51" s="53">
        <f>MOPFRA!DC51</f>
        <v>5681</v>
      </c>
      <c r="DD51" s="645">
        <f>MOPFRA!DD51</f>
        <v>0.75602886815701464</v>
      </c>
      <c r="DE51" s="13">
        <f>MOPFRA!DE51</f>
        <v>1294</v>
      </c>
      <c r="DF51" s="24">
        <f>MOPFRA!DF51</f>
        <v>587</v>
      </c>
      <c r="DG51" s="24">
        <f>MOPFRA!DG51</f>
        <v>119</v>
      </c>
      <c r="DH51" s="51">
        <f>MOPFRA!DH51</f>
        <v>4387</v>
      </c>
      <c r="DI51" s="8">
        <f>MOPFRA!DI51</f>
        <v>649</v>
      </c>
      <c r="DJ51" s="644">
        <f>MOPFRA!DJ51</f>
        <v>13.610980904580588</v>
      </c>
      <c r="DK51" s="22">
        <f>MOPFRA!DK51</f>
        <v>2201</v>
      </c>
      <c r="DL51" s="22">
        <f>MOPFRA!DL51</f>
        <v>210</v>
      </c>
      <c r="DM51" s="22">
        <f>MOPFRA!DM51</f>
        <v>1046</v>
      </c>
      <c r="DN51" s="138">
        <f>MOPFRA!DN51</f>
        <v>0.75602886815701464</v>
      </c>
      <c r="DO51" s="99">
        <f>MOPFRA!DO51</f>
        <v>0</v>
      </c>
      <c r="DP51" s="22">
        <f>MOPFRA!DP51</f>
        <v>354</v>
      </c>
      <c r="DQ51" s="8">
        <f>MOPFRA!DQ51</f>
        <v>576</v>
      </c>
      <c r="DR51" s="32">
        <f>MOPFRA!DR51</f>
        <v>-0.43003687058838025</v>
      </c>
      <c r="DS51" s="99">
        <f>MOPFRA!DS51</f>
        <v>-2</v>
      </c>
      <c r="DT51" s="8">
        <f>MOPFRA!DT51</f>
        <v>5557.28</v>
      </c>
      <c r="DU51" s="8">
        <f>MOPFRA!DU51</f>
        <v>5914.8</v>
      </c>
      <c r="DV51" s="235">
        <f>MOPFRA!DV51</f>
        <v>415</v>
      </c>
      <c r="DW51" s="8">
        <f>MOPFRA!DW51</f>
        <v>5943.54</v>
      </c>
      <c r="DX51" s="411">
        <f>MOPFRA!DX51</f>
        <v>120</v>
      </c>
      <c r="DY51" s="1532">
        <f>MOPFRA!DY51</f>
        <v>750</v>
      </c>
      <c r="DZ51" s="857">
        <f>MOPFRA!DZ51</f>
        <v>0.25844245348035838</v>
      </c>
      <c r="EA51" s="386">
        <f>MOPFRA!EA51</f>
        <v>0.5</v>
      </c>
      <c r="EB51" s="504">
        <f>MOPFRA!EB51</f>
        <v>0</v>
      </c>
      <c r="EC51" s="510">
        <f>MOPFRA!EC51</f>
        <v>0</v>
      </c>
      <c r="ED51" s="435">
        <f>MOPFRA!ED51</f>
        <v>0</v>
      </c>
      <c r="EE51" s="510">
        <f>MOPFRA!EE51</f>
        <v>0</v>
      </c>
      <c r="EF51" s="435">
        <f>MOPFRA!EF51</f>
        <v>0</v>
      </c>
      <c r="EG51" s="510">
        <f>MOPFRA!EG51</f>
        <v>12350</v>
      </c>
      <c r="EH51" s="435">
        <f>MOPFRA!EH51</f>
        <v>1853</v>
      </c>
      <c r="EI51" s="510">
        <f>MOPFRA!EI51</f>
        <v>4160</v>
      </c>
      <c r="EJ51" s="435">
        <f>MOPFRA!EJ51</f>
        <v>1664</v>
      </c>
      <c r="EK51" s="510">
        <f>MOPFRA!EK51</f>
        <v>2152</v>
      </c>
      <c r="EL51" s="1606">
        <f>MOPFRA!EL51</f>
        <v>1291</v>
      </c>
      <c r="EM51" s="1684">
        <f>MOPFRA!EM51</f>
        <v>2152</v>
      </c>
      <c r="EN51" s="1608">
        <f>MOPFRA!EN51</f>
        <v>1291</v>
      </c>
      <c r="EO51" s="1609" t="str">
        <f>MOPFRA!EO51</f>
        <v/>
      </c>
      <c r="EP51" s="1648" t="str">
        <f>MOPFRA!EP51</f>
        <v>NEW</v>
      </c>
      <c r="EQ51"/>
    </row>
    <row r="52" spans="1:155" ht="35" customHeight="1">
      <c r="A52" s="100">
        <f>MOPFRA!A52</f>
        <v>-37.21765493050718</v>
      </c>
      <c r="B52" s="99">
        <f>MOPFRA!B52</f>
        <v>-32.817654930507182</v>
      </c>
      <c r="C52" s="1585">
        <f ca="1">MOPFRA!C52</f>
        <v>2.4177504525161231</v>
      </c>
      <c r="D52" s="1651">
        <f>MOPFRA!D52</f>
        <v>-3.133633369709349</v>
      </c>
      <c r="E52" s="1414">
        <f>MOPFRA!E52</f>
        <v>2.0000000000000018</v>
      </c>
      <c r="F52" s="1415">
        <f>MOPFRA!F52</f>
        <v>-4.3999999999999995</v>
      </c>
      <c r="G52" s="2124">
        <f>MOPFRA!G52</f>
        <v>6.1209217497857686</v>
      </c>
      <c r="H52" s="2379">
        <f>MOPFRA!H52</f>
        <v>0.28640935672514622</v>
      </c>
      <c r="I52" s="2379">
        <f>MOPFRA!I52</f>
        <v>-0.48640825153884543</v>
      </c>
      <c r="J52" s="2379">
        <f>MOPFRA!J52</f>
        <v>-6.9855513934055077E-2</v>
      </c>
      <c r="K52" s="1942">
        <f>MOPFRA!K52</f>
        <v>45</v>
      </c>
      <c r="L52" s="2199">
        <f>MOPFRA!L52</f>
        <v>47</v>
      </c>
      <c r="M52" s="1582" t="str">
        <f>MOPFRA!M52</f>
        <v>S</v>
      </c>
      <c r="N52" s="1582" t="str">
        <f>MOPFRA!N52</f>
        <v>SS</v>
      </c>
      <c r="O52" s="179" t="str">
        <f>MOPFRA!O52</f>
        <v/>
      </c>
      <c r="P52" s="856" t="str">
        <f>MOPFRA!P52</f>
        <v>PEP</v>
      </c>
      <c r="Q52" s="1571" t="str">
        <f>MOPFRA!Q52</f>
        <v>پتروشيمي مارون</v>
      </c>
      <c r="R52" s="1571" t="str">
        <f>MOPFRA!R52</f>
        <v>مارون</v>
      </c>
      <c r="S52" s="1572">
        <f>MOPFRA!S52</f>
        <v>12</v>
      </c>
      <c r="T52" s="66">
        <f>MOPFRA!T52</f>
        <v>128409</v>
      </c>
      <c r="U52" s="258">
        <f>MOPFRA!U52</f>
        <v>55820</v>
      </c>
      <c r="V52" s="338">
        <f>MOPFRA!V52</f>
        <v>2.97</v>
      </c>
      <c r="W52" s="258">
        <f>MOPFRA!W52</f>
        <v>55830</v>
      </c>
      <c r="X52" s="337">
        <f>MOPFRA!X52</f>
        <v>2.99</v>
      </c>
      <c r="Y52" s="1708">
        <f>MOPFRA!Y52</f>
        <v>201204</v>
      </c>
      <c r="Z52" s="661" t="str">
        <f>MOPFRA!Z52</f>
        <v/>
      </c>
      <c r="AA52" s="2382">
        <f>MOPFRA!AA52</f>
        <v>2.2039159503342884E-2</v>
      </c>
      <c r="AB52" s="511">
        <f ca="1">MOPFRA!AB52</f>
        <v>0.86301369863013699</v>
      </c>
      <c r="AC52" s="823">
        <f ca="1">MOPFRA!AC52</f>
        <v>24.027843975051262</v>
      </c>
      <c r="AD52" s="1150" t="str">
        <f>MOPFRA!AD52</f>
        <v/>
      </c>
      <c r="AE52" s="1150">
        <f>MOPFRA!AE52</f>
        <v>2.2039159503342884E-2</v>
      </c>
      <c r="AF52" s="1150">
        <f>MOPFRA!AF52</f>
        <v>0.17161496350364963</v>
      </c>
      <c r="AG52" s="1150">
        <f>MOPFRA!AG52</f>
        <v>-0.12120859567478784</v>
      </c>
      <c r="AH52" s="1150">
        <f>MOPFRA!AH52</f>
        <v>-7.4863112391930831E-2</v>
      </c>
      <c r="AI52" s="275">
        <f ca="1">MOPFRA!AI52</f>
        <v>15</v>
      </c>
      <c r="AJ52" s="1120">
        <f>MOPFRA!AJ52</f>
        <v>46254</v>
      </c>
      <c r="AK52" s="1693">
        <f>MOPFRA!AK52</f>
        <v>46295</v>
      </c>
      <c r="AL52" s="1345">
        <f>MOPFRA!AL52</f>
        <v>23000000000</v>
      </c>
      <c r="AM52" s="29">
        <f>MOPFRA!AM52</f>
        <v>0</v>
      </c>
      <c r="AN52" s="29">
        <f>MOPFRA!AN52</f>
        <v>0</v>
      </c>
      <c r="AO52" s="685">
        <f>MOPFRA!AO52</f>
        <v>0.15</v>
      </c>
      <c r="AP52" s="174">
        <f>MOPFRA!AP52</f>
        <v>0</v>
      </c>
      <c r="AQ52" s="1416">
        <f>MOPFRA!AQ52</f>
        <v>88332</v>
      </c>
      <c r="AR52" s="1416">
        <f>MOPFRA!AR52</f>
        <v>22584</v>
      </c>
      <c r="AS52" s="766">
        <f>MOPFRA!AS52</f>
        <v>101051.80564912281</v>
      </c>
      <c r="AT52" s="984">
        <f>MOPFRA!AT52</f>
        <v>4</v>
      </c>
      <c r="AU52" s="376">
        <f>MOPFRA!AU52</f>
        <v>1.3732500781019403</v>
      </c>
      <c r="AV52" s="99">
        <f>MOPFRA!AV52</f>
        <v>0.24110543699678466</v>
      </c>
      <c r="AW52" s="2380">
        <f>MOPFRA!AW52</f>
        <v>17638</v>
      </c>
      <c r="AX52" s="2380">
        <f>MOPFRA!AX52</f>
        <v>3554</v>
      </c>
      <c r="AY52" s="2374">
        <f>MOPFRA!AY52</f>
        <v>0.20100000000000001</v>
      </c>
      <c r="AZ52" s="2370">
        <f>MOPFRA!AZ52</f>
        <v>0.18099999999999999</v>
      </c>
      <c r="BA52" s="2372">
        <f>MOPFRA!BA52</f>
        <v>0.25600000000000001</v>
      </c>
      <c r="BB52" s="2373">
        <f>MOPFRA!BB52</f>
        <v>0.19700000000000001</v>
      </c>
      <c r="BC52" s="2375">
        <f>MOPFRA!BC52</f>
        <v>-4.3999999999999995</v>
      </c>
      <c r="BD52" s="2376">
        <f>MOPFRA!BD52</f>
        <v>7.9000000000000001E-2</v>
      </c>
      <c r="BE52" s="2370">
        <f>MOPFRA!BE52</f>
        <v>0.123</v>
      </c>
      <c r="BF52" s="2371">
        <f>MOPFRA!BF52</f>
        <v>0.161</v>
      </c>
      <c r="BG52" s="1422">
        <f>MOPFRA!BG52</f>
        <v>0.13300000000000001</v>
      </c>
      <c r="BH52" s="306">
        <f>MOPFRA!BH52</f>
        <v>0.12200000000000001</v>
      </c>
      <c r="BI52" s="1861">
        <f>MOPFRA!BI52</f>
        <v>8607.344000000001</v>
      </c>
      <c r="BJ52" s="306">
        <f>MOPFRA!BJ52</f>
        <v>5.7999999999999996E-2</v>
      </c>
      <c r="BK52" s="99">
        <f>MOPFRA!BK52</f>
        <v>0</v>
      </c>
      <c r="BL52" s="306">
        <f>MOPFRA!BL52</f>
        <v>0.14399997338589418</v>
      </c>
      <c r="BM52" s="99">
        <f>MOPFRA!BM52</f>
        <v>3.6588244164765391</v>
      </c>
      <c r="BN52" s="15">
        <f>MOPFRA!BN52</f>
        <v>0</v>
      </c>
      <c r="BO52" s="1803">
        <f>MOPFRA!BO52</f>
        <v>3</v>
      </c>
      <c r="BP52" s="842">
        <f>MOPFRA!BP52</f>
        <v>1</v>
      </c>
      <c r="BQ52" s="16">
        <f>MOPFRA!BQ52</f>
        <v>832</v>
      </c>
      <c r="BR52" s="16">
        <f>MOPFRA!BR52</f>
        <v>0</v>
      </c>
      <c r="BS52" s="16">
        <f>MOPFRA!BS52</f>
        <v>0</v>
      </c>
      <c r="BT52" s="1253">
        <f>MOPFRA!BT52</f>
        <v>6708.7359331655225</v>
      </c>
      <c r="BU52" s="1246">
        <f>MOPFRA!BU52</f>
        <v>5651.739130434783</v>
      </c>
      <c r="BV52" s="406">
        <f>MOPFRA!BV52</f>
        <v>0</v>
      </c>
      <c r="BW52" s="407">
        <f>MOPFRA!BW52</f>
        <v>9.0336333697093494</v>
      </c>
      <c r="BX52" s="99">
        <f>MOPFRA!BX52</f>
        <v>-10</v>
      </c>
      <c r="BY52" s="18">
        <f>MOPFRA!BY52</f>
        <v>14214.54632314035</v>
      </c>
      <c r="BZ52" s="18">
        <f>MOPFRA!BZ52</f>
        <v>21764.237288135591</v>
      </c>
      <c r="CA52" s="18">
        <f>MOPFRA!CA52</f>
        <v>20311.412935473683</v>
      </c>
      <c r="CB52" s="1710">
        <f>MOPFRA!CB52</f>
        <v>9.9059578296790569</v>
      </c>
      <c r="CC52" s="266">
        <f>MOPFRA!CC52</f>
        <v>9454</v>
      </c>
      <c r="CD52" s="267">
        <f>MOPFRA!CD52</f>
        <v>5.9</v>
      </c>
      <c r="CE52" s="99">
        <f>MOPFRA!CE52</f>
        <v>-2.7000000000000011</v>
      </c>
      <c r="CF52" s="17">
        <f>MOPFRA!CF52</f>
        <v>6.3114219729933616</v>
      </c>
      <c r="CG52" s="99">
        <f>MOPFRA!CG52</f>
        <v>-10</v>
      </c>
      <c r="CH52" s="494">
        <f>MOPFRA!CH52</f>
        <v>0.15128939421793552</v>
      </c>
      <c r="CI52" s="99">
        <f>MOPFRA!CI52</f>
        <v>-3.7306590867309675</v>
      </c>
      <c r="CJ52" s="20">
        <f>MOPFRA!CJ52</f>
        <v>0</v>
      </c>
      <c r="CK52" s="691">
        <f>MOPFRA!CK52</f>
        <v>2300</v>
      </c>
      <c r="CL52" s="419">
        <f>MOPFRA!CL52</f>
        <v>30237</v>
      </c>
      <c r="CM52" s="468">
        <f>MOPFRA!CM52</f>
        <v>7447</v>
      </c>
      <c r="CN52" s="843">
        <f>MOPFRA!CN52</f>
        <v>527</v>
      </c>
      <c r="CO52" s="21">
        <f>MOPFRA!CO52</f>
        <v>1915</v>
      </c>
      <c r="CP52" s="21">
        <f>MOPFRA!CP52</f>
        <v>-1756</v>
      </c>
      <c r="CQ52" s="469">
        <f>MOPFRA!CQ52</f>
        <v>3249.75</v>
      </c>
      <c r="CR52" s="1239">
        <f>MOPFRA!CR52</f>
        <v>905.03088209356702</v>
      </c>
      <c r="CS52" s="21">
        <f>MOPFRA!CS52</f>
        <v>32152</v>
      </c>
      <c r="CT52" s="16">
        <f>MOPFRA!CT52</f>
        <v>-56</v>
      </c>
      <c r="CU52" s="154" t="str">
        <f>MOPFRA!CU52</f>
        <v/>
      </c>
      <c r="CV52" s="693">
        <f>MOPFRA!CV52</f>
        <v>34626</v>
      </c>
      <c r="CW52" s="49">
        <f>MOPFRA!CW52</f>
        <v>86979</v>
      </c>
      <c r="CX52" s="21">
        <f>MOPFRA!CX52</f>
        <v>38863</v>
      </c>
      <c r="CY52" s="49">
        <f>MOPFRA!CY52</f>
        <v>2735</v>
      </c>
      <c r="CZ52" s="378">
        <f>MOPFRA!CZ52</f>
        <v>89714</v>
      </c>
      <c r="DA52" s="1058">
        <f>MOPFRA!DA52</f>
        <v>0.68211867232320444</v>
      </c>
      <c r="DB52" s="99">
        <f>MOPFRA!DB52</f>
        <v>-4.1430506214143641</v>
      </c>
      <c r="DC52" s="53">
        <f>MOPFRA!DC52</f>
        <v>124340</v>
      </c>
      <c r="DD52" s="645">
        <f>MOPFRA!DD52</f>
        <v>0.72152163422872773</v>
      </c>
      <c r="DE52" s="13">
        <f>MOPFRA!DE52</f>
        <v>65010</v>
      </c>
      <c r="DF52" s="24">
        <f>MOPFRA!DF52</f>
        <v>22824</v>
      </c>
      <c r="DG52" s="24">
        <f>MOPFRA!DG52</f>
        <v>21845</v>
      </c>
      <c r="DH52" s="51">
        <f>MOPFRA!DH52</f>
        <v>59330</v>
      </c>
      <c r="DI52" s="8">
        <f>MOPFRA!DI52</f>
        <v>-27649</v>
      </c>
      <c r="DJ52" s="644">
        <f>MOPFRA!DJ52</f>
        <v>-3.6548086964853268</v>
      </c>
      <c r="DK52" s="22">
        <f>MOPFRA!DK52</f>
        <v>13102</v>
      </c>
      <c r="DL52" s="22">
        <f>MOPFRA!DL52</f>
        <v>9240</v>
      </c>
      <c r="DM52" s="22">
        <f>MOPFRA!DM52</f>
        <v>24058</v>
      </c>
      <c r="DN52" s="138">
        <f>MOPFRA!DN52</f>
        <v>0.72152163422872773</v>
      </c>
      <c r="DO52" s="99">
        <f>MOPFRA!DO52</f>
        <v>0.85612492416482611</v>
      </c>
      <c r="DP52" s="22">
        <f>MOPFRA!DP52</f>
        <v>7679</v>
      </c>
      <c r="DQ52" s="8">
        <f>MOPFRA!DQ52</f>
        <v>5251</v>
      </c>
      <c r="DR52" s="32">
        <f>MOPFRA!DR52</f>
        <v>-1.5352944720816271</v>
      </c>
      <c r="DS52" s="99">
        <f>MOPFRA!DS52</f>
        <v>-7</v>
      </c>
      <c r="DT52" s="8">
        <f>MOPFRA!DT52</f>
        <v>34412.559999999998</v>
      </c>
      <c r="DU52" s="8">
        <f>MOPFRA!DU52</f>
        <v>20346.26086956522</v>
      </c>
      <c r="DV52" s="235">
        <f>MOPFRA!DV52</f>
        <v>13146.521739130434</v>
      </c>
      <c r="DW52" s="8">
        <f>MOPFRA!DW52</f>
        <v>33952.671304347823</v>
      </c>
      <c r="DX52" s="411">
        <f>MOPFRA!DX52</f>
        <v>41</v>
      </c>
      <c r="DY52" s="1532">
        <f>MOPFRA!DY52</f>
        <v>8375</v>
      </c>
      <c r="DZ52" s="857">
        <f>MOPFRA!DZ52</f>
        <v>5.0627172434638053E-2</v>
      </c>
      <c r="EA52" s="386">
        <f>MOPFRA!EA52</f>
        <v>1.875</v>
      </c>
      <c r="EB52" s="504">
        <f>MOPFRA!EB52</f>
        <v>0</v>
      </c>
      <c r="EC52" s="510">
        <f>MOPFRA!EC52</f>
        <v>173500</v>
      </c>
      <c r="ED52" s="435">
        <f>MOPFRA!ED52</f>
        <v>138800</v>
      </c>
      <c r="EE52" s="510">
        <f>MOPFRA!EE52</f>
        <v>182650</v>
      </c>
      <c r="EF52" s="435">
        <f>MOPFRA!EF52</f>
        <v>146120</v>
      </c>
      <c r="EG52" s="510">
        <f>MOPFRA!EG52</f>
        <v>137000</v>
      </c>
      <c r="EH52" s="435">
        <f>MOPFRA!EH52</f>
        <v>109600</v>
      </c>
      <c r="EI52" s="510">
        <f>MOPFRA!EI52</f>
        <v>157050</v>
      </c>
      <c r="EJ52" s="435">
        <f>MOPFRA!EJ52</f>
        <v>125640</v>
      </c>
      <c r="EK52" s="510">
        <f>MOPFRA!EK52</f>
        <v>0</v>
      </c>
      <c r="EL52" s="1606">
        <f>MOPFRA!EL52</f>
        <v>0</v>
      </c>
      <c r="EM52" s="1684">
        <f>MOPFRA!EM52</f>
        <v>157050</v>
      </c>
      <c r="EN52" s="1608">
        <f>MOPFRA!EN52</f>
        <v>125640</v>
      </c>
      <c r="EO52" s="1609">
        <f>MOPFRA!EO52</f>
        <v>-9.4812680115273773E-2</v>
      </c>
      <c r="EP52" s="1648">
        <f>MOPFRA!EP52</f>
        <v>37</v>
      </c>
      <c r="EQ52"/>
    </row>
    <row r="53" spans="1:155" ht="35" customHeight="1">
      <c r="A53" s="100">
        <f>MOPFRA!A53</f>
        <v>-38.669656839078094</v>
      </c>
      <c r="B53" s="99">
        <f>MOPFRA!B53</f>
        <v>-33.86965683907809</v>
      </c>
      <c r="C53" s="1585">
        <f ca="1">MOPFRA!C53</f>
        <v>0.14757847012322717</v>
      </c>
      <c r="D53" s="1651">
        <f>MOPFRA!D53</f>
        <v>-248.47769673701751</v>
      </c>
      <c r="E53" s="1414">
        <f>MOPFRA!E53</f>
        <v>-5.6000000000000005</v>
      </c>
      <c r="F53" s="1415">
        <f>MOPFRA!F53</f>
        <v>-4.8</v>
      </c>
      <c r="G53" s="2124">
        <f>MOPFRA!G53</f>
        <v>-6.9237457377321716</v>
      </c>
      <c r="H53" s="2379">
        <f>MOPFRA!H53</f>
        <v>-0.12762910588024703</v>
      </c>
      <c r="I53" s="2379">
        <f>MOPFRA!I53</f>
        <v>-0.49028131404086195</v>
      </c>
      <c r="J53" s="2379">
        <f>MOPFRA!J53</f>
        <v>-0.50940427662161192</v>
      </c>
      <c r="K53" s="1942">
        <f>MOPFRA!K53</f>
        <v>48</v>
      </c>
      <c r="L53" s="2199">
        <f>MOPFRA!L53</f>
        <v>50</v>
      </c>
      <c r="M53" s="1582" t="str">
        <f>MOPFRA!M53</f>
        <v>SS</v>
      </c>
      <c r="N53" s="1582" t="str">
        <f>MOPFRA!N53</f>
        <v>SS</v>
      </c>
      <c r="O53" s="179" t="str">
        <f>MOPFRA!O53</f>
        <v/>
      </c>
      <c r="P53" s="856" t="str">
        <f>MOPFRA!P53</f>
        <v>PET</v>
      </c>
      <c r="Q53" s="1571" t="str">
        <f>MOPFRA!Q53</f>
        <v>پتروشيمي تندگويان</v>
      </c>
      <c r="R53" s="1571" t="str">
        <f>MOPFRA!R53</f>
        <v>شگويا</v>
      </c>
      <c r="S53" s="1572">
        <f>MOPFRA!S53</f>
        <v>12</v>
      </c>
      <c r="T53" s="66">
        <f>MOPFRA!T53</f>
        <v>27370</v>
      </c>
      <c r="U53" s="258">
        <f>MOPFRA!U53</f>
        <v>8020</v>
      </c>
      <c r="V53" s="338">
        <f>MOPFRA!V53</f>
        <v>2.56</v>
      </c>
      <c r="W53" s="258">
        <f>MOPFRA!W53</f>
        <v>8050</v>
      </c>
      <c r="X53" s="337">
        <f>MOPFRA!X53</f>
        <v>2.94</v>
      </c>
      <c r="Y53" s="1708">
        <f>MOPFRA!Y53</f>
        <v>52316</v>
      </c>
      <c r="Z53" s="661" t="str">
        <f>MOPFRA!Z53</f>
        <v/>
      </c>
      <c r="AA53" s="2382">
        <f>MOPFRA!AA53</f>
        <v>-6.711203517502301E-2</v>
      </c>
      <c r="AB53" s="511">
        <f ca="1">MOPFRA!AB53</f>
        <v>9.3698630136986302E-2</v>
      </c>
      <c r="AC53" s="823">
        <f ca="1">MOPFRA!AC53</f>
        <v>42.318596134739302</v>
      </c>
      <c r="AD53" s="1150">
        <f>MOPFRA!AD53</f>
        <v>-6.711203517502301E-2</v>
      </c>
      <c r="AE53" s="1150">
        <f>MOPFRA!AE53</f>
        <v>0.50120666959192628</v>
      </c>
      <c r="AF53" s="1150">
        <f>MOPFRA!AF53</f>
        <v>-0.10114942528735632</v>
      </c>
      <c r="AG53" s="1150">
        <f>MOPFRA!AG53</f>
        <v>-0.29129984464008285</v>
      </c>
      <c r="AH53" s="1150">
        <f>MOPFRA!AH53</f>
        <v>-5.7034911178116031E-3</v>
      </c>
      <c r="AI53" s="275">
        <f ca="1">MOPFRA!AI53</f>
        <v>327</v>
      </c>
      <c r="AJ53" s="1120">
        <f>MOPFRA!AJ53</f>
        <v>46201</v>
      </c>
      <c r="AK53" s="1693">
        <f>MOPFRA!AK53</f>
        <v>46270</v>
      </c>
      <c r="AL53" s="1345">
        <f>MOPFRA!AL53</f>
        <v>34000000000</v>
      </c>
      <c r="AM53" s="29">
        <f>MOPFRA!AM53</f>
        <v>0</v>
      </c>
      <c r="AN53" s="29">
        <f>MOPFRA!AN53</f>
        <v>0</v>
      </c>
      <c r="AO53" s="685">
        <f>MOPFRA!AO53</f>
        <v>0.16250000000000001</v>
      </c>
      <c r="AP53" s="174">
        <f>MOPFRA!AP53</f>
        <v>0</v>
      </c>
      <c r="AQ53" s="1416">
        <f>MOPFRA!AQ53</f>
        <v>48139</v>
      </c>
      <c r="AR53" s="1416">
        <f>MOPFRA!AR53</f>
        <v>4756</v>
      </c>
      <c r="AS53" s="766">
        <f>MOPFRA!AS53</f>
        <v>39986.031236015391</v>
      </c>
      <c r="AT53" s="984">
        <f>MOPFRA!AT53</f>
        <v>4</v>
      </c>
      <c r="AU53" s="376">
        <f>MOPFRA!AU53</f>
        <v>0.68448903664507366</v>
      </c>
      <c r="AV53" s="99">
        <f>MOPFRA!AV53</f>
        <v>0</v>
      </c>
      <c r="AW53" s="2380">
        <f>MOPFRA!AW53</f>
        <v>8208</v>
      </c>
      <c r="AX53" s="2380">
        <f>MOPFRA!AX53</f>
        <v>10</v>
      </c>
      <c r="AY53" s="2374">
        <f>MOPFRA!AY53</f>
        <v>1E-3</v>
      </c>
      <c r="AZ53" s="2370">
        <f>MOPFRA!AZ53</f>
        <v>5.7000000000000002E-2</v>
      </c>
      <c r="BA53" s="2372">
        <f>MOPFRA!BA53</f>
        <v>9.9000000000000005E-2</v>
      </c>
      <c r="BB53" s="2373">
        <f>MOPFRA!BB53</f>
        <v>6.6000000000000003E-2</v>
      </c>
      <c r="BC53" s="2375">
        <f>MOPFRA!BC53</f>
        <v>-4.8</v>
      </c>
      <c r="BD53" s="2376">
        <f>MOPFRA!BD53</f>
        <v>-1E-3</v>
      </c>
      <c r="BE53" s="2370">
        <f>MOPFRA!BE53</f>
        <v>4.7E-2</v>
      </c>
      <c r="BF53" s="2371">
        <f>MOPFRA!BF53</f>
        <v>8.3000000000000004E-2</v>
      </c>
      <c r="BG53" s="1422">
        <f>MOPFRA!BG53</f>
        <v>4.7E-2</v>
      </c>
      <c r="BH53" s="306">
        <f>MOPFRA!BH53</f>
        <v>2E-3</v>
      </c>
      <c r="BI53" s="1861">
        <f>MOPFRA!BI53</f>
        <v>65.664000000000001</v>
      </c>
      <c r="BJ53" s="306">
        <f>MOPFRA!BJ53</f>
        <v>1.0000000000000002E-2</v>
      </c>
      <c r="BK53" s="99">
        <f>MOPFRA!BK53</f>
        <v>0</v>
      </c>
      <c r="BL53" s="306">
        <f>MOPFRA!BL53</f>
        <v>-0.16936306869657883</v>
      </c>
      <c r="BM53" s="99">
        <f>MOPFRA!BM53</f>
        <v>-3.0675310056466745</v>
      </c>
      <c r="BN53" s="15">
        <f>MOPFRA!BN53</f>
        <v>0</v>
      </c>
      <c r="BO53" s="1803">
        <f>MOPFRA!BO53</f>
        <v>3</v>
      </c>
      <c r="BP53" s="842">
        <f>MOPFRA!BP53</f>
        <v>1</v>
      </c>
      <c r="BQ53" s="16">
        <f>MOPFRA!BQ53</f>
        <v>10</v>
      </c>
      <c r="BR53" s="16">
        <f>MOPFRA!BR53</f>
        <v>0</v>
      </c>
      <c r="BS53" s="16">
        <f>MOPFRA!BS53</f>
        <v>0</v>
      </c>
      <c r="BT53" s="1253">
        <f>MOPFRA!BT53</f>
        <v>24.121755518819004</v>
      </c>
      <c r="BU53" s="1246">
        <f>MOPFRA!BU53</f>
        <v>38.82352941176471</v>
      </c>
      <c r="BV53" s="406">
        <f>MOPFRA!BV53</f>
        <v>0</v>
      </c>
      <c r="BW53" s="407">
        <f>MOPFRA!BW53</f>
        <v>255.77769673701752</v>
      </c>
      <c r="BX53" s="99">
        <f>MOPFRA!BX53</f>
        <v>-10</v>
      </c>
      <c r="BY53" s="18">
        <f>MOPFRA!BY53</f>
        <v>107.00698438199231</v>
      </c>
      <c r="BZ53" s="18">
        <f>MOPFRA!BZ53</f>
        <v>3749.3150684931506</v>
      </c>
      <c r="CA53" s="18">
        <f>MOPFRA!CA53</f>
        <v>39.986031236015393</v>
      </c>
      <c r="CB53" s="1710">
        <f>MOPFRA!CB53</f>
        <v>1308.3569032197177</v>
      </c>
      <c r="CC53" s="266">
        <f>MOPFRA!CC53</f>
        <v>1099</v>
      </c>
      <c r="CD53" s="267">
        <f>MOPFRA!CD53</f>
        <v>7.3</v>
      </c>
      <c r="CE53" s="99">
        <f>MOPFRA!CE53</f>
        <v>-6.8999999999999995</v>
      </c>
      <c r="CF53" s="17">
        <f>MOPFRA!CF53</f>
        <v>297.95251388623785</v>
      </c>
      <c r="CG53" s="99">
        <f>MOPFRA!CG53</f>
        <v>-10</v>
      </c>
      <c r="CH53" s="494">
        <f>MOPFRA!CH53</f>
        <v>3.3228886868301808E-3</v>
      </c>
      <c r="CI53" s="99">
        <f>MOPFRA!CI53</f>
        <v>-5.9501566696975479</v>
      </c>
      <c r="CJ53" s="19">
        <f>MOPFRA!CJ53</f>
        <v>0</v>
      </c>
      <c r="CK53" s="691">
        <f>MOPFRA!CK53</f>
        <v>3400</v>
      </c>
      <c r="CL53" s="419">
        <f>MOPFRA!CL53</f>
        <v>1393</v>
      </c>
      <c r="CM53" s="468">
        <f>MOPFRA!CM53</f>
        <v>122</v>
      </c>
      <c r="CN53" s="843">
        <f>MOPFRA!CN53</f>
        <v>45</v>
      </c>
      <c r="CO53" s="21">
        <f>MOPFRA!CO53</f>
        <v>33</v>
      </c>
      <c r="CP53" s="21">
        <f>MOPFRA!CP53</f>
        <v>0</v>
      </c>
      <c r="CQ53" s="469">
        <f>MOPFRA!CQ53</f>
        <v>33</v>
      </c>
      <c r="CR53" s="1239">
        <f>MOPFRA!CR53</f>
        <v>-13.328677078671797</v>
      </c>
      <c r="CS53" s="21">
        <f>MOPFRA!CS53</f>
        <v>1426</v>
      </c>
      <c r="CT53" s="16">
        <f>MOPFRA!CT53</f>
        <v>-393</v>
      </c>
      <c r="CU53" s="154" t="str">
        <f>MOPFRA!CU53</f>
        <v/>
      </c>
      <c r="CV53" s="693">
        <f>MOPFRA!CV53</f>
        <v>7410</v>
      </c>
      <c r="CW53" s="49">
        <f>MOPFRA!CW53</f>
        <v>29835</v>
      </c>
      <c r="CX53" s="21">
        <f>MOPFRA!CX53</f>
        <v>0</v>
      </c>
      <c r="CY53" s="49">
        <f>MOPFRA!CY53</f>
        <v>2048</v>
      </c>
      <c r="CZ53" s="378">
        <f>MOPFRA!CZ53</f>
        <v>31883</v>
      </c>
      <c r="DA53" s="1058">
        <f>MOPFRA!DA53</f>
        <v>0.83100385453326631</v>
      </c>
      <c r="DB53" s="99">
        <f>MOPFRA!DB53</f>
        <v>-2.9519691637338692</v>
      </c>
      <c r="DC53" s="53">
        <f>MOPFRA!DC53</f>
        <v>39293</v>
      </c>
      <c r="DD53" s="645">
        <f>MOPFRA!DD53</f>
        <v>0.81141679179497617</v>
      </c>
      <c r="DE53" s="13">
        <f>MOPFRA!DE53</f>
        <v>14500</v>
      </c>
      <c r="DF53" s="24">
        <f>MOPFRA!DF53</f>
        <v>5627</v>
      </c>
      <c r="DG53" s="24">
        <f>MOPFRA!DG53</f>
        <v>8015</v>
      </c>
      <c r="DH53" s="51">
        <f>MOPFRA!DH53</f>
        <v>24793</v>
      </c>
      <c r="DI53" s="8">
        <f>MOPFRA!DI53</f>
        <v>11</v>
      </c>
      <c r="DJ53" s="644">
        <f>MOPFRA!DJ53</f>
        <v>3635.0937487286719</v>
      </c>
      <c r="DK53" s="22">
        <f>MOPFRA!DK53</f>
        <v>6760</v>
      </c>
      <c r="DL53" s="22">
        <f>MOPFRA!DL53</f>
        <v>6481</v>
      </c>
      <c r="DM53" s="22">
        <f>MOPFRA!DM53</f>
        <v>8904</v>
      </c>
      <c r="DN53" s="138">
        <f>MOPFRA!DN53</f>
        <v>0.81141679179497617</v>
      </c>
      <c r="DO53" s="99">
        <f>MOPFRA!DO53</f>
        <v>0</v>
      </c>
      <c r="DP53" s="22">
        <f>MOPFRA!DP53</f>
        <v>456</v>
      </c>
      <c r="DQ53" s="8">
        <f>MOPFRA!DQ53</f>
        <v>2192</v>
      </c>
      <c r="DR53" s="32">
        <f>MOPFRA!DR53</f>
        <v>11.403982488496661</v>
      </c>
      <c r="DS53" s="99">
        <f>MOPFRA!DS53</f>
        <v>5</v>
      </c>
      <c r="DT53" s="8">
        <f>MOPFRA!DT53</f>
        <v>4000.36</v>
      </c>
      <c r="DU53" s="8">
        <f>MOPFRA!DU53</f>
        <v>139.76470588235296</v>
      </c>
      <c r="DV53" s="235">
        <f>MOPFRA!DV53</f>
        <v>409.70588235294116</v>
      </c>
      <c r="DW53" s="8">
        <f>MOPFRA!DW53</f>
        <v>2274.9152941176471</v>
      </c>
      <c r="DX53" s="411">
        <f>MOPFRA!DX53</f>
        <v>69</v>
      </c>
      <c r="DY53" s="1532">
        <f>MOPFRA!DY53</f>
        <v>1561</v>
      </c>
      <c r="DZ53" s="857">
        <f>MOPFRA!DZ53</f>
        <v>0.15318940137389597</v>
      </c>
      <c r="EA53" s="386">
        <f>MOPFRA!EA53</f>
        <v>0.41899999999999998</v>
      </c>
      <c r="EB53" s="504">
        <f>MOPFRA!EB53</f>
        <v>0</v>
      </c>
      <c r="EC53" s="510">
        <f>MOPFRA!EC53</f>
        <v>11490</v>
      </c>
      <c r="ED53" s="435">
        <f>MOPFRA!ED53</f>
        <v>27527</v>
      </c>
      <c r="EE53" s="510">
        <f>MOPFRA!EE53</f>
        <v>16120</v>
      </c>
      <c r="EF53" s="435">
        <f>MOPFRA!EF53</f>
        <v>38620</v>
      </c>
      <c r="EG53" s="510">
        <f>MOPFRA!EG53</f>
        <v>12710</v>
      </c>
      <c r="EH53" s="435">
        <f>MOPFRA!EH53</f>
        <v>30450</v>
      </c>
      <c r="EI53" s="510">
        <f>MOPFRA!EI53</f>
        <v>7610</v>
      </c>
      <c r="EJ53" s="435">
        <f>MOPFRA!EJ53</f>
        <v>18232</v>
      </c>
      <c r="EK53" s="510">
        <f>MOPFRA!EK53</f>
        <v>8629</v>
      </c>
      <c r="EL53" s="1606">
        <f>MOPFRA!EL53</f>
        <v>29339</v>
      </c>
      <c r="EM53" s="1684">
        <f>MOPFRA!EM53</f>
        <v>8629</v>
      </c>
      <c r="EN53" s="1608">
        <f>MOPFRA!EN53</f>
        <v>29339</v>
      </c>
      <c r="EO53" s="1609">
        <f>MOPFRA!EO53</f>
        <v>6.5826279652704614E-2</v>
      </c>
      <c r="EP53" s="1648">
        <f>MOPFRA!EP53</f>
        <v>33</v>
      </c>
      <c r="EQ53"/>
    </row>
    <row r="54" spans="1:155" ht="35" customHeight="1">
      <c r="A54" s="100">
        <f>MOPFRA!A54</f>
        <v>-40.294632979004746</v>
      </c>
      <c r="B54" s="99">
        <f>MOPFRA!B54</f>
        <v>-30.294632979004746</v>
      </c>
      <c r="C54" s="1585">
        <f ca="1">MOPFRA!C54</f>
        <v>0.74061423061694365</v>
      </c>
      <c r="D54" s="1651">
        <f>MOPFRA!D54</f>
        <v>-13.454830907467484</v>
      </c>
      <c r="E54" s="1414">
        <f>MOPFRA!E54</f>
        <v>0.20000000000000018</v>
      </c>
      <c r="F54" s="1415">
        <f>MOPFRA!F54</f>
        <v>-12</v>
      </c>
      <c r="G54" s="2124">
        <f>MOPFRA!G54</f>
        <v>12.920323524350369</v>
      </c>
      <c r="H54" s="2379">
        <f>MOPFRA!H54</f>
        <v>0.36410256410256409</v>
      </c>
      <c r="I54" s="2379">
        <f>MOPFRA!I54</f>
        <v>-0.76500638569604085</v>
      </c>
      <c r="J54" s="2379">
        <f>MOPFRA!J54</f>
        <v>-0.67654986522911054</v>
      </c>
      <c r="K54" s="1942">
        <f>MOPFRA!K54</f>
        <v>43</v>
      </c>
      <c r="L54" s="1587">
        <f>MOPFRA!L54</f>
        <v>46</v>
      </c>
      <c r="M54" s="1582" t="str">
        <f>MOPFRA!M54</f>
        <v>S</v>
      </c>
      <c r="N54" s="1582" t="str">
        <f>MOPFRA!N54</f>
        <v>SS</v>
      </c>
      <c r="O54" s="179" t="str">
        <f>MOPFRA!O54</f>
        <v/>
      </c>
      <c r="P54" s="856" t="str">
        <f>MOPFRA!P54</f>
        <v>KM</v>
      </c>
      <c r="Q54" s="1571" t="str">
        <f>MOPFRA!Q54</f>
        <v>معدنكاران نسوز</v>
      </c>
      <c r="R54" s="1571" t="str">
        <f>MOPFRA!R54</f>
        <v>كانسار</v>
      </c>
      <c r="S54" s="1572">
        <f>MOPFRA!S54</f>
        <v>12</v>
      </c>
      <c r="T54" s="66">
        <f>MOPFRA!T54</f>
        <v>7873.6</v>
      </c>
      <c r="U54" s="258">
        <f>MOPFRA!U54</f>
        <v>14050</v>
      </c>
      <c r="V54" s="338">
        <f>MOPFRA!V54</f>
        <v>2.7</v>
      </c>
      <c r="W54" s="258">
        <f>MOPFRA!W54</f>
        <v>14060</v>
      </c>
      <c r="X54" s="337">
        <f>MOPFRA!X54</f>
        <v>2.78</v>
      </c>
      <c r="Y54" s="1708">
        <f>MOPFRA!Y54</f>
        <v>8103.6</v>
      </c>
      <c r="Z54" s="661" t="str">
        <f>MOPFRA!Z54</f>
        <v/>
      </c>
      <c r="AA54" s="2382">
        <f>MOPFRA!AA54</f>
        <v>0.28843069873997718</v>
      </c>
      <c r="AB54" s="511">
        <f ca="1">MOPFRA!AB54</f>
        <v>0.86794520547945209</v>
      </c>
      <c r="AC54" s="823">
        <f ca="1">MOPFRA!AC54</f>
        <v>16.46348030509872</v>
      </c>
      <c r="AD54" s="1150" t="str">
        <f>MOPFRA!AD54</f>
        <v/>
      </c>
      <c r="AE54" s="1150">
        <f>MOPFRA!AE54</f>
        <v>0.28843069873997718</v>
      </c>
      <c r="AF54" s="1150" t="str">
        <f>MOPFRA!AF54</f>
        <v/>
      </c>
      <c r="AG54" s="1150" t="str">
        <f>MOPFRA!AG54</f>
        <v/>
      </c>
      <c r="AH54" s="1150" t="str">
        <f>MOPFRA!AH54</f>
        <v/>
      </c>
      <c r="AI54" s="275">
        <f ca="1">MOPFRA!AI54</f>
        <v>13</v>
      </c>
      <c r="AJ54" s="1786">
        <f>MOPFRA!AJ54</f>
        <v>46252</v>
      </c>
      <c r="AK54" s="1693">
        <f>MOPFRA!AK54</f>
        <v>46336</v>
      </c>
      <c r="AL54" s="1345">
        <f>MOPFRA!AL54</f>
        <v>5600000000</v>
      </c>
      <c r="AM54" s="29">
        <f>MOPFRA!AM54</f>
        <v>0</v>
      </c>
      <c r="AN54" s="29">
        <f>MOPFRA!AN54</f>
        <v>0</v>
      </c>
      <c r="AO54" s="685">
        <f>MOPFRA!AO54</f>
        <v>0.05</v>
      </c>
      <c r="AP54" s="174">
        <f>MOPFRA!AP54</f>
        <v>0</v>
      </c>
      <c r="AQ54" s="1416">
        <f>MOPFRA!AQ54</f>
        <v>1266</v>
      </c>
      <c r="AR54" s="1416">
        <f>MOPFRA!AR54</f>
        <v>833</v>
      </c>
      <c r="AS54" s="766">
        <f>MOPFRA!AS54</f>
        <v>1397.226923076923</v>
      </c>
      <c r="AT54" s="586">
        <f>MOPFRA!AT54</f>
        <v>4</v>
      </c>
      <c r="AU54" s="376">
        <f>MOPFRA!AU54</f>
        <v>4.9874432598636318</v>
      </c>
      <c r="AV54" s="99">
        <f>MOPFRA!AV54</f>
        <v>-10</v>
      </c>
      <c r="AW54" s="2380">
        <f>MOPFRA!AW54</f>
        <v>184</v>
      </c>
      <c r="AX54" s="2380">
        <f>MOPFRA!AX54</f>
        <v>77</v>
      </c>
      <c r="AY54" s="2374">
        <f>MOPFRA!AY54</f>
        <v>0.41799999999999998</v>
      </c>
      <c r="AZ54" s="2370">
        <f>MOPFRA!AZ54</f>
        <v>0.41599999999999998</v>
      </c>
      <c r="BA54" s="2372">
        <f>MOPFRA!BA54</f>
        <v>0.65800000000000003</v>
      </c>
      <c r="BB54" s="2373">
        <f>MOPFRA!BB54</f>
        <v>0.496</v>
      </c>
      <c r="BC54" s="2375">
        <f>MOPFRA!BC54</f>
        <v>-10</v>
      </c>
      <c r="BD54" s="2376">
        <f>MOPFRA!BD54</f>
        <v>0.315</v>
      </c>
      <c r="BE54" s="2370">
        <f>MOPFRA!BE54</f>
        <v>0.315</v>
      </c>
      <c r="BF54" s="2371">
        <f>MOPFRA!BF54</f>
        <v>0.628</v>
      </c>
      <c r="BG54" s="1422">
        <f>MOPFRA!BG54</f>
        <v>0.435</v>
      </c>
      <c r="BH54" s="306">
        <f>MOPFRA!BH54</f>
        <v>0.10299999999999998</v>
      </c>
      <c r="BI54" s="1861">
        <f>MOPFRA!BI54</f>
        <v>75.807999999999993</v>
      </c>
      <c r="BJ54" s="306">
        <f>MOPFRA!BJ54</f>
        <v>0.10099999999999998</v>
      </c>
      <c r="BK54" s="99">
        <f>MOPFRA!BK54</f>
        <v>0</v>
      </c>
      <c r="BL54" s="306">
        <f>MOPFRA!BL54</f>
        <v>0.10365475756471007</v>
      </c>
      <c r="BM54" s="99">
        <f>MOPFRA!BM54</f>
        <v>-5.543278235258013</v>
      </c>
      <c r="BN54" s="15">
        <f>MOPFRA!BN54</f>
        <v>0</v>
      </c>
      <c r="BO54" s="1803">
        <f>MOPFRA!BO54</f>
        <v>3</v>
      </c>
      <c r="BP54" s="842">
        <f>MOPFRA!BP54</f>
        <v>1</v>
      </c>
      <c r="BQ54" s="16">
        <f>MOPFRA!BQ54</f>
        <v>111</v>
      </c>
      <c r="BR54" s="16">
        <f>MOPFRA!BR54</f>
        <v>0</v>
      </c>
      <c r="BS54" s="16">
        <f>MOPFRA!BS54</f>
        <v>0</v>
      </c>
      <c r="BT54" s="1253">
        <f>MOPFRA!BT54</f>
        <v>791.29728708791208</v>
      </c>
      <c r="BU54" s="1246">
        <f>MOPFRA!BU54</f>
        <v>442.85714285714283</v>
      </c>
      <c r="BV54" s="406">
        <f>MOPFRA!BV54</f>
        <v>0</v>
      </c>
      <c r="BW54" s="407">
        <f>MOPFRA!BW54</f>
        <v>22.784830907467484</v>
      </c>
      <c r="BX54" s="99">
        <f>MOPFRA!BX54</f>
        <v>-10</v>
      </c>
      <c r="BY54" s="18">
        <f>MOPFRA!BY54</f>
        <v>345.56324038461537</v>
      </c>
      <c r="BZ54" s="18">
        <f>MOPFRA!BZ54</f>
        <v>843.90139335476954</v>
      </c>
      <c r="CA54" s="18">
        <f>MOPFRA!CA54</f>
        <v>584.04085384615382</v>
      </c>
      <c r="CB54" s="1710">
        <f>MOPFRA!CB54</f>
        <v>13.875056764667058</v>
      </c>
      <c r="CC54" s="266">
        <f>MOPFRA!CC54</f>
        <v>1506</v>
      </c>
      <c r="CD54" s="267">
        <f>MOPFRA!CD54</f>
        <v>9.33</v>
      </c>
      <c r="CE54" s="99">
        <f>MOPFRA!CE54</f>
        <v>-10</v>
      </c>
      <c r="CF54" s="17">
        <f>MOPFRA!CF54</f>
        <v>1.2154070540967719</v>
      </c>
      <c r="CG54" s="99">
        <f>MOPFRA!CG54</f>
        <v>3.1383717836129126</v>
      </c>
      <c r="CH54" s="494">
        <f>MOPFRA!CH54</f>
        <v>0.11733896108136345</v>
      </c>
      <c r="CI54" s="99">
        <f>MOPFRA!CI54</f>
        <v>-4.239915583779549</v>
      </c>
      <c r="CJ54" s="20">
        <f>MOPFRA!CJ54</f>
        <v>0</v>
      </c>
      <c r="CK54" s="691">
        <f>MOPFRA!CK54</f>
        <v>560</v>
      </c>
      <c r="CL54" s="419">
        <f>MOPFRA!CL54</f>
        <v>875</v>
      </c>
      <c r="CM54" s="468">
        <f>MOPFRA!CM54</f>
        <v>3</v>
      </c>
      <c r="CN54" s="843">
        <f>MOPFRA!CN54</f>
        <v>4</v>
      </c>
      <c r="CO54" s="21">
        <f>MOPFRA!CO54</f>
        <v>62</v>
      </c>
      <c r="CP54" s="21">
        <f>MOPFRA!CP54</f>
        <v>97</v>
      </c>
      <c r="CQ54" s="469">
        <f>MOPFRA!CQ54</f>
        <v>62</v>
      </c>
      <c r="CR54" s="1239">
        <f>MOPFRA!CR54</f>
        <v>243.70882692307691</v>
      </c>
      <c r="CS54" s="21">
        <f>MOPFRA!CS54</f>
        <v>937</v>
      </c>
      <c r="CT54" s="16">
        <f>MOPFRA!CT54</f>
        <v>0</v>
      </c>
      <c r="CU54" s="154" t="str">
        <f>MOPFRA!CU54</f>
        <v/>
      </c>
      <c r="CV54" s="693">
        <f>MOPFRA!CV54</f>
        <v>1596</v>
      </c>
      <c r="CW54" s="49">
        <f>MOPFRA!CW54</f>
        <v>420</v>
      </c>
      <c r="CX54" s="21">
        <f>MOPFRA!CX54</f>
        <v>148</v>
      </c>
      <c r="CY54" s="49">
        <f>MOPFRA!CY54</f>
        <v>0</v>
      </c>
      <c r="CZ54" s="378">
        <f>MOPFRA!CZ54</f>
        <v>420</v>
      </c>
      <c r="DA54" s="1058">
        <f>MOPFRA!DA54</f>
        <v>3.211904761904762</v>
      </c>
      <c r="DB54" s="99">
        <f>MOPFRA!DB54</f>
        <v>6</v>
      </c>
      <c r="DC54" s="53">
        <f>MOPFRA!DC54</f>
        <v>2016</v>
      </c>
      <c r="DD54" s="645">
        <f>MOPFRA!DD54</f>
        <v>0.20833333333333334</v>
      </c>
      <c r="DE54" s="13">
        <f>MOPFRA!DE54</f>
        <v>667</v>
      </c>
      <c r="DF54" s="24">
        <f>MOPFRA!DF54</f>
        <v>580</v>
      </c>
      <c r="DG54" s="24">
        <f>MOPFRA!DG54</f>
        <v>45</v>
      </c>
      <c r="DH54" s="51">
        <f>MOPFRA!DH54</f>
        <v>1349</v>
      </c>
      <c r="DI54" s="8">
        <f>MOPFRA!DI54</f>
        <v>929</v>
      </c>
      <c r="DJ54" s="644">
        <f>MOPFRA!DJ54</f>
        <v>1.5040117578868923</v>
      </c>
      <c r="DK54" s="22">
        <f>MOPFRA!DK54</f>
        <v>90</v>
      </c>
      <c r="DL54" s="22">
        <f>MOPFRA!DL54</f>
        <v>190</v>
      </c>
      <c r="DM54" s="22">
        <f>MOPFRA!DM54</f>
        <v>1047</v>
      </c>
      <c r="DN54" s="138">
        <f>MOPFRA!DN54</f>
        <v>0.20833333333333334</v>
      </c>
      <c r="DO54" s="99">
        <f>MOPFRA!DO54</f>
        <v>1.3501890564199091</v>
      </c>
      <c r="DP54" s="22">
        <f>MOPFRA!DP54</f>
        <v>0</v>
      </c>
      <c r="DQ54" s="8">
        <f>MOPFRA!DQ54</f>
        <v>22</v>
      </c>
      <c r="DR54" s="32">
        <f>MOPFRA!DR54</f>
        <v>-0.25340693039769047</v>
      </c>
      <c r="DS54" s="99">
        <f>MOPFRA!DS54</f>
        <v>-1</v>
      </c>
      <c r="DT54" s="8">
        <f>MOPFRA!DT54</f>
        <v>5481.84</v>
      </c>
      <c r="DU54" s="8">
        <f>MOPFRA!DU54</f>
        <v>1594.2857142857142</v>
      </c>
      <c r="DV54" s="235">
        <f>MOPFRA!DV54</f>
        <v>1562.5</v>
      </c>
      <c r="DW54" s="8">
        <f>MOPFRA!DW54</f>
        <v>4319.312857142857</v>
      </c>
      <c r="DX54" s="411">
        <f>MOPFRA!DX54</f>
        <v>84</v>
      </c>
      <c r="DY54" s="1532">
        <f>MOPFRA!DY54</f>
        <v>1500</v>
      </c>
      <c r="DZ54" s="857">
        <f>MOPFRA!DZ54</f>
        <v>3.3222591362126248E-2</v>
      </c>
      <c r="EA54" s="386">
        <f>MOPFRA!EA54</f>
        <v>3</v>
      </c>
      <c r="EB54" s="504">
        <f>MOPFRA!EB54</f>
        <v>0</v>
      </c>
      <c r="EC54" s="510">
        <f>MOPFRA!EC54</f>
        <v>0</v>
      </c>
      <c r="ED54" s="435">
        <f>MOPFRA!ED54</f>
        <v>0</v>
      </c>
      <c r="EE54" s="510">
        <f>MOPFRA!EE54</f>
        <v>0</v>
      </c>
      <c r="EF54" s="435">
        <f>MOPFRA!EF54</f>
        <v>0</v>
      </c>
      <c r="EG54" s="510">
        <f>MOPFRA!EG54</f>
        <v>0</v>
      </c>
      <c r="EH54" s="435">
        <f>MOPFRA!EH54</f>
        <v>0</v>
      </c>
      <c r="EI54" s="510">
        <f>MOPFRA!EI54</f>
        <v>43650</v>
      </c>
      <c r="EJ54" s="435">
        <f>MOPFRA!EJ54</f>
        <v>6111</v>
      </c>
      <c r="EK54" s="510">
        <f>MOPFRA!EK54</f>
        <v>0</v>
      </c>
      <c r="EL54" s="1606">
        <f>MOPFRA!EL54</f>
        <v>0</v>
      </c>
      <c r="EM54" s="1684">
        <f>MOPFRA!EM54</f>
        <v>43650</v>
      </c>
      <c r="EN54" s="1608">
        <f>MOPFRA!EN54</f>
        <v>6111</v>
      </c>
      <c r="EO54" s="1609" t="str">
        <f>MOPFRA!EO54</f>
        <v/>
      </c>
      <c r="EP54" s="1648" t="str">
        <f>MOPFRA!EP54</f>
        <v>NEW</v>
      </c>
      <c r="EQ54"/>
    </row>
    <row r="55" spans="1:155" ht="35" customHeight="1">
      <c r="A55" s="100">
        <f>MOPFRA!A56</f>
        <v>-65.423574066630209</v>
      </c>
      <c r="B55" s="99">
        <f>MOPFRA!B56</f>
        <v>-55.423574066630202</v>
      </c>
      <c r="C55" s="1585">
        <f ca="1">MOPFRA!C56</f>
        <v>7.8603888365971361E-2</v>
      </c>
      <c r="D55" s="1651">
        <f>MOPFRA!D56</f>
        <v>-18.539730044790549</v>
      </c>
      <c r="E55" s="1414">
        <f>MOPFRA!E56</f>
        <v>-37</v>
      </c>
      <c r="F55" s="1415">
        <f>MOPFRA!F56</f>
        <v>-31.599999999999994</v>
      </c>
      <c r="G55" s="2124">
        <f>MOPFRA!G56</f>
        <v>10.268798421660858</v>
      </c>
      <c r="H55" s="2379">
        <f>MOPFRA!H56</f>
        <v>-0.34496453900709217</v>
      </c>
      <c r="I55" s="2379">
        <f>MOPFRA!I56</f>
        <v>-0.48568088836937462</v>
      </c>
      <c r="J55" s="2379">
        <f>MOPFRA!J56</f>
        <v>0.19475998534261635</v>
      </c>
      <c r="K55" s="1942">
        <f>MOPFRA!K56</f>
        <v>49</v>
      </c>
      <c r="L55" s="2199">
        <f>MOPFRA!L56</f>
        <v>49</v>
      </c>
      <c r="M55" s="1582" t="str">
        <f>MOPFRA!M56</f>
        <v>S</v>
      </c>
      <c r="N55" s="1582" t="str">
        <f>MOPFRA!N56</f>
        <v>S</v>
      </c>
      <c r="O55" s="179" t="str">
        <f>MOPFRA!O56</f>
        <v/>
      </c>
      <c r="P55" s="856" t="str">
        <f>MOPFRA!P56</f>
        <v>PVC</v>
      </c>
      <c r="Q55" s="1571" t="str">
        <f>MOPFRA!Q56</f>
        <v>پتروشيمي اروند</v>
      </c>
      <c r="R55" s="1571" t="str">
        <f>MOPFRA!R56</f>
        <v>اروند</v>
      </c>
      <c r="S55" s="1572">
        <f>MOPFRA!S56</f>
        <v>12</v>
      </c>
      <c r="T55" s="66">
        <f>MOPFRA!T56</f>
        <v>55932</v>
      </c>
      <c r="U55" s="258">
        <f>MOPFRA!U56</f>
        <v>46590</v>
      </c>
      <c r="V55" s="338">
        <f>MOPFRA!V56</f>
        <v>2.94</v>
      </c>
      <c r="W55" s="258">
        <f>MOPFRA!W56</f>
        <v>46610</v>
      </c>
      <c r="X55" s="337">
        <f>MOPFRA!X56</f>
        <v>2.98</v>
      </c>
      <c r="Y55" s="1708">
        <f>MOPFRA!Y56</f>
        <v>73039</v>
      </c>
      <c r="Z55" s="661" t="str">
        <f>MOPFRA!Z56</f>
        <v/>
      </c>
      <c r="AA55" s="2382">
        <f>MOPFRA!AA56</f>
        <v>-3.6585365853658534E-2</v>
      </c>
      <c r="AB55" s="511">
        <f ca="1">MOPFRA!AB56</f>
        <v>5.4246575342465755E-2</v>
      </c>
      <c r="AC55" s="823">
        <f ca="1">MOPFRA!AC56</f>
        <v>41.287245998238312</v>
      </c>
      <c r="AD55" s="1150">
        <f>MOPFRA!AD56</f>
        <v>-3.6585365853658534E-2</v>
      </c>
      <c r="AE55" s="1150" t="str">
        <f>MOPFRA!AE56</f>
        <v/>
      </c>
      <c r="AF55" s="1150" t="str">
        <f>MOPFRA!AF56</f>
        <v/>
      </c>
      <c r="AG55" s="1150" t="str">
        <f>MOPFRA!AG56</f>
        <v/>
      </c>
      <c r="AH55" s="1150" t="str">
        <f>MOPFRA!AH56</f>
        <v/>
      </c>
      <c r="AI55" s="275">
        <f ca="1">MOPFRA!AI56</f>
        <v>343</v>
      </c>
      <c r="AJ55" s="1120">
        <f>MOPFRA!AJ56</f>
        <v>46217</v>
      </c>
      <c r="AK55" s="1693">
        <f>MOPFRA!AK56</f>
        <v>46295</v>
      </c>
      <c r="AL55" s="1345">
        <f>MOPFRA!AL56</f>
        <v>12000000000</v>
      </c>
      <c r="AM55" s="29">
        <f>MOPFRA!AM56</f>
        <v>0</v>
      </c>
      <c r="AN55" s="29">
        <f>MOPFRA!AN56</f>
        <v>0</v>
      </c>
      <c r="AO55" s="685">
        <f>MOPFRA!AO56</f>
        <v>0.05</v>
      </c>
      <c r="AP55" s="174">
        <f>MOPFRA!AP56</f>
        <v>0</v>
      </c>
      <c r="AQ55" s="1416">
        <f>MOPFRA!AQ56</f>
        <v>35014</v>
      </c>
      <c r="AR55" s="1416">
        <f>MOPFRA!AR56</f>
        <v>8305</v>
      </c>
      <c r="AS55" s="766">
        <f>MOPFRA!AS56</f>
        <v>24504.455815602836</v>
      </c>
      <c r="AT55" s="984">
        <f>MOPFRA!AT56</f>
        <v>4</v>
      </c>
      <c r="AU55" s="376">
        <f>MOPFRA!AU56</f>
        <v>2.2261947137493685</v>
      </c>
      <c r="AV55" s="99">
        <f>MOPFRA!AV56</f>
        <v>0</v>
      </c>
      <c r="AW55" s="2380">
        <f>MOPFRA!AW56</f>
        <v>4400</v>
      </c>
      <c r="AX55" s="2380">
        <f>MOPFRA!AX56</f>
        <v>227</v>
      </c>
      <c r="AY55" s="2374">
        <f>MOPFRA!AY56</f>
        <v>5.1999999999999998E-2</v>
      </c>
      <c r="AZ55" s="2370">
        <f>MOPFRA!AZ56</f>
        <v>0.42199999999999999</v>
      </c>
      <c r="BA55" s="2372">
        <f>MOPFRA!BA56</f>
        <v>0.23699999999999999</v>
      </c>
      <c r="BB55" s="2373">
        <f>MOPFRA!BB56</f>
        <v>0.28199999999999997</v>
      </c>
      <c r="BC55" s="2375">
        <f>MOPFRA!BC56</f>
        <v>-10</v>
      </c>
      <c r="BD55" s="2376">
        <f>MOPFRA!BD56</f>
        <v>3.1E-2</v>
      </c>
      <c r="BE55" s="2370">
        <f>MOPFRA!BE56</f>
        <v>0.34699999999999998</v>
      </c>
      <c r="BF55" s="2371">
        <f>MOPFRA!BF56</f>
        <v>0.16900000000000001</v>
      </c>
      <c r="BG55" s="1422">
        <f>MOPFRA!BG56</f>
        <v>0.221</v>
      </c>
      <c r="BH55" s="306">
        <f>MOPFRA!BH56</f>
        <v>2.0999999999999998E-2</v>
      </c>
      <c r="BI55" s="1861">
        <f>MOPFRA!BI56</f>
        <v>369.59999999999997</v>
      </c>
      <c r="BJ55" s="306">
        <f>MOPFRA!BJ56</f>
        <v>7.5000000000000011E-2</v>
      </c>
      <c r="BK55" s="99">
        <f>MOPFRA!BK56</f>
        <v>0</v>
      </c>
      <c r="BL55" s="306">
        <f>MOPFRA!BL56</f>
        <v>-0.30015262993080377</v>
      </c>
      <c r="BM55" s="99">
        <f>MOPFRA!BM56</f>
        <v>-7.907017922314358</v>
      </c>
      <c r="BN55" s="15">
        <f>MOPFRA!BN56</f>
        <v>0</v>
      </c>
      <c r="BO55" s="1803">
        <f>MOPFRA!BO56</f>
        <v>3</v>
      </c>
      <c r="BP55" s="842">
        <f>MOPFRA!BP56</f>
        <v>1</v>
      </c>
      <c r="BQ55" s="16">
        <f>MOPFRA!BQ56</f>
        <v>505</v>
      </c>
      <c r="BR55" s="16">
        <f>MOPFRA!BR56</f>
        <v>0</v>
      </c>
      <c r="BS55" s="16">
        <f>MOPFRA!BS56</f>
        <v>0</v>
      </c>
      <c r="BT55" s="1253">
        <f>MOPFRA!BT56</f>
        <v>824.69844190307333</v>
      </c>
      <c r="BU55" s="1246">
        <f>MOPFRA!BU56</f>
        <v>2020</v>
      </c>
      <c r="BV55" s="406">
        <f>MOPFRA!BV56</f>
        <v>0</v>
      </c>
      <c r="BW55" s="407">
        <f>MOPFRA!BW56</f>
        <v>32.769730044790549</v>
      </c>
      <c r="BX55" s="99">
        <f>MOPFRA!BX56</f>
        <v>-10</v>
      </c>
      <c r="BY55" s="18">
        <f>MOPFRA!BY56</f>
        <v>1706.819065141844</v>
      </c>
      <c r="BZ55" s="18">
        <f>MOPFRA!BZ56</f>
        <v>3930.5692199578352</v>
      </c>
      <c r="CA55" s="18">
        <f>MOPFRA!CA56</f>
        <v>1274.2317024113474</v>
      </c>
      <c r="CB55" s="1710">
        <f>MOPFRA!CB56</f>
        <v>57.32003046367587</v>
      </c>
      <c r="CC55" s="266">
        <f>MOPFRA!CC56</f>
        <v>3275</v>
      </c>
      <c r="CD55" s="267">
        <f>MOPFRA!CD56</f>
        <v>14.23</v>
      </c>
      <c r="CE55" s="99">
        <f>MOPFRA!CE56</f>
        <v>-10</v>
      </c>
      <c r="CF55" s="17">
        <f>MOPFRA!CF56</f>
        <v>13.924147254603664</v>
      </c>
      <c r="CG55" s="99">
        <f>MOPFRA!CG56</f>
        <v>-10</v>
      </c>
      <c r="CH55" s="494">
        <f>MOPFRA!CH56</f>
        <v>5.6648492039224826E-2</v>
      </c>
      <c r="CI55" s="99">
        <f>MOPFRA!CI56</f>
        <v>-5.150272619411628</v>
      </c>
      <c r="CJ55" s="20">
        <f>MOPFRA!CJ56</f>
        <v>0</v>
      </c>
      <c r="CK55" s="691">
        <f>MOPFRA!CK56</f>
        <v>1200</v>
      </c>
      <c r="CL55" s="419">
        <f>MOPFRA!CL56</f>
        <v>1927</v>
      </c>
      <c r="CM55" s="468">
        <f>MOPFRA!CM56</f>
        <v>230</v>
      </c>
      <c r="CN55" s="843">
        <f>MOPFRA!CN56</f>
        <v>469</v>
      </c>
      <c r="CO55" s="21">
        <f>MOPFRA!CO56</f>
        <v>606</v>
      </c>
      <c r="CP55" s="21">
        <f>MOPFRA!CP56</f>
        <v>97</v>
      </c>
      <c r="CQ55" s="469">
        <f>MOPFRA!CQ56</f>
        <v>606</v>
      </c>
      <c r="CR55" s="1239">
        <f>MOPFRA!CR56</f>
        <v>350.21271009456262</v>
      </c>
      <c r="CS55" s="21">
        <f>MOPFRA!CS56</f>
        <v>2533</v>
      </c>
      <c r="CT55" s="16">
        <f>MOPFRA!CT56</f>
        <v>0</v>
      </c>
      <c r="CU55" s="154" t="str">
        <f>MOPFRA!CU56</f>
        <v/>
      </c>
      <c r="CV55" s="693">
        <f>MOPFRA!CV56</f>
        <v>9126</v>
      </c>
      <c r="CW55" s="49">
        <f>MOPFRA!CW56</f>
        <v>23229</v>
      </c>
      <c r="CX55" s="21">
        <f>MOPFRA!CX55</f>
        <v>10163</v>
      </c>
      <c r="CY55" s="49">
        <f>MOPFRA!CY56</f>
        <v>537</v>
      </c>
      <c r="CZ55" s="378">
        <f>MOPFRA!CZ56</f>
        <v>23766</v>
      </c>
      <c r="DA55" s="1058">
        <f>MOPFRA!DA56</f>
        <v>0.90421455938697315</v>
      </c>
      <c r="DB55" s="99">
        <f>MOPFRA!DB56</f>
        <v>-2.3662835249042145</v>
      </c>
      <c r="DC55" s="53">
        <f>MOPFRA!DC56</f>
        <v>32892</v>
      </c>
      <c r="DD55" s="645">
        <f>MOPFRA!DD56</f>
        <v>0.72254651587012042</v>
      </c>
      <c r="DE55" s="13">
        <f>MOPFRA!DE56</f>
        <v>11888</v>
      </c>
      <c r="DF55" s="24">
        <f>MOPFRA!DF56</f>
        <v>9690</v>
      </c>
      <c r="DG55" s="24">
        <f>MOPFRA!DG56</f>
        <v>1729</v>
      </c>
      <c r="DH55" s="51">
        <f>MOPFRA!DH56</f>
        <v>21004</v>
      </c>
      <c r="DI55" s="8">
        <f>MOPFRA!DI56</f>
        <v>-2225</v>
      </c>
      <c r="DJ55" s="644">
        <f>MOPFRA!DJ56</f>
        <v>-11.013238568810264</v>
      </c>
      <c r="DK55" s="22">
        <f>MOPFRA!DK56</f>
        <v>6100</v>
      </c>
      <c r="DL55" s="22">
        <f>MOPFRA!DL56</f>
        <v>2998</v>
      </c>
      <c r="DM55" s="22">
        <f>MOPFRA!DM56</f>
        <v>6015</v>
      </c>
      <c r="DN55" s="138">
        <f>MOPFRA!DN56</f>
        <v>0.72254651587012042</v>
      </c>
      <c r="DO55" s="99">
        <f>MOPFRA!DO56</f>
        <v>0</v>
      </c>
      <c r="DP55" s="22">
        <f>MOPFRA!DP56</f>
        <v>3661</v>
      </c>
      <c r="DQ55" s="8">
        <f>MOPFRA!DQ56</f>
        <v>2230</v>
      </c>
      <c r="DR55" s="32">
        <f>MOPFRA!DR56</f>
        <v>-5.1026826500201334</v>
      </c>
      <c r="DS55" s="99">
        <f>MOPFRA!DS56</f>
        <v>-10</v>
      </c>
      <c r="DT55" s="8">
        <f>MOPFRA!DT56</f>
        <v>11921</v>
      </c>
      <c r="DU55" s="8">
        <f>MOPFRA!DU56</f>
        <v>7272</v>
      </c>
      <c r="DV55" s="235">
        <f>MOPFRA!DV56</f>
        <v>1605.8333333333333</v>
      </c>
      <c r="DW55" s="8">
        <f>MOPFRA!DW56</f>
        <v>10399.416666666666</v>
      </c>
      <c r="DX55" s="411">
        <f>MOPFRA!DX56</f>
        <v>78</v>
      </c>
      <c r="DY55" s="1532">
        <f>MOPFRA!DY56</f>
        <v>6000</v>
      </c>
      <c r="DZ55" s="857">
        <f>MOPFRA!DZ56</f>
        <v>0.11033468186833395</v>
      </c>
      <c r="EA55" s="386">
        <f>MOPFRA!EA56</f>
        <v>0</v>
      </c>
      <c r="EB55" s="504">
        <f>MOPFRA!EB56</f>
        <v>0</v>
      </c>
      <c r="EC55" s="510">
        <f>MOPFRA!EC56</f>
        <v>0</v>
      </c>
      <c r="ED55" s="435">
        <f>MOPFRA!ED56</f>
        <v>0</v>
      </c>
      <c r="EE55" s="510">
        <f>MOPFRA!EE56</f>
        <v>0</v>
      </c>
      <c r="EF55" s="435">
        <f>MOPFRA!EF56</f>
        <v>0</v>
      </c>
      <c r="EG55" s="510">
        <f>MOPFRA!EG56</f>
        <v>0</v>
      </c>
      <c r="EH55" s="435">
        <f>MOPFRA!EH56</f>
        <v>0</v>
      </c>
      <c r="EI55" s="510">
        <f>MOPFRA!EI56</f>
        <v>0</v>
      </c>
      <c r="EJ55" s="435">
        <f>MOPFRA!EJ56</f>
        <v>0</v>
      </c>
      <c r="EK55" s="510">
        <f>MOPFRA!EK56</f>
        <v>48380</v>
      </c>
      <c r="EL55" s="1606">
        <f>MOPFRA!EL56</f>
        <v>58056</v>
      </c>
      <c r="EM55" s="1684">
        <f>MOPFRA!EM56</f>
        <v>48380</v>
      </c>
      <c r="EN55" s="1608">
        <f>MOPFRA!EN56</f>
        <v>58056</v>
      </c>
      <c r="EO55" s="1609" t="str">
        <f>MOPFRA!EO56</f>
        <v/>
      </c>
      <c r="EP55" s="1648" t="str">
        <f>MOPFRA!EP56</f>
        <v>NEW</v>
      </c>
      <c r="EQ55"/>
    </row>
    <row r="56" spans="1:155" ht="9" customHeight="1">
      <c r="A56" s="99"/>
      <c r="B56" s="99"/>
      <c r="C56" s="309"/>
      <c r="D56" s="564"/>
      <c r="E56" s="1094"/>
      <c r="F56" s="1094"/>
      <c r="G56" s="1094"/>
      <c r="H56" s="1094"/>
      <c r="I56" s="1094"/>
      <c r="J56" s="1094"/>
      <c r="K56" s="1386"/>
      <c r="L56" s="390"/>
      <c r="M56" s="390"/>
      <c r="N56" s="390"/>
      <c r="O56" s="179"/>
      <c r="P56" s="23"/>
      <c r="Q56" s="1811"/>
      <c r="R56" s="1811"/>
      <c r="S56" s="1572"/>
      <c r="T56" s="66"/>
      <c r="U56" s="258"/>
      <c r="V56" s="338"/>
      <c r="W56" s="263"/>
      <c r="X56" s="337"/>
      <c r="Y56" s="337"/>
      <c r="Z56" s="662"/>
      <c r="AA56" s="660"/>
      <c r="AB56" s="511"/>
      <c r="AC56" s="687"/>
      <c r="AD56" s="687"/>
      <c r="AE56" s="687"/>
      <c r="AF56" s="687"/>
      <c r="AG56" s="687"/>
      <c r="AH56" s="666"/>
      <c r="AI56" s="275"/>
      <c r="AJ56" s="665"/>
      <c r="AK56" s="379"/>
      <c r="AL56" s="29"/>
      <c r="AM56" s="29"/>
      <c r="AN56" s="29"/>
      <c r="AO56" s="685"/>
      <c r="AP56" s="174"/>
      <c r="AQ56" s="1416"/>
      <c r="AR56" s="1416"/>
      <c r="AS56" s="766"/>
      <c r="AT56" s="984"/>
      <c r="AU56" s="376"/>
      <c r="AV56" s="99"/>
      <c r="AW56" s="16"/>
      <c r="AX56" s="16"/>
      <c r="AY56" s="14"/>
      <c r="AZ56" s="14"/>
      <c r="BA56" s="1094"/>
      <c r="BB56" s="1094"/>
      <c r="BC56" s="1094"/>
      <c r="BD56" s="1094"/>
      <c r="BE56" s="1094"/>
      <c r="BF56" s="1094"/>
      <c r="BG56" s="1094"/>
      <c r="BH56" s="377"/>
      <c r="BI56" s="377"/>
      <c r="BJ56" s="377"/>
      <c r="BK56" s="99"/>
      <c r="BL56" s="377"/>
      <c r="BM56" s="377"/>
      <c r="BN56" s="15"/>
      <c r="BO56" s="418"/>
      <c r="BP56" s="842"/>
      <c r="BQ56" s="16"/>
      <c r="BR56" s="16"/>
      <c r="BS56" s="16"/>
      <c r="BT56" s="1253"/>
      <c r="BU56" s="1246"/>
      <c r="BV56" s="406"/>
      <c r="BW56" s="407"/>
      <c r="BX56" s="377"/>
      <c r="BY56" s="18"/>
      <c r="BZ56" s="18"/>
      <c r="CA56" s="20"/>
      <c r="CB56" s="20"/>
      <c r="CC56" s="266"/>
      <c r="CD56" s="267"/>
      <c r="CE56" s="99"/>
      <c r="CF56" s="17"/>
      <c r="CG56" s="377"/>
      <c r="CH56" s="103"/>
      <c r="CI56" s="99"/>
      <c r="CJ56" s="20"/>
      <c r="CK56" s="691"/>
      <c r="CL56" s="419"/>
      <c r="CM56" s="468"/>
      <c r="CN56" s="21"/>
      <c r="CO56" s="21"/>
      <c r="CP56" s="21"/>
      <c r="CQ56" s="53"/>
      <c r="CR56" s="378"/>
      <c r="CS56" s="21"/>
      <c r="CT56" s="16"/>
      <c r="CU56" s="154"/>
      <c r="CV56" s="693"/>
      <c r="CW56" s="49"/>
      <c r="CX56" s="49"/>
      <c r="CY56" s="49"/>
      <c r="CZ56" s="378"/>
      <c r="DA56" s="98"/>
      <c r="DB56" s="99"/>
      <c r="DC56" s="53"/>
      <c r="DD56" s="645"/>
      <c r="DE56" s="13"/>
      <c r="DF56" s="24"/>
      <c r="DG56" s="24"/>
      <c r="DH56" s="51"/>
      <c r="DI56" s="8"/>
      <c r="DJ56" s="644"/>
      <c r="DK56" s="22"/>
      <c r="DL56" s="22"/>
      <c r="DM56" s="22"/>
      <c r="DN56" s="138"/>
      <c r="DO56" s="99"/>
      <c r="DP56" s="22"/>
      <c r="DQ56" s="8"/>
      <c r="DR56" s="32"/>
      <c r="DS56" s="99"/>
      <c r="DT56" s="8"/>
      <c r="DU56" s="8"/>
      <c r="DV56" s="235"/>
      <c r="DW56" s="8"/>
      <c r="DX56" s="411"/>
      <c r="DY56" s="513"/>
      <c r="DZ56" s="513"/>
      <c r="EA56" s="386"/>
      <c r="EB56" s="504"/>
      <c r="EC56" s="425"/>
      <c r="ED56" s="425"/>
      <c r="EE56" s="425"/>
      <c r="EF56" s="425"/>
      <c r="EG56" s="425"/>
      <c r="EH56" s="425"/>
      <c r="EI56" s="425"/>
      <c r="EJ56" s="425"/>
      <c r="EK56" s="425"/>
      <c r="EL56" s="425"/>
      <c r="EM56" s="425"/>
      <c r="EN56" s="425"/>
      <c r="EO56" s="425"/>
      <c r="EP56" s="425"/>
      <c r="EQ56"/>
    </row>
    <row r="57" spans="1:155" ht="11" customHeight="1">
      <c r="A57" s="99"/>
      <c r="B57" s="99"/>
      <c r="C57" s="236"/>
      <c r="D57" s="401"/>
      <c r="E57" s="1094"/>
      <c r="F57" s="1094"/>
      <c r="G57" s="1094"/>
      <c r="H57" s="1094"/>
      <c r="I57" s="1094"/>
      <c r="J57" s="1094"/>
      <c r="K57" s="1386"/>
      <c r="L57" s="390"/>
      <c r="M57" s="390"/>
      <c r="N57" s="390"/>
      <c r="O57" s="390"/>
      <c r="P57" s="23"/>
      <c r="Q57" s="382"/>
      <c r="R57" s="382"/>
      <c r="S57" s="59"/>
      <c r="T57" s="66"/>
      <c r="U57" s="258"/>
      <c r="V57" s="338"/>
      <c r="W57" s="263"/>
      <c r="X57" s="337"/>
      <c r="Y57" s="337"/>
      <c r="Z57" s="387"/>
      <c r="AA57" s="512"/>
      <c r="AB57" s="512"/>
      <c r="AC57" s="512"/>
      <c r="AD57" s="512"/>
      <c r="AE57" s="512"/>
      <c r="AF57" s="512"/>
      <c r="AG57" s="512"/>
      <c r="AH57" s="512"/>
      <c r="AI57" s="275"/>
      <c r="AJ57" s="274"/>
      <c r="AK57" s="379"/>
      <c r="AL57" s="29"/>
      <c r="AM57" s="29"/>
      <c r="AN57" s="29"/>
      <c r="AO57" s="58"/>
      <c r="AP57" s="174"/>
      <c r="AQ57" s="1218"/>
      <c r="AR57" s="1218"/>
      <c r="AS57" s="556"/>
      <c r="AT57" s="125"/>
      <c r="AU57" s="376"/>
      <c r="AV57" s="377"/>
      <c r="AW57" s="16"/>
      <c r="AX57" s="16"/>
      <c r="AY57" s="14"/>
      <c r="AZ57" s="14"/>
      <c r="BA57" s="1094"/>
      <c r="BB57" s="1094"/>
      <c r="BC57" s="1094"/>
      <c r="BD57" s="1094"/>
      <c r="BE57" s="1094"/>
      <c r="BF57" s="1094"/>
      <c r="BG57" s="1094"/>
      <c r="BH57" s="377"/>
      <c r="BI57" s="377"/>
      <c r="BJ57" s="377"/>
      <c r="BK57" s="99"/>
      <c r="BL57" s="377"/>
      <c r="BM57" s="377"/>
      <c r="BN57" s="15"/>
      <c r="BO57" s="418"/>
      <c r="BP57" s="418"/>
      <c r="BQ57" s="16"/>
      <c r="BR57" s="16"/>
      <c r="BS57" s="16"/>
      <c r="BT57" s="16"/>
      <c r="BU57" s="408"/>
      <c r="BV57" s="406"/>
      <c r="BW57" s="407"/>
      <c r="BX57" s="377"/>
      <c r="BY57" s="18"/>
      <c r="BZ57" s="18"/>
      <c r="CA57" s="20"/>
      <c r="CB57" s="20"/>
      <c r="CC57" s="466"/>
      <c r="CD57" s="467"/>
      <c r="CE57" s="99"/>
      <c r="CF57" s="17"/>
      <c r="CG57" s="377"/>
      <c r="CH57" s="103"/>
      <c r="CI57" s="99"/>
      <c r="CJ57" s="20"/>
      <c r="CK57" s="419"/>
      <c r="CL57" s="419"/>
      <c r="CM57" s="468"/>
      <c r="CN57" s="21"/>
      <c r="CO57" s="21"/>
      <c r="CP57" s="21"/>
      <c r="CQ57" s="53"/>
      <c r="CR57" s="378"/>
      <c r="CS57" s="21"/>
      <c r="CT57" s="16"/>
      <c r="CU57" s="154"/>
      <c r="CV57" s="378"/>
      <c r="CW57" s="49"/>
      <c r="CX57" s="49"/>
      <c r="CY57" s="49"/>
      <c r="CZ57" s="378"/>
      <c r="DA57" s="98"/>
      <c r="DB57" s="99"/>
      <c r="DC57" s="53"/>
      <c r="DD57" s="378"/>
      <c r="DE57" s="13"/>
      <c r="DF57" s="24"/>
      <c r="DG57" s="24"/>
      <c r="DH57" s="51"/>
      <c r="DI57" s="8"/>
      <c r="DJ57" s="644"/>
      <c r="DK57" s="22"/>
      <c r="DL57" s="22"/>
      <c r="DM57" s="22"/>
      <c r="DN57" s="138"/>
      <c r="DO57" s="99"/>
      <c r="DP57" s="22"/>
      <c r="DQ57" s="8"/>
      <c r="DR57" s="32"/>
      <c r="DS57" s="99"/>
      <c r="DT57" s="8"/>
      <c r="DU57" s="8"/>
      <c r="DV57" s="235"/>
      <c r="DW57" s="8"/>
      <c r="DX57" s="411"/>
      <c r="DY57" s="380"/>
      <c r="DZ57" s="380"/>
      <c r="EA57" s="386"/>
      <c r="EB57" s="504"/>
      <c r="EC57" s="425"/>
      <c r="ED57" s="425"/>
      <c r="EE57" s="425"/>
      <c r="EF57" s="425"/>
      <c r="EG57" s="425"/>
      <c r="EH57" s="425"/>
      <c r="EI57" s="425"/>
      <c r="EJ57" s="425"/>
      <c r="EK57" s="425"/>
      <c r="EL57" s="425"/>
      <c r="EM57" s="425"/>
      <c r="EN57" s="425"/>
      <c r="EO57" s="425"/>
      <c r="EP57" s="425"/>
      <c r="EQ57"/>
    </row>
    <row r="58" spans="1:155" ht="38" customHeight="1" thickBot="1">
      <c r="A58" s="1"/>
      <c r="B58" s="1"/>
      <c r="C58" s="1"/>
      <c r="D58" s="1"/>
      <c r="E58" s="9"/>
      <c r="F58" s="9"/>
      <c r="G58" s="9"/>
      <c r="H58" s="9"/>
      <c r="I58" s="9"/>
      <c r="J58" s="9"/>
      <c r="K58" s="33"/>
      <c r="L58" s="1"/>
      <c r="M58" s="1"/>
      <c r="N58" s="1"/>
      <c r="O58" s="1"/>
      <c r="P58" s="62"/>
      <c r="Q58" s="1"/>
      <c r="R58" s="1"/>
      <c r="S58" s="1"/>
      <c r="T58" s="9"/>
      <c r="U58" s="9"/>
      <c r="V58" s="9"/>
      <c r="W58" s="1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187"/>
      <c r="AL58" s="9"/>
      <c r="AM58" s="9"/>
      <c r="AN58" s="9"/>
      <c r="AO58" s="9"/>
      <c r="AP58" s="9"/>
      <c r="AQ58" s="9"/>
      <c r="AR58" s="9"/>
      <c r="AS58" s="9"/>
      <c r="AT58" s="9"/>
      <c r="AU58" s="4"/>
      <c r="AV58" s="1"/>
      <c r="AW58" s="1"/>
      <c r="AX58" s="10"/>
      <c r="AY58" s="10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33"/>
      <c r="BL58" s="9"/>
      <c r="BM58" s="33"/>
      <c r="BN58" s="33"/>
      <c r="BO58" s="9"/>
      <c r="BP58" s="9"/>
      <c r="BQ58" s="9"/>
      <c r="BR58" s="10"/>
      <c r="BS58" s="10"/>
      <c r="BT58" s="10"/>
      <c r="BU58" s="10"/>
      <c r="BV58" s="9"/>
      <c r="BW58" s="9"/>
      <c r="BX58" s="9"/>
      <c r="BY58" s="9"/>
      <c r="BZ58" s="9"/>
      <c r="CA58" s="9"/>
      <c r="CB58" s="9"/>
      <c r="CC58" s="9"/>
      <c r="CD58" s="9"/>
      <c r="CE58" s="10"/>
      <c r="CF58" s="10"/>
      <c r="CG58" s="9"/>
      <c r="CH58" s="9"/>
      <c r="CI58" s="9"/>
      <c r="CJ58" s="9"/>
      <c r="CK58" s="9"/>
      <c r="CL58" s="9"/>
      <c r="CM58" s="10"/>
      <c r="CN58" s="10"/>
      <c r="CO58" s="10"/>
      <c r="CP58" s="10"/>
      <c r="CQ58" s="10"/>
      <c r="CR58" s="10"/>
      <c r="CS58" s="10"/>
      <c r="CT58" s="9"/>
      <c r="CU58" s="9"/>
      <c r="CV58" s="9"/>
      <c r="CW58" s="9"/>
      <c r="CX58" s="55"/>
      <c r="CY58" s="55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1"/>
      <c r="DW58" s="187"/>
      <c r="DX58" s="187"/>
      <c r="DY58" s="187"/>
      <c r="DZ58" s="187"/>
      <c r="EA58" s="187"/>
      <c r="EB58" s="187"/>
      <c r="EC58" s="187"/>
      <c r="ED58" s="187"/>
      <c r="EE58" s="187"/>
      <c r="EF58" s="187"/>
      <c r="EG58" s="187"/>
      <c r="EH58" s="187"/>
      <c r="EI58" s="187"/>
      <c r="EJ58" s="187"/>
      <c r="EK58" s="187"/>
      <c r="EL58" s="187"/>
      <c r="EM58" s="187"/>
      <c r="EN58" s="1034"/>
      <c r="EO58" s="1035"/>
      <c r="EP58" s="1035"/>
      <c r="EQ58"/>
    </row>
    <row r="59" spans="1:155">
      <c r="P59" s="1282"/>
      <c r="Q59" s="184"/>
      <c r="R59" s="1273"/>
      <c r="S59" s="185"/>
      <c r="U59" s="412"/>
      <c r="V59" s="31"/>
      <c r="W59" s="412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412"/>
      <c r="AJ59" s="412"/>
      <c r="AK59" s="412"/>
      <c r="AL59" s="412"/>
      <c r="AM59" s="412"/>
      <c r="AN59" s="412"/>
      <c r="AO59" s="412"/>
      <c r="AP59" s="412"/>
      <c r="AQ59" s="412"/>
      <c r="AR59" s="412"/>
      <c r="AS59" s="412"/>
      <c r="AV59" s="11"/>
      <c r="AW59" s="11"/>
      <c r="AX59" s="11"/>
      <c r="AY59" s="11"/>
      <c r="AZ59" s="11"/>
      <c r="BA59"/>
      <c r="BB59"/>
      <c r="BC59" s="11"/>
      <c r="BD59" s="11"/>
      <c r="BE59" s="5"/>
      <c r="BK59" s="12"/>
      <c r="BL59" s="12"/>
      <c r="BN59"/>
      <c r="BO59"/>
      <c r="BQ59"/>
      <c r="BR59"/>
      <c r="BS59"/>
      <c r="BT59" s="3"/>
      <c r="BU59" s="11"/>
      <c r="BV59" s="3"/>
      <c r="BW59" s="3"/>
      <c r="CA59" s="12"/>
      <c r="CB59" s="12"/>
      <c r="CC59" s="12"/>
      <c r="CD59" s="12"/>
      <c r="CE59" s="12"/>
      <c r="CF59" s="11"/>
      <c r="CG59" s="11"/>
      <c r="CP59" s="11"/>
      <c r="CQ59" s="11"/>
      <c r="CR59" s="11"/>
      <c r="CS59" s="11"/>
      <c r="CT59" s="11"/>
      <c r="CV59" s="12"/>
      <c r="CW59" s="12"/>
      <c r="CX59" s="12"/>
      <c r="CY59" s="12"/>
      <c r="CZ59" s="12"/>
      <c r="DA59" s="12"/>
      <c r="DB59" s="12"/>
      <c r="DH59" s="56"/>
      <c r="DY59" s="11"/>
      <c r="DZ59" s="11"/>
      <c r="EA59" s="11"/>
      <c r="EB59" s="11"/>
      <c r="EC59" s="11"/>
      <c r="ED59" s="11"/>
      <c r="EE59"/>
      <c r="EQ59"/>
      <c r="ES59" s="833"/>
      <c r="EV59" s="833"/>
      <c r="EY59" s="833"/>
    </row>
    <row r="60" spans="1:155" ht="40" customHeight="1">
      <c r="P60" s="1282"/>
      <c r="Q60" s="1269"/>
      <c r="R60" s="1276"/>
      <c r="S60" s="1270"/>
      <c r="U60" s="1265"/>
      <c r="V60" s="1265"/>
      <c r="W60" s="1265"/>
      <c r="X60" s="1265"/>
      <c r="Y60" s="1265"/>
      <c r="Z60" s="1265"/>
      <c r="AA60" s="1265"/>
      <c r="AB60" s="1265"/>
      <c r="AC60" s="1265"/>
      <c r="AD60" s="1265"/>
      <c r="AE60" s="1265"/>
      <c r="AF60" s="1265"/>
      <c r="AG60" s="1265"/>
      <c r="AH60" s="1265"/>
      <c r="AI60" s="1265"/>
      <c r="AJ60" s="1265"/>
      <c r="AK60" s="1265"/>
      <c r="AL60" s="1265"/>
      <c r="AM60" s="1265"/>
      <c r="AN60" s="1265"/>
      <c r="AO60" s="1265"/>
      <c r="AP60" s="1265"/>
      <c r="AQ60" s="1265"/>
      <c r="AR60" s="1265"/>
      <c r="AS60" s="1265"/>
      <c r="AV60" s="11"/>
      <c r="AW60" s="11"/>
      <c r="AX60" s="11"/>
      <c r="AY60" s="11"/>
      <c r="AZ60" s="11"/>
      <c r="BA60"/>
      <c r="BB60"/>
      <c r="BC60" s="11"/>
      <c r="BD60" s="11"/>
      <c r="BE60" s="5"/>
      <c r="BK60" s="12"/>
      <c r="BL60" s="12"/>
      <c r="BN60"/>
      <c r="BO60"/>
      <c r="BQ60"/>
      <c r="BR60"/>
      <c r="BS60"/>
      <c r="BT60" s="3"/>
      <c r="BU60" s="11"/>
      <c r="BV60" s="3"/>
      <c r="BW60" s="3"/>
      <c r="CA60" s="12"/>
      <c r="CB60" s="12"/>
      <c r="CC60" s="12"/>
      <c r="CD60" s="12"/>
      <c r="CE60" s="12"/>
      <c r="CF60" s="11"/>
      <c r="CG60" s="11"/>
      <c r="CP60" s="11"/>
      <c r="CQ60" s="11"/>
      <c r="CR60" s="11"/>
      <c r="CS60" s="11"/>
      <c r="CT60" s="11"/>
      <c r="CV60" s="12"/>
      <c r="CW60" s="12"/>
      <c r="CX60" s="12"/>
      <c r="CY60" s="12"/>
      <c r="CZ60" s="12"/>
      <c r="DA60" s="12"/>
      <c r="DB60" s="12"/>
      <c r="DH60" s="56"/>
      <c r="DY60" s="11"/>
      <c r="DZ60" s="11"/>
      <c r="EA60" s="11"/>
      <c r="EB60" s="11"/>
      <c r="EC60" s="11"/>
      <c r="ED60" s="11"/>
      <c r="EE60"/>
      <c r="EQ60"/>
      <c r="ES60" s="833"/>
      <c r="EV60" s="833"/>
      <c r="EY60" s="833"/>
    </row>
    <row r="61" spans="1:155" ht="32" customHeight="1">
      <c r="P61" s="1282"/>
      <c r="Q61" s="1269"/>
      <c r="R61" s="1274"/>
      <c r="S61" s="1270"/>
      <c r="U61" s="1264"/>
      <c r="V61" s="1264"/>
      <c r="W61" s="1264"/>
      <c r="X61" s="1264"/>
      <c r="Y61" s="1264"/>
      <c r="Z61" s="1264"/>
      <c r="AA61" s="1264"/>
      <c r="AB61" s="1264"/>
      <c r="AC61" s="1264"/>
      <c r="AD61" s="1264"/>
      <c r="AE61" s="1264"/>
      <c r="AF61" s="1264"/>
      <c r="AG61" s="1264"/>
      <c r="AH61" s="1264"/>
      <c r="AI61" s="1264"/>
      <c r="AJ61" s="1264"/>
      <c r="AK61" s="1264"/>
      <c r="AL61" s="1264"/>
      <c r="AM61" s="1264"/>
      <c r="AN61" s="1264"/>
      <c r="AO61" s="1264"/>
      <c r="AP61" s="1264"/>
      <c r="AQ61" s="1264"/>
      <c r="AR61" s="1264"/>
      <c r="AS61" s="1264"/>
      <c r="AU61" s="1266"/>
      <c r="AV61" s="11"/>
      <c r="AW61" s="11"/>
      <c r="AX61" s="11"/>
      <c r="AY61" s="11"/>
      <c r="AZ61" s="11"/>
      <c r="BD61" s="11"/>
      <c r="BF61" s="5"/>
      <c r="BG61" s="5"/>
      <c r="BL61" s="12"/>
      <c r="BM61" s="12"/>
      <c r="BN61" s="11"/>
      <c r="BO61"/>
      <c r="BP61"/>
      <c r="BR61"/>
      <c r="BS61"/>
      <c r="BT61"/>
      <c r="BU61" s="11"/>
      <c r="BV61"/>
      <c r="BW61" s="3"/>
      <c r="BX61" s="3"/>
      <c r="CC61" s="12"/>
      <c r="CD61" s="12"/>
      <c r="CE61" s="12"/>
      <c r="CG61" s="11"/>
      <c r="CN61" s="11"/>
      <c r="CQ61" s="11"/>
      <c r="CR61" s="11"/>
      <c r="CS61" s="11"/>
      <c r="CT61" s="11"/>
      <c r="CW61" s="12"/>
      <c r="CX61" s="12"/>
      <c r="CY61" s="12"/>
      <c r="CZ61" s="12"/>
      <c r="DA61" s="12"/>
      <c r="DB61" s="12"/>
      <c r="DC61" s="12"/>
      <c r="DH61" s="56"/>
      <c r="DI61" s="56"/>
      <c r="DY61" s="11"/>
      <c r="DZ61" s="11"/>
      <c r="EA61" s="11"/>
      <c r="EB61" s="11"/>
      <c r="EC61" s="11"/>
      <c r="ED61" s="11"/>
      <c r="EE61" s="11"/>
      <c r="EF61"/>
      <c r="ET61" s="833"/>
      <c r="EW61" s="833"/>
    </row>
    <row r="62" spans="1:155" ht="28.5" customHeight="1" thickBot="1">
      <c r="P62" s="1282"/>
      <c r="Q62" s="1286"/>
      <c r="R62" s="1275"/>
      <c r="S62" s="1287"/>
      <c r="U62" s="1245"/>
      <c r="V62" s="1245"/>
      <c r="W62" s="1245"/>
      <c r="X62" s="1245"/>
      <c r="Y62" s="1245"/>
      <c r="Z62" s="1245"/>
      <c r="AA62" s="1245"/>
      <c r="AB62" s="1245"/>
      <c r="AC62" s="1245"/>
      <c r="AD62" s="1245"/>
      <c r="AE62" s="1245"/>
      <c r="AF62" s="1245"/>
      <c r="AG62" s="1245"/>
      <c r="AH62" s="1245"/>
      <c r="AI62" s="1245"/>
      <c r="AJ62" s="1245"/>
      <c r="AK62" s="1245"/>
      <c r="AL62" s="1245"/>
      <c r="AM62" s="1245"/>
      <c r="AN62" s="1245"/>
      <c r="AO62" s="1245"/>
      <c r="AP62" s="1245"/>
      <c r="AQ62" s="1245"/>
      <c r="AR62" s="1245"/>
      <c r="AS62" s="1245"/>
      <c r="AV62" s="11"/>
      <c r="AW62" s="11"/>
      <c r="AX62" s="11"/>
      <c r="AY62" s="11"/>
      <c r="AZ62" s="11"/>
      <c r="BA62" s="271"/>
      <c r="BB62" s="271"/>
      <c r="BD62" s="271"/>
      <c r="BF62" s="5"/>
      <c r="BG62" s="5"/>
      <c r="BL62" s="12"/>
      <c r="BM62" s="12"/>
      <c r="BN62" s="11"/>
      <c r="BO62"/>
      <c r="BP62"/>
      <c r="BR62"/>
      <c r="BS62"/>
      <c r="BT62"/>
      <c r="BU62" s="11"/>
      <c r="BV62"/>
      <c r="BW62" s="3"/>
      <c r="BX62" s="3"/>
      <c r="CA62" s="441"/>
      <c r="CB62" s="441"/>
      <c r="CC62" s="12"/>
      <c r="CD62" s="12"/>
      <c r="CE62" s="12"/>
      <c r="CG62" s="11"/>
      <c r="CN62" s="11"/>
      <c r="CQ62" s="11"/>
      <c r="CR62" s="11"/>
      <c r="CS62" s="11"/>
      <c r="CT62" s="11"/>
      <c r="CW62" s="12"/>
      <c r="CX62" s="12"/>
      <c r="CY62" s="12"/>
      <c r="CZ62" s="12"/>
      <c r="DA62" s="12"/>
      <c r="DB62" s="12"/>
      <c r="DC62" s="12"/>
      <c r="DH62" s="56"/>
      <c r="DI62" s="56"/>
      <c r="DY62" s="11"/>
      <c r="DZ62" s="11"/>
      <c r="EA62" s="11"/>
      <c r="EB62" s="11"/>
      <c r="EC62" s="11"/>
      <c r="ED62" s="11"/>
      <c r="EE62" s="11"/>
      <c r="EF62"/>
      <c r="ET62" s="833"/>
      <c r="EW62" s="833"/>
    </row>
    <row r="63" spans="1:155" ht="23" customHeight="1">
      <c r="P63" s="1281"/>
      <c r="Q63" s="1289"/>
      <c r="R63" s="1290"/>
      <c r="S63" s="1291"/>
      <c r="U63" s="1059"/>
      <c r="V63" s="1059"/>
      <c r="W63" s="1059"/>
      <c r="X63" s="1059"/>
      <c r="Y63" s="1059"/>
      <c r="Z63" s="1059"/>
      <c r="AA63" s="1059"/>
      <c r="AB63" s="1059"/>
      <c r="AC63" s="1059"/>
      <c r="AD63" s="1059"/>
      <c r="AE63" s="1059"/>
      <c r="AF63" s="1059"/>
      <c r="AG63" s="1059"/>
      <c r="AH63" s="1059"/>
      <c r="AI63" s="1059"/>
      <c r="AJ63" s="1059"/>
      <c r="AK63" s="1059"/>
      <c r="AL63" s="1059"/>
      <c r="AM63" s="1059"/>
      <c r="AN63" s="1059"/>
      <c r="AO63" s="1059"/>
      <c r="AP63" s="1059"/>
      <c r="AQ63" s="1059"/>
      <c r="AR63" s="1059"/>
      <c r="AS63" s="1059"/>
      <c r="AT63" s="188"/>
      <c r="AV63" s="11"/>
      <c r="AW63" s="11"/>
      <c r="AX63" s="11"/>
      <c r="AY63" s="11"/>
      <c r="AZ63" s="11"/>
      <c r="BD63" s="11"/>
      <c r="BF63" s="5"/>
      <c r="BG63" s="5"/>
      <c r="BL63" s="12"/>
      <c r="BM63" s="12"/>
      <c r="BN63" s="11"/>
      <c r="BO63"/>
      <c r="BP63"/>
      <c r="BR63"/>
      <c r="BS63"/>
      <c r="BT63"/>
      <c r="BU63" s="11"/>
      <c r="BV63"/>
      <c r="BW63" s="3"/>
      <c r="BX63" s="3"/>
      <c r="CA63" s="441"/>
      <c r="CB63" s="441"/>
      <c r="CC63" s="12"/>
      <c r="CD63" s="12"/>
      <c r="CE63" s="12"/>
      <c r="CG63" s="11"/>
      <c r="CN63" s="11"/>
      <c r="CQ63" s="11"/>
      <c r="CR63" s="11"/>
      <c r="CS63" s="11"/>
      <c r="CT63" s="11"/>
      <c r="CW63" s="12"/>
      <c r="CX63" s="12"/>
      <c r="CY63" s="12"/>
      <c r="CZ63" s="12"/>
      <c r="DA63" s="12"/>
      <c r="DB63" s="12"/>
      <c r="DC63" s="12"/>
      <c r="DH63" s="56"/>
      <c r="DI63" s="56"/>
      <c r="DY63" s="11"/>
      <c r="DZ63" s="11"/>
      <c r="EA63" s="11"/>
      <c r="EB63" s="11"/>
      <c r="EC63" s="11"/>
      <c r="ED63" s="11"/>
      <c r="EE63" s="11"/>
      <c r="EF63"/>
      <c r="ET63" s="833"/>
      <c r="EW63" s="833"/>
    </row>
    <row r="64" spans="1:155" ht="23" customHeight="1">
      <c r="P64" s="1281"/>
      <c r="Q64" s="182"/>
      <c r="R64" s="1278"/>
      <c r="S64" s="1268"/>
      <c r="U64" s="1059"/>
      <c r="V64" s="1059"/>
      <c r="W64" s="1059"/>
      <c r="X64" s="1059"/>
      <c r="Y64" s="1059"/>
      <c r="Z64" s="1059"/>
      <c r="AA64" s="1059"/>
      <c r="AB64" s="1059"/>
      <c r="AC64" s="1059"/>
      <c r="AD64" s="1059"/>
      <c r="AE64" s="1059"/>
      <c r="AF64" s="1059"/>
      <c r="AG64" s="1059"/>
      <c r="AH64" s="1059"/>
      <c r="AI64" s="1059"/>
      <c r="AJ64" s="1059"/>
      <c r="AK64" s="1059"/>
      <c r="AL64" s="1059"/>
      <c r="AM64" s="1059"/>
      <c r="AN64" s="1059"/>
      <c r="AO64" s="1059"/>
      <c r="AP64" s="1059"/>
      <c r="AQ64" s="1059"/>
      <c r="AR64" s="1059"/>
      <c r="AS64" s="1059"/>
      <c r="AT64" s="188"/>
      <c r="AV64" s="11"/>
      <c r="AW64" s="11"/>
      <c r="AX64" s="11"/>
      <c r="AY64" s="11"/>
      <c r="AZ64" s="11"/>
      <c r="BD64" s="11"/>
      <c r="BF64" s="5"/>
      <c r="BG64" s="5"/>
      <c r="BL64" s="12"/>
      <c r="BM64" s="12"/>
      <c r="BN64" s="11"/>
      <c r="BO64"/>
      <c r="BP64"/>
      <c r="BR64"/>
      <c r="BS64"/>
      <c r="BT64"/>
      <c r="BU64" s="11"/>
      <c r="BV64"/>
      <c r="BW64" s="3"/>
      <c r="BX64" s="3"/>
      <c r="CA64" s="441"/>
      <c r="CB64" s="441"/>
      <c r="CC64" s="12"/>
      <c r="CD64" s="12"/>
      <c r="CE64" s="12"/>
      <c r="CG64" s="11"/>
      <c r="CN64" s="11"/>
      <c r="CQ64" s="11"/>
      <c r="CR64" s="11"/>
      <c r="CS64" s="11"/>
      <c r="CT64" s="11"/>
      <c r="CW64" s="12"/>
      <c r="CX64" s="12"/>
      <c r="CY64" s="12"/>
      <c r="CZ64" s="12"/>
      <c r="DA64" s="12"/>
      <c r="DB64" s="12"/>
      <c r="DC64" s="12"/>
      <c r="DH64" s="56"/>
      <c r="DI64" s="56"/>
      <c r="DY64" s="11"/>
      <c r="DZ64" s="11"/>
      <c r="EA64" s="11"/>
      <c r="EB64" s="11"/>
      <c r="EC64" s="11"/>
      <c r="ED64" s="11"/>
      <c r="EE64" s="11"/>
      <c r="EF64"/>
      <c r="ET64" s="833"/>
      <c r="EW64" s="833"/>
    </row>
    <row r="65" spans="1:155" ht="23" customHeight="1">
      <c r="P65" s="1281"/>
      <c r="Q65" s="182"/>
      <c r="R65" s="1278"/>
      <c r="S65" s="1268"/>
      <c r="U65" s="1059"/>
      <c r="V65" s="1059"/>
      <c r="W65" s="1059"/>
      <c r="X65" s="1059"/>
      <c r="Y65" s="1059"/>
      <c r="Z65" s="1059"/>
      <c r="AA65" s="1059"/>
      <c r="AB65" s="1059"/>
      <c r="AC65" s="1059"/>
      <c r="AD65" s="1059"/>
      <c r="AE65" s="1059"/>
      <c r="AF65" s="1059"/>
      <c r="AG65" s="1059"/>
      <c r="AH65" s="1059"/>
      <c r="AI65" s="1059"/>
      <c r="AJ65" s="1059"/>
      <c r="AK65" s="1059"/>
      <c r="AL65" s="1059"/>
      <c r="AM65" s="1059"/>
      <c r="AN65" s="1059"/>
      <c r="AO65" s="1059"/>
      <c r="AP65" s="1059"/>
      <c r="AQ65" s="1059"/>
      <c r="AR65" s="1059"/>
      <c r="AS65" s="1059"/>
      <c r="AT65" s="188"/>
      <c r="AV65" s="11"/>
      <c r="AW65" s="11"/>
      <c r="AX65" s="11"/>
      <c r="AY65" s="11"/>
      <c r="AZ65" s="11"/>
      <c r="BD65" s="11"/>
      <c r="BF65" s="5"/>
      <c r="BG65" s="5"/>
      <c r="BL65" s="12"/>
      <c r="BM65" s="12"/>
      <c r="BN65" s="11"/>
      <c r="BO65"/>
      <c r="BP65"/>
      <c r="BR65"/>
      <c r="BS65"/>
      <c r="BT65"/>
      <c r="BU65" s="11"/>
      <c r="BV65"/>
      <c r="BW65" s="3"/>
      <c r="BX65" s="3"/>
      <c r="CA65" s="441"/>
      <c r="CB65" s="441"/>
      <c r="CC65" s="12"/>
      <c r="CD65" s="12"/>
      <c r="CE65" s="12"/>
      <c r="CG65" s="11"/>
      <c r="CN65" s="11"/>
      <c r="CQ65" s="11"/>
      <c r="CR65" s="11"/>
      <c r="CS65" s="11"/>
      <c r="CT65" s="11"/>
      <c r="CW65" s="12"/>
      <c r="CX65" s="12"/>
      <c r="CY65" s="12"/>
      <c r="CZ65" s="12"/>
      <c r="DA65" s="12"/>
      <c r="DB65" s="12"/>
      <c r="DC65" s="12"/>
      <c r="DH65" s="56"/>
      <c r="DI65" s="56"/>
      <c r="DY65" s="11"/>
      <c r="DZ65" s="11"/>
      <c r="EA65" s="11"/>
      <c r="EB65" s="11"/>
      <c r="EC65" s="11"/>
      <c r="ED65" s="11"/>
      <c r="EE65" s="11"/>
      <c r="EF65"/>
      <c r="ET65" s="833"/>
      <c r="EW65" s="833"/>
    </row>
    <row r="66" spans="1:155" s="11" customFormat="1">
      <c r="A66"/>
      <c r="B66"/>
      <c r="C66"/>
      <c r="D66"/>
      <c r="E66"/>
      <c r="F66"/>
      <c r="G66"/>
      <c r="H66"/>
      <c r="I66"/>
      <c r="J66"/>
      <c r="K66" s="3"/>
      <c r="L66"/>
      <c r="M66"/>
      <c r="N66"/>
      <c r="O66"/>
      <c r="P66" s="1281"/>
      <c r="Q66" s="182"/>
      <c r="R66" s="1288"/>
      <c r="S66" s="1267"/>
      <c r="U66"/>
      <c r="V66" s="1059"/>
      <c r="W66"/>
      <c r="X66" s="1059"/>
      <c r="Y66" s="1059"/>
      <c r="Z66" s="1059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 s="188"/>
      <c r="BC66"/>
      <c r="BF66" s="5"/>
      <c r="BG66" s="5"/>
      <c r="BH66"/>
      <c r="BI66"/>
      <c r="BJ66"/>
      <c r="BK66"/>
      <c r="BL66" s="12"/>
      <c r="BM66" s="12"/>
      <c r="BO66"/>
      <c r="BP66"/>
      <c r="BR66"/>
      <c r="BS66"/>
      <c r="BT66"/>
      <c r="BV66"/>
      <c r="BW66" s="3"/>
      <c r="BX66" s="3"/>
      <c r="CA66" s="441"/>
      <c r="CB66" s="441"/>
      <c r="CC66" s="12"/>
      <c r="CD66" s="12"/>
      <c r="CE66" s="12"/>
      <c r="CF66" s="12"/>
      <c r="CO66" s="12"/>
      <c r="CP66" s="12"/>
      <c r="CW66" s="12"/>
      <c r="CX66" s="12"/>
      <c r="CY66" s="12"/>
      <c r="CZ66" s="12"/>
      <c r="DA66" s="12"/>
      <c r="DB66" s="12"/>
      <c r="DC66" s="12"/>
      <c r="DH66" s="56"/>
      <c r="DI66" s="56"/>
      <c r="EF66"/>
      <c r="EG66" s="188"/>
      <c r="EH66" s="188"/>
      <c r="EI66" s="188"/>
      <c r="EJ66" s="188"/>
      <c r="EK66" s="188"/>
      <c r="EL66" s="188"/>
      <c r="EM66" s="188"/>
      <c r="EN66" s="188"/>
      <c r="EO66" s="188"/>
      <c r="EP66"/>
      <c r="EQ66" s="833"/>
      <c r="ET66" s="833"/>
      <c r="EW66" s="833"/>
    </row>
    <row r="67" spans="1:155" s="11" customFormat="1" ht="27" customHeight="1">
      <c r="A67"/>
      <c r="B67"/>
      <c r="C67"/>
      <c r="D67"/>
      <c r="E67"/>
      <c r="F67"/>
      <c r="G67"/>
      <c r="H67"/>
      <c r="I67"/>
      <c r="J67"/>
      <c r="K67" s="3"/>
      <c r="L67"/>
      <c r="M67"/>
      <c r="N67"/>
      <c r="O67"/>
      <c r="P67" s="1281"/>
      <c r="Q67" s="182"/>
      <c r="R67" s="1288"/>
      <c r="S67" s="1267"/>
      <c r="AT67" s="63"/>
      <c r="AU67" s="188"/>
      <c r="BD67"/>
      <c r="BH67" s="5"/>
      <c r="BI67" s="5"/>
      <c r="BJ67" s="5"/>
      <c r="BK67"/>
      <c r="BL67"/>
      <c r="BM67" s="12"/>
      <c r="BN67" s="12"/>
      <c r="BP67"/>
      <c r="BQ67"/>
      <c r="BS67"/>
      <c r="BT67"/>
      <c r="BV67"/>
      <c r="BW67"/>
      <c r="BX67" s="3"/>
      <c r="BY67" s="3"/>
      <c r="CC67" s="441"/>
      <c r="CD67" s="12"/>
      <c r="CE67" s="12"/>
      <c r="CF67" s="12"/>
      <c r="CG67" s="12"/>
      <c r="CP67" s="12"/>
      <c r="CQ67" s="12"/>
      <c r="CX67" s="12"/>
      <c r="CY67" s="12"/>
      <c r="CZ67" s="12"/>
      <c r="DA67" s="12"/>
      <c r="DB67" s="12"/>
      <c r="DC67" s="12"/>
      <c r="DD67" s="12"/>
      <c r="DJ67" s="56"/>
      <c r="EG67"/>
      <c r="EH67" s="188"/>
      <c r="EI67" s="188"/>
      <c r="EJ67" s="188"/>
      <c r="EK67" s="188"/>
      <c r="EL67" s="188"/>
      <c r="EM67" s="188"/>
      <c r="EN67" s="188"/>
      <c r="EO67" s="188"/>
      <c r="EP67"/>
      <c r="EQ67" s="188"/>
      <c r="ER67" s="833"/>
      <c r="EU67" s="833"/>
      <c r="EX67" s="833"/>
    </row>
    <row r="68" spans="1:155" s="11" customFormat="1" ht="27" customHeight="1">
      <c r="A68"/>
      <c r="B68"/>
      <c r="C68"/>
      <c r="D68"/>
      <c r="E68"/>
      <c r="F68"/>
      <c r="G68"/>
      <c r="H68"/>
      <c r="I68"/>
      <c r="J68"/>
      <c r="K68" s="3"/>
      <c r="L68"/>
      <c r="M68"/>
      <c r="N68"/>
      <c r="O68"/>
      <c r="P68" s="1281"/>
      <c r="Q68" s="182"/>
      <c r="R68" s="1288"/>
      <c r="S68" s="1267"/>
      <c r="AT68" s="63"/>
      <c r="AU68" s="188"/>
      <c r="BD68"/>
      <c r="BH68" s="5"/>
      <c r="BI68" s="5"/>
      <c r="BJ68" s="5"/>
      <c r="BK68"/>
      <c r="BL68"/>
      <c r="BM68" s="12"/>
      <c r="BN68" s="12"/>
      <c r="BP68"/>
      <c r="BQ68"/>
      <c r="BS68"/>
      <c r="BT68"/>
      <c r="BV68"/>
      <c r="BW68"/>
      <c r="BX68" s="3"/>
      <c r="BY68" s="3"/>
      <c r="CC68" s="441"/>
      <c r="CD68" s="12"/>
      <c r="CE68" s="12"/>
      <c r="CF68" s="12"/>
      <c r="CG68" s="12"/>
      <c r="CP68" s="12"/>
      <c r="CQ68" s="12"/>
      <c r="CX68" s="12"/>
      <c r="CY68" s="12"/>
      <c r="CZ68" s="12"/>
      <c r="DA68" s="12"/>
      <c r="DB68" s="12"/>
      <c r="DC68" s="12"/>
      <c r="DD68" s="12"/>
      <c r="DJ68" s="56"/>
      <c r="EG68"/>
      <c r="EH68" s="188"/>
      <c r="EI68" s="188"/>
      <c r="EJ68" s="188"/>
      <c r="EK68" s="188"/>
      <c r="EL68" s="188"/>
      <c r="EM68" s="188"/>
      <c r="EN68" s="188"/>
      <c r="EO68" s="188"/>
      <c r="EP68"/>
      <c r="EQ68" s="188"/>
      <c r="ER68" s="833"/>
      <c r="EU68" s="833"/>
      <c r="EX68" s="833"/>
    </row>
    <row r="69" spans="1:155" s="11" customFormat="1" ht="27" customHeight="1">
      <c r="A69"/>
      <c r="B69"/>
      <c r="C69"/>
      <c r="D69"/>
      <c r="E69"/>
      <c r="F69"/>
      <c r="G69"/>
      <c r="H69"/>
      <c r="I69"/>
      <c r="J69"/>
      <c r="K69" s="3"/>
      <c r="L69"/>
      <c r="M69"/>
      <c r="N69"/>
      <c r="O69"/>
      <c r="P69" s="1281"/>
      <c r="Q69" s="182"/>
      <c r="R69" s="1296"/>
      <c r="S69" s="1268"/>
      <c r="AT69" s="63"/>
      <c r="AU69" s="188"/>
      <c r="BD69"/>
      <c r="BH69" s="5"/>
      <c r="BI69" s="5"/>
      <c r="BJ69" s="5"/>
      <c r="BK69"/>
      <c r="BL69"/>
      <c r="BM69" s="12"/>
      <c r="BN69" s="12"/>
      <c r="BP69"/>
      <c r="BQ69"/>
      <c r="BS69"/>
      <c r="BT69"/>
      <c r="BV69"/>
      <c r="BW69"/>
      <c r="BX69" s="3"/>
      <c r="BY69" s="3"/>
      <c r="CC69" s="441"/>
      <c r="CD69" s="12"/>
      <c r="CE69" s="12"/>
      <c r="CF69" s="12"/>
      <c r="CG69" s="12"/>
      <c r="CP69" s="12"/>
      <c r="CQ69" s="12"/>
      <c r="CX69" s="12"/>
      <c r="CY69" s="12"/>
      <c r="CZ69" s="12"/>
      <c r="DA69" s="12"/>
      <c r="DB69" s="12"/>
      <c r="DC69" s="12"/>
      <c r="DD69" s="12"/>
      <c r="DJ69" s="56"/>
      <c r="EG69"/>
      <c r="EH69" s="188"/>
      <c r="EI69" s="188"/>
      <c r="EJ69" s="188"/>
      <c r="EK69" s="188"/>
      <c r="EL69" s="188"/>
      <c r="EM69" s="188"/>
      <c r="EN69" s="188"/>
      <c r="EO69" s="188"/>
      <c r="EP69"/>
      <c r="EQ69" s="188"/>
      <c r="ER69" s="833"/>
      <c r="EU69" s="833"/>
      <c r="EX69" s="833"/>
    </row>
    <row r="70" spans="1:155" s="11" customFormat="1" ht="27" customHeight="1">
      <c r="A70"/>
      <c r="B70"/>
      <c r="C70"/>
      <c r="D70"/>
      <c r="E70"/>
      <c r="F70"/>
      <c r="G70"/>
      <c r="H70"/>
      <c r="I70"/>
      <c r="J70"/>
      <c r="K70" s="3"/>
      <c r="L70"/>
      <c r="M70"/>
      <c r="N70"/>
      <c r="O70"/>
      <c r="P70" s="1281"/>
      <c r="Q70" s="182"/>
      <c r="R70" s="1319"/>
      <c r="S70" s="1268"/>
      <c r="U70" s="1320"/>
      <c r="V70" s="1320"/>
      <c r="W70" s="1320"/>
      <c r="X70" s="1320"/>
      <c r="Y70" s="1320"/>
      <c r="Z70" s="1320"/>
      <c r="AA70" s="1320"/>
      <c r="AB70" s="1320"/>
      <c r="AC70" s="1320"/>
      <c r="AD70" s="1320"/>
      <c r="AE70" s="1320"/>
      <c r="AF70" s="1320"/>
      <c r="AG70" s="1320"/>
      <c r="AH70" s="1320"/>
      <c r="AI70" s="1320"/>
      <c r="AJ70" s="1320"/>
      <c r="AK70" s="1320"/>
      <c r="AL70" s="1320"/>
      <c r="AM70" s="1320"/>
      <c r="AN70" s="1320"/>
      <c r="AO70" s="1320"/>
      <c r="AP70" s="1320"/>
      <c r="AQ70" s="1320"/>
      <c r="AR70" s="1320"/>
      <c r="AS70" s="1320"/>
      <c r="AT70" s="63"/>
      <c r="AU70" s="188"/>
      <c r="BD70"/>
      <c r="BH70" s="5"/>
      <c r="BI70" s="5"/>
      <c r="BJ70" s="5"/>
      <c r="BK70"/>
      <c r="BL70"/>
      <c r="BM70" s="12"/>
      <c r="BN70" s="12"/>
      <c r="BP70"/>
      <c r="BQ70"/>
      <c r="BS70"/>
      <c r="BT70"/>
      <c r="BV70"/>
      <c r="BW70"/>
      <c r="BX70" s="3"/>
      <c r="BY70" s="3"/>
      <c r="CC70" s="441"/>
      <c r="CD70" s="12"/>
      <c r="CE70" s="12"/>
      <c r="CF70" s="12"/>
      <c r="CG70" s="12"/>
      <c r="CP70" s="12"/>
      <c r="CQ70" s="12"/>
      <c r="CX70" s="12"/>
      <c r="CY70" s="12"/>
      <c r="CZ70" s="12"/>
      <c r="DA70" s="12"/>
      <c r="DB70" s="12"/>
      <c r="DC70" s="12"/>
      <c r="DD70" s="12"/>
      <c r="DJ70" s="56"/>
      <c r="EG70"/>
      <c r="EH70" s="188"/>
      <c r="EI70" s="188"/>
      <c r="EJ70" s="188"/>
      <c r="EK70" s="188"/>
      <c r="EL70" s="188"/>
      <c r="EM70" s="188"/>
      <c r="EN70" s="188"/>
      <c r="EO70" s="188"/>
      <c r="EP70"/>
      <c r="EQ70" s="188"/>
      <c r="ER70" s="833"/>
      <c r="EU70" s="833"/>
      <c r="EX70" s="833"/>
    </row>
    <row r="71" spans="1:155" ht="32" customHeight="1">
      <c r="P71" s="1281"/>
      <c r="Q71" s="1297"/>
      <c r="R71" s="1300"/>
      <c r="S71" s="1299"/>
      <c r="U71" s="63"/>
      <c r="W71" s="63"/>
      <c r="X71" s="11"/>
      <c r="Y71" s="11"/>
      <c r="Z71" s="11"/>
      <c r="AA71" s="11"/>
      <c r="AB71" s="11"/>
      <c r="AC71" s="11"/>
      <c r="AD71" s="11"/>
      <c r="AE71" s="11"/>
      <c r="AF71" s="11"/>
      <c r="AG71"/>
      <c r="AL71" s="63"/>
      <c r="AM71" s="63"/>
      <c r="AN71" s="63"/>
      <c r="AO71" s="63"/>
      <c r="AP71" s="63"/>
      <c r="AQ71" s="63"/>
      <c r="AR71" s="63"/>
      <c r="AS71" s="63"/>
      <c r="AV71" s="11"/>
      <c r="AW71" s="11"/>
      <c r="AX71" s="11"/>
      <c r="AY71" s="11"/>
      <c r="AZ71" s="11"/>
      <c r="BA71"/>
      <c r="BB71"/>
      <c r="BC71" s="11"/>
      <c r="BD71" s="11"/>
      <c r="BE71" s="5"/>
      <c r="BK71" s="12"/>
      <c r="BL71" s="12"/>
      <c r="BN71"/>
      <c r="BO71"/>
      <c r="BQ71"/>
      <c r="BR71"/>
      <c r="BS71"/>
      <c r="BT71" s="3"/>
      <c r="BU71" s="11"/>
      <c r="BV71" s="3"/>
      <c r="BW71" s="3"/>
      <c r="BZ71" s="441"/>
      <c r="CA71" s="12"/>
      <c r="CB71" s="12"/>
      <c r="CC71" s="12"/>
      <c r="CD71" s="12"/>
      <c r="CE71" s="12"/>
      <c r="CF71" s="11"/>
      <c r="CG71" s="11"/>
      <c r="CP71" s="11"/>
      <c r="CQ71" s="11"/>
      <c r="CR71" s="11"/>
      <c r="CS71" s="11"/>
      <c r="CT71" s="11"/>
      <c r="CV71" s="12"/>
      <c r="CW71" s="12"/>
      <c r="CX71" s="12"/>
      <c r="CY71" s="12"/>
      <c r="CZ71" s="12"/>
      <c r="DA71" s="12"/>
      <c r="DB71" s="12"/>
      <c r="DH71" s="56"/>
      <c r="DY71" s="11"/>
      <c r="DZ71" s="11"/>
      <c r="EA71" s="11"/>
      <c r="EB71" s="11"/>
      <c r="EC71" s="11"/>
      <c r="ED71" s="11"/>
      <c r="EE71" s="11"/>
      <c r="EF71" s="11"/>
      <c r="EG71"/>
      <c r="EQ71"/>
      <c r="ER71" s="188"/>
      <c r="ES71" s="833"/>
      <c r="EU71" s="188"/>
      <c r="EV71" s="833"/>
      <c r="EX71" s="188"/>
      <c r="EY71" s="833"/>
    </row>
    <row r="72" spans="1:155" ht="36" customHeight="1">
      <c r="P72" s="1281"/>
      <c r="Q72" s="1297"/>
      <c r="R72" s="1298"/>
      <c r="S72" s="1299"/>
      <c r="U72" s="1059"/>
      <c r="V72" s="1059"/>
      <c r="W72" s="1059"/>
      <c r="X72" s="1059"/>
      <c r="Y72" s="1059"/>
      <c r="Z72" s="1059"/>
      <c r="AA72" s="1059"/>
      <c r="AB72" s="1059"/>
      <c r="AC72" s="1059"/>
      <c r="AD72" s="1059"/>
      <c r="AE72" s="1059"/>
      <c r="AF72" s="1059"/>
      <c r="AG72" s="1059"/>
      <c r="AH72" s="1059"/>
      <c r="AI72" s="1059"/>
      <c r="AJ72" s="1059"/>
      <c r="AK72" s="1059"/>
      <c r="AL72" s="1059"/>
      <c r="AM72" s="1059"/>
      <c r="AN72" s="1059"/>
      <c r="AO72" s="1059"/>
      <c r="AP72" s="1059"/>
      <c r="AQ72" s="1059"/>
      <c r="AR72" s="1059"/>
      <c r="AS72" s="1059"/>
      <c r="AV72" s="11"/>
      <c r="AW72" s="11"/>
      <c r="AX72" s="11"/>
      <c r="AY72" s="11"/>
      <c r="AZ72" s="11"/>
      <c r="BA72"/>
      <c r="BB72"/>
      <c r="BC72" s="11"/>
      <c r="BD72" s="11"/>
      <c r="BE72" s="5"/>
      <c r="BK72" s="12"/>
      <c r="BL72" s="12"/>
      <c r="BN72"/>
      <c r="BO72"/>
      <c r="BQ72"/>
      <c r="BR72"/>
      <c r="BS72"/>
      <c r="BT72" s="3"/>
      <c r="BU72" s="11"/>
      <c r="BV72" s="3"/>
      <c r="BW72" s="3"/>
      <c r="BZ72" s="441"/>
      <c r="CA72" s="12"/>
      <c r="CB72" s="12"/>
      <c r="CC72" s="12"/>
      <c r="CD72" s="12"/>
      <c r="CE72" s="12"/>
      <c r="CF72" s="11"/>
      <c r="CG72" s="11"/>
      <c r="CP72" s="11"/>
      <c r="CQ72" s="11"/>
      <c r="CR72" s="11"/>
      <c r="CS72" s="11"/>
      <c r="CT72" s="11"/>
      <c r="CV72" s="12"/>
      <c r="CW72" s="12"/>
      <c r="CX72" s="12"/>
      <c r="CY72" s="12"/>
      <c r="CZ72" s="12"/>
      <c r="DA72" s="12"/>
      <c r="DB72" s="12"/>
      <c r="DH72" s="56"/>
      <c r="DY72" s="11"/>
      <c r="DZ72" s="11"/>
      <c r="EA72" s="11"/>
      <c r="EB72" s="11"/>
      <c r="EC72" s="11"/>
      <c r="ED72" s="11"/>
      <c r="EE72" s="11"/>
      <c r="EF72" s="11"/>
      <c r="EG72"/>
      <c r="EQ72"/>
      <c r="ER72" s="188"/>
      <c r="ES72" s="833"/>
      <c r="EU72" s="188"/>
      <c r="EV72" s="833"/>
      <c r="EX72" s="188"/>
      <c r="EY72" s="833"/>
    </row>
    <row r="73" spans="1:155" s="11" customFormat="1" ht="25" customHeight="1">
      <c r="A73"/>
      <c r="B73"/>
      <c r="C73"/>
      <c r="D73"/>
      <c r="E73"/>
      <c r="F73"/>
      <c r="G73"/>
      <c r="H73"/>
      <c r="I73"/>
      <c r="J73"/>
      <c r="K73" s="3"/>
      <c r="L73"/>
      <c r="M73"/>
      <c r="N73"/>
      <c r="O73"/>
      <c r="P73" s="1281"/>
      <c r="Q73" s="182"/>
      <c r="R73" s="1278"/>
      <c r="S73" s="1268"/>
      <c r="U73" s="1059"/>
      <c r="V73" s="1059"/>
      <c r="W73" s="1059"/>
      <c r="X73" s="1059"/>
      <c r="Y73" s="1059"/>
      <c r="Z73" s="1059"/>
      <c r="AA73" s="1059"/>
      <c r="AB73" s="1059"/>
      <c r="AC73" s="1059"/>
      <c r="AD73" s="1059"/>
      <c r="AE73" s="1059"/>
      <c r="AF73" s="1059"/>
      <c r="AG73" s="1059"/>
      <c r="AH73" s="1059"/>
      <c r="AI73" s="1059"/>
      <c r="AJ73" s="1059"/>
      <c r="AK73" s="1059"/>
      <c r="AL73" s="1059"/>
      <c r="AM73" s="1059"/>
      <c r="AN73" s="1059"/>
      <c r="AO73" s="1059"/>
      <c r="AP73" s="1059"/>
      <c r="AQ73" s="1059"/>
      <c r="AR73" s="1059"/>
      <c r="AS73" s="1059"/>
      <c r="AT73" s="63"/>
      <c r="AU73" s="188"/>
      <c r="BD73"/>
      <c r="BH73" s="5"/>
      <c r="BI73" s="5"/>
      <c r="BJ73" s="5"/>
      <c r="BK73"/>
      <c r="BL73"/>
      <c r="BM73" s="12"/>
      <c r="BN73" s="12"/>
      <c r="BP73"/>
      <c r="BQ73"/>
      <c r="BS73"/>
      <c r="BT73"/>
      <c r="BV73"/>
      <c r="BW73"/>
      <c r="BX73" s="3"/>
      <c r="BY73" s="3"/>
      <c r="CC73" s="441"/>
      <c r="CD73" s="12"/>
      <c r="CE73" s="12"/>
      <c r="CF73" s="12"/>
      <c r="CG73" s="12"/>
      <c r="CP73" s="12"/>
      <c r="CQ73" s="12"/>
      <c r="CX73" s="12"/>
      <c r="CY73" s="12"/>
      <c r="CZ73" s="12"/>
      <c r="DA73" s="12"/>
      <c r="DB73" s="12"/>
      <c r="DC73" s="12"/>
      <c r="DD73" s="12"/>
      <c r="DJ73" s="56"/>
      <c r="EI73"/>
      <c r="EJ73" s="188"/>
      <c r="EK73" s="188"/>
      <c r="EL73" s="188"/>
      <c r="EM73" s="188"/>
      <c r="EN73" s="188"/>
      <c r="EO73" s="188"/>
      <c r="EP73"/>
      <c r="EQ73" s="188"/>
      <c r="ER73" s="833"/>
      <c r="ES73"/>
      <c r="ET73" s="188"/>
      <c r="EU73" s="833"/>
      <c r="EV73"/>
      <c r="EW73" s="188"/>
      <c r="EX73" s="833"/>
      <c r="EY73"/>
    </row>
    <row r="74" spans="1:155" s="11" customFormat="1" ht="25" customHeight="1">
      <c r="A74"/>
      <c r="B74"/>
      <c r="C74"/>
      <c r="D74"/>
      <c r="E74"/>
      <c r="F74"/>
      <c r="G74"/>
      <c r="H74"/>
      <c r="I74"/>
      <c r="J74"/>
      <c r="K74" s="3"/>
      <c r="L74"/>
      <c r="M74"/>
      <c r="N74"/>
      <c r="O74"/>
      <c r="P74" s="1281"/>
      <c r="Q74" s="1326"/>
      <c r="R74" s="1327"/>
      <c r="S74" s="1328"/>
      <c r="U74" s="1333"/>
      <c r="V74" s="1333"/>
      <c r="W74" s="1333"/>
      <c r="X74" s="1333"/>
      <c r="Y74" s="1333"/>
      <c r="Z74" s="1333"/>
      <c r="AA74" s="1333"/>
      <c r="AB74" s="1333"/>
      <c r="AC74" s="1333"/>
      <c r="AD74" s="1333"/>
      <c r="AE74" s="1333"/>
      <c r="AF74" s="1333"/>
      <c r="AG74" s="1333"/>
      <c r="AH74" s="1333"/>
      <c r="AI74" s="1333"/>
      <c r="AJ74" s="1333"/>
      <c r="AK74" s="1333"/>
      <c r="AL74" s="1333"/>
      <c r="AM74" s="1333"/>
      <c r="AN74" s="1333"/>
      <c r="AO74" s="1333"/>
      <c r="AP74" s="1333"/>
      <c r="AQ74" s="1333"/>
      <c r="AR74" s="1333"/>
      <c r="AS74" s="1333"/>
      <c r="AT74" s="63"/>
      <c r="AU74" s="188"/>
      <c r="BD74"/>
      <c r="BH74" s="5"/>
      <c r="BI74" s="5"/>
      <c r="BJ74" s="5"/>
      <c r="BK74"/>
      <c r="BL74"/>
      <c r="BM74" s="12"/>
      <c r="BN74" s="12"/>
      <c r="BP74"/>
      <c r="BQ74"/>
      <c r="BS74"/>
      <c r="BT74"/>
      <c r="BV74"/>
      <c r="BW74"/>
      <c r="BX74" s="3"/>
      <c r="BY74" s="3"/>
      <c r="CC74" s="441"/>
      <c r="CD74" s="12"/>
      <c r="CE74" s="12"/>
      <c r="CF74" s="12"/>
      <c r="CG74" s="12"/>
      <c r="CP74" s="12"/>
      <c r="CQ74" s="12"/>
      <c r="CX74" s="12"/>
      <c r="CY74" s="12"/>
      <c r="CZ74" s="12"/>
      <c r="DA74" s="12"/>
      <c r="DB74" s="12"/>
      <c r="DC74" s="12"/>
      <c r="DD74" s="12"/>
      <c r="DJ74" s="56"/>
      <c r="EI74"/>
      <c r="EJ74" s="188"/>
      <c r="EK74" s="188"/>
      <c r="EL74" s="188"/>
      <c r="EM74" s="188"/>
      <c r="EN74" s="188"/>
      <c r="EO74" s="188"/>
      <c r="EP74"/>
      <c r="EQ74" s="188"/>
      <c r="ER74" s="833"/>
      <c r="ES74"/>
      <c r="ET74" s="188"/>
      <c r="EU74" s="833"/>
      <c r="EV74"/>
      <c r="EW74" s="188"/>
      <c r="EX74" s="833"/>
      <c r="EY74"/>
    </row>
    <row r="75" spans="1:155" s="11" customFormat="1" ht="26" customHeight="1">
      <c r="A75"/>
      <c r="B75"/>
      <c r="C75"/>
      <c r="D75"/>
      <c r="E75"/>
      <c r="F75"/>
      <c r="G75"/>
      <c r="H75"/>
      <c r="I75"/>
      <c r="J75"/>
      <c r="K75" s="3"/>
      <c r="L75"/>
      <c r="M75"/>
      <c r="N75"/>
      <c r="O75"/>
      <c r="P75" s="1280"/>
      <c r="Q75" s="1330"/>
      <c r="R75" s="1331"/>
      <c r="S75" s="1332"/>
      <c r="T75"/>
      <c r="U75" s="1329"/>
      <c r="V75" s="1329"/>
      <c r="W75" s="1329"/>
      <c r="X75" s="1329"/>
      <c r="Y75" s="1329"/>
      <c r="Z75" s="1329"/>
      <c r="AA75" s="1329"/>
      <c r="AB75" s="1329"/>
      <c r="AC75" s="1329"/>
      <c r="AD75" s="1329"/>
      <c r="AE75" s="1329"/>
      <c r="AF75" s="1329"/>
      <c r="AG75" s="1329"/>
      <c r="AH75" s="1329"/>
      <c r="AI75" s="1329"/>
      <c r="AJ75" s="1329"/>
      <c r="AK75" s="1329"/>
      <c r="AL75" s="1329"/>
      <c r="AM75" s="1329"/>
      <c r="AN75" s="1329"/>
      <c r="AO75" s="1329"/>
      <c r="AP75" s="1329"/>
      <c r="AQ75" s="1329"/>
      <c r="AR75" s="1329"/>
      <c r="AS75" s="1329"/>
      <c r="AT75"/>
      <c r="AU75" s="188"/>
      <c r="BD75"/>
      <c r="BH75" s="5"/>
      <c r="BI75" s="5"/>
      <c r="BJ75" s="5"/>
      <c r="BK75"/>
      <c r="BL75"/>
      <c r="BM75" s="12"/>
      <c r="BN75" s="12"/>
      <c r="BP75"/>
      <c r="BQ75"/>
      <c r="BS75"/>
      <c r="BT75"/>
      <c r="BV75"/>
      <c r="BW75"/>
      <c r="BX75" s="3"/>
      <c r="BY75" s="3"/>
      <c r="CC75" s="441"/>
      <c r="CD75" s="12"/>
      <c r="CE75" s="12"/>
      <c r="CF75" s="12"/>
      <c r="CG75" s="12"/>
      <c r="CP75" s="12"/>
      <c r="CQ75" s="12"/>
      <c r="CX75" s="12"/>
      <c r="CY75" s="12"/>
      <c r="CZ75" s="12"/>
      <c r="DA75" s="12"/>
      <c r="DB75" s="12"/>
      <c r="DC75" s="12"/>
      <c r="DD75" s="12"/>
      <c r="DJ75" s="56"/>
      <c r="EG75"/>
      <c r="EH75" s="188"/>
      <c r="EI75" s="188"/>
      <c r="EJ75" s="188"/>
      <c r="EK75" s="188"/>
      <c r="EL75" s="188"/>
      <c r="EM75" s="188"/>
      <c r="EN75" s="188"/>
      <c r="EO75" s="188"/>
      <c r="EP75"/>
      <c r="EQ75" s="188"/>
      <c r="ER75" s="833"/>
      <c r="EU75" s="833"/>
      <c r="EX75" s="833"/>
    </row>
    <row r="76" spans="1:155" s="11" customFormat="1" ht="26" customHeight="1">
      <c r="A76"/>
      <c r="B76"/>
      <c r="C76"/>
      <c r="D76"/>
      <c r="E76"/>
      <c r="F76"/>
      <c r="G76"/>
      <c r="H76"/>
      <c r="I76"/>
      <c r="J76"/>
      <c r="K76" s="3"/>
      <c r="L76"/>
      <c r="M76"/>
      <c r="N76"/>
      <c r="O76"/>
      <c r="P76" s="1280"/>
      <c r="Q76" s="1334"/>
      <c r="R76" s="1335"/>
      <c r="S76" s="1336"/>
      <c r="T76"/>
      <c r="U76" s="1337"/>
      <c r="V76" s="1337"/>
      <c r="W76" s="1337"/>
      <c r="X76" s="1337"/>
      <c r="Y76" s="1337"/>
      <c r="Z76" s="1337"/>
      <c r="AA76" s="1337"/>
      <c r="AB76" s="1337"/>
      <c r="AC76" s="1337"/>
      <c r="AD76" s="1337"/>
      <c r="AE76" s="1337"/>
      <c r="AF76" s="1337"/>
      <c r="AG76" s="1337"/>
      <c r="AH76" s="1337"/>
      <c r="AI76" s="1337"/>
      <c r="AJ76" s="1337"/>
      <c r="AK76" s="1337"/>
      <c r="AL76" s="1337"/>
      <c r="AM76" s="1337"/>
      <c r="AN76" s="1337"/>
      <c r="AO76" s="1337"/>
      <c r="AP76" s="1337"/>
      <c r="AQ76" s="1337"/>
      <c r="AR76" s="1337"/>
      <c r="AS76" s="1337"/>
      <c r="AT76"/>
      <c r="AU76" s="188"/>
      <c r="BD76"/>
      <c r="BH76" s="5"/>
      <c r="BI76" s="5"/>
      <c r="BJ76" s="5"/>
      <c r="BK76"/>
      <c r="BL76"/>
      <c r="BM76" s="12"/>
      <c r="BN76" s="12"/>
      <c r="BP76"/>
      <c r="BQ76"/>
      <c r="BS76"/>
      <c r="BT76"/>
      <c r="BV76"/>
      <c r="BW76"/>
      <c r="BX76" s="3"/>
      <c r="BY76" s="3"/>
      <c r="CC76" s="441"/>
      <c r="CD76" s="12"/>
      <c r="CE76" s="12"/>
      <c r="CF76" s="12"/>
      <c r="CG76" s="12"/>
      <c r="CP76" s="12"/>
      <c r="CQ76" s="12"/>
      <c r="CX76" s="12"/>
      <c r="CY76" s="12"/>
      <c r="CZ76" s="12"/>
      <c r="DA76" s="12"/>
      <c r="DB76" s="12"/>
      <c r="DC76" s="12"/>
      <c r="DD76" s="12"/>
      <c r="DJ76" s="56"/>
      <c r="EG76"/>
      <c r="EH76" s="188"/>
      <c r="EI76" s="188"/>
      <c r="EJ76" s="188"/>
      <c r="EK76" s="188"/>
      <c r="EL76" s="188"/>
      <c r="EM76" s="188"/>
      <c r="EN76" s="188"/>
      <c r="EO76" s="188"/>
      <c r="EP76"/>
      <c r="EQ76" s="188"/>
      <c r="ER76" s="833"/>
      <c r="EU76" s="833"/>
      <c r="EX76" s="833"/>
    </row>
    <row r="77" spans="1:155" s="11" customFormat="1" ht="26" customHeight="1" thickBot="1">
      <c r="A77"/>
      <c r="B77"/>
      <c r="C77"/>
      <c r="D77"/>
      <c r="E77"/>
      <c r="F77"/>
      <c r="G77"/>
      <c r="H77"/>
      <c r="I77"/>
      <c r="J77"/>
      <c r="K77" s="3"/>
      <c r="L77"/>
      <c r="M77"/>
      <c r="N77"/>
      <c r="O77"/>
      <c r="P77" s="1280"/>
      <c r="Q77" s="1292"/>
      <c r="R77" s="1301"/>
      <c r="S77" s="1302"/>
      <c r="T77"/>
      <c r="U77" s="1059"/>
      <c r="V77" s="1059"/>
      <c r="W77" s="1059"/>
      <c r="X77" s="1059"/>
      <c r="Y77" s="1059"/>
      <c r="Z77" s="1059"/>
      <c r="AA77" s="1059"/>
      <c r="AB77" s="1059"/>
      <c r="AC77" s="1059"/>
      <c r="AD77" s="1059"/>
      <c r="AE77" s="1059"/>
      <c r="AF77" s="1059"/>
      <c r="AG77" s="1059"/>
      <c r="AH77" s="1059"/>
      <c r="AI77" s="1059"/>
      <c r="AJ77" s="1059"/>
      <c r="AK77" s="63"/>
      <c r="AL77"/>
      <c r="AM77"/>
      <c r="AN77" s="188"/>
      <c r="AQ77" s="188"/>
      <c r="AR77"/>
      <c r="AS77" s="188"/>
      <c r="AU77"/>
      <c r="AX77" s="5"/>
      <c r="AY77"/>
      <c r="AZ77"/>
      <c r="BA77" s="12"/>
      <c r="BB77" s="12"/>
      <c r="BC77" s="12"/>
      <c r="BE77"/>
      <c r="BF77"/>
      <c r="BG77"/>
      <c r="BK77"/>
      <c r="BL77"/>
      <c r="BN77"/>
      <c r="BO77"/>
      <c r="BP77" s="3"/>
      <c r="BQ77" s="3"/>
      <c r="BT77" s="441"/>
      <c r="BU77" s="12"/>
      <c r="BV77" s="12"/>
      <c r="BW77" s="12"/>
      <c r="BX77" s="12"/>
      <c r="CH77" s="12"/>
      <c r="CI77" s="12"/>
      <c r="CP77" s="12"/>
      <c r="CQ77" s="12"/>
      <c r="CR77" s="12"/>
      <c r="CS77" s="12"/>
      <c r="CT77" s="12"/>
      <c r="CU77" s="12"/>
      <c r="CV77" s="12"/>
      <c r="DB77" s="56"/>
      <c r="DY77"/>
      <c r="DZ77" s="188"/>
      <c r="EA77" s="188"/>
      <c r="EB77" s="188"/>
      <c r="EC77" s="188"/>
      <c r="ED77" s="188"/>
      <c r="EE77" s="188"/>
      <c r="EF77" s="188"/>
      <c r="EG77" s="188"/>
      <c r="EH77" s="188"/>
      <c r="EI77" s="188"/>
      <c r="EJ77" s="188"/>
      <c r="EK77" s="188"/>
      <c r="EL77" s="188"/>
      <c r="EM77" s="188"/>
      <c r="EN77" s="188"/>
      <c r="EO77" s="188"/>
      <c r="EP77"/>
    </row>
  </sheetData>
  <sheetProtection selectLockedCells="1" selectUnlockedCells="1"/>
  <phoneticPr fontId="39" type="noConversion"/>
  <conditionalFormatting sqref="A7:G55 K7:AI55 AL7:AT55 DZ7:EO56 CC8:DX55 BI15:BI55 AU24:AV55 AW32:BH55 BJ35:CB55">
    <cfRule type="expression" dxfId="29" priority="9">
      <formula>ROW()=EVEN(ROW())</formula>
    </cfRule>
  </conditionalFormatting>
  <conditionalFormatting sqref="C2 EO6 A56:AI56 A57:EP57">
    <cfRule type="expression" dxfId="28" priority="53">
      <formula>ROW()=EVEN(ROW())</formula>
    </cfRule>
  </conditionalFormatting>
  <conditionalFormatting sqref="C7:C55">
    <cfRule type="aboveAverage" dxfId="27" priority="1769"/>
  </conditionalFormatting>
  <conditionalFormatting sqref="G7:J55">
    <cfRule type="cellIs" dxfId="26" priority="1" operator="lessThan">
      <formula>0</formula>
    </cfRule>
    <cfRule type="cellIs" dxfId="25" priority="2" operator="greaterThan">
      <formula>0</formula>
    </cfRule>
    <cfRule type="expression" dxfId="24" priority="3" stopIfTrue="1">
      <formula>ROW()=EVEN(ROW())</formula>
    </cfRule>
  </conditionalFormatting>
  <conditionalFormatting sqref="M7:N55">
    <cfRule type="cellIs" dxfId="23" priority="4" operator="equal">
      <formula>"SS"</formula>
    </cfRule>
    <cfRule type="cellIs" dxfId="22" priority="5" operator="equal">
      <formula>"BB"</formula>
    </cfRule>
    <cfRule type="cellIs" dxfId="21" priority="6" operator="equal">
      <formula>"B"</formula>
    </cfRule>
    <cfRule type="cellIs" dxfId="20" priority="7" operator="equal">
      <formula>"S"</formula>
    </cfRule>
    <cfRule type="cellIs" dxfId="19" priority="8" operator="equal">
      <formula>"N"</formula>
    </cfRule>
  </conditionalFormatting>
  <conditionalFormatting sqref="Q18:R19">
    <cfRule type="expression" dxfId="18" priority="28">
      <formula>ROW()=EVEN(ROW())</formula>
    </cfRule>
  </conditionalFormatting>
  <conditionalFormatting sqref="S17:S19">
    <cfRule type="expression" dxfId="17" priority="29">
      <formula>ROW()=EVEN(ROW())</formula>
    </cfRule>
  </conditionalFormatting>
  <conditionalFormatting sqref="T2">
    <cfRule type="expression" dxfId="16" priority="52">
      <formula>ROW()=EVEN(ROW())</formula>
    </cfRule>
  </conditionalFormatting>
  <conditionalFormatting sqref="T16">
    <cfRule type="expression" dxfId="15" priority="54">
      <formula>ROW()=EVEN(ROW())</formula>
    </cfRule>
  </conditionalFormatting>
  <conditionalFormatting sqref="Z7:Z55">
    <cfRule type="containsText" dxfId="14" priority="40" operator="containsText" text="B">
      <formula>NOT(ISERROR(SEARCH("B",Z7)))</formula>
    </cfRule>
    <cfRule type="containsText" dxfId="13" priority="41" operator="containsText" text="S">
      <formula>NOT(ISERROR(SEARCH("S",Z7)))</formula>
    </cfRule>
  </conditionalFormatting>
  <conditionalFormatting sqref="Z56:Z57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{6E8EA640-8E56-9745-BCA2-5BB42AEC475E}</x14:id>
        </ext>
      </extLst>
    </cfRule>
  </conditionalFormatting>
  <conditionalFormatting sqref="AG2:AH2">
    <cfRule type="expression" dxfId="12" priority="51">
      <formula>ROW()=EVEN(ROW())</formula>
    </cfRule>
  </conditionalFormatting>
  <conditionalFormatting sqref="AK56:DX56">
    <cfRule type="expression" dxfId="11" priority="39">
      <formula>ROW()=EVEN(ROW())</formula>
    </cfRule>
  </conditionalFormatting>
  <conditionalFormatting sqref="BT7:BT34 BU8:CB34 BJ15:BS34">
    <cfRule type="expression" dxfId="10" priority="27">
      <formula>ROW()=EVEN(ROW())</formula>
    </cfRule>
  </conditionalFormatting>
  <conditionalFormatting sqref="BU7:DX7 AU7:BS11 BI12:BS14 AU12:BB23 BC12:BH31 AW24:BB31 EP56">
    <cfRule type="expression" dxfId="9" priority="48">
      <formula>ROW()=EVEN(ROW())</formula>
    </cfRule>
  </conditionalFormatting>
  <conditionalFormatting sqref="EO58:EP58">
    <cfRule type="expression" dxfId="8" priority="49">
      <formula>ROW()=EVEN(ROW())</formula>
    </cfRule>
  </conditionalFormatting>
  <pageMargins left="0.25" right="0.25" top="0.75" bottom="0.75" header="0.3" footer="0.3"/>
  <pageSetup paperSize="9" scale="2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EA640-8E56-9745-BCA2-5BB42AEC47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Z56:Z57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B6ED-37A7-5A41-ABBB-91950D7FC249}">
  <sheetPr codeName="Sheet7">
    <tabColor theme="0" tint="-0.34998626667073579"/>
    <pageSetUpPr fitToPage="1"/>
  </sheetPr>
  <dimension ref="A1:AQ35"/>
  <sheetViews>
    <sheetView zoomScale="60" zoomScaleNormal="6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H28" sqref="H28"/>
    </sheetView>
  </sheetViews>
  <sheetFormatPr baseColWidth="10" defaultColWidth="11" defaultRowHeight="24"/>
  <cols>
    <col min="1" max="1" width="11.83203125" customWidth="1"/>
    <col min="3" max="3" width="10.6640625" customWidth="1"/>
    <col min="4" max="4" width="12" customWidth="1"/>
    <col min="5" max="5" width="23.83203125" bestFit="1" customWidth="1"/>
    <col min="6" max="6" width="9" customWidth="1"/>
    <col min="8" max="8" width="14.83203125" style="11" customWidth="1"/>
    <col min="9" max="9" width="14" style="119" customWidth="1"/>
    <col min="10" max="13" width="12" style="112" customWidth="1"/>
    <col min="14" max="29" width="11.6640625" style="112" customWidth="1"/>
    <col min="30" max="30" width="14.33203125" style="112" customWidth="1"/>
    <col min="31" max="31" width="11.6640625" style="112" customWidth="1"/>
    <col min="32" max="41" width="13.83203125" style="112" customWidth="1"/>
    <col min="42" max="42" width="10.83203125" customWidth="1"/>
  </cols>
  <sheetData>
    <row r="1" spans="1:43" ht="24" customHeight="1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/>
      <c r="M1"/>
      <c r="N1">
        <v>17</v>
      </c>
      <c r="O1">
        <v>18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19</v>
      </c>
      <c r="AA1">
        <v>20</v>
      </c>
      <c r="AB1"/>
      <c r="AC1"/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>
        <v>31</v>
      </c>
      <c r="AN1"/>
      <c r="AO1"/>
      <c r="AP1">
        <v>28</v>
      </c>
      <c r="AQ1">
        <v>29</v>
      </c>
    </row>
    <row r="2" spans="1:43" ht="21">
      <c r="A2" s="155">
        <f>Cement!L2</f>
        <v>0</v>
      </c>
      <c r="B2" s="167">
        <f>Cement!A2</f>
        <v>189000</v>
      </c>
      <c r="C2" s="155">
        <f>Cement!B2</f>
        <v>0</v>
      </c>
      <c r="D2" s="155">
        <f>Cement!O2</f>
        <v>0</v>
      </c>
      <c r="E2" s="155">
        <f>Cement!P2</f>
        <v>0</v>
      </c>
      <c r="F2" s="155">
        <f>Cement!Q2</f>
        <v>0</v>
      </c>
      <c r="G2" s="156">
        <f>Cement!R2</f>
        <v>0</v>
      </c>
      <c r="H2" s="156">
        <f>Cement!S2</f>
        <v>329404.23839199997</v>
      </c>
      <c r="I2" s="157">
        <f>Cement!V2</f>
        <v>23365.111939825016</v>
      </c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</row>
    <row r="3" spans="1:43" s="30" customFormat="1" ht="28" customHeight="1">
      <c r="A3" s="34" t="str">
        <f>Cement!L3</f>
        <v>Rank</v>
      </c>
      <c r="B3" s="34" t="str">
        <f>Cement!A3</f>
        <v>Point</v>
      </c>
      <c r="C3" s="34" t="str">
        <f>Cement!B3</f>
        <v>Point</v>
      </c>
      <c r="D3" s="34" t="str">
        <f>Cement!O3</f>
        <v>Control</v>
      </c>
      <c r="E3" s="34">
        <f>Cement!P3</f>
        <v>0</v>
      </c>
      <c r="F3" s="61">
        <f>Cement!Q3</f>
        <v>0</v>
      </c>
      <c r="G3" s="35" t="str">
        <f>Cement!R3</f>
        <v>Month</v>
      </c>
      <c r="H3" s="34" t="str">
        <f>Cement!S3</f>
        <v>IBT</v>
      </c>
      <c r="I3" s="115" t="str">
        <f>Cement!V3</f>
        <v>Rial</v>
      </c>
      <c r="J3" s="108" t="str">
        <f>Cement!AU3</f>
        <v>Point-1</v>
      </c>
      <c r="K3" s="139" t="s">
        <v>1683</v>
      </c>
      <c r="L3" s="108" t="str">
        <f>Cement!BB3</f>
        <v>Point-2</v>
      </c>
      <c r="M3" s="139" t="s">
        <v>1684</v>
      </c>
      <c r="N3" s="113" t="str">
        <f>Cement!BJ3</f>
        <v>Point-3</v>
      </c>
      <c r="O3" s="139" t="s">
        <v>1685</v>
      </c>
      <c r="P3" s="113" t="str">
        <f>Cement!BL3</f>
        <v>Point-4</v>
      </c>
      <c r="Q3" s="139" t="s">
        <v>1685</v>
      </c>
      <c r="R3" s="113" t="str">
        <f>Cement!BW3</f>
        <v>Point-5</v>
      </c>
      <c r="S3" s="139" t="s">
        <v>1686</v>
      </c>
      <c r="T3" s="113" t="str">
        <f>Cement!CD3</f>
        <v>Point-6</v>
      </c>
      <c r="U3" s="139" t="s">
        <v>1687</v>
      </c>
      <c r="V3" s="113" t="str">
        <f>Cement!CF3</f>
        <v>Point-7</v>
      </c>
      <c r="W3" s="139" t="s">
        <v>1688</v>
      </c>
      <c r="X3" s="113" t="str">
        <f>Cement!CH3</f>
        <v>Point-8</v>
      </c>
      <c r="Y3" s="139" t="s">
        <v>1689</v>
      </c>
      <c r="Z3" s="113" t="str">
        <f>Cement!DA3</f>
        <v>Point-9</v>
      </c>
      <c r="AA3" s="139" t="s">
        <v>1690</v>
      </c>
      <c r="AB3" s="1060" t="str">
        <f>Cement!DN3</f>
        <v>Point-10</v>
      </c>
      <c r="AC3" s="139" t="s">
        <v>1691</v>
      </c>
      <c r="AD3" s="113" t="str">
        <f>Cement!DP3</f>
        <v>Point-11</v>
      </c>
      <c r="AE3" s="139" t="s">
        <v>1692</v>
      </c>
      <c r="AF3" s="113" t="str">
        <f>Cement!DW3</f>
        <v>Point-12</v>
      </c>
      <c r="AG3" s="139" t="s">
        <v>1693</v>
      </c>
      <c r="AH3" s="113" t="str">
        <f>Cement!DY3</f>
        <v>Point-13</v>
      </c>
      <c r="AI3" s="139" t="s">
        <v>1694</v>
      </c>
      <c r="AJ3" s="113" t="str">
        <f>Cement!EA3</f>
        <v>Point-14</v>
      </c>
      <c r="AK3" s="139" t="s">
        <v>1695</v>
      </c>
      <c r="AL3" s="113" t="str">
        <f>Cement!EC3</f>
        <v>Point-15</v>
      </c>
      <c r="AM3" s="139" t="s">
        <v>1696</v>
      </c>
      <c r="AN3" s="139"/>
      <c r="AO3" s="139"/>
      <c r="AP3" s="34"/>
      <c r="AQ3" s="34" t="s">
        <v>737</v>
      </c>
    </row>
    <row r="4" spans="1:43" s="31" customFormat="1" ht="116" hidden="1" customHeight="1">
      <c r="A4" s="121" t="e">
        <f>Cement!#REF!</f>
        <v>#REF!</v>
      </c>
      <c r="B4" s="121" t="e">
        <f>Cement!#REF!</f>
        <v>#REF!</v>
      </c>
      <c r="C4" s="120" t="e">
        <f>Cement!#REF!</f>
        <v>#REF!</v>
      </c>
      <c r="D4" s="145" t="e">
        <f>Cement!#REF!</f>
        <v>#REF!</v>
      </c>
      <c r="E4" s="85" t="e">
        <f>Cement!#REF!</f>
        <v>#REF!</v>
      </c>
      <c r="F4" s="86" t="e">
        <f>Cement!#REF!</f>
        <v>#REF!</v>
      </c>
      <c r="G4" s="85" t="e">
        <f>Cement!#REF!</f>
        <v>#REF!</v>
      </c>
      <c r="H4" s="85" t="e">
        <f>Cement!#REF!</f>
        <v>#REF!</v>
      </c>
      <c r="I4" s="116" t="e">
        <f>Cement!#REF!</f>
        <v>#REF!</v>
      </c>
      <c r="J4" s="109" t="e">
        <f>Cement!#REF!</f>
        <v>#REF!</v>
      </c>
      <c r="K4" s="109"/>
      <c r="L4" s="109"/>
      <c r="M4" s="109"/>
      <c r="N4" s="109" t="e">
        <f>Cement!#REF!</f>
        <v>#REF!</v>
      </c>
      <c r="O4" s="109"/>
      <c r="P4" s="109" t="e">
        <f>Cement!#REF!</f>
        <v>#REF!</v>
      </c>
      <c r="Q4" s="109"/>
      <c r="R4" s="109" t="e">
        <f>Cement!#REF!</f>
        <v>#REF!</v>
      </c>
      <c r="S4" s="109"/>
      <c r="T4" s="109" t="e">
        <f>Cement!#REF!</f>
        <v>#REF!</v>
      </c>
      <c r="U4" s="109"/>
      <c r="V4" s="109" t="e">
        <f>Cement!#REF!</f>
        <v>#REF!</v>
      </c>
      <c r="W4" s="109"/>
      <c r="X4" s="109" t="e">
        <f>Cement!#REF!</f>
        <v>#REF!</v>
      </c>
      <c r="Y4" s="109"/>
      <c r="Z4" s="109" t="e">
        <f>Cement!#REF!</f>
        <v>#REF!</v>
      </c>
      <c r="AA4" s="109"/>
      <c r="AB4" s="109"/>
      <c r="AC4" s="109"/>
      <c r="AD4" s="87" t="e">
        <f>Cement!#REF!</f>
        <v>#REF!</v>
      </c>
      <c r="AE4" s="87"/>
      <c r="AF4" s="109" t="e">
        <f>Cement!#REF!</f>
        <v>#REF!</v>
      </c>
      <c r="AG4" s="109"/>
      <c r="AH4" s="109" t="e">
        <f>Cement!#REF!</f>
        <v>#REF!</v>
      </c>
      <c r="AI4" s="109"/>
      <c r="AJ4" s="109" t="e">
        <f>Cement!#REF!</f>
        <v>#REF!</v>
      </c>
      <c r="AK4" s="109"/>
      <c r="AL4" s="109" t="e">
        <f>Cement!#REF!</f>
        <v>#REF!</v>
      </c>
      <c r="AM4" s="109"/>
      <c r="AN4" s="109"/>
      <c r="AO4" s="109"/>
      <c r="AP4" s="92"/>
      <c r="AQ4" s="92" t="s">
        <v>1697</v>
      </c>
    </row>
    <row r="5" spans="1:43" s="94" customFormat="1" ht="130" customHeight="1" thickBot="1">
      <c r="A5" s="123" t="str">
        <f>Cement!L4</f>
        <v>رتبه در جمع رتبه ها</v>
      </c>
      <c r="B5" s="123" t="str">
        <f>Cement!A4</f>
        <v>جمع امتیاز بنیادی و تخصصی سیمان</v>
      </c>
      <c r="C5" s="122" t="str">
        <f>Cement!B4</f>
        <v>جمع امتیاز بنیادی</v>
      </c>
      <c r="D5" s="146" t="str">
        <f>Cement!O4</f>
        <v>توجه به  تغییر در EPS و P/E</v>
      </c>
      <c r="E5" s="95" t="str">
        <f>Cement!P4</f>
        <v>نام شرکت</v>
      </c>
      <c r="F5" s="96" t="str">
        <f>Cement!Q4</f>
        <v>نماد</v>
      </c>
      <c r="G5" s="95" t="str">
        <f>Cement!R4</f>
        <v xml:space="preserve">ماه پایان سال مالی </v>
      </c>
      <c r="H5" s="95" t="str">
        <f>Cement!S4</f>
        <v>ارزش شرکت در بورس</v>
      </c>
      <c r="I5" s="117" t="str">
        <f>Cement!V4</f>
        <v xml:space="preserve">آخرین قیمت معامله شده </v>
      </c>
      <c r="J5" s="110" t="str">
        <f>Cement!AU4</f>
        <v>امتیاز P/S فوروارد</v>
      </c>
      <c r="K5" s="110"/>
      <c r="L5" s="110" t="str">
        <f>Cement!BB4</f>
        <v>امتیاز رشد حاشیه سود خالص</v>
      </c>
      <c r="M5" s="110"/>
      <c r="N5" s="110" t="str">
        <f>Cement!BJ4</f>
        <v xml:space="preserve">امتیاز نسبت هزینه های ITDA به فروش </v>
      </c>
      <c r="O5" s="110"/>
      <c r="P5" s="110" t="str">
        <f>Cement!BL4</f>
        <v xml:space="preserve">امتیاز مقایسه پیش بینی رشد فروش به رشد قیمت </v>
      </c>
      <c r="Q5" s="110"/>
      <c r="R5" s="110" t="str">
        <f>Cement!BW4</f>
        <v>امتیاز P/E فوروارد</v>
      </c>
      <c r="S5" s="110"/>
      <c r="T5" s="110" t="str">
        <f>Cement!CD4</f>
        <v>امتیاز P/E TTM</v>
      </c>
      <c r="U5" s="110"/>
      <c r="V5" s="110" t="str">
        <f>Cement!CF4</f>
        <v>امتیاز L/E</v>
      </c>
      <c r="W5" s="110"/>
      <c r="X5" s="110" t="str">
        <f>Cement!CH4</f>
        <v>امتیاز ROCE</v>
      </c>
      <c r="Y5" s="110"/>
      <c r="Z5" s="136" t="str">
        <f>Cement!DA4</f>
        <v>امتیاز نسبت جاری  CA/CL</v>
      </c>
      <c r="AA5" s="110"/>
      <c r="AB5" s="110" t="str">
        <f>Cement!DN4</f>
        <v>امتیاز L/A</v>
      </c>
      <c r="AC5" s="110"/>
      <c r="AD5" s="136" t="str">
        <f>Cement!DP4</f>
        <v>امتیاز خالص بدهی  تسهیلات به درآمد پیش بینی شده</v>
      </c>
      <c r="AE5" s="110"/>
      <c r="AF5" s="110" t="str">
        <f>Cement!DW4</f>
        <v>امتیاز RC/P</v>
      </c>
      <c r="AG5" s="110"/>
      <c r="AH5" s="110" t="str">
        <f>Cement!DY4</f>
        <v>امتیاز  S-fw / PC</v>
      </c>
      <c r="AI5" s="110"/>
      <c r="AJ5" s="110" t="str">
        <f>Cement!EA4</f>
        <v xml:space="preserve">امتیاز شاخص P/S/ به  P/E  </v>
      </c>
      <c r="AK5" s="110"/>
      <c r="AL5" s="110" t="str">
        <f>Cement!EC4</f>
        <v xml:space="preserve">امتیاز Ex-S / S     </v>
      </c>
      <c r="AM5" s="110"/>
      <c r="AN5" s="123" t="s">
        <v>1698</v>
      </c>
      <c r="AO5" s="122" t="s">
        <v>1699</v>
      </c>
      <c r="AP5" s="151" t="s">
        <v>1700</v>
      </c>
      <c r="AQ5" s="152" t="s">
        <v>1701</v>
      </c>
    </row>
    <row r="6" spans="1:43" ht="28" customHeight="1">
      <c r="A6" s="68"/>
      <c r="B6" s="68"/>
      <c r="C6" s="68"/>
      <c r="D6" s="68"/>
      <c r="E6" s="69"/>
      <c r="F6" s="68"/>
      <c r="G6" s="71"/>
      <c r="H6" s="70"/>
      <c r="I6" s="118"/>
      <c r="J6" s="111"/>
      <c r="K6" s="111"/>
      <c r="L6" s="111"/>
      <c r="M6" s="111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</row>
    <row r="7" spans="1:43" ht="35" customHeight="1">
      <c r="A7" s="142">
        <f t="shared" ref="A7" si="0">RANK(AP7,AP$7:AP$35,1)</f>
        <v>1</v>
      </c>
      <c r="B7" s="100">
        <f>AN7+AD7+AF7+AH7</f>
        <v>44.669651090194165</v>
      </c>
      <c r="C7" s="100">
        <f t="shared" ref="C7" si="1">SUM(J7,L7,P7,R7,T7,V7,X7,N7,Z7,AB7,AJ7,AL7)</f>
        <v>40.755421271413276</v>
      </c>
      <c r="D7" s="144" t="str">
        <f>Cement!O7</f>
        <v/>
      </c>
      <c r="E7" s="64" t="str">
        <f>Cement!P7</f>
        <v>سيمان باقران</v>
      </c>
      <c r="F7" s="64" t="str">
        <f>Cement!Q7</f>
        <v>سباقر</v>
      </c>
      <c r="G7" s="59">
        <f>Cement!R7</f>
        <v>12</v>
      </c>
      <c r="H7" s="66">
        <f>Cement!S7</f>
        <v>14568</v>
      </c>
      <c r="I7" s="126">
        <f>Cement!V7</f>
        <v>242800</v>
      </c>
      <c r="J7" s="107">
        <f>_xlfn.XLOOKUP($F7,Cement!$Q$7:$Q$35,Cement!AU$7:AU$35,"")</f>
        <v>-4.6580121900284155</v>
      </c>
      <c r="K7" s="140">
        <f t="shared" ref="K7" si="2">RANK(J7,J$7:J$35,0)</f>
        <v>24</v>
      </c>
      <c r="L7" s="107">
        <f>_xlfn.XLOOKUP($F7,Cement!$Q$7:$Q$35,Cement!BB$7:BB$35,"")</f>
        <v>10</v>
      </c>
      <c r="M7" s="140">
        <f t="shared" ref="M7" si="3">RANK(L7,L$7:L$35,0)</f>
        <v>1</v>
      </c>
      <c r="N7" s="107">
        <f>_xlfn.XLOOKUP($F7,Cement!$Q$7:$Q$35,Cement!BJ$7:BJ$35,"")</f>
        <v>0</v>
      </c>
      <c r="O7" s="140">
        <f t="shared" ref="O7" si="4">RANK(N7,N$7:N$35,0)</f>
        <v>2</v>
      </c>
      <c r="P7" s="107">
        <f>_xlfn.XLOOKUP($F7,Cement!$Q$7:$Q$35,Cement!BL$7:BL$35,"")</f>
        <v>5</v>
      </c>
      <c r="Q7" s="140">
        <f t="shared" ref="Q7" si="5">RANK(P7,P$7:P$35,0)</f>
        <v>1</v>
      </c>
      <c r="R7" s="107">
        <f>_xlfn.XLOOKUP($F7,Cement!$Q$7:$Q$35,Cement!BW$7:BW$35,"")</f>
        <v>4.687869802309792</v>
      </c>
      <c r="S7" s="140">
        <f t="shared" ref="S7" si="6">RANK(R7,R$7:R$35,0)</f>
        <v>2</v>
      </c>
      <c r="T7" s="107">
        <f>_xlfn.XLOOKUP($F7,Cement!$Q$7:$Q$35,Cement!CD$7:CD$35,"")</f>
        <v>-1.38</v>
      </c>
      <c r="U7" s="140">
        <f t="shared" ref="U7" si="7">RANK(T7,T$7:T$35,0)</f>
        <v>7</v>
      </c>
      <c r="V7" s="107">
        <f>_xlfn.XLOOKUP($F7,Cement!$Q$7:$Q$35,Cement!CF$7:CF$35,"")</f>
        <v>5.2850233442516217</v>
      </c>
      <c r="W7" s="140">
        <f t="shared" ref="W7" si="8">RANK(V7,V$7:V$35,0)</f>
        <v>4</v>
      </c>
      <c r="X7" s="107">
        <f>_xlfn.XLOOKUP($F7,Cement!$Q$7:$Q$35,Cement!CH$7:CH$35,"")</f>
        <v>4.2243903731220209</v>
      </c>
      <c r="Y7" s="140">
        <f t="shared" ref="Y7" si="9">RANK(X7,X$7:X$35,0)</f>
        <v>3</v>
      </c>
      <c r="Z7" s="107">
        <f>_xlfn.XLOOKUP($F7,Cement!$Q$7:$Q$35,Cement!DA$7:DA$35,"")</f>
        <v>1.884745762711864</v>
      </c>
      <c r="AA7" s="140">
        <f t="shared" ref="AA7" si="10">RANK(Z7,Z$7:Z$35,0)</f>
        <v>7</v>
      </c>
      <c r="AB7" s="107">
        <f>_xlfn.XLOOKUP($F7,Cement!$Q$7:$Q$35,Cement!DN$7:DN$35,"")</f>
        <v>0.35003273765082277</v>
      </c>
      <c r="AC7" s="140">
        <f t="shared" ref="AC7" si="11">RANK(AB7,AB$7:AB$35,0)</f>
        <v>12</v>
      </c>
      <c r="AD7" s="107">
        <f>_xlfn.XLOOKUP($F7,Cement!$Q$7:$Q$35,Cement!DP$7:DP$35,"")</f>
        <v>0</v>
      </c>
      <c r="AE7" s="140">
        <f t="shared" ref="AE7" si="12">RANK(AD7,AD$7:AD$35,0)</f>
        <v>10</v>
      </c>
      <c r="AF7" s="107">
        <f>_xlfn.XLOOKUP($F7,Cement!$Q$7:$Q$35,Cement!DW$7:DW$35,"")</f>
        <v>-6.0857701812191101</v>
      </c>
      <c r="AG7" s="140">
        <f t="shared" ref="AG7" si="13">RANK(AF7,AF$7:AF$35,0)</f>
        <v>29</v>
      </c>
      <c r="AH7" s="107">
        <f>_xlfn.XLOOKUP($F7,Cement!$Q$7:$Q$35,Cement!DY$7:DY$35,"")</f>
        <v>10</v>
      </c>
      <c r="AI7" s="140">
        <f t="shared" ref="AI7" si="14">RANK(AH7,AH$7:AH$35,0)</f>
        <v>1</v>
      </c>
      <c r="AJ7" s="107">
        <f>_xlfn.XLOOKUP($F7,Cement!$Q$7:$Q$35,Cement!EA$7:EA$35,"")</f>
        <v>6.8343360156653024</v>
      </c>
      <c r="AK7" s="140">
        <f t="shared" ref="AK7" si="15">RANK(AJ7,AJ$7:AJ$35,0)</f>
        <v>3</v>
      </c>
      <c r="AL7" s="107">
        <f>_xlfn.XLOOKUP($F7,Cement!$Q$7:$Q$35,Cement!EC$7:EC$35,"")</f>
        <v>8.5270354257302667</v>
      </c>
      <c r="AM7" s="140">
        <f t="shared" ref="AM7" si="16">RANK(AL7,AL$7:AL$35,0)</f>
        <v>1</v>
      </c>
      <c r="AN7" s="100">
        <f t="shared" ref="AN7" si="17">SUM(J7,L7,P7,R7,T7,V7,X7,N7,Z7,AB7,AJ7,AL7)</f>
        <v>40.755421271413276</v>
      </c>
      <c r="AO7" s="100">
        <f t="shared" ref="AO7" si="18">AN7+AD7+AF7+AH7</f>
        <v>44.669651090194165</v>
      </c>
      <c r="AP7" s="141">
        <f t="shared" ref="AP7" si="19">SUM(K7,M7,Q7,S7,U7,W7,Y7,O7,AA7,AC7,AE7,AG7,AI7,AK7,AM7)</f>
        <v>107</v>
      </c>
      <c r="AQ7" s="140">
        <f t="shared" ref="AQ7" si="20">RANK(AP7,AP$7:AP$35,1)</f>
        <v>1</v>
      </c>
    </row>
    <row r="8" spans="1:43" ht="35" customHeight="1">
      <c r="A8" s="142">
        <f t="shared" ref="A8:A9" si="21">RANK(AP8,AP$7:AP$35,1)</f>
        <v>5</v>
      </c>
      <c r="B8" s="100">
        <f>AN8+AD8+AF8+AH8</f>
        <v>36.791772247933693</v>
      </c>
      <c r="C8" s="100">
        <f t="shared" ref="C8:C9" si="22">SUM(J8,L8,P8,R8,T8,V8,X8,N8,Z8,AB8,AJ8,AL8)</f>
        <v>21.524546638177593</v>
      </c>
      <c r="D8" s="144" t="str">
        <f>Cement!O8</f>
        <v/>
      </c>
      <c r="E8" s="64" t="str">
        <f>Cement!P8</f>
        <v>سيمان فارس نو</v>
      </c>
      <c r="F8" s="64" t="str">
        <f>Cement!Q8</f>
        <v>سفانو</v>
      </c>
      <c r="G8" s="59">
        <f>Cement!R8</f>
        <v>12</v>
      </c>
      <c r="H8" s="66">
        <f>Cement!S8</f>
        <v>8528</v>
      </c>
      <c r="I8" s="126">
        <f>Cement!V8</f>
        <v>53300</v>
      </c>
      <c r="J8" s="107">
        <f>_xlfn.XLOOKUP($F8,Cement!$Q$7:$Q$35,Cement!AU$7:AU$35,"")</f>
        <v>1.737632224300838</v>
      </c>
      <c r="K8" s="140">
        <f t="shared" ref="K8:K9" si="23">RANK(J8,J$7:J$35,0)</f>
        <v>12</v>
      </c>
      <c r="L8" s="107">
        <f>_xlfn.XLOOKUP($F8,Cement!$Q$7:$Q$35,Cement!BB$7:BB$35,"")</f>
        <v>5.100000000000005</v>
      </c>
      <c r="M8" s="140">
        <f t="shared" ref="M8:M9" si="24">RANK(L8,L$7:L$35,0)</f>
        <v>10</v>
      </c>
      <c r="N8" s="107">
        <f>_xlfn.XLOOKUP($F8,Cement!$Q$7:$Q$35,Cement!BJ$7:BJ$35,"")</f>
        <v>0</v>
      </c>
      <c r="O8" s="140">
        <f t="shared" ref="O8:O9" si="25">RANK(N8,N$7:N$35,0)</f>
        <v>2</v>
      </c>
      <c r="P8" s="107">
        <f>_xlfn.XLOOKUP($F8,Cement!$Q$7:$Q$35,Cement!BL$7:BL$35,"")</f>
        <v>5</v>
      </c>
      <c r="Q8" s="140">
        <f t="shared" ref="Q8:Q9" si="26">RANK(P8,P$7:P$35,0)</f>
        <v>1</v>
      </c>
      <c r="R8" s="107">
        <f>_xlfn.XLOOKUP($F8,Cement!$Q$7:$Q$35,Cement!BW$7:BW$35,"")</f>
        <v>3.8466943285784261</v>
      </c>
      <c r="S8" s="140">
        <f t="shared" ref="S8:S9" si="27">RANK(R8,R$7:R$35,0)</f>
        <v>3</v>
      </c>
      <c r="T8" s="107">
        <f>_xlfn.XLOOKUP($F8,Cement!$Q$7:$Q$35,Cement!CD$7:CD$35,"")</f>
        <v>-3.8999999999999995</v>
      </c>
      <c r="U8" s="140">
        <f t="shared" ref="U8:U9" si="28">RANK(T8,T$7:T$35,0)</f>
        <v>14</v>
      </c>
      <c r="V8" s="107">
        <f>_xlfn.XLOOKUP($F8,Cement!$Q$7:$Q$35,Cement!CF$7:CF$35,"")</f>
        <v>4.5591151937856464</v>
      </c>
      <c r="W8" s="140">
        <f t="shared" ref="W8:W9" si="29">RANK(V8,V$7:V$35,0)</f>
        <v>6</v>
      </c>
      <c r="X8" s="107">
        <f>_xlfn.XLOOKUP($F8,Cement!$Q$7:$Q$35,Cement!CH$7:CH$35,"")</f>
        <v>4.8413083206346368</v>
      </c>
      <c r="Y8" s="140">
        <f t="shared" ref="Y8:Y9" si="30">RANK(X8,X$7:X$35,0)</f>
        <v>2</v>
      </c>
      <c r="Z8" s="107">
        <f>_xlfn.XLOOKUP($F8,Cement!$Q$7:$Q$35,Cement!DA$7:DA$35,"")</f>
        <v>-8.5320551228280195E-2</v>
      </c>
      <c r="AA8" s="140">
        <f t="shared" ref="AA8:AA9" si="31">RANK(Z8,Z$7:Z$35,0)</f>
        <v>15</v>
      </c>
      <c r="AB8" s="107">
        <f>_xlfn.XLOOKUP($F8,Cement!$Q$7:$Q$35,Cement!DN$7:DN$35,"")</f>
        <v>-0.83085318064920144</v>
      </c>
      <c r="AC8" s="140">
        <f t="shared" ref="AC8:AC9" si="32">RANK(AB8,AB$7:AB$35,0)</f>
        <v>21</v>
      </c>
      <c r="AD8" s="107">
        <f>_xlfn.XLOOKUP($F8,Cement!$Q$7:$Q$35,Cement!DP$7:DP$35,"")</f>
        <v>0</v>
      </c>
      <c r="AE8" s="140">
        <f t="shared" ref="AE8:AE9" si="33">RANK(AD8,AD$7:AD$35,0)</f>
        <v>10</v>
      </c>
      <c r="AF8" s="107">
        <f>_xlfn.XLOOKUP($F8,Cement!$Q$7:$Q$35,Cement!DW$7:DW$35,"")</f>
        <v>5.2672256097560988</v>
      </c>
      <c r="AG8" s="140">
        <f t="shared" ref="AG8:AG9" si="34">RANK(AF8,AF$7:AF$35,0)</f>
        <v>18</v>
      </c>
      <c r="AH8" s="107">
        <f>_xlfn.XLOOKUP($F8,Cement!$Q$7:$Q$35,Cement!DY$7:DY$35,"")</f>
        <v>10</v>
      </c>
      <c r="AI8" s="140">
        <f t="shared" ref="AI8:AI9" si="35">RANK(AH8,AH$7:AH$35,0)</f>
        <v>1</v>
      </c>
      <c r="AJ8" s="107">
        <f>_xlfn.XLOOKUP($F8,Cement!$Q$7:$Q$35,Cement!EA$7:EA$35,"")</f>
        <v>1.255970302755518</v>
      </c>
      <c r="AK8" s="140">
        <f t="shared" ref="AK8:AK9" si="36">RANK(AJ8,AJ$7:AJ$35,0)</f>
        <v>10</v>
      </c>
      <c r="AL8" s="107">
        <f>_xlfn.XLOOKUP($F8,Cement!$Q$7:$Q$35,Cement!EC$7:EC$35,"")</f>
        <v>0</v>
      </c>
      <c r="AM8" s="140">
        <f t="shared" ref="AM8:AM9" si="37">RANK(AL8,AL$7:AL$35,0)</f>
        <v>24</v>
      </c>
      <c r="AN8" s="100">
        <f t="shared" ref="AN8:AN9" si="38">SUM(J8,L8,P8,R8,T8,V8,X8,N8,Z8,AB8,AJ8,AL8)</f>
        <v>21.524546638177593</v>
      </c>
      <c r="AO8" s="100">
        <f t="shared" ref="AO8:AO9" si="39">AN8+AD8+AF8+AH8</f>
        <v>36.791772247933693</v>
      </c>
      <c r="AP8" s="141">
        <f t="shared" ref="AP8:AP9" si="40">SUM(K8,M8,Q8,S8,U8,W8,Y8,O8,AA8,AC8,AE8,AG8,AI8,AK8,AM8)</f>
        <v>149</v>
      </c>
      <c r="AQ8" s="140">
        <f t="shared" ref="AQ8:AQ9" si="41">RANK(AP8,AP$7:AP$35,1)</f>
        <v>5</v>
      </c>
    </row>
    <row r="9" spans="1:43" ht="35" customHeight="1">
      <c r="A9" s="142">
        <f t="shared" si="21"/>
        <v>4</v>
      </c>
      <c r="B9" s="100">
        <f t="shared" ref="B9:B13" si="42">AN9+AD9+AF9+AH9</f>
        <v>35.869705787560406</v>
      </c>
      <c r="C9" s="100">
        <f t="shared" si="22"/>
        <v>19.422334801178096</v>
      </c>
      <c r="D9" s="144" t="str">
        <f>Cement!O9</f>
        <v/>
      </c>
      <c r="E9" s="64" t="str">
        <f>Cement!P9</f>
        <v>سيمان‌ بهبهان‌</v>
      </c>
      <c r="F9" s="64" t="str">
        <f>Cement!Q9</f>
        <v>سبهان</v>
      </c>
      <c r="G9" s="59">
        <f>Cement!R9</f>
        <v>12</v>
      </c>
      <c r="H9" s="66">
        <f>Cement!S9</f>
        <v>4040.4</v>
      </c>
      <c r="I9" s="126">
        <f>Cement!V9</f>
        <v>5460</v>
      </c>
      <c r="J9" s="107">
        <f>_xlfn.XLOOKUP($F9,Cement!$Q$7:$Q$35,Cement!AU$7:AU$35,"")</f>
        <v>8.6904661668795828</v>
      </c>
      <c r="K9" s="140">
        <f t="shared" si="23"/>
        <v>3</v>
      </c>
      <c r="L9" s="107">
        <f>_xlfn.XLOOKUP($F9,Cement!$Q$7:$Q$35,Cement!BB$7:BB$35,"")</f>
        <v>1.100000000000001</v>
      </c>
      <c r="M9" s="140">
        <f t="shared" si="24"/>
        <v>15</v>
      </c>
      <c r="N9" s="107">
        <f>_xlfn.XLOOKUP($F9,Cement!$Q$7:$Q$35,Cement!BJ$7:BJ$35,"")</f>
        <v>0</v>
      </c>
      <c r="O9" s="140">
        <f t="shared" si="25"/>
        <v>2</v>
      </c>
      <c r="P9" s="107">
        <f>_xlfn.XLOOKUP($F9,Cement!$Q$7:$Q$35,Cement!BL$7:BL$35,"")</f>
        <v>5</v>
      </c>
      <c r="Q9" s="140">
        <f t="shared" si="26"/>
        <v>1</v>
      </c>
      <c r="R9" s="107">
        <f>_xlfn.XLOOKUP($F9,Cement!$Q$7:$Q$35,Cement!BW$7:BW$35,"")</f>
        <v>1.9629969696394767</v>
      </c>
      <c r="S9" s="140">
        <f t="shared" si="27"/>
        <v>9</v>
      </c>
      <c r="T9" s="107">
        <f>_xlfn.XLOOKUP($F9,Cement!$Q$7:$Q$35,Cement!CD$7:CD$35,"")</f>
        <v>-1.5599999999999987</v>
      </c>
      <c r="U9" s="140">
        <f t="shared" si="28"/>
        <v>8</v>
      </c>
      <c r="V9" s="107">
        <f>_xlfn.XLOOKUP($F9,Cement!$Q$7:$Q$35,Cement!CF$7:CF$35,"")</f>
        <v>3.0418330276206538</v>
      </c>
      <c r="W9" s="140">
        <f t="shared" si="29"/>
        <v>14</v>
      </c>
      <c r="X9" s="107">
        <f>_xlfn.XLOOKUP($F9,Cement!$Q$7:$Q$35,Cement!CH$7:CH$35,"")</f>
        <v>-5.3320620502082805E-2</v>
      </c>
      <c r="Y9" s="140">
        <f t="shared" si="30"/>
        <v>21</v>
      </c>
      <c r="Z9" s="107">
        <f>_xlfn.XLOOKUP($F9,Cement!$Q$7:$Q$35,Cement!DA$7:DA$35,"")</f>
        <v>-2.5000000000000355E-2</v>
      </c>
      <c r="AA9" s="140">
        <f t="shared" si="31"/>
        <v>14</v>
      </c>
      <c r="AB9" s="107">
        <f>_xlfn.XLOOKUP($F9,Cement!$Q$7:$Q$35,Cement!DN$7:DN$35,"")</f>
        <v>0.94548416609883335</v>
      </c>
      <c r="AC9" s="140">
        <f t="shared" si="32"/>
        <v>6</v>
      </c>
      <c r="AD9" s="107">
        <f>_xlfn.XLOOKUP($F9,Cement!$Q$7:$Q$35,Cement!DP$7:DP$35,"")</f>
        <v>0</v>
      </c>
      <c r="AE9" s="140">
        <f t="shared" si="33"/>
        <v>10</v>
      </c>
      <c r="AF9" s="107">
        <f>_xlfn.XLOOKUP($F9,Cement!$Q$7:$Q$35,Cement!DW$7:DW$35,"")</f>
        <v>10</v>
      </c>
      <c r="AG9" s="140">
        <f t="shared" si="34"/>
        <v>1</v>
      </c>
      <c r="AH9" s="107">
        <f>_xlfn.XLOOKUP($F9,Cement!$Q$7:$Q$35,Cement!DY$7:DY$35,"")</f>
        <v>6.4473709863823085</v>
      </c>
      <c r="AI9" s="140">
        <f t="shared" si="35"/>
        <v>10</v>
      </c>
      <c r="AJ9" s="107">
        <f>_xlfn.XLOOKUP($F9,Cement!$Q$7:$Q$35,Cement!EA$7:EA$35,"")</f>
        <v>-4.5772971450622277</v>
      </c>
      <c r="AK9" s="140">
        <f t="shared" si="36"/>
        <v>25</v>
      </c>
      <c r="AL9" s="107">
        <f>_xlfn.XLOOKUP($F9,Cement!$Q$7:$Q$35,Cement!EC$7:EC$35,"")</f>
        <v>4.8971722365038559</v>
      </c>
      <c r="AM9" s="140">
        <f t="shared" si="37"/>
        <v>4</v>
      </c>
      <c r="AN9" s="100">
        <f t="shared" si="38"/>
        <v>19.422334801178096</v>
      </c>
      <c r="AO9" s="100">
        <f t="shared" si="39"/>
        <v>35.869705787560406</v>
      </c>
      <c r="AP9" s="141">
        <f t="shared" si="40"/>
        <v>143</v>
      </c>
      <c r="AQ9" s="140">
        <f t="shared" si="41"/>
        <v>4</v>
      </c>
    </row>
    <row r="10" spans="1:43" ht="35" customHeight="1">
      <c r="A10" s="142">
        <f t="shared" ref="A10:A16" si="43">RANK(AP10,AP$7:AP$35,1)</f>
        <v>3</v>
      </c>
      <c r="B10" s="100">
        <f t="shared" si="42"/>
        <v>36.336966923937055</v>
      </c>
      <c r="C10" s="100">
        <f t="shared" ref="C10:C16" si="44">SUM(J10,L10,P10,R10,T10,V10,X10,N10,Z10,AB10,AJ10,AL10)</f>
        <v>27.713399507308058</v>
      </c>
      <c r="D10" s="144" t="str">
        <f>Cement!O10</f>
        <v>Closed</v>
      </c>
      <c r="E10" s="64" t="str">
        <f>Cement!P10</f>
        <v>سيمان‌ داراب‌</v>
      </c>
      <c r="F10" s="64" t="str">
        <f>Cement!Q10</f>
        <v>ساراب</v>
      </c>
      <c r="G10" s="59">
        <f>Cement!R10</f>
        <v>12</v>
      </c>
      <c r="H10" s="66">
        <f>Cement!S10</f>
        <v>7705</v>
      </c>
      <c r="I10" s="126">
        <f>Cement!V10</f>
        <v>15410</v>
      </c>
      <c r="J10" s="107">
        <f>_xlfn.XLOOKUP($F10,Cement!$Q$7:$Q$35,Cement!AU$7:AU$35,"")</f>
        <v>-3.3558213114955304</v>
      </c>
      <c r="K10" s="140">
        <f t="shared" ref="K10:K16" si="45">RANK(J10,J$7:J$35,0)</f>
        <v>20</v>
      </c>
      <c r="L10" s="107">
        <f>_xlfn.XLOOKUP($F10,Cement!$Q$7:$Q$35,Cement!BB$7:BB$35,"")</f>
        <v>10</v>
      </c>
      <c r="M10" s="140">
        <f t="shared" ref="M10:M16" si="46">RANK(L10,L$7:L$35,0)</f>
        <v>1</v>
      </c>
      <c r="N10" s="107">
        <f>_xlfn.XLOOKUP($F10,Cement!$Q$7:$Q$35,Cement!BJ$7:BJ$35,"")</f>
        <v>0</v>
      </c>
      <c r="O10" s="140">
        <f t="shared" ref="O10:O16" si="47">RANK(N10,N$7:N$35,0)</f>
        <v>2</v>
      </c>
      <c r="P10" s="107">
        <f>_xlfn.XLOOKUP($F10,Cement!$Q$7:$Q$35,Cement!BL$7:BL$35,"")</f>
        <v>5</v>
      </c>
      <c r="Q10" s="140">
        <f t="shared" ref="Q10:Q16" si="48">RANK(P10,P$7:P$35,0)</f>
        <v>1</v>
      </c>
      <c r="R10" s="107">
        <f>_xlfn.XLOOKUP($F10,Cement!$Q$7:$Q$35,Cement!BW$7:BW$35,"")</f>
        <v>2.9693838667032724</v>
      </c>
      <c r="S10" s="140">
        <f t="shared" ref="S10:S16" si="49">RANK(R10,R$7:R$35,0)</f>
        <v>4</v>
      </c>
      <c r="T10" s="107">
        <f>_xlfn.XLOOKUP($F10,Cement!$Q$7:$Q$35,Cement!CD$7:CD$35,"")</f>
        <v>-4.5900000000000007</v>
      </c>
      <c r="U10" s="140">
        <f t="shared" ref="U10:U16" si="50">RANK(T10,T$7:T$35,0)</f>
        <v>19</v>
      </c>
      <c r="V10" s="107">
        <f>_xlfn.XLOOKUP($F10,Cement!$Q$7:$Q$35,Cement!CF$7:CF$35,"")</f>
        <v>5.0652531603873125</v>
      </c>
      <c r="W10" s="140">
        <f t="shared" ref="W10:W16" si="51">RANK(V10,V$7:V$35,0)</f>
        <v>5</v>
      </c>
      <c r="X10" s="107">
        <f>_xlfn.XLOOKUP($F10,Cement!$Q$7:$Q$35,Cement!CH$7:CH$35,"")</f>
        <v>0.33587969073498924</v>
      </c>
      <c r="Y10" s="140">
        <f t="shared" ref="Y10:Y16" si="52">RANK(X10,X$7:X$35,0)</f>
        <v>18</v>
      </c>
      <c r="Z10" s="107">
        <f>_xlfn.XLOOKUP($F10,Cement!$Q$7:$Q$35,Cement!DA$7:DA$35,"")</f>
        <v>5.565517241379311</v>
      </c>
      <c r="AA10" s="140">
        <f t="shared" ref="AA10:AA16" si="53">RANK(Z10,Z$7:Z$35,0)</f>
        <v>2</v>
      </c>
      <c r="AB10" s="107">
        <f>_xlfn.XLOOKUP($F10,Cement!$Q$7:$Q$35,Cement!DN$7:DN$35,"")</f>
        <v>2.0217695836070559</v>
      </c>
      <c r="AC10" s="140">
        <f t="shared" ref="AC10:AC16" si="54">RANK(AB10,AB$7:AB$35,0)</f>
        <v>3</v>
      </c>
      <c r="AD10" s="107">
        <f>_xlfn.XLOOKUP($F10,Cement!$Q$7:$Q$35,Cement!DP$7:DP$35,"")</f>
        <v>1</v>
      </c>
      <c r="AE10" s="140">
        <f t="shared" ref="AE10:AE16" si="55">RANK(AD10,AD$7:AD$35,0)</f>
        <v>6</v>
      </c>
      <c r="AF10" s="107">
        <f>_xlfn.XLOOKUP($F10,Cement!$Q$7:$Q$35,Cement!DW$7:DW$35,"")</f>
        <v>7.9661129136924069</v>
      </c>
      <c r="AG10" s="140">
        <f t="shared" ref="AG10:AG16" si="56">RANK(AF10,AF$7:AF$35,0)</f>
        <v>16</v>
      </c>
      <c r="AH10" s="107">
        <f>_xlfn.XLOOKUP($F10,Cement!$Q$7:$Q$35,Cement!DY$7:DY$35,"")</f>
        <v>-0.34254549706340853</v>
      </c>
      <c r="AI10" s="140">
        <f t="shared" ref="AI10:AI16" si="57">RANK(AH10,AH$7:AH$35,0)</f>
        <v>17</v>
      </c>
      <c r="AJ10" s="107">
        <f>_xlfn.XLOOKUP($F10,Cement!$Q$7:$Q$35,Cement!EA$7:EA$35,"")</f>
        <v>4.2648268394012101</v>
      </c>
      <c r="AK10" s="140">
        <f t="shared" ref="AK10:AK16" si="58">RANK(AJ10,AJ$7:AJ$35,0)</f>
        <v>6</v>
      </c>
      <c r="AL10" s="107">
        <f>_xlfn.XLOOKUP($F10,Cement!$Q$7:$Q$35,Cement!EC$7:EC$35,"")</f>
        <v>0.43659043659043661</v>
      </c>
      <c r="AM10" s="140">
        <f t="shared" ref="AM10:AM16" si="59">RANK(AL10,AL$7:AL$35,0)</f>
        <v>20</v>
      </c>
      <c r="AN10" s="100">
        <f t="shared" ref="AN10:AN16" si="60">SUM(J10,L10,P10,R10,T10,V10,X10,N10,Z10,AB10,AJ10,AL10)</f>
        <v>27.713399507308058</v>
      </c>
      <c r="AO10" s="100">
        <f t="shared" ref="AO10:AO16" si="61">AN10+AD10+AF10+AH10</f>
        <v>36.336966923937055</v>
      </c>
      <c r="AP10" s="141">
        <f t="shared" ref="AP10:AP16" si="62">SUM(K10,M10,Q10,S10,U10,W10,Y10,O10,AA10,AC10,AE10,AG10,AI10,AK10,AM10)</f>
        <v>140</v>
      </c>
      <c r="AQ10" s="140">
        <f t="shared" ref="AQ10:AQ16" si="63">RANK(AP10,AP$7:AP$35,1)</f>
        <v>3</v>
      </c>
    </row>
    <row r="11" spans="1:43" ht="35" customHeight="1">
      <c r="A11" s="142">
        <f t="shared" si="43"/>
        <v>7</v>
      </c>
      <c r="B11" s="100">
        <f t="shared" si="42"/>
        <v>26.677279402578577</v>
      </c>
      <c r="C11" s="100">
        <f t="shared" si="44"/>
        <v>19.423634427290274</v>
      </c>
      <c r="D11" s="144" t="str">
        <f>Cement!O11</f>
        <v/>
      </c>
      <c r="E11" s="64" t="str">
        <f>Cement!P11</f>
        <v>سيمان‌ قائن‌</v>
      </c>
      <c r="F11" s="64" t="str">
        <f>Cement!Q11</f>
        <v>سقاين</v>
      </c>
      <c r="G11" s="59">
        <f>Cement!R11</f>
        <v>12</v>
      </c>
      <c r="H11" s="66">
        <f>Cement!S11</f>
        <v>9712</v>
      </c>
      <c r="I11" s="126">
        <f>Cement!V11</f>
        <v>24280</v>
      </c>
      <c r="J11" s="107">
        <f>_xlfn.XLOOKUP($F11,Cement!$Q$7:$Q$35,Cement!AU$7:AU$35,"")</f>
        <v>-10</v>
      </c>
      <c r="K11" s="140">
        <f t="shared" si="45"/>
        <v>29</v>
      </c>
      <c r="L11" s="107">
        <f>_xlfn.XLOOKUP($F11,Cement!$Q$7:$Q$35,Cement!BB$7:BB$35,"")</f>
        <v>10</v>
      </c>
      <c r="M11" s="140">
        <f t="shared" si="46"/>
        <v>1</v>
      </c>
      <c r="N11" s="107">
        <f>_xlfn.XLOOKUP($F11,Cement!$Q$7:$Q$35,Cement!BJ$7:BJ$35,"")</f>
        <v>0</v>
      </c>
      <c r="O11" s="140">
        <f t="shared" si="47"/>
        <v>2</v>
      </c>
      <c r="P11" s="107">
        <f>_xlfn.XLOOKUP($F11,Cement!$Q$7:$Q$35,Cement!BL$7:BL$35,"")</f>
        <v>5</v>
      </c>
      <c r="Q11" s="140">
        <f t="shared" si="48"/>
        <v>1</v>
      </c>
      <c r="R11" s="107">
        <f>_xlfn.XLOOKUP($F11,Cement!$Q$7:$Q$35,Cement!BW$7:BW$35,"")</f>
        <v>1.5542529708466102</v>
      </c>
      <c r="S11" s="140">
        <f t="shared" si="49"/>
        <v>11</v>
      </c>
      <c r="T11" s="107">
        <f>_xlfn.XLOOKUP($F11,Cement!$Q$7:$Q$35,Cement!CD$7:CD$35,"")</f>
        <v>-4.1100000000000003</v>
      </c>
      <c r="U11" s="140">
        <f t="shared" si="50"/>
        <v>15</v>
      </c>
      <c r="V11" s="107">
        <f>_xlfn.XLOOKUP($F11,Cement!$Q$7:$Q$35,Cement!CF$7:CF$35,"")</f>
        <v>3.8960286295757038</v>
      </c>
      <c r="W11" s="140">
        <f t="shared" si="51"/>
        <v>8</v>
      </c>
      <c r="X11" s="107">
        <f>_xlfn.XLOOKUP($F11,Cement!$Q$7:$Q$35,Cement!CH$7:CH$35,"")</f>
        <v>2.0757650608757978</v>
      </c>
      <c r="Y11" s="140">
        <f t="shared" si="52"/>
        <v>8</v>
      </c>
      <c r="Z11" s="107">
        <f>_xlfn.XLOOKUP($F11,Cement!$Q$7:$Q$35,Cement!DA$7:DA$35,"")</f>
        <v>0.81300191204588934</v>
      </c>
      <c r="AA11" s="140">
        <f t="shared" si="53"/>
        <v>12</v>
      </c>
      <c r="AB11" s="107">
        <f>_xlfn.XLOOKUP($F11,Cement!$Q$7:$Q$35,Cement!DN$7:DN$35,"")</f>
        <v>-0.53917587241033238</v>
      </c>
      <c r="AC11" s="140">
        <f t="shared" si="54"/>
        <v>20</v>
      </c>
      <c r="AD11" s="107">
        <f>_xlfn.XLOOKUP($F11,Cement!$Q$7:$Q$35,Cement!DP$7:DP$35,"")</f>
        <v>0</v>
      </c>
      <c r="AE11" s="140">
        <f t="shared" si="55"/>
        <v>10</v>
      </c>
      <c r="AF11" s="107">
        <f>_xlfn.XLOOKUP($F11,Cement!$Q$7:$Q$35,Cement!DW$7:DW$35,"")</f>
        <v>-2.7463550247116952</v>
      </c>
      <c r="AG11" s="140">
        <f t="shared" si="56"/>
        <v>28</v>
      </c>
      <c r="AH11" s="107">
        <f>_xlfn.XLOOKUP($F11,Cement!$Q$7:$Q$35,Cement!DY$7:DY$35,"")</f>
        <v>10</v>
      </c>
      <c r="AI11" s="140">
        <f t="shared" si="57"/>
        <v>1</v>
      </c>
      <c r="AJ11" s="107">
        <f>_xlfn.XLOOKUP($F11,Cement!$Q$7:$Q$35,Cement!EA$7:EA$35,"")</f>
        <v>8.0178668577708745</v>
      </c>
      <c r="AK11" s="140">
        <f t="shared" si="58"/>
        <v>1</v>
      </c>
      <c r="AL11" s="107">
        <f>_xlfn.XLOOKUP($F11,Cement!$Q$7:$Q$35,Cement!EC$7:EC$35,"")</f>
        <v>2.7158948685857318</v>
      </c>
      <c r="AM11" s="140">
        <f t="shared" si="59"/>
        <v>6</v>
      </c>
      <c r="AN11" s="100">
        <f t="shared" si="60"/>
        <v>19.423634427290274</v>
      </c>
      <c r="AO11" s="100">
        <f t="shared" si="61"/>
        <v>26.677279402578577</v>
      </c>
      <c r="AP11" s="141">
        <f t="shared" si="62"/>
        <v>153</v>
      </c>
      <c r="AQ11" s="140">
        <f t="shared" si="63"/>
        <v>7</v>
      </c>
    </row>
    <row r="12" spans="1:43" ht="35" customHeight="1">
      <c r="A12" s="142">
        <f t="shared" si="43"/>
        <v>14</v>
      </c>
      <c r="B12" s="100">
        <f t="shared" si="42"/>
        <v>25.396087084183005</v>
      </c>
      <c r="C12" s="100">
        <f t="shared" si="44"/>
        <v>14.733792852712241</v>
      </c>
      <c r="D12" s="144" t="str">
        <f>Cement!O12</f>
        <v/>
      </c>
      <c r="E12" s="64" t="str">
        <f>Cement!P12</f>
        <v>سيمان‌ شاهرود</v>
      </c>
      <c r="F12" s="64" t="str">
        <f>Cement!Q12</f>
        <v>سرود</v>
      </c>
      <c r="G12" s="59">
        <f>Cement!R12</f>
        <v>12</v>
      </c>
      <c r="H12" s="66">
        <f>Cement!S12</f>
        <v>15993.698294</v>
      </c>
      <c r="I12" s="126">
        <f>Cement!V12</f>
        <v>16660</v>
      </c>
      <c r="J12" s="107">
        <f>_xlfn.XLOOKUP($F12,Cement!$Q$7:$Q$35,Cement!AU$7:AU$35,"")</f>
        <v>1.8686657394166506</v>
      </c>
      <c r="K12" s="140">
        <f t="shared" si="45"/>
        <v>11</v>
      </c>
      <c r="L12" s="107">
        <f>_xlfn.XLOOKUP($F12,Cement!$Q$7:$Q$35,Cement!BB$7:BB$35,"")</f>
        <v>6.7</v>
      </c>
      <c r="M12" s="140">
        <f t="shared" si="46"/>
        <v>8</v>
      </c>
      <c r="N12" s="107">
        <f>_xlfn.XLOOKUP($F12,Cement!$Q$7:$Q$35,Cement!BJ$7:BJ$35,"")</f>
        <v>0</v>
      </c>
      <c r="O12" s="140">
        <f t="shared" si="47"/>
        <v>2</v>
      </c>
      <c r="P12" s="107">
        <f>_xlfn.XLOOKUP($F12,Cement!$Q$7:$Q$35,Cement!BL$7:BL$35,"")</f>
        <v>5</v>
      </c>
      <c r="Q12" s="140">
        <f t="shared" si="48"/>
        <v>1</v>
      </c>
      <c r="R12" s="107">
        <f>_xlfn.XLOOKUP($F12,Cement!$Q$7:$Q$35,Cement!BW$7:BW$35,"")</f>
        <v>2.2948852093753969</v>
      </c>
      <c r="S12" s="140">
        <f t="shared" si="49"/>
        <v>6</v>
      </c>
      <c r="T12" s="107">
        <f>_xlfn.XLOOKUP($F12,Cement!$Q$7:$Q$35,Cement!CD$7:CD$35,"")</f>
        <v>-5.61</v>
      </c>
      <c r="U12" s="140">
        <f t="shared" si="50"/>
        <v>23</v>
      </c>
      <c r="V12" s="107">
        <f>_xlfn.XLOOKUP($F12,Cement!$Q$7:$Q$35,Cement!CF$7:CF$35,"")</f>
        <v>1.2289384534664203</v>
      </c>
      <c r="W12" s="140">
        <f t="shared" si="51"/>
        <v>25</v>
      </c>
      <c r="X12" s="107">
        <f>_xlfn.XLOOKUP($F12,Cement!$Q$7:$Q$35,Cement!CH$7:CH$35,"")</f>
        <v>0.74549433489546479</v>
      </c>
      <c r="Y12" s="140">
        <f t="shared" si="52"/>
        <v>14</v>
      </c>
      <c r="Z12" s="107">
        <f>_xlfn.XLOOKUP($F12,Cement!$Q$7:$Q$35,Cement!DA$7:DA$35,"")</f>
        <v>-2.0943357363542736</v>
      </c>
      <c r="AA12" s="140">
        <f t="shared" si="53"/>
        <v>27</v>
      </c>
      <c r="AB12" s="107">
        <f>_xlfn.XLOOKUP($F12,Cement!$Q$7:$Q$35,Cement!DN$7:DN$35,"")</f>
        <v>-1.1576836287317194</v>
      </c>
      <c r="AC12" s="140">
        <f t="shared" si="54"/>
        <v>22</v>
      </c>
      <c r="AD12" s="107">
        <f>_xlfn.XLOOKUP($F12,Cement!$Q$7:$Q$35,Cement!DP$7:DP$35,"")</f>
        <v>0</v>
      </c>
      <c r="AE12" s="140">
        <f t="shared" si="55"/>
        <v>10</v>
      </c>
      <c r="AF12" s="107">
        <f>_xlfn.XLOOKUP($F12,Cement!$Q$7:$Q$35,Cement!DW$7:DW$35,"")</f>
        <v>0.66229423147076361</v>
      </c>
      <c r="AG12" s="140">
        <f t="shared" si="56"/>
        <v>23</v>
      </c>
      <c r="AH12" s="107">
        <f>_xlfn.XLOOKUP($F12,Cement!$Q$7:$Q$35,Cement!DY$7:DY$35,"")</f>
        <v>10</v>
      </c>
      <c r="AI12" s="140">
        <f t="shared" si="57"/>
        <v>1</v>
      </c>
      <c r="AJ12" s="107">
        <f>_xlfn.XLOOKUP($F12,Cement!$Q$7:$Q$35,Cement!EA$7:EA$35,"")</f>
        <v>-0.98410700322666578</v>
      </c>
      <c r="AK12" s="140">
        <f t="shared" si="58"/>
        <v>17</v>
      </c>
      <c r="AL12" s="107">
        <f>_xlfn.XLOOKUP($F12,Cement!$Q$7:$Q$35,Cement!EC$7:EC$35,"")</f>
        <v>6.741935483870968</v>
      </c>
      <c r="AM12" s="140">
        <f t="shared" si="59"/>
        <v>2</v>
      </c>
      <c r="AN12" s="100">
        <f t="shared" si="60"/>
        <v>14.733792852712241</v>
      </c>
      <c r="AO12" s="100">
        <f t="shared" si="61"/>
        <v>25.396087084183005</v>
      </c>
      <c r="AP12" s="141">
        <f t="shared" si="62"/>
        <v>192</v>
      </c>
      <c r="AQ12" s="140">
        <f t="shared" si="63"/>
        <v>14</v>
      </c>
    </row>
    <row r="13" spans="1:43" ht="35" customHeight="1">
      <c r="A13" s="142">
        <f t="shared" si="43"/>
        <v>11</v>
      </c>
      <c r="B13" s="100">
        <f t="shared" si="42"/>
        <v>24.771966889234456</v>
      </c>
      <c r="C13" s="100">
        <f t="shared" si="44"/>
        <v>14.707068609003354</v>
      </c>
      <c r="D13" s="144" t="str">
        <f>Cement!O13</f>
        <v/>
      </c>
      <c r="E13" s="64" t="str">
        <f>Cement!P13</f>
        <v>سيمان‌ بجنورد</v>
      </c>
      <c r="F13" s="64" t="str">
        <f>Cement!Q13</f>
        <v>سبجنو</v>
      </c>
      <c r="G13" s="59">
        <f>Cement!R13</f>
        <v>12</v>
      </c>
      <c r="H13" s="66">
        <f>Cement!S13</f>
        <v>9838</v>
      </c>
      <c r="I13" s="126">
        <f>Cement!V13</f>
        <v>49190</v>
      </c>
      <c r="J13" s="107">
        <f>_xlfn.XLOOKUP($F13,Cement!$Q$7:$Q$35,Cement!AU$7:AU$35,"")</f>
        <v>0.56103559732559649</v>
      </c>
      <c r="K13" s="140">
        <f t="shared" si="45"/>
        <v>14</v>
      </c>
      <c r="L13" s="107">
        <f>_xlfn.XLOOKUP($F13,Cement!$Q$7:$Q$35,Cement!BB$7:BB$35,"")</f>
        <v>10</v>
      </c>
      <c r="M13" s="140">
        <f t="shared" si="46"/>
        <v>1</v>
      </c>
      <c r="N13" s="107">
        <f>_xlfn.XLOOKUP($F13,Cement!$Q$7:$Q$35,Cement!BJ$7:BJ$35,"")</f>
        <v>0</v>
      </c>
      <c r="O13" s="140">
        <f t="shared" si="47"/>
        <v>2</v>
      </c>
      <c r="P13" s="107">
        <f>_xlfn.XLOOKUP($F13,Cement!$Q$7:$Q$35,Cement!BL$7:BL$35,"")</f>
        <v>-1.6417662073615502</v>
      </c>
      <c r="Q13" s="140">
        <f t="shared" si="48"/>
        <v>23</v>
      </c>
      <c r="R13" s="107">
        <f>_xlfn.XLOOKUP($F13,Cement!$Q$7:$Q$35,Cement!BW$7:BW$35,"")</f>
        <v>2.2714293597708934</v>
      </c>
      <c r="S13" s="140">
        <f t="shared" si="49"/>
        <v>7</v>
      </c>
      <c r="T13" s="107">
        <f>_xlfn.XLOOKUP($F13,Cement!$Q$7:$Q$35,Cement!CD$7:CD$35,"")</f>
        <v>-1.7699999999999996</v>
      </c>
      <c r="U13" s="140">
        <f t="shared" si="50"/>
        <v>9</v>
      </c>
      <c r="V13" s="107">
        <f>_xlfn.XLOOKUP($F13,Cement!$Q$7:$Q$35,Cement!CF$7:CF$35,"")</f>
        <v>2.8471433262891841</v>
      </c>
      <c r="W13" s="140">
        <f t="shared" si="51"/>
        <v>17</v>
      </c>
      <c r="X13" s="107">
        <f>_xlfn.XLOOKUP($F13,Cement!$Q$7:$Q$35,Cement!CH$7:CH$35,"")</f>
        <v>2.6731354705556551</v>
      </c>
      <c r="Y13" s="140">
        <f t="shared" si="52"/>
        <v>6</v>
      </c>
      <c r="Z13" s="107">
        <f>_xlfn.XLOOKUP($F13,Cement!$Q$7:$Q$35,Cement!DA$7:DA$35,"")</f>
        <v>-0.641106415674221</v>
      </c>
      <c r="AA13" s="140">
        <f t="shared" si="53"/>
        <v>22</v>
      </c>
      <c r="AB13" s="107">
        <f>_xlfn.XLOOKUP($F13,Cement!$Q$7:$Q$35,Cement!DN$7:DN$35,"")</f>
        <v>-1.7088788715632375</v>
      </c>
      <c r="AC13" s="140">
        <f t="shared" si="54"/>
        <v>27</v>
      </c>
      <c r="AD13" s="107">
        <f>_xlfn.XLOOKUP($F13,Cement!$Q$7:$Q$35,Cement!DP$7:DP$35,"")</f>
        <v>0</v>
      </c>
      <c r="AE13" s="140">
        <f t="shared" si="55"/>
        <v>10</v>
      </c>
      <c r="AF13" s="107">
        <f>_xlfn.XLOOKUP($F13,Cement!$Q$7:$Q$35,Cement!DW$7:DW$35,"")</f>
        <v>10</v>
      </c>
      <c r="AG13" s="140">
        <f t="shared" si="56"/>
        <v>1</v>
      </c>
      <c r="AH13" s="107">
        <f>_xlfn.XLOOKUP($F13,Cement!$Q$7:$Q$35,Cement!DY$7:DY$35,"")</f>
        <v>6.4898280231102196E-2</v>
      </c>
      <c r="AI13" s="140">
        <f t="shared" si="57"/>
        <v>16</v>
      </c>
      <c r="AJ13" s="107">
        <f>_xlfn.XLOOKUP($F13,Cement!$Q$7:$Q$35,Cement!EA$7:EA$35,"")</f>
        <v>0.92542073549373938</v>
      </c>
      <c r="AK13" s="140">
        <f t="shared" si="58"/>
        <v>11</v>
      </c>
      <c r="AL13" s="107">
        <f>_xlfn.XLOOKUP($F13,Cement!$Q$7:$Q$35,Cement!EC$7:EC$35,"")</f>
        <v>1.1906556141672948</v>
      </c>
      <c r="AM13" s="140">
        <f t="shared" si="59"/>
        <v>15</v>
      </c>
      <c r="AN13" s="100">
        <f t="shared" si="60"/>
        <v>14.707068609003354</v>
      </c>
      <c r="AO13" s="100">
        <f t="shared" si="61"/>
        <v>24.771966889234456</v>
      </c>
      <c r="AP13" s="141">
        <f t="shared" si="62"/>
        <v>181</v>
      </c>
      <c r="AQ13" s="140">
        <f t="shared" si="63"/>
        <v>11</v>
      </c>
    </row>
    <row r="14" spans="1:43" ht="35" customHeight="1">
      <c r="A14" s="142">
        <f t="shared" si="43"/>
        <v>16</v>
      </c>
      <c r="B14" s="100">
        <f>AN14+AD14+AF14+AH14</f>
        <v>23.654691596536299</v>
      </c>
      <c r="C14" s="100">
        <f t="shared" si="44"/>
        <v>6.3047862625936189</v>
      </c>
      <c r="D14" s="144" t="str">
        <f>Cement!O14</f>
        <v/>
      </c>
      <c r="E14" s="64" t="str">
        <f>Cement!P14</f>
        <v>سيمان‌خاش‌</v>
      </c>
      <c r="F14" s="64" t="str">
        <f>Cement!Q14</f>
        <v>سخاش</v>
      </c>
      <c r="G14" s="59">
        <f>Cement!R14</f>
        <v>12</v>
      </c>
      <c r="H14" s="66">
        <f>Cement!S14</f>
        <v>6126.8</v>
      </c>
      <c r="I14" s="126">
        <f>Cement!V14</f>
        <v>11560</v>
      </c>
      <c r="J14" s="107">
        <f>_xlfn.XLOOKUP($F14,Cement!$Q$7:$Q$35,Cement!AU$7:AU$35,"")</f>
        <v>5.8426569445086969</v>
      </c>
      <c r="K14" s="140">
        <f t="shared" si="45"/>
        <v>6</v>
      </c>
      <c r="L14" s="107">
        <f>_xlfn.XLOOKUP($F14,Cement!$Q$7:$Q$35,Cement!BB$7:BB$35,"")</f>
        <v>-0.80000000000000071</v>
      </c>
      <c r="M14" s="140">
        <f t="shared" si="46"/>
        <v>19</v>
      </c>
      <c r="N14" s="107">
        <f>_xlfn.XLOOKUP($F14,Cement!$Q$7:$Q$35,Cement!BJ$7:BJ$35,"")</f>
        <v>0</v>
      </c>
      <c r="O14" s="140">
        <f t="shared" si="47"/>
        <v>2</v>
      </c>
      <c r="P14" s="107">
        <f>_xlfn.XLOOKUP($F14,Cement!$Q$7:$Q$35,Cement!BL$7:BL$35,"")</f>
        <v>2.7967687435482205</v>
      </c>
      <c r="Q14" s="140">
        <f t="shared" si="48"/>
        <v>19</v>
      </c>
      <c r="R14" s="107">
        <f>_xlfn.XLOOKUP($F14,Cement!$Q$7:$Q$35,Cement!BW$7:BW$35,"")</f>
        <v>0.391503797106596</v>
      </c>
      <c r="S14" s="140">
        <f t="shared" si="49"/>
        <v>16</v>
      </c>
      <c r="T14" s="107">
        <f>_xlfn.XLOOKUP($F14,Cement!$Q$7:$Q$35,Cement!CD$7:CD$35,"")</f>
        <v>-2.9099999999999993</v>
      </c>
      <c r="U14" s="140">
        <f t="shared" si="50"/>
        <v>11</v>
      </c>
      <c r="V14" s="107">
        <f>_xlfn.XLOOKUP($F14,Cement!$Q$7:$Q$35,Cement!CF$7:CF$35,"")</f>
        <v>2.5857131159005826</v>
      </c>
      <c r="W14" s="140">
        <f t="shared" si="51"/>
        <v>20</v>
      </c>
      <c r="X14" s="107">
        <f>_xlfn.XLOOKUP($F14,Cement!$Q$7:$Q$35,Cement!CH$7:CH$35,"")</f>
        <v>0.84487506764561848</v>
      </c>
      <c r="Y14" s="140">
        <f t="shared" si="52"/>
        <v>12</v>
      </c>
      <c r="Z14" s="107">
        <f>_xlfn.XLOOKUP($F14,Cement!$Q$7:$Q$35,Cement!DA$7:DA$35,"")</f>
        <v>-0.87048675292667888</v>
      </c>
      <c r="AA14" s="140">
        <f t="shared" si="53"/>
        <v>24</v>
      </c>
      <c r="AB14" s="107">
        <f>_xlfn.XLOOKUP($F14,Cement!$Q$7:$Q$35,Cement!DN$7:DN$35,"")</f>
        <v>-0.37644601364519414</v>
      </c>
      <c r="AC14" s="140">
        <f t="shared" si="54"/>
        <v>19</v>
      </c>
      <c r="AD14" s="107">
        <f>_xlfn.XLOOKUP($F14,Cement!$Q$7:$Q$35,Cement!DP$7:DP$35,"")</f>
        <v>0</v>
      </c>
      <c r="AE14" s="140">
        <f t="shared" si="55"/>
        <v>10</v>
      </c>
      <c r="AF14" s="107">
        <f>_xlfn.XLOOKUP($F14,Cement!$Q$7:$Q$35,Cement!DW$7:DW$35,"")</f>
        <v>7.3499053339426812</v>
      </c>
      <c r="AG14" s="140">
        <f t="shared" si="56"/>
        <v>17</v>
      </c>
      <c r="AH14" s="107">
        <f>_xlfn.XLOOKUP($F14,Cement!$Q$7:$Q$35,Cement!DY$7:DY$35,"")</f>
        <v>10</v>
      </c>
      <c r="AI14" s="140">
        <f t="shared" si="57"/>
        <v>1</v>
      </c>
      <c r="AJ14" s="107">
        <f>_xlfn.XLOOKUP($F14,Cement!$Q$7:$Q$35,Cement!EA$7:EA$35,"")</f>
        <v>-3.4889552660502474</v>
      </c>
      <c r="AK14" s="140">
        <f t="shared" si="58"/>
        <v>24</v>
      </c>
      <c r="AL14" s="107">
        <f>_xlfn.XLOOKUP($F14,Cement!$Q$7:$Q$35,Cement!EC$7:EC$35,"")</f>
        <v>2.2891566265060241</v>
      </c>
      <c r="AM14" s="140">
        <f t="shared" si="59"/>
        <v>9</v>
      </c>
      <c r="AN14" s="100">
        <f t="shared" si="60"/>
        <v>6.3047862625936189</v>
      </c>
      <c r="AO14" s="100">
        <f t="shared" si="61"/>
        <v>23.654691596536299</v>
      </c>
      <c r="AP14" s="141">
        <f t="shared" si="62"/>
        <v>209</v>
      </c>
      <c r="AQ14" s="140">
        <f t="shared" si="63"/>
        <v>16</v>
      </c>
    </row>
    <row r="15" spans="1:43" ht="35" customHeight="1">
      <c r="A15" s="142">
        <f t="shared" si="43"/>
        <v>9</v>
      </c>
      <c r="B15" s="100">
        <f>AN15+AD15+AF15+AH15</f>
        <v>21.208110025072855</v>
      </c>
      <c r="C15" s="100">
        <f t="shared" si="44"/>
        <v>15.86258882337177</v>
      </c>
      <c r="D15" s="144" t="str">
        <f>Cement!O15</f>
        <v/>
      </c>
      <c r="E15" s="64" t="str">
        <f>Cement!P15</f>
        <v>سيمان ‌اروميه‌</v>
      </c>
      <c r="F15" s="64" t="str">
        <f>Cement!Q15</f>
        <v>ساروم</v>
      </c>
      <c r="G15" s="59">
        <f>Cement!R15</f>
        <v>12</v>
      </c>
      <c r="H15" s="66">
        <f>Cement!S15</f>
        <v>20530</v>
      </c>
      <c r="I15" s="126">
        <f>Cement!V15</f>
        <v>205300</v>
      </c>
      <c r="J15" s="107">
        <f>_xlfn.XLOOKUP($F15,Cement!$Q$7:$Q$35,Cement!AU$7:AU$35,"")</f>
        <v>-7.7067407861055504</v>
      </c>
      <c r="K15" s="140">
        <f t="shared" si="45"/>
        <v>26</v>
      </c>
      <c r="L15" s="107">
        <f>_xlfn.XLOOKUP($F15,Cement!$Q$7:$Q$35,Cement!BB$7:BB$35,"")</f>
        <v>6.5999999999999943</v>
      </c>
      <c r="M15" s="140">
        <f t="shared" si="46"/>
        <v>9</v>
      </c>
      <c r="N15" s="107">
        <f>_xlfn.XLOOKUP($F15,Cement!$Q$7:$Q$35,Cement!BJ$7:BJ$35,"")</f>
        <v>0</v>
      </c>
      <c r="O15" s="140">
        <f t="shared" si="47"/>
        <v>2</v>
      </c>
      <c r="P15" s="107">
        <f>_xlfn.XLOOKUP($F15,Cement!$Q$7:$Q$35,Cement!BL$7:BL$35,"")</f>
        <v>5</v>
      </c>
      <c r="Q15" s="140">
        <f t="shared" si="48"/>
        <v>1</v>
      </c>
      <c r="R15" s="107">
        <f>_xlfn.XLOOKUP($F15,Cement!$Q$7:$Q$35,Cement!BW$7:BW$35,"")</f>
        <v>1.2104043587546043</v>
      </c>
      <c r="S15" s="140">
        <f t="shared" si="49"/>
        <v>12</v>
      </c>
      <c r="T15" s="107">
        <f>_xlfn.XLOOKUP($F15,Cement!$Q$7:$Q$35,Cement!CD$7:CD$35,"")</f>
        <v>-2.9400000000000013</v>
      </c>
      <c r="U15" s="140">
        <f t="shared" si="50"/>
        <v>12</v>
      </c>
      <c r="V15" s="107">
        <f>_xlfn.XLOOKUP($F15,Cement!$Q$7:$Q$35,Cement!CF$7:CF$35,"")</f>
        <v>3.7505501638784642</v>
      </c>
      <c r="W15" s="140">
        <f t="shared" si="51"/>
        <v>10</v>
      </c>
      <c r="X15" s="107">
        <f>_xlfn.XLOOKUP($F15,Cement!$Q$7:$Q$35,Cement!CH$7:CH$35,"")</f>
        <v>3.78733897142904</v>
      </c>
      <c r="Y15" s="140">
        <f t="shared" si="52"/>
        <v>4</v>
      </c>
      <c r="Z15" s="107">
        <f>_xlfn.XLOOKUP($F15,Cement!$Q$7:$Q$35,Cement!DA$7:DA$35,"")</f>
        <v>-0.26939704209328674</v>
      </c>
      <c r="AA15" s="140">
        <f t="shared" si="53"/>
        <v>17</v>
      </c>
      <c r="AB15" s="107">
        <f>_xlfn.XLOOKUP($F15,Cement!$Q$7:$Q$35,Cement!DN$7:DN$35,"")</f>
        <v>-1.5493525145752063</v>
      </c>
      <c r="AC15" s="140">
        <f t="shared" si="54"/>
        <v>24</v>
      </c>
      <c r="AD15" s="107">
        <f>_xlfn.XLOOKUP($F15,Cement!$Q$7:$Q$35,Cement!DP$7:DP$35,"")</f>
        <v>1</v>
      </c>
      <c r="AE15" s="140">
        <f t="shared" si="55"/>
        <v>6</v>
      </c>
      <c r="AF15" s="107">
        <f>_xlfn.XLOOKUP($F15,Cement!$Q$7:$Q$35,Cement!DW$7:DW$35,"")</f>
        <v>-1.9584632245494382</v>
      </c>
      <c r="AG15" s="140">
        <f t="shared" si="56"/>
        <v>25</v>
      </c>
      <c r="AH15" s="107">
        <f>_xlfn.XLOOKUP($F15,Cement!$Q$7:$Q$35,Cement!DY$7:DY$35,"")</f>
        <v>6.3039844262505254</v>
      </c>
      <c r="AI15" s="140">
        <f t="shared" si="57"/>
        <v>11</v>
      </c>
      <c r="AJ15" s="107">
        <f>_xlfn.XLOOKUP($F15,Cement!$Q$7:$Q$35,Cement!EA$7:EA$35,"")</f>
        <v>5.4408193062100434</v>
      </c>
      <c r="AK15" s="140">
        <f t="shared" si="58"/>
        <v>4</v>
      </c>
      <c r="AL15" s="107">
        <f>_xlfn.XLOOKUP($F15,Cement!$Q$7:$Q$35,Cement!EC$7:EC$35,"")</f>
        <v>2.5389663658736672</v>
      </c>
      <c r="AM15" s="140">
        <f t="shared" si="59"/>
        <v>7</v>
      </c>
      <c r="AN15" s="100">
        <f t="shared" si="60"/>
        <v>15.86258882337177</v>
      </c>
      <c r="AO15" s="100">
        <f t="shared" si="61"/>
        <v>21.208110025072855</v>
      </c>
      <c r="AP15" s="141">
        <f t="shared" si="62"/>
        <v>170</v>
      </c>
      <c r="AQ15" s="140">
        <f t="shared" si="63"/>
        <v>9</v>
      </c>
    </row>
    <row r="16" spans="1:43" ht="35" customHeight="1">
      <c r="A16" s="142">
        <f t="shared" si="43"/>
        <v>2</v>
      </c>
      <c r="B16" s="100">
        <f t="shared" ref="B16:B19" si="64">AN16+AD16+AF16+AH16</f>
        <v>21.545827737635289</v>
      </c>
      <c r="C16" s="100">
        <f t="shared" si="44"/>
        <v>21.447230036077684</v>
      </c>
      <c r="D16" s="144" t="str">
        <f>Cement!O16</f>
        <v/>
      </c>
      <c r="E16" s="64" t="str">
        <f>Cement!P16</f>
        <v>مجتمع سيمان غرب آسيا</v>
      </c>
      <c r="F16" s="64" t="str">
        <f>Cement!Q16</f>
        <v>سجام</v>
      </c>
      <c r="G16" s="59">
        <f>Cement!R16</f>
        <v>9</v>
      </c>
      <c r="H16" s="66">
        <f>Cement!S16</f>
        <v>8820</v>
      </c>
      <c r="I16" s="126">
        <f>Cement!V16</f>
        <v>8820</v>
      </c>
      <c r="J16" s="107">
        <f>_xlfn.XLOOKUP($F16,Cement!$Q$7:$Q$35,Cement!AU$7:AU$35,"")</f>
        <v>-9.6232336182856173</v>
      </c>
      <c r="K16" s="140">
        <f t="shared" si="45"/>
        <v>28</v>
      </c>
      <c r="L16" s="107">
        <f>_xlfn.XLOOKUP($F16,Cement!$Q$7:$Q$35,Cement!BB$7:BB$35,"")</f>
        <v>10</v>
      </c>
      <c r="M16" s="140">
        <f t="shared" si="46"/>
        <v>1</v>
      </c>
      <c r="N16" s="107">
        <f>_xlfn.XLOOKUP($F16,Cement!$Q$7:$Q$35,Cement!BJ$7:BJ$35,"")</f>
        <v>0</v>
      </c>
      <c r="O16" s="140">
        <f t="shared" si="47"/>
        <v>2</v>
      </c>
      <c r="P16" s="107">
        <f>_xlfn.XLOOKUP($F16,Cement!$Q$7:$Q$35,Cement!BL$7:BL$35,"")</f>
        <v>-5</v>
      </c>
      <c r="Q16" s="140">
        <f t="shared" si="48"/>
        <v>26</v>
      </c>
      <c r="R16" s="107">
        <f>_xlfn.XLOOKUP($F16,Cement!$Q$7:$Q$35,Cement!BW$7:BW$35,"")</f>
        <v>1.8176152627163589</v>
      </c>
      <c r="S16" s="140">
        <f t="shared" si="49"/>
        <v>10</v>
      </c>
      <c r="T16" s="107">
        <f>_xlfn.XLOOKUP($F16,Cement!$Q$7:$Q$35,Cement!CD$7:CD$35,"")</f>
        <v>-2.9999999999999361E-2</v>
      </c>
      <c r="U16" s="140">
        <f t="shared" si="50"/>
        <v>3</v>
      </c>
      <c r="V16" s="107">
        <f>_xlfn.XLOOKUP($F16,Cement!$Q$7:$Q$35,Cement!CF$7:CF$35,"")</f>
        <v>5.3905361034948758</v>
      </c>
      <c r="W16" s="140">
        <f t="shared" si="51"/>
        <v>3</v>
      </c>
      <c r="X16" s="107">
        <f>_xlfn.XLOOKUP($F16,Cement!$Q$7:$Q$35,Cement!CH$7:CH$35,"")</f>
        <v>0.51028901258505122</v>
      </c>
      <c r="Y16" s="140">
        <f t="shared" si="52"/>
        <v>16</v>
      </c>
      <c r="Z16" s="107">
        <f>_xlfn.XLOOKUP($F16,Cement!$Q$7:$Q$35,Cement!DA$7:DA$35,"")</f>
        <v>4.7636363636363637</v>
      </c>
      <c r="AA16" s="140">
        <f t="shared" si="53"/>
        <v>3</v>
      </c>
      <c r="AB16" s="107">
        <f>_xlfn.XLOOKUP($F16,Cement!$Q$7:$Q$35,Cement!DN$7:DN$35,"")</f>
        <v>2.4464427772784108</v>
      </c>
      <c r="AC16" s="140">
        <f t="shared" si="54"/>
        <v>2</v>
      </c>
      <c r="AD16" s="107">
        <f>_xlfn.XLOOKUP($F16,Cement!$Q$7:$Q$35,Cement!DP$7:DP$35,"")</f>
        <v>0</v>
      </c>
      <c r="AE16" s="140">
        <f t="shared" si="55"/>
        <v>10</v>
      </c>
      <c r="AF16" s="107">
        <f>_xlfn.XLOOKUP($F16,Cement!$Q$7:$Q$35,Cement!DW$7:DW$35,"")</f>
        <v>10</v>
      </c>
      <c r="AG16" s="140">
        <f t="shared" si="56"/>
        <v>1</v>
      </c>
      <c r="AH16" s="107">
        <f>_xlfn.XLOOKUP($F16,Cement!$Q$7:$Q$35,Cement!DY$7:DY$35,"")</f>
        <v>-9.9014022984423953</v>
      </c>
      <c r="AI16" s="140">
        <f t="shared" si="57"/>
        <v>25</v>
      </c>
      <c r="AJ16" s="107">
        <f>_xlfn.XLOOKUP($F16,Cement!$Q$7:$Q$35,Cement!EA$7:EA$35,"")</f>
        <v>7.2213268507016215</v>
      </c>
      <c r="AK16" s="140">
        <f t="shared" si="58"/>
        <v>2</v>
      </c>
      <c r="AL16" s="107">
        <f>_xlfn.XLOOKUP($F16,Cement!$Q$7:$Q$35,Cement!EC$7:EC$35,"")</f>
        <v>3.9506172839506171</v>
      </c>
      <c r="AM16" s="140">
        <f t="shared" si="59"/>
        <v>5</v>
      </c>
      <c r="AN16" s="100">
        <f t="shared" si="60"/>
        <v>21.447230036077684</v>
      </c>
      <c r="AO16" s="100">
        <f t="shared" si="61"/>
        <v>21.545827737635289</v>
      </c>
      <c r="AP16" s="141">
        <f t="shared" si="62"/>
        <v>137</v>
      </c>
      <c r="AQ16" s="140">
        <f t="shared" si="63"/>
        <v>2</v>
      </c>
    </row>
    <row r="17" spans="1:43" ht="35" customHeight="1">
      <c r="A17" s="142">
        <f t="shared" ref="A17:A35" si="65">RANK(AP17,AP$7:AP$35,1)</f>
        <v>5</v>
      </c>
      <c r="B17" s="100">
        <f t="shared" si="64"/>
        <v>21.12491215339011</v>
      </c>
      <c r="C17" s="100">
        <f t="shared" ref="C17:C35" si="66">SUM(J17,L17,P17,R17,T17,V17,X17,N17,Z17,AB17,AJ17,AL17)</f>
        <v>21.12491215339011</v>
      </c>
      <c r="D17" s="144" t="str">
        <f>Cement!O17</f>
        <v/>
      </c>
      <c r="E17" s="64" t="str">
        <f>Cement!P17</f>
        <v>بين المللي ساروج بوشهر</v>
      </c>
      <c r="F17" s="64" t="str">
        <f>Cement!Q17</f>
        <v>ساروج</v>
      </c>
      <c r="G17" s="59">
        <f>Cement!R17</f>
        <v>9</v>
      </c>
      <c r="H17" s="66">
        <f>Cement!S17</f>
        <v>7663.46</v>
      </c>
      <c r="I17" s="126">
        <f>Cement!V17</f>
        <v>57190</v>
      </c>
      <c r="J17" s="107">
        <f>_xlfn.XLOOKUP($F17,Cement!$Q$7:$Q$35,Cement!AU$7:AU$35,"")</f>
        <v>-3.3860357144907605</v>
      </c>
      <c r="K17" s="140">
        <f t="shared" ref="K17:K35" si="67">RANK(J17,J$7:J$35,0)</f>
        <v>21</v>
      </c>
      <c r="L17" s="107">
        <f>_xlfn.XLOOKUP($F17,Cement!$Q$7:$Q$35,Cement!BB$7:BB$35,"")</f>
        <v>10</v>
      </c>
      <c r="M17" s="140">
        <f t="shared" ref="M17:M35" si="68">RANK(L17,L$7:L$35,0)</f>
        <v>1</v>
      </c>
      <c r="N17" s="107">
        <f>_xlfn.XLOOKUP($F17,Cement!$Q$7:$Q$35,Cement!BJ$7:BJ$35,"")</f>
        <v>0</v>
      </c>
      <c r="O17" s="140">
        <f t="shared" ref="O17:O35" si="69">RANK(N17,N$7:N$35,0)</f>
        <v>2</v>
      </c>
      <c r="P17" s="107">
        <f>_xlfn.XLOOKUP($F17,Cement!$Q$7:$Q$35,Cement!BL$7:BL$35,"")</f>
        <v>-4.303608236016176</v>
      </c>
      <c r="Q17" s="140">
        <f t="shared" ref="Q17:Q35" si="70">RANK(P17,P$7:P$35,0)</f>
        <v>25</v>
      </c>
      <c r="R17" s="107">
        <f>_xlfn.XLOOKUP($F17,Cement!$Q$7:$Q$35,Cement!BW$7:BW$35,"")</f>
        <v>2.6870898767498952</v>
      </c>
      <c r="S17" s="140">
        <f t="shared" ref="S17:S35" si="71">RANK(R17,R$7:R$35,0)</f>
        <v>5</v>
      </c>
      <c r="T17" s="107">
        <f>_xlfn.XLOOKUP($F17,Cement!$Q$7:$Q$35,Cement!CD$7:CD$35,"")</f>
        <v>0.57000000000000117</v>
      </c>
      <c r="U17" s="140">
        <f t="shared" ref="U17:U35" si="72">RANK(T17,T$7:T$35,0)</f>
        <v>2</v>
      </c>
      <c r="V17" s="107">
        <f>_xlfn.XLOOKUP($F17,Cement!$Q$7:$Q$35,Cement!CF$7:CF$35,"")</f>
        <v>3.518469299545302</v>
      </c>
      <c r="W17" s="140">
        <f t="shared" ref="W17:W35" si="73">RANK(V17,V$7:V$35,0)</f>
        <v>11</v>
      </c>
      <c r="X17" s="107">
        <f>_xlfn.XLOOKUP($F17,Cement!$Q$7:$Q$35,Cement!CH$7:CH$35,"")</f>
        <v>0.11708761287208019</v>
      </c>
      <c r="Y17" s="140">
        <f t="shared" ref="Y17:Y35" si="74">RANK(X17,X$7:X$35,0)</f>
        <v>19</v>
      </c>
      <c r="Z17" s="107">
        <f>_xlfn.XLOOKUP($F17,Cement!$Q$7:$Q$35,Cement!DA$7:DA$35,"")</f>
        <v>1.2867387592487205</v>
      </c>
      <c r="AA17" s="140">
        <f t="shared" ref="AA17:AA35" si="75">RANK(Z17,Z$7:Z$35,0)</f>
        <v>9</v>
      </c>
      <c r="AB17" s="107">
        <f>_xlfn.XLOOKUP($F17,Cement!$Q$7:$Q$35,Cement!DN$7:DN$35,"")</f>
        <v>0.86240923069831665</v>
      </c>
      <c r="AC17" s="140">
        <f t="shared" ref="AC17:AC35" si="76">RANK(AB17,AB$7:AB$35,0)</f>
        <v>7</v>
      </c>
      <c r="AD17" s="107">
        <f>_xlfn.XLOOKUP($F17,Cement!$Q$7:$Q$35,Cement!DP$7:DP$35,"")</f>
        <v>0</v>
      </c>
      <c r="AE17" s="140">
        <f t="shared" ref="AE17:AE35" si="77">RANK(AD17,AD$7:AD$35,0)</f>
        <v>10</v>
      </c>
      <c r="AF17" s="107">
        <f>_xlfn.XLOOKUP($F17,Cement!$Q$7:$Q$35,Cement!DW$7:DW$35,"")</f>
        <v>10</v>
      </c>
      <c r="AG17" s="140">
        <f t="shared" ref="AG17:AG35" si="78">RANK(AF17,AF$7:AF$35,0)</f>
        <v>1</v>
      </c>
      <c r="AH17" s="107">
        <f>_xlfn.XLOOKUP($F17,Cement!$Q$7:$Q$35,Cement!DY$7:DY$35,"")</f>
        <v>-10</v>
      </c>
      <c r="AI17" s="140">
        <f t="shared" ref="AI17:AI35" si="79">RANK(AH17,AH$7:AH$35,0)</f>
        <v>26</v>
      </c>
      <c r="AJ17" s="107">
        <f>_xlfn.XLOOKUP($F17,Cement!$Q$7:$Q$35,Cement!EA$7:EA$35,"")</f>
        <v>3.8819394891498549</v>
      </c>
      <c r="AK17" s="140">
        <f t="shared" ref="AK17:AK35" si="80">RANK(AJ17,AJ$7:AJ$35,0)</f>
        <v>7</v>
      </c>
      <c r="AL17" s="107">
        <f>_xlfn.XLOOKUP($F17,Cement!$Q$7:$Q$35,Cement!EC$7:EC$35,"")</f>
        <v>5.8908218356328739</v>
      </c>
      <c r="AM17" s="140">
        <f t="shared" ref="AM17:AM35" si="81">RANK(AL17,AL$7:AL$35,0)</f>
        <v>3</v>
      </c>
      <c r="AN17" s="100">
        <f t="shared" ref="AN17:AN35" si="82">SUM(J17,L17,P17,R17,T17,V17,X17,N17,Z17,AB17,AJ17,AL17)</f>
        <v>21.12491215339011</v>
      </c>
      <c r="AO17" s="100">
        <f t="shared" ref="AO17:AO35" si="83">AN17+AD17+AF17+AH17</f>
        <v>21.12491215339011</v>
      </c>
      <c r="AP17" s="141">
        <f t="shared" ref="AP17:AP35" si="84">SUM(K17,M17,Q17,S17,U17,W17,Y17,O17,AA17,AC17,AE17,AG17,AI17,AK17,AM17)</f>
        <v>149</v>
      </c>
      <c r="AQ17" s="140">
        <f t="shared" ref="AQ17:AQ35" si="85">RANK(AP17,AP$7:AP$35,1)</f>
        <v>5</v>
      </c>
    </row>
    <row r="18" spans="1:43" ht="35" customHeight="1">
      <c r="A18" s="142">
        <f t="shared" si="65"/>
        <v>8</v>
      </c>
      <c r="B18" s="100">
        <f t="shared" si="64"/>
        <v>16.477230296443544</v>
      </c>
      <c r="C18" s="100">
        <f t="shared" si="66"/>
        <v>10.354331926451188</v>
      </c>
      <c r="D18" s="144" t="str">
        <f>Cement!O18</f>
        <v/>
      </c>
      <c r="E18" s="64" t="str">
        <f>Cement!P18</f>
        <v>سیمان هگمتان</v>
      </c>
      <c r="F18" s="64" t="str">
        <f>Cement!Q18</f>
        <v>سهگمت</v>
      </c>
      <c r="G18" s="59">
        <f>Cement!R18</f>
        <v>10</v>
      </c>
      <c r="H18" s="66">
        <f>Cement!S18</f>
        <v>9889.6667300000008</v>
      </c>
      <c r="I18" s="126">
        <f>Cement!V18</f>
        <v>135700</v>
      </c>
      <c r="J18" s="107">
        <f>_xlfn.XLOOKUP($F18,Cement!$Q$7:$Q$35,Cement!AU$7:AU$35,"")</f>
        <v>9.6617797630983411</v>
      </c>
      <c r="K18" s="140">
        <f t="shared" si="67"/>
        <v>2</v>
      </c>
      <c r="L18" s="107">
        <f>_xlfn.XLOOKUP($F18,Cement!$Q$7:$Q$35,Cement!BB$7:BB$35,"")</f>
        <v>-6.5</v>
      </c>
      <c r="M18" s="140">
        <f t="shared" si="68"/>
        <v>25</v>
      </c>
      <c r="N18" s="107">
        <f>_xlfn.XLOOKUP($F18,Cement!$Q$7:$Q$35,Cement!BJ$7:BJ$35,"")</f>
        <v>0</v>
      </c>
      <c r="O18" s="140">
        <f t="shared" si="69"/>
        <v>2</v>
      </c>
      <c r="P18" s="107">
        <f>_xlfn.XLOOKUP($F18,Cement!$Q$7:$Q$35,Cement!BL$7:BL$35,"")</f>
        <v>5</v>
      </c>
      <c r="Q18" s="140">
        <f t="shared" si="70"/>
        <v>1</v>
      </c>
      <c r="R18" s="107">
        <f>_xlfn.XLOOKUP($F18,Cement!$Q$7:$Q$35,Cement!BW$7:BW$35,"")</f>
        <v>-7.8683417704515879</v>
      </c>
      <c r="S18" s="140">
        <f t="shared" si="71"/>
        <v>24</v>
      </c>
      <c r="T18" s="107">
        <f>_xlfn.XLOOKUP($F18,Cement!$Q$7:$Q$35,Cement!CD$7:CD$35,"")</f>
        <v>-0.17999999999999883</v>
      </c>
      <c r="U18" s="140">
        <f t="shared" si="72"/>
        <v>4</v>
      </c>
      <c r="V18" s="107">
        <f>_xlfn.XLOOKUP($F18,Cement!$Q$7:$Q$35,Cement!CF$7:CF$35,"")</f>
        <v>5.7985112963713457</v>
      </c>
      <c r="W18" s="140">
        <f t="shared" si="73"/>
        <v>1</v>
      </c>
      <c r="X18" s="107">
        <f>_xlfn.XLOOKUP($F18,Cement!$Q$7:$Q$35,Cement!CH$7:CH$35,"")</f>
        <v>-1.7284596305090436</v>
      </c>
      <c r="Y18" s="140">
        <f t="shared" si="74"/>
        <v>26</v>
      </c>
      <c r="Z18" s="107">
        <f>_xlfn.XLOOKUP($F18,Cement!$Q$7:$Q$35,Cement!DA$7:DA$35,"")</f>
        <v>6</v>
      </c>
      <c r="AA18" s="140">
        <f t="shared" si="75"/>
        <v>1</v>
      </c>
      <c r="AB18" s="107">
        <f>_xlfn.XLOOKUP($F18,Cement!$Q$7:$Q$35,Cement!DN$7:DN$35,"")</f>
        <v>3.577410531765191</v>
      </c>
      <c r="AC18" s="140">
        <f t="shared" si="76"/>
        <v>1</v>
      </c>
      <c r="AD18" s="107">
        <f>_xlfn.XLOOKUP($F18,Cement!$Q$7:$Q$35,Cement!DP$7:DP$35,"")</f>
        <v>3</v>
      </c>
      <c r="AE18" s="140">
        <f t="shared" si="77"/>
        <v>1</v>
      </c>
      <c r="AF18" s="107">
        <f>_xlfn.XLOOKUP($F18,Cement!$Q$7:$Q$35,Cement!DW$7:DW$35,"")</f>
        <v>10</v>
      </c>
      <c r="AG18" s="140">
        <f t="shared" si="78"/>
        <v>1</v>
      </c>
      <c r="AH18" s="107">
        <f>_xlfn.XLOOKUP($F18,Cement!$Q$7:$Q$35,Cement!DY$7:DY$35,"")</f>
        <v>-6.8771016300076457</v>
      </c>
      <c r="AI18" s="140">
        <f t="shared" si="79"/>
        <v>22</v>
      </c>
      <c r="AJ18" s="107">
        <f>_xlfn.XLOOKUP($F18,Cement!$Q$7:$Q$35,Cement!EA$7:EA$35,"")</f>
        <v>-3.4065682638230603</v>
      </c>
      <c r="AK18" s="140">
        <f t="shared" si="80"/>
        <v>23</v>
      </c>
      <c r="AL18" s="107">
        <f>_xlfn.XLOOKUP($F18,Cement!$Q$7:$Q$35,Cement!EC$7:EC$35,"")</f>
        <v>0</v>
      </c>
      <c r="AM18" s="140">
        <f t="shared" si="81"/>
        <v>24</v>
      </c>
      <c r="AN18" s="100">
        <f t="shared" si="82"/>
        <v>10.354331926451188</v>
      </c>
      <c r="AO18" s="100">
        <f t="shared" si="83"/>
        <v>16.477230296443544</v>
      </c>
      <c r="AP18" s="141">
        <f t="shared" si="84"/>
        <v>158</v>
      </c>
      <c r="AQ18" s="140">
        <f t="shared" si="85"/>
        <v>8</v>
      </c>
    </row>
    <row r="19" spans="1:43" ht="35" customHeight="1">
      <c r="A19" s="142">
        <f t="shared" si="65"/>
        <v>15</v>
      </c>
      <c r="B19" s="100">
        <f t="shared" si="64"/>
        <v>15.202117459117378</v>
      </c>
      <c r="C19" s="100">
        <f t="shared" si="66"/>
        <v>6.7690925595276914</v>
      </c>
      <c r="D19" s="144" t="str">
        <f>Cement!O19</f>
        <v/>
      </c>
      <c r="E19" s="64" t="str">
        <f>Cement!P19</f>
        <v>سيمان‌ صوفيان‌</v>
      </c>
      <c r="F19" s="64" t="str">
        <f>Cement!Q19</f>
        <v>سصوفي</v>
      </c>
      <c r="G19" s="59">
        <f>Cement!R19</f>
        <v>12</v>
      </c>
      <c r="H19" s="66">
        <f>Cement!S19</f>
        <v>18403</v>
      </c>
      <c r="I19" s="126">
        <f>Cement!V19</f>
        <v>167300</v>
      </c>
      <c r="J19" s="107">
        <f>_xlfn.XLOOKUP($F19,Cement!$Q$7:$Q$35,Cement!AU$7:AU$35,"")</f>
        <v>-3.8240711709721564</v>
      </c>
      <c r="K19" s="140">
        <f t="shared" si="67"/>
        <v>22</v>
      </c>
      <c r="L19" s="107">
        <f>_xlfn.XLOOKUP($F19,Cement!$Q$7:$Q$35,Cement!BB$7:BB$35,"")</f>
        <v>0.50000000000000044</v>
      </c>
      <c r="M19" s="140">
        <f t="shared" si="68"/>
        <v>16</v>
      </c>
      <c r="N19" s="107">
        <f>_xlfn.XLOOKUP($F19,Cement!$Q$7:$Q$35,Cement!BJ$7:BJ$35,"")</f>
        <v>0</v>
      </c>
      <c r="O19" s="140">
        <f t="shared" si="69"/>
        <v>2</v>
      </c>
      <c r="P19" s="107">
        <f>_xlfn.XLOOKUP($F19,Cement!$Q$7:$Q$35,Cement!BL$7:BL$35,"")</f>
        <v>5</v>
      </c>
      <c r="Q19" s="140">
        <f t="shared" si="70"/>
        <v>1</v>
      </c>
      <c r="R19" s="107">
        <f>_xlfn.XLOOKUP($F19,Cement!$Q$7:$Q$35,Cement!BW$7:BW$35,"")</f>
        <v>2.0207502808637789</v>
      </c>
      <c r="S19" s="140">
        <f t="shared" si="71"/>
        <v>8</v>
      </c>
      <c r="T19" s="107">
        <f>_xlfn.XLOOKUP($F19,Cement!$Q$7:$Q$35,Cement!CD$7:CD$35,"")</f>
        <v>-1.2300000000000004</v>
      </c>
      <c r="U19" s="140">
        <f t="shared" si="72"/>
        <v>6</v>
      </c>
      <c r="V19" s="107">
        <f>_xlfn.XLOOKUP($F19,Cement!$Q$7:$Q$35,Cement!CF$7:CF$35,"")</f>
        <v>1.5318962372914404</v>
      </c>
      <c r="W19" s="140">
        <f t="shared" si="73"/>
        <v>24</v>
      </c>
      <c r="X19" s="107">
        <f>_xlfn.XLOOKUP($F19,Cement!$Q$7:$Q$35,Cement!CH$7:CH$35,"")</f>
        <v>1.2734283713196102</v>
      </c>
      <c r="Y19" s="140">
        <f t="shared" si="74"/>
        <v>11</v>
      </c>
      <c r="Z19" s="107">
        <f>_xlfn.XLOOKUP($F19,Cement!$Q$7:$Q$35,Cement!DA$7:DA$35,"")</f>
        <v>-0.81744791666666572</v>
      </c>
      <c r="AA19" s="140">
        <f t="shared" si="75"/>
        <v>23</v>
      </c>
      <c r="AB19" s="107">
        <f>_xlfn.XLOOKUP($F19,Cement!$Q$7:$Q$35,Cement!DN$7:DN$35,"")</f>
        <v>-2.1046107437077377</v>
      </c>
      <c r="AC19" s="140">
        <f t="shared" si="76"/>
        <v>28</v>
      </c>
      <c r="AD19" s="107">
        <f>_xlfn.XLOOKUP($F19,Cement!$Q$7:$Q$35,Cement!DP$7:DP$35,"")</f>
        <v>2</v>
      </c>
      <c r="AE19" s="140">
        <f t="shared" si="77"/>
        <v>3</v>
      </c>
      <c r="AF19" s="107">
        <f>_xlfn.XLOOKUP($F19,Cement!$Q$7:$Q$35,Cement!DW$7:DW$35,"")</f>
        <v>0.56066945606694674</v>
      </c>
      <c r="AG19" s="140">
        <f t="shared" si="78"/>
        <v>24</v>
      </c>
      <c r="AH19" s="107">
        <f>_xlfn.XLOOKUP($F19,Cement!$Q$7:$Q$35,Cement!DY$7:DY$35,"")</f>
        <v>5.8723554435227401</v>
      </c>
      <c r="AI19" s="140">
        <f t="shared" si="79"/>
        <v>12</v>
      </c>
      <c r="AJ19" s="107">
        <f>_xlfn.XLOOKUP($F19,Cement!$Q$7:$Q$35,Cement!EA$7:EA$35,"")</f>
        <v>3.763901248722763</v>
      </c>
      <c r="AK19" s="140">
        <f t="shared" si="80"/>
        <v>8</v>
      </c>
      <c r="AL19" s="107">
        <f>_xlfn.XLOOKUP($F19,Cement!$Q$7:$Q$35,Cement!EC$7:EC$35,"")</f>
        <v>0.65524625267665948</v>
      </c>
      <c r="AM19" s="140">
        <f t="shared" si="81"/>
        <v>16</v>
      </c>
      <c r="AN19" s="100">
        <f t="shared" si="82"/>
        <v>6.7690925595276914</v>
      </c>
      <c r="AO19" s="100">
        <f t="shared" si="83"/>
        <v>15.202117459117378</v>
      </c>
      <c r="AP19" s="141">
        <f t="shared" si="84"/>
        <v>204</v>
      </c>
      <c r="AQ19" s="140">
        <f t="shared" si="85"/>
        <v>15</v>
      </c>
    </row>
    <row r="20" spans="1:43" ht="35" customHeight="1">
      <c r="A20" s="142">
        <f t="shared" si="65"/>
        <v>12</v>
      </c>
      <c r="B20" s="100">
        <f>AN20+AD20+AF20+AH20</f>
        <v>14.841666562736975</v>
      </c>
      <c r="C20" s="100">
        <f t="shared" si="66"/>
        <v>4.871586775502931</v>
      </c>
      <c r="D20" s="144" t="str">
        <f>Cement!O20</f>
        <v/>
      </c>
      <c r="E20" s="64" t="str">
        <f>Cement!P20</f>
        <v>سيمان ممتازان كرمان</v>
      </c>
      <c r="F20" s="64" t="str">
        <f>Cement!Q20</f>
        <v>سمتاز</v>
      </c>
      <c r="G20" s="59">
        <f>Cement!R20</f>
        <v>12</v>
      </c>
      <c r="H20" s="66">
        <f>Cement!S20</f>
        <v>11280</v>
      </c>
      <c r="I20" s="126">
        <f>Cement!V20</f>
        <v>56400</v>
      </c>
      <c r="J20" s="107">
        <f>_xlfn.XLOOKUP($F20,Cement!$Q$7:$Q$35,Cement!AU$7:AU$35,"")</f>
        <v>-3.0117459251175349</v>
      </c>
      <c r="K20" s="140">
        <f t="shared" si="67"/>
        <v>19</v>
      </c>
      <c r="L20" s="107">
        <f>_xlfn.XLOOKUP($F20,Cement!$Q$7:$Q$35,Cement!BB$7:BB$35,"")</f>
        <v>3.099999999999997</v>
      </c>
      <c r="M20" s="140">
        <f t="shared" si="68"/>
        <v>11</v>
      </c>
      <c r="N20" s="107">
        <f>_xlfn.XLOOKUP($F20,Cement!$Q$7:$Q$35,Cement!BJ$7:BJ$35,"")</f>
        <v>0</v>
      </c>
      <c r="O20" s="140">
        <f t="shared" si="69"/>
        <v>2</v>
      </c>
      <c r="P20" s="107">
        <f>_xlfn.XLOOKUP($F20,Cement!$Q$7:$Q$35,Cement!BL$7:BL$35,"")</f>
        <v>5</v>
      </c>
      <c r="Q20" s="140">
        <f t="shared" si="70"/>
        <v>1</v>
      </c>
      <c r="R20" s="107">
        <f>_xlfn.XLOOKUP($F20,Cement!$Q$7:$Q$35,Cement!BW$7:BW$35,"")</f>
        <v>-1.7593496499218597</v>
      </c>
      <c r="S20" s="140">
        <f t="shared" si="71"/>
        <v>19</v>
      </c>
      <c r="T20" s="107">
        <f>_xlfn.XLOOKUP($F20,Cement!$Q$7:$Q$35,Cement!CD$7:CD$35,"")</f>
        <v>-4.9500000000000011</v>
      </c>
      <c r="U20" s="140">
        <f t="shared" si="72"/>
        <v>20</v>
      </c>
      <c r="V20" s="107">
        <f>_xlfn.XLOOKUP($F20,Cement!$Q$7:$Q$35,Cement!CF$7:CF$35,"")</f>
        <v>3.3028801146413755</v>
      </c>
      <c r="W20" s="140">
        <f t="shared" si="73"/>
        <v>12</v>
      </c>
      <c r="X20" s="107">
        <f>_xlfn.XLOOKUP($F20,Cement!$Q$7:$Q$35,Cement!CH$7:CH$35,"")</f>
        <v>2.6807023943231205</v>
      </c>
      <c r="Y20" s="140">
        <f t="shared" si="74"/>
        <v>5</v>
      </c>
      <c r="Z20" s="107">
        <f>_xlfn.XLOOKUP($F20,Cement!$Q$7:$Q$35,Cement!DA$7:DA$35,"")</f>
        <v>-0.318629550321198</v>
      </c>
      <c r="AA20" s="140">
        <f t="shared" si="75"/>
        <v>18</v>
      </c>
      <c r="AB20" s="107">
        <f>_xlfn.XLOOKUP($F20,Cement!$Q$7:$Q$35,Cement!DN$7:DN$35,"")</f>
        <v>-1.2610258240747663</v>
      </c>
      <c r="AC20" s="140">
        <f t="shared" si="76"/>
        <v>23</v>
      </c>
      <c r="AD20" s="107">
        <f>_xlfn.XLOOKUP($F20,Cement!$Q$7:$Q$35,Cement!DP$7:DP$35,"")</f>
        <v>2</v>
      </c>
      <c r="AE20" s="140">
        <f t="shared" si="77"/>
        <v>3</v>
      </c>
      <c r="AF20" s="107">
        <f>_xlfn.XLOOKUP($F20,Cement!$Q$7:$Q$35,Cement!DW$7:DW$35,"")</f>
        <v>-2.0299202127659566</v>
      </c>
      <c r="AG20" s="140">
        <f t="shared" si="78"/>
        <v>26</v>
      </c>
      <c r="AH20" s="107">
        <f>_xlfn.XLOOKUP($F20,Cement!$Q$7:$Q$35,Cement!DY$7:DY$35,"")</f>
        <v>10</v>
      </c>
      <c r="AI20" s="140">
        <f t="shared" si="79"/>
        <v>1</v>
      </c>
      <c r="AJ20" s="107">
        <f>_xlfn.XLOOKUP($F20,Cement!$Q$7:$Q$35,Cement!EA$7:EA$35,"")</f>
        <v>0.57190128338952761</v>
      </c>
      <c r="AK20" s="140">
        <f t="shared" si="80"/>
        <v>12</v>
      </c>
      <c r="AL20" s="107">
        <f>_xlfn.XLOOKUP($F20,Cement!$Q$7:$Q$35,Cement!EC$7:EC$35,"")</f>
        <v>1.5168539325842698</v>
      </c>
      <c r="AM20" s="140">
        <f t="shared" si="81"/>
        <v>12</v>
      </c>
      <c r="AN20" s="100">
        <f t="shared" si="82"/>
        <v>4.871586775502931</v>
      </c>
      <c r="AO20" s="100">
        <f t="shared" si="83"/>
        <v>14.841666562736975</v>
      </c>
      <c r="AP20" s="141">
        <f t="shared" si="84"/>
        <v>184</v>
      </c>
      <c r="AQ20" s="140">
        <f t="shared" si="85"/>
        <v>12</v>
      </c>
    </row>
    <row r="21" spans="1:43" ht="35" customHeight="1">
      <c r="A21" s="142">
        <f t="shared" si="65"/>
        <v>10</v>
      </c>
      <c r="B21" s="100">
        <f>AN21+AD21+AF21+AH21</f>
        <v>14.380222800984832</v>
      </c>
      <c r="C21" s="100">
        <f t="shared" si="66"/>
        <v>11.940187906386852</v>
      </c>
      <c r="D21" s="144" t="str">
        <f>Cement!O21</f>
        <v/>
      </c>
      <c r="E21" s="64" t="str">
        <f>Cement!P21</f>
        <v>سيمان‌ كرمان‌</v>
      </c>
      <c r="F21" s="64" t="str">
        <f>Cement!Q21</f>
        <v>سكرما</v>
      </c>
      <c r="G21" s="59">
        <f>Cement!R21</f>
        <v>9</v>
      </c>
      <c r="H21" s="66">
        <f>Cement!S21</f>
        <v>10186.5</v>
      </c>
      <c r="I21" s="126">
        <f>Cement!V21</f>
        <v>67910</v>
      </c>
      <c r="J21" s="107">
        <f>_xlfn.XLOOKUP($F21,Cement!$Q$7:$Q$35,Cement!AU$7:AU$35,"")</f>
        <v>-9.500953933334241</v>
      </c>
      <c r="K21" s="140">
        <f t="shared" si="67"/>
        <v>27</v>
      </c>
      <c r="L21" s="107">
        <f>_xlfn.XLOOKUP($F21,Cement!$Q$7:$Q$35,Cement!BB$7:BB$35,"")</f>
        <v>10</v>
      </c>
      <c r="M21" s="140">
        <f t="shared" si="68"/>
        <v>1</v>
      </c>
      <c r="N21" s="107">
        <f>_xlfn.XLOOKUP($F21,Cement!$Q$7:$Q$35,Cement!BJ$7:BJ$35,"")</f>
        <v>0</v>
      </c>
      <c r="O21" s="140">
        <f t="shared" si="69"/>
        <v>2</v>
      </c>
      <c r="P21" s="107">
        <f>_xlfn.XLOOKUP($F21,Cement!$Q$7:$Q$35,Cement!BL$7:BL$35,"")</f>
        <v>5</v>
      </c>
      <c r="Q21" s="140">
        <f t="shared" si="70"/>
        <v>1</v>
      </c>
      <c r="R21" s="107">
        <f>_xlfn.XLOOKUP($F21,Cement!$Q$7:$Q$35,Cement!BW$7:BW$35,"")</f>
        <v>-2.0745155485830313</v>
      </c>
      <c r="S21" s="140">
        <f t="shared" si="71"/>
        <v>21</v>
      </c>
      <c r="T21" s="107">
        <f>_xlfn.XLOOKUP($F21,Cement!$Q$7:$Q$35,Cement!CD$7:CD$35,"")</f>
        <v>-2.37</v>
      </c>
      <c r="U21" s="140">
        <f t="shared" si="72"/>
        <v>10</v>
      </c>
      <c r="V21" s="107">
        <f>_xlfn.XLOOKUP($F21,Cement!$Q$7:$Q$35,Cement!CF$7:CF$35,"")</f>
        <v>3.7792832973887149</v>
      </c>
      <c r="W21" s="140">
        <f t="shared" si="73"/>
        <v>9</v>
      </c>
      <c r="X21" s="107">
        <f>_xlfn.XLOOKUP($F21,Cement!$Q$7:$Q$35,Cement!CH$7:CH$35,"")</f>
        <v>0.75555576390141899</v>
      </c>
      <c r="Y21" s="140">
        <f t="shared" si="74"/>
        <v>13</v>
      </c>
      <c r="Z21" s="107">
        <f>_xlfn.XLOOKUP($F21,Cement!$Q$7:$Q$35,Cement!DA$7:DA$35,"")</f>
        <v>1.5859504132231415</v>
      </c>
      <c r="AA21" s="140">
        <f t="shared" si="75"/>
        <v>8</v>
      </c>
      <c r="AB21" s="107">
        <f>_xlfn.XLOOKUP($F21,Cement!$Q$7:$Q$35,Cement!DN$7:DN$35,"")</f>
        <v>0.25600144809661218</v>
      </c>
      <c r="AC21" s="140">
        <f t="shared" si="76"/>
        <v>14</v>
      </c>
      <c r="AD21" s="107">
        <f>_xlfn.XLOOKUP($F21,Cement!$Q$7:$Q$35,Cement!DP$7:DP$35,"")</f>
        <v>0</v>
      </c>
      <c r="AE21" s="140">
        <f t="shared" si="77"/>
        <v>10</v>
      </c>
      <c r="AF21" s="107">
        <f>_xlfn.XLOOKUP($F21,Cement!$Q$7:$Q$35,Cement!DW$7:DW$35,"")</f>
        <v>1.4669415402738917</v>
      </c>
      <c r="AG21" s="140">
        <f t="shared" si="78"/>
        <v>21</v>
      </c>
      <c r="AH21" s="107">
        <f>_xlfn.XLOOKUP($F21,Cement!$Q$7:$Q$35,Cement!DY$7:DY$35,"")</f>
        <v>0.97309335432408883</v>
      </c>
      <c r="AI21" s="140">
        <f t="shared" si="79"/>
        <v>15</v>
      </c>
      <c r="AJ21" s="107">
        <f>_xlfn.XLOOKUP($F21,Cement!$Q$7:$Q$35,Cement!EA$7:EA$35,"")</f>
        <v>4.480147338755696</v>
      </c>
      <c r="AK21" s="140">
        <f t="shared" si="80"/>
        <v>5</v>
      </c>
      <c r="AL21" s="107">
        <f>_xlfn.XLOOKUP($F21,Cement!$Q$7:$Q$35,Cement!EC$7:EC$35,"")</f>
        <v>2.8719126938541069E-2</v>
      </c>
      <c r="AM21" s="140">
        <f t="shared" si="81"/>
        <v>23</v>
      </c>
      <c r="AN21" s="100">
        <f t="shared" si="82"/>
        <v>11.940187906386852</v>
      </c>
      <c r="AO21" s="100">
        <f t="shared" si="83"/>
        <v>14.380222800984832</v>
      </c>
      <c r="AP21" s="141">
        <f t="shared" si="84"/>
        <v>180</v>
      </c>
      <c r="AQ21" s="140">
        <f t="shared" si="85"/>
        <v>10</v>
      </c>
    </row>
    <row r="22" spans="1:43" ht="35" customHeight="1">
      <c r="A22" s="142">
        <f t="shared" si="65"/>
        <v>24</v>
      </c>
      <c r="B22" s="100">
        <f t="shared" ref="B22:B25" si="86">AN22+AD22+AF22+AH22</f>
        <v>9.2730653097207458</v>
      </c>
      <c r="C22" s="100">
        <f t="shared" si="66"/>
        <v>-5.2094126947273356</v>
      </c>
      <c r="D22" s="144" t="str">
        <f>Cement!O22</f>
        <v/>
      </c>
      <c r="E22" s="64" t="str">
        <f>Cement!P22</f>
        <v>سيمان ساوه</v>
      </c>
      <c r="F22" s="64" t="str">
        <f>Cement!Q22</f>
        <v>ساوه</v>
      </c>
      <c r="G22" s="59">
        <f>Cement!R22</f>
        <v>12</v>
      </c>
      <c r="H22" s="66">
        <f>Cement!S22</f>
        <v>17782.426080000001</v>
      </c>
      <c r="I22" s="126">
        <f>Cement!V22</f>
        <v>10350</v>
      </c>
      <c r="J22" s="107">
        <f>_xlfn.XLOOKUP($F22,Cement!$Q$7:$Q$35,Cement!AU$7:AU$35,"")</f>
        <v>3.3793716616147318</v>
      </c>
      <c r="K22" s="140">
        <f t="shared" si="67"/>
        <v>8</v>
      </c>
      <c r="L22" s="107">
        <f>_xlfn.XLOOKUP($F22,Cement!$Q$7:$Q$35,Cement!BB$7:BB$35,"")</f>
        <v>-4.299999999999998</v>
      </c>
      <c r="M22" s="140">
        <f t="shared" si="68"/>
        <v>23</v>
      </c>
      <c r="N22" s="107">
        <f>_xlfn.XLOOKUP($F22,Cement!$Q$7:$Q$35,Cement!BJ$7:BJ$35,"")</f>
        <v>0</v>
      </c>
      <c r="O22" s="140">
        <f t="shared" si="69"/>
        <v>2</v>
      </c>
      <c r="P22" s="107">
        <f>_xlfn.XLOOKUP($F22,Cement!$Q$7:$Q$35,Cement!BL$7:BL$35,"")</f>
        <v>5</v>
      </c>
      <c r="Q22" s="140">
        <f t="shared" si="70"/>
        <v>1</v>
      </c>
      <c r="R22" s="107">
        <f>_xlfn.XLOOKUP($F22,Cement!$Q$7:$Q$35,Cement!BW$7:BW$35,"")</f>
        <v>-1.3725155697088898</v>
      </c>
      <c r="S22" s="140">
        <f t="shared" si="71"/>
        <v>17</v>
      </c>
      <c r="T22" s="107">
        <f>_xlfn.XLOOKUP($F22,Cement!$Q$7:$Q$35,Cement!CD$7:CD$35,"")</f>
        <v>-5.8500000000000005</v>
      </c>
      <c r="U22" s="140">
        <f t="shared" si="72"/>
        <v>25</v>
      </c>
      <c r="V22" s="107">
        <f>_xlfn.XLOOKUP($F22,Cement!$Q$7:$Q$35,Cement!CF$7:CF$35,"")</f>
        <v>2.1282441904242448</v>
      </c>
      <c r="W22" s="140">
        <f t="shared" si="73"/>
        <v>23</v>
      </c>
      <c r="X22" s="107">
        <f>_xlfn.XLOOKUP($F22,Cement!$Q$7:$Q$35,Cement!CH$7:CH$35,"")</f>
        <v>1.6206907940660775</v>
      </c>
      <c r="Y22" s="140">
        <f t="shared" si="74"/>
        <v>9</v>
      </c>
      <c r="Z22" s="107">
        <f>_xlfn.XLOOKUP($F22,Cement!$Q$7:$Q$35,Cement!DA$7:DA$35,"")</f>
        <v>-3.162220804084237</v>
      </c>
      <c r="AA22" s="140">
        <f t="shared" si="75"/>
        <v>29</v>
      </c>
      <c r="AB22" s="107">
        <f>_xlfn.XLOOKUP($F22,Cement!$Q$7:$Q$35,Cement!DN$7:DN$35,"")</f>
        <v>-0.34194720212517682</v>
      </c>
      <c r="AC22" s="140">
        <f t="shared" si="76"/>
        <v>18</v>
      </c>
      <c r="AD22" s="107">
        <f>_xlfn.XLOOKUP($F22,Cement!$Q$7:$Q$35,Cement!DP$7:DP$35,"")</f>
        <v>0</v>
      </c>
      <c r="AE22" s="140">
        <f t="shared" si="77"/>
        <v>10</v>
      </c>
      <c r="AF22" s="107">
        <f>_xlfn.XLOOKUP($F22,Cement!$Q$7:$Q$35,Cement!DW$7:DW$35,"")</f>
        <v>4.6910009930433505</v>
      </c>
      <c r="AG22" s="140">
        <f t="shared" si="78"/>
        <v>19</v>
      </c>
      <c r="AH22" s="107">
        <f>_xlfn.XLOOKUP($F22,Cement!$Q$7:$Q$35,Cement!DY$7:DY$35,"")</f>
        <v>9.7914770114047318</v>
      </c>
      <c r="AI22" s="140">
        <f t="shared" si="79"/>
        <v>8</v>
      </c>
      <c r="AJ22" s="107">
        <f>_xlfn.XLOOKUP($F22,Cement!$Q$7:$Q$35,Cement!EA$7:EA$35,"")</f>
        <v>-2.8389392339940267</v>
      </c>
      <c r="AK22" s="140">
        <f t="shared" si="80"/>
        <v>20</v>
      </c>
      <c r="AL22" s="107">
        <f>_xlfn.XLOOKUP($F22,Cement!$Q$7:$Q$35,Cement!EC$7:EC$35,"")</f>
        <v>0.52790346907993968</v>
      </c>
      <c r="AM22" s="140">
        <f t="shared" si="81"/>
        <v>18</v>
      </c>
      <c r="AN22" s="100">
        <f t="shared" si="82"/>
        <v>-5.2094126947273356</v>
      </c>
      <c r="AO22" s="100">
        <f t="shared" si="83"/>
        <v>9.2730653097207458</v>
      </c>
      <c r="AP22" s="141">
        <f t="shared" si="84"/>
        <v>230</v>
      </c>
      <c r="AQ22" s="140">
        <f t="shared" si="85"/>
        <v>24</v>
      </c>
    </row>
    <row r="23" spans="1:43" ht="35" customHeight="1">
      <c r="A23" s="142">
        <f t="shared" si="65"/>
        <v>13</v>
      </c>
      <c r="B23" s="100">
        <f t="shared" si="86"/>
        <v>8.9839762773261249</v>
      </c>
      <c r="C23" s="100">
        <f t="shared" si="66"/>
        <v>0.59572866302527594</v>
      </c>
      <c r="D23" s="144" t="str">
        <f>Cement!O23</f>
        <v/>
      </c>
      <c r="E23" s="64" t="str">
        <f>Cement!P23</f>
        <v>سيمان ‌مازندران‌</v>
      </c>
      <c r="F23" s="64" t="str">
        <f>Cement!Q23</f>
        <v>سمازن</v>
      </c>
      <c r="G23" s="59">
        <f>Cement!R23</f>
        <v>9</v>
      </c>
      <c r="H23" s="66">
        <f>Cement!S23</f>
        <v>18635.562000000002</v>
      </c>
      <c r="I23" s="126">
        <f>Cement!V23</f>
        <v>75570</v>
      </c>
      <c r="J23" s="107">
        <f>_xlfn.XLOOKUP($F23,Cement!$Q$7:$Q$35,Cement!AU$7:AU$35,"")</f>
        <v>-2.0983855868398305</v>
      </c>
      <c r="K23" s="140">
        <f t="shared" si="67"/>
        <v>17</v>
      </c>
      <c r="L23" s="107">
        <f>_xlfn.XLOOKUP($F23,Cement!$Q$7:$Q$35,Cement!BB$7:BB$35,"")</f>
        <v>1.8000000000000016</v>
      </c>
      <c r="M23" s="140">
        <f t="shared" si="68"/>
        <v>14</v>
      </c>
      <c r="N23" s="107">
        <f>_xlfn.XLOOKUP($F23,Cement!$Q$7:$Q$35,Cement!BJ$7:BJ$35,"")</f>
        <v>0</v>
      </c>
      <c r="O23" s="140">
        <f t="shared" si="69"/>
        <v>2</v>
      </c>
      <c r="P23" s="107">
        <f>_xlfn.XLOOKUP($F23,Cement!$Q$7:$Q$35,Cement!BL$7:BL$35,"")</f>
        <v>-5</v>
      </c>
      <c r="Q23" s="140">
        <f t="shared" si="70"/>
        <v>26</v>
      </c>
      <c r="R23" s="107">
        <f>_xlfn.XLOOKUP($F23,Cement!$Q$7:$Q$35,Cement!BW$7:BW$35,"")</f>
        <v>-2.0522966506167117</v>
      </c>
      <c r="S23" s="140">
        <f t="shared" si="71"/>
        <v>20</v>
      </c>
      <c r="T23" s="107">
        <f>_xlfn.XLOOKUP($F23,Cement!$Q$7:$Q$35,Cement!CD$7:CD$35,"")</f>
        <v>-4.2000000000000011</v>
      </c>
      <c r="U23" s="140">
        <f t="shared" si="72"/>
        <v>16</v>
      </c>
      <c r="V23" s="107">
        <f>_xlfn.XLOOKUP($F23,Cement!$Q$7:$Q$35,Cement!CF$7:CF$35,"")</f>
        <v>5.4288391287811812</v>
      </c>
      <c r="W23" s="140">
        <f t="shared" si="73"/>
        <v>2</v>
      </c>
      <c r="X23" s="107">
        <f>_xlfn.XLOOKUP($F23,Cement!$Q$7:$Q$35,Cement!CH$7:CH$35,"")</f>
        <v>4.9321579892430076</v>
      </c>
      <c r="Y23" s="140">
        <f t="shared" si="74"/>
        <v>1</v>
      </c>
      <c r="Z23" s="107">
        <f>_xlfn.XLOOKUP($F23,Cement!$Q$7:$Q$35,Cement!DA$7:DA$35,"")</f>
        <v>-0.39775280898876453</v>
      </c>
      <c r="AA23" s="140">
        <f t="shared" si="75"/>
        <v>20</v>
      </c>
      <c r="AB23" s="107">
        <f>_xlfn.XLOOKUP($F23,Cement!$Q$7:$Q$35,Cement!DN$7:DN$35,"")</f>
        <v>1.062640970356779</v>
      </c>
      <c r="AC23" s="140">
        <f t="shared" si="76"/>
        <v>4</v>
      </c>
      <c r="AD23" s="107">
        <f>_xlfn.XLOOKUP($F23,Cement!$Q$7:$Q$35,Cement!DP$7:DP$35,"")</f>
        <v>0</v>
      </c>
      <c r="AE23" s="140">
        <f t="shared" si="77"/>
        <v>10</v>
      </c>
      <c r="AF23" s="107">
        <f>_xlfn.XLOOKUP($F23,Cement!$Q$7:$Q$35,Cement!DW$7:DW$35,"")</f>
        <v>1.1610736504753616</v>
      </c>
      <c r="AG23" s="140">
        <f t="shared" si="78"/>
        <v>22</v>
      </c>
      <c r="AH23" s="107">
        <f>_xlfn.XLOOKUP($F23,Cement!$Q$7:$Q$35,Cement!DY$7:DY$35,"")</f>
        <v>7.2271739638254884</v>
      </c>
      <c r="AI23" s="140">
        <f t="shared" si="79"/>
        <v>9</v>
      </c>
      <c r="AJ23" s="107">
        <f>_xlfn.XLOOKUP($F23,Cement!$Q$7:$Q$35,Cement!EA$7:EA$35,"")</f>
        <v>-9.5082182812336602E-2</v>
      </c>
      <c r="AK23" s="140">
        <f t="shared" si="80"/>
        <v>14</v>
      </c>
      <c r="AL23" s="107">
        <f>_xlfn.XLOOKUP($F23,Cement!$Q$7:$Q$35,Cement!EC$7:EC$35,"")</f>
        <v>1.2156078039019509</v>
      </c>
      <c r="AM23" s="140">
        <f t="shared" si="81"/>
        <v>13</v>
      </c>
      <c r="AN23" s="100">
        <f t="shared" si="82"/>
        <v>0.59572866302527594</v>
      </c>
      <c r="AO23" s="100">
        <f t="shared" si="83"/>
        <v>8.9839762773261249</v>
      </c>
      <c r="AP23" s="141">
        <f t="shared" si="84"/>
        <v>190</v>
      </c>
      <c r="AQ23" s="140">
        <f t="shared" si="85"/>
        <v>13</v>
      </c>
    </row>
    <row r="24" spans="1:43" ht="35" customHeight="1">
      <c r="A24" s="142">
        <f t="shared" si="65"/>
        <v>19</v>
      </c>
      <c r="B24" s="100">
        <f t="shared" si="86"/>
        <v>4.272015472959688</v>
      </c>
      <c r="C24" s="100">
        <f t="shared" si="66"/>
        <v>-4.4516515234771852</v>
      </c>
      <c r="D24" s="144" t="str">
        <f>Cement!O24</f>
        <v/>
      </c>
      <c r="E24" s="64" t="str">
        <f>Cement!P24</f>
        <v>سیمان اردستان</v>
      </c>
      <c r="F24" s="64" t="str">
        <f>Cement!Q24</f>
        <v>اردستان</v>
      </c>
      <c r="G24" s="59">
        <f>Cement!R24</f>
        <v>12</v>
      </c>
      <c r="H24" s="66">
        <f>Cement!S24</f>
        <v>6010.96</v>
      </c>
      <c r="I24" s="126">
        <f>Cement!V24</f>
        <v>26480</v>
      </c>
      <c r="J24" s="107">
        <f>_xlfn.XLOOKUP($F24,Cement!$Q$7:$Q$35,Cement!AU$7:AU$35,"")</f>
        <v>1.1381746143006222</v>
      </c>
      <c r="K24" s="140">
        <f t="shared" si="67"/>
        <v>13</v>
      </c>
      <c r="L24" s="107">
        <f>_xlfn.XLOOKUP($F24,Cement!$Q$7:$Q$35,Cement!BB$7:BB$35,"")</f>
        <v>-10</v>
      </c>
      <c r="M24" s="140">
        <f t="shared" si="68"/>
        <v>28</v>
      </c>
      <c r="N24" s="107">
        <f>_xlfn.XLOOKUP($F24,Cement!$Q$7:$Q$35,Cement!BJ$7:BJ$35,"")</f>
        <v>0</v>
      </c>
      <c r="O24" s="140">
        <f t="shared" si="69"/>
        <v>2</v>
      </c>
      <c r="P24" s="107">
        <f>_xlfn.XLOOKUP($F24,Cement!$Q$7:$Q$35,Cement!BL$7:BL$35,"")</f>
        <v>5</v>
      </c>
      <c r="Q24" s="140">
        <f t="shared" si="70"/>
        <v>1</v>
      </c>
      <c r="R24" s="107">
        <f>_xlfn.XLOOKUP($F24,Cement!$Q$7:$Q$35,Cement!BW$7:BW$35,"")</f>
        <v>0.86666093379808906</v>
      </c>
      <c r="S24" s="140">
        <f t="shared" si="71"/>
        <v>13</v>
      </c>
      <c r="T24" s="107">
        <f>_xlfn.XLOOKUP($F24,Cement!$Q$7:$Q$35,Cement!CD$7:CD$35,"")</f>
        <v>-0.65999999999999925</v>
      </c>
      <c r="U24" s="140">
        <f t="shared" si="72"/>
        <v>5</v>
      </c>
      <c r="V24" s="107">
        <f>_xlfn.XLOOKUP($F24,Cement!$Q$7:$Q$35,Cement!CF$7:CF$35,"")</f>
        <v>1.1554166988199857</v>
      </c>
      <c r="W24" s="140">
        <f t="shared" si="73"/>
        <v>26</v>
      </c>
      <c r="X24" s="107">
        <f>_xlfn.XLOOKUP($F24,Cement!$Q$7:$Q$35,Cement!CH$7:CH$35,"")</f>
        <v>0.44821027812179642</v>
      </c>
      <c r="Y24" s="140">
        <f t="shared" si="74"/>
        <v>17</v>
      </c>
      <c r="Z24" s="107">
        <f>_xlfn.XLOOKUP($F24,Cement!$Q$7:$Q$35,Cement!DA$7:DA$35,"")</f>
        <v>-0.98992805755395707</v>
      </c>
      <c r="AA24" s="140">
        <f t="shared" si="75"/>
        <v>25</v>
      </c>
      <c r="AB24" s="107">
        <f>_xlfn.XLOOKUP($F24,Cement!$Q$7:$Q$35,Cement!DN$7:DN$35,"")</f>
        <v>-1.653155903401301</v>
      </c>
      <c r="AC24" s="140">
        <f t="shared" si="76"/>
        <v>26</v>
      </c>
      <c r="AD24" s="107">
        <f>_xlfn.XLOOKUP($F24,Cement!$Q$7:$Q$35,Cement!DP$7:DP$35,"")</f>
        <v>1</v>
      </c>
      <c r="AE24" s="140">
        <f t="shared" si="77"/>
        <v>6</v>
      </c>
      <c r="AF24" s="107">
        <f>_xlfn.XLOOKUP($F24,Cement!$Q$7:$Q$35,Cement!DW$7:DW$35,"")</f>
        <v>10</v>
      </c>
      <c r="AG24" s="140">
        <f t="shared" si="78"/>
        <v>1</v>
      </c>
      <c r="AH24" s="107">
        <f>_xlfn.XLOOKUP($F24,Cement!$Q$7:$Q$35,Cement!DY$7:DY$35,"")</f>
        <v>-2.2763330035631268</v>
      </c>
      <c r="AI24" s="140">
        <f t="shared" si="79"/>
        <v>18</v>
      </c>
      <c r="AJ24" s="107">
        <f>_xlfn.XLOOKUP($F24,Cement!$Q$7:$Q$35,Cement!EA$7:EA$35,"")</f>
        <v>-0.25592144011230999</v>
      </c>
      <c r="AK24" s="140">
        <f t="shared" si="80"/>
        <v>15</v>
      </c>
      <c r="AL24" s="107">
        <f>_xlfn.XLOOKUP($F24,Cement!$Q$7:$Q$35,Cement!EC$7:EC$35,"")</f>
        <v>0.49889135254988914</v>
      </c>
      <c r="AM24" s="140">
        <f t="shared" si="81"/>
        <v>19</v>
      </c>
      <c r="AN24" s="100">
        <f t="shared" si="82"/>
        <v>-4.4516515234771852</v>
      </c>
      <c r="AO24" s="100">
        <f t="shared" si="83"/>
        <v>4.272015472959688</v>
      </c>
      <c r="AP24" s="141">
        <f t="shared" si="84"/>
        <v>215</v>
      </c>
      <c r="AQ24" s="140">
        <f t="shared" si="85"/>
        <v>19</v>
      </c>
    </row>
    <row r="25" spans="1:43" ht="35" customHeight="1">
      <c r="A25" s="142">
        <f t="shared" si="65"/>
        <v>25</v>
      </c>
      <c r="B25" s="100">
        <f t="shared" si="86"/>
        <v>0.28480263281042628</v>
      </c>
      <c r="C25" s="100">
        <f t="shared" si="66"/>
        <v>-12.499714244642416</v>
      </c>
      <c r="D25" s="144" t="str">
        <f>Cement!O25</f>
        <v/>
      </c>
      <c r="E25" s="64" t="str">
        <f>Cement!P25</f>
        <v>سيمان‌ خزر</v>
      </c>
      <c r="F25" s="64" t="str">
        <f>Cement!Q25</f>
        <v>سخزر</v>
      </c>
      <c r="G25" s="59">
        <f>Cement!R25</f>
        <v>12</v>
      </c>
      <c r="H25" s="66">
        <f>Cement!S25</f>
        <v>5142.8999999999996</v>
      </c>
      <c r="I25" s="126">
        <f>Cement!V25</f>
        <v>5530</v>
      </c>
      <c r="J25" s="107">
        <f>_xlfn.XLOOKUP($F25,Cement!$Q$7:$Q$35,Cement!AU$7:AU$35,"")</f>
        <v>8.6363344337620607</v>
      </c>
      <c r="K25" s="140">
        <f t="shared" si="67"/>
        <v>4</v>
      </c>
      <c r="L25" s="107">
        <f>_xlfn.XLOOKUP($F25,Cement!$Q$7:$Q$35,Cement!BB$7:BB$35,"")</f>
        <v>-8.3000000000000025</v>
      </c>
      <c r="M25" s="140">
        <f t="shared" si="68"/>
        <v>26</v>
      </c>
      <c r="N25" s="107">
        <f>_xlfn.XLOOKUP($F25,Cement!$Q$7:$Q$35,Cement!BJ$7:BJ$35,"")</f>
        <v>0</v>
      </c>
      <c r="O25" s="140">
        <f t="shared" si="69"/>
        <v>2</v>
      </c>
      <c r="P25" s="107">
        <f>_xlfn.XLOOKUP($F25,Cement!$Q$7:$Q$35,Cement!BL$7:BL$35,"")</f>
        <v>-5</v>
      </c>
      <c r="Q25" s="140">
        <f t="shared" si="70"/>
        <v>26</v>
      </c>
      <c r="R25" s="107">
        <f>_xlfn.XLOOKUP($F25,Cement!$Q$7:$Q$35,Cement!BW$7:BW$35,"")</f>
        <v>0.76189785922455844</v>
      </c>
      <c r="S25" s="140">
        <f t="shared" si="71"/>
        <v>14</v>
      </c>
      <c r="T25" s="107">
        <f>_xlfn.XLOOKUP($F25,Cement!$Q$7:$Q$35,Cement!CD$7:CD$35,"")</f>
        <v>-5.1900000000000013</v>
      </c>
      <c r="U25" s="140">
        <f t="shared" si="72"/>
        <v>21</v>
      </c>
      <c r="V25" s="107">
        <f>_xlfn.XLOOKUP($F25,Cement!$Q$7:$Q$35,Cement!CF$7:CF$35,"")</f>
        <v>2.5141552641772904</v>
      </c>
      <c r="W25" s="140">
        <f t="shared" si="73"/>
        <v>21</v>
      </c>
      <c r="X25" s="107">
        <f>_xlfn.XLOOKUP($F25,Cement!$Q$7:$Q$35,Cement!CH$7:CH$35,"")</f>
        <v>-3.9818699210844022E-2</v>
      </c>
      <c r="Y25" s="140">
        <f t="shared" si="74"/>
        <v>20</v>
      </c>
      <c r="Z25" s="107">
        <f>_xlfn.XLOOKUP($F25,Cement!$Q$7:$Q$35,Cement!DA$7:DA$35,"")</f>
        <v>-1.594069681245367</v>
      </c>
      <c r="AA25" s="140">
        <f t="shared" si="75"/>
        <v>26</v>
      </c>
      <c r="AB25" s="107">
        <f>_xlfn.XLOOKUP($F25,Cement!$Q$7:$Q$35,Cement!DN$7:DN$35,"")</f>
        <v>0.75805487634396207</v>
      </c>
      <c r="AC25" s="140">
        <f t="shared" si="76"/>
        <v>8</v>
      </c>
      <c r="AD25" s="107">
        <f>_xlfn.XLOOKUP($F25,Cement!$Q$7:$Q$35,Cement!DP$7:DP$35,"")</f>
        <v>1</v>
      </c>
      <c r="AE25" s="140">
        <f t="shared" si="77"/>
        <v>6</v>
      </c>
      <c r="AF25" s="107">
        <f>_xlfn.XLOOKUP($F25,Cement!$Q$7:$Q$35,Cement!DW$7:DW$35,"")</f>
        <v>10</v>
      </c>
      <c r="AG25" s="140">
        <f t="shared" si="78"/>
        <v>1</v>
      </c>
      <c r="AH25" s="107">
        <f>_xlfn.XLOOKUP($F25,Cement!$Q$7:$Q$35,Cement!DY$7:DY$35,"")</f>
        <v>1.7845168774528419</v>
      </c>
      <c r="AI25" s="140">
        <f t="shared" si="79"/>
        <v>14</v>
      </c>
      <c r="AJ25" s="107">
        <f>_xlfn.XLOOKUP($F25,Cement!$Q$7:$Q$35,Cement!EA$7:EA$35,"")</f>
        <v>-5.0462682976940716</v>
      </c>
      <c r="AK25" s="140">
        <f t="shared" si="80"/>
        <v>27</v>
      </c>
      <c r="AL25" s="107">
        <f>_xlfn.XLOOKUP($F25,Cement!$Q$7:$Q$35,Cement!EC$7:EC$35,"")</f>
        <v>0</v>
      </c>
      <c r="AM25" s="140">
        <f t="shared" si="81"/>
        <v>24</v>
      </c>
      <c r="AN25" s="100">
        <f t="shared" si="82"/>
        <v>-12.499714244642416</v>
      </c>
      <c r="AO25" s="100">
        <f t="shared" si="83"/>
        <v>0.28480263281042628</v>
      </c>
      <c r="AP25" s="141">
        <f t="shared" si="84"/>
        <v>240</v>
      </c>
      <c r="AQ25" s="140">
        <f t="shared" si="85"/>
        <v>25</v>
      </c>
    </row>
    <row r="26" spans="1:43" ht="35" customHeight="1">
      <c r="A26" s="142">
        <f t="shared" si="65"/>
        <v>22</v>
      </c>
      <c r="B26" s="100">
        <f>AN26+AD26+AF26+AH26</f>
        <v>-0.73633515948652661</v>
      </c>
      <c r="C26" s="100">
        <f t="shared" si="66"/>
        <v>-3.3019070188340858</v>
      </c>
      <c r="D26" s="144" t="str">
        <f>Cement!O26</f>
        <v/>
      </c>
      <c r="E26" s="64" t="str">
        <f>Cement!P26</f>
        <v>سيمان‌غرب‌</v>
      </c>
      <c r="F26" s="64" t="str">
        <f>Cement!Q26</f>
        <v>سغرب</v>
      </c>
      <c r="G26" s="59">
        <f>Cement!R26</f>
        <v>12</v>
      </c>
      <c r="H26" s="66">
        <f>Cement!S26</f>
        <v>4452.2</v>
      </c>
      <c r="I26" s="126">
        <f>Cement!V26</f>
        <v>7880</v>
      </c>
      <c r="J26" s="107">
        <f>_xlfn.XLOOKUP($F26,Cement!$Q$7:$Q$35,Cement!AU$7:AU$35,"")</f>
        <v>5.2082477190964767</v>
      </c>
      <c r="K26" s="140">
        <f t="shared" si="67"/>
        <v>7</v>
      </c>
      <c r="L26" s="107">
        <f>_xlfn.XLOOKUP($F26,Cement!$Q$7:$Q$35,Cement!BB$7:BB$35,"")</f>
        <v>-10</v>
      </c>
      <c r="M26" s="140">
        <f t="shared" si="68"/>
        <v>28</v>
      </c>
      <c r="N26" s="107">
        <f>_xlfn.XLOOKUP($F26,Cement!$Q$7:$Q$35,Cement!BJ$7:BJ$35,"")</f>
        <v>0</v>
      </c>
      <c r="O26" s="140">
        <f t="shared" si="69"/>
        <v>2</v>
      </c>
      <c r="P26" s="107">
        <f>_xlfn.XLOOKUP($F26,Cement!$Q$7:$Q$35,Cement!BL$7:BL$35,"")</f>
        <v>-1.9555786003497184</v>
      </c>
      <c r="Q26" s="140">
        <f t="shared" si="70"/>
        <v>24</v>
      </c>
      <c r="R26" s="107">
        <f>_xlfn.XLOOKUP($F26,Cement!$Q$7:$Q$35,Cement!BW$7:BW$35,"")</f>
        <v>5.1625793186447133</v>
      </c>
      <c r="S26" s="140">
        <f t="shared" si="71"/>
        <v>1</v>
      </c>
      <c r="T26" s="107">
        <f>_xlfn.XLOOKUP($F26,Cement!$Q$7:$Q$35,Cement!CD$7:CD$35,"")</f>
        <v>-4.38</v>
      </c>
      <c r="U26" s="140">
        <f t="shared" si="72"/>
        <v>18</v>
      </c>
      <c r="V26" s="107">
        <f>_xlfn.XLOOKUP($F26,Cement!$Q$7:$Q$35,Cement!CF$7:CF$35,"")</f>
        <v>2.8207587709430433</v>
      </c>
      <c r="W26" s="140">
        <f t="shared" si="73"/>
        <v>18</v>
      </c>
      <c r="X26" s="107">
        <f>_xlfn.XLOOKUP($F26,Cement!$Q$7:$Q$35,Cement!CH$7:CH$35,"")</f>
        <v>0.5700942550405913</v>
      </c>
      <c r="Y26" s="140">
        <f t="shared" si="74"/>
        <v>15</v>
      </c>
      <c r="Z26" s="107">
        <f>_xlfn.XLOOKUP($F26,Cement!$Q$7:$Q$35,Cement!DA$7:DA$35,"")</f>
        <v>-0.57345132743362726</v>
      </c>
      <c r="AA26" s="140">
        <f t="shared" si="75"/>
        <v>21</v>
      </c>
      <c r="AB26" s="107">
        <f>_xlfn.XLOOKUP($F26,Cement!$Q$7:$Q$35,Cement!DN$7:DN$35,"")</f>
        <v>0.15421562461738647</v>
      </c>
      <c r="AC26" s="140">
        <f t="shared" si="76"/>
        <v>15</v>
      </c>
      <c r="AD26" s="107">
        <f>_xlfn.XLOOKUP($F26,Cement!$Q$7:$Q$35,Cement!DP$7:DP$35,"")</f>
        <v>0</v>
      </c>
      <c r="AE26" s="140">
        <f t="shared" si="77"/>
        <v>10</v>
      </c>
      <c r="AF26" s="107">
        <f>_xlfn.XLOOKUP($F26,Cement!$Q$7:$Q$35,Cement!DW$7:DW$35,"")</f>
        <v>10</v>
      </c>
      <c r="AG26" s="140">
        <f t="shared" si="78"/>
        <v>1</v>
      </c>
      <c r="AH26" s="107">
        <f>_xlfn.XLOOKUP($F26,Cement!$Q$7:$Q$35,Cement!DY$7:DY$35,"")</f>
        <v>-7.4344281406524404</v>
      </c>
      <c r="AI26" s="140">
        <f t="shared" si="79"/>
        <v>23</v>
      </c>
      <c r="AJ26" s="107">
        <f>_xlfn.XLOOKUP($F26,Cement!$Q$7:$Q$35,Cement!EA$7:EA$35,"")</f>
        <v>-0.30877277939295122</v>
      </c>
      <c r="AK26" s="140">
        <f t="shared" si="80"/>
        <v>16</v>
      </c>
      <c r="AL26" s="107">
        <f>_xlfn.XLOOKUP($F26,Cement!$Q$7:$Q$35,Cement!EC$7:EC$35,"")</f>
        <v>0</v>
      </c>
      <c r="AM26" s="140">
        <f t="shared" si="81"/>
        <v>24</v>
      </c>
      <c r="AN26" s="100">
        <f t="shared" si="82"/>
        <v>-3.3019070188340858</v>
      </c>
      <c r="AO26" s="100">
        <f t="shared" si="83"/>
        <v>-0.73633515948652661</v>
      </c>
      <c r="AP26" s="141">
        <f t="shared" si="84"/>
        <v>223</v>
      </c>
      <c r="AQ26" s="140">
        <f t="shared" si="85"/>
        <v>22</v>
      </c>
    </row>
    <row r="27" spans="1:43" ht="35" customHeight="1">
      <c r="A27" s="142">
        <f t="shared" si="65"/>
        <v>16</v>
      </c>
      <c r="B27" s="100">
        <f>AN27+AD27+AF27+AH27</f>
        <v>-0.3801749626398081</v>
      </c>
      <c r="C27" s="100">
        <f t="shared" si="66"/>
        <v>-4.1661002865120871</v>
      </c>
      <c r="D27" s="144" t="str">
        <f>Cement!O27</f>
        <v/>
      </c>
      <c r="E27" s="64" t="str">
        <f>Cement!P27</f>
        <v>سيمان آبيك</v>
      </c>
      <c r="F27" s="64" t="str">
        <f>Cement!Q27</f>
        <v>سآبيك</v>
      </c>
      <c r="G27" s="59">
        <f>Cement!R27</f>
        <v>12</v>
      </c>
      <c r="H27" s="66">
        <f>Cement!S27</f>
        <v>20383.665288</v>
      </c>
      <c r="I27" s="126">
        <f>Cement!V27</f>
        <v>68880</v>
      </c>
      <c r="J27" s="107">
        <f>_xlfn.XLOOKUP($F27,Cement!$Q$7:$Q$35,Cement!AU$7:AU$35,"")</f>
        <v>0.20655841032688471</v>
      </c>
      <c r="K27" s="140">
        <f t="shared" si="67"/>
        <v>15</v>
      </c>
      <c r="L27" s="107">
        <f>_xlfn.XLOOKUP($F27,Cement!$Q$7:$Q$35,Cement!BB$7:BB$35,"")</f>
        <v>-8.7999999999999972</v>
      </c>
      <c r="M27" s="140">
        <f t="shared" si="68"/>
        <v>27</v>
      </c>
      <c r="N27" s="107">
        <f>_xlfn.XLOOKUP($F27,Cement!$Q$7:$Q$35,Cement!BJ$7:BJ$35,"")</f>
        <v>0</v>
      </c>
      <c r="O27" s="140">
        <f t="shared" si="69"/>
        <v>2</v>
      </c>
      <c r="P27" s="107">
        <f>_xlfn.XLOOKUP($F27,Cement!$Q$7:$Q$35,Cement!BL$7:BL$35,"")</f>
        <v>5</v>
      </c>
      <c r="Q27" s="140">
        <f t="shared" si="70"/>
        <v>1</v>
      </c>
      <c r="R27" s="107">
        <f>_xlfn.XLOOKUP($F27,Cement!$Q$7:$Q$35,Cement!BW$7:BW$35,"")</f>
        <v>0.61089802316871111</v>
      </c>
      <c r="S27" s="140">
        <f t="shared" si="71"/>
        <v>15</v>
      </c>
      <c r="T27" s="107">
        <f>_xlfn.XLOOKUP($F27,Cement!$Q$7:$Q$35,Cement!CD$7:CD$35,"")</f>
        <v>-5.25</v>
      </c>
      <c r="U27" s="140">
        <f t="shared" si="72"/>
        <v>22</v>
      </c>
      <c r="V27" s="107">
        <f>_xlfn.XLOOKUP($F27,Cement!$Q$7:$Q$35,Cement!CF$7:CF$35,"")</f>
        <v>3.1287999206634378</v>
      </c>
      <c r="W27" s="140">
        <f t="shared" si="73"/>
        <v>13</v>
      </c>
      <c r="X27" s="107">
        <f>_xlfn.XLOOKUP($F27,Cement!$Q$7:$Q$35,Cement!CH$7:CH$35,"")</f>
        <v>2.529419716838949</v>
      </c>
      <c r="Y27" s="140">
        <f t="shared" si="74"/>
        <v>7</v>
      </c>
      <c r="Z27" s="107">
        <f>_xlfn.XLOOKUP($F27,Cement!$Q$7:$Q$35,Cement!DA$7:DA$35,"")</f>
        <v>-0.34160938131823748</v>
      </c>
      <c r="AA27" s="140">
        <f t="shared" si="75"/>
        <v>19</v>
      </c>
      <c r="AB27" s="107">
        <f>_xlfn.XLOOKUP($F27,Cement!$Q$7:$Q$35,Cement!DN$7:DN$35,"")</f>
        <v>-1.5783861222954287</v>
      </c>
      <c r="AC27" s="140">
        <f t="shared" si="76"/>
        <v>25</v>
      </c>
      <c r="AD27" s="107">
        <f>_xlfn.XLOOKUP($F27,Cement!$Q$7:$Q$35,Cement!DP$7:DP$35,"")</f>
        <v>2</v>
      </c>
      <c r="AE27" s="140">
        <f t="shared" si="77"/>
        <v>3</v>
      </c>
      <c r="AF27" s="107">
        <f>_xlfn.XLOOKUP($F27,Cement!$Q$7:$Q$35,Cement!DW$7:DW$35,"")</f>
        <v>10</v>
      </c>
      <c r="AG27" s="140">
        <f t="shared" si="78"/>
        <v>1</v>
      </c>
      <c r="AH27" s="107">
        <f>_xlfn.XLOOKUP($F27,Cement!$Q$7:$Q$35,Cement!DY$7:DY$35,"")</f>
        <v>-8.214074676127721</v>
      </c>
      <c r="AI27" s="140">
        <f t="shared" si="79"/>
        <v>24</v>
      </c>
      <c r="AJ27" s="107">
        <f>_xlfn.XLOOKUP($F27,Cement!$Q$7:$Q$35,Cement!EA$7:EA$35,"")</f>
        <v>0.10294980232298523</v>
      </c>
      <c r="AK27" s="140">
        <f t="shared" si="80"/>
        <v>13</v>
      </c>
      <c r="AL27" s="107">
        <f>_xlfn.XLOOKUP($F27,Cement!$Q$7:$Q$35,Cement!EC$7:EC$35,"")</f>
        <v>0.22526934378060723</v>
      </c>
      <c r="AM27" s="140">
        <f t="shared" si="81"/>
        <v>22</v>
      </c>
      <c r="AN27" s="100">
        <f t="shared" si="82"/>
        <v>-4.1661002865120871</v>
      </c>
      <c r="AO27" s="100">
        <f t="shared" si="83"/>
        <v>-0.3801749626398081</v>
      </c>
      <c r="AP27" s="141">
        <f t="shared" si="84"/>
        <v>209</v>
      </c>
      <c r="AQ27" s="140">
        <f t="shared" si="85"/>
        <v>16</v>
      </c>
    </row>
    <row r="28" spans="1:43" ht="35" customHeight="1">
      <c r="A28" s="142">
        <f t="shared" si="65"/>
        <v>19</v>
      </c>
      <c r="B28" s="100">
        <f t="shared" ref="B28:B30" si="87">AN28+AD28+AF28+AH28</f>
        <v>-2.4994308049222735</v>
      </c>
      <c r="C28" s="100">
        <f t="shared" si="66"/>
        <v>-10.842248271211252</v>
      </c>
      <c r="D28" s="144" t="str">
        <f>Cement!O28</f>
        <v/>
      </c>
      <c r="E28" s="64" t="str">
        <f>Cement!P28</f>
        <v>سيمان‌هرمزگان‌</v>
      </c>
      <c r="F28" s="64" t="str">
        <f>Cement!Q28</f>
        <v>سهرمز</v>
      </c>
      <c r="G28" s="59">
        <f>Cement!R28</f>
        <v>9</v>
      </c>
      <c r="H28" s="66">
        <f>Cement!S28</f>
        <v>14227.2</v>
      </c>
      <c r="I28" s="126">
        <f>Cement!V28</f>
        <v>19500</v>
      </c>
      <c r="J28" s="107">
        <f>_xlfn.XLOOKUP($F28,Cement!$Q$7:$Q$35,Cement!AU$7:AU$35,"")</f>
        <v>-4.2600959232588398</v>
      </c>
      <c r="K28" s="140">
        <f t="shared" si="67"/>
        <v>23</v>
      </c>
      <c r="L28" s="107">
        <f>_xlfn.XLOOKUP($F28,Cement!$Q$7:$Q$35,Cement!BB$7:BB$35,"")</f>
        <v>2.300000000000002</v>
      </c>
      <c r="M28" s="140">
        <f t="shared" si="68"/>
        <v>13</v>
      </c>
      <c r="N28" s="107">
        <f>_xlfn.XLOOKUP($F28,Cement!$Q$7:$Q$35,Cement!BJ$7:BJ$35,"")</f>
        <v>0</v>
      </c>
      <c r="O28" s="140">
        <f t="shared" si="69"/>
        <v>2</v>
      </c>
      <c r="P28" s="107">
        <f>_xlfn.XLOOKUP($F28,Cement!$Q$7:$Q$35,Cement!BL$7:BL$35,"")</f>
        <v>3.698041964381781</v>
      </c>
      <c r="Q28" s="140">
        <f t="shared" si="70"/>
        <v>17</v>
      </c>
      <c r="R28" s="107">
        <f>_xlfn.XLOOKUP($F28,Cement!$Q$7:$Q$35,Cement!BW$7:BW$35,"")</f>
        <v>-1.4951753806105161</v>
      </c>
      <c r="S28" s="140">
        <f t="shared" si="71"/>
        <v>18</v>
      </c>
      <c r="T28" s="107">
        <f>_xlfn.XLOOKUP($F28,Cement!$Q$7:$Q$35,Cement!CD$7:CD$35,"")</f>
        <v>-20</v>
      </c>
      <c r="U28" s="140">
        <f t="shared" si="72"/>
        <v>29</v>
      </c>
      <c r="V28" s="107">
        <f>_xlfn.XLOOKUP($F28,Cement!$Q$7:$Q$35,Cement!CF$7:CF$35,"")</f>
        <v>2.9941638957011172</v>
      </c>
      <c r="W28" s="140">
        <f t="shared" si="73"/>
        <v>15</v>
      </c>
      <c r="X28" s="107">
        <f>_xlfn.XLOOKUP($F28,Cement!$Q$7:$Q$35,Cement!CH$7:CH$35,"")</f>
        <v>-0.3846915054320299</v>
      </c>
      <c r="Y28" s="140">
        <f t="shared" si="74"/>
        <v>22</v>
      </c>
      <c r="Z28" s="107">
        <f>_xlfn.XLOOKUP($F28,Cement!$Q$7:$Q$35,Cement!DA$7:DA$35,"")</f>
        <v>3.0443381180223295</v>
      </c>
      <c r="AA28" s="140">
        <f t="shared" si="75"/>
        <v>6</v>
      </c>
      <c r="AB28" s="107">
        <f>_xlfn.XLOOKUP($F28,Cement!$Q$7:$Q$35,Cement!DN$7:DN$35,"")</f>
        <v>-2.344636669574296E-2</v>
      </c>
      <c r="AC28" s="140">
        <f t="shared" si="76"/>
        <v>16</v>
      </c>
      <c r="AD28" s="107">
        <f>_xlfn.XLOOKUP($F28,Cement!$Q$7:$Q$35,Cement!DP$7:DP$35,"")</f>
        <v>3</v>
      </c>
      <c r="AE28" s="140">
        <f t="shared" si="77"/>
        <v>1</v>
      </c>
      <c r="AF28" s="107">
        <f>_xlfn.XLOOKUP($F28,Cement!$Q$7:$Q$35,Cement!DW$7:DW$35,"")</f>
        <v>3.2277960526315796</v>
      </c>
      <c r="AG28" s="140">
        <f t="shared" si="78"/>
        <v>20</v>
      </c>
      <c r="AH28" s="107">
        <f>_xlfn.XLOOKUP($F28,Cement!$Q$7:$Q$35,Cement!DY$7:DY$35,"")</f>
        <v>2.115021413657399</v>
      </c>
      <c r="AI28" s="140">
        <f t="shared" si="79"/>
        <v>13</v>
      </c>
      <c r="AJ28" s="107">
        <f>_xlfn.XLOOKUP($F28,Cement!$Q$7:$Q$35,Cement!EA$7:EA$35,"")</f>
        <v>1.4310848463177173</v>
      </c>
      <c r="AK28" s="140">
        <f t="shared" si="80"/>
        <v>9</v>
      </c>
      <c r="AL28" s="107">
        <f>_xlfn.XLOOKUP($F28,Cement!$Q$7:$Q$35,Cement!EC$7:EC$35,"")</f>
        <v>1.8535320803629294</v>
      </c>
      <c r="AM28" s="140">
        <f t="shared" si="81"/>
        <v>11</v>
      </c>
      <c r="AN28" s="100">
        <f t="shared" si="82"/>
        <v>-10.842248271211252</v>
      </c>
      <c r="AO28" s="100">
        <f t="shared" si="83"/>
        <v>-2.4994308049222735</v>
      </c>
      <c r="AP28" s="141">
        <f t="shared" si="84"/>
        <v>215</v>
      </c>
      <c r="AQ28" s="140">
        <f t="shared" si="85"/>
        <v>19</v>
      </c>
    </row>
    <row r="29" spans="1:43" ht="35" customHeight="1">
      <c r="A29" s="142">
        <f t="shared" si="65"/>
        <v>22</v>
      </c>
      <c r="B29" s="100">
        <f t="shared" si="87"/>
        <v>-5.0680802798950131</v>
      </c>
      <c r="C29" s="100">
        <f t="shared" si="66"/>
        <v>-5.0680802798950131</v>
      </c>
      <c r="D29" s="144" t="str">
        <f>Cement!O29</f>
        <v/>
      </c>
      <c r="E29" s="64" t="str">
        <f>Cement!P29</f>
        <v>سيمان‌ شرق‌</v>
      </c>
      <c r="F29" s="64" t="str">
        <f>Cement!Q29</f>
        <v>سشرق</v>
      </c>
      <c r="G29" s="59">
        <f>Cement!R29</f>
        <v>6</v>
      </c>
      <c r="H29" s="66">
        <f>Cement!S29</f>
        <v>12226.4</v>
      </c>
      <c r="I29" s="126">
        <f>Cement!V29</f>
        <v>19720</v>
      </c>
      <c r="J29" s="107">
        <f>_xlfn.XLOOKUP($F29,Cement!$Q$7:$Q$35,Cement!AU$7:AU$35,"")</f>
        <v>2.785792379312384</v>
      </c>
      <c r="K29" s="140">
        <f t="shared" si="67"/>
        <v>9</v>
      </c>
      <c r="L29" s="107">
        <f>_xlfn.XLOOKUP($F29,Cement!$Q$7:$Q$35,Cement!BB$7:BB$35,"")</f>
        <v>0.20000000000000018</v>
      </c>
      <c r="M29" s="140">
        <f t="shared" si="68"/>
        <v>17</v>
      </c>
      <c r="N29" s="107">
        <f>_xlfn.XLOOKUP($F29,Cement!$Q$7:$Q$35,Cement!BJ$7:BJ$35,"")</f>
        <v>0</v>
      </c>
      <c r="O29" s="140">
        <f t="shared" si="69"/>
        <v>2</v>
      </c>
      <c r="P29" s="107">
        <f>_xlfn.XLOOKUP($F29,Cement!$Q$7:$Q$35,Cement!BL$7:BL$35,"")</f>
        <v>1.8074381903288361</v>
      </c>
      <c r="Q29" s="140">
        <f t="shared" si="70"/>
        <v>20</v>
      </c>
      <c r="R29" s="107">
        <f>_xlfn.XLOOKUP($F29,Cement!$Q$7:$Q$35,Cement!BW$7:BW$35,"")</f>
        <v>-10.531386913642603</v>
      </c>
      <c r="S29" s="140">
        <f t="shared" si="71"/>
        <v>25</v>
      </c>
      <c r="T29" s="107">
        <f>_xlfn.XLOOKUP($F29,Cement!$Q$7:$Q$35,Cement!CD$7:CD$35,"")</f>
        <v>-4.3500000000000005</v>
      </c>
      <c r="U29" s="140">
        <f t="shared" si="72"/>
        <v>17</v>
      </c>
      <c r="V29" s="107">
        <f>_xlfn.XLOOKUP($F29,Cement!$Q$7:$Q$35,Cement!CF$7:CF$35,"")</f>
        <v>2.424899180860109</v>
      </c>
      <c r="W29" s="140">
        <f t="shared" si="73"/>
        <v>22</v>
      </c>
      <c r="X29" s="107">
        <f>_xlfn.XLOOKUP($F29,Cement!$Q$7:$Q$35,Cement!CH$7:CH$35,"")</f>
        <v>-1.2629212481164873</v>
      </c>
      <c r="Y29" s="140">
        <f t="shared" si="74"/>
        <v>24</v>
      </c>
      <c r="Z29" s="107">
        <f>_xlfn.XLOOKUP($F29,Cement!$Q$7:$Q$35,Cement!DA$7:DA$35,"")</f>
        <v>3.3472743521000901</v>
      </c>
      <c r="AA29" s="140">
        <f t="shared" si="75"/>
        <v>5</v>
      </c>
      <c r="AB29" s="107">
        <f>_xlfn.XLOOKUP($F29,Cement!$Q$7:$Q$35,Cement!DN$7:DN$35,"")</f>
        <v>0.32421478625387135</v>
      </c>
      <c r="AC29" s="140">
        <f t="shared" si="76"/>
        <v>13</v>
      </c>
      <c r="AD29" s="107">
        <f>_xlfn.XLOOKUP($F29,Cement!$Q$7:$Q$35,Cement!DP$7:DP$35,"")</f>
        <v>0</v>
      </c>
      <c r="AE29" s="140">
        <f t="shared" si="77"/>
        <v>10</v>
      </c>
      <c r="AF29" s="107">
        <f>_xlfn.XLOOKUP($F29,Cement!$Q$7:$Q$35,Cement!DW$7:DW$35,"")</f>
        <v>10</v>
      </c>
      <c r="AG29" s="140">
        <f t="shared" si="78"/>
        <v>1</v>
      </c>
      <c r="AH29" s="107">
        <f>_xlfn.XLOOKUP($F29,Cement!$Q$7:$Q$35,Cement!DY$7:DY$35,"")</f>
        <v>-10</v>
      </c>
      <c r="AI29" s="140">
        <f t="shared" si="79"/>
        <v>26</v>
      </c>
      <c r="AJ29" s="107">
        <f>_xlfn.XLOOKUP($F29,Cement!$Q$7:$Q$35,Cement!EA$7:EA$35,"")</f>
        <v>-1.0175629412516418</v>
      </c>
      <c r="AK29" s="140">
        <f t="shared" si="80"/>
        <v>18</v>
      </c>
      <c r="AL29" s="107">
        <f>_xlfn.XLOOKUP($F29,Cement!$Q$7:$Q$35,Cement!EC$7:EC$35,"")</f>
        <v>1.2041719342604298</v>
      </c>
      <c r="AM29" s="140">
        <f t="shared" si="81"/>
        <v>14</v>
      </c>
      <c r="AN29" s="100">
        <f t="shared" si="82"/>
        <v>-5.0680802798950131</v>
      </c>
      <c r="AO29" s="100">
        <f t="shared" si="83"/>
        <v>-5.0680802798950131</v>
      </c>
      <c r="AP29" s="141">
        <f t="shared" si="84"/>
        <v>223</v>
      </c>
      <c r="AQ29" s="140">
        <f t="shared" si="85"/>
        <v>22</v>
      </c>
    </row>
    <row r="30" spans="1:43" ht="35" customHeight="1">
      <c r="A30" s="142">
        <f t="shared" si="65"/>
        <v>21</v>
      </c>
      <c r="B30" s="100">
        <f t="shared" si="87"/>
        <v>-5.1465409578434347</v>
      </c>
      <c r="C30" s="100">
        <f t="shared" si="66"/>
        <v>-9.5816828073800444</v>
      </c>
      <c r="D30" s="144" t="str">
        <f>Cement!O30</f>
        <v/>
      </c>
      <c r="E30" s="64" t="str">
        <f>Cement!P30</f>
        <v>سيمان‌ شمال‌</v>
      </c>
      <c r="F30" s="64" t="str">
        <f>Cement!Q30</f>
        <v>سشمال</v>
      </c>
      <c r="G30" s="59">
        <f>Cement!R30</f>
        <v>9</v>
      </c>
      <c r="H30" s="66">
        <f>Cement!S30</f>
        <v>7305</v>
      </c>
      <c r="I30" s="126">
        <f>Cement!V30</f>
        <v>14610</v>
      </c>
      <c r="J30" s="107">
        <f>_xlfn.XLOOKUP($F30,Cement!$Q$7:$Q$35,Cement!AU$7:AU$35,"")</f>
        <v>2.5730263556467214</v>
      </c>
      <c r="K30" s="140">
        <f t="shared" si="67"/>
        <v>10</v>
      </c>
      <c r="L30" s="107">
        <f>_xlfn.XLOOKUP($F30,Cement!$Q$7:$Q$35,Cement!BB$7:BB$35,"")</f>
        <v>-3.1000000000000028</v>
      </c>
      <c r="M30" s="140">
        <f t="shared" si="68"/>
        <v>22</v>
      </c>
      <c r="N30" s="107">
        <f>_xlfn.XLOOKUP($F30,Cement!$Q$7:$Q$35,Cement!BJ$7:BJ$35,"")</f>
        <v>0</v>
      </c>
      <c r="O30" s="140">
        <f t="shared" si="69"/>
        <v>2</v>
      </c>
      <c r="P30" s="107">
        <f>_xlfn.XLOOKUP($F30,Cement!$Q$7:$Q$35,Cement!BL$7:BL$35,"")</f>
        <v>3.4346737187696892</v>
      </c>
      <c r="Q30" s="140">
        <f t="shared" si="70"/>
        <v>18</v>
      </c>
      <c r="R30" s="107">
        <f>_xlfn.XLOOKUP($F30,Cement!$Q$7:$Q$35,Cement!BW$7:BW$35,"")</f>
        <v>-12.148726935934672</v>
      </c>
      <c r="S30" s="140">
        <f t="shared" si="71"/>
        <v>26</v>
      </c>
      <c r="T30" s="107">
        <f>_xlfn.XLOOKUP($F30,Cement!$Q$7:$Q$35,Cement!CD$7:CD$35,"")</f>
        <v>-3.4800000000000004</v>
      </c>
      <c r="U30" s="140">
        <f t="shared" si="72"/>
        <v>13</v>
      </c>
      <c r="V30" s="107">
        <f>_xlfn.XLOOKUP($F30,Cement!$Q$7:$Q$35,Cement!CF$7:CF$35,"")</f>
        <v>2.9593678112390895</v>
      </c>
      <c r="W30" s="140">
        <f t="shared" si="73"/>
        <v>16</v>
      </c>
      <c r="X30" s="107">
        <f>_xlfn.XLOOKUP($F30,Cement!$Q$7:$Q$35,Cement!CH$7:CH$35,"")</f>
        <v>-1.2790812815480346</v>
      </c>
      <c r="Y30" s="140">
        <f t="shared" si="74"/>
        <v>25</v>
      </c>
      <c r="Z30" s="107">
        <f>_xlfn.XLOOKUP($F30,Cement!$Q$7:$Q$35,Cement!DA$7:DA$35,"")</f>
        <v>3.536915077989601</v>
      </c>
      <c r="AA30" s="140">
        <f t="shared" si="75"/>
        <v>4</v>
      </c>
      <c r="AB30" s="107">
        <f>_xlfn.XLOOKUP($F30,Cement!$Q$7:$Q$35,Cement!DN$7:DN$35,"")</f>
        <v>0.98103880030033341</v>
      </c>
      <c r="AC30" s="140">
        <f t="shared" si="76"/>
        <v>5</v>
      </c>
      <c r="AD30" s="107">
        <f>_xlfn.XLOOKUP($F30,Cement!$Q$7:$Q$35,Cement!DP$7:DP$35,"")</f>
        <v>0</v>
      </c>
      <c r="AE30" s="140">
        <f t="shared" si="77"/>
        <v>10</v>
      </c>
      <c r="AF30" s="107">
        <f>_xlfn.XLOOKUP($F30,Cement!$Q$7:$Q$35,Cement!DW$7:DW$35,"")</f>
        <v>10</v>
      </c>
      <c r="AG30" s="140">
        <f t="shared" si="78"/>
        <v>1</v>
      </c>
      <c r="AH30" s="107">
        <f>_xlfn.XLOOKUP($F30,Cement!$Q$7:$Q$35,Cement!DY$7:DY$35,"")</f>
        <v>-5.5648581504633903</v>
      </c>
      <c r="AI30" s="140">
        <f t="shared" si="79"/>
        <v>20</v>
      </c>
      <c r="AJ30" s="107">
        <f>_xlfn.XLOOKUP($F30,Cement!$Q$7:$Q$35,Cement!EA$7:EA$35,"")</f>
        <v>-3.0588963538427691</v>
      </c>
      <c r="AK30" s="140">
        <f t="shared" si="80"/>
        <v>22</v>
      </c>
      <c r="AL30" s="107">
        <f>_xlfn.XLOOKUP($F30,Cement!$Q$7:$Q$35,Cement!EC$7:EC$35,"")</f>
        <v>0</v>
      </c>
      <c r="AM30" s="140">
        <f t="shared" si="81"/>
        <v>24</v>
      </c>
      <c r="AN30" s="100">
        <f t="shared" si="82"/>
        <v>-9.5816828073800444</v>
      </c>
      <c r="AO30" s="100">
        <f t="shared" si="83"/>
        <v>-5.1465409578434347</v>
      </c>
      <c r="AP30" s="141">
        <f t="shared" si="84"/>
        <v>218</v>
      </c>
      <c r="AQ30" s="140">
        <f t="shared" si="85"/>
        <v>21</v>
      </c>
    </row>
    <row r="31" spans="1:43" ht="35" customHeight="1">
      <c r="A31" s="142">
        <f t="shared" si="65"/>
        <v>26</v>
      </c>
      <c r="B31" s="100">
        <f>AN31+AD31+AF31+AH31</f>
        <v>-6.5171615294243201</v>
      </c>
      <c r="C31" s="100">
        <f t="shared" si="66"/>
        <v>-9.7738461601467677</v>
      </c>
      <c r="D31" s="144" t="str">
        <f>Cement!O31</f>
        <v/>
      </c>
      <c r="E31" s="64" t="str">
        <f>Cement!P31</f>
        <v>سيمان كردستان</v>
      </c>
      <c r="F31" s="64" t="str">
        <f>Cement!Q31</f>
        <v>سكرد</v>
      </c>
      <c r="G31" s="59">
        <f>Cement!R31</f>
        <v>6</v>
      </c>
      <c r="H31" s="66">
        <f>Cement!S31</f>
        <v>4016.5</v>
      </c>
      <c r="I31" s="126">
        <f>Cement!V31</f>
        <v>13850</v>
      </c>
      <c r="J31" s="107">
        <f>_xlfn.XLOOKUP($F31,Cement!$Q$7:$Q$35,Cement!AU$7:AU$35,"")</f>
        <v>6.1308856930541999</v>
      </c>
      <c r="K31" s="140">
        <f t="shared" si="67"/>
        <v>5</v>
      </c>
      <c r="L31" s="107">
        <f>_xlfn.XLOOKUP($F31,Cement!$Q$7:$Q$35,Cement!BB$7:BB$35,"")</f>
        <v>2.6000000000000023</v>
      </c>
      <c r="M31" s="140">
        <f t="shared" si="68"/>
        <v>12</v>
      </c>
      <c r="N31" s="107">
        <f>_xlfn.XLOOKUP($F31,Cement!$Q$7:$Q$35,Cement!BJ$7:BJ$35,"")</f>
        <v>1</v>
      </c>
      <c r="O31" s="140">
        <f t="shared" si="69"/>
        <v>1</v>
      </c>
      <c r="P31" s="107">
        <f>_xlfn.XLOOKUP($F31,Cement!$Q$7:$Q$35,Cement!BL$7:BL$35,"")</f>
        <v>-0.67271885276522947</v>
      </c>
      <c r="Q31" s="140">
        <f t="shared" si="70"/>
        <v>21</v>
      </c>
      <c r="R31" s="107">
        <f>_xlfn.XLOOKUP($F31,Cement!$Q$7:$Q$35,Cement!BW$7:BW$35,"")</f>
        <v>-6.8243813318062951</v>
      </c>
      <c r="S31" s="140">
        <f t="shared" si="71"/>
        <v>23</v>
      </c>
      <c r="T31" s="107">
        <f>_xlfn.XLOOKUP($F31,Cement!$Q$7:$Q$35,Cement!CD$7:CD$35,"")</f>
        <v>-5.61</v>
      </c>
      <c r="U31" s="140">
        <f t="shared" si="72"/>
        <v>23</v>
      </c>
      <c r="V31" s="107">
        <f>_xlfn.XLOOKUP($F31,Cement!$Q$7:$Q$35,Cement!CF$7:CF$35,"")</f>
        <v>-0.15160550582903376</v>
      </c>
      <c r="W31" s="140">
        <f t="shared" si="73"/>
        <v>27</v>
      </c>
      <c r="X31" s="107">
        <f>_xlfn.XLOOKUP($F31,Cement!$Q$7:$Q$35,Cement!CH$7:CH$35,"")</f>
        <v>-2.0295218176423675</v>
      </c>
      <c r="Y31" s="140">
        <f t="shared" si="74"/>
        <v>28</v>
      </c>
      <c r="Z31" s="107">
        <f>_xlfn.XLOOKUP($F31,Cement!$Q$7:$Q$35,Cement!DA$7:DA$35,"")</f>
        <v>0.82726517040731551</v>
      </c>
      <c r="AA31" s="140">
        <f t="shared" si="75"/>
        <v>11</v>
      </c>
      <c r="AB31" s="107">
        <f>_xlfn.XLOOKUP($F31,Cement!$Q$7:$Q$35,Cement!DN$7:DN$35,"")</f>
        <v>-0.11668475386664823</v>
      </c>
      <c r="AC31" s="140">
        <f t="shared" si="76"/>
        <v>17</v>
      </c>
      <c r="AD31" s="107">
        <f>_xlfn.XLOOKUP($F31,Cement!$Q$7:$Q$35,Cement!DP$7:DP$35,"")</f>
        <v>0</v>
      </c>
      <c r="AE31" s="140">
        <f t="shared" si="77"/>
        <v>10</v>
      </c>
      <c r="AF31" s="107">
        <f>_xlfn.XLOOKUP($F31,Cement!$Q$7:$Q$35,Cement!DW$7:DW$35,"")</f>
        <v>10</v>
      </c>
      <c r="AG31" s="140">
        <f t="shared" si="78"/>
        <v>1</v>
      </c>
      <c r="AH31" s="107">
        <f>_xlfn.XLOOKUP($F31,Cement!$Q$7:$Q$35,Cement!DY$7:DY$35,"")</f>
        <v>-6.7433153692775525</v>
      </c>
      <c r="AI31" s="140">
        <f t="shared" si="79"/>
        <v>21</v>
      </c>
      <c r="AJ31" s="107">
        <f>_xlfn.XLOOKUP($F31,Cement!$Q$7:$Q$35,Cement!EA$7:EA$35,"")</f>
        <v>-5.2832019357366198</v>
      </c>
      <c r="AK31" s="140">
        <f t="shared" si="80"/>
        <v>28</v>
      </c>
      <c r="AL31" s="107">
        <f>_xlfn.XLOOKUP($F31,Cement!$Q$7:$Q$35,Cement!EC$7:EC$35,"")</f>
        <v>0.35611717403790927</v>
      </c>
      <c r="AM31" s="140">
        <f t="shared" si="81"/>
        <v>21</v>
      </c>
      <c r="AN31" s="100">
        <f t="shared" si="82"/>
        <v>-9.7738461601467677</v>
      </c>
      <c r="AO31" s="100">
        <f t="shared" si="83"/>
        <v>-6.5171615294243201</v>
      </c>
      <c r="AP31" s="141">
        <f t="shared" si="84"/>
        <v>249</v>
      </c>
      <c r="AQ31" s="140">
        <f t="shared" si="85"/>
        <v>26</v>
      </c>
    </row>
    <row r="32" spans="1:43" ht="35" customHeight="1">
      <c r="A32" s="142">
        <f t="shared" si="65"/>
        <v>18</v>
      </c>
      <c r="B32" s="100">
        <f>AN32+AD32+AF32+AH32</f>
        <v>-12.195856599294064</v>
      </c>
      <c r="C32" s="100">
        <f t="shared" si="66"/>
        <v>-19.686703879628794</v>
      </c>
      <c r="D32" s="144" t="str">
        <f>Cement!O32</f>
        <v/>
      </c>
      <c r="E32" s="64" t="str">
        <f>Cement!P32</f>
        <v>سيمان آرتا اردبيل</v>
      </c>
      <c r="F32" s="64" t="str">
        <f>Cement!Q32</f>
        <v>ساربيل</v>
      </c>
      <c r="G32" s="59">
        <f>Cement!R32</f>
        <v>9</v>
      </c>
      <c r="H32" s="66">
        <f>Cement!S32</f>
        <v>12045.6</v>
      </c>
      <c r="I32" s="126">
        <f>Cement!V32</f>
        <v>83650</v>
      </c>
      <c r="J32" s="107">
        <f>_xlfn.XLOOKUP($F32,Cement!$Q$7:$Q$35,Cement!AU$7:AU$35,"")</f>
        <v>-5.2062001239373501</v>
      </c>
      <c r="K32" s="140">
        <f t="shared" si="67"/>
        <v>25</v>
      </c>
      <c r="L32" s="107">
        <f>_xlfn.XLOOKUP($F32,Cement!$Q$7:$Q$35,Cement!BB$7:BB$35,"")</f>
        <v>-5.8999999999999995</v>
      </c>
      <c r="M32" s="140">
        <f t="shared" si="68"/>
        <v>24</v>
      </c>
      <c r="N32" s="107">
        <f>_xlfn.XLOOKUP($F32,Cement!$Q$7:$Q$35,Cement!BJ$7:BJ$35,"")</f>
        <v>0</v>
      </c>
      <c r="O32" s="140">
        <f t="shared" si="69"/>
        <v>2</v>
      </c>
      <c r="P32" s="107">
        <f>_xlfn.XLOOKUP($F32,Cement!$Q$7:$Q$35,Cement!BL$7:BL$35,"")</f>
        <v>5</v>
      </c>
      <c r="Q32" s="140">
        <f t="shared" si="70"/>
        <v>1</v>
      </c>
      <c r="R32" s="107">
        <f>_xlfn.XLOOKUP($F32,Cement!$Q$7:$Q$35,Cement!BW$7:BW$35,"")</f>
        <v>-12.522793403268434</v>
      </c>
      <c r="S32" s="140">
        <f t="shared" si="71"/>
        <v>27</v>
      </c>
      <c r="T32" s="107">
        <f>_xlfn.XLOOKUP($F32,Cement!$Q$7:$Q$35,Cement!CD$7:CD$35,"")</f>
        <v>-7.3200000000000012</v>
      </c>
      <c r="U32" s="140">
        <f t="shared" si="72"/>
        <v>27</v>
      </c>
      <c r="V32" s="107">
        <f>_xlfn.XLOOKUP($F32,Cement!$Q$7:$Q$35,Cement!CF$7:CF$35,"")</f>
        <v>4.045117013283722</v>
      </c>
      <c r="W32" s="140">
        <f t="shared" si="73"/>
        <v>7</v>
      </c>
      <c r="X32" s="107">
        <f>_xlfn.XLOOKUP($F32,Cement!$Q$7:$Q$35,Cement!CH$7:CH$35,"")</f>
        <v>1.4127357399758496</v>
      </c>
      <c r="Y32" s="140">
        <f t="shared" si="74"/>
        <v>10</v>
      </c>
      <c r="Z32" s="107">
        <f>_xlfn.XLOOKUP($F32,Cement!$Q$7:$Q$35,Cement!DA$7:DA$35,"")</f>
        <v>0.76795655125594031</v>
      </c>
      <c r="AA32" s="140">
        <f t="shared" si="75"/>
        <v>13</v>
      </c>
      <c r="AB32" s="107">
        <f>_xlfn.XLOOKUP($F32,Cement!$Q$7:$Q$35,Cement!DN$7:DN$35,"")</f>
        <v>0.57751138001099211</v>
      </c>
      <c r="AC32" s="140">
        <f t="shared" si="76"/>
        <v>11</v>
      </c>
      <c r="AD32" s="107">
        <f>_xlfn.XLOOKUP($F32,Cement!$Q$7:$Q$35,Cement!DP$7:DP$35,"")</f>
        <v>0</v>
      </c>
      <c r="AE32" s="140">
        <f t="shared" si="77"/>
        <v>10</v>
      </c>
      <c r="AF32" s="107">
        <f>_xlfn.XLOOKUP($F32,Cement!$Q$7:$Q$35,Cement!DW$7:DW$35,"")</f>
        <v>-2.5091527196652708</v>
      </c>
      <c r="AG32" s="140">
        <f t="shared" si="78"/>
        <v>27</v>
      </c>
      <c r="AH32" s="107">
        <f>_xlfn.XLOOKUP($F32,Cement!$Q$7:$Q$35,Cement!DY$7:DY$35,"")</f>
        <v>10</v>
      </c>
      <c r="AI32" s="140">
        <f t="shared" si="79"/>
        <v>1</v>
      </c>
      <c r="AJ32" s="107">
        <f>_xlfn.XLOOKUP($F32,Cement!$Q$7:$Q$35,Cement!EA$7:EA$35,"")</f>
        <v>-2.9365218777198288</v>
      </c>
      <c r="AK32" s="140">
        <f t="shared" si="80"/>
        <v>21</v>
      </c>
      <c r="AL32" s="107">
        <f>_xlfn.XLOOKUP($F32,Cement!$Q$7:$Q$35,Cement!EC$7:EC$35,"")</f>
        <v>2.3954908407703144</v>
      </c>
      <c r="AM32" s="140">
        <f t="shared" si="81"/>
        <v>8</v>
      </c>
      <c r="AN32" s="100">
        <f t="shared" si="82"/>
        <v>-19.686703879628794</v>
      </c>
      <c r="AO32" s="100">
        <f t="shared" si="83"/>
        <v>-12.195856599294064</v>
      </c>
      <c r="AP32" s="141">
        <f t="shared" si="84"/>
        <v>214</v>
      </c>
      <c r="AQ32" s="140">
        <f t="shared" si="85"/>
        <v>18</v>
      </c>
    </row>
    <row r="33" spans="1:43" ht="35" customHeight="1">
      <c r="A33" s="142">
        <f t="shared" si="65"/>
        <v>27</v>
      </c>
      <c r="B33" s="100">
        <f t="shared" ref="B33:B35" si="88">AN33+AD33+AF33+AH33</f>
        <v>-20.805999036870038</v>
      </c>
      <c r="C33" s="100">
        <f t="shared" si="66"/>
        <v>-18.805999036870038</v>
      </c>
      <c r="D33" s="144" t="str">
        <f>Cement!O33</f>
        <v/>
      </c>
      <c r="E33" s="64" t="str">
        <f>Cement!P33</f>
        <v>سيمان‌ سپاهان‌</v>
      </c>
      <c r="F33" s="64" t="str">
        <f>Cement!Q33</f>
        <v>سپاها</v>
      </c>
      <c r="G33" s="59">
        <f>Cement!R33</f>
        <v>6</v>
      </c>
      <c r="H33" s="66">
        <f>Cement!S33</f>
        <v>13027.5</v>
      </c>
      <c r="I33" s="126">
        <f>Cement!V33</f>
        <v>19300</v>
      </c>
      <c r="J33" s="107">
        <f>_xlfn.XLOOKUP($F33,Cement!$Q$7:$Q$35,Cement!AU$7:AU$35,"")</f>
        <v>-2.2860257801173445</v>
      </c>
      <c r="K33" s="140">
        <f t="shared" si="67"/>
        <v>18</v>
      </c>
      <c r="L33" s="107">
        <f>_xlfn.XLOOKUP($F33,Cement!$Q$7:$Q$35,Cement!BB$7:BB$35,"")</f>
        <v>-0.40000000000000036</v>
      </c>
      <c r="M33" s="140">
        <f t="shared" si="68"/>
        <v>18</v>
      </c>
      <c r="N33" s="107">
        <f>_xlfn.XLOOKUP($F33,Cement!$Q$7:$Q$35,Cement!BJ$7:BJ$35,"")</f>
        <v>0</v>
      </c>
      <c r="O33" s="140">
        <f t="shared" si="69"/>
        <v>2</v>
      </c>
      <c r="P33" s="107">
        <f>_xlfn.XLOOKUP($F33,Cement!$Q$7:$Q$35,Cement!BL$7:BL$35,"")</f>
        <v>-5</v>
      </c>
      <c r="Q33" s="140">
        <f t="shared" si="70"/>
        <v>26</v>
      </c>
      <c r="R33" s="107">
        <f>_xlfn.XLOOKUP($F33,Cement!$Q$7:$Q$35,Cement!BW$7:BW$35,"")</f>
        <v>-6.2666441286023566</v>
      </c>
      <c r="S33" s="140">
        <f t="shared" si="71"/>
        <v>22</v>
      </c>
      <c r="T33" s="107">
        <f>_xlfn.XLOOKUP($F33,Cement!$Q$7:$Q$35,Cement!CD$7:CD$35,"")</f>
        <v>-8.7899999999999991</v>
      </c>
      <c r="U33" s="140">
        <f t="shared" si="72"/>
        <v>28</v>
      </c>
      <c r="V33" s="107">
        <f>_xlfn.XLOOKUP($F33,Cement!$Q$7:$Q$35,Cement!CF$7:CF$35,"")</f>
        <v>2.6814904326246154</v>
      </c>
      <c r="W33" s="140">
        <f t="shared" si="73"/>
        <v>19</v>
      </c>
      <c r="X33" s="107">
        <f>_xlfn.XLOOKUP($F33,Cement!$Q$7:$Q$35,Cement!CH$7:CH$35,"")</f>
        <v>-0.61496532581669672</v>
      </c>
      <c r="Y33" s="140">
        <f t="shared" si="74"/>
        <v>23</v>
      </c>
      <c r="Z33" s="107">
        <f>_xlfn.XLOOKUP($F33,Cement!$Q$7:$Q$35,Cement!DA$7:DA$35,"")</f>
        <v>0.94197010348792709</v>
      </c>
      <c r="AA33" s="140">
        <f t="shared" si="75"/>
        <v>10</v>
      </c>
      <c r="AB33" s="107">
        <f>_xlfn.XLOOKUP($F33,Cement!$Q$7:$Q$35,Cement!DN$7:DN$35,"")</f>
        <v>0.60694563662712753</v>
      </c>
      <c r="AC33" s="140">
        <f t="shared" si="76"/>
        <v>10</v>
      </c>
      <c r="AD33" s="107">
        <f>_xlfn.XLOOKUP($F33,Cement!$Q$7:$Q$35,Cement!DP$7:DP$35,"")</f>
        <v>-2</v>
      </c>
      <c r="AE33" s="140">
        <f t="shared" si="77"/>
        <v>29</v>
      </c>
      <c r="AF33" s="107">
        <f>_xlfn.XLOOKUP($F33,Cement!$Q$7:$Q$35,Cement!DW$7:DW$35,"")</f>
        <v>10</v>
      </c>
      <c r="AG33" s="140">
        <f t="shared" si="78"/>
        <v>1</v>
      </c>
      <c r="AH33" s="107">
        <f>_xlfn.XLOOKUP($F33,Cement!$Q$7:$Q$35,Cement!DY$7:DY$35,"")</f>
        <v>-10</v>
      </c>
      <c r="AI33" s="140">
        <f t="shared" si="79"/>
        <v>26</v>
      </c>
      <c r="AJ33" s="107">
        <f>_xlfn.XLOOKUP($F33,Cement!$Q$7:$Q$35,Cement!EA$7:EA$35,"")</f>
        <v>-1.8944158834623959</v>
      </c>
      <c r="AK33" s="140">
        <f t="shared" si="80"/>
        <v>19</v>
      </c>
      <c r="AL33" s="107">
        <f>_xlfn.XLOOKUP($F33,Cement!$Q$7:$Q$35,Cement!EC$7:EC$35,"")</f>
        <v>2.2156459083890887</v>
      </c>
      <c r="AM33" s="140">
        <f t="shared" si="81"/>
        <v>10</v>
      </c>
      <c r="AN33" s="100">
        <f t="shared" si="82"/>
        <v>-18.805999036870038</v>
      </c>
      <c r="AO33" s="100">
        <f t="shared" si="83"/>
        <v>-20.805999036870038</v>
      </c>
      <c r="AP33" s="141">
        <f t="shared" si="84"/>
        <v>261</v>
      </c>
      <c r="AQ33" s="140">
        <f t="shared" si="85"/>
        <v>27</v>
      </c>
    </row>
    <row r="34" spans="1:43" ht="35" customHeight="1">
      <c r="A34" s="142">
        <f t="shared" si="65"/>
        <v>29</v>
      </c>
      <c r="B34" s="100">
        <f t="shared" si="88"/>
        <v>-24.973469046703357</v>
      </c>
      <c r="C34" s="100">
        <f t="shared" si="66"/>
        <v>-30.430961966552335</v>
      </c>
      <c r="D34" s="144" t="str">
        <f>Cement!O34</f>
        <v>Closed</v>
      </c>
      <c r="E34" s="64" t="str">
        <f>Cement!P34</f>
        <v>سيمان‌ تهران‌</v>
      </c>
      <c r="F34" s="64" t="str">
        <f>Cement!Q34</f>
        <v>ستران</v>
      </c>
      <c r="G34" s="59">
        <f>Cement!R34</f>
        <v>12</v>
      </c>
      <c r="H34" s="66">
        <f>Cement!S34</f>
        <v>20536</v>
      </c>
      <c r="I34" s="126">
        <f>Cement!V34</f>
        <v>12080</v>
      </c>
      <c r="J34" s="107">
        <f>_xlfn.XLOOKUP($F34,Cement!$Q$7:$Q$35,Cement!AU$7:AU$35,"")</f>
        <v>10</v>
      </c>
      <c r="K34" s="140">
        <f t="shared" si="67"/>
        <v>1</v>
      </c>
      <c r="L34" s="107">
        <f>_xlfn.XLOOKUP($F34,Cement!$Q$7:$Q$35,Cement!BB$7:BB$35,"")</f>
        <v>-1.4000000000000012</v>
      </c>
      <c r="M34" s="140">
        <f t="shared" si="68"/>
        <v>20</v>
      </c>
      <c r="N34" s="107">
        <f>_xlfn.XLOOKUP($F34,Cement!$Q$7:$Q$35,Cement!BJ$7:BJ$35,"")</f>
        <v>0</v>
      </c>
      <c r="O34" s="140">
        <f t="shared" si="69"/>
        <v>2</v>
      </c>
      <c r="P34" s="107">
        <f>_xlfn.XLOOKUP($F34,Cement!$Q$7:$Q$35,Cement!BL$7:BL$35,"")</f>
        <v>5</v>
      </c>
      <c r="Q34" s="140">
        <f t="shared" si="70"/>
        <v>1</v>
      </c>
      <c r="R34" s="107">
        <f>_xlfn.XLOOKUP($F34,Cement!$Q$7:$Q$35,Cement!BW$7:BW$35,"")</f>
        <v>-20</v>
      </c>
      <c r="S34" s="140">
        <f t="shared" si="71"/>
        <v>29</v>
      </c>
      <c r="T34" s="107">
        <f>_xlfn.XLOOKUP($F34,Cement!$Q$7:$Q$35,Cement!CD$7:CD$35,"")</f>
        <v>-6.48</v>
      </c>
      <c r="U34" s="140">
        <f t="shared" si="72"/>
        <v>26</v>
      </c>
      <c r="V34" s="107">
        <f>_xlfn.XLOOKUP($F34,Cement!$Q$7:$Q$35,Cement!CF$7:CF$35,"")</f>
        <v>-4.2561427273797179</v>
      </c>
      <c r="W34" s="140">
        <f t="shared" si="73"/>
        <v>29</v>
      </c>
      <c r="X34" s="107">
        <f>_xlfn.XLOOKUP($F34,Cement!$Q$7:$Q$35,Cement!CH$7:CH$35,"")</f>
        <v>-3.087539816828258</v>
      </c>
      <c r="Y34" s="140">
        <f t="shared" si="74"/>
        <v>29</v>
      </c>
      <c r="Z34" s="107">
        <f>_xlfn.XLOOKUP($F34,Cement!$Q$7:$Q$35,Cement!DA$7:DA$35,"")</f>
        <v>-2.56742209631728</v>
      </c>
      <c r="AA34" s="140">
        <f t="shared" si="75"/>
        <v>28</v>
      </c>
      <c r="AB34" s="107">
        <f>_xlfn.XLOOKUP($F34,Cement!$Q$7:$Q$35,Cement!DN$7:DN$35,"")</f>
        <v>0.61613279340311244</v>
      </c>
      <c r="AC34" s="140">
        <f t="shared" si="76"/>
        <v>9</v>
      </c>
      <c r="AD34" s="107">
        <f>_xlfn.XLOOKUP($F34,Cement!$Q$7:$Q$35,Cement!DP$7:DP$35,"")</f>
        <v>-1</v>
      </c>
      <c r="AE34" s="140">
        <f t="shared" si="77"/>
        <v>28</v>
      </c>
      <c r="AF34" s="107">
        <f>_xlfn.XLOOKUP($F34,Cement!$Q$7:$Q$35,Cement!DW$7:DW$35,"")</f>
        <v>10</v>
      </c>
      <c r="AG34" s="140">
        <f t="shared" si="78"/>
        <v>1</v>
      </c>
      <c r="AH34" s="107">
        <f>_xlfn.XLOOKUP($F34,Cement!$Q$7:$Q$35,Cement!DY$7:DY$35,"")</f>
        <v>-3.542507080151021</v>
      </c>
      <c r="AI34" s="140">
        <f t="shared" si="79"/>
        <v>19</v>
      </c>
      <c r="AJ34" s="107">
        <f>_xlfn.XLOOKUP($F34,Cement!$Q$7:$Q$35,Cement!EA$7:EA$35,"")</f>
        <v>-8.2559901194301908</v>
      </c>
      <c r="AK34" s="140">
        <f t="shared" si="80"/>
        <v>29</v>
      </c>
      <c r="AL34" s="107">
        <f>_xlfn.XLOOKUP($F34,Cement!$Q$7:$Q$35,Cement!EC$7:EC$35,"")</f>
        <v>0</v>
      </c>
      <c r="AM34" s="140">
        <f t="shared" si="81"/>
        <v>24</v>
      </c>
      <c r="AN34" s="100">
        <f t="shared" si="82"/>
        <v>-30.430961966552335</v>
      </c>
      <c r="AO34" s="100">
        <f t="shared" si="83"/>
        <v>-24.973469046703357</v>
      </c>
      <c r="AP34" s="141">
        <f t="shared" si="84"/>
        <v>275</v>
      </c>
      <c r="AQ34" s="140">
        <f t="shared" si="85"/>
        <v>29</v>
      </c>
    </row>
    <row r="35" spans="1:43" ht="35" customHeight="1">
      <c r="A35" s="142">
        <f t="shared" si="65"/>
        <v>28</v>
      </c>
      <c r="B35" s="100">
        <f t="shared" si="88"/>
        <v>-29.487824380399573</v>
      </c>
      <c r="C35" s="100">
        <f t="shared" si="66"/>
        <v>-29.487824380399573</v>
      </c>
      <c r="D35" s="144" t="str">
        <f>Cement!O35</f>
        <v/>
      </c>
      <c r="E35" s="64" t="str">
        <f>Cement!P35</f>
        <v>سيمان خوزستان</v>
      </c>
      <c r="F35" s="64" t="str">
        <f>Cement!Q35</f>
        <v>سخوز</v>
      </c>
      <c r="G35" s="59">
        <f>Cement!R35</f>
        <v>12</v>
      </c>
      <c r="H35" s="66">
        <f>Cement!S35</f>
        <v>10327.799999999999</v>
      </c>
      <c r="I35" s="126">
        <f>Cement!V35</f>
        <v>73770</v>
      </c>
      <c r="J35" s="107">
        <f>_xlfn.XLOOKUP($F35,Cement!$Q$7:$Q$35,Cement!AU$7:AU$35,"")</f>
        <v>-0.51954743829722094</v>
      </c>
      <c r="K35" s="140">
        <f t="shared" si="67"/>
        <v>16</v>
      </c>
      <c r="L35" s="107">
        <f>_xlfn.XLOOKUP($F35,Cement!$Q$7:$Q$35,Cement!BB$7:BB$35,"")</f>
        <v>-2.8000000000000025</v>
      </c>
      <c r="M35" s="140">
        <f t="shared" si="68"/>
        <v>21</v>
      </c>
      <c r="N35" s="107">
        <f>_xlfn.XLOOKUP($F35,Cement!$Q$7:$Q$35,Cement!BJ$7:BJ$35,"")</f>
        <v>0</v>
      </c>
      <c r="O35" s="140">
        <f t="shared" si="69"/>
        <v>2</v>
      </c>
      <c r="P35" s="107">
        <f>_xlfn.XLOOKUP($F35,Cement!$Q$7:$Q$35,Cement!BL$7:BL$35,"")</f>
        <v>-1.2530739680576128</v>
      </c>
      <c r="Q35" s="140">
        <f t="shared" si="70"/>
        <v>22</v>
      </c>
      <c r="R35" s="107">
        <f>_xlfn.XLOOKUP($F35,Cement!$Q$7:$Q$35,Cement!BW$7:BW$35,"")</f>
        <v>-13.667381411405897</v>
      </c>
      <c r="S35" s="140">
        <f t="shared" si="71"/>
        <v>28</v>
      </c>
      <c r="T35" s="107">
        <f>_xlfn.XLOOKUP($F35,Cement!$Q$7:$Q$35,Cement!CD$7:CD$35,"")</f>
        <v>0.87000000000000011</v>
      </c>
      <c r="U35" s="140">
        <f t="shared" si="72"/>
        <v>1</v>
      </c>
      <c r="V35" s="107">
        <f>_xlfn.XLOOKUP($F35,Cement!$Q$7:$Q$35,Cement!CF$7:CF$35,"")</f>
        <v>-3.4207266075400913</v>
      </c>
      <c r="W35" s="140">
        <f t="shared" si="73"/>
        <v>28</v>
      </c>
      <c r="X35" s="107">
        <f>_xlfn.XLOOKUP($F35,Cement!$Q$7:$Q$35,Cement!CH$7:CH$35,"")</f>
        <v>-2.0119449726099812</v>
      </c>
      <c r="Y35" s="140">
        <f t="shared" si="74"/>
        <v>27</v>
      </c>
      <c r="Z35" s="107">
        <f>_xlfn.XLOOKUP($F35,Cement!$Q$7:$Q$35,Cement!DA$7:DA$35,"")</f>
        <v>-0.24092664092663973</v>
      </c>
      <c r="AA35" s="140">
        <f t="shared" si="75"/>
        <v>16</v>
      </c>
      <c r="AB35" s="107">
        <f>_xlfn.XLOOKUP($F35,Cement!$Q$7:$Q$35,Cement!DN$7:DN$35,"")</f>
        <v>-2.298658345367083</v>
      </c>
      <c r="AC35" s="140">
        <f t="shared" si="76"/>
        <v>29</v>
      </c>
      <c r="AD35" s="107">
        <f>_xlfn.XLOOKUP($F35,Cement!$Q$7:$Q$35,Cement!DP$7:DP$35,"")</f>
        <v>0</v>
      </c>
      <c r="AE35" s="140">
        <f t="shared" si="77"/>
        <v>10</v>
      </c>
      <c r="AF35" s="107">
        <f>_xlfn.XLOOKUP($F35,Cement!$Q$7:$Q$35,Cement!DW$7:DW$35,"")</f>
        <v>10</v>
      </c>
      <c r="AG35" s="140">
        <f t="shared" si="78"/>
        <v>1</v>
      </c>
      <c r="AH35" s="107">
        <f>_xlfn.XLOOKUP($F35,Cement!$Q$7:$Q$35,Cement!DY$7:DY$35,"")</f>
        <v>-10</v>
      </c>
      <c r="AI35" s="140">
        <f t="shared" si="79"/>
        <v>26</v>
      </c>
      <c r="AJ35" s="107">
        <f>_xlfn.XLOOKUP($F35,Cement!$Q$7:$Q$35,Cement!EA$7:EA$35,"")</f>
        <v>-4.7439901930454358</v>
      </c>
      <c r="AK35" s="140">
        <f t="shared" si="80"/>
        <v>26</v>
      </c>
      <c r="AL35" s="107">
        <f>_xlfn.XLOOKUP($F35,Cement!$Q$7:$Q$35,Cement!EC$7:EC$35,"")</f>
        <v>0.59842519685039375</v>
      </c>
      <c r="AM35" s="140">
        <f t="shared" si="81"/>
        <v>17</v>
      </c>
      <c r="AN35" s="100">
        <f t="shared" si="82"/>
        <v>-29.487824380399573</v>
      </c>
      <c r="AO35" s="100">
        <f t="shared" si="83"/>
        <v>-29.487824380399573</v>
      </c>
      <c r="AP35" s="141">
        <f t="shared" si="84"/>
        <v>270</v>
      </c>
      <c r="AQ35" s="140">
        <f t="shared" si="85"/>
        <v>28</v>
      </c>
    </row>
  </sheetData>
  <sortState xmlns:xlrd2="http://schemas.microsoft.com/office/spreadsheetml/2017/richdata2" ref="A7:AQ35">
    <sortCondition ref="A7:A35"/>
  </sortState>
  <phoneticPr fontId="39" type="noConversion"/>
  <conditionalFormatting sqref="A7:AQ35">
    <cfRule type="expression" dxfId="7" priority="3">
      <formula>ROW()=EVEN(ROW())</formula>
    </cfRule>
  </conditionalFormatting>
  <pageMargins left="0.7" right="0.7" top="0.75" bottom="0.75" header="0.3" footer="0.3"/>
  <pageSetup paperSize="9" scale="24" orientation="landscape" horizontalDpi="0" verticalDpi="0"/>
  <ignoredErrors>
    <ignoredError sqref="M7 Q7 S7 U7 W7 Y7 AA7 AC7 AE7 AG7 AI7 AK7 AM7:AQ7 AL7 AJ7 AH7 AF7 AD7 AB7 Z7 X7 V7 T7 R7 P7 L7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7367-FE77-FD41-8014-E4902C9592CD}">
  <sheetPr codeName="Sheet17">
    <tabColor theme="5" tint="0.59999389629810485"/>
    <pageSetUpPr fitToPage="1"/>
  </sheetPr>
  <dimension ref="A1:AG55"/>
  <sheetViews>
    <sheetView zoomScale="70" zoomScaleNormal="70" workbookViewId="0">
      <pane xSplit="7" ySplit="5" topLeftCell="H37" activePane="bottomRight" state="frozen"/>
      <selection pane="topRight" activeCell="H1" sqref="H1"/>
      <selection pane="bottomLeft" activeCell="A6" sqref="A6"/>
      <selection pane="bottomRight" activeCell="A54" sqref="A54:XFD54"/>
    </sheetView>
  </sheetViews>
  <sheetFormatPr baseColWidth="10" defaultColWidth="11" defaultRowHeight="24"/>
  <cols>
    <col min="1" max="1" width="12.6640625" bestFit="1" customWidth="1"/>
    <col min="2" max="2" width="10.6640625" customWidth="1"/>
    <col min="3" max="3" width="12" customWidth="1"/>
    <col min="4" max="4" width="31.1640625" customWidth="1"/>
    <col min="5" max="5" width="9" customWidth="1"/>
    <col min="6" max="6" width="14.83203125" style="11" customWidth="1"/>
    <col min="7" max="7" width="14" style="119" bestFit="1" customWidth="1"/>
    <col min="8" max="8" width="12" style="112" customWidth="1"/>
    <col min="9" max="9" width="12.6640625" style="112" bestFit="1" customWidth="1"/>
    <col min="10" max="11" width="12.6640625" style="112" customWidth="1"/>
    <col min="12" max="22" width="11.6640625" style="112" customWidth="1"/>
    <col min="23" max="23" width="13.83203125" style="112" customWidth="1"/>
    <col min="24" max="24" width="0.83203125" style="11" customWidth="1"/>
    <col min="25" max="26" width="11.6640625" style="112" customWidth="1"/>
    <col min="27" max="27" width="14.33203125" style="112" customWidth="1"/>
    <col min="28" max="28" width="11.6640625" style="112" customWidth="1"/>
    <col min="29" max="31" width="13.83203125" style="112" customWidth="1"/>
    <col min="32" max="32" width="10.83203125" customWidth="1"/>
  </cols>
  <sheetData>
    <row r="1" spans="1:33" ht="24" customHeight="1">
      <c r="E1">
        <v>1</v>
      </c>
      <c r="F1">
        <v>3</v>
      </c>
      <c r="G1">
        <v>4</v>
      </c>
      <c r="H1">
        <v>5</v>
      </c>
      <c r="I1">
        <v>6</v>
      </c>
      <c r="J1"/>
      <c r="K1"/>
      <c r="L1">
        <v>18</v>
      </c>
      <c r="M1">
        <v>19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/>
      <c r="AF1">
        <v>26</v>
      </c>
      <c r="AG1">
        <v>27</v>
      </c>
    </row>
    <row r="2" spans="1:33">
      <c r="A2" s="155">
        <f>Cement!L2</f>
        <v>0</v>
      </c>
      <c r="B2" s="155">
        <f>Cement!B2</f>
        <v>0</v>
      </c>
      <c r="C2" s="155">
        <f>Cement!O2</f>
        <v>0</v>
      </c>
      <c r="D2" s="155">
        <f>Cement!P2</f>
        <v>0</v>
      </c>
      <c r="E2" s="155">
        <f>Cement!Q2</f>
        <v>0</v>
      </c>
      <c r="F2" s="156">
        <f>Cement!S2</f>
        <v>329404.23839199997</v>
      </c>
      <c r="G2" s="157">
        <f>Cement!V2</f>
        <v>23365.111939825016</v>
      </c>
      <c r="H2" s="156">
        <f>Cement!AU2</f>
        <v>0</v>
      </c>
      <c r="I2" s="156"/>
      <c r="J2" s="156"/>
      <c r="K2" s="156"/>
      <c r="L2" s="48">
        <f>Cement!BJ2</f>
        <v>0</v>
      </c>
      <c r="M2" s="48"/>
      <c r="N2" s="47">
        <f>Cement!BL2</f>
        <v>0</v>
      </c>
      <c r="O2" s="44"/>
      <c r="P2" s="156">
        <f>Cement!BW2</f>
        <v>24.999973990158519</v>
      </c>
      <c r="Q2" s="159"/>
      <c r="R2" s="160">
        <f>Cement!CD2</f>
        <v>0</v>
      </c>
      <c r="S2" s="156"/>
      <c r="T2" s="48">
        <f>Cement!CF2</f>
        <v>0</v>
      </c>
      <c r="U2" s="48"/>
      <c r="V2" s="161">
        <f>Cement!CH2</f>
        <v>0</v>
      </c>
      <c r="W2" s="162"/>
      <c r="X2" s="164"/>
      <c r="Y2" s="48">
        <f>Cement!DA2</f>
        <v>0</v>
      </c>
      <c r="Z2" s="162"/>
      <c r="AA2">
        <f>Cement!DP2</f>
        <v>0</v>
      </c>
      <c r="AB2"/>
      <c r="AC2" s="107"/>
      <c r="AD2" t="e">
        <f>Cement!#REF!</f>
        <v>#REF!</v>
      </c>
      <c r="AE2"/>
      <c r="AG2">
        <f>Cement!ED2</f>
        <v>0</v>
      </c>
    </row>
    <row r="3" spans="1:33" s="30" customFormat="1" ht="28" customHeight="1" thickBot="1">
      <c r="A3" s="34" t="str">
        <f>Cement!L3</f>
        <v>Rank</v>
      </c>
      <c r="B3" s="34" t="str">
        <f>Cement!B3</f>
        <v>Point</v>
      </c>
      <c r="C3" s="34" t="str">
        <f>Cement!O3</f>
        <v>Control</v>
      </c>
      <c r="D3" s="34">
        <f>Cement!P3</f>
        <v>0</v>
      </c>
      <c r="E3" s="61">
        <f>Cement!Q3</f>
        <v>0</v>
      </c>
      <c r="F3" s="34" t="str">
        <f>Cement!S3</f>
        <v>IBT</v>
      </c>
      <c r="G3" s="115" t="str">
        <f>Cement!V3</f>
        <v>Rial</v>
      </c>
      <c r="H3" s="110" t="str">
        <f>MOPFRA!AV3</f>
        <v>Point-1</v>
      </c>
      <c r="I3" s="139" t="s">
        <v>1683</v>
      </c>
      <c r="J3" s="110" t="s">
        <v>245</v>
      </c>
      <c r="K3" s="139" t="s">
        <v>1684</v>
      </c>
      <c r="L3" s="110" t="str">
        <f>MOPFRA!BK3</f>
        <v>Point-3</v>
      </c>
      <c r="M3" s="139" t="s">
        <v>1685</v>
      </c>
      <c r="N3" s="110" t="str">
        <f>MOPFRA!BM3</f>
        <v>Point-4</v>
      </c>
      <c r="O3" s="139" t="s">
        <v>1684</v>
      </c>
      <c r="P3" s="110" t="str">
        <f>MOPFRA!BX3</f>
        <v>Point-5</v>
      </c>
      <c r="Q3" s="139" t="s">
        <v>1685</v>
      </c>
      <c r="R3" s="110" t="str">
        <f>MOPFRA!CE3</f>
        <v>Point-6</v>
      </c>
      <c r="S3" s="139" t="s">
        <v>1686</v>
      </c>
      <c r="T3" s="110" t="str">
        <f>MOPFRA!CG3</f>
        <v>Point-7</v>
      </c>
      <c r="U3" s="139" t="s">
        <v>1687</v>
      </c>
      <c r="V3" s="110" t="str">
        <f>MOPFRA!CI3</f>
        <v>Point-8</v>
      </c>
      <c r="W3" s="139" t="s">
        <v>1688</v>
      </c>
      <c r="X3" s="40"/>
      <c r="Y3" s="136" t="str">
        <f>MOPFRA!DB3</f>
        <v>Point-9</v>
      </c>
      <c r="Z3" s="139" t="s">
        <v>1702</v>
      </c>
      <c r="AA3" s="136" t="str">
        <f>MOPFRA!DO3</f>
        <v>Point-10</v>
      </c>
      <c r="AB3" s="139" t="s">
        <v>1690</v>
      </c>
      <c r="AC3" s="110" t="str">
        <f>MOPFRA!DS3</f>
        <v>Point-11</v>
      </c>
      <c r="AD3" s="139" t="s">
        <v>1691</v>
      </c>
      <c r="AE3" s="139"/>
      <c r="AF3" s="34" t="s">
        <v>737</v>
      </c>
      <c r="AG3" s="34" t="s">
        <v>737</v>
      </c>
    </row>
    <row r="4" spans="1:33" s="94" customFormat="1" ht="130" customHeight="1" thickBot="1">
      <c r="A4" s="122" t="str">
        <f>MOPFRA!L4</f>
        <v>رتبه در جمع رتبه ها</v>
      </c>
      <c r="B4" s="122" t="str">
        <f>MOPFRA!A4</f>
        <v>جمع امتیاز بنیادی</v>
      </c>
      <c r="C4" s="146" t="str">
        <f>MOPFRA!O4</f>
        <v>توجه به  تغییر در EPS و P/E</v>
      </c>
      <c r="D4" s="95" t="str">
        <f>MOPFRA!Q4</f>
        <v>نام شرکت</v>
      </c>
      <c r="E4" s="95" t="str">
        <f>MOPFRA!R4</f>
        <v>نماد</v>
      </c>
      <c r="F4" s="95" t="str">
        <f>MOPFRA!T4</f>
        <v>ارزش شرکت در بورس</v>
      </c>
      <c r="G4" s="117" t="str">
        <f>MOPFRA!W4</f>
        <v xml:space="preserve">آخرین قیمت معامله شده </v>
      </c>
      <c r="H4" s="110" t="str">
        <f>MOPFRA!AV4</f>
        <v>امتیاز P/S فوروارد</v>
      </c>
      <c r="I4" s="110"/>
      <c r="J4" s="110" t="str">
        <f>MOPFRA!BC4</f>
        <v>امتیاز رشد حاشیه سود خالص</v>
      </c>
      <c r="K4" s="110"/>
      <c r="L4" s="1321" t="str">
        <f>MOPFRA!BK4</f>
        <v xml:space="preserve">امتیاز تغییر نسبت هزینه های ITDA به فروش </v>
      </c>
      <c r="M4" s="110"/>
      <c r="N4" s="1321" t="str">
        <f>MOPFRA!BM4</f>
        <v xml:space="preserve">امتیاز مقایسه پیش بینی رشد فروش به رشد قیمت </v>
      </c>
      <c r="O4" s="110"/>
      <c r="P4" s="110" t="str">
        <f>MOPFRA!BX4</f>
        <v>امتیاز P/E فوروارد</v>
      </c>
      <c r="Q4" s="110"/>
      <c r="R4" s="110" t="str">
        <f>MOPFRA!CE4</f>
        <v>امتیاز P/E TTM</v>
      </c>
      <c r="S4" s="110"/>
      <c r="T4" s="110" t="str">
        <f>MOPFRA!CG4</f>
        <v>امتیاز L/E</v>
      </c>
      <c r="U4" s="110"/>
      <c r="V4" s="110" t="str">
        <f>MOPFRA!CI4</f>
        <v>امتیاز ROCE</v>
      </c>
      <c r="W4" s="110"/>
      <c r="X4" s="93"/>
      <c r="Y4" s="136" t="str">
        <f>MOPFRA!DB4</f>
        <v>امتیاز نسبت جاری  CA/CD</v>
      </c>
      <c r="Z4" s="110"/>
      <c r="AA4" s="136" t="str">
        <f>MOPFRA!DO4</f>
        <v>امتیاز L/A</v>
      </c>
      <c r="AB4" s="110"/>
      <c r="AC4" s="110" t="str">
        <f>MOPFRA!DS4</f>
        <v>امتیاز خالص بدهی  تسهیلات به درآمد پیش بینی شده</v>
      </c>
      <c r="AD4" s="110"/>
      <c r="AE4" s="123" t="s">
        <v>1698</v>
      </c>
      <c r="AF4" s="151" t="s">
        <v>1703</v>
      </c>
      <c r="AG4" s="152" t="s">
        <v>275</v>
      </c>
    </row>
    <row r="5" spans="1:33" ht="28" customHeight="1">
      <c r="A5" s="68">
        <f>Cement!L5</f>
        <v>0</v>
      </c>
      <c r="B5" s="68">
        <f>Cement!B5</f>
        <v>0</v>
      </c>
      <c r="C5" s="68">
        <f>Cement!O5</f>
        <v>0</v>
      </c>
      <c r="D5" s="69">
        <f>Cement!P5</f>
        <v>0</v>
      </c>
      <c r="E5" s="68">
        <f>Cement!Q5</f>
        <v>0</v>
      </c>
      <c r="F5" s="70">
        <f>Cement!S5</f>
        <v>0</v>
      </c>
      <c r="G5" s="118">
        <f>Cement!V5</f>
        <v>0</v>
      </c>
      <c r="H5" s="111">
        <f>Cement!AU5</f>
        <v>0</v>
      </c>
      <c r="I5" s="111"/>
      <c r="J5" s="111"/>
      <c r="K5" s="111"/>
      <c r="L5" s="114">
        <f>Cement!BJ5</f>
        <v>0</v>
      </c>
      <c r="M5" s="114"/>
      <c r="N5" s="114">
        <f>Cement!BL5</f>
        <v>0</v>
      </c>
      <c r="O5" s="114"/>
      <c r="P5" s="114">
        <f>Cement!BW5</f>
        <v>0</v>
      </c>
      <c r="Q5" s="114"/>
      <c r="R5" s="114">
        <f>Cement!CD5</f>
        <v>0</v>
      </c>
      <c r="S5" s="114"/>
      <c r="T5" s="114">
        <f>Cement!CF5</f>
        <v>0</v>
      </c>
      <c r="U5" s="114"/>
      <c r="V5" s="114">
        <f>Cement!CH5</f>
        <v>0</v>
      </c>
      <c r="W5" s="114"/>
      <c r="X5" s="81"/>
      <c r="Y5" s="114">
        <f>Cement!DA5</f>
        <v>0</v>
      </c>
      <c r="Z5" s="114"/>
      <c r="AA5" s="114">
        <f>Cement!DP5</f>
        <v>0</v>
      </c>
      <c r="AB5" s="114"/>
      <c r="AC5" s="114">
        <f>Cement!DW5</f>
        <v>0</v>
      </c>
      <c r="AD5" s="114"/>
      <c r="AE5" s="114"/>
      <c r="AF5" s="114"/>
      <c r="AG5" s="114">
        <f>Cement!ED5</f>
        <v>0</v>
      </c>
    </row>
    <row r="6" spans="1:33" ht="35" customHeight="1">
      <c r="A6" s="142">
        <f t="shared" ref="A6:A37" si="0">RANK(AF6,AF$6:AF$55,1)</f>
        <v>1</v>
      </c>
      <c r="B6" s="100">
        <f t="shared" ref="B6" si="1">H6+J6+N6+P6+R6+T6+V6+L6+Y6+AA6+AC6</f>
        <v>48.716544797266323</v>
      </c>
      <c r="C6" s="936" t="str">
        <f>_xlfn.XLOOKUP($E6,MOPFRA!$R7:$R56,MOPFRA!O7:O56,"")</f>
        <v/>
      </c>
      <c r="D6" s="855" t="str">
        <f>MOPFRA!Q7</f>
        <v>گروه‌صنعتي‌سپاهان‌</v>
      </c>
      <c r="E6" s="855" t="str">
        <f>MOPFRA!R7</f>
        <v>فسپا</v>
      </c>
      <c r="F6" s="66">
        <f>MOPFRA!T7</f>
        <v>5800</v>
      </c>
      <c r="G6" s="126">
        <f>MOPFRA!W7</f>
        <v>4640</v>
      </c>
      <c r="H6" s="107">
        <f>MOPFRA!AV7</f>
        <v>0.10055638227274954</v>
      </c>
      <c r="I6" s="140">
        <f t="shared" ref="I6:I37" si="2">RANK(H6,H$6:H$55)</f>
        <v>22</v>
      </c>
      <c r="J6" s="107">
        <f>MOPFRA!BC7</f>
        <v>10</v>
      </c>
      <c r="K6" s="140">
        <f t="shared" ref="K6:K37" si="3">RANK(J6,J$6:J$55)</f>
        <v>1</v>
      </c>
      <c r="L6" s="107">
        <f>MOPFRA!BK7</f>
        <v>0</v>
      </c>
      <c r="M6" s="140">
        <f t="shared" ref="M6:M37" si="4">RANK(L6,L$6:L$55,0)</f>
        <v>2</v>
      </c>
      <c r="N6" s="107">
        <f>MOPFRA!BM7</f>
        <v>10</v>
      </c>
      <c r="O6" s="140">
        <f t="shared" ref="O6:O37" si="5">RANK(N6,N$6:N$55,0)</f>
        <v>1</v>
      </c>
      <c r="P6" s="107">
        <f>MOPFRA!BX7</f>
        <v>10</v>
      </c>
      <c r="Q6" s="140">
        <f t="shared" ref="Q6:Q37" si="6">RANK(P6,P$6:P$55,0)</f>
        <v>1</v>
      </c>
      <c r="R6" s="107">
        <f>MOPFRA!CE7</f>
        <v>3.5400000000000005</v>
      </c>
      <c r="S6" s="140">
        <f t="shared" ref="S6:S37" si="7">RANK(R6,R$6:R$55,0)</f>
        <v>4</v>
      </c>
      <c r="T6" s="107">
        <f>MOPFRA!CG7</f>
        <v>5.9804801877388147</v>
      </c>
      <c r="U6" s="140">
        <f t="shared" ref="U6:U37" si="8">RANK(T6,T$6:T$55,0)</f>
        <v>3</v>
      </c>
      <c r="V6" s="107">
        <f>MOPFRA!CI7</f>
        <v>1.3585367990562824</v>
      </c>
      <c r="W6" s="140">
        <f t="shared" ref="W6:W37" si="9">RANK(V6,V$6:V$55,0)</f>
        <v>4</v>
      </c>
      <c r="X6" s="20"/>
      <c r="Y6" s="107">
        <f>MOPFRA!DB7</f>
        <v>6</v>
      </c>
      <c r="Z6" s="140">
        <f t="shared" ref="Z6:Z37" si="10">RANK(Y6,Y$6:Y$55,0)</f>
        <v>1</v>
      </c>
      <c r="AA6" s="107">
        <f>MOPFRA!DO7</f>
        <v>1.7369714281984772</v>
      </c>
      <c r="AB6" s="140">
        <f t="shared" ref="AB6:AB37" si="11">RANK(AA6,AA$6:AA$55,0)</f>
        <v>3</v>
      </c>
      <c r="AC6" s="107">
        <f>MOPFRA!DS7</f>
        <v>0</v>
      </c>
      <c r="AD6" s="140">
        <f t="shared" ref="AD6:AD37" si="12">RANK(AC6,AC$6:AC$55,0)</f>
        <v>3</v>
      </c>
      <c r="AE6" s="100">
        <f t="shared" ref="AE6" si="13">SUM(H6,J6,N6,P6,R6,T6,V6,L6,Y6,AA6,AC6)</f>
        <v>48.716544797266323</v>
      </c>
      <c r="AF6" s="141">
        <f t="shared" ref="AF6" si="14">SUM(I6,K6,O6,Q6,S6,U6,W6,M6,Z6,AA6,AC6)</f>
        <v>40.73697142819848</v>
      </c>
      <c r="AG6" s="140">
        <f t="shared" ref="AG6:AG37" si="15">RANK(AF6,AF$6:AF$55,1)</f>
        <v>1</v>
      </c>
    </row>
    <row r="7" spans="1:33" ht="35" customHeight="1">
      <c r="A7" s="142">
        <f t="shared" si="0"/>
        <v>2</v>
      </c>
      <c r="B7" s="100">
        <f t="shared" ref="B7:B12" si="16">H7+J7+N7+P7+R7+T7+V7+L7+Y7+AA7+AC7</f>
        <v>40.089609914804811</v>
      </c>
      <c r="C7" s="936" t="str">
        <f>_xlfn.XLOOKUP($E7,MOPFRA!$R8:$R57,MOPFRA!O8:O57,"")</f>
        <v/>
      </c>
      <c r="D7" s="855" t="str">
        <f>MOPFRA!Q8</f>
        <v>توليدات پتروشيمي قائد بصير</v>
      </c>
      <c r="E7" s="855" t="str">
        <f>MOPFRA!R8</f>
        <v>شبصير</v>
      </c>
      <c r="F7" s="66">
        <f>MOPFRA!T8</f>
        <v>11010</v>
      </c>
      <c r="G7" s="126">
        <f>MOPFRA!W8</f>
        <v>11010</v>
      </c>
      <c r="H7" s="107">
        <f>MOPFRA!AV8</f>
        <v>0</v>
      </c>
      <c r="I7" s="140">
        <f t="shared" si="2"/>
        <v>23</v>
      </c>
      <c r="J7" s="107">
        <f>MOPFRA!BC8</f>
        <v>10</v>
      </c>
      <c r="K7" s="140">
        <f t="shared" si="3"/>
        <v>1</v>
      </c>
      <c r="L7" s="107">
        <f>MOPFRA!BK8</f>
        <v>0</v>
      </c>
      <c r="M7" s="140">
        <f t="shared" si="4"/>
        <v>2</v>
      </c>
      <c r="N7" s="107">
        <f>MOPFRA!BM8</f>
        <v>10</v>
      </c>
      <c r="O7" s="140">
        <f t="shared" si="5"/>
        <v>1</v>
      </c>
      <c r="P7" s="107">
        <f>MOPFRA!BX8</f>
        <v>10</v>
      </c>
      <c r="Q7" s="140">
        <f t="shared" si="6"/>
        <v>1</v>
      </c>
      <c r="R7" s="107">
        <f>MOPFRA!CE8</f>
        <v>3.5400000000000005</v>
      </c>
      <c r="S7" s="140">
        <f t="shared" si="7"/>
        <v>4</v>
      </c>
      <c r="T7" s="107">
        <f>MOPFRA!CG8</f>
        <v>3.9901748681139928</v>
      </c>
      <c r="U7" s="140">
        <f t="shared" si="8"/>
        <v>10</v>
      </c>
      <c r="V7" s="107">
        <f>MOPFRA!CI8</f>
        <v>1.8125134245012857</v>
      </c>
      <c r="W7" s="140">
        <f t="shared" si="9"/>
        <v>1</v>
      </c>
      <c r="X7" s="20"/>
      <c r="Y7" s="107">
        <f>MOPFRA!DB8</f>
        <v>1.7469216221895358</v>
      </c>
      <c r="Z7" s="140">
        <f t="shared" si="10"/>
        <v>24</v>
      </c>
      <c r="AA7" s="107">
        <f>MOPFRA!DO8</f>
        <v>0</v>
      </c>
      <c r="AB7" s="140">
        <f t="shared" si="11"/>
        <v>24</v>
      </c>
      <c r="AC7" s="107">
        <f>MOPFRA!DS8</f>
        <v>-1</v>
      </c>
      <c r="AD7" s="140">
        <f t="shared" si="12"/>
        <v>25</v>
      </c>
      <c r="AE7" s="100">
        <f t="shared" ref="AE7:AE55" si="17">SUM(H7,J7,N7,P7,R7,T7,V7,L7,Y7,AA7,AC7)</f>
        <v>40.089609914804811</v>
      </c>
      <c r="AF7" s="141">
        <f t="shared" ref="AF7:AF55" si="18">SUM(I7,K7,O7,Q7,S7,U7,W7,M7,Z7,AA7,AC7)</f>
        <v>66</v>
      </c>
      <c r="AG7" s="140">
        <f t="shared" si="15"/>
        <v>2</v>
      </c>
    </row>
    <row r="8" spans="1:33" ht="35" customHeight="1">
      <c r="A8" s="142">
        <f t="shared" si="0"/>
        <v>5</v>
      </c>
      <c r="B8" s="100">
        <f t="shared" si="16"/>
        <v>34.139725881635457</v>
      </c>
      <c r="C8" s="936" t="str">
        <f>_xlfn.XLOOKUP($E8,MOPFRA!$R9:$R58,MOPFRA!O9:O58,"")</f>
        <v/>
      </c>
      <c r="D8" s="855" t="str">
        <f>MOPFRA!Q9</f>
        <v>پتروشيمي شازند</v>
      </c>
      <c r="E8" s="855" t="str">
        <f>MOPFRA!R9</f>
        <v>شاراك</v>
      </c>
      <c r="F8" s="66">
        <f>MOPFRA!T9</f>
        <v>33354</v>
      </c>
      <c r="G8" s="126">
        <f>MOPFRA!W9</f>
        <v>19620</v>
      </c>
      <c r="H8" s="107">
        <f>MOPFRA!AV9</f>
        <v>10</v>
      </c>
      <c r="I8" s="140">
        <f t="shared" si="2"/>
        <v>1</v>
      </c>
      <c r="J8" s="107">
        <f>MOPFRA!BC9</f>
        <v>6.8000000000000007</v>
      </c>
      <c r="K8" s="140">
        <f t="shared" si="3"/>
        <v>19</v>
      </c>
      <c r="L8" s="107">
        <f>MOPFRA!BK9</f>
        <v>0</v>
      </c>
      <c r="M8" s="140">
        <f t="shared" si="4"/>
        <v>2</v>
      </c>
      <c r="N8" s="107">
        <f>MOPFRA!BM9</f>
        <v>10</v>
      </c>
      <c r="O8" s="140">
        <f t="shared" si="5"/>
        <v>1</v>
      </c>
      <c r="P8" s="107">
        <f>MOPFRA!BX9</f>
        <v>10</v>
      </c>
      <c r="Q8" s="140">
        <f t="shared" si="6"/>
        <v>1</v>
      </c>
      <c r="R8" s="107">
        <f>MOPFRA!CE9</f>
        <v>-0.21000000000000085</v>
      </c>
      <c r="S8" s="140">
        <f t="shared" si="7"/>
        <v>14</v>
      </c>
      <c r="T8" s="107">
        <f>MOPFRA!CG9</f>
        <v>-1.4045720718912342</v>
      </c>
      <c r="U8" s="140">
        <f t="shared" si="8"/>
        <v>33</v>
      </c>
      <c r="V8" s="107">
        <f>MOPFRA!CI9</f>
        <v>-1.1797248399132876</v>
      </c>
      <c r="W8" s="140">
        <f t="shared" si="9"/>
        <v>18</v>
      </c>
      <c r="X8" s="20"/>
      <c r="Y8" s="107">
        <f>MOPFRA!DB9</f>
        <v>0.11692380539004965</v>
      </c>
      <c r="Z8" s="140">
        <f t="shared" si="10"/>
        <v>32</v>
      </c>
      <c r="AA8" s="107">
        <f>MOPFRA!DO9</f>
        <v>1.7098988049929487E-2</v>
      </c>
      <c r="AB8" s="140">
        <f t="shared" si="11"/>
        <v>23</v>
      </c>
      <c r="AC8" s="107">
        <f>MOPFRA!DS9</f>
        <v>0</v>
      </c>
      <c r="AD8" s="140">
        <f t="shared" si="12"/>
        <v>3</v>
      </c>
      <c r="AE8" s="100">
        <f t="shared" si="17"/>
        <v>34.139725881635457</v>
      </c>
      <c r="AF8" s="141">
        <f t="shared" si="18"/>
        <v>121.01709898804992</v>
      </c>
      <c r="AG8" s="140">
        <f t="shared" si="15"/>
        <v>5</v>
      </c>
    </row>
    <row r="9" spans="1:33" ht="35" customHeight="1">
      <c r="A9" s="142">
        <f t="shared" si="0"/>
        <v>7</v>
      </c>
      <c r="B9" s="100">
        <f t="shared" si="16"/>
        <v>28.21227651390776</v>
      </c>
      <c r="C9" s="936" t="str">
        <f>_xlfn.XLOOKUP($E9,MOPFRA!$R10:$R59,MOPFRA!O10:O59,"")</f>
        <v/>
      </c>
      <c r="D9" s="855" t="str">
        <f>MOPFRA!Q10</f>
        <v>صنايع الكترونيك ماديران</v>
      </c>
      <c r="E9" s="855" t="str">
        <f>MOPFRA!R10</f>
        <v>الكتروماد</v>
      </c>
      <c r="F9" s="66">
        <f>MOPFRA!T10</f>
        <v>3258</v>
      </c>
      <c r="G9" s="126">
        <f>MOPFRA!W10</f>
        <v>3620</v>
      </c>
      <c r="H9" s="107">
        <f>MOPFRA!AV10</f>
        <v>0</v>
      </c>
      <c r="I9" s="140">
        <f t="shared" si="2"/>
        <v>23</v>
      </c>
      <c r="J9" s="107">
        <f>MOPFRA!BC10</f>
        <v>10</v>
      </c>
      <c r="K9" s="140">
        <f t="shared" si="3"/>
        <v>1</v>
      </c>
      <c r="L9" s="107">
        <f>MOPFRA!BK10</f>
        <v>0</v>
      </c>
      <c r="M9" s="140">
        <f t="shared" si="4"/>
        <v>2</v>
      </c>
      <c r="N9" s="107">
        <f>MOPFRA!BM10</f>
        <v>8.7465597268262165</v>
      </c>
      <c r="O9" s="140">
        <f t="shared" si="5"/>
        <v>23</v>
      </c>
      <c r="P9" s="107">
        <f>MOPFRA!BX10</f>
        <v>10</v>
      </c>
      <c r="Q9" s="140">
        <f t="shared" si="6"/>
        <v>1</v>
      </c>
      <c r="R9" s="107">
        <f>MOPFRA!CE10</f>
        <v>3.6600000000000006</v>
      </c>
      <c r="S9" s="140">
        <f t="shared" si="7"/>
        <v>3</v>
      </c>
      <c r="T9" s="107">
        <f>MOPFRA!CG10</f>
        <v>-1.4818850800148144</v>
      </c>
      <c r="U9" s="140">
        <f t="shared" si="8"/>
        <v>34</v>
      </c>
      <c r="V9" s="107">
        <f>MOPFRA!CI10</f>
        <v>-2.3968867307812682</v>
      </c>
      <c r="W9" s="140">
        <f t="shared" si="9"/>
        <v>31</v>
      </c>
      <c r="X9" s="20"/>
      <c r="Y9" s="107">
        <f>MOPFRA!DB10</f>
        <v>2.6844885978776247</v>
      </c>
      <c r="Z9" s="140">
        <f t="shared" si="10"/>
        <v>19</v>
      </c>
      <c r="AA9" s="107">
        <f>MOPFRA!DO10</f>
        <v>0</v>
      </c>
      <c r="AB9" s="140">
        <f t="shared" si="11"/>
        <v>24</v>
      </c>
      <c r="AC9" s="107">
        <f>MOPFRA!DS10</f>
        <v>-3</v>
      </c>
      <c r="AD9" s="140">
        <f t="shared" si="12"/>
        <v>41</v>
      </c>
      <c r="AE9" s="100">
        <f t="shared" si="17"/>
        <v>28.21227651390776</v>
      </c>
      <c r="AF9" s="141">
        <f t="shared" si="18"/>
        <v>134</v>
      </c>
      <c r="AG9" s="140">
        <f t="shared" si="15"/>
        <v>7</v>
      </c>
    </row>
    <row r="10" spans="1:33" ht="35" customHeight="1">
      <c r="A10" s="142">
        <f t="shared" si="0"/>
        <v>17</v>
      </c>
      <c r="B10" s="100">
        <f t="shared" si="16"/>
        <v>27.307134554074281</v>
      </c>
      <c r="C10" s="936" t="str">
        <f>_xlfn.XLOOKUP($E10,MOPFRA!$R11:$R60,MOPFRA!O11:O60,"")</f>
        <v/>
      </c>
      <c r="D10" s="855" t="str">
        <f>MOPFRA!Q11</f>
        <v>پارس‌ خزر</v>
      </c>
      <c r="E10" s="855" t="str">
        <f>MOPFRA!R11</f>
        <v>لخزر</v>
      </c>
      <c r="F10" s="66">
        <f>MOPFRA!T11</f>
        <v>3380</v>
      </c>
      <c r="G10" s="126">
        <f>MOPFRA!W11</f>
        <v>3380</v>
      </c>
      <c r="H10" s="107">
        <f>MOPFRA!AV11</f>
        <v>0</v>
      </c>
      <c r="I10" s="140">
        <f t="shared" si="2"/>
        <v>23</v>
      </c>
      <c r="J10" s="107">
        <f>MOPFRA!BC11</f>
        <v>3.8000000000000007</v>
      </c>
      <c r="K10" s="140">
        <f t="shared" si="3"/>
        <v>27</v>
      </c>
      <c r="L10" s="107">
        <f>MOPFRA!BK11</f>
        <v>0</v>
      </c>
      <c r="M10" s="140">
        <f t="shared" si="4"/>
        <v>2</v>
      </c>
      <c r="N10" s="107">
        <f>MOPFRA!BM11</f>
        <v>8.154064543952309</v>
      </c>
      <c r="O10" s="140">
        <f t="shared" si="5"/>
        <v>24</v>
      </c>
      <c r="P10" s="107">
        <f>MOPFRA!BX11</f>
        <v>10</v>
      </c>
      <c r="Q10" s="140">
        <f t="shared" si="6"/>
        <v>1</v>
      </c>
      <c r="R10" s="107">
        <f>MOPFRA!CE11</f>
        <v>5.9399999999999995</v>
      </c>
      <c r="S10" s="140">
        <f t="shared" si="7"/>
        <v>1</v>
      </c>
      <c r="T10" s="107">
        <f>MOPFRA!CG11</f>
        <v>0.5624033615715982</v>
      </c>
      <c r="U10" s="140">
        <f t="shared" si="8"/>
        <v>30</v>
      </c>
      <c r="V10" s="107">
        <f>MOPFRA!CI11</f>
        <v>-2.600848502964781</v>
      </c>
      <c r="W10" s="140">
        <f t="shared" si="9"/>
        <v>34</v>
      </c>
      <c r="X10" s="20"/>
      <c r="Y10" s="107">
        <f>MOPFRA!DB11</f>
        <v>1.4515151515151512</v>
      </c>
      <c r="Z10" s="140">
        <f t="shared" si="10"/>
        <v>25</v>
      </c>
      <c r="AA10" s="107">
        <f>MOPFRA!DO11</f>
        <v>0</v>
      </c>
      <c r="AB10" s="140">
        <f t="shared" si="11"/>
        <v>24</v>
      </c>
      <c r="AC10" s="107">
        <f>MOPFRA!DS11</f>
        <v>0</v>
      </c>
      <c r="AD10" s="140">
        <f t="shared" si="12"/>
        <v>3</v>
      </c>
      <c r="AE10" s="100">
        <f t="shared" si="17"/>
        <v>27.307134554074281</v>
      </c>
      <c r="AF10" s="141">
        <f t="shared" si="18"/>
        <v>167</v>
      </c>
      <c r="AG10" s="140">
        <f t="shared" si="15"/>
        <v>17</v>
      </c>
    </row>
    <row r="11" spans="1:33" ht="35" customHeight="1">
      <c r="A11" s="142">
        <f t="shared" si="0"/>
        <v>4</v>
      </c>
      <c r="B11" s="100">
        <f t="shared" si="16"/>
        <v>25.720175838287016</v>
      </c>
      <c r="C11" s="936" t="str">
        <f>_xlfn.XLOOKUP($E11,MOPFRA!$R12:$R61,MOPFRA!O12:O61,"")</f>
        <v/>
      </c>
      <c r="D11" s="855" t="str">
        <f>MOPFRA!Q12</f>
        <v>كارخانجات‌داروپخش‌</v>
      </c>
      <c r="E11" s="855" t="str">
        <f>MOPFRA!R12</f>
        <v>دارو</v>
      </c>
      <c r="F11" s="66">
        <f>MOPFRA!T12</f>
        <v>36778</v>
      </c>
      <c r="G11" s="126">
        <f>MOPFRA!W12</f>
        <v>7100</v>
      </c>
      <c r="H11" s="107">
        <f>MOPFRA!AV12</f>
        <v>2.5995216117376208</v>
      </c>
      <c r="I11" s="140">
        <f t="shared" si="2"/>
        <v>11</v>
      </c>
      <c r="J11" s="107">
        <f>MOPFRA!BC12</f>
        <v>10</v>
      </c>
      <c r="K11" s="140">
        <f t="shared" si="3"/>
        <v>1</v>
      </c>
      <c r="L11" s="107">
        <f>MOPFRA!BK12</f>
        <v>0</v>
      </c>
      <c r="M11" s="140">
        <f t="shared" si="4"/>
        <v>2</v>
      </c>
      <c r="N11" s="107">
        <f>MOPFRA!BM12</f>
        <v>10</v>
      </c>
      <c r="O11" s="140">
        <f t="shared" si="5"/>
        <v>1</v>
      </c>
      <c r="P11" s="107">
        <f>MOPFRA!BX12</f>
        <v>4.2336353420808237</v>
      </c>
      <c r="Q11" s="140">
        <f t="shared" si="6"/>
        <v>22</v>
      </c>
      <c r="R11" s="107">
        <f>MOPFRA!CE12</f>
        <v>-10</v>
      </c>
      <c r="S11" s="140">
        <f t="shared" si="7"/>
        <v>43</v>
      </c>
      <c r="T11" s="107">
        <f>MOPFRA!CG12</f>
        <v>3.9156132636488081</v>
      </c>
      <c r="U11" s="140">
        <f t="shared" si="8"/>
        <v>11</v>
      </c>
      <c r="V11" s="107">
        <f>MOPFRA!CI12</f>
        <v>0.12137768585125386</v>
      </c>
      <c r="W11" s="140">
        <f t="shared" si="9"/>
        <v>13</v>
      </c>
      <c r="X11" s="20"/>
      <c r="Y11" s="107">
        <f>MOPFRA!DB12</f>
        <v>4.000106284044108</v>
      </c>
      <c r="Z11" s="140">
        <f t="shared" si="10"/>
        <v>16</v>
      </c>
      <c r="AA11" s="107">
        <f>MOPFRA!DO12</f>
        <v>0.84992165092440009</v>
      </c>
      <c r="AB11" s="140">
        <f t="shared" si="11"/>
        <v>14</v>
      </c>
      <c r="AC11" s="107">
        <f>MOPFRA!DS12</f>
        <v>0</v>
      </c>
      <c r="AD11" s="140">
        <f t="shared" si="12"/>
        <v>3</v>
      </c>
      <c r="AE11" s="100">
        <f t="shared" si="17"/>
        <v>25.720175838287016</v>
      </c>
      <c r="AF11" s="141">
        <f t="shared" si="18"/>
        <v>120.8499216509244</v>
      </c>
      <c r="AG11" s="140">
        <f t="shared" si="15"/>
        <v>4</v>
      </c>
    </row>
    <row r="12" spans="1:33" ht="35" customHeight="1">
      <c r="A12" s="142">
        <f t="shared" si="0"/>
        <v>8</v>
      </c>
      <c r="B12" s="100">
        <f t="shared" si="16"/>
        <v>24.251489960105612</v>
      </c>
      <c r="C12" s="936" t="str">
        <f>_xlfn.XLOOKUP($E12,MOPFRA!$R13:$R62,MOPFRA!O13:O62,"")</f>
        <v/>
      </c>
      <c r="D12" s="855" t="str">
        <f>MOPFRA!Q13</f>
        <v>سالمين‌</v>
      </c>
      <c r="E12" s="855" t="str">
        <f>MOPFRA!R13</f>
        <v>غسالم</v>
      </c>
      <c r="F12" s="66">
        <f>MOPFRA!T13</f>
        <v>4884</v>
      </c>
      <c r="G12" s="126">
        <f>MOPFRA!W13</f>
        <v>8140</v>
      </c>
      <c r="H12" s="107">
        <f>MOPFRA!AV13</f>
        <v>0.978925903346336</v>
      </c>
      <c r="I12" s="140">
        <f t="shared" si="2"/>
        <v>16</v>
      </c>
      <c r="J12" s="107">
        <f>MOPFRA!BC13</f>
        <v>3.7000000000000006</v>
      </c>
      <c r="K12" s="140">
        <f t="shared" si="3"/>
        <v>28</v>
      </c>
      <c r="L12" s="107">
        <f>MOPFRA!BK13</f>
        <v>0</v>
      </c>
      <c r="M12" s="140">
        <f t="shared" si="4"/>
        <v>2</v>
      </c>
      <c r="N12" s="107">
        <f>MOPFRA!BM13</f>
        <v>10</v>
      </c>
      <c r="O12" s="140">
        <f t="shared" si="5"/>
        <v>1</v>
      </c>
      <c r="P12" s="107">
        <f>MOPFRA!BX13</f>
        <v>4.5618334339552646</v>
      </c>
      <c r="Q12" s="140">
        <f t="shared" si="6"/>
        <v>21</v>
      </c>
      <c r="R12" s="107">
        <f>MOPFRA!CE13</f>
        <v>-3.12</v>
      </c>
      <c r="S12" s="140">
        <f t="shared" si="7"/>
        <v>24</v>
      </c>
      <c r="T12" s="107">
        <f>MOPFRA!CG13</f>
        <v>3.3867660068780268</v>
      </c>
      <c r="U12" s="140">
        <f t="shared" si="8"/>
        <v>15</v>
      </c>
      <c r="V12" s="107">
        <f>MOPFRA!CI13</f>
        <v>-2.1564762502729913</v>
      </c>
      <c r="W12" s="140">
        <f t="shared" si="9"/>
        <v>29</v>
      </c>
      <c r="X12" s="20"/>
      <c r="Y12" s="107">
        <f>MOPFRA!DB13</f>
        <v>6</v>
      </c>
      <c r="Z12" s="140">
        <f t="shared" si="10"/>
        <v>1</v>
      </c>
      <c r="AA12" s="107">
        <f>MOPFRA!DO13</f>
        <v>0.90044086619897767</v>
      </c>
      <c r="AB12" s="140">
        <f t="shared" si="11"/>
        <v>11</v>
      </c>
      <c r="AC12" s="107">
        <f>MOPFRA!DS13</f>
        <v>0</v>
      </c>
      <c r="AD12" s="140">
        <f t="shared" si="12"/>
        <v>3</v>
      </c>
      <c r="AE12" s="100">
        <f t="shared" si="17"/>
        <v>24.251489960105612</v>
      </c>
      <c r="AF12" s="141">
        <f t="shared" si="18"/>
        <v>137.90044086619898</v>
      </c>
      <c r="AG12" s="140">
        <f t="shared" si="15"/>
        <v>8</v>
      </c>
    </row>
    <row r="13" spans="1:33" ht="35" customHeight="1">
      <c r="A13" s="142">
        <f t="shared" si="0"/>
        <v>14</v>
      </c>
      <c r="B13" s="100">
        <f t="shared" ref="B13:B55" si="19">H13+J13+N13+P13+R13+T13+V13+L13+Y13+AA13+AC13</f>
        <v>22.537123972438035</v>
      </c>
      <c r="C13" s="936" t="str">
        <f>_xlfn.XLOOKUP($E13,MOPFRA!$R14:$R63,MOPFRA!O14:O63,"")</f>
        <v/>
      </c>
      <c r="D13" s="855" t="str">
        <f>MOPFRA!Q14</f>
        <v>توليدي برنا باطري</v>
      </c>
      <c r="E13" s="855" t="str">
        <f>MOPFRA!R14</f>
        <v>خبرنا</v>
      </c>
      <c r="F13" s="66">
        <f>MOPFRA!T14</f>
        <v>3295</v>
      </c>
      <c r="G13" s="126">
        <f>MOPFRA!W14</f>
        <v>6590</v>
      </c>
      <c r="H13" s="107">
        <f>MOPFRA!AV14</f>
        <v>0</v>
      </c>
      <c r="I13" s="140">
        <f t="shared" si="2"/>
        <v>23</v>
      </c>
      <c r="J13" s="107">
        <f>MOPFRA!BC14</f>
        <v>2.5000000000000022</v>
      </c>
      <c r="K13" s="140">
        <f t="shared" si="3"/>
        <v>32</v>
      </c>
      <c r="L13" s="107">
        <f>MOPFRA!BK14</f>
        <v>0</v>
      </c>
      <c r="M13" s="140">
        <f t="shared" si="4"/>
        <v>2</v>
      </c>
      <c r="N13" s="107">
        <f>MOPFRA!BM14</f>
        <v>6.5429018747129701</v>
      </c>
      <c r="O13" s="140">
        <f t="shared" si="5"/>
        <v>26</v>
      </c>
      <c r="P13" s="107">
        <f>MOPFRA!BX14</f>
        <v>8.9250698615419992</v>
      </c>
      <c r="Q13" s="140">
        <f t="shared" si="6"/>
        <v>11</v>
      </c>
      <c r="R13" s="107">
        <f>MOPFRA!CE14</f>
        <v>-3.63</v>
      </c>
      <c r="S13" s="140">
        <f t="shared" si="7"/>
        <v>26</v>
      </c>
      <c r="T13" s="107">
        <f>MOPFRA!CG14</f>
        <v>4.0776194745613861</v>
      </c>
      <c r="U13" s="140">
        <f t="shared" si="8"/>
        <v>9</v>
      </c>
      <c r="V13" s="107">
        <f>MOPFRA!CI14</f>
        <v>-1.8784672383783241</v>
      </c>
      <c r="W13" s="140">
        <f t="shared" si="9"/>
        <v>25</v>
      </c>
      <c r="X13" s="20"/>
      <c r="Y13" s="107">
        <f>MOPFRA!DB14</f>
        <v>6</v>
      </c>
      <c r="Z13" s="140">
        <f t="shared" si="10"/>
        <v>1</v>
      </c>
      <c r="AA13" s="107">
        <f>MOPFRA!DO14</f>
        <v>0</v>
      </c>
      <c r="AB13" s="140">
        <f t="shared" si="11"/>
        <v>24</v>
      </c>
      <c r="AC13" s="107">
        <f>MOPFRA!DS14</f>
        <v>0</v>
      </c>
      <c r="AD13" s="140">
        <f t="shared" si="12"/>
        <v>3</v>
      </c>
      <c r="AE13" s="100">
        <f t="shared" si="17"/>
        <v>22.537123972438035</v>
      </c>
      <c r="AF13" s="141">
        <f t="shared" si="18"/>
        <v>155</v>
      </c>
      <c r="AG13" s="140">
        <f t="shared" si="15"/>
        <v>14</v>
      </c>
    </row>
    <row r="14" spans="1:33" ht="35" customHeight="1">
      <c r="A14" s="142">
        <f t="shared" si="0"/>
        <v>6</v>
      </c>
      <c r="B14" s="100">
        <f t="shared" si="19"/>
        <v>21.915394470166301</v>
      </c>
      <c r="C14" s="936" t="str">
        <f>_xlfn.XLOOKUP($E14,MOPFRA!$R15:$R64,MOPFRA!O15:O64,"")</f>
        <v/>
      </c>
      <c r="D14" s="855" t="str">
        <f>MOPFRA!Q15</f>
        <v>دارويي و نهاده هاي زاگرس دارو</v>
      </c>
      <c r="E14" s="855" t="str">
        <f>MOPFRA!R15</f>
        <v>دزاگرس</v>
      </c>
      <c r="F14" s="66">
        <f>MOPFRA!T15</f>
        <v>16316.3</v>
      </c>
      <c r="G14" s="126">
        <f>MOPFRA!W15</f>
        <v>21190</v>
      </c>
      <c r="H14" s="107">
        <f>MOPFRA!AV15</f>
        <v>2.6783955284946104</v>
      </c>
      <c r="I14" s="140">
        <f t="shared" si="2"/>
        <v>10</v>
      </c>
      <c r="J14" s="107">
        <f>MOPFRA!BC15</f>
        <v>-1.0000000000000009</v>
      </c>
      <c r="K14" s="140">
        <f t="shared" si="3"/>
        <v>40</v>
      </c>
      <c r="L14" s="107">
        <f>MOPFRA!BK15</f>
        <v>0</v>
      </c>
      <c r="M14" s="140">
        <f t="shared" si="4"/>
        <v>2</v>
      </c>
      <c r="N14" s="107">
        <f>MOPFRA!BM15</f>
        <v>10</v>
      </c>
      <c r="O14" s="140">
        <f t="shared" si="5"/>
        <v>1</v>
      </c>
      <c r="P14" s="107">
        <f>MOPFRA!BX15</f>
        <v>5.7405313524786905</v>
      </c>
      <c r="Q14" s="140">
        <f t="shared" si="6"/>
        <v>19</v>
      </c>
      <c r="R14" s="107">
        <f>MOPFRA!CE15</f>
        <v>-6.12</v>
      </c>
      <c r="S14" s="140">
        <f t="shared" si="7"/>
        <v>35</v>
      </c>
      <c r="T14" s="107">
        <f>MOPFRA!CG15</f>
        <v>4.6288286892665091</v>
      </c>
      <c r="U14" s="140">
        <f t="shared" si="8"/>
        <v>5</v>
      </c>
      <c r="V14" s="107">
        <f>MOPFRA!CI15</f>
        <v>0.55579309755287687</v>
      </c>
      <c r="W14" s="140">
        <f t="shared" si="9"/>
        <v>8</v>
      </c>
      <c r="X14" s="20"/>
      <c r="Y14" s="107">
        <f>MOPFRA!DB15</f>
        <v>5.742728635682159</v>
      </c>
      <c r="Z14" s="140">
        <f t="shared" si="10"/>
        <v>12</v>
      </c>
      <c r="AA14" s="107">
        <f>MOPFRA!DO15</f>
        <v>0.68911716669145751</v>
      </c>
      <c r="AB14" s="140">
        <f t="shared" si="11"/>
        <v>16</v>
      </c>
      <c r="AC14" s="107">
        <f>MOPFRA!DS15</f>
        <v>-1</v>
      </c>
      <c r="AD14" s="140">
        <f t="shared" si="12"/>
        <v>25</v>
      </c>
      <c r="AE14" s="100">
        <f t="shared" si="17"/>
        <v>21.915394470166301</v>
      </c>
      <c r="AF14" s="141">
        <f t="shared" si="18"/>
        <v>131.68911716669146</v>
      </c>
      <c r="AG14" s="140">
        <f t="shared" si="15"/>
        <v>6</v>
      </c>
    </row>
    <row r="15" spans="1:33" ht="35" customHeight="1">
      <c r="A15" s="142">
        <f t="shared" si="0"/>
        <v>3</v>
      </c>
      <c r="B15" s="100">
        <f t="shared" si="19"/>
        <v>21.973793847562622</v>
      </c>
      <c r="C15" s="936" t="str">
        <f>_xlfn.XLOOKUP($E15,MOPFRA!$R16:$R65,MOPFRA!O16:O65,"")</f>
        <v/>
      </c>
      <c r="D15" s="855" t="str">
        <f>MOPFRA!Q16</f>
        <v>فولاد اميركبيركاشان</v>
      </c>
      <c r="E15" s="855" t="str">
        <f>MOPFRA!R16</f>
        <v>فجر</v>
      </c>
      <c r="F15" s="66">
        <f>MOPFRA!T16</f>
        <v>9960</v>
      </c>
      <c r="G15" s="126">
        <f>MOPFRA!W16</f>
        <v>4980</v>
      </c>
      <c r="H15" s="107">
        <f>MOPFRA!AV16</f>
        <v>0.87634797847292445</v>
      </c>
      <c r="I15" s="140">
        <f t="shared" si="2"/>
        <v>17</v>
      </c>
      <c r="J15" s="107">
        <f>MOPFRA!BC16</f>
        <v>10</v>
      </c>
      <c r="K15" s="140">
        <f t="shared" si="3"/>
        <v>1</v>
      </c>
      <c r="L15" s="107">
        <f>MOPFRA!BK16</f>
        <v>0</v>
      </c>
      <c r="M15" s="140">
        <f t="shared" si="4"/>
        <v>2</v>
      </c>
      <c r="N15" s="107">
        <f>MOPFRA!BM16</f>
        <v>-10</v>
      </c>
      <c r="O15" s="140">
        <f t="shared" si="5"/>
        <v>43</v>
      </c>
      <c r="P15" s="107">
        <f>MOPFRA!BX16</f>
        <v>10</v>
      </c>
      <c r="Q15" s="140">
        <f t="shared" si="6"/>
        <v>1</v>
      </c>
      <c r="R15" s="107">
        <f>MOPFRA!CE16</f>
        <v>0.96000000000000085</v>
      </c>
      <c r="S15" s="140">
        <f t="shared" si="7"/>
        <v>8</v>
      </c>
      <c r="T15" s="107">
        <f>MOPFRA!CG16</f>
        <v>4.4342572824140181</v>
      </c>
      <c r="U15" s="140">
        <f t="shared" si="8"/>
        <v>7</v>
      </c>
      <c r="V15" s="107">
        <f>MOPFRA!CI16</f>
        <v>0.28334810414855194</v>
      </c>
      <c r="W15" s="140">
        <f t="shared" si="9"/>
        <v>11</v>
      </c>
      <c r="X15" s="20"/>
      <c r="Y15" s="107">
        <f>MOPFRA!DB16</f>
        <v>5.0622264509990487</v>
      </c>
      <c r="Z15" s="140">
        <f t="shared" si="10"/>
        <v>14</v>
      </c>
      <c r="AA15" s="107">
        <f>MOPFRA!DO16</f>
        <v>0.35761403152807625</v>
      </c>
      <c r="AB15" s="140">
        <f t="shared" si="11"/>
        <v>19</v>
      </c>
      <c r="AC15" s="107">
        <f>MOPFRA!DS16</f>
        <v>0</v>
      </c>
      <c r="AD15" s="140">
        <f t="shared" si="12"/>
        <v>3</v>
      </c>
      <c r="AE15" s="100">
        <f t="shared" si="17"/>
        <v>21.973793847562622</v>
      </c>
      <c r="AF15" s="141">
        <f t="shared" si="18"/>
        <v>104.35761403152807</v>
      </c>
      <c r="AG15" s="140">
        <f t="shared" si="15"/>
        <v>3</v>
      </c>
    </row>
    <row r="16" spans="1:33" ht="35" customHeight="1">
      <c r="A16" s="142">
        <f t="shared" si="0"/>
        <v>9</v>
      </c>
      <c r="B16" s="100">
        <f t="shared" si="19"/>
        <v>18.611866641113266</v>
      </c>
      <c r="C16" s="936" t="str">
        <f>_xlfn.XLOOKUP($E16,MOPFRA!$R17:$R66,MOPFRA!O17:O66,"")</f>
        <v/>
      </c>
      <c r="D16" s="855" t="str">
        <f>MOPFRA!Q17</f>
        <v>پالايش نفت تهران</v>
      </c>
      <c r="E16" s="855" t="str">
        <f>MOPFRA!R17</f>
        <v>شتران</v>
      </c>
      <c r="F16" s="66">
        <f>MOPFRA!T17</f>
        <v>294277.5</v>
      </c>
      <c r="G16" s="126">
        <f>MOPFRA!W17</f>
        <v>4510</v>
      </c>
      <c r="H16" s="107">
        <f>MOPFRA!AV17</f>
        <v>-0.29128943445609734</v>
      </c>
      <c r="I16" s="140">
        <f t="shared" si="2"/>
        <v>33</v>
      </c>
      <c r="J16" s="107">
        <f>MOPFRA!BC17</f>
        <v>5.0000000000000018</v>
      </c>
      <c r="K16" s="140">
        <f t="shared" si="3"/>
        <v>22</v>
      </c>
      <c r="L16" s="107">
        <f>MOPFRA!BK17</f>
        <v>0</v>
      </c>
      <c r="M16" s="140">
        <f t="shared" si="4"/>
        <v>2</v>
      </c>
      <c r="N16" s="107">
        <f>MOPFRA!BM17</f>
        <v>-10</v>
      </c>
      <c r="O16" s="140">
        <f t="shared" si="5"/>
        <v>43</v>
      </c>
      <c r="P16" s="107">
        <f>MOPFRA!BX17</f>
        <v>8.569989269995089</v>
      </c>
      <c r="Q16" s="140">
        <f t="shared" si="6"/>
        <v>12</v>
      </c>
      <c r="R16" s="107">
        <f>MOPFRA!CE17</f>
        <v>4.17</v>
      </c>
      <c r="S16" s="140">
        <f t="shared" si="7"/>
        <v>2</v>
      </c>
      <c r="T16" s="107">
        <f>MOPFRA!CG17</f>
        <v>5.8255565923488435</v>
      </c>
      <c r="U16" s="140">
        <f t="shared" si="8"/>
        <v>4</v>
      </c>
      <c r="V16" s="107">
        <f>MOPFRA!CI17</f>
        <v>-1.7606893840687015</v>
      </c>
      <c r="W16" s="140">
        <f t="shared" si="9"/>
        <v>23</v>
      </c>
      <c r="X16" s="20"/>
      <c r="Y16" s="107">
        <f>MOPFRA!DB17</f>
        <v>6</v>
      </c>
      <c r="Z16" s="140">
        <f t="shared" si="10"/>
        <v>1</v>
      </c>
      <c r="AA16" s="107">
        <f>MOPFRA!DO17</f>
        <v>1.0982995972941312</v>
      </c>
      <c r="AB16" s="140">
        <f t="shared" si="11"/>
        <v>7</v>
      </c>
      <c r="AC16" s="107">
        <f>MOPFRA!DS17</f>
        <v>0</v>
      </c>
      <c r="AD16" s="140">
        <f t="shared" si="12"/>
        <v>3</v>
      </c>
      <c r="AE16" s="100">
        <f t="shared" si="17"/>
        <v>18.611866641113266</v>
      </c>
      <c r="AF16" s="141">
        <f t="shared" si="18"/>
        <v>143.09829959729413</v>
      </c>
      <c r="AG16" s="140">
        <f t="shared" si="15"/>
        <v>9</v>
      </c>
    </row>
    <row r="17" spans="1:33" ht="35" customHeight="1">
      <c r="A17" s="142">
        <f t="shared" si="0"/>
        <v>11</v>
      </c>
      <c r="B17" s="100">
        <f t="shared" si="19"/>
        <v>17.984453865135521</v>
      </c>
      <c r="C17" s="936" t="str">
        <f>_xlfn.XLOOKUP($E17,MOPFRA!$R18:$R67,MOPFRA!O18:O67,"")</f>
        <v/>
      </c>
      <c r="D17" s="855" t="str">
        <f>MOPFRA!Q18</f>
        <v>صنعت غذايي كورش</v>
      </c>
      <c r="E17" s="855" t="str">
        <f>MOPFRA!R18</f>
        <v>غكورش</v>
      </c>
      <c r="F17" s="66">
        <f>MOPFRA!T18</f>
        <v>84436</v>
      </c>
      <c r="G17" s="126">
        <f>MOPFRA!W18</f>
        <v>19190</v>
      </c>
      <c r="H17" s="107">
        <f>MOPFRA!AV18</f>
        <v>3.5885917394883271</v>
      </c>
      <c r="I17" s="140">
        <f t="shared" si="2"/>
        <v>7</v>
      </c>
      <c r="J17" s="107">
        <f>MOPFRA!BC18</f>
        <v>3.5999999999999992</v>
      </c>
      <c r="K17" s="140">
        <f t="shared" si="3"/>
        <v>30</v>
      </c>
      <c r="L17" s="107">
        <f>MOPFRA!BK18</f>
        <v>0</v>
      </c>
      <c r="M17" s="140">
        <f t="shared" si="4"/>
        <v>2</v>
      </c>
      <c r="N17" s="107">
        <f>MOPFRA!BM18</f>
        <v>10</v>
      </c>
      <c r="O17" s="140">
        <f t="shared" si="5"/>
        <v>1</v>
      </c>
      <c r="P17" s="107">
        <f>MOPFRA!BX18</f>
        <v>4.9675348081614024</v>
      </c>
      <c r="Q17" s="140">
        <f t="shared" si="6"/>
        <v>20</v>
      </c>
      <c r="R17" s="107">
        <f>MOPFRA!CE18</f>
        <v>-4.2000000000000011</v>
      </c>
      <c r="S17" s="140">
        <f t="shared" si="7"/>
        <v>28</v>
      </c>
      <c r="T17" s="107">
        <f>MOPFRA!CG18</f>
        <v>1.9028574368977864</v>
      </c>
      <c r="U17" s="140">
        <f t="shared" si="8"/>
        <v>18</v>
      </c>
      <c r="V17" s="107">
        <f>MOPFRA!CI18</f>
        <v>0.42837669129746986</v>
      </c>
      <c r="W17" s="140">
        <f t="shared" si="9"/>
        <v>9</v>
      </c>
      <c r="X17" s="20"/>
      <c r="Y17" s="107">
        <f>MOPFRA!DB18</f>
        <v>-0.1145674018833347</v>
      </c>
      <c r="Z17" s="140">
        <f t="shared" si="10"/>
        <v>33</v>
      </c>
      <c r="AA17" s="107">
        <f>MOPFRA!DO18</f>
        <v>-2.188339408826133</v>
      </c>
      <c r="AB17" s="140">
        <f t="shared" si="11"/>
        <v>49</v>
      </c>
      <c r="AC17" s="107">
        <f>MOPFRA!DS18</f>
        <v>0</v>
      </c>
      <c r="AD17" s="140">
        <f t="shared" si="12"/>
        <v>3</v>
      </c>
      <c r="AE17" s="100">
        <f t="shared" si="17"/>
        <v>17.984453865135521</v>
      </c>
      <c r="AF17" s="141">
        <f t="shared" si="18"/>
        <v>145.81166059117388</v>
      </c>
      <c r="AG17" s="140">
        <f t="shared" si="15"/>
        <v>11</v>
      </c>
    </row>
    <row r="18" spans="1:33" ht="35" customHeight="1">
      <c r="A18" s="142">
        <f t="shared" si="0"/>
        <v>16</v>
      </c>
      <c r="B18" s="100">
        <f t="shared" si="19"/>
        <v>15.917114604278469</v>
      </c>
      <c r="C18" s="936" t="str">
        <f>_xlfn.XLOOKUP($E18,MOPFRA!$R19:$R68,MOPFRA!O19:O68,"")</f>
        <v/>
      </c>
      <c r="D18" s="855" t="str">
        <f>MOPFRA!Q19</f>
        <v>فرآورده‌هاي‌نسوزآذر</v>
      </c>
      <c r="E18" s="855" t="str">
        <f>MOPFRA!R19</f>
        <v>كاذر</v>
      </c>
      <c r="F18" s="66">
        <f>MOPFRA!T19</f>
        <v>1456</v>
      </c>
      <c r="G18" s="126">
        <f>MOPFRA!W19</f>
        <v>3640</v>
      </c>
      <c r="H18" s="107">
        <f>MOPFRA!AV19</f>
        <v>4.5383118423140338</v>
      </c>
      <c r="I18" s="140">
        <f t="shared" si="2"/>
        <v>5</v>
      </c>
      <c r="J18" s="107">
        <f>MOPFRA!BC19</f>
        <v>7.5000000000000009</v>
      </c>
      <c r="K18" s="140">
        <f t="shared" si="3"/>
        <v>17</v>
      </c>
      <c r="L18" s="107">
        <f>MOPFRA!BK19</f>
        <v>0</v>
      </c>
      <c r="M18" s="140">
        <f t="shared" si="4"/>
        <v>2</v>
      </c>
      <c r="N18" s="107">
        <f>MOPFRA!BM19</f>
        <v>-4.4651387559608189</v>
      </c>
      <c r="O18" s="140">
        <f t="shared" si="5"/>
        <v>37</v>
      </c>
      <c r="P18" s="107">
        <f>MOPFRA!BX19</f>
        <v>6.2299037375513366</v>
      </c>
      <c r="Q18" s="140">
        <f t="shared" si="6"/>
        <v>18</v>
      </c>
      <c r="R18" s="107">
        <f>MOPFRA!CE19</f>
        <v>-2.8500000000000005</v>
      </c>
      <c r="S18" s="140">
        <f t="shared" si="7"/>
        <v>22</v>
      </c>
      <c r="T18" s="107">
        <f>MOPFRA!CG19</f>
        <v>1.6779840610543788</v>
      </c>
      <c r="U18" s="140">
        <f t="shared" si="8"/>
        <v>20</v>
      </c>
      <c r="V18" s="107">
        <f>MOPFRA!CI19</f>
        <v>-2.5575357892727628</v>
      </c>
      <c r="W18" s="140">
        <f t="shared" si="9"/>
        <v>33</v>
      </c>
      <c r="X18" s="20"/>
      <c r="Y18" s="107">
        <f>MOPFRA!DB19</f>
        <v>5.8635108481262339</v>
      </c>
      <c r="Z18" s="140">
        <f t="shared" si="10"/>
        <v>11</v>
      </c>
      <c r="AA18" s="107">
        <f>MOPFRA!DO19</f>
        <v>-1.9921339533930382E-2</v>
      </c>
      <c r="AB18" s="140">
        <f t="shared" si="11"/>
        <v>32</v>
      </c>
      <c r="AC18" s="107">
        <f>MOPFRA!DS19</f>
        <v>0</v>
      </c>
      <c r="AD18" s="140">
        <f t="shared" si="12"/>
        <v>3</v>
      </c>
      <c r="AE18" s="100">
        <f t="shared" si="17"/>
        <v>15.917114604278469</v>
      </c>
      <c r="AF18" s="141">
        <f t="shared" si="18"/>
        <v>164.98007866046606</v>
      </c>
      <c r="AG18" s="140">
        <f t="shared" si="15"/>
        <v>16</v>
      </c>
    </row>
    <row r="19" spans="1:33" ht="35" customHeight="1">
      <c r="A19" s="142">
        <f t="shared" si="0"/>
        <v>13</v>
      </c>
      <c r="B19" s="100">
        <f t="shared" si="19"/>
        <v>16.038839843918019</v>
      </c>
      <c r="C19" s="936" t="str">
        <f>_xlfn.XLOOKUP($E19,MOPFRA!$R20:$R69,MOPFRA!O20:O69,"")</f>
        <v/>
      </c>
      <c r="D19" s="855" t="str">
        <f>MOPFRA!Q20</f>
        <v>ايران‌ياساتايرورابر</v>
      </c>
      <c r="E19" s="855" t="str">
        <f>MOPFRA!R20</f>
        <v>پاسا</v>
      </c>
      <c r="F19" s="66">
        <f>MOPFRA!T20</f>
        <v>3526</v>
      </c>
      <c r="G19" s="126">
        <f>MOPFRA!W20</f>
        <v>8200</v>
      </c>
      <c r="H19" s="107">
        <f>MOPFRA!AV20</f>
        <v>0.60819603724610816</v>
      </c>
      <c r="I19" s="140">
        <f t="shared" si="2"/>
        <v>18</v>
      </c>
      <c r="J19" s="107">
        <f>MOPFRA!BC20</f>
        <v>10</v>
      </c>
      <c r="K19" s="140">
        <f t="shared" si="3"/>
        <v>1</v>
      </c>
      <c r="L19" s="107">
        <f>MOPFRA!BK20</f>
        <v>0</v>
      </c>
      <c r="M19" s="140">
        <f t="shared" si="4"/>
        <v>2</v>
      </c>
      <c r="N19" s="107">
        <f>MOPFRA!BM20</f>
        <v>-6.5153335724638701</v>
      </c>
      <c r="O19" s="140">
        <f t="shared" si="5"/>
        <v>39</v>
      </c>
      <c r="P19" s="107">
        <f>MOPFRA!BX20</f>
        <v>10</v>
      </c>
      <c r="Q19" s="140">
        <f t="shared" si="6"/>
        <v>1</v>
      </c>
      <c r="R19" s="107">
        <f>MOPFRA!CE20</f>
        <v>3.0299999999999994</v>
      </c>
      <c r="S19" s="140">
        <f t="shared" si="7"/>
        <v>6</v>
      </c>
      <c r="T19" s="107">
        <f>MOPFRA!CG20</f>
        <v>0.49426812608351689</v>
      </c>
      <c r="U19" s="140">
        <f t="shared" si="8"/>
        <v>31</v>
      </c>
      <c r="V19" s="107">
        <f>MOPFRA!CI20</f>
        <v>-5.2138347483364489E-2</v>
      </c>
      <c r="W19" s="140">
        <f t="shared" si="9"/>
        <v>14</v>
      </c>
      <c r="X19" s="20"/>
      <c r="Y19" s="107">
        <f>MOPFRA!DB20</f>
        <v>-0.80318725099601629</v>
      </c>
      <c r="Z19" s="140">
        <f t="shared" si="10"/>
        <v>40</v>
      </c>
      <c r="AA19" s="107">
        <f>MOPFRA!DO20</f>
        <v>-0.72296514846835302</v>
      </c>
      <c r="AB19" s="140">
        <f t="shared" si="11"/>
        <v>38</v>
      </c>
      <c r="AC19" s="107">
        <f>MOPFRA!DS20</f>
        <v>0</v>
      </c>
      <c r="AD19" s="140">
        <f t="shared" si="12"/>
        <v>3</v>
      </c>
      <c r="AE19" s="100">
        <f t="shared" si="17"/>
        <v>16.038839843918019</v>
      </c>
      <c r="AF19" s="141">
        <f t="shared" si="18"/>
        <v>151.27703485153165</v>
      </c>
      <c r="AG19" s="140">
        <f t="shared" si="15"/>
        <v>13</v>
      </c>
    </row>
    <row r="20" spans="1:33" ht="35" customHeight="1">
      <c r="A20" s="142">
        <f t="shared" si="0"/>
        <v>12</v>
      </c>
      <c r="B20" s="100">
        <f t="shared" si="19"/>
        <v>16.387529442051104</v>
      </c>
      <c r="C20" s="936" t="str">
        <f>_xlfn.XLOOKUP($E20,MOPFRA!$R21:$R70,MOPFRA!O21:O70,"")</f>
        <v/>
      </c>
      <c r="D20" s="855" t="str">
        <f>MOPFRA!Q21</f>
        <v>پالايش نفت اصفهان</v>
      </c>
      <c r="E20" s="855" t="str">
        <f>MOPFRA!R21</f>
        <v>شپنا</v>
      </c>
      <c r="F20" s="66">
        <f>MOPFRA!T21</f>
        <v>705011.24080000003</v>
      </c>
      <c r="G20" s="126">
        <f>MOPFRA!W21</f>
        <v>11240</v>
      </c>
      <c r="H20" s="107">
        <f>MOPFRA!AV21</f>
        <v>0.40888657537798023</v>
      </c>
      <c r="I20" s="140">
        <f t="shared" si="2"/>
        <v>20</v>
      </c>
      <c r="J20" s="107">
        <f>MOPFRA!BC21</f>
        <v>1.7000000000000002</v>
      </c>
      <c r="K20" s="140">
        <f t="shared" si="3"/>
        <v>34</v>
      </c>
      <c r="L20" s="107">
        <f>MOPFRA!BK21</f>
        <v>0</v>
      </c>
      <c r="M20" s="140">
        <f t="shared" si="4"/>
        <v>2</v>
      </c>
      <c r="N20" s="107">
        <f>MOPFRA!BM21</f>
        <v>10</v>
      </c>
      <c r="O20" s="140">
        <f t="shared" si="5"/>
        <v>1</v>
      </c>
      <c r="P20" s="107">
        <f>MOPFRA!BX21</f>
        <v>3.818470290945406</v>
      </c>
      <c r="Q20" s="140">
        <f t="shared" si="6"/>
        <v>23</v>
      </c>
      <c r="R20" s="107">
        <f>MOPFRA!CE21</f>
        <v>-3.5700000000000012</v>
      </c>
      <c r="S20" s="140">
        <f t="shared" si="7"/>
        <v>25</v>
      </c>
      <c r="T20" s="107">
        <f>MOPFRA!CG21</f>
        <v>4.0903305165412362</v>
      </c>
      <c r="U20" s="140">
        <f t="shared" si="8"/>
        <v>8</v>
      </c>
      <c r="V20" s="107">
        <f>MOPFRA!CI21</f>
        <v>1.2999237740258907</v>
      </c>
      <c r="W20" s="140">
        <f t="shared" si="9"/>
        <v>5</v>
      </c>
      <c r="X20" s="20"/>
      <c r="Y20" s="107">
        <f>MOPFRA!DB21</f>
        <v>0.51318023735014862</v>
      </c>
      <c r="Z20" s="140">
        <f t="shared" si="10"/>
        <v>30</v>
      </c>
      <c r="AA20" s="107">
        <f>MOPFRA!DO21</f>
        <v>-1.8732619521895588</v>
      </c>
      <c r="AB20" s="140">
        <f t="shared" si="11"/>
        <v>48</v>
      </c>
      <c r="AC20" s="107">
        <f>MOPFRA!DS21</f>
        <v>0</v>
      </c>
      <c r="AD20" s="140">
        <f t="shared" si="12"/>
        <v>3</v>
      </c>
      <c r="AE20" s="100">
        <f t="shared" si="17"/>
        <v>16.387529442051104</v>
      </c>
      <c r="AF20" s="141">
        <f t="shared" si="18"/>
        <v>146.12673804781045</v>
      </c>
      <c r="AG20" s="140">
        <f t="shared" si="15"/>
        <v>12</v>
      </c>
    </row>
    <row r="21" spans="1:33" ht="35" customHeight="1">
      <c r="A21" s="142">
        <f t="shared" si="0"/>
        <v>15</v>
      </c>
      <c r="B21" s="100">
        <f t="shared" si="19"/>
        <v>13.754050345773464</v>
      </c>
      <c r="C21" s="936" t="str">
        <f>_xlfn.XLOOKUP($E21,MOPFRA!$R22:$R71,MOPFRA!O22:O71,"")</f>
        <v/>
      </c>
      <c r="D21" s="855" t="str">
        <f>MOPFRA!Q22</f>
        <v>پتروشيمي‌شيراز</v>
      </c>
      <c r="E21" s="855" t="str">
        <f>MOPFRA!R22</f>
        <v>شيراز</v>
      </c>
      <c r="F21" s="66">
        <f>MOPFRA!T22</f>
        <v>98960.4</v>
      </c>
      <c r="G21" s="126">
        <f>MOPFRA!W22</f>
        <v>64680</v>
      </c>
      <c r="H21" s="107">
        <f>MOPFRA!AV22</f>
        <v>5.436475637953853</v>
      </c>
      <c r="I21" s="140">
        <f t="shared" si="2"/>
        <v>4</v>
      </c>
      <c r="J21" s="107">
        <f>MOPFRA!BC22</f>
        <v>10</v>
      </c>
      <c r="K21" s="140">
        <f t="shared" si="3"/>
        <v>1</v>
      </c>
      <c r="L21" s="107">
        <f>MOPFRA!BK22</f>
        <v>0</v>
      </c>
      <c r="M21" s="140">
        <f t="shared" si="4"/>
        <v>2</v>
      </c>
      <c r="N21" s="107">
        <f>MOPFRA!BM22</f>
        <v>10</v>
      </c>
      <c r="O21" s="140">
        <f t="shared" si="5"/>
        <v>1</v>
      </c>
      <c r="P21" s="107">
        <f>MOPFRA!BX22</f>
        <v>-2.6962521762360758</v>
      </c>
      <c r="Q21" s="140">
        <f t="shared" si="6"/>
        <v>35</v>
      </c>
      <c r="R21" s="107">
        <f>MOPFRA!CE22</f>
        <v>-5.0399999999999991</v>
      </c>
      <c r="S21" s="140">
        <f t="shared" si="7"/>
        <v>31</v>
      </c>
      <c r="T21" s="107">
        <f>MOPFRA!CG22</f>
        <v>-1.1513689532321791</v>
      </c>
      <c r="U21" s="140">
        <f t="shared" si="8"/>
        <v>32</v>
      </c>
      <c r="V21" s="107">
        <f>MOPFRA!CI22</f>
        <v>-1.4286858334781458</v>
      </c>
      <c r="W21" s="140">
        <f t="shared" si="9"/>
        <v>19</v>
      </c>
      <c r="X21" s="20"/>
      <c r="Y21" s="107">
        <f>MOPFRA!DB22</f>
        <v>-0.24099137407362292</v>
      </c>
      <c r="Z21" s="140">
        <f t="shared" si="10"/>
        <v>36</v>
      </c>
      <c r="AA21" s="107">
        <f>MOPFRA!DO22</f>
        <v>-1.1251269551603693</v>
      </c>
      <c r="AB21" s="140">
        <f t="shared" si="11"/>
        <v>43</v>
      </c>
      <c r="AC21" s="107">
        <f>MOPFRA!DS22</f>
        <v>0</v>
      </c>
      <c r="AD21" s="140">
        <f t="shared" si="12"/>
        <v>3</v>
      </c>
      <c r="AE21" s="100">
        <f t="shared" si="17"/>
        <v>13.754050345773464</v>
      </c>
      <c r="AF21" s="141">
        <f t="shared" si="18"/>
        <v>159.87487304483963</v>
      </c>
      <c r="AG21" s="140">
        <f t="shared" si="15"/>
        <v>15</v>
      </c>
    </row>
    <row r="22" spans="1:33" ht="35" customHeight="1">
      <c r="A22" s="142">
        <f t="shared" si="0"/>
        <v>19</v>
      </c>
      <c r="B22" s="100">
        <f t="shared" si="19"/>
        <v>12.65688189714186</v>
      </c>
      <c r="C22" s="936" t="str">
        <f>_xlfn.XLOOKUP($E22,MOPFRA!$R23:$R72,MOPFRA!O23:O72,"")</f>
        <v/>
      </c>
      <c r="D22" s="855" t="str">
        <f>MOPFRA!Q23</f>
        <v>شركت صنايع غذايي مينو شرق</v>
      </c>
      <c r="E22" s="855" t="str">
        <f>MOPFRA!R23</f>
        <v>غمينو</v>
      </c>
      <c r="F22" s="66">
        <f>MOPFRA!T23</f>
        <v>5887</v>
      </c>
      <c r="G22" s="126">
        <f>MOPFRA!W23</f>
        <v>8410</v>
      </c>
      <c r="H22" s="107">
        <f>MOPFRA!AV23</f>
        <v>-4.4299667713239046</v>
      </c>
      <c r="I22" s="140">
        <f t="shared" si="2"/>
        <v>44</v>
      </c>
      <c r="J22" s="107">
        <f>MOPFRA!BC23</f>
        <v>4.0999999999999979</v>
      </c>
      <c r="K22" s="140">
        <f t="shared" si="3"/>
        <v>26</v>
      </c>
      <c r="L22" s="107">
        <f>MOPFRA!BK23</f>
        <v>0</v>
      </c>
      <c r="M22" s="140">
        <f t="shared" si="4"/>
        <v>2</v>
      </c>
      <c r="N22" s="107">
        <f>MOPFRA!BM23</f>
        <v>-3.5713174660483826</v>
      </c>
      <c r="O22" s="140">
        <f t="shared" si="5"/>
        <v>36</v>
      </c>
      <c r="P22" s="107">
        <f>MOPFRA!BX23</f>
        <v>6.8951918366988991</v>
      </c>
      <c r="Q22" s="140">
        <f t="shared" si="6"/>
        <v>16</v>
      </c>
      <c r="R22" s="107">
        <f>MOPFRA!CE23</f>
        <v>-5.3999999999999995</v>
      </c>
      <c r="S22" s="140">
        <f t="shared" si="7"/>
        <v>33</v>
      </c>
      <c r="T22" s="107">
        <f>MOPFRA!CG23</f>
        <v>6.1031007856082695</v>
      </c>
      <c r="U22" s="140">
        <f t="shared" si="8"/>
        <v>2</v>
      </c>
      <c r="V22" s="107">
        <f>MOPFRA!CI23</f>
        <v>0.80445538355474133</v>
      </c>
      <c r="W22" s="140">
        <f t="shared" si="9"/>
        <v>7</v>
      </c>
      <c r="X22" s="20"/>
      <c r="Y22" s="107">
        <f>MOPFRA!DB23</f>
        <v>6</v>
      </c>
      <c r="Z22" s="140">
        <f t="shared" si="10"/>
        <v>1</v>
      </c>
      <c r="AA22" s="107">
        <f>MOPFRA!DO23</f>
        <v>2.1554181286522378</v>
      </c>
      <c r="AB22" s="140">
        <f t="shared" si="11"/>
        <v>1</v>
      </c>
      <c r="AC22" s="107">
        <f>MOPFRA!DS23</f>
        <v>0</v>
      </c>
      <c r="AD22" s="140">
        <f t="shared" si="12"/>
        <v>3</v>
      </c>
      <c r="AE22" s="100">
        <f t="shared" si="17"/>
        <v>12.65688189714186</v>
      </c>
      <c r="AF22" s="141">
        <f t="shared" si="18"/>
        <v>169.15541812865223</v>
      </c>
      <c r="AG22" s="140">
        <f t="shared" si="15"/>
        <v>19</v>
      </c>
    </row>
    <row r="23" spans="1:33" ht="35" customHeight="1">
      <c r="A23" s="142">
        <f t="shared" si="0"/>
        <v>10</v>
      </c>
      <c r="B23" s="100">
        <f t="shared" si="19"/>
        <v>13.443311016965691</v>
      </c>
      <c r="C23" s="936" t="str">
        <f>_xlfn.XLOOKUP($E23,MOPFRA!$R24:$R73,MOPFRA!O24:O73,"")</f>
        <v/>
      </c>
      <c r="D23" s="855" t="str">
        <f>MOPFRA!Q24</f>
        <v>پالايش نفت بندرعباس</v>
      </c>
      <c r="E23" s="855" t="str">
        <f>MOPFRA!R24</f>
        <v>شبندر</v>
      </c>
      <c r="F23" s="66">
        <f>MOPFRA!T24</f>
        <v>521613.40490000002</v>
      </c>
      <c r="G23" s="126">
        <f>MOPFRA!W24</f>
        <v>12730</v>
      </c>
      <c r="H23" s="107">
        <f>MOPFRA!AV24</f>
        <v>-0.11759714092188289</v>
      </c>
      <c r="I23" s="140">
        <f t="shared" si="2"/>
        <v>31</v>
      </c>
      <c r="J23" s="107">
        <f>MOPFRA!BC24</f>
        <v>1.9000000000000004</v>
      </c>
      <c r="K23" s="140">
        <f t="shared" si="3"/>
        <v>33</v>
      </c>
      <c r="L23" s="107">
        <f>MOPFRA!BK24</f>
        <v>0</v>
      </c>
      <c r="M23" s="140">
        <f t="shared" si="4"/>
        <v>2</v>
      </c>
      <c r="N23" s="107">
        <f>MOPFRA!BM24</f>
        <v>-10</v>
      </c>
      <c r="O23" s="140">
        <f t="shared" si="5"/>
        <v>43</v>
      </c>
      <c r="P23" s="107">
        <f>MOPFRA!BX24</f>
        <v>8.0048701637803159</v>
      </c>
      <c r="Q23" s="140">
        <f t="shared" si="6"/>
        <v>14</v>
      </c>
      <c r="R23" s="107">
        <f>MOPFRA!CE24</f>
        <v>5.9999999999998721E-2</v>
      </c>
      <c r="S23" s="140">
        <f t="shared" si="7"/>
        <v>10</v>
      </c>
      <c r="T23" s="107">
        <f>MOPFRA!CG24</f>
        <v>6.4928418048178198</v>
      </c>
      <c r="U23" s="140">
        <f t="shared" si="8"/>
        <v>1</v>
      </c>
      <c r="V23" s="107">
        <f>MOPFRA!CI24</f>
        <v>0.32823383439400999</v>
      </c>
      <c r="W23" s="140">
        <f t="shared" si="9"/>
        <v>10</v>
      </c>
      <c r="X23" s="20"/>
      <c r="Y23" s="107">
        <f>MOPFRA!DB24</f>
        <v>6</v>
      </c>
      <c r="Z23" s="140">
        <f t="shared" si="10"/>
        <v>1</v>
      </c>
      <c r="AA23" s="107">
        <f>MOPFRA!DO24</f>
        <v>0.7749623548954282</v>
      </c>
      <c r="AB23" s="140">
        <f t="shared" si="11"/>
        <v>15</v>
      </c>
      <c r="AC23" s="107">
        <f>MOPFRA!DS24</f>
        <v>0</v>
      </c>
      <c r="AD23" s="140">
        <f t="shared" si="12"/>
        <v>3</v>
      </c>
      <c r="AE23" s="100">
        <f t="shared" si="17"/>
        <v>13.443311016965691</v>
      </c>
      <c r="AF23" s="141">
        <f t="shared" si="18"/>
        <v>145.77496235489542</v>
      </c>
      <c r="AG23" s="140">
        <f t="shared" si="15"/>
        <v>10</v>
      </c>
    </row>
    <row r="24" spans="1:33" ht="35" customHeight="1">
      <c r="A24" s="142">
        <f t="shared" si="0"/>
        <v>34</v>
      </c>
      <c r="B24" s="100">
        <f t="shared" si="19"/>
        <v>11.948830102828419</v>
      </c>
      <c r="C24" s="936" t="str">
        <f>_xlfn.XLOOKUP($E24,MOPFRA!$R25:$R74,MOPFRA!O25:O74,"")</f>
        <v/>
      </c>
      <c r="D24" s="855" t="str">
        <f>MOPFRA!Q25</f>
        <v>نفت ايرانول</v>
      </c>
      <c r="E24" s="855" t="str">
        <f>MOPFRA!R25</f>
        <v>شرانل</v>
      </c>
      <c r="F24" s="66">
        <f>MOPFRA!T25</f>
        <v>52044</v>
      </c>
      <c r="G24" s="126">
        <f>MOPFRA!W25</f>
        <v>86740</v>
      </c>
      <c r="H24" s="107">
        <f>MOPFRA!AV25</f>
        <v>-1.8957495643108135</v>
      </c>
      <c r="I24" s="140">
        <f t="shared" si="2"/>
        <v>40</v>
      </c>
      <c r="J24" s="107">
        <f>MOPFRA!BC25</f>
        <v>8.7000000000000011</v>
      </c>
      <c r="K24" s="140">
        <f t="shared" si="3"/>
        <v>13</v>
      </c>
      <c r="L24" s="107">
        <f>MOPFRA!BK25</f>
        <v>0</v>
      </c>
      <c r="M24" s="140">
        <f t="shared" si="4"/>
        <v>2</v>
      </c>
      <c r="N24" s="107">
        <f>MOPFRA!BM25</f>
        <v>9.2690281113012514</v>
      </c>
      <c r="O24" s="140">
        <f t="shared" si="5"/>
        <v>21</v>
      </c>
      <c r="P24" s="107">
        <f>MOPFRA!BX25</f>
        <v>-1.6177028416050776</v>
      </c>
      <c r="Q24" s="140">
        <f t="shared" si="6"/>
        <v>34</v>
      </c>
      <c r="R24" s="107">
        <f>MOPFRA!CE25</f>
        <v>-4.7999999999999989</v>
      </c>
      <c r="S24" s="140">
        <f t="shared" si="7"/>
        <v>30</v>
      </c>
      <c r="T24" s="107">
        <f>MOPFRA!CG25</f>
        <v>1.6339276225880655</v>
      </c>
      <c r="U24" s="140">
        <f t="shared" si="8"/>
        <v>21</v>
      </c>
      <c r="V24" s="107">
        <f>MOPFRA!CI25</f>
        <v>1.1652011920449556</v>
      </c>
      <c r="W24" s="140">
        <f t="shared" si="9"/>
        <v>6</v>
      </c>
      <c r="X24" s="20"/>
      <c r="Y24" s="107">
        <f>MOPFRA!DB25</f>
        <v>-0.51316526610644253</v>
      </c>
      <c r="Z24" s="140">
        <f t="shared" si="10"/>
        <v>38</v>
      </c>
      <c r="AA24" s="107">
        <f>MOPFRA!DO25</f>
        <v>-0.99270915108352287</v>
      </c>
      <c r="AB24" s="140">
        <f t="shared" si="11"/>
        <v>41</v>
      </c>
      <c r="AC24" s="107">
        <f>MOPFRA!DS25</f>
        <v>1</v>
      </c>
      <c r="AD24" s="140">
        <f t="shared" si="12"/>
        <v>2</v>
      </c>
      <c r="AE24" s="100">
        <f t="shared" si="17"/>
        <v>11.948830102828419</v>
      </c>
      <c r="AF24" s="141">
        <f t="shared" si="18"/>
        <v>205.00729084891648</v>
      </c>
      <c r="AG24" s="140">
        <f t="shared" si="15"/>
        <v>34</v>
      </c>
    </row>
    <row r="25" spans="1:33" ht="35" customHeight="1">
      <c r="A25" s="142">
        <f t="shared" si="0"/>
        <v>18</v>
      </c>
      <c r="B25" s="100">
        <f t="shared" si="19"/>
        <v>11.736609338117248</v>
      </c>
      <c r="C25" s="936" t="str">
        <f>_xlfn.XLOOKUP($E25,MOPFRA!$R26:$R75,MOPFRA!O26:O75,"")</f>
        <v/>
      </c>
      <c r="D25" s="855" t="str">
        <f>MOPFRA!Q26</f>
        <v>داروسازي كاسپين تامين</v>
      </c>
      <c r="E25" s="855" t="str">
        <f>MOPFRA!R26</f>
        <v>كاسپين</v>
      </c>
      <c r="F25" s="66">
        <f>MOPFRA!T26</f>
        <v>24606.06</v>
      </c>
      <c r="G25" s="126">
        <f>MOPFRA!W26</f>
        <v>30990</v>
      </c>
      <c r="H25" s="107">
        <f>MOPFRA!AV26</f>
        <v>-2.5076790884903799</v>
      </c>
      <c r="I25" s="140">
        <f t="shared" si="2"/>
        <v>41</v>
      </c>
      <c r="J25" s="107">
        <f>MOPFRA!BC26</f>
        <v>6.3</v>
      </c>
      <c r="K25" s="140">
        <f t="shared" si="3"/>
        <v>20</v>
      </c>
      <c r="L25" s="107">
        <f>MOPFRA!BK26</f>
        <v>0</v>
      </c>
      <c r="M25" s="140">
        <f t="shared" si="4"/>
        <v>2</v>
      </c>
      <c r="N25" s="107">
        <f>MOPFRA!BM26</f>
        <v>10</v>
      </c>
      <c r="O25" s="140">
        <f t="shared" si="5"/>
        <v>1</v>
      </c>
      <c r="P25" s="107">
        <f>MOPFRA!BX26</f>
        <v>1.2407335251797846</v>
      </c>
      <c r="Q25" s="140">
        <f t="shared" si="6"/>
        <v>29</v>
      </c>
      <c r="R25" s="107">
        <f>MOPFRA!CE26</f>
        <v>-9.27</v>
      </c>
      <c r="S25" s="140">
        <f t="shared" si="7"/>
        <v>40</v>
      </c>
      <c r="T25" s="107">
        <f>MOPFRA!CG26</f>
        <v>3.8263511748421779</v>
      </c>
      <c r="U25" s="140">
        <f t="shared" si="8"/>
        <v>12</v>
      </c>
      <c r="V25" s="107">
        <f>MOPFRA!CI26</f>
        <v>1.4836729822391768</v>
      </c>
      <c r="W25" s="140">
        <f t="shared" si="9"/>
        <v>3</v>
      </c>
      <c r="X25" s="20"/>
      <c r="Y25" s="107">
        <f>MOPFRA!DB26</f>
        <v>2.2719936394355003</v>
      </c>
      <c r="Z25" s="140">
        <f t="shared" si="10"/>
        <v>21</v>
      </c>
      <c r="AA25" s="107">
        <f>MOPFRA!DO26</f>
        <v>-0.60846289508901141</v>
      </c>
      <c r="AB25" s="140">
        <f t="shared" si="11"/>
        <v>37</v>
      </c>
      <c r="AC25" s="107">
        <f>MOPFRA!DS26</f>
        <v>-1</v>
      </c>
      <c r="AD25" s="140">
        <f t="shared" si="12"/>
        <v>25</v>
      </c>
      <c r="AE25" s="100">
        <f t="shared" si="17"/>
        <v>11.736609338117248</v>
      </c>
      <c r="AF25" s="141">
        <f t="shared" si="18"/>
        <v>167.39153710491098</v>
      </c>
      <c r="AG25" s="140">
        <f t="shared" si="15"/>
        <v>18</v>
      </c>
    </row>
    <row r="26" spans="1:33" ht="35" customHeight="1">
      <c r="A26" s="142">
        <f t="shared" si="0"/>
        <v>25</v>
      </c>
      <c r="B26" s="100">
        <f t="shared" si="19"/>
        <v>10.895140384574557</v>
      </c>
      <c r="C26" s="936" t="str">
        <f>_xlfn.XLOOKUP($E26,MOPFRA!$R27:$R76,MOPFRA!O27:O76,"")</f>
        <v/>
      </c>
      <c r="D26" s="855" t="str">
        <f>MOPFRA!Q27</f>
        <v>ايران‌ تاير</v>
      </c>
      <c r="E26" s="855" t="str">
        <f>MOPFRA!R27</f>
        <v>پتاير</v>
      </c>
      <c r="F26" s="66">
        <f>MOPFRA!T27</f>
        <v>3923.56</v>
      </c>
      <c r="G26" s="126">
        <f>MOPFRA!W27</f>
        <v>2087</v>
      </c>
      <c r="H26" s="107">
        <f>MOPFRA!AV27</f>
        <v>2.3671009225665274</v>
      </c>
      <c r="I26" s="140">
        <f t="shared" si="2"/>
        <v>12</v>
      </c>
      <c r="J26" s="107">
        <f>MOPFRA!BC27</f>
        <v>8.3000000000000025</v>
      </c>
      <c r="K26" s="140">
        <f t="shared" si="3"/>
        <v>15</v>
      </c>
      <c r="L26" s="107">
        <f>MOPFRA!BK27</f>
        <v>0</v>
      </c>
      <c r="M26" s="140">
        <f t="shared" si="4"/>
        <v>2</v>
      </c>
      <c r="N26" s="107">
        <f>MOPFRA!BM27</f>
        <v>3.0670109186623931</v>
      </c>
      <c r="O26" s="140">
        <f t="shared" si="5"/>
        <v>32</v>
      </c>
      <c r="P26" s="107">
        <f>MOPFRA!BX27</f>
        <v>10</v>
      </c>
      <c r="Q26" s="140">
        <f t="shared" si="6"/>
        <v>1</v>
      </c>
      <c r="R26" s="107">
        <f>MOPFRA!CE27</f>
        <v>-0.96000000000000085</v>
      </c>
      <c r="S26" s="140">
        <f t="shared" si="7"/>
        <v>15</v>
      </c>
      <c r="T26" s="107">
        <f>MOPFRA!CG27</f>
        <v>-3.8286444530259871</v>
      </c>
      <c r="U26" s="140">
        <f t="shared" si="8"/>
        <v>39</v>
      </c>
      <c r="V26" s="107">
        <f>MOPFRA!CI27</f>
        <v>-3.1851287104595305</v>
      </c>
      <c r="W26" s="140">
        <f t="shared" si="9"/>
        <v>37</v>
      </c>
      <c r="X26" s="20"/>
      <c r="Y26" s="107">
        <f>MOPFRA!DB27</f>
        <v>-0.47693710118504917</v>
      </c>
      <c r="Z26" s="140">
        <f t="shared" si="10"/>
        <v>37</v>
      </c>
      <c r="AA26" s="107">
        <f>MOPFRA!DO27</f>
        <v>1.611738808016201</v>
      </c>
      <c r="AB26" s="140">
        <f t="shared" si="11"/>
        <v>4</v>
      </c>
      <c r="AC26" s="107">
        <f>MOPFRA!DS27</f>
        <v>-6</v>
      </c>
      <c r="AD26" s="140">
        <f t="shared" si="12"/>
        <v>47</v>
      </c>
      <c r="AE26" s="100">
        <f t="shared" si="17"/>
        <v>10.895140384574557</v>
      </c>
      <c r="AF26" s="141">
        <f t="shared" si="18"/>
        <v>185.61173880801621</v>
      </c>
      <c r="AG26" s="140">
        <f t="shared" si="15"/>
        <v>25</v>
      </c>
    </row>
    <row r="27" spans="1:33" ht="35" customHeight="1">
      <c r="A27" s="142">
        <f t="shared" si="0"/>
        <v>20</v>
      </c>
      <c r="B27" s="100">
        <f t="shared" si="19"/>
        <v>11.047850751719084</v>
      </c>
      <c r="C27" s="936" t="str">
        <f>_xlfn.XLOOKUP($E27,MOPFRA!$R28:$R77,MOPFRA!O28:O77,"")</f>
        <v/>
      </c>
      <c r="D27" s="855" t="str">
        <f>MOPFRA!Q28</f>
        <v>داروسازي‌ فارابي‌</v>
      </c>
      <c r="E27" s="855" t="str">
        <f>MOPFRA!R28</f>
        <v>دفارا</v>
      </c>
      <c r="F27" s="66">
        <f>MOPFRA!T28</f>
        <v>11774.474</v>
      </c>
      <c r="G27" s="126">
        <f>MOPFRA!W28</f>
        <v>12790</v>
      </c>
      <c r="H27" s="107">
        <f>MOPFRA!AV28</f>
        <v>1.812137651237089</v>
      </c>
      <c r="I27" s="140">
        <f t="shared" si="2"/>
        <v>14</v>
      </c>
      <c r="J27" s="107">
        <f>MOPFRA!BC28</f>
        <v>8.2999999999999989</v>
      </c>
      <c r="K27" s="140">
        <f t="shared" si="3"/>
        <v>16</v>
      </c>
      <c r="L27" s="107">
        <f>MOPFRA!BK28</f>
        <v>0</v>
      </c>
      <c r="M27" s="140">
        <f t="shared" si="4"/>
        <v>2</v>
      </c>
      <c r="N27" s="107">
        <f>MOPFRA!BM28</f>
        <v>10</v>
      </c>
      <c r="O27" s="140">
        <f t="shared" si="5"/>
        <v>1</v>
      </c>
      <c r="P27" s="107">
        <f>MOPFRA!BX28</f>
        <v>-3.929109930939787</v>
      </c>
      <c r="Q27" s="140">
        <f t="shared" si="6"/>
        <v>37</v>
      </c>
      <c r="R27" s="107">
        <f>MOPFRA!CE28</f>
        <v>-4.62</v>
      </c>
      <c r="S27" s="140">
        <f t="shared" si="7"/>
        <v>29</v>
      </c>
      <c r="T27" s="107">
        <f>MOPFRA!CG28</f>
        <v>0.83557935933100502</v>
      </c>
      <c r="U27" s="140">
        <f t="shared" si="8"/>
        <v>28</v>
      </c>
      <c r="V27" s="107">
        <f>MOPFRA!CI28</f>
        <v>-1.689048744724249</v>
      </c>
      <c r="W27" s="140">
        <f t="shared" si="9"/>
        <v>22</v>
      </c>
      <c r="X27" s="20"/>
      <c r="Y27" s="107">
        <f>MOPFRA!DB28</f>
        <v>1.8275940706955538</v>
      </c>
      <c r="Z27" s="140">
        <f t="shared" si="10"/>
        <v>23</v>
      </c>
      <c r="AA27" s="107">
        <f>MOPFRA!DO28</f>
        <v>-0.48930165388052616</v>
      </c>
      <c r="AB27" s="140">
        <f t="shared" si="11"/>
        <v>36</v>
      </c>
      <c r="AC27" s="107">
        <f>MOPFRA!DS28</f>
        <v>-1</v>
      </c>
      <c r="AD27" s="140">
        <f t="shared" si="12"/>
        <v>25</v>
      </c>
      <c r="AE27" s="100">
        <f t="shared" si="17"/>
        <v>11.047850751719084</v>
      </c>
      <c r="AF27" s="141">
        <f t="shared" si="18"/>
        <v>170.51069834611948</v>
      </c>
      <c r="AG27" s="140">
        <f t="shared" si="15"/>
        <v>20</v>
      </c>
    </row>
    <row r="28" spans="1:33" ht="35" customHeight="1">
      <c r="A28" s="142">
        <f t="shared" si="0"/>
        <v>23</v>
      </c>
      <c r="B28" s="100">
        <f t="shared" si="19"/>
        <v>6.5163029754594088</v>
      </c>
      <c r="C28" s="936" t="str">
        <f>_xlfn.XLOOKUP($E28,MOPFRA!$R29:$R78,MOPFRA!O29:O78,"")</f>
        <v/>
      </c>
      <c r="D28" s="855" t="str">
        <f>MOPFRA!Q29</f>
        <v>فولاد سيرجان ايرانيان</v>
      </c>
      <c r="E28" s="855" t="str">
        <f>MOPFRA!R29</f>
        <v>سيسكو</v>
      </c>
      <c r="F28" s="66">
        <f>MOPFRA!T29</f>
        <v>51250</v>
      </c>
      <c r="G28" s="126">
        <f>MOPFRA!W29</f>
        <v>4100</v>
      </c>
      <c r="H28" s="107">
        <f>MOPFRA!AV29</f>
        <v>0.53527293609630822</v>
      </c>
      <c r="I28" s="140">
        <f t="shared" si="2"/>
        <v>19</v>
      </c>
      <c r="J28" s="107">
        <f>MOPFRA!BC29</f>
        <v>10</v>
      </c>
      <c r="K28" s="140">
        <f t="shared" si="3"/>
        <v>1</v>
      </c>
      <c r="L28" s="107">
        <f>MOPFRA!BK29</f>
        <v>0</v>
      </c>
      <c r="M28" s="140">
        <f t="shared" si="4"/>
        <v>2</v>
      </c>
      <c r="N28" s="107">
        <f>MOPFRA!BM29</f>
        <v>-3.3550730012005614</v>
      </c>
      <c r="O28" s="140">
        <f t="shared" si="5"/>
        <v>35</v>
      </c>
      <c r="P28" s="107">
        <f>MOPFRA!BX29</f>
        <v>8.3289182572948377</v>
      </c>
      <c r="Q28" s="140">
        <f t="shared" si="6"/>
        <v>13</v>
      </c>
      <c r="R28" s="107">
        <f>MOPFRA!CE29</f>
        <v>-0.12000000000000011</v>
      </c>
      <c r="S28" s="140">
        <f t="shared" si="7"/>
        <v>13</v>
      </c>
      <c r="T28" s="107">
        <f>MOPFRA!CG29</f>
        <v>-1.5720959959714964</v>
      </c>
      <c r="U28" s="140">
        <f t="shared" si="8"/>
        <v>35</v>
      </c>
      <c r="V28" s="107">
        <f>MOPFRA!CI29</f>
        <v>-2.0422287392713456</v>
      </c>
      <c r="W28" s="140">
        <f t="shared" si="9"/>
        <v>27</v>
      </c>
      <c r="X28" s="20"/>
      <c r="Y28" s="107">
        <f>MOPFRA!DB29</f>
        <v>-0.9142632458468487</v>
      </c>
      <c r="Z28" s="140">
        <f t="shared" si="10"/>
        <v>42</v>
      </c>
      <c r="AA28" s="107">
        <f>MOPFRA!DO29</f>
        <v>-0.34422723564148328</v>
      </c>
      <c r="AB28" s="140">
        <f t="shared" si="11"/>
        <v>34</v>
      </c>
      <c r="AC28" s="107">
        <f>MOPFRA!DS29</f>
        <v>-4</v>
      </c>
      <c r="AD28" s="140">
        <f t="shared" si="12"/>
        <v>44</v>
      </c>
      <c r="AE28" s="100">
        <f t="shared" si="17"/>
        <v>6.5163029754594088</v>
      </c>
      <c r="AF28" s="141">
        <f t="shared" si="18"/>
        <v>182.65577276435852</v>
      </c>
      <c r="AG28" s="140">
        <f t="shared" si="15"/>
        <v>23</v>
      </c>
    </row>
    <row r="29" spans="1:33" ht="35" customHeight="1">
      <c r="A29" s="142">
        <f t="shared" si="0"/>
        <v>21</v>
      </c>
      <c r="B29" s="100">
        <f t="shared" si="19"/>
        <v>8.9948642701746628</v>
      </c>
      <c r="C29" s="936" t="str">
        <f>_xlfn.XLOOKUP($E29,MOPFRA!$R30:$R79,MOPFRA!O30:O79,"")</f>
        <v>Closed</v>
      </c>
      <c r="D29" s="855" t="str">
        <f>MOPFRA!Q30</f>
        <v>صنايع بهداشتي ساينا</v>
      </c>
      <c r="E29" s="855" t="str">
        <f>MOPFRA!R30</f>
        <v>ساينا</v>
      </c>
      <c r="F29" s="66">
        <f>MOPFRA!T30</f>
        <v>2123.1</v>
      </c>
      <c r="G29" s="126">
        <f>MOPFRA!W30</f>
        <v>10110</v>
      </c>
      <c r="H29" s="107">
        <f>MOPFRA!AV30</f>
        <v>-0.30695138070247152</v>
      </c>
      <c r="I29" s="140">
        <f t="shared" si="2"/>
        <v>34</v>
      </c>
      <c r="J29" s="107">
        <f>MOPFRA!BC30</f>
        <v>10</v>
      </c>
      <c r="K29" s="140">
        <f t="shared" si="3"/>
        <v>1</v>
      </c>
      <c r="L29" s="107">
        <f>MOPFRA!BK30</f>
        <v>0</v>
      </c>
      <c r="M29" s="140">
        <f t="shared" si="4"/>
        <v>2</v>
      </c>
      <c r="N29" s="107">
        <f>MOPFRA!BM30</f>
        <v>-10</v>
      </c>
      <c r="O29" s="140">
        <f t="shared" si="5"/>
        <v>43</v>
      </c>
      <c r="P29" s="107">
        <f>MOPFRA!BX30</f>
        <v>9.0863497449417441</v>
      </c>
      <c r="Q29" s="140">
        <f t="shared" si="6"/>
        <v>10</v>
      </c>
      <c r="R29" s="107">
        <f>MOPFRA!CE30</f>
        <v>-1.080000000000001</v>
      </c>
      <c r="S29" s="140">
        <f t="shared" si="7"/>
        <v>16</v>
      </c>
      <c r="T29" s="107">
        <f>MOPFRA!CG30</f>
        <v>1.3680006850004496</v>
      </c>
      <c r="U29" s="140">
        <f t="shared" si="8"/>
        <v>22</v>
      </c>
      <c r="V29" s="107">
        <f>MOPFRA!CI30</f>
        <v>-1.9192363798602232</v>
      </c>
      <c r="W29" s="140">
        <f t="shared" si="9"/>
        <v>26</v>
      </c>
      <c r="X29" s="20"/>
      <c r="Y29" s="107">
        <f>MOPFRA!DB30</f>
        <v>2.9318352059925097</v>
      </c>
      <c r="Z29" s="140">
        <f t="shared" si="10"/>
        <v>18</v>
      </c>
      <c r="AA29" s="107">
        <f>MOPFRA!DO30</f>
        <v>-8.5133605197346141E-2</v>
      </c>
      <c r="AB29" s="140">
        <f t="shared" si="11"/>
        <v>33</v>
      </c>
      <c r="AC29" s="107">
        <f>MOPFRA!DS30</f>
        <v>-1</v>
      </c>
      <c r="AD29" s="140">
        <f t="shared" si="12"/>
        <v>25</v>
      </c>
      <c r="AE29" s="100">
        <f t="shared" si="17"/>
        <v>8.9948642701746628</v>
      </c>
      <c r="AF29" s="141">
        <f t="shared" si="18"/>
        <v>170.91486639480266</v>
      </c>
      <c r="AG29" s="140">
        <f t="shared" si="15"/>
        <v>21</v>
      </c>
    </row>
    <row r="30" spans="1:33" ht="35" customHeight="1">
      <c r="A30" s="142">
        <f t="shared" si="0"/>
        <v>26</v>
      </c>
      <c r="B30" s="100">
        <f t="shared" si="19"/>
        <v>5.6361761382487128</v>
      </c>
      <c r="C30" s="936" t="str">
        <f>_xlfn.XLOOKUP($E30,MOPFRA!$R31:$R80,MOPFRA!O31:O80,"")</f>
        <v/>
      </c>
      <c r="D30" s="855" t="str">
        <f>MOPFRA!Q31</f>
        <v>توليدي‌مهرام‌</v>
      </c>
      <c r="E30" s="855" t="str">
        <f>MOPFRA!R31</f>
        <v>غمهرا</v>
      </c>
      <c r="F30" s="66">
        <f>MOPFRA!T31</f>
        <v>8930</v>
      </c>
      <c r="G30" s="126">
        <f>MOPFRA!W31</f>
        <v>17860</v>
      </c>
      <c r="H30" s="107">
        <f>MOPFRA!AV31</f>
        <v>2.8834615372213355</v>
      </c>
      <c r="I30" s="140">
        <f t="shared" si="2"/>
        <v>9</v>
      </c>
      <c r="J30" s="107">
        <f>MOPFRA!BC31</f>
        <v>4.3000000000000007</v>
      </c>
      <c r="K30" s="140">
        <f t="shared" si="3"/>
        <v>23</v>
      </c>
      <c r="L30" s="107">
        <f>MOPFRA!BK31</f>
        <v>0</v>
      </c>
      <c r="M30" s="140">
        <f t="shared" si="4"/>
        <v>2</v>
      </c>
      <c r="N30" s="107">
        <f>MOPFRA!BM31</f>
        <v>10</v>
      </c>
      <c r="O30" s="140">
        <f t="shared" si="5"/>
        <v>1</v>
      </c>
      <c r="P30" s="107">
        <f>MOPFRA!BX31</f>
        <v>2.9635501975618972</v>
      </c>
      <c r="Q30" s="140">
        <f t="shared" si="6"/>
        <v>26</v>
      </c>
      <c r="R30" s="107">
        <f>MOPFRA!CE31</f>
        <v>-5.88</v>
      </c>
      <c r="S30" s="140">
        <f t="shared" si="7"/>
        <v>34</v>
      </c>
      <c r="T30" s="107">
        <f>MOPFRA!CG31</f>
        <v>-1.6930766880153278</v>
      </c>
      <c r="U30" s="140">
        <f t="shared" si="8"/>
        <v>36</v>
      </c>
      <c r="V30" s="107">
        <f>MOPFRA!CI31</f>
        <v>-1.590769374258922</v>
      </c>
      <c r="W30" s="140">
        <f t="shared" si="9"/>
        <v>21</v>
      </c>
      <c r="X30" s="20"/>
      <c r="Y30" s="107">
        <f>MOPFRA!DB31</f>
        <v>-0.90888345558272121</v>
      </c>
      <c r="Z30" s="140">
        <f t="shared" si="10"/>
        <v>41</v>
      </c>
      <c r="AA30" s="107">
        <f>MOPFRA!DO31</f>
        <v>-2.438106078677551</v>
      </c>
      <c r="AB30" s="140">
        <f t="shared" si="11"/>
        <v>50</v>
      </c>
      <c r="AC30" s="107">
        <f>MOPFRA!DS31</f>
        <v>-2</v>
      </c>
      <c r="AD30" s="140">
        <f t="shared" si="12"/>
        <v>36</v>
      </c>
      <c r="AE30" s="100">
        <f t="shared" si="17"/>
        <v>5.6361761382487128</v>
      </c>
      <c r="AF30" s="141">
        <f t="shared" si="18"/>
        <v>188.56189392132245</v>
      </c>
      <c r="AG30" s="140">
        <f t="shared" si="15"/>
        <v>26</v>
      </c>
    </row>
    <row r="31" spans="1:33" ht="35" customHeight="1">
      <c r="A31" s="142">
        <f t="shared" si="0"/>
        <v>24</v>
      </c>
      <c r="B31" s="100">
        <f t="shared" si="19"/>
        <v>6.6054331585631454</v>
      </c>
      <c r="C31" s="936" t="str">
        <f>_xlfn.XLOOKUP($E31,MOPFRA!$R32:$R81,MOPFRA!O32:O81,"")</f>
        <v>Closed</v>
      </c>
      <c r="D31" s="855" t="str">
        <f>MOPFRA!Q32</f>
        <v>نفت‌ بهران‌</v>
      </c>
      <c r="E31" s="855" t="str">
        <f>MOPFRA!R32</f>
        <v>شبهرن</v>
      </c>
      <c r="F31" s="66">
        <f>MOPFRA!T32</f>
        <v>58140</v>
      </c>
      <c r="G31" s="126">
        <f>MOPFRA!W32</f>
        <v>32300</v>
      </c>
      <c r="H31" s="107">
        <f>MOPFRA!AV32</f>
        <v>1.8957495643108146</v>
      </c>
      <c r="I31" s="140">
        <f t="shared" si="2"/>
        <v>13</v>
      </c>
      <c r="J31" s="107">
        <f>MOPFRA!BC32</f>
        <v>5.1999999999999993</v>
      </c>
      <c r="K31" s="140">
        <f t="shared" si="3"/>
        <v>21</v>
      </c>
      <c r="L31" s="107">
        <f>MOPFRA!BK32</f>
        <v>0</v>
      </c>
      <c r="M31" s="140">
        <f t="shared" si="4"/>
        <v>2</v>
      </c>
      <c r="N31" s="107">
        <f>MOPFRA!BM32</f>
        <v>10</v>
      </c>
      <c r="O31" s="140">
        <f t="shared" si="5"/>
        <v>1</v>
      </c>
      <c r="P31" s="107">
        <f>MOPFRA!BX32</f>
        <v>-0.78490685645135727</v>
      </c>
      <c r="Q31" s="140">
        <f t="shared" si="6"/>
        <v>32</v>
      </c>
      <c r="R31" s="107">
        <f>MOPFRA!CE32</f>
        <v>-9.8099999999999987</v>
      </c>
      <c r="S31" s="140">
        <f t="shared" si="7"/>
        <v>41</v>
      </c>
      <c r="T31" s="107">
        <f>MOPFRA!CG32</f>
        <v>0.90014762842176754</v>
      </c>
      <c r="U31" s="140">
        <f t="shared" si="8"/>
        <v>27</v>
      </c>
      <c r="V31" s="107">
        <f>MOPFRA!CI32</f>
        <v>-1.4346266798599414</v>
      </c>
      <c r="W31" s="140">
        <f t="shared" si="9"/>
        <v>20</v>
      </c>
      <c r="X31" s="20"/>
      <c r="Y31" s="107">
        <f>MOPFRA!DB32</f>
        <v>0.64636035105833756</v>
      </c>
      <c r="Z31" s="140">
        <f t="shared" si="10"/>
        <v>28</v>
      </c>
      <c r="AA31" s="107">
        <f>MOPFRA!DO32</f>
        <v>0.99270915108352287</v>
      </c>
      <c r="AB31" s="140">
        <f t="shared" si="11"/>
        <v>9</v>
      </c>
      <c r="AC31" s="107">
        <f>MOPFRA!DS32</f>
        <v>-1</v>
      </c>
      <c r="AD31" s="140">
        <f t="shared" si="12"/>
        <v>25</v>
      </c>
      <c r="AE31" s="100">
        <f t="shared" si="17"/>
        <v>6.6054331585631454</v>
      </c>
      <c r="AF31" s="141">
        <f t="shared" si="18"/>
        <v>184.99270915108352</v>
      </c>
      <c r="AG31" s="140">
        <f t="shared" si="15"/>
        <v>24</v>
      </c>
    </row>
    <row r="32" spans="1:33" ht="35" customHeight="1">
      <c r="A32" s="142">
        <f t="shared" si="0"/>
        <v>32</v>
      </c>
      <c r="B32" s="100">
        <f t="shared" si="19"/>
        <v>3.7897457124291933</v>
      </c>
      <c r="C32" s="936" t="str">
        <f>_xlfn.XLOOKUP($E32,MOPFRA!$R33:$R82,MOPFRA!O33:O82,"")</f>
        <v/>
      </c>
      <c r="D32" s="855" t="str">
        <f>MOPFRA!Q33</f>
        <v>پتروشيمي پرديس</v>
      </c>
      <c r="E32" s="855" t="str">
        <f>MOPFRA!R33</f>
        <v>شپديس</v>
      </c>
      <c r="F32" s="66">
        <f>MOPFRA!T33</f>
        <v>255295.0704</v>
      </c>
      <c r="G32" s="126">
        <f>MOPFRA!W33</f>
        <v>10930</v>
      </c>
      <c r="H32" s="107">
        <f>MOPFRA!AV33</f>
        <v>-5.4364756379538504</v>
      </c>
      <c r="I32" s="140">
        <f t="shared" si="2"/>
        <v>46</v>
      </c>
      <c r="J32" s="107">
        <f>MOPFRA!BC33</f>
        <v>4.299999999999998</v>
      </c>
      <c r="K32" s="140">
        <f t="shared" si="3"/>
        <v>24</v>
      </c>
      <c r="L32" s="107">
        <f>MOPFRA!BK33</f>
        <v>0</v>
      </c>
      <c r="M32" s="140">
        <f t="shared" si="4"/>
        <v>2</v>
      </c>
      <c r="N32" s="107">
        <f>MOPFRA!BM33</f>
        <v>9.2966761931491302</v>
      </c>
      <c r="O32" s="140">
        <f t="shared" si="5"/>
        <v>20</v>
      </c>
      <c r="P32" s="107">
        <f>MOPFRA!BX33</f>
        <v>-7.7999782412912388</v>
      </c>
      <c r="Q32" s="140">
        <f t="shared" si="6"/>
        <v>40</v>
      </c>
      <c r="R32" s="107">
        <f>MOPFRA!CE33</f>
        <v>-2.4600000000000009</v>
      </c>
      <c r="S32" s="140">
        <f t="shared" si="7"/>
        <v>19</v>
      </c>
      <c r="T32" s="107">
        <f>MOPFRA!CG33</f>
        <v>3.4171134521908302</v>
      </c>
      <c r="U32" s="140">
        <f t="shared" si="8"/>
        <v>14</v>
      </c>
      <c r="V32" s="107">
        <f>MOPFRA!CI33</f>
        <v>-1.0787448958478543</v>
      </c>
      <c r="W32" s="140">
        <f t="shared" si="9"/>
        <v>17</v>
      </c>
      <c r="X32" s="20"/>
      <c r="Y32" s="107">
        <f>MOPFRA!DB33</f>
        <v>2.4260278870218102</v>
      </c>
      <c r="Z32" s="140">
        <f t="shared" si="10"/>
        <v>20</v>
      </c>
      <c r="AA32" s="107">
        <f>MOPFRA!DO33</f>
        <v>1.1251269551603689</v>
      </c>
      <c r="AB32" s="140">
        <f t="shared" si="11"/>
        <v>6</v>
      </c>
      <c r="AC32" s="107">
        <f>MOPFRA!DS33</f>
        <v>0</v>
      </c>
      <c r="AD32" s="140">
        <f t="shared" si="12"/>
        <v>3</v>
      </c>
      <c r="AE32" s="100">
        <f t="shared" si="17"/>
        <v>3.7897457124291933</v>
      </c>
      <c r="AF32" s="141">
        <f t="shared" si="18"/>
        <v>203.12512695516037</v>
      </c>
      <c r="AG32" s="140">
        <f t="shared" si="15"/>
        <v>32</v>
      </c>
    </row>
    <row r="33" spans="1:33" ht="35" customHeight="1">
      <c r="A33" s="142">
        <f t="shared" si="0"/>
        <v>37</v>
      </c>
      <c r="B33" s="100">
        <f t="shared" si="19"/>
        <v>2.361815286894287</v>
      </c>
      <c r="C33" s="936" t="str">
        <f>_xlfn.XLOOKUP($E33,MOPFRA!$R34:$R83,MOPFRA!O34:O83,"")</f>
        <v/>
      </c>
      <c r="D33" s="855" t="str">
        <f>MOPFRA!Q34</f>
        <v>صنعتي زر ماكارون</v>
      </c>
      <c r="E33" s="855" t="str">
        <f>MOPFRA!R34</f>
        <v>غزر</v>
      </c>
      <c r="F33" s="66">
        <f>MOPFRA!T34</f>
        <v>14452.3</v>
      </c>
      <c r="G33" s="126">
        <f>MOPFRA!W34</f>
        <v>3361</v>
      </c>
      <c r="H33" s="107">
        <f>MOPFRA!AV34</f>
        <v>-1.7634668220275185</v>
      </c>
      <c r="I33" s="140">
        <f t="shared" si="2"/>
        <v>39</v>
      </c>
      <c r="J33" s="107">
        <f>MOPFRA!BC34</f>
        <v>4.299999999999998</v>
      </c>
      <c r="K33" s="140">
        <f t="shared" si="3"/>
        <v>24</v>
      </c>
      <c r="L33" s="107">
        <f>MOPFRA!BK34</f>
        <v>0</v>
      </c>
      <c r="M33" s="140">
        <f t="shared" si="4"/>
        <v>2</v>
      </c>
      <c r="N33" s="107">
        <f>MOPFRA!BM34</f>
        <v>-0.47604750114123129</v>
      </c>
      <c r="O33" s="140">
        <f t="shared" si="5"/>
        <v>33</v>
      </c>
      <c r="P33" s="107">
        <f>MOPFRA!BX34</f>
        <v>-3.0330340433056868</v>
      </c>
      <c r="Q33" s="140">
        <f t="shared" si="6"/>
        <v>36</v>
      </c>
      <c r="R33" s="107">
        <f>MOPFRA!CE34</f>
        <v>-1.2599999999999998</v>
      </c>
      <c r="S33" s="140">
        <f t="shared" si="7"/>
        <v>17</v>
      </c>
      <c r="T33" s="107">
        <f>MOPFRA!CG34</f>
        <v>1.0450345712670739</v>
      </c>
      <c r="U33" s="140">
        <f t="shared" si="8"/>
        <v>26</v>
      </c>
      <c r="V33" s="107">
        <f>MOPFRA!CI34</f>
        <v>-3.4651959931484981</v>
      </c>
      <c r="W33" s="140">
        <f t="shared" si="9"/>
        <v>40</v>
      </c>
      <c r="X33" s="20"/>
      <c r="Y33" s="107">
        <f>MOPFRA!DB34</f>
        <v>6</v>
      </c>
      <c r="Z33" s="140">
        <f t="shared" si="10"/>
        <v>1</v>
      </c>
      <c r="AA33" s="107">
        <f>MOPFRA!DO34</f>
        <v>1.0145250752501489</v>
      </c>
      <c r="AB33" s="140">
        <f t="shared" si="11"/>
        <v>8</v>
      </c>
      <c r="AC33" s="107">
        <f>MOPFRA!DS34</f>
        <v>0</v>
      </c>
      <c r="AD33" s="140">
        <f t="shared" si="12"/>
        <v>3</v>
      </c>
      <c r="AE33" s="100">
        <f t="shared" si="17"/>
        <v>2.361815286894287</v>
      </c>
      <c r="AF33" s="141">
        <f t="shared" si="18"/>
        <v>219.01452507525016</v>
      </c>
      <c r="AG33" s="140">
        <f t="shared" si="15"/>
        <v>37</v>
      </c>
    </row>
    <row r="34" spans="1:33" ht="35" customHeight="1">
      <c r="A34" s="142">
        <f t="shared" si="0"/>
        <v>30</v>
      </c>
      <c r="B34" s="100">
        <f t="shared" si="19"/>
        <v>3.3763719181679717</v>
      </c>
      <c r="C34" s="936" t="str">
        <f>_xlfn.XLOOKUP($E34,MOPFRA!$R35:$R84,MOPFRA!O35:O84,"")</f>
        <v/>
      </c>
      <c r="D34" s="855" t="str">
        <f>MOPFRA!Q35</f>
        <v>توليدمواداوليه‌داروپخش‌</v>
      </c>
      <c r="E34" s="855" t="str">
        <f>MOPFRA!R35</f>
        <v>دتماد</v>
      </c>
      <c r="F34" s="66">
        <f>MOPFRA!T35</f>
        <v>12535.6</v>
      </c>
      <c r="G34" s="126">
        <f>MOPFRA!W35</f>
        <v>44770</v>
      </c>
      <c r="H34" s="107">
        <f>MOPFRA!AV35</f>
        <v>-0.67748693898979528</v>
      </c>
      <c r="I34" s="140">
        <f t="shared" si="2"/>
        <v>35</v>
      </c>
      <c r="J34" s="107">
        <f>MOPFRA!BC35</f>
        <v>3.6999999999999975</v>
      </c>
      <c r="K34" s="140">
        <f t="shared" si="3"/>
        <v>29</v>
      </c>
      <c r="L34" s="107">
        <f>MOPFRA!BK35</f>
        <v>0</v>
      </c>
      <c r="M34" s="140">
        <f t="shared" si="4"/>
        <v>2</v>
      </c>
      <c r="N34" s="107">
        <f>MOPFRA!BM35</f>
        <v>10</v>
      </c>
      <c r="O34" s="140">
        <f t="shared" si="5"/>
        <v>1</v>
      </c>
      <c r="P34" s="107">
        <f>MOPFRA!BX35</f>
        <v>-1.4683476095802606</v>
      </c>
      <c r="Q34" s="140">
        <f t="shared" si="6"/>
        <v>33</v>
      </c>
      <c r="R34" s="107">
        <f>MOPFRA!CE35</f>
        <v>-8.43</v>
      </c>
      <c r="S34" s="140">
        <f t="shared" si="7"/>
        <v>38</v>
      </c>
      <c r="T34" s="107">
        <f>MOPFRA!CG35</f>
        <v>1.2129410194777446</v>
      </c>
      <c r="U34" s="140">
        <f t="shared" si="8"/>
        <v>23</v>
      </c>
      <c r="V34" s="107">
        <f>MOPFRA!CI35</f>
        <v>-0.60010033444816036</v>
      </c>
      <c r="W34" s="140">
        <f t="shared" si="9"/>
        <v>16</v>
      </c>
      <c r="X34" s="20"/>
      <c r="Y34" s="107">
        <f>MOPFRA!DB35</f>
        <v>1.086847599164928</v>
      </c>
      <c r="Z34" s="140">
        <f t="shared" si="10"/>
        <v>26</v>
      </c>
      <c r="AA34" s="107">
        <f>MOPFRA!DO35</f>
        <v>-1.447481817456483</v>
      </c>
      <c r="AB34" s="140">
        <f t="shared" si="11"/>
        <v>45</v>
      </c>
      <c r="AC34" s="107">
        <f>MOPFRA!DS35</f>
        <v>0</v>
      </c>
      <c r="AD34" s="140">
        <f t="shared" si="12"/>
        <v>3</v>
      </c>
      <c r="AE34" s="100">
        <f t="shared" si="17"/>
        <v>3.3763719181679717</v>
      </c>
      <c r="AF34" s="141">
        <f t="shared" si="18"/>
        <v>201.55251818254351</v>
      </c>
      <c r="AG34" s="140">
        <f t="shared" si="15"/>
        <v>30</v>
      </c>
    </row>
    <row r="35" spans="1:33" ht="35" customHeight="1">
      <c r="A35" s="142">
        <f t="shared" si="0"/>
        <v>28</v>
      </c>
      <c r="B35" s="100">
        <f t="shared" si="19"/>
        <v>1.0347963292789695</v>
      </c>
      <c r="C35" s="936" t="str">
        <f>_xlfn.XLOOKUP($E35,MOPFRA!$R36:$R85,MOPFRA!O36:O85,"")</f>
        <v/>
      </c>
      <c r="D35" s="855" t="str">
        <f>MOPFRA!Q36</f>
        <v>پارس فولاد سبزوار</v>
      </c>
      <c r="E35" s="855" t="str">
        <f>MOPFRA!R36</f>
        <v>فسبزوار</v>
      </c>
      <c r="F35" s="66">
        <f>MOPFRA!T36</f>
        <v>27092</v>
      </c>
      <c r="G35" s="126">
        <f>MOPFRA!W36</f>
        <v>67730</v>
      </c>
      <c r="H35" s="107">
        <f>MOPFRA!AV36</f>
        <v>-3.4106981716564064</v>
      </c>
      <c r="I35" s="140">
        <f t="shared" si="2"/>
        <v>43</v>
      </c>
      <c r="J35" s="107">
        <f>MOPFRA!BC36</f>
        <v>3.099999999999997</v>
      </c>
      <c r="K35" s="140">
        <f t="shared" si="3"/>
        <v>31</v>
      </c>
      <c r="L35" s="107">
        <f>MOPFRA!BK36</f>
        <v>0</v>
      </c>
      <c r="M35" s="140">
        <f t="shared" si="4"/>
        <v>2</v>
      </c>
      <c r="N35" s="107">
        <f>MOPFRA!BM36</f>
        <v>-9.3211017514591852</v>
      </c>
      <c r="O35" s="140">
        <f t="shared" si="5"/>
        <v>42</v>
      </c>
      <c r="P35" s="107">
        <f>MOPFRA!BX36</f>
        <v>9.4574070724306516</v>
      </c>
      <c r="Q35" s="140">
        <f t="shared" si="6"/>
        <v>9</v>
      </c>
      <c r="R35" s="107">
        <f>MOPFRA!CE36</f>
        <v>1.3200000000000012</v>
      </c>
      <c r="S35" s="140">
        <f t="shared" si="7"/>
        <v>7</v>
      </c>
      <c r="T35" s="107">
        <f>MOPFRA!CG36</f>
        <v>1.8362018893472216</v>
      </c>
      <c r="U35" s="140">
        <f t="shared" si="8"/>
        <v>19</v>
      </c>
      <c r="V35" s="107">
        <f>MOPFRA!CI36</f>
        <v>-0.52870667904941415</v>
      </c>
      <c r="W35" s="140">
        <f t="shared" si="9"/>
        <v>15</v>
      </c>
      <c r="X35" s="20"/>
      <c r="Y35" s="107">
        <f>MOPFRA!DB36</f>
        <v>0.58121812181218147</v>
      </c>
      <c r="Z35" s="140">
        <f t="shared" si="10"/>
        <v>29</v>
      </c>
      <c r="AA35" s="107">
        <f>MOPFRA!DO36</f>
        <v>-0.99952415214607848</v>
      </c>
      <c r="AB35" s="140">
        <f t="shared" si="11"/>
        <v>42</v>
      </c>
      <c r="AC35" s="107">
        <f>MOPFRA!DS36</f>
        <v>-1</v>
      </c>
      <c r="AD35" s="140">
        <f t="shared" si="12"/>
        <v>25</v>
      </c>
      <c r="AE35" s="100">
        <f t="shared" si="17"/>
        <v>1.0347963292789695</v>
      </c>
      <c r="AF35" s="141">
        <f t="shared" si="18"/>
        <v>195.00047584785392</v>
      </c>
      <c r="AG35" s="140">
        <f t="shared" si="15"/>
        <v>28</v>
      </c>
    </row>
    <row r="36" spans="1:33" ht="35" customHeight="1">
      <c r="A36" s="142">
        <f t="shared" si="0"/>
        <v>22</v>
      </c>
      <c r="B36" s="100">
        <f t="shared" si="19"/>
        <v>1.5067957015240805</v>
      </c>
      <c r="C36" s="936" t="str">
        <f>_xlfn.XLOOKUP($E36,MOPFRA!$R37:$R86,MOPFRA!O37:O86,"")</f>
        <v/>
      </c>
      <c r="D36" s="855" t="str">
        <f>MOPFRA!Q37</f>
        <v>پارس‌ دارو</v>
      </c>
      <c r="E36" s="855" t="str">
        <f>MOPFRA!R37</f>
        <v>دپارس</v>
      </c>
      <c r="F36" s="66">
        <f>MOPFRA!T37</f>
        <v>12115.25</v>
      </c>
      <c r="G36" s="126">
        <f>MOPFRA!W37</f>
        <v>49450</v>
      </c>
      <c r="H36" s="107">
        <f>MOPFRA!AV37</f>
        <v>3.7446671314925539</v>
      </c>
      <c r="I36" s="140">
        <f t="shared" si="2"/>
        <v>6</v>
      </c>
      <c r="J36" s="107">
        <f>MOPFRA!BC37</f>
        <v>0.40000000000000036</v>
      </c>
      <c r="K36" s="140">
        <f t="shared" si="3"/>
        <v>37</v>
      </c>
      <c r="L36" s="107">
        <f>MOPFRA!BK37</f>
        <v>0</v>
      </c>
      <c r="M36" s="140">
        <f t="shared" si="4"/>
        <v>2</v>
      </c>
      <c r="N36" s="107">
        <f>MOPFRA!BM37</f>
        <v>10</v>
      </c>
      <c r="O36" s="140">
        <f t="shared" si="5"/>
        <v>1</v>
      </c>
      <c r="P36" s="107">
        <f>MOPFRA!BX37</f>
        <v>-10</v>
      </c>
      <c r="Q36" s="140">
        <f t="shared" si="6"/>
        <v>43</v>
      </c>
      <c r="R36" s="107">
        <f>MOPFRA!CE37</f>
        <v>-10</v>
      </c>
      <c r="S36" s="140">
        <f t="shared" si="7"/>
        <v>43</v>
      </c>
      <c r="T36" s="107">
        <f>MOPFRA!CG37</f>
        <v>2.6144864623278297</v>
      </c>
      <c r="U36" s="140">
        <f t="shared" si="8"/>
        <v>17</v>
      </c>
      <c r="V36" s="107">
        <f>MOPFRA!CI37</f>
        <v>-2.1496616519232661</v>
      </c>
      <c r="W36" s="140">
        <f t="shared" si="9"/>
        <v>28</v>
      </c>
      <c r="X36" s="20"/>
      <c r="Y36" s="107">
        <f>MOPFRA!DB37</f>
        <v>6</v>
      </c>
      <c r="Z36" s="140">
        <f t="shared" si="10"/>
        <v>1</v>
      </c>
      <c r="AA36" s="107">
        <f>MOPFRA!DO37</f>
        <v>0.8973037596269634</v>
      </c>
      <c r="AB36" s="140">
        <f t="shared" si="11"/>
        <v>12</v>
      </c>
      <c r="AC36" s="107">
        <f>MOPFRA!DS37</f>
        <v>0</v>
      </c>
      <c r="AD36" s="140">
        <f t="shared" si="12"/>
        <v>3</v>
      </c>
      <c r="AE36" s="100">
        <f t="shared" si="17"/>
        <v>1.5067957015240805</v>
      </c>
      <c r="AF36" s="141">
        <f t="shared" si="18"/>
        <v>178.89730375962696</v>
      </c>
      <c r="AG36" s="140">
        <f t="shared" si="15"/>
        <v>22</v>
      </c>
    </row>
    <row r="37" spans="1:33" ht="35" customHeight="1">
      <c r="A37" s="142">
        <f t="shared" si="0"/>
        <v>36</v>
      </c>
      <c r="B37" s="100">
        <f t="shared" si="19"/>
        <v>1.2283214162342571E-2</v>
      </c>
      <c r="C37" s="936" t="str">
        <f>_xlfn.XLOOKUP($E37,MOPFRA!$R38:$R87,MOPFRA!O38:O87,"")</f>
        <v/>
      </c>
      <c r="D37" s="855" t="str">
        <f>MOPFRA!Q38</f>
        <v>كشاورزي و دامپروري فجر اصفهان</v>
      </c>
      <c r="E37" s="855" t="str">
        <f>MOPFRA!R38</f>
        <v>زفجر</v>
      </c>
      <c r="F37" s="66">
        <f>MOPFRA!T38</f>
        <v>4119.3</v>
      </c>
      <c r="G37" s="126">
        <f>MOPFRA!W38</f>
        <v>45770</v>
      </c>
      <c r="H37" s="107">
        <f>MOPFRA!AV38</f>
        <v>-1.2575455867045771</v>
      </c>
      <c r="I37" s="140">
        <f t="shared" si="2"/>
        <v>37</v>
      </c>
      <c r="J37" s="107">
        <f>MOPFRA!BC38</f>
        <v>-1.7000000000000002</v>
      </c>
      <c r="K37" s="140">
        <f t="shared" si="3"/>
        <v>42</v>
      </c>
      <c r="L37" s="107">
        <f>MOPFRA!BK38</f>
        <v>1</v>
      </c>
      <c r="M37" s="140">
        <f t="shared" si="4"/>
        <v>1</v>
      </c>
      <c r="N37" s="107">
        <f>MOPFRA!BM38</f>
        <v>10</v>
      </c>
      <c r="O37" s="140">
        <f t="shared" si="5"/>
        <v>1</v>
      </c>
      <c r="P37" s="107">
        <f>MOPFRA!BX38</f>
        <v>-10</v>
      </c>
      <c r="Q37" s="140">
        <f t="shared" si="6"/>
        <v>43</v>
      </c>
      <c r="R37" s="107">
        <f>MOPFRA!CE38</f>
        <v>-2.37</v>
      </c>
      <c r="S37" s="140">
        <f t="shared" si="7"/>
        <v>18</v>
      </c>
      <c r="T37" s="107">
        <f>MOPFRA!CG38</f>
        <v>0.6940005591247429</v>
      </c>
      <c r="U37" s="140">
        <f t="shared" si="8"/>
        <v>29</v>
      </c>
      <c r="V37" s="107">
        <f>MOPFRA!CI38</f>
        <v>-2.2667549147905817</v>
      </c>
      <c r="W37" s="140">
        <f t="shared" si="9"/>
        <v>30</v>
      </c>
      <c r="X37" s="20"/>
      <c r="Y37" s="107">
        <f>MOPFRA!DB38</f>
        <v>5.3565217391304358</v>
      </c>
      <c r="Z37" s="140">
        <f t="shared" si="10"/>
        <v>13</v>
      </c>
      <c r="AA37" s="107">
        <f>MOPFRA!DO38</f>
        <v>0.55606141740232262</v>
      </c>
      <c r="AB37" s="140">
        <f t="shared" si="11"/>
        <v>17</v>
      </c>
      <c r="AC37" s="107">
        <f>MOPFRA!DS38</f>
        <v>0</v>
      </c>
      <c r="AD37" s="140">
        <f t="shared" si="12"/>
        <v>3</v>
      </c>
      <c r="AE37" s="100">
        <f t="shared" si="17"/>
        <v>1.2283214162342571E-2</v>
      </c>
      <c r="AF37" s="141">
        <f t="shared" si="18"/>
        <v>214.55606141740233</v>
      </c>
      <c r="AG37" s="140">
        <f t="shared" si="15"/>
        <v>36</v>
      </c>
    </row>
    <row r="38" spans="1:33" ht="34" customHeight="1">
      <c r="A38" s="142">
        <f t="shared" ref="A38:A55" si="20">RANK(AF38,AF$6:AF$55,1)</f>
        <v>29</v>
      </c>
      <c r="B38" s="100">
        <f t="shared" si="19"/>
        <v>-1.2993818292259467</v>
      </c>
      <c r="C38" s="936" t="str">
        <f>_xlfn.XLOOKUP($E38,MOPFRA!$R39:$R88,MOPFRA!O39:O88,"")</f>
        <v/>
      </c>
      <c r="D38" s="855" t="str">
        <f>MOPFRA!Q39</f>
        <v>داروسازي‌ سينا</v>
      </c>
      <c r="E38" s="855" t="str">
        <f>MOPFRA!R39</f>
        <v>دسينا</v>
      </c>
      <c r="F38" s="66">
        <f>MOPFRA!T39</f>
        <v>17248.8</v>
      </c>
      <c r="G38" s="126">
        <f>MOPFRA!W39</f>
        <v>71870</v>
      </c>
      <c r="H38" s="107">
        <f>MOPFRA!AV39</f>
        <v>-7.6495558954817122</v>
      </c>
      <c r="I38" s="140">
        <f t="shared" ref="I38:I55" si="21">RANK(H38,H$6:H$55)</f>
        <v>47</v>
      </c>
      <c r="J38" s="107">
        <f>MOPFRA!BC39</f>
        <v>0.9000000000000008</v>
      </c>
      <c r="K38" s="140">
        <f t="shared" ref="K38:K55" si="22">RANK(J38,J$6:J$55)</f>
        <v>35</v>
      </c>
      <c r="L38" s="107">
        <f>MOPFRA!BK39</f>
        <v>0</v>
      </c>
      <c r="M38" s="140">
        <f t="shared" ref="M38:M55" si="23">RANK(L38,L$6:L$55,0)</f>
        <v>2</v>
      </c>
      <c r="N38" s="107">
        <f>MOPFRA!BM39</f>
        <v>10</v>
      </c>
      <c r="O38" s="140">
        <f t="shared" ref="O38:O55" si="24">RANK(N38,N$6:N$55,0)</f>
        <v>1</v>
      </c>
      <c r="P38" s="107">
        <f>MOPFRA!BX39</f>
        <v>-4.6442086321225196</v>
      </c>
      <c r="Q38" s="140">
        <f t="shared" ref="Q38:Q55" si="25">RANK(P38,P$6:P$55,0)</f>
        <v>39</v>
      </c>
      <c r="R38" s="107">
        <f>MOPFRA!CE39</f>
        <v>-8.2200000000000006</v>
      </c>
      <c r="S38" s="140">
        <f t="shared" ref="S38:S55" si="26">RANK(R38,R$6:R$55,0)</f>
        <v>37</v>
      </c>
      <c r="T38" s="107">
        <f>MOPFRA!CG39</f>
        <v>3.7859329596282389</v>
      </c>
      <c r="U38" s="140">
        <f t="shared" ref="U38:U55" si="27">RANK(T38,T$6:T$55,0)</f>
        <v>13</v>
      </c>
      <c r="V38" s="107">
        <f>MOPFRA!CI39</f>
        <v>0.19352150671997609</v>
      </c>
      <c r="W38" s="140">
        <f t="shared" ref="W38:W55" si="28">RANK(V38,V$6:V$55,0)</f>
        <v>12</v>
      </c>
      <c r="X38" s="20"/>
      <c r="Y38" s="107">
        <f>MOPFRA!DB39</f>
        <v>4.2260244428468727</v>
      </c>
      <c r="Z38" s="140">
        <f t="shared" ref="Z38:Z55" si="29">RANK(Y38,Y$6:Y$55,0)</f>
        <v>15</v>
      </c>
      <c r="AA38" s="107">
        <f>MOPFRA!DO39</f>
        <v>0.10890378918319787</v>
      </c>
      <c r="AB38" s="140">
        <f t="shared" ref="AB38:AB55" si="30">RANK(AA38,AA$6:AA$55,0)</f>
        <v>20</v>
      </c>
      <c r="AC38" s="107">
        <f>MOPFRA!DS39</f>
        <v>0</v>
      </c>
      <c r="AD38" s="140">
        <f t="shared" ref="AD38:AD55" si="31">RANK(AC38,AC$6:AC$55,0)</f>
        <v>3</v>
      </c>
      <c r="AE38" s="100">
        <f t="shared" si="17"/>
        <v>-1.2993818292259467</v>
      </c>
      <c r="AF38" s="141">
        <f t="shared" si="18"/>
        <v>201.10890378918319</v>
      </c>
      <c r="AG38" s="140">
        <f t="shared" ref="AG38:AG55" si="32">RANK(AF38,AF$6:AF$55,1)</f>
        <v>29</v>
      </c>
    </row>
    <row r="39" spans="1:33" ht="34" customHeight="1">
      <c r="A39" s="142">
        <f t="shared" si="20"/>
        <v>39</v>
      </c>
      <c r="B39" s="100">
        <f t="shared" si="19"/>
        <v>-2.1757077800753883</v>
      </c>
      <c r="C39" s="936" t="str">
        <f>_xlfn.XLOOKUP($E39,MOPFRA!$R40:$R89,MOPFRA!O40:O89,"")</f>
        <v/>
      </c>
      <c r="D39" s="855" t="str">
        <f>MOPFRA!Q40</f>
        <v>كوير تاير</v>
      </c>
      <c r="E39" s="855" t="str">
        <f>MOPFRA!R40</f>
        <v>پكوير</v>
      </c>
      <c r="F39" s="66">
        <f>MOPFRA!T40</f>
        <v>8871.0512000000017</v>
      </c>
      <c r="G39" s="126">
        <f>MOPFRA!W40</f>
        <v>6490</v>
      </c>
      <c r="H39" s="107">
        <f>MOPFRA!AV40</f>
        <v>-0.25959323511843935</v>
      </c>
      <c r="I39" s="140">
        <f t="shared" si="21"/>
        <v>32</v>
      </c>
      <c r="J39" s="107">
        <f>MOPFRA!BC40</f>
        <v>-0.40000000000000036</v>
      </c>
      <c r="K39" s="140">
        <f t="shared" si="22"/>
        <v>39</v>
      </c>
      <c r="L39" s="107">
        <f>MOPFRA!BK40</f>
        <v>0</v>
      </c>
      <c r="M39" s="140">
        <f t="shared" si="23"/>
        <v>2</v>
      </c>
      <c r="N39" s="107">
        <f>MOPFRA!BM40</f>
        <v>5.2953766260269557</v>
      </c>
      <c r="O39" s="140">
        <f t="shared" si="24"/>
        <v>28</v>
      </c>
      <c r="P39" s="107">
        <f>MOPFRA!BX40</f>
        <v>3.7116442806537897</v>
      </c>
      <c r="Q39" s="140">
        <f t="shared" si="25"/>
        <v>24</v>
      </c>
      <c r="R39" s="107">
        <f>MOPFRA!CE40</f>
        <v>0.50999999999999979</v>
      </c>
      <c r="S39" s="140">
        <f t="shared" si="26"/>
        <v>9</v>
      </c>
      <c r="T39" s="107">
        <f>MOPFRA!CG40</f>
        <v>-5.7477204781537665</v>
      </c>
      <c r="U39" s="140">
        <f t="shared" si="27"/>
        <v>41</v>
      </c>
      <c r="V39" s="107">
        <f>MOPFRA!CI40</f>
        <v>-3.1642154741975643</v>
      </c>
      <c r="W39" s="140">
        <f t="shared" si="28"/>
        <v>36</v>
      </c>
      <c r="X39" s="20"/>
      <c r="Y39" s="107">
        <f>MOPFRA!DB40</f>
        <v>-0.21813695249845821</v>
      </c>
      <c r="Z39" s="140">
        <f t="shared" si="29"/>
        <v>35</v>
      </c>
      <c r="AA39" s="107">
        <f>MOPFRA!DO40</f>
        <v>9.6937453212094793E-2</v>
      </c>
      <c r="AB39" s="140">
        <f t="shared" si="30"/>
        <v>21</v>
      </c>
      <c r="AC39" s="107">
        <f>MOPFRA!DS40</f>
        <v>-2</v>
      </c>
      <c r="AD39" s="140">
        <f t="shared" si="31"/>
        <v>36</v>
      </c>
      <c r="AE39" s="100">
        <f t="shared" si="17"/>
        <v>-2.1757077800753883</v>
      </c>
      <c r="AF39" s="141">
        <f t="shared" si="18"/>
        <v>244.09693745321209</v>
      </c>
      <c r="AG39" s="140">
        <f t="shared" si="32"/>
        <v>39</v>
      </c>
    </row>
    <row r="40" spans="1:33" ht="34" customHeight="1">
      <c r="A40" s="142">
        <f t="shared" si="20"/>
        <v>27</v>
      </c>
      <c r="B40" s="100">
        <f t="shared" si="19"/>
        <v>-1.4993665976421144</v>
      </c>
      <c r="C40" s="936" t="str">
        <f>_xlfn.XLOOKUP($E40,MOPFRA!$R41:$R90,MOPFRA!O41:O90,"")</f>
        <v/>
      </c>
      <c r="D40" s="855" t="str">
        <f>MOPFRA!Q41</f>
        <v>ملي‌ صنايع‌ مس‌ ايران‌</v>
      </c>
      <c r="E40" s="855" t="str">
        <f>MOPFRA!R41</f>
        <v>فملي</v>
      </c>
      <c r="F40" s="66">
        <f>MOPFRA!T41</f>
        <v>2335680</v>
      </c>
      <c r="G40" s="126">
        <f>MOPFRA!W41</f>
        <v>16220</v>
      </c>
      <c r="H40" s="107">
        <f>MOPFRA!AV41</f>
        <v>-10</v>
      </c>
      <c r="I40" s="140">
        <f t="shared" si="21"/>
        <v>48</v>
      </c>
      <c r="J40" s="107">
        <f>MOPFRA!BC41</f>
        <v>10</v>
      </c>
      <c r="K40" s="140">
        <f t="shared" si="22"/>
        <v>1</v>
      </c>
      <c r="L40" s="107">
        <f>MOPFRA!BK41</f>
        <v>0</v>
      </c>
      <c r="M40" s="140">
        <f t="shared" si="23"/>
        <v>2</v>
      </c>
      <c r="N40" s="107">
        <f>MOPFRA!BM41</f>
        <v>10</v>
      </c>
      <c r="O40" s="140">
        <f t="shared" si="24"/>
        <v>1</v>
      </c>
      <c r="P40" s="107">
        <f>MOPFRA!BX41</f>
        <v>-8.5062843354109052</v>
      </c>
      <c r="Q40" s="140">
        <f t="shared" si="25"/>
        <v>42</v>
      </c>
      <c r="R40" s="107">
        <f>MOPFRA!CE41</f>
        <v>-10</v>
      </c>
      <c r="S40" s="140">
        <f t="shared" si="26"/>
        <v>43</v>
      </c>
      <c r="T40" s="107">
        <f>MOPFRA!CG41</f>
        <v>4.5547377739428807</v>
      </c>
      <c r="U40" s="140">
        <f t="shared" si="27"/>
        <v>6</v>
      </c>
      <c r="V40" s="107">
        <f>MOPFRA!CI41</f>
        <v>1.588284613335063</v>
      </c>
      <c r="W40" s="140">
        <f t="shared" si="28"/>
        <v>2</v>
      </c>
      <c r="X40" s="20"/>
      <c r="Y40" s="107">
        <f>MOPFRA!DB41</f>
        <v>-0.93095920316550718</v>
      </c>
      <c r="Z40" s="140">
        <f t="shared" si="29"/>
        <v>43</v>
      </c>
      <c r="AA40" s="107">
        <f>MOPFRA!DO41</f>
        <v>1.7948545536563543</v>
      </c>
      <c r="AB40" s="140">
        <f t="shared" si="30"/>
        <v>2</v>
      </c>
      <c r="AC40" s="107">
        <f>MOPFRA!DS41</f>
        <v>0</v>
      </c>
      <c r="AD40" s="140">
        <f t="shared" si="31"/>
        <v>3</v>
      </c>
      <c r="AE40" s="100">
        <f t="shared" si="17"/>
        <v>-1.4993665976421144</v>
      </c>
      <c r="AF40" s="141">
        <f t="shared" si="18"/>
        <v>189.79485455365636</v>
      </c>
      <c r="AG40" s="140">
        <f t="shared" si="32"/>
        <v>27</v>
      </c>
    </row>
    <row r="41" spans="1:33" ht="34" customHeight="1">
      <c r="A41" s="142">
        <f t="shared" si="20"/>
        <v>35</v>
      </c>
      <c r="B41" s="100">
        <f t="shared" si="19"/>
        <v>-5.9376752563919073</v>
      </c>
      <c r="C41" s="936" t="str">
        <f>_xlfn.XLOOKUP($E41,MOPFRA!$R42:$R91,MOPFRA!O42:O91,"")</f>
        <v/>
      </c>
      <c r="D41" s="855" t="str">
        <f>MOPFRA!Q42</f>
        <v>پاكسان‌</v>
      </c>
      <c r="E41" s="855" t="str">
        <f>MOPFRA!R42</f>
        <v>شپاكسا</v>
      </c>
      <c r="F41" s="66">
        <f>MOPFRA!T42</f>
        <v>6123.2</v>
      </c>
      <c r="G41" s="126">
        <f>MOPFRA!W42</f>
        <v>3440</v>
      </c>
      <c r="H41" s="107">
        <f>MOPFRA!AV42</f>
        <v>1.0844758569202839</v>
      </c>
      <c r="I41" s="140">
        <f t="shared" si="21"/>
        <v>15</v>
      </c>
      <c r="J41" s="107">
        <f>MOPFRA!BC42</f>
        <v>6.9999999999999991</v>
      </c>
      <c r="K41" s="140">
        <f t="shared" si="22"/>
        <v>18</v>
      </c>
      <c r="L41" s="107">
        <f>MOPFRA!BK42</f>
        <v>0</v>
      </c>
      <c r="M41" s="140">
        <f t="shared" si="23"/>
        <v>2</v>
      </c>
      <c r="N41" s="107">
        <f>MOPFRA!BM42</f>
        <v>-8.8167345380899835</v>
      </c>
      <c r="O41" s="140">
        <f t="shared" si="24"/>
        <v>41</v>
      </c>
      <c r="P41" s="107">
        <f>MOPFRA!BX42</f>
        <v>7.1587689201450537</v>
      </c>
      <c r="Q41" s="140">
        <f t="shared" si="25"/>
        <v>15</v>
      </c>
      <c r="R41" s="107">
        <f>MOPFRA!CE42</f>
        <v>-2.4900000000000002</v>
      </c>
      <c r="S41" s="140">
        <f t="shared" si="26"/>
        <v>20</v>
      </c>
      <c r="T41" s="107">
        <f>MOPFRA!CG42</f>
        <v>-3.6058909781287927</v>
      </c>
      <c r="U41" s="140">
        <f t="shared" si="27"/>
        <v>38</v>
      </c>
      <c r="V41" s="107">
        <f>MOPFRA!CI42</f>
        <v>-3.101308985644466</v>
      </c>
      <c r="W41" s="140">
        <f t="shared" si="28"/>
        <v>35</v>
      </c>
      <c r="X41" s="20"/>
      <c r="Y41" s="107">
        <f>MOPFRA!DB42</f>
        <v>0.21061571125265388</v>
      </c>
      <c r="Z41" s="140">
        <f t="shared" si="29"/>
        <v>31</v>
      </c>
      <c r="AA41" s="107">
        <f>MOPFRA!DO42</f>
        <v>-0.37760124284665575</v>
      </c>
      <c r="AB41" s="140">
        <f t="shared" si="30"/>
        <v>35</v>
      </c>
      <c r="AC41" s="107">
        <f>MOPFRA!DS42</f>
        <v>-3</v>
      </c>
      <c r="AD41" s="140">
        <f t="shared" si="31"/>
        <v>41</v>
      </c>
      <c r="AE41" s="100">
        <f t="shared" si="17"/>
        <v>-5.9376752563919073</v>
      </c>
      <c r="AF41" s="141">
        <f t="shared" si="18"/>
        <v>211.62239875715335</v>
      </c>
      <c r="AG41" s="140">
        <f t="shared" si="32"/>
        <v>35</v>
      </c>
    </row>
    <row r="42" spans="1:33" ht="34" customHeight="1">
      <c r="A42" s="142">
        <f t="shared" si="20"/>
        <v>33</v>
      </c>
      <c r="B42" s="100">
        <f t="shared" si="19"/>
        <v>-5.7512781330747558</v>
      </c>
      <c r="C42" s="936" t="str">
        <f>_xlfn.XLOOKUP($E42,MOPFRA!$R43:$R92,MOPFRA!O43:O92,"")</f>
        <v/>
      </c>
      <c r="D42" s="855" t="str">
        <f>MOPFRA!Q43</f>
        <v>شيشه‌ همدان‌</v>
      </c>
      <c r="E42" s="855" t="str">
        <f>MOPFRA!R43</f>
        <v>كهمدا</v>
      </c>
      <c r="F42" s="66">
        <f>MOPFRA!T43</f>
        <v>7788</v>
      </c>
      <c r="G42" s="126">
        <f>MOPFRA!W43</f>
        <v>4720</v>
      </c>
      <c r="H42" s="107">
        <f>MOPFRA!AV43</f>
        <v>-4.5383118423140338</v>
      </c>
      <c r="I42" s="140">
        <f t="shared" si="21"/>
        <v>45</v>
      </c>
      <c r="J42" s="107">
        <f>MOPFRA!BC43</f>
        <v>10</v>
      </c>
      <c r="K42" s="140">
        <f t="shared" si="22"/>
        <v>1</v>
      </c>
      <c r="L42" s="107">
        <f>MOPFRA!BK43</f>
        <v>0</v>
      </c>
      <c r="M42" s="140">
        <f t="shared" si="23"/>
        <v>2</v>
      </c>
      <c r="N42" s="107">
        <f>MOPFRA!BM43</f>
        <v>-10</v>
      </c>
      <c r="O42" s="140">
        <f t="shared" si="24"/>
        <v>43</v>
      </c>
      <c r="P42" s="107">
        <f>MOPFRA!BX43</f>
        <v>-2.5121998942507773E-2</v>
      </c>
      <c r="Q42" s="140">
        <f t="shared" si="25"/>
        <v>30</v>
      </c>
      <c r="R42" s="107">
        <f>MOPFRA!CE43</f>
        <v>-3.9600000000000009</v>
      </c>
      <c r="S42" s="140">
        <f t="shared" si="26"/>
        <v>27</v>
      </c>
      <c r="T42" s="107">
        <f>MOPFRA!CG43</f>
        <v>1.1723960935602156</v>
      </c>
      <c r="U42" s="140">
        <f t="shared" si="27"/>
        <v>25</v>
      </c>
      <c r="V42" s="107">
        <f>MOPFRA!CI43</f>
        <v>-2.4201617249123584</v>
      </c>
      <c r="W42" s="140">
        <f t="shared" si="28"/>
        <v>32</v>
      </c>
      <c r="X42" s="20"/>
      <c r="Y42" s="107">
        <f>MOPFRA!DB43</f>
        <v>6</v>
      </c>
      <c r="Z42" s="140">
        <f t="shared" si="29"/>
        <v>1</v>
      </c>
      <c r="AA42" s="107">
        <f>MOPFRA!DO43</f>
        <v>1.9921339533930382E-2</v>
      </c>
      <c r="AB42" s="140">
        <f t="shared" si="30"/>
        <v>22</v>
      </c>
      <c r="AC42" s="107">
        <f>MOPFRA!DS43</f>
        <v>-2</v>
      </c>
      <c r="AD42" s="140">
        <f t="shared" si="31"/>
        <v>36</v>
      </c>
      <c r="AE42" s="100">
        <f t="shared" si="17"/>
        <v>-5.7512781330747558</v>
      </c>
      <c r="AF42" s="141">
        <f t="shared" si="18"/>
        <v>204.01992133953394</v>
      </c>
      <c r="AG42" s="140">
        <f t="shared" si="32"/>
        <v>33</v>
      </c>
    </row>
    <row r="43" spans="1:33" ht="34" customHeight="1">
      <c r="A43" s="142">
        <f t="shared" si="20"/>
        <v>38</v>
      </c>
      <c r="B43" s="100">
        <f t="shared" si="19"/>
        <v>-8.6546666382605597</v>
      </c>
      <c r="C43" s="936" t="str">
        <f>_xlfn.XLOOKUP($E43,MOPFRA!$R44:$R93,MOPFRA!O44:O93,"")</f>
        <v/>
      </c>
      <c r="D43" s="855" t="str">
        <f>MOPFRA!Q44</f>
        <v>آلوميناي ايران</v>
      </c>
      <c r="E43" s="855" t="str">
        <f>MOPFRA!R44</f>
        <v>آلومينا</v>
      </c>
      <c r="F43" s="66">
        <f>MOPFRA!T44</f>
        <v>30576.468010000001</v>
      </c>
      <c r="G43" s="126">
        <f>MOPFRA!W44</f>
        <v>152900</v>
      </c>
      <c r="H43" s="107">
        <f>MOPFRA!AV44</f>
        <v>0</v>
      </c>
      <c r="I43" s="140">
        <f t="shared" si="21"/>
        <v>23</v>
      </c>
      <c r="J43" s="107">
        <f>MOPFRA!BC44</f>
        <v>-8.6999999999999993</v>
      </c>
      <c r="K43" s="140">
        <f t="shared" si="22"/>
        <v>48</v>
      </c>
      <c r="L43" s="107">
        <f>MOPFRA!BK44</f>
        <v>0</v>
      </c>
      <c r="M43" s="140">
        <f t="shared" si="23"/>
        <v>2</v>
      </c>
      <c r="N43" s="107">
        <f>MOPFRA!BM44</f>
        <v>7.1552492038036757</v>
      </c>
      <c r="O43" s="140">
        <f t="shared" si="24"/>
        <v>25</v>
      </c>
      <c r="P43" s="107">
        <f>MOPFRA!BX44</f>
        <v>2.2394905974491408</v>
      </c>
      <c r="Q43" s="140">
        <f t="shared" si="25"/>
        <v>27</v>
      </c>
      <c r="R43" s="107">
        <f>MOPFRA!CE44</f>
        <v>-10</v>
      </c>
      <c r="S43" s="140">
        <f t="shared" si="26"/>
        <v>43</v>
      </c>
      <c r="T43" s="107">
        <f>MOPFRA!CG44</f>
        <v>1.2094684413541605</v>
      </c>
      <c r="U43" s="140">
        <f t="shared" si="27"/>
        <v>24</v>
      </c>
      <c r="V43" s="107">
        <f>MOPFRA!CI44</f>
        <v>-1.7855440272316803</v>
      </c>
      <c r="W43" s="140">
        <f t="shared" si="28"/>
        <v>24</v>
      </c>
      <c r="X43" s="20"/>
      <c r="Y43" s="107">
        <f>MOPFRA!DB44</f>
        <v>2.2266691463641433</v>
      </c>
      <c r="Z43" s="140">
        <f t="shared" si="29"/>
        <v>22</v>
      </c>
      <c r="AA43" s="107">
        <f>MOPFRA!DO44</f>
        <v>0</v>
      </c>
      <c r="AB43" s="140">
        <f t="shared" si="30"/>
        <v>24</v>
      </c>
      <c r="AC43" s="107">
        <f>MOPFRA!DS44</f>
        <v>-1</v>
      </c>
      <c r="AD43" s="140">
        <f t="shared" si="31"/>
        <v>25</v>
      </c>
      <c r="AE43" s="100">
        <f t="shared" si="17"/>
        <v>-8.6546666382605597</v>
      </c>
      <c r="AF43" s="141">
        <f t="shared" si="18"/>
        <v>237</v>
      </c>
      <c r="AG43" s="140">
        <f t="shared" si="32"/>
        <v>38</v>
      </c>
    </row>
    <row r="44" spans="1:33" ht="34" customHeight="1">
      <c r="A44" s="142">
        <f t="shared" si="20"/>
        <v>31</v>
      </c>
      <c r="B44" s="100">
        <f t="shared" si="19"/>
        <v>-12.256156490777114</v>
      </c>
      <c r="C44" s="936" t="str">
        <f>_xlfn.XLOOKUP($E44,MOPFRA!$R45:$R94,MOPFRA!O45:O94,"")</f>
        <v/>
      </c>
      <c r="D44" s="855" t="str">
        <f>MOPFRA!Q45</f>
        <v>صبا فولاد خليج فارس</v>
      </c>
      <c r="E44" s="855" t="str">
        <f>MOPFRA!R45</f>
        <v>فصبا</v>
      </c>
      <c r="F44" s="66">
        <f>MOPFRA!T45</f>
        <v>13975</v>
      </c>
      <c r="G44" s="126">
        <f>MOPFRA!W45</f>
        <v>2795</v>
      </c>
      <c r="H44" s="107">
        <f>MOPFRA!AV45</f>
        <v>3.4582637575584716</v>
      </c>
      <c r="I44" s="140">
        <f t="shared" si="21"/>
        <v>8</v>
      </c>
      <c r="J44" s="107">
        <f>MOPFRA!BC45</f>
        <v>10</v>
      </c>
      <c r="K44" s="140">
        <f t="shared" si="22"/>
        <v>1</v>
      </c>
      <c r="L44" s="107">
        <f>MOPFRA!BK45</f>
        <v>0</v>
      </c>
      <c r="M44" s="140">
        <f t="shared" si="23"/>
        <v>2</v>
      </c>
      <c r="N44" s="107">
        <f>MOPFRA!BM45</f>
        <v>10</v>
      </c>
      <c r="O44" s="140">
        <f t="shared" si="24"/>
        <v>1</v>
      </c>
      <c r="P44" s="107">
        <f>MOPFRA!BX45</f>
        <v>3.4216824447683747</v>
      </c>
      <c r="Q44" s="140">
        <f t="shared" si="25"/>
        <v>25</v>
      </c>
      <c r="R44" s="107">
        <f>MOPFRA!CE45</f>
        <v>-10</v>
      </c>
      <c r="S44" s="140">
        <f t="shared" si="26"/>
        <v>43</v>
      </c>
      <c r="T44" s="107">
        <f>MOPFRA!CG45</f>
        <v>-10</v>
      </c>
      <c r="U44" s="140">
        <f t="shared" si="27"/>
        <v>43</v>
      </c>
      <c r="V44" s="107">
        <f>MOPFRA!CI45</f>
        <v>-3.7164654215838335</v>
      </c>
      <c r="W44" s="140">
        <f t="shared" si="28"/>
        <v>42</v>
      </c>
      <c r="X44" s="20"/>
      <c r="Y44" s="107">
        <f>MOPFRA!DB45</f>
        <v>-3.6848762221759932</v>
      </c>
      <c r="Z44" s="140">
        <f t="shared" si="29"/>
        <v>49</v>
      </c>
      <c r="AA44" s="107">
        <f>MOPFRA!DO45</f>
        <v>-1.7347610493441323</v>
      </c>
      <c r="AB44" s="140">
        <f t="shared" si="30"/>
        <v>46</v>
      </c>
      <c r="AC44" s="107">
        <f>MOPFRA!DS45</f>
        <v>-10</v>
      </c>
      <c r="AD44" s="140">
        <f t="shared" si="31"/>
        <v>49</v>
      </c>
      <c r="AE44" s="100">
        <f t="shared" si="17"/>
        <v>-12.256156490777114</v>
      </c>
      <c r="AF44" s="141">
        <f t="shared" si="18"/>
        <v>202.26523895065586</v>
      </c>
      <c r="AG44" s="140">
        <f t="shared" si="32"/>
        <v>31</v>
      </c>
    </row>
    <row r="45" spans="1:33" ht="34" customHeight="1">
      <c r="A45" s="142">
        <f t="shared" si="20"/>
        <v>44</v>
      </c>
      <c r="B45" s="100">
        <f t="shared" si="19"/>
        <v>-16.082359578665564</v>
      </c>
      <c r="C45" s="936" t="str">
        <f>_xlfn.XLOOKUP($E45,MOPFRA!$R46:$R95,MOPFRA!O46:O95,"")</f>
        <v/>
      </c>
      <c r="D45" s="855" t="str">
        <f>MOPFRA!Q46</f>
        <v>گروه‌ صنعتي‌ بارز</v>
      </c>
      <c r="E45" s="855" t="str">
        <f>MOPFRA!R46</f>
        <v>پكرمان</v>
      </c>
      <c r="F45" s="66">
        <f>MOPFRA!T46</f>
        <v>11973.343999999999</v>
      </c>
      <c r="G45" s="126">
        <f>MOPFRA!W46</f>
        <v>6080</v>
      </c>
      <c r="H45" s="107">
        <f>MOPFRA!AV46</f>
        <v>-2.7157037246941949</v>
      </c>
      <c r="I45" s="140">
        <f t="shared" si="21"/>
        <v>42</v>
      </c>
      <c r="J45" s="107">
        <f>MOPFRA!BC46</f>
        <v>-1.3000000000000012</v>
      </c>
      <c r="K45" s="140">
        <f t="shared" si="22"/>
        <v>41</v>
      </c>
      <c r="L45" s="107">
        <f>MOPFRA!BK46</f>
        <v>0</v>
      </c>
      <c r="M45" s="140">
        <f t="shared" si="23"/>
        <v>2</v>
      </c>
      <c r="N45" s="107">
        <f>MOPFRA!BM46</f>
        <v>6.3215416216052445</v>
      </c>
      <c r="O45" s="140">
        <f t="shared" si="24"/>
        <v>27</v>
      </c>
      <c r="P45" s="107">
        <f>MOPFRA!BX46</f>
        <v>6.8639349818422835</v>
      </c>
      <c r="Q45" s="140">
        <f t="shared" si="25"/>
        <v>17</v>
      </c>
      <c r="R45" s="107">
        <f>MOPFRA!CE46</f>
        <v>-5.37</v>
      </c>
      <c r="S45" s="140">
        <f t="shared" si="26"/>
        <v>32</v>
      </c>
      <c r="T45" s="107">
        <f>MOPFRA!CG46</f>
        <v>-10</v>
      </c>
      <c r="U45" s="140">
        <f t="shared" si="27"/>
        <v>43</v>
      </c>
      <c r="V45" s="107">
        <f>MOPFRA!CI46</f>
        <v>-3.390119974795939</v>
      </c>
      <c r="W45" s="140">
        <f t="shared" si="28"/>
        <v>38</v>
      </c>
      <c r="X45" s="20"/>
      <c r="Y45" s="107">
        <f>MOPFRA!DB46</f>
        <v>-1.5063013698630137</v>
      </c>
      <c r="Z45" s="140">
        <f t="shared" si="29"/>
        <v>45</v>
      </c>
      <c r="AA45" s="107">
        <f>MOPFRA!DO46</f>
        <v>-0.98571111275994161</v>
      </c>
      <c r="AB45" s="140">
        <f t="shared" si="30"/>
        <v>40</v>
      </c>
      <c r="AC45" s="107">
        <f>MOPFRA!DS46</f>
        <v>-4</v>
      </c>
      <c r="AD45" s="140">
        <f t="shared" si="31"/>
        <v>44</v>
      </c>
      <c r="AE45" s="100">
        <f t="shared" si="17"/>
        <v>-16.082359578665564</v>
      </c>
      <c r="AF45" s="141">
        <f t="shared" si="18"/>
        <v>282.01428888724007</v>
      </c>
      <c r="AG45" s="140">
        <f t="shared" si="32"/>
        <v>44</v>
      </c>
    </row>
    <row r="46" spans="1:33" ht="34" customHeight="1">
      <c r="A46" s="142">
        <f t="shared" si="20"/>
        <v>45</v>
      </c>
      <c r="B46" s="100">
        <f t="shared" si="19"/>
        <v>-21.000719895593619</v>
      </c>
      <c r="C46" s="936" t="str">
        <f>_xlfn.XLOOKUP($E46,MOPFRA!$R47:$R96,MOPFRA!O47:O96,"")</f>
        <v/>
      </c>
      <c r="D46" s="855" t="str">
        <f>MOPFRA!Q47</f>
        <v>معدني‌وصنعتي‌چادرملو</v>
      </c>
      <c r="E46" s="855" t="str">
        <f>MOPFRA!R47</f>
        <v>كچاد</v>
      </c>
      <c r="F46" s="66">
        <f>MOPFRA!T47</f>
        <v>136988.54999999999</v>
      </c>
      <c r="G46" s="126">
        <f>MOPFRA!W47</f>
        <v>2397</v>
      </c>
      <c r="H46" s="107">
        <f>MOPFRA!AV47</f>
        <v>10</v>
      </c>
      <c r="I46" s="140">
        <f t="shared" si="21"/>
        <v>1</v>
      </c>
      <c r="J46" s="107">
        <f>MOPFRA!BC47</f>
        <v>-7.3999999999999986</v>
      </c>
      <c r="K46" s="140">
        <f t="shared" si="22"/>
        <v>47</v>
      </c>
      <c r="L46" s="107">
        <f>MOPFRA!BK47</f>
        <v>0</v>
      </c>
      <c r="M46" s="140">
        <f t="shared" si="23"/>
        <v>2</v>
      </c>
      <c r="N46" s="107">
        <f>MOPFRA!BM47</f>
        <v>3.4380811546426573</v>
      </c>
      <c r="O46" s="140">
        <f t="shared" si="24"/>
        <v>31</v>
      </c>
      <c r="P46" s="107">
        <f>MOPFRA!BX47</f>
        <v>-4.6046728638360079</v>
      </c>
      <c r="Q46" s="140">
        <f t="shared" si="25"/>
        <v>38</v>
      </c>
      <c r="R46" s="107">
        <f>MOPFRA!CE47</f>
        <v>-9.9600000000000009</v>
      </c>
      <c r="S46" s="140">
        <f t="shared" si="26"/>
        <v>42</v>
      </c>
      <c r="T46" s="107">
        <f>MOPFRA!CG47</f>
        <v>-4.3910882118191097</v>
      </c>
      <c r="U46" s="140">
        <f t="shared" si="27"/>
        <v>40</v>
      </c>
      <c r="V46" s="107">
        <f>MOPFRA!CI47</f>
        <v>-3.7661190199225008</v>
      </c>
      <c r="W46" s="140">
        <f t="shared" si="28"/>
        <v>44</v>
      </c>
      <c r="X46" s="20"/>
      <c r="Y46" s="107">
        <f>MOPFRA!DB47</f>
        <v>-0.96673189823874672</v>
      </c>
      <c r="Z46" s="140">
        <f t="shared" si="29"/>
        <v>44</v>
      </c>
      <c r="AA46" s="107">
        <f>MOPFRA!DO47</f>
        <v>-1.3501890564199086</v>
      </c>
      <c r="AB46" s="140">
        <f t="shared" si="30"/>
        <v>44</v>
      </c>
      <c r="AC46" s="107">
        <f>MOPFRA!DS47</f>
        <v>-2</v>
      </c>
      <c r="AD46" s="140">
        <f t="shared" si="31"/>
        <v>36</v>
      </c>
      <c r="AE46" s="100">
        <f t="shared" si="17"/>
        <v>-21.000719895593619</v>
      </c>
      <c r="AF46" s="141">
        <f t="shared" si="18"/>
        <v>285.64981094358006</v>
      </c>
      <c r="AG46" s="140">
        <f t="shared" si="32"/>
        <v>45</v>
      </c>
    </row>
    <row r="47" spans="1:33" ht="34" customHeight="1">
      <c r="A47" s="142">
        <f t="shared" si="20"/>
        <v>41</v>
      </c>
      <c r="B47" s="100">
        <f t="shared" si="19"/>
        <v>-19.430894563608156</v>
      </c>
      <c r="C47" s="936" t="str">
        <f>_xlfn.XLOOKUP($E47,MOPFRA!$R48:$R97,MOPFRA!O48:O97,"")</f>
        <v/>
      </c>
      <c r="D47" s="855" t="str">
        <f>MOPFRA!Q48</f>
        <v>گلتاش‌</v>
      </c>
      <c r="E47" s="855" t="str">
        <f>MOPFRA!R48</f>
        <v>شگل</v>
      </c>
      <c r="F47" s="66">
        <f>MOPFRA!T48</f>
        <v>4804.2</v>
      </c>
      <c r="G47" s="126">
        <f>MOPFRA!W48</f>
        <v>2826</v>
      </c>
      <c r="H47" s="107">
        <f>MOPFRA!AV48</f>
        <v>-0.77752447621781018</v>
      </c>
      <c r="I47" s="140">
        <f t="shared" si="21"/>
        <v>36</v>
      </c>
      <c r="J47" s="107">
        <f>MOPFRA!BC48</f>
        <v>8.3999999999999986</v>
      </c>
      <c r="K47" s="140">
        <f t="shared" si="22"/>
        <v>14</v>
      </c>
      <c r="L47" s="107">
        <f>MOPFRA!BK48</f>
        <v>0</v>
      </c>
      <c r="M47" s="140">
        <f t="shared" si="23"/>
        <v>2</v>
      </c>
      <c r="N47" s="107">
        <f>MOPFRA!BM48</f>
        <v>-10</v>
      </c>
      <c r="O47" s="140">
        <f t="shared" si="24"/>
        <v>43</v>
      </c>
      <c r="P47" s="107">
        <f>MOPFRA!BX48</f>
        <v>-0.4073023938681164</v>
      </c>
      <c r="Q47" s="140">
        <f t="shared" si="25"/>
        <v>31</v>
      </c>
      <c r="R47" s="107">
        <f>MOPFRA!CE48</f>
        <v>-9</v>
      </c>
      <c r="S47" s="140">
        <f t="shared" si="26"/>
        <v>39</v>
      </c>
      <c r="T47" s="107">
        <f>MOPFRA!CG48</f>
        <v>-2.7421241044138291</v>
      </c>
      <c r="U47" s="140">
        <f t="shared" si="27"/>
        <v>37</v>
      </c>
      <c r="V47" s="107">
        <f>MOPFRA!CI48</f>
        <v>-3.4191896662254946</v>
      </c>
      <c r="W47" s="140">
        <f t="shared" si="28"/>
        <v>39</v>
      </c>
      <c r="X47" s="20"/>
      <c r="Y47" s="107">
        <f>MOPFRA!DB48</f>
        <v>1.052511229073092</v>
      </c>
      <c r="Z47" s="140">
        <f t="shared" si="29"/>
        <v>27</v>
      </c>
      <c r="AA47" s="107">
        <f>MOPFRA!DO48</f>
        <v>0.46273484804400189</v>
      </c>
      <c r="AB47" s="140">
        <f t="shared" si="30"/>
        <v>18</v>
      </c>
      <c r="AC47" s="107">
        <f>MOPFRA!DS48</f>
        <v>-3</v>
      </c>
      <c r="AD47" s="140">
        <f t="shared" si="31"/>
        <v>41</v>
      </c>
      <c r="AE47" s="100">
        <f t="shared" si="17"/>
        <v>-19.430894563608156</v>
      </c>
      <c r="AF47" s="141">
        <f t="shared" si="18"/>
        <v>265.46273484804402</v>
      </c>
      <c r="AG47" s="140">
        <f t="shared" si="32"/>
        <v>41</v>
      </c>
    </row>
    <row r="48" spans="1:33" ht="34" customHeight="1">
      <c r="A48" s="142">
        <f t="shared" si="20"/>
        <v>42</v>
      </c>
      <c r="B48" s="100">
        <f t="shared" si="19"/>
        <v>-19.324231968038298</v>
      </c>
      <c r="C48" s="936" t="str">
        <f>_xlfn.XLOOKUP($E48,MOPFRA!$R49:$R98,MOPFRA!O49:O98,"")</f>
        <v>Closed</v>
      </c>
      <c r="D48" s="855" t="str">
        <f>MOPFRA!Q49</f>
        <v>فولاد مباركه اصفهان</v>
      </c>
      <c r="E48" s="855" t="str">
        <f>MOPFRA!R49</f>
        <v>فولاد</v>
      </c>
      <c r="F48" s="66">
        <f>MOPFRA!T49</f>
        <v>493231.5</v>
      </c>
      <c r="G48" s="126">
        <f>MOPFRA!W49</f>
        <v>2549</v>
      </c>
      <c r="H48" s="107">
        <f>MOPFRA!AV49</f>
        <v>-1.5597428827440474</v>
      </c>
      <c r="I48" s="140">
        <f t="shared" si="21"/>
        <v>38</v>
      </c>
      <c r="J48" s="107">
        <f>MOPFRA!BC49</f>
        <v>-4.4000000000000012</v>
      </c>
      <c r="K48" s="140">
        <f t="shared" si="22"/>
        <v>45</v>
      </c>
      <c r="L48" s="107">
        <f>MOPFRA!BK49</f>
        <v>0</v>
      </c>
      <c r="M48" s="140">
        <f t="shared" si="23"/>
        <v>2</v>
      </c>
      <c r="N48" s="107">
        <f>MOPFRA!BM49</f>
        <v>3.9766038919215574</v>
      </c>
      <c r="O48" s="140">
        <f t="shared" si="24"/>
        <v>29</v>
      </c>
      <c r="P48" s="107">
        <f>MOPFRA!BX49</f>
        <v>-8.4554906823195974</v>
      </c>
      <c r="Q48" s="140">
        <f t="shared" si="25"/>
        <v>41</v>
      </c>
      <c r="R48" s="107">
        <f>MOPFRA!CE49</f>
        <v>-9.0000000000000746E-2</v>
      </c>
      <c r="S48" s="140">
        <f t="shared" si="26"/>
        <v>11</v>
      </c>
      <c r="T48" s="107">
        <f>MOPFRA!CG49</f>
        <v>-7.7183012349786608</v>
      </c>
      <c r="U48" s="140">
        <f t="shared" si="27"/>
        <v>42</v>
      </c>
      <c r="V48" s="107">
        <f>MOPFRA!CI49</f>
        <v>-4.5051067444744506</v>
      </c>
      <c r="W48" s="140">
        <f t="shared" si="28"/>
        <v>48</v>
      </c>
      <c r="X48" s="20"/>
      <c r="Y48" s="107">
        <f>MOPFRA!DB49</f>
        <v>3.4438787071517627</v>
      </c>
      <c r="Z48" s="140">
        <f t="shared" si="29"/>
        <v>17</v>
      </c>
      <c r="AA48" s="107">
        <f>MOPFRA!DO49</f>
        <v>0.98392697740514012</v>
      </c>
      <c r="AB48" s="140">
        <f t="shared" si="30"/>
        <v>10</v>
      </c>
      <c r="AC48" s="107">
        <f>MOPFRA!DS49</f>
        <v>-1</v>
      </c>
      <c r="AD48" s="140">
        <f t="shared" si="31"/>
        <v>25</v>
      </c>
      <c r="AE48" s="100">
        <f t="shared" si="17"/>
        <v>-19.324231968038298</v>
      </c>
      <c r="AF48" s="141">
        <f t="shared" si="18"/>
        <v>272.98392697740513</v>
      </c>
      <c r="AG48" s="140">
        <f t="shared" si="32"/>
        <v>42</v>
      </c>
    </row>
    <row r="49" spans="1:33" ht="34" customHeight="1">
      <c r="A49" s="142">
        <f t="shared" si="20"/>
        <v>43</v>
      </c>
      <c r="B49" s="100">
        <f t="shared" si="19"/>
        <v>-22.462275219400578</v>
      </c>
      <c r="C49" s="936" t="str">
        <f>_xlfn.XLOOKUP($E49,MOPFRA!$R50:$R99,MOPFRA!O50:O99,"")</f>
        <v/>
      </c>
      <c r="D49" s="855" t="str">
        <f>MOPFRA!Q50</f>
        <v>مس‌ شهيدباهنر</v>
      </c>
      <c r="E49" s="855" t="str">
        <f>MOPFRA!R50</f>
        <v>فباهنر</v>
      </c>
      <c r="F49" s="66">
        <f>MOPFRA!T50</f>
        <v>26549.99856</v>
      </c>
      <c r="G49" s="126">
        <f>MOPFRA!W50</f>
        <v>10800</v>
      </c>
      <c r="H49" s="107">
        <f>MOPFRA!AV50</f>
        <v>10</v>
      </c>
      <c r="I49" s="140">
        <f t="shared" si="21"/>
        <v>1</v>
      </c>
      <c r="J49" s="107">
        <f>MOPFRA!BC50</f>
        <v>-3.6000000000000005</v>
      </c>
      <c r="K49" s="140">
        <f t="shared" si="22"/>
        <v>43</v>
      </c>
      <c r="L49" s="107">
        <f>MOPFRA!BK50</f>
        <v>0</v>
      </c>
      <c r="M49" s="140">
        <f t="shared" si="23"/>
        <v>2</v>
      </c>
      <c r="N49" s="107">
        <f>MOPFRA!BM50</f>
        <v>8.7497151900382093</v>
      </c>
      <c r="O49" s="140">
        <f t="shared" si="24"/>
        <v>22</v>
      </c>
      <c r="P49" s="107">
        <f>MOPFRA!BX50</f>
        <v>-10</v>
      </c>
      <c r="Q49" s="140">
        <f t="shared" si="25"/>
        <v>43</v>
      </c>
      <c r="R49" s="107">
        <f>MOPFRA!CE50</f>
        <v>-10</v>
      </c>
      <c r="S49" s="140">
        <f t="shared" si="26"/>
        <v>43</v>
      </c>
      <c r="T49" s="107">
        <f>MOPFRA!CG50</f>
        <v>-10</v>
      </c>
      <c r="U49" s="140">
        <f t="shared" si="27"/>
        <v>43</v>
      </c>
      <c r="V49" s="107">
        <f>MOPFRA!CI50</f>
        <v>-4.2039876135839105</v>
      </c>
      <c r="W49" s="140">
        <f t="shared" si="28"/>
        <v>46</v>
      </c>
      <c r="X49" s="20"/>
      <c r="Y49" s="107">
        <f>MOPFRA!DB50</f>
        <v>-0.61314824219852149</v>
      </c>
      <c r="Z49" s="140">
        <f t="shared" si="29"/>
        <v>39</v>
      </c>
      <c r="AA49" s="107">
        <f>MOPFRA!DO50</f>
        <v>-1.7948545536563532</v>
      </c>
      <c r="AB49" s="140">
        <f t="shared" si="30"/>
        <v>47</v>
      </c>
      <c r="AC49" s="107">
        <f>MOPFRA!DS50</f>
        <v>-1</v>
      </c>
      <c r="AD49" s="140">
        <f t="shared" si="31"/>
        <v>25</v>
      </c>
      <c r="AE49" s="100">
        <f t="shared" si="17"/>
        <v>-22.462275219400578</v>
      </c>
      <c r="AF49" s="141">
        <f t="shared" si="18"/>
        <v>279.20514544634364</v>
      </c>
      <c r="AG49" s="140">
        <f t="shared" si="32"/>
        <v>43</v>
      </c>
    </row>
    <row r="50" spans="1:33" ht="34" customHeight="1">
      <c r="A50" s="142">
        <f t="shared" si="20"/>
        <v>40</v>
      </c>
      <c r="B50" s="100">
        <f t="shared" si="19"/>
        <v>-24.01592737459827</v>
      </c>
      <c r="C50" s="936" t="str">
        <f>_xlfn.XLOOKUP($E50,MOPFRA!$R51:$R100,MOPFRA!O51:O100,"")</f>
        <v/>
      </c>
      <c r="D50" s="855" t="str">
        <f>MOPFRA!Q51</f>
        <v>توسعه فن افزار توسن</v>
      </c>
      <c r="E50" s="855" t="str">
        <f>MOPFRA!R51</f>
        <v>فن‌ افزار</v>
      </c>
      <c r="F50" s="66">
        <f>MOPFRA!T51</f>
        <v>4464</v>
      </c>
      <c r="G50" s="126">
        <f>MOPFRA!W51</f>
        <v>7440</v>
      </c>
      <c r="H50" s="107">
        <f>MOPFRA!AV51</f>
        <v>0</v>
      </c>
      <c r="I50" s="140">
        <f t="shared" si="21"/>
        <v>23</v>
      </c>
      <c r="J50" s="107">
        <f>MOPFRA!BC51</f>
        <v>0.20000000000000018</v>
      </c>
      <c r="K50" s="140">
        <f t="shared" si="22"/>
        <v>38</v>
      </c>
      <c r="L50" s="107">
        <f>MOPFRA!BK51</f>
        <v>0</v>
      </c>
      <c r="M50" s="140">
        <f t="shared" si="23"/>
        <v>2</v>
      </c>
      <c r="N50" s="107">
        <f>MOPFRA!BM51</f>
        <v>-10</v>
      </c>
      <c r="O50" s="140">
        <f t="shared" si="24"/>
        <v>43</v>
      </c>
      <c r="P50" s="107">
        <f>MOPFRA!BX51</f>
        <v>1.6060706401849645</v>
      </c>
      <c r="Q50" s="140">
        <f t="shared" si="25"/>
        <v>28</v>
      </c>
      <c r="R50" s="107">
        <f>MOPFRA!CE51</f>
        <v>-9.0000000000000746E-2</v>
      </c>
      <c r="S50" s="140">
        <f t="shared" si="26"/>
        <v>11</v>
      </c>
      <c r="T50" s="107">
        <f>MOPFRA!CG51</f>
        <v>-10</v>
      </c>
      <c r="U50" s="140">
        <f t="shared" si="27"/>
        <v>43</v>
      </c>
      <c r="V50" s="107">
        <f>MOPFRA!CI51</f>
        <v>-3.5209760779186006</v>
      </c>
      <c r="W50" s="140">
        <f t="shared" si="28"/>
        <v>41</v>
      </c>
      <c r="X50" s="20"/>
      <c r="Y50" s="107">
        <f>MOPFRA!DB51</f>
        <v>-0.21102193686463266</v>
      </c>
      <c r="Z50" s="140">
        <f t="shared" si="29"/>
        <v>34</v>
      </c>
      <c r="AA50" s="107">
        <f>MOPFRA!DO51</f>
        <v>0</v>
      </c>
      <c r="AB50" s="140">
        <f t="shared" si="30"/>
        <v>24</v>
      </c>
      <c r="AC50" s="107">
        <f>MOPFRA!DS51</f>
        <v>-2</v>
      </c>
      <c r="AD50" s="140">
        <f t="shared" si="31"/>
        <v>36</v>
      </c>
      <c r="AE50" s="100">
        <f t="shared" si="17"/>
        <v>-24.01592737459827</v>
      </c>
      <c r="AF50" s="141">
        <f t="shared" si="18"/>
        <v>261</v>
      </c>
      <c r="AG50" s="140">
        <f t="shared" si="32"/>
        <v>40</v>
      </c>
    </row>
    <row r="51" spans="1:33" ht="34" customHeight="1">
      <c r="A51" s="142">
        <f t="shared" si="20"/>
        <v>47</v>
      </c>
      <c r="B51" s="100">
        <f t="shared" si="19"/>
        <v>-37.21765493050718</v>
      </c>
      <c r="C51" s="936" t="str">
        <f>_xlfn.XLOOKUP($E51,MOPFRA!$R52:$R101,MOPFRA!O52:O101,"")</f>
        <v/>
      </c>
      <c r="D51" s="855" t="str">
        <f>MOPFRA!Q52</f>
        <v>پتروشيمي مارون</v>
      </c>
      <c r="E51" s="855" t="str">
        <f>MOPFRA!R52</f>
        <v>مارون</v>
      </c>
      <c r="F51" s="66">
        <f>MOPFRA!T52</f>
        <v>128409</v>
      </c>
      <c r="G51" s="126">
        <f>MOPFRA!W52</f>
        <v>55830</v>
      </c>
      <c r="H51" s="107">
        <f>MOPFRA!AV52</f>
        <v>0.24110543699678466</v>
      </c>
      <c r="I51" s="140">
        <f t="shared" si="21"/>
        <v>21</v>
      </c>
      <c r="J51" s="107">
        <f>MOPFRA!BC52</f>
        <v>-4.3999999999999995</v>
      </c>
      <c r="K51" s="140">
        <f t="shared" si="22"/>
        <v>44</v>
      </c>
      <c r="L51" s="107">
        <f>MOPFRA!BK52</f>
        <v>0</v>
      </c>
      <c r="M51" s="140">
        <f t="shared" si="23"/>
        <v>2</v>
      </c>
      <c r="N51" s="107">
        <f>MOPFRA!BM52</f>
        <v>3.6588244164765391</v>
      </c>
      <c r="O51" s="140">
        <f t="shared" si="24"/>
        <v>30</v>
      </c>
      <c r="P51" s="107">
        <f>MOPFRA!BX52</f>
        <v>-10</v>
      </c>
      <c r="Q51" s="140">
        <f t="shared" si="25"/>
        <v>43</v>
      </c>
      <c r="R51" s="107">
        <f>MOPFRA!CE52</f>
        <v>-2.7000000000000011</v>
      </c>
      <c r="S51" s="140">
        <f t="shared" si="26"/>
        <v>21</v>
      </c>
      <c r="T51" s="107">
        <f>MOPFRA!CG52</f>
        <v>-10</v>
      </c>
      <c r="U51" s="140">
        <f t="shared" si="27"/>
        <v>43</v>
      </c>
      <c r="V51" s="107">
        <f>MOPFRA!CI52</f>
        <v>-3.7306590867309675</v>
      </c>
      <c r="W51" s="140">
        <f t="shared" si="28"/>
        <v>43</v>
      </c>
      <c r="X51" s="20"/>
      <c r="Y51" s="107">
        <f>MOPFRA!DB52</f>
        <v>-4.1430506214143641</v>
      </c>
      <c r="Z51" s="140">
        <f t="shared" si="29"/>
        <v>50</v>
      </c>
      <c r="AA51" s="107">
        <f>MOPFRA!DO52</f>
        <v>0.85612492416482611</v>
      </c>
      <c r="AB51" s="140">
        <f t="shared" si="30"/>
        <v>13</v>
      </c>
      <c r="AC51" s="107">
        <f>MOPFRA!DS52</f>
        <v>-7</v>
      </c>
      <c r="AD51" s="140">
        <f t="shared" si="31"/>
        <v>48</v>
      </c>
      <c r="AE51" s="100">
        <f t="shared" si="17"/>
        <v>-37.21765493050718</v>
      </c>
      <c r="AF51" s="141">
        <f t="shared" si="18"/>
        <v>290.85612492416482</v>
      </c>
      <c r="AG51" s="140">
        <f t="shared" si="32"/>
        <v>47</v>
      </c>
    </row>
    <row r="52" spans="1:33" ht="34" customHeight="1">
      <c r="A52" s="142">
        <f t="shared" si="20"/>
        <v>50</v>
      </c>
      <c r="B52" s="100">
        <f t="shared" si="19"/>
        <v>-38.669656839078094</v>
      </c>
      <c r="C52" s="936" t="str">
        <f>_xlfn.XLOOKUP($E52,MOPFRA!$R53:$R102,MOPFRA!O53:O102,"")</f>
        <v/>
      </c>
      <c r="D52" s="855" t="str">
        <f>MOPFRA!Q53</f>
        <v>پتروشيمي تندگويان</v>
      </c>
      <c r="E52" s="855" t="str">
        <f>MOPFRA!R53</f>
        <v>شگويا</v>
      </c>
      <c r="F52" s="66">
        <f>MOPFRA!T53</f>
        <v>27370</v>
      </c>
      <c r="G52" s="126">
        <f>MOPFRA!W53</f>
        <v>8050</v>
      </c>
      <c r="H52" s="107">
        <f>MOPFRA!AV53</f>
        <v>0</v>
      </c>
      <c r="I52" s="140">
        <f t="shared" si="21"/>
        <v>23</v>
      </c>
      <c r="J52" s="107">
        <f>MOPFRA!BC53</f>
        <v>-4.8</v>
      </c>
      <c r="K52" s="140">
        <f t="shared" si="22"/>
        <v>46</v>
      </c>
      <c r="L52" s="107">
        <f>MOPFRA!BK53</f>
        <v>0</v>
      </c>
      <c r="M52" s="140">
        <f t="shared" si="23"/>
        <v>2</v>
      </c>
      <c r="N52" s="107">
        <f>MOPFRA!BM53</f>
        <v>-3.0675310056466745</v>
      </c>
      <c r="O52" s="140">
        <f t="shared" si="24"/>
        <v>34</v>
      </c>
      <c r="P52" s="107">
        <f>MOPFRA!BX53</f>
        <v>-10</v>
      </c>
      <c r="Q52" s="140">
        <f t="shared" si="25"/>
        <v>43</v>
      </c>
      <c r="R52" s="107">
        <f>MOPFRA!CE53</f>
        <v>-6.8999999999999995</v>
      </c>
      <c r="S52" s="140">
        <f t="shared" si="26"/>
        <v>36</v>
      </c>
      <c r="T52" s="107">
        <f>MOPFRA!CG53</f>
        <v>-10</v>
      </c>
      <c r="U52" s="140">
        <f t="shared" si="27"/>
        <v>43</v>
      </c>
      <c r="V52" s="107">
        <f>MOPFRA!CI53</f>
        <v>-5.9501566696975479</v>
      </c>
      <c r="W52" s="140">
        <f t="shared" si="28"/>
        <v>50</v>
      </c>
      <c r="X52" s="20"/>
      <c r="Y52" s="107">
        <f>MOPFRA!DB53</f>
        <v>-2.9519691637338692</v>
      </c>
      <c r="Z52" s="140">
        <f t="shared" si="29"/>
        <v>47</v>
      </c>
      <c r="AA52" s="107">
        <f>MOPFRA!DO53</f>
        <v>0</v>
      </c>
      <c r="AB52" s="140">
        <f t="shared" si="30"/>
        <v>24</v>
      </c>
      <c r="AC52" s="107">
        <f>MOPFRA!DS53</f>
        <v>5</v>
      </c>
      <c r="AD52" s="140">
        <f t="shared" si="31"/>
        <v>1</v>
      </c>
      <c r="AE52" s="100">
        <f t="shared" si="17"/>
        <v>-38.669656839078094</v>
      </c>
      <c r="AF52" s="141">
        <f t="shared" si="18"/>
        <v>329</v>
      </c>
      <c r="AG52" s="140">
        <f t="shared" si="32"/>
        <v>50</v>
      </c>
    </row>
    <row r="53" spans="1:33" ht="34" customHeight="1">
      <c r="A53" s="142">
        <f t="shared" si="20"/>
        <v>46</v>
      </c>
      <c r="B53" s="100">
        <f t="shared" si="19"/>
        <v>-40.294632979004746</v>
      </c>
      <c r="C53" s="936" t="str">
        <f>_xlfn.XLOOKUP($E53,MOPFRA!$R54:$R103,MOPFRA!O54:O103,"")</f>
        <v/>
      </c>
      <c r="D53" s="855" t="str">
        <f>MOPFRA!Q54</f>
        <v>معدنكاران نسوز</v>
      </c>
      <c r="E53" s="855" t="str">
        <f>MOPFRA!R54</f>
        <v>كانسار</v>
      </c>
      <c r="F53" s="66">
        <f>MOPFRA!T54</f>
        <v>7873.6</v>
      </c>
      <c r="G53" s="126">
        <f>MOPFRA!W54</f>
        <v>14060</v>
      </c>
      <c r="H53" s="107">
        <f>MOPFRA!AV54</f>
        <v>-10</v>
      </c>
      <c r="I53" s="140">
        <f t="shared" si="21"/>
        <v>48</v>
      </c>
      <c r="J53" s="107">
        <f>MOPFRA!BC54</f>
        <v>-10</v>
      </c>
      <c r="K53" s="140">
        <f t="shared" si="22"/>
        <v>49</v>
      </c>
      <c r="L53" s="107">
        <f>MOPFRA!BK54</f>
        <v>0</v>
      </c>
      <c r="M53" s="140">
        <f t="shared" si="23"/>
        <v>2</v>
      </c>
      <c r="N53" s="107">
        <f>MOPFRA!BM54</f>
        <v>-5.543278235258013</v>
      </c>
      <c r="O53" s="140">
        <f t="shared" si="24"/>
        <v>38</v>
      </c>
      <c r="P53" s="107">
        <f>MOPFRA!BX54</f>
        <v>-10</v>
      </c>
      <c r="Q53" s="140">
        <f t="shared" si="25"/>
        <v>43</v>
      </c>
      <c r="R53" s="107">
        <f>MOPFRA!CE54</f>
        <v>-10</v>
      </c>
      <c r="S53" s="140">
        <f t="shared" si="26"/>
        <v>43</v>
      </c>
      <c r="T53" s="107">
        <f>MOPFRA!CG54</f>
        <v>3.1383717836129126</v>
      </c>
      <c r="U53" s="140">
        <f t="shared" si="27"/>
        <v>16</v>
      </c>
      <c r="V53" s="107">
        <f>MOPFRA!CI54</f>
        <v>-4.239915583779549</v>
      </c>
      <c r="W53" s="140">
        <f t="shared" si="28"/>
        <v>47</v>
      </c>
      <c r="X53" s="20"/>
      <c r="Y53" s="107">
        <f>MOPFRA!DB54</f>
        <v>6</v>
      </c>
      <c r="Z53" s="140">
        <f t="shared" si="29"/>
        <v>1</v>
      </c>
      <c r="AA53" s="107">
        <f>MOPFRA!DO54</f>
        <v>1.3501890564199091</v>
      </c>
      <c r="AB53" s="140">
        <f t="shared" si="30"/>
        <v>5</v>
      </c>
      <c r="AC53" s="107">
        <f>MOPFRA!DS54</f>
        <v>-1</v>
      </c>
      <c r="AD53" s="140">
        <f t="shared" si="31"/>
        <v>25</v>
      </c>
      <c r="AE53" s="100">
        <f t="shared" si="17"/>
        <v>-40.294632979004746</v>
      </c>
      <c r="AF53" s="141">
        <f t="shared" si="18"/>
        <v>287.35018905641994</v>
      </c>
      <c r="AG53" s="140">
        <f t="shared" si="32"/>
        <v>46</v>
      </c>
    </row>
    <row r="54" spans="1:33" ht="34" customHeight="1">
      <c r="A54" s="142">
        <f t="shared" si="20"/>
        <v>48</v>
      </c>
      <c r="B54" s="100">
        <f t="shared" si="19"/>
        <v>-54.028353963789172</v>
      </c>
      <c r="C54" s="936" t="str">
        <f>_xlfn.XLOOKUP($E54,MOPFRA!$R55:$R105,MOPFRA!O55:O105,"")</f>
        <v/>
      </c>
      <c r="D54" s="855" t="str">
        <f>MOPFRA!Q55</f>
        <v>پليمر آريا ساسول</v>
      </c>
      <c r="E54" s="855" t="str">
        <f>MOPFRA!R55</f>
        <v>آريا</v>
      </c>
      <c r="F54" s="66">
        <f>MOPFRA!T55</f>
        <v>99732.898799999995</v>
      </c>
      <c r="G54" s="126">
        <f>MOPFRA!W55</f>
        <v>29010</v>
      </c>
      <c r="H54" s="107">
        <f>MOPFRA!AV55</f>
        <v>-10</v>
      </c>
      <c r="I54" s="140">
        <f t="shared" si="21"/>
        <v>48</v>
      </c>
      <c r="J54" s="107">
        <f>MOPFRA!BC55</f>
        <v>0.9000000000000008</v>
      </c>
      <c r="K54" s="140">
        <f t="shared" si="22"/>
        <v>35</v>
      </c>
      <c r="L54" s="107">
        <f>MOPFRA!BK55</f>
        <v>0</v>
      </c>
      <c r="M54" s="140">
        <f t="shared" si="23"/>
        <v>2</v>
      </c>
      <c r="N54" s="107">
        <f>MOPFRA!BM55</f>
        <v>-10</v>
      </c>
      <c r="O54" s="140">
        <f t="shared" si="24"/>
        <v>43</v>
      </c>
      <c r="P54" s="107">
        <f>MOPFRA!BX55</f>
        <v>-10</v>
      </c>
      <c r="Q54" s="140">
        <f t="shared" si="25"/>
        <v>43</v>
      </c>
      <c r="R54" s="107">
        <f>MOPFRA!CE55</f>
        <v>-2.8500000000000005</v>
      </c>
      <c r="S54" s="140">
        <f t="shared" si="26"/>
        <v>22</v>
      </c>
      <c r="T54" s="107">
        <f>MOPFRA!CG55</f>
        <v>-10</v>
      </c>
      <c r="U54" s="140">
        <f t="shared" si="27"/>
        <v>43</v>
      </c>
      <c r="V54" s="107">
        <f>MOPFRA!CI55</f>
        <v>-3.8644231979454648</v>
      </c>
      <c r="W54" s="140">
        <f t="shared" si="28"/>
        <v>45</v>
      </c>
      <c r="X54" s="20"/>
      <c r="Y54" s="107">
        <f>MOPFRA!DB55</f>
        <v>-3.340706853628955</v>
      </c>
      <c r="Z54" s="140">
        <f t="shared" si="29"/>
        <v>48</v>
      </c>
      <c r="AA54" s="107">
        <f>MOPFRA!DO55</f>
        <v>-0.87322391221475337</v>
      </c>
      <c r="AB54" s="140">
        <f t="shared" si="30"/>
        <v>39</v>
      </c>
      <c r="AC54" s="107">
        <f>MOPFRA!DS55</f>
        <v>-4</v>
      </c>
      <c r="AD54" s="140">
        <f t="shared" si="31"/>
        <v>44</v>
      </c>
      <c r="AE54" s="100">
        <f t="shared" si="17"/>
        <v>-54.028353963789172</v>
      </c>
      <c r="AF54" s="141">
        <f t="shared" si="18"/>
        <v>324.12677608778523</v>
      </c>
      <c r="AG54" s="140">
        <f t="shared" si="32"/>
        <v>48</v>
      </c>
    </row>
    <row r="55" spans="1:33" ht="34" customHeight="1">
      <c r="A55" s="142">
        <f t="shared" si="20"/>
        <v>49</v>
      </c>
      <c r="B55" s="100">
        <f t="shared" si="19"/>
        <v>-65.423574066630209</v>
      </c>
      <c r="C55" s="936" t="str">
        <f>_xlfn.XLOOKUP($E55,MOPFRA!$R56:$R106,MOPFRA!O56:O106,"")</f>
        <v/>
      </c>
      <c r="D55" s="855" t="str">
        <f>MOPFRA!Q56</f>
        <v>پتروشيمي اروند</v>
      </c>
      <c r="E55" s="855" t="str">
        <f>MOPFRA!R56</f>
        <v>اروند</v>
      </c>
      <c r="F55" s="66">
        <f>MOPFRA!T56</f>
        <v>55932</v>
      </c>
      <c r="G55" s="126">
        <f>MOPFRA!W56</f>
        <v>46610</v>
      </c>
      <c r="H55" s="107">
        <f>MOPFRA!AV56</f>
        <v>0</v>
      </c>
      <c r="I55" s="140">
        <f t="shared" si="21"/>
        <v>23</v>
      </c>
      <c r="J55" s="107">
        <f>MOPFRA!BC56</f>
        <v>-10</v>
      </c>
      <c r="K55" s="140">
        <f t="shared" si="22"/>
        <v>49</v>
      </c>
      <c r="L55" s="107">
        <f>MOPFRA!BK56</f>
        <v>0</v>
      </c>
      <c r="M55" s="140">
        <f t="shared" si="23"/>
        <v>2</v>
      </c>
      <c r="N55" s="107">
        <f>MOPFRA!BM56</f>
        <v>-7.907017922314358</v>
      </c>
      <c r="O55" s="140">
        <f t="shared" si="24"/>
        <v>40</v>
      </c>
      <c r="P55" s="107">
        <f>MOPFRA!BX56</f>
        <v>-10</v>
      </c>
      <c r="Q55" s="140">
        <f t="shared" si="25"/>
        <v>43</v>
      </c>
      <c r="R55" s="107">
        <f>MOPFRA!CE56</f>
        <v>-10</v>
      </c>
      <c r="S55" s="140">
        <f t="shared" si="26"/>
        <v>43</v>
      </c>
      <c r="T55" s="107">
        <f>MOPFRA!CG56</f>
        <v>-10</v>
      </c>
      <c r="U55" s="140">
        <f t="shared" si="27"/>
        <v>43</v>
      </c>
      <c r="V55" s="107">
        <f>MOPFRA!CI56</f>
        <v>-5.150272619411628</v>
      </c>
      <c r="W55" s="140">
        <f t="shared" si="28"/>
        <v>49</v>
      </c>
      <c r="X55" s="20"/>
      <c r="Y55" s="107">
        <f>MOPFRA!DB56</f>
        <v>-2.3662835249042145</v>
      </c>
      <c r="Z55" s="140">
        <f t="shared" si="29"/>
        <v>46</v>
      </c>
      <c r="AA55" s="107">
        <f>MOPFRA!DO56</f>
        <v>0</v>
      </c>
      <c r="AB55" s="140">
        <f t="shared" si="30"/>
        <v>24</v>
      </c>
      <c r="AC55" s="107">
        <f>MOPFRA!DS56</f>
        <v>-10</v>
      </c>
      <c r="AD55" s="140">
        <f t="shared" si="31"/>
        <v>49</v>
      </c>
      <c r="AE55" s="100">
        <f t="shared" si="17"/>
        <v>-65.423574066630209</v>
      </c>
      <c r="AF55" s="141">
        <f t="shared" si="18"/>
        <v>328</v>
      </c>
      <c r="AG55" s="140">
        <f t="shared" si="32"/>
        <v>49</v>
      </c>
    </row>
  </sheetData>
  <autoFilter ref="A5:AG5" xr:uid="{AAA07367-FE77-FD41-8014-E4902C9592CD}">
    <sortState xmlns:xlrd2="http://schemas.microsoft.com/office/spreadsheetml/2017/richdata2" ref="A6:AG54">
      <sortCondition descending="1" ref="B5:B54"/>
    </sortState>
  </autoFilter>
  <phoneticPr fontId="39" type="noConversion"/>
  <conditionalFormatting sqref="A6:AG55">
    <cfRule type="expression" dxfId="6" priority="12">
      <formula>ROW()=EVEN(ROW())</formula>
    </cfRule>
  </conditionalFormatting>
  <conditionalFormatting sqref="AC2">
    <cfRule type="expression" dxfId="5" priority="33">
      <formula>ROW()=EVEN(ROW())</formula>
    </cfRule>
  </conditionalFormatting>
  <pageMargins left="0.7" right="0.7" top="0.75" bottom="0.75" header="0.3" footer="0.3"/>
  <pageSetup paperSize="9" scale="20" orientation="landscape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1AFD-4C6A-3C4A-BF01-E211D9466359}">
  <sheetPr codeName="Sheet19">
    <tabColor rgb="FF0070C0"/>
  </sheetPr>
  <dimension ref="A1:F882"/>
  <sheetViews>
    <sheetView workbookViewId="0">
      <pane ySplit="3" topLeftCell="A310" activePane="bottomLeft" state="frozen"/>
      <selection pane="bottomLeft" activeCell="B316" sqref="B316:C316"/>
    </sheetView>
  </sheetViews>
  <sheetFormatPr baseColWidth="10" defaultColWidth="11" defaultRowHeight="21"/>
  <cols>
    <col min="1" max="1" width="11" style="1678"/>
    <col min="2" max="2" width="29.1640625" bestFit="1" customWidth="1"/>
    <col min="3" max="3" width="17" customWidth="1"/>
    <col min="4" max="4" width="14" bestFit="1" customWidth="1"/>
    <col min="5" max="5" width="15.1640625" bestFit="1" customWidth="1"/>
  </cols>
  <sheetData>
    <row r="1" spans="1:6" ht="23" customHeight="1">
      <c r="F1" s="430">
        <f>COUNTIF(F3:F40000,"&lt;0")</f>
        <v>87</v>
      </c>
    </row>
    <row r="2" spans="1:6" ht="33" customHeight="1">
      <c r="A2" s="2060"/>
      <c r="B2" s="2061"/>
      <c r="C2" s="2061"/>
      <c r="D2" s="2061" t="s">
        <v>1704</v>
      </c>
      <c r="E2" s="2061" t="s">
        <v>1705</v>
      </c>
      <c r="F2" s="2061" t="s">
        <v>1706</v>
      </c>
    </row>
    <row r="3" spans="1:6" ht="15" customHeight="1"/>
    <row r="4" spans="1:6">
      <c r="A4" s="2059" t="str">
        <f>_xlfn.XLOOKUP(C4,'Price Record'!$C$5:$C$102,'Price Record'!$D$5:$D$102,"")</f>
        <v/>
      </c>
      <c r="B4" t="s">
        <v>1707</v>
      </c>
      <c r="C4" t="s">
        <v>1708</v>
      </c>
      <c r="D4">
        <v>6.01</v>
      </c>
      <c r="E4">
        <f>_xlfn.XLOOKUP(C4,'دیده بان بازار'!$A$5:$A$2990,'دیده بان بازار'!$Q$5:$Q$2990,"")</f>
        <v>6.98</v>
      </c>
      <c r="F4" s="428">
        <f t="shared" ref="F4:F67" si="0">IFERROR(IF(0&lt;E4,IF(E4&lt;20,E4-D4,""),""),"")</f>
        <v>0.97000000000000064</v>
      </c>
    </row>
    <row r="5" spans="1:6">
      <c r="A5" s="2059" t="str">
        <f>_xlfn.XLOOKUP(C5,'Price Record'!$C$5:$C$102,'Price Record'!$D$5:$D$102,"")</f>
        <v/>
      </c>
      <c r="B5" t="s">
        <v>1707</v>
      </c>
      <c r="C5" t="s">
        <v>1709</v>
      </c>
      <c r="D5">
        <v>12.5</v>
      </c>
      <c r="E5">
        <f>_xlfn.XLOOKUP(C5,'دیده بان بازار'!$A$5:$A$2990,'دیده بان بازار'!$Q$5:$Q$2990,"")</f>
        <v>6.98</v>
      </c>
      <c r="F5" s="428">
        <f t="shared" si="0"/>
        <v>-5.52</v>
      </c>
    </row>
    <row r="6" spans="1:6">
      <c r="A6" s="2059" t="str">
        <f>_xlfn.XLOOKUP(C6,'Price Record'!$C$5:$C$102,'Price Record'!$D$5:$D$102,"")</f>
        <v/>
      </c>
      <c r="B6" t="s">
        <v>1710</v>
      </c>
      <c r="C6" t="s">
        <v>1711</v>
      </c>
      <c r="D6" t="s">
        <v>192</v>
      </c>
      <c r="E6">
        <f>_xlfn.XLOOKUP(C6,'دیده بان بازار'!$A$5:$A$2990,'دیده بان بازار'!$Q$5:$Q$2990,"")</f>
        <v>14.49</v>
      </c>
      <c r="F6" s="428" t="str">
        <f t="shared" si="0"/>
        <v/>
      </c>
    </row>
    <row r="7" spans="1:6">
      <c r="A7" s="2059" t="str">
        <f>_xlfn.XLOOKUP(C7,'Price Record'!$C$5:$C$102,'Price Record'!$D$5:$D$102,"")</f>
        <v/>
      </c>
      <c r="B7" t="s">
        <v>1712</v>
      </c>
      <c r="C7" t="s">
        <v>1713</v>
      </c>
      <c r="D7">
        <v>2.37</v>
      </c>
      <c r="E7">
        <f>_xlfn.XLOOKUP(C7,'دیده بان بازار'!$A$5:$A$2990,'دیده بان بازار'!$Q$5:$Q$2990,"")</f>
        <v>4.8499999999999996</v>
      </c>
      <c r="F7" s="428">
        <f t="shared" si="0"/>
        <v>2.4799999999999995</v>
      </c>
    </row>
    <row r="8" spans="1:6">
      <c r="A8" s="2059" t="str">
        <f>_xlfn.XLOOKUP(C8,'Price Record'!$C$5:$C$102,'Price Record'!$D$5:$D$102,"")</f>
        <v/>
      </c>
      <c r="B8" t="s">
        <v>1714</v>
      </c>
      <c r="C8" t="s">
        <v>1715</v>
      </c>
      <c r="D8">
        <v>3.33</v>
      </c>
      <c r="E8">
        <f>_xlfn.XLOOKUP(C8,'دیده بان بازار'!$A$5:$A$2990,'دیده بان بازار'!$Q$5:$Q$2990,"")</f>
        <v>2.77</v>
      </c>
      <c r="F8" s="428">
        <f t="shared" si="0"/>
        <v>-0.56000000000000005</v>
      </c>
    </row>
    <row r="9" spans="1:6">
      <c r="A9" s="2059" t="str">
        <f>_xlfn.XLOOKUP(C9,'Price Record'!$C$5:$C$102,'Price Record'!$D$5:$D$102,"")</f>
        <v/>
      </c>
      <c r="B9" t="s">
        <v>1716</v>
      </c>
      <c r="C9" t="s">
        <v>1717</v>
      </c>
      <c r="D9">
        <v>4.87</v>
      </c>
      <c r="E9">
        <f>_xlfn.XLOOKUP(C9,'دیده بان بازار'!$A$5:$A$2990,'دیده بان بازار'!$Q$5:$Q$2990,"")</f>
        <v>2.4500000000000002</v>
      </c>
      <c r="F9" s="428">
        <f t="shared" si="0"/>
        <v>-2.42</v>
      </c>
    </row>
    <row r="10" spans="1:6">
      <c r="A10" s="2059" t="str">
        <f>_xlfn.XLOOKUP(C10,'Price Record'!$C$5:$C$102,'Price Record'!$D$5:$D$102,"")</f>
        <v/>
      </c>
      <c r="B10" t="s">
        <v>1718</v>
      </c>
      <c r="C10" t="s">
        <v>1719</v>
      </c>
      <c r="D10" t="s">
        <v>192</v>
      </c>
      <c r="E10">
        <f>_xlfn.XLOOKUP(C10,'دیده بان بازار'!$A$5:$A$2990,'دیده بان بازار'!$Q$5:$Q$2990,"")</f>
        <v>5.85</v>
      </c>
      <c r="F10" s="428" t="str">
        <f t="shared" si="0"/>
        <v/>
      </c>
    </row>
    <row r="11" spans="1:6">
      <c r="A11" s="2059" t="str">
        <f>_xlfn.XLOOKUP(C11,'Price Record'!$C$5:$C$102,'Price Record'!$D$5:$D$102,"")</f>
        <v/>
      </c>
      <c r="B11" t="s">
        <v>1718</v>
      </c>
      <c r="C11" t="s">
        <v>1720</v>
      </c>
      <c r="D11" t="s">
        <v>192</v>
      </c>
      <c r="E11" t="str">
        <f>_xlfn.XLOOKUP(C11,'دیده بان بازار'!$A$5:$A$2990,'دیده بان بازار'!$Q$5:$Q$2990,"")</f>
        <v/>
      </c>
      <c r="F11" s="428" t="str">
        <f t="shared" si="0"/>
        <v/>
      </c>
    </row>
    <row r="12" spans="1:6">
      <c r="A12" s="2059" t="str">
        <f>_xlfn.XLOOKUP(C12,'Price Record'!$C$5:$C$102,'Price Record'!$D$5:$D$102,"")</f>
        <v/>
      </c>
      <c r="B12" t="s">
        <v>1721</v>
      </c>
      <c r="C12" t="s">
        <v>1722</v>
      </c>
      <c r="D12">
        <v>446.46</v>
      </c>
      <c r="E12">
        <f>_xlfn.XLOOKUP(C12,'دیده بان بازار'!$A$5:$A$2990,'دیده بان بازار'!$Q$5:$Q$2990,"")</f>
        <v>9.98</v>
      </c>
      <c r="F12" s="428">
        <f t="shared" si="0"/>
        <v>-436.47999999999996</v>
      </c>
    </row>
    <row r="13" spans="1:6">
      <c r="A13" s="2062" t="str">
        <f>_xlfn.XLOOKUP(C13,'Price Record'!$C$5:$C$102,'Price Record'!$D$5:$D$102,"")</f>
        <v>C</v>
      </c>
      <c r="B13" s="1445" t="s">
        <v>1723</v>
      </c>
      <c r="C13" s="1445" t="s">
        <v>49</v>
      </c>
      <c r="D13" s="1445" t="s">
        <v>192</v>
      </c>
      <c r="E13" s="1445">
        <f>_xlfn.XLOOKUP(C13,'دیده بان بازار'!$A$5:$A$2990,'دیده بان بازار'!$Q$5:$Q$2990,"")</f>
        <v>5.22</v>
      </c>
      <c r="F13" s="2063" t="str">
        <f t="shared" si="0"/>
        <v/>
      </c>
    </row>
    <row r="14" spans="1:6">
      <c r="A14" s="2059" t="str">
        <f>_xlfn.XLOOKUP(C14,'Price Record'!$C$5:$C$102,'Price Record'!$D$5:$D$102,"")</f>
        <v/>
      </c>
      <c r="B14" t="s">
        <v>1723</v>
      </c>
      <c r="C14" t="s">
        <v>1724</v>
      </c>
      <c r="D14" t="s">
        <v>192</v>
      </c>
      <c r="E14" t="str">
        <f>_xlfn.XLOOKUP(C14,'دیده بان بازار'!$A$5:$A$2990,'دیده بان بازار'!$Q$5:$Q$2990,"")</f>
        <v/>
      </c>
      <c r="F14" s="428" t="str">
        <f t="shared" si="0"/>
        <v/>
      </c>
    </row>
    <row r="15" spans="1:6">
      <c r="A15" s="2059" t="str">
        <f>_xlfn.XLOOKUP(C15,'Price Record'!$C$5:$C$102,'Price Record'!$D$5:$D$102,"")</f>
        <v/>
      </c>
      <c r="B15" t="s">
        <v>1725</v>
      </c>
      <c r="C15" t="s">
        <v>1726</v>
      </c>
      <c r="D15" t="s">
        <v>192</v>
      </c>
      <c r="E15">
        <f>_xlfn.XLOOKUP(C15,'دیده بان بازار'!$A$5:$A$2990,'دیده بان بازار'!$Q$5:$Q$2990,"")</f>
        <v>5.39</v>
      </c>
      <c r="F15" s="428" t="str">
        <f t="shared" si="0"/>
        <v/>
      </c>
    </row>
    <row r="16" spans="1:6">
      <c r="A16" s="2062" t="str">
        <f>_xlfn.XLOOKUP(C16,'Price Record'!$C$5:$C$102,'Price Record'!$D$5:$D$102,"")</f>
        <v>PVC</v>
      </c>
      <c r="B16" s="1445" t="s">
        <v>140</v>
      </c>
      <c r="C16" s="1445" t="s">
        <v>141</v>
      </c>
      <c r="D16" s="1445" t="s">
        <v>192</v>
      </c>
      <c r="E16" s="1445">
        <f>_xlfn.XLOOKUP(C16,'دیده بان بازار'!$A$5:$A$2990,'دیده بان بازار'!$Q$5:$Q$2990,"")</f>
        <v>14.23</v>
      </c>
      <c r="F16" s="2063" t="str">
        <f t="shared" si="0"/>
        <v/>
      </c>
    </row>
    <row r="17" spans="1:6">
      <c r="A17" s="2059" t="str">
        <f>_xlfn.XLOOKUP(C17,'Price Record'!$C$5:$C$102,'Price Record'!$D$5:$D$102,"")</f>
        <v/>
      </c>
      <c r="B17" t="s">
        <v>1727</v>
      </c>
      <c r="C17" t="s">
        <v>1727</v>
      </c>
      <c r="D17">
        <v>2.58</v>
      </c>
      <c r="E17">
        <f>_xlfn.XLOOKUP(C17,'دیده بان بازار'!$A$5:$A$2990,'دیده بان بازار'!$Q$5:$Q$2990,"")</f>
        <v>11.4</v>
      </c>
      <c r="F17" s="428">
        <f t="shared" si="0"/>
        <v>8.82</v>
      </c>
    </row>
    <row r="18" spans="1:6">
      <c r="A18" s="2059" t="str">
        <f>_xlfn.XLOOKUP(C18,'Price Record'!$C$5:$C$102,'Price Record'!$D$5:$D$102,"")</f>
        <v/>
      </c>
      <c r="B18" t="s">
        <v>1728</v>
      </c>
      <c r="C18" t="s">
        <v>1729</v>
      </c>
      <c r="D18" t="s">
        <v>192</v>
      </c>
      <c r="E18">
        <f>_xlfn.XLOOKUP(C18,'دیده بان بازار'!$A$5:$A$2990,'دیده بان بازار'!$Q$5:$Q$2990,"")</f>
        <v>3.21</v>
      </c>
      <c r="F18" s="428" t="str">
        <f t="shared" si="0"/>
        <v/>
      </c>
    </row>
    <row r="19" spans="1:6">
      <c r="A19" s="2059" t="str">
        <f>_xlfn.XLOOKUP(C19,'Price Record'!$C$5:$C$102,'Price Record'!$D$5:$D$102,"")</f>
        <v/>
      </c>
      <c r="B19" t="s">
        <v>1730</v>
      </c>
      <c r="C19" t="s">
        <v>1731</v>
      </c>
      <c r="D19" t="s">
        <v>192</v>
      </c>
      <c r="E19">
        <f>_xlfn.XLOOKUP(C19,'دیده بان بازار'!$A$5:$A$2990,'دیده بان بازار'!$Q$5:$Q$2990,"")</f>
        <v>1449.35</v>
      </c>
      <c r="F19" s="428" t="str">
        <f t="shared" si="0"/>
        <v/>
      </c>
    </row>
    <row r="20" spans="1:6">
      <c r="A20" s="2059" t="str">
        <f>_xlfn.XLOOKUP(C20,'Price Record'!$C$5:$C$102,'Price Record'!$D$5:$D$102,"")</f>
        <v/>
      </c>
      <c r="B20" t="s">
        <v>1732</v>
      </c>
      <c r="C20" t="s">
        <v>1733</v>
      </c>
      <c r="D20" t="s">
        <v>192</v>
      </c>
      <c r="E20">
        <f>_xlfn.XLOOKUP(C20,'دیده بان بازار'!$A$5:$A$2990,'دیده بان بازار'!$Q$5:$Q$2990,"")</f>
        <v>5.59</v>
      </c>
      <c r="F20" s="428" t="str">
        <f t="shared" si="0"/>
        <v/>
      </c>
    </row>
    <row r="21" spans="1:6">
      <c r="A21" s="2059" t="str">
        <f>_xlfn.XLOOKUP(C21,'Price Record'!$C$5:$C$102,'Price Record'!$D$5:$D$102,"")</f>
        <v/>
      </c>
      <c r="B21" t="s">
        <v>1734</v>
      </c>
      <c r="C21" t="s">
        <v>1735</v>
      </c>
      <c r="D21" t="s">
        <v>192</v>
      </c>
      <c r="E21">
        <f>_xlfn.XLOOKUP(C21,'دیده بان بازار'!$A$5:$A$2990,'دیده بان بازار'!$Q$5:$Q$2990,"")</f>
        <v>17.21</v>
      </c>
      <c r="F21" s="428" t="str">
        <f t="shared" si="0"/>
        <v/>
      </c>
    </row>
    <row r="22" spans="1:6">
      <c r="A22" s="2059" t="str">
        <f>_xlfn.XLOOKUP(C22,'Price Record'!$C$5:$C$102,'Price Record'!$D$5:$D$102,"")</f>
        <v/>
      </c>
      <c r="B22" t="s">
        <v>1736</v>
      </c>
      <c r="C22" t="s">
        <v>1737</v>
      </c>
      <c r="D22">
        <v>138.30000000000001</v>
      </c>
      <c r="E22">
        <f>_xlfn.XLOOKUP(C22,'دیده بان بازار'!$A$5:$A$2990,'دیده بان بازار'!$Q$5:$Q$2990,"")</f>
        <v>13.07</v>
      </c>
      <c r="F22" s="428">
        <f t="shared" si="0"/>
        <v>-125.23000000000002</v>
      </c>
    </row>
    <row r="23" spans="1:6">
      <c r="A23" s="2059" t="str">
        <f>_xlfn.XLOOKUP(C23,'Price Record'!$C$5:$C$102,'Price Record'!$D$5:$D$102,"")</f>
        <v/>
      </c>
      <c r="B23" t="s">
        <v>1738</v>
      </c>
      <c r="C23" t="s">
        <v>1739</v>
      </c>
      <c r="D23" t="s">
        <v>192</v>
      </c>
      <c r="E23">
        <f>_xlfn.XLOOKUP(C23,'دیده بان بازار'!$A$5:$A$2990,'دیده بان بازار'!$Q$5:$Q$2990,"")</f>
        <v>2.54</v>
      </c>
      <c r="F23" s="428" t="str">
        <f t="shared" si="0"/>
        <v/>
      </c>
    </row>
    <row r="24" spans="1:6">
      <c r="A24" s="2062" t="str">
        <f>_xlfn.XLOOKUP(C24,'Price Record'!$C$5:$C$102,'Price Record'!$D$5:$D$102,"")</f>
        <v>HH</v>
      </c>
      <c r="B24" s="1445" t="s">
        <v>108</v>
      </c>
      <c r="C24" s="1445" t="s">
        <v>109</v>
      </c>
      <c r="D24" s="1445" t="s">
        <v>192</v>
      </c>
      <c r="E24" s="1445">
        <f>_xlfn.XLOOKUP(C24,'دیده بان بازار'!$A$5:$A$2990,'دیده بان بازار'!$Q$5:$Q$2990,"")</f>
        <v>3.78</v>
      </c>
      <c r="F24" s="2063" t="str">
        <f t="shared" si="0"/>
        <v/>
      </c>
    </row>
    <row r="25" spans="1:6">
      <c r="A25" s="2059" t="str">
        <f>_xlfn.XLOOKUP(C25,'Price Record'!$C$5:$C$102,'Price Record'!$D$5:$D$102,"")</f>
        <v/>
      </c>
      <c r="B25" t="s">
        <v>1740</v>
      </c>
      <c r="C25" t="s">
        <v>1741</v>
      </c>
      <c r="D25" t="s">
        <v>192</v>
      </c>
      <c r="E25">
        <f>_xlfn.XLOOKUP(C25,'دیده بان بازار'!$A$5:$A$2990,'دیده بان بازار'!$Q$5:$Q$2990,"")</f>
        <v>4.41</v>
      </c>
      <c r="F25" s="428" t="str">
        <f t="shared" si="0"/>
        <v/>
      </c>
    </row>
    <row r="26" spans="1:6">
      <c r="A26" s="2059" t="str">
        <f>_xlfn.XLOOKUP(C26,'Price Record'!$C$5:$C$102,'Price Record'!$D$5:$D$102,"")</f>
        <v/>
      </c>
      <c r="B26" t="s">
        <v>1742</v>
      </c>
      <c r="C26" t="s">
        <v>1743</v>
      </c>
      <c r="D26">
        <v>6.73</v>
      </c>
      <c r="E26">
        <f>_xlfn.XLOOKUP(C26,'دیده بان بازار'!$A$5:$A$2990,'دیده بان بازار'!$Q$5:$Q$2990,"")</f>
        <v>5.15</v>
      </c>
      <c r="F26" s="428">
        <f t="shared" si="0"/>
        <v>-1.58</v>
      </c>
    </row>
    <row r="27" spans="1:6">
      <c r="A27" s="2059" t="str">
        <f>_xlfn.XLOOKUP(C27,'Price Record'!$C$5:$C$102,'Price Record'!$D$5:$D$102,"")</f>
        <v/>
      </c>
      <c r="B27" t="s">
        <v>1744</v>
      </c>
      <c r="C27" t="s">
        <v>1745</v>
      </c>
      <c r="D27" t="s">
        <v>192</v>
      </c>
      <c r="E27">
        <f>_xlfn.XLOOKUP(C27,'دیده بان بازار'!$A$5:$A$2990,'دیده بان بازار'!$Q$5:$Q$2990,"")</f>
        <v>5.77</v>
      </c>
      <c r="F27" s="428" t="str">
        <f t="shared" si="0"/>
        <v/>
      </c>
    </row>
    <row r="28" spans="1:6">
      <c r="A28" s="2059" t="str">
        <f>_xlfn.XLOOKUP(C28,'Price Record'!$C$5:$C$102,'Price Record'!$D$5:$D$102,"")</f>
        <v/>
      </c>
      <c r="B28" t="s">
        <v>1746</v>
      </c>
      <c r="C28" t="s">
        <v>1747</v>
      </c>
      <c r="D28" t="s">
        <v>192</v>
      </c>
      <c r="E28">
        <f>_xlfn.XLOOKUP(C28,'دیده بان بازار'!$A$5:$A$2990,'دیده بان بازار'!$Q$5:$Q$2990,"")</f>
        <v>36.49</v>
      </c>
      <c r="F28" s="428" t="str">
        <f t="shared" si="0"/>
        <v/>
      </c>
    </row>
    <row r="29" spans="1:6">
      <c r="A29" s="2059" t="str">
        <f>_xlfn.XLOOKUP(C29,'Price Record'!$C$5:$C$102,'Price Record'!$D$5:$D$102,"")</f>
        <v/>
      </c>
      <c r="B29" t="s">
        <v>1748</v>
      </c>
      <c r="C29" t="s">
        <v>1749</v>
      </c>
      <c r="D29">
        <v>4.1900000000000004</v>
      </c>
      <c r="E29" t="str">
        <f>_xlfn.XLOOKUP(C29,'دیده بان بازار'!$A$5:$A$2990,'دیده بان بازار'!$Q$5:$Q$2990,"")</f>
        <v/>
      </c>
      <c r="F29" s="428" t="str">
        <f t="shared" si="0"/>
        <v/>
      </c>
    </row>
    <row r="30" spans="1:6">
      <c r="A30" s="2059" t="str">
        <f>_xlfn.XLOOKUP(C30,'Price Record'!$C$5:$C$102,'Price Record'!$D$5:$D$102,"")</f>
        <v/>
      </c>
      <c r="B30" t="s">
        <v>1750</v>
      </c>
      <c r="C30" t="s">
        <v>1751</v>
      </c>
      <c r="D30">
        <v>-4.18</v>
      </c>
      <c r="E30">
        <f>_xlfn.XLOOKUP(C30,'دیده بان بازار'!$A$5:$A$2990,'دیده بان بازار'!$Q$5:$Q$2990,"")</f>
        <v>16.95</v>
      </c>
      <c r="F30" s="428">
        <f t="shared" si="0"/>
        <v>21.13</v>
      </c>
    </row>
    <row r="31" spans="1:6">
      <c r="A31" s="2059" t="str">
        <f>_xlfn.XLOOKUP(C31,'Price Record'!$C$5:$C$102,'Price Record'!$D$5:$D$102,"")</f>
        <v/>
      </c>
      <c r="B31" t="s">
        <v>1752</v>
      </c>
      <c r="C31" t="s">
        <v>1753</v>
      </c>
      <c r="D31">
        <v>5.17</v>
      </c>
      <c r="E31" t="str">
        <f>_xlfn.XLOOKUP(C31,'دیده بان بازار'!$A$5:$A$2990,'دیده بان بازار'!$Q$5:$Q$2990,"")</f>
        <v/>
      </c>
      <c r="F31" s="428" t="str">
        <f t="shared" si="0"/>
        <v/>
      </c>
    </row>
    <row r="32" spans="1:6">
      <c r="A32" s="2059" t="str">
        <f>_xlfn.XLOOKUP(C32,'Price Record'!$C$5:$C$102,'Price Record'!$D$5:$D$102,"")</f>
        <v/>
      </c>
      <c r="B32" t="s">
        <v>1754</v>
      </c>
      <c r="C32" t="s">
        <v>1755</v>
      </c>
      <c r="D32" t="s">
        <v>192</v>
      </c>
      <c r="E32">
        <f>_xlfn.XLOOKUP(C32,'دیده بان بازار'!$A$5:$A$2990,'دیده بان بازار'!$Q$5:$Q$2990,"")</f>
        <v>28.89</v>
      </c>
      <c r="F32" s="428" t="str">
        <f t="shared" si="0"/>
        <v/>
      </c>
    </row>
    <row r="33" spans="1:6">
      <c r="A33" s="2059" t="str">
        <f>_xlfn.XLOOKUP(C33,'Price Record'!$C$5:$C$102,'Price Record'!$D$5:$D$102,"")</f>
        <v/>
      </c>
      <c r="B33" t="s">
        <v>1756</v>
      </c>
      <c r="C33" t="s">
        <v>1757</v>
      </c>
      <c r="D33">
        <v>52.34</v>
      </c>
      <c r="E33">
        <f>_xlfn.XLOOKUP(C33,'دیده بان بازار'!$A$5:$A$2990,'دیده بان بازار'!$Q$5:$Q$2990,"")</f>
        <v>105</v>
      </c>
      <c r="F33" s="428" t="str">
        <f t="shared" si="0"/>
        <v/>
      </c>
    </row>
    <row r="34" spans="1:6">
      <c r="A34" s="2059" t="str">
        <f>_xlfn.XLOOKUP(C34,'Price Record'!$C$5:$C$102,'Price Record'!$D$5:$D$102,"")</f>
        <v/>
      </c>
      <c r="B34" t="s">
        <v>1758</v>
      </c>
      <c r="C34" t="s">
        <v>1759</v>
      </c>
      <c r="D34">
        <v>22.74</v>
      </c>
      <c r="E34">
        <f>_xlfn.XLOOKUP(C34,'دیده بان بازار'!$A$5:$A$2990,'دیده بان بازار'!$Q$5:$Q$2990,"")</f>
        <v>6.44</v>
      </c>
      <c r="F34" s="428">
        <f t="shared" si="0"/>
        <v>-16.299999999999997</v>
      </c>
    </row>
    <row r="35" spans="1:6">
      <c r="A35" s="2059" t="str">
        <f>_xlfn.XLOOKUP(C35,'Price Record'!$C$5:$C$102,'Price Record'!$D$5:$D$102,"")</f>
        <v/>
      </c>
      <c r="B35" t="s">
        <v>1760</v>
      </c>
      <c r="C35" t="s">
        <v>1761</v>
      </c>
      <c r="D35" t="s">
        <v>192</v>
      </c>
      <c r="E35" t="str">
        <f>_xlfn.XLOOKUP(C35,'دیده بان بازار'!$A$5:$A$2990,'دیده بان بازار'!$Q$5:$Q$2990,"")</f>
        <v/>
      </c>
      <c r="F35" s="428" t="str">
        <f t="shared" si="0"/>
        <v/>
      </c>
    </row>
    <row r="36" spans="1:6">
      <c r="A36" s="2062" t="str">
        <f>_xlfn.XLOOKUP(C36,'Price Record'!$C$5:$C$102,'Price Record'!$D$5:$D$102,"")</f>
        <v>PEP</v>
      </c>
      <c r="B36" s="1445" t="s">
        <v>146</v>
      </c>
      <c r="C36" s="1445" t="s">
        <v>147</v>
      </c>
      <c r="D36" s="1445">
        <v>3.68</v>
      </c>
      <c r="E36" s="1445">
        <f>_xlfn.XLOOKUP(C36,'دیده بان بازار'!$A$5:$A$2990,'دیده بان بازار'!$Q$5:$Q$2990,"")</f>
        <v>5.95</v>
      </c>
      <c r="F36" s="2063">
        <f t="shared" si="0"/>
        <v>2.27</v>
      </c>
    </row>
    <row r="37" spans="1:6">
      <c r="A37" s="2059" t="str">
        <f>_xlfn.XLOOKUP(C37,'Price Record'!$C$5:$C$102,'Price Record'!$D$5:$D$102,"")</f>
        <v/>
      </c>
      <c r="B37" t="s">
        <v>146</v>
      </c>
      <c r="C37" t="s">
        <v>1762</v>
      </c>
      <c r="D37" t="s">
        <v>192</v>
      </c>
      <c r="E37">
        <f>_xlfn.XLOOKUP(C37,'دیده بان بازار'!$A$5:$A$2990,'دیده بان بازار'!$Q$5:$Q$2990,"")</f>
        <v>5.95</v>
      </c>
      <c r="F37" s="428" t="str">
        <f t="shared" si="0"/>
        <v/>
      </c>
    </row>
    <row r="38" spans="1:6">
      <c r="A38" s="2059" t="str">
        <f>_xlfn.XLOOKUP(C38,'Price Record'!$C$5:$C$102,'Price Record'!$D$5:$D$102,"")</f>
        <v/>
      </c>
      <c r="B38" t="s">
        <v>1763</v>
      </c>
      <c r="C38" t="s">
        <v>1764</v>
      </c>
      <c r="D38" t="s">
        <v>192</v>
      </c>
      <c r="E38">
        <f>_xlfn.XLOOKUP(C38,'دیده بان بازار'!$A$5:$A$2990,'دیده بان بازار'!$Q$5:$Q$2990,"")</f>
        <v>10.53</v>
      </c>
      <c r="F38" s="428" t="str">
        <f t="shared" si="0"/>
        <v/>
      </c>
    </row>
    <row r="39" spans="1:6">
      <c r="A39" s="2059" t="str">
        <f>_xlfn.XLOOKUP(C39,'Price Record'!$C$5:$C$102,'Price Record'!$D$5:$D$102,"")</f>
        <v/>
      </c>
      <c r="B39" t="s">
        <v>1765</v>
      </c>
      <c r="C39" t="s">
        <v>1766</v>
      </c>
      <c r="D39">
        <v>5.31</v>
      </c>
      <c r="E39">
        <f>_xlfn.XLOOKUP(C39,'دیده بان بازار'!$A$5:$A$2990,'دیده بان بازار'!$Q$5:$Q$2990,"")</f>
        <v>1.75</v>
      </c>
      <c r="F39" s="428">
        <f t="shared" si="0"/>
        <v>-3.5599999999999996</v>
      </c>
    </row>
    <row r="40" spans="1:6">
      <c r="A40" s="2062" t="str">
        <f>_xlfn.XLOOKUP(C40,'Price Record'!$C$5:$C$102,'Price Record'!$D$5:$D$102,"")</f>
        <v>AL</v>
      </c>
      <c r="B40" s="1445" t="s">
        <v>88</v>
      </c>
      <c r="C40" s="1445" t="s">
        <v>89</v>
      </c>
      <c r="D40" s="1445">
        <v>64.06</v>
      </c>
      <c r="E40" s="1445">
        <f>_xlfn.XLOOKUP(C40,'دیده بان بازار'!$A$5:$A$2990,'دیده بان بازار'!$Q$5:$Q$2990,"")</f>
        <v>9.09</v>
      </c>
      <c r="F40" s="2063">
        <f t="shared" si="0"/>
        <v>-54.97</v>
      </c>
    </row>
    <row r="41" spans="1:6">
      <c r="A41" s="2059" t="str">
        <f>_xlfn.XLOOKUP(C41,'Price Record'!$C$5:$C$102,'Price Record'!$D$5:$D$102,"")</f>
        <v/>
      </c>
      <c r="B41" t="s">
        <v>1767</v>
      </c>
      <c r="C41" t="s">
        <v>1768</v>
      </c>
      <c r="D41" t="s">
        <v>192</v>
      </c>
      <c r="E41">
        <f>_xlfn.XLOOKUP(C41,'دیده بان بازار'!$A$5:$A$2990,'دیده بان بازار'!$Q$5:$Q$2990,"")</f>
        <v>2.79</v>
      </c>
      <c r="F41" s="428" t="str">
        <f t="shared" si="0"/>
        <v/>
      </c>
    </row>
    <row r="42" spans="1:6">
      <c r="A42" s="2059" t="str">
        <f>_xlfn.XLOOKUP(C42,'Price Record'!$C$5:$C$102,'Price Record'!$D$5:$D$102,"")</f>
        <v/>
      </c>
      <c r="B42" t="s">
        <v>1769</v>
      </c>
      <c r="C42" t="s">
        <v>1770</v>
      </c>
      <c r="D42" t="s">
        <v>192</v>
      </c>
      <c r="E42">
        <f>_xlfn.XLOOKUP(C42,'دیده بان بازار'!$A$5:$A$2990,'دیده بان بازار'!$Q$5:$Q$2990,"")</f>
        <v>6.85</v>
      </c>
      <c r="F42" s="428" t="str">
        <f t="shared" si="0"/>
        <v/>
      </c>
    </row>
    <row r="43" spans="1:6">
      <c r="A43" s="2059" t="str">
        <f>_xlfn.XLOOKUP(C43,'Price Record'!$C$5:$C$102,'Price Record'!$D$5:$D$102,"")</f>
        <v/>
      </c>
      <c r="B43" t="s">
        <v>1771</v>
      </c>
      <c r="C43" t="s">
        <v>1772</v>
      </c>
      <c r="D43" t="s">
        <v>192</v>
      </c>
      <c r="E43" t="str">
        <f>_xlfn.XLOOKUP(C43,'دیده بان بازار'!$A$5:$A$2990,'دیده بان بازار'!$Q$5:$Q$2990,"")</f>
        <v/>
      </c>
      <c r="F43" s="428" t="str">
        <f t="shared" si="0"/>
        <v/>
      </c>
    </row>
    <row r="44" spans="1:6">
      <c r="A44" s="2059" t="str">
        <f>_xlfn.XLOOKUP(C44,'Price Record'!$C$5:$C$102,'Price Record'!$D$5:$D$102,"")</f>
        <v/>
      </c>
      <c r="B44" t="s">
        <v>1773</v>
      </c>
      <c r="C44" t="s">
        <v>1774</v>
      </c>
      <c r="D44">
        <v>6.37</v>
      </c>
      <c r="E44" t="str">
        <f>_xlfn.XLOOKUP(C44,'دیده بان بازار'!$A$5:$A$2990,'دیده بان بازار'!$Q$5:$Q$2990,"")</f>
        <v/>
      </c>
      <c r="F44" s="428" t="str">
        <f t="shared" si="0"/>
        <v/>
      </c>
    </row>
    <row r="45" spans="1:6">
      <c r="A45" s="2059" t="str">
        <f>_xlfn.XLOOKUP(C45,'Price Record'!$C$5:$C$102,'Price Record'!$D$5:$D$102,"")</f>
        <v/>
      </c>
      <c r="B45" t="s">
        <v>1775</v>
      </c>
      <c r="C45" t="s">
        <v>1776</v>
      </c>
      <c r="D45" t="s">
        <v>192</v>
      </c>
      <c r="E45">
        <f>_xlfn.XLOOKUP(C45,'دیده بان بازار'!$A$5:$A$2990,'دیده بان بازار'!$Q$5:$Q$2990,"")</f>
        <v>7.04</v>
      </c>
      <c r="F45" s="428" t="str">
        <f t="shared" si="0"/>
        <v/>
      </c>
    </row>
    <row r="46" spans="1:6">
      <c r="A46" s="2059" t="str">
        <f>_xlfn.XLOOKUP(C46,'Price Record'!$C$5:$C$102,'Price Record'!$D$5:$D$102,"")</f>
        <v/>
      </c>
      <c r="B46" t="s">
        <v>1777</v>
      </c>
      <c r="C46" t="s">
        <v>1778</v>
      </c>
      <c r="D46">
        <v>19.02</v>
      </c>
      <c r="E46">
        <f>_xlfn.XLOOKUP(C46,'دیده بان بازار'!$A$5:$A$2990,'دیده بان بازار'!$Q$5:$Q$2990,"")</f>
        <v>9.82</v>
      </c>
      <c r="F46" s="428">
        <f t="shared" si="0"/>
        <v>-9.1999999999999993</v>
      </c>
    </row>
    <row r="47" spans="1:6">
      <c r="A47" s="2059" t="str">
        <f>_xlfn.XLOOKUP(C47,'Price Record'!$C$5:$C$102,'Price Record'!$D$5:$D$102,"")</f>
        <v/>
      </c>
      <c r="B47" t="s">
        <v>1779</v>
      </c>
      <c r="C47" t="s">
        <v>1780</v>
      </c>
      <c r="D47">
        <v>77.13</v>
      </c>
      <c r="E47">
        <f>_xlfn.XLOOKUP(C47,'دیده بان بازار'!$A$5:$A$2990,'دیده بان بازار'!$Q$5:$Q$2990,"")</f>
        <v>24.89</v>
      </c>
      <c r="F47" s="428" t="str">
        <f t="shared" si="0"/>
        <v/>
      </c>
    </row>
    <row r="48" spans="1:6">
      <c r="A48" s="2059" t="str">
        <f>_xlfn.XLOOKUP(C48,'Price Record'!$C$5:$C$102,'Price Record'!$D$5:$D$102,"")</f>
        <v/>
      </c>
      <c r="B48" t="s">
        <v>1781</v>
      </c>
      <c r="C48" t="s">
        <v>1782</v>
      </c>
      <c r="D48" t="s">
        <v>192</v>
      </c>
      <c r="E48">
        <f>_xlfn.XLOOKUP(C48,'دیده بان بازار'!$A$5:$A$2990,'دیده بان بازار'!$Q$5:$Q$2990,"")</f>
        <v>76.7</v>
      </c>
      <c r="F48" s="428" t="str">
        <f t="shared" si="0"/>
        <v/>
      </c>
    </row>
    <row r="49" spans="1:6">
      <c r="A49" s="2059" t="str">
        <f>_xlfn.XLOOKUP(C49,'Price Record'!$C$5:$C$102,'Price Record'!$D$5:$D$102,"")</f>
        <v/>
      </c>
      <c r="B49" t="s">
        <v>1783</v>
      </c>
      <c r="C49" t="s">
        <v>1784</v>
      </c>
      <c r="D49" t="s">
        <v>192</v>
      </c>
      <c r="E49">
        <f>_xlfn.XLOOKUP(C49,'دیده بان بازار'!$A$5:$A$2990,'دیده بان بازار'!$Q$5:$Q$2990,"")</f>
        <v>8.77</v>
      </c>
      <c r="F49" s="428" t="str">
        <f t="shared" si="0"/>
        <v/>
      </c>
    </row>
    <row r="50" spans="1:6">
      <c r="A50" s="2059" t="str">
        <f>_xlfn.XLOOKUP(C50,'Price Record'!$C$5:$C$102,'Price Record'!$D$5:$D$102,"")</f>
        <v/>
      </c>
      <c r="B50" t="s">
        <v>1783</v>
      </c>
      <c r="C50" t="s">
        <v>1785</v>
      </c>
      <c r="D50" t="s">
        <v>192</v>
      </c>
      <c r="E50">
        <f>_xlfn.XLOOKUP(C50,'دیده بان بازار'!$A$5:$A$2990,'دیده بان بازار'!$Q$5:$Q$2990,"")</f>
        <v>8.77</v>
      </c>
      <c r="F50" s="428" t="str">
        <f t="shared" si="0"/>
        <v/>
      </c>
    </row>
    <row r="51" spans="1:6">
      <c r="A51" s="2059" t="str">
        <f>_xlfn.XLOOKUP(C51,'Price Record'!$C$5:$C$102,'Price Record'!$D$5:$D$102,"")</f>
        <v/>
      </c>
      <c r="B51" t="s">
        <v>1786</v>
      </c>
      <c r="C51" t="s">
        <v>1787</v>
      </c>
      <c r="D51">
        <v>5.08</v>
      </c>
      <c r="E51">
        <f>_xlfn.XLOOKUP(C51,'دیده بان بازار'!$A$5:$A$2990,'دیده بان بازار'!$Q$5:$Q$2990,"")</f>
        <v>40</v>
      </c>
      <c r="F51" s="428" t="str">
        <f t="shared" si="0"/>
        <v/>
      </c>
    </row>
    <row r="52" spans="1:6">
      <c r="A52" s="2059" t="str">
        <f>_xlfn.XLOOKUP(C52,'Price Record'!$C$5:$C$102,'Price Record'!$D$5:$D$102,"")</f>
        <v/>
      </c>
      <c r="B52" t="s">
        <v>1788</v>
      </c>
      <c r="C52" t="s">
        <v>1789</v>
      </c>
      <c r="D52">
        <v>-95.17</v>
      </c>
      <c r="E52">
        <f>_xlfn.XLOOKUP(C52,'دیده بان بازار'!$A$5:$A$2990,'دیده بان بازار'!$Q$5:$Q$2990,"")</f>
        <v>22.07</v>
      </c>
      <c r="F52" s="428" t="str">
        <f t="shared" si="0"/>
        <v/>
      </c>
    </row>
    <row r="53" spans="1:6">
      <c r="A53" s="2059" t="str">
        <f>_xlfn.XLOOKUP(C53,'Price Record'!$C$5:$C$102,'Price Record'!$D$5:$D$102,"")</f>
        <v/>
      </c>
      <c r="B53" t="s">
        <v>1790</v>
      </c>
      <c r="C53" t="s">
        <v>1791</v>
      </c>
      <c r="D53" t="s">
        <v>192</v>
      </c>
      <c r="E53">
        <f>_xlfn.XLOOKUP(C53,'دیده بان بازار'!$A$5:$A$2990,'دیده بان بازار'!$Q$5:$Q$2990,"")</f>
        <v>7.18</v>
      </c>
      <c r="F53" s="428" t="str">
        <f t="shared" si="0"/>
        <v/>
      </c>
    </row>
    <row r="54" spans="1:6">
      <c r="A54" s="2059" t="str">
        <f>_xlfn.XLOOKUP(C54,'Price Record'!$C$5:$C$102,'Price Record'!$D$5:$D$102,"")</f>
        <v/>
      </c>
      <c r="B54" t="s">
        <v>1792</v>
      </c>
      <c r="C54" t="s">
        <v>1793</v>
      </c>
      <c r="D54" t="s">
        <v>192</v>
      </c>
      <c r="E54">
        <f>_xlfn.XLOOKUP(C54,'دیده بان بازار'!$A$5:$A$2990,'دیده بان بازار'!$Q$5:$Q$2990,"")</f>
        <v>8.89</v>
      </c>
      <c r="F54" s="428" t="str">
        <f t="shared" si="0"/>
        <v/>
      </c>
    </row>
    <row r="55" spans="1:6">
      <c r="A55" s="2059" t="str">
        <f>_xlfn.XLOOKUP(C55,'Price Record'!$C$5:$C$102,'Price Record'!$D$5:$D$102,"")</f>
        <v/>
      </c>
      <c r="B55" t="s">
        <v>1794</v>
      </c>
      <c r="C55" t="s">
        <v>1795</v>
      </c>
      <c r="D55" t="s">
        <v>192</v>
      </c>
      <c r="E55">
        <f>_xlfn.XLOOKUP(C55,'دیده بان بازار'!$A$5:$A$2990,'دیده بان بازار'!$Q$5:$Q$2990,"")</f>
        <v>4.08</v>
      </c>
      <c r="F55" s="428" t="str">
        <f t="shared" si="0"/>
        <v/>
      </c>
    </row>
    <row r="56" spans="1:6">
      <c r="A56" s="2059" t="str">
        <f>_xlfn.XLOOKUP(C56,'Price Record'!$C$5:$C$102,'Price Record'!$D$5:$D$102,"")</f>
        <v/>
      </c>
      <c r="B56" t="s">
        <v>1796</v>
      </c>
      <c r="C56" t="s">
        <v>1797</v>
      </c>
      <c r="D56" t="s">
        <v>192</v>
      </c>
      <c r="E56">
        <f>_xlfn.XLOOKUP(C56,'دیده بان بازار'!$A$5:$A$2990,'دیده بان بازار'!$Q$5:$Q$2990,"")</f>
        <v>534.14</v>
      </c>
      <c r="F56" s="428" t="str">
        <f t="shared" si="0"/>
        <v/>
      </c>
    </row>
    <row r="57" spans="1:6">
      <c r="A57" s="2059" t="str">
        <f>_xlfn.XLOOKUP(C57,'Price Record'!$C$5:$C$102,'Price Record'!$D$5:$D$102,"")</f>
        <v/>
      </c>
      <c r="B57" t="s">
        <v>1798</v>
      </c>
      <c r="C57" t="s">
        <v>1799</v>
      </c>
      <c r="D57" t="s">
        <v>192</v>
      </c>
      <c r="E57" t="str">
        <f>_xlfn.XLOOKUP(C57,'دیده بان بازار'!$A$5:$A$2990,'دیده بان بازار'!$Q$5:$Q$2990,"")</f>
        <v/>
      </c>
      <c r="F57" s="428" t="str">
        <f t="shared" si="0"/>
        <v/>
      </c>
    </row>
    <row r="58" spans="1:6">
      <c r="A58" s="2059" t="str">
        <f>_xlfn.XLOOKUP(C58,'Price Record'!$C$5:$C$102,'Price Record'!$D$5:$D$102,"")</f>
        <v/>
      </c>
      <c r="B58" t="s">
        <v>1800</v>
      </c>
      <c r="C58" t="s">
        <v>1801</v>
      </c>
      <c r="D58" t="s">
        <v>192</v>
      </c>
      <c r="E58">
        <f>_xlfn.XLOOKUP(C58,'دیده بان بازار'!$A$5:$A$2990,'دیده بان بازار'!$Q$5:$Q$2990,"")</f>
        <v>7.26</v>
      </c>
      <c r="F58" s="428" t="str">
        <f t="shared" si="0"/>
        <v/>
      </c>
    </row>
    <row r="59" spans="1:6">
      <c r="A59" s="2059" t="str">
        <f>_xlfn.XLOOKUP(C59,'Price Record'!$C$5:$C$102,'Price Record'!$D$5:$D$102,"")</f>
        <v/>
      </c>
      <c r="B59" t="s">
        <v>1802</v>
      </c>
      <c r="C59" t="s">
        <v>1803</v>
      </c>
      <c r="D59">
        <v>7.93</v>
      </c>
      <c r="E59">
        <f>_xlfn.XLOOKUP(C59,'دیده بان بازار'!$A$5:$A$2990,'دیده بان بازار'!$Q$5:$Q$2990,"")</f>
        <v>7.3</v>
      </c>
      <c r="F59" s="428">
        <f t="shared" si="0"/>
        <v>-0.62999999999999989</v>
      </c>
    </row>
    <row r="60" spans="1:6">
      <c r="A60" s="2059" t="str">
        <f>_xlfn.XLOOKUP(C60,'Price Record'!$C$5:$C$102,'Price Record'!$D$5:$D$102,"")</f>
        <v/>
      </c>
      <c r="B60" t="s">
        <v>1804</v>
      </c>
      <c r="C60" t="s">
        <v>1805</v>
      </c>
      <c r="D60">
        <v>16.079999999999998</v>
      </c>
      <c r="E60">
        <f>_xlfn.XLOOKUP(C60,'دیده بان بازار'!$A$5:$A$2990,'دیده بان بازار'!$Q$5:$Q$2990,"")</f>
        <v>8.08</v>
      </c>
      <c r="F60" s="428">
        <f t="shared" si="0"/>
        <v>-7.9999999999999982</v>
      </c>
    </row>
    <row r="61" spans="1:6">
      <c r="A61" s="2059" t="str">
        <f>_xlfn.XLOOKUP(C61,'Price Record'!$C$5:$C$102,'Price Record'!$D$5:$D$102,"")</f>
        <v/>
      </c>
      <c r="B61" t="s">
        <v>1806</v>
      </c>
      <c r="C61" t="s">
        <v>1807</v>
      </c>
      <c r="D61">
        <v>3.91</v>
      </c>
      <c r="E61">
        <f>_xlfn.XLOOKUP(C61,'دیده بان بازار'!$A$5:$A$2990,'دیده بان بازار'!$Q$5:$Q$2990,"")</f>
        <v>73.83</v>
      </c>
      <c r="F61" s="428" t="str">
        <f t="shared" si="0"/>
        <v/>
      </c>
    </row>
    <row r="62" spans="1:6">
      <c r="A62" s="2059" t="str">
        <f>_xlfn.XLOOKUP(C62,'Price Record'!$C$5:$C$102,'Price Record'!$D$5:$D$102,"")</f>
        <v/>
      </c>
      <c r="B62" t="s">
        <v>1806</v>
      </c>
      <c r="C62" t="s">
        <v>1808</v>
      </c>
      <c r="D62" t="s">
        <v>192</v>
      </c>
      <c r="E62">
        <f>_xlfn.XLOOKUP(C62,'دیده بان بازار'!$A$5:$A$2990,'دیده بان بازار'!$Q$5:$Q$2990,"")</f>
        <v>73.83</v>
      </c>
      <c r="F62" s="428" t="str">
        <f t="shared" si="0"/>
        <v/>
      </c>
    </row>
    <row r="63" spans="1:6">
      <c r="A63" s="2059" t="str">
        <f>_xlfn.XLOOKUP(C63,'Price Record'!$C$5:$C$102,'Price Record'!$D$5:$D$102,"")</f>
        <v/>
      </c>
      <c r="B63" t="s">
        <v>1809</v>
      </c>
      <c r="C63" t="s">
        <v>1810</v>
      </c>
      <c r="D63" t="s">
        <v>192</v>
      </c>
      <c r="E63">
        <f>_xlfn.XLOOKUP(C63,'دیده بان بازار'!$A$5:$A$2990,'دیده بان بازار'!$Q$5:$Q$2990,"")</f>
        <v>11.89</v>
      </c>
      <c r="F63" s="428" t="str">
        <f t="shared" si="0"/>
        <v/>
      </c>
    </row>
    <row r="64" spans="1:6">
      <c r="A64" s="2059" t="str">
        <f>_xlfn.XLOOKUP(C64,'Price Record'!$C$5:$C$102,'Price Record'!$D$5:$D$102,"")</f>
        <v/>
      </c>
      <c r="B64" t="s">
        <v>1811</v>
      </c>
      <c r="C64" t="s">
        <v>1812</v>
      </c>
      <c r="D64" t="s">
        <v>192</v>
      </c>
      <c r="E64">
        <f>_xlfn.XLOOKUP(C64,'دیده بان بازار'!$A$5:$A$2990,'دیده بان بازار'!$Q$5:$Q$2990,"")</f>
        <v>11.34</v>
      </c>
      <c r="F64" s="428" t="str">
        <f t="shared" si="0"/>
        <v/>
      </c>
    </row>
    <row r="65" spans="1:6">
      <c r="A65" s="2059" t="str">
        <f>_xlfn.XLOOKUP(C65,'Price Record'!$C$5:$C$102,'Price Record'!$D$5:$D$102,"")</f>
        <v/>
      </c>
      <c r="B65" t="s">
        <v>1813</v>
      </c>
      <c r="C65" t="s">
        <v>1814</v>
      </c>
      <c r="D65" t="s">
        <v>192</v>
      </c>
      <c r="E65">
        <f>_xlfn.XLOOKUP(C65,'دیده بان بازار'!$A$5:$A$2990,'دیده بان بازار'!$Q$5:$Q$2990,"")</f>
        <v>-34.69</v>
      </c>
      <c r="F65" s="428" t="str">
        <f t="shared" si="0"/>
        <v/>
      </c>
    </row>
    <row r="66" spans="1:6">
      <c r="A66" s="2059" t="str">
        <f>_xlfn.XLOOKUP(C66,'Price Record'!$C$5:$C$102,'Price Record'!$D$5:$D$102,"")</f>
        <v/>
      </c>
      <c r="B66" t="s">
        <v>1815</v>
      </c>
      <c r="C66" t="s">
        <v>1816</v>
      </c>
      <c r="D66">
        <v>4.2699999999999996</v>
      </c>
      <c r="E66">
        <f>_xlfn.XLOOKUP(C66,'دیده بان بازار'!$A$5:$A$2990,'دیده بان بازار'!$Q$5:$Q$2990,"")</f>
        <v>5.52</v>
      </c>
      <c r="F66" s="428">
        <f t="shared" si="0"/>
        <v>1.25</v>
      </c>
    </row>
    <row r="67" spans="1:6">
      <c r="A67" s="2059" t="str">
        <f>_xlfn.XLOOKUP(C67,'Price Record'!$C$5:$C$102,'Price Record'!$D$5:$D$102,"")</f>
        <v/>
      </c>
      <c r="B67" t="s">
        <v>1817</v>
      </c>
      <c r="C67" t="s">
        <v>1818</v>
      </c>
      <c r="D67">
        <v>8.11</v>
      </c>
      <c r="E67">
        <f>_xlfn.XLOOKUP(C67,'دیده بان بازار'!$A$5:$A$2990,'دیده بان بازار'!$Q$5:$Q$2990,"")</f>
        <v>5.84</v>
      </c>
      <c r="F67" s="428">
        <f t="shared" si="0"/>
        <v>-2.2699999999999996</v>
      </c>
    </row>
    <row r="68" spans="1:6">
      <c r="A68" s="2059" t="str">
        <f>_xlfn.XLOOKUP(C68,'Price Record'!$C$5:$C$102,'Price Record'!$D$5:$D$102,"")</f>
        <v/>
      </c>
      <c r="B68" t="s">
        <v>1819</v>
      </c>
      <c r="C68" t="s">
        <v>1820</v>
      </c>
      <c r="D68">
        <v>8.41</v>
      </c>
      <c r="E68">
        <f>_xlfn.XLOOKUP(C68,'دیده بان بازار'!$A$5:$A$2990,'دیده بان بازار'!$Q$5:$Q$2990,"")</f>
        <v>9.16</v>
      </c>
      <c r="F68" s="428">
        <f t="shared" ref="F68:F131" si="1">IFERROR(IF(0&lt;E68,IF(E68&lt;20,E68-D68,""),""),"")</f>
        <v>0.75</v>
      </c>
    </row>
    <row r="69" spans="1:6">
      <c r="A69" s="2059" t="str">
        <f>_xlfn.XLOOKUP(C69,'Price Record'!$C$5:$C$102,'Price Record'!$D$5:$D$102,"")</f>
        <v/>
      </c>
      <c r="B69" t="s">
        <v>1821</v>
      </c>
      <c r="C69" t="s">
        <v>1822</v>
      </c>
      <c r="D69">
        <v>3.56</v>
      </c>
      <c r="E69">
        <f>_xlfn.XLOOKUP(C69,'دیده بان بازار'!$A$5:$A$2990,'دیده بان بازار'!$Q$5:$Q$2990,"")</f>
        <v>4.6100000000000003</v>
      </c>
      <c r="F69" s="428">
        <f t="shared" si="1"/>
        <v>1.0500000000000003</v>
      </c>
    </row>
    <row r="70" spans="1:6">
      <c r="A70" s="2059" t="str">
        <f>_xlfn.XLOOKUP(C70,'Price Record'!$C$5:$C$102,'Price Record'!$D$5:$D$102,"")</f>
        <v/>
      </c>
      <c r="B70" t="s">
        <v>1823</v>
      </c>
      <c r="C70" t="s">
        <v>1824</v>
      </c>
      <c r="D70" t="s">
        <v>192</v>
      </c>
      <c r="E70">
        <f>_xlfn.XLOOKUP(C70,'دیده بان بازار'!$A$5:$A$2990,'دیده بان بازار'!$Q$5:$Q$2990,"")</f>
        <v>100.75</v>
      </c>
      <c r="F70" s="428" t="str">
        <f t="shared" si="1"/>
        <v/>
      </c>
    </row>
    <row r="71" spans="1:6">
      <c r="A71" s="2059" t="str">
        <f>_xlfn.XLOOKUP(C71,'Price Record'!$C$5:$C$102,'Price Record'!$D$5:$D$102,"")</f>
        <v/>
      </c>
      <c r="B71" t="s">
        <v>1825</v>
      </c>
      <c r="C71" t="s">
        <v>1826</v>
      </c>
      <c r="D71">
        <v>20.88</v>
      </c>
      <c r="E71">
        <f>_xlfn.XLOOKUP(C71,'دیده بان بازار'!$A$5:$A$2990,'دیده بان بازار'!$Q$5:$Q$2990,"")</f>
        <v>-1.34</v>
      </c>
      <c r="F71" s="428" t="str">
        <f t="shared" si="1"/>
        <v/>
      </c>
    </row>
    <row r="72" spans="1:6">
      <c r="A72" s="2059" t="str">
        <f>_xlfn.XLOOKUP(C72,'Price Record'!$C$5:$C$102,'Price Record'!$D$5:$D$102,"")</f>
        <v/>
      </c>
      <c r="B72" t="s">
        <v>1827</v>
      </c>
      <c r="C72" t="s">
        <v>1828</v>
      </c>
      <c r="D72" t="s">
        <v>192</v>
      </c>
      <c r="E72">
        <f>_xlfn.XLOOKUP(C72,'دیده بان بازار'!$A$5:$A$2990,'دیده بان بازار'!$Q$5:$Q$2990,"")</f>
        <v>8.98</v>
      </c>
      <c r="F72" s="428" t="str">
        <f t="shared" si="1"/>
        <v/>
      </c>
    </row>
    <row r="73" spans="1:6">
      <c r="A73" s="2059" t="str">
        <f>_xlfn.XLOOKUP(C73,'Price Record'!$C$5:$C$102,'Price Record'!$D$5:$D$102,"")</f>
        <v/>
      </c>
      <c r="B73" t="s">
        <v>1829</v>
      </c>
      <c r="C73" t="s">
        <v>1830</v>
      </c>
      <c r="D73" t="s">
        <v>192</v>
      </c>
      <c r="E73">
        <f>_xlfn.XLOOKUP(C73,'دیده بان بازار'!$A$5:$A$2990,'دیده بان بازار'!$Q$5:$Q$2990,"")</f>
        <v>5.79</v>
      </c>
      <c r="F73" s="428" t="str">
        <f t="shared" si="1"/>
        <v/>
      </c>
    </row>
    <row r="74" spans="1:6">
      <c r="A74" s="2059" t="str">
        <f>_xlfn.XLOOKUP(C74,'Price Record'!$C$5:$C$102,'Price Record'!$D$5:$D$102,"")</f>
        <v/>
      </c>
      <c r="B74" t="s">
        <v>1831</v>
      </c>
      <c r="C74" t="s">
        <v>1832</v>
      </c>
      <c r="D74" t="s">
        <v>192</v>
      </c>
      <c r="E74">
        <f>_xlfn.XLOOKUP(C74,'دیده بان بازار'!$A$5:$A$2990,'دیده بان بازار'!$Q$5:$Q$2990,"")</f>
        <v>9.19</v>
      </c>
      <c r="F74" s="428" t="str">
        <f t="shared" si="1"/>
        <v/>
      </c>
    </row>
    <row r="75" spans="1:6">
      <c r="A75" s="2059" t="str">
        <f>_xlfn.XLOOKUP(C75,'Price Record'!$C$5:$C$102,'Price Record'!$D$5:$D$102,"")</f>
        <v/>
      </c>
      <c r="B75" t="s">
        <v>1831</v>
      </c>
      <c r="C75" t="s">
        <v>1833</v>
      </c>
      <c r="D75" t="s">
        <v>192</v>
      </c>
      <c r="E75">
        <f>_xlfn.XLOOKUP(C75,'دیده بان بازار'!$A$5:$A$2990,'دیده بان بازار'!$Q$5:$Q$2990,"")</f>
        <v>9.19</v>
      </c>
      <c r="F75" s="428" t="str">
        <f t="shared" si="1"/>
        <v/>
      </c>
    </row>
    <row r="76" spans="1:6">
      <c r="A76" s="2059" t="str">
        <f>_xlfn.XLOOKUP(C76,'Price Record'!$C$5:$C$102,'Price Record'!$D$5:$D$102,"")</f>
        <v/>
      </c>
      <c r="B76" t="s">
        <v>1834</v>
      </c>
      <c r="C76" t="s">
        <v>1835</v>
      </c>
      <c r="D76">
        <v>-1.0900000000000001</v>
      </c>
      <c r="E76">
        <f>_xlfn.XLOOKUP(C76,'دیده بان بازار'!$A$5:$A$2990,'دیده بان بازار'!$Q$5:$Q$2990,"")</f>
        <v>-119.81</v>
      </c>
      <c r="F76" s="428" t="str">
        <f t="shared" si="1"/>
        <v/>
      </c>
    </row>
    <row r="77" spans="1:6">
      <c r="A77" s="2059" t="str">
        <f>_xlfn.XLOOKUP(C77,'Price Record'!$C$5:$C$102,'Price Record'!$D$5:$D$102,"")</f>
        <v/>
      </c>
      <c r="B77" t="s">
        <v>1836</v>
      </c>
      <c r="C77" t="s">
        <v>1837</v>
      </c>
      <c r="D77">
        <v>-11.48</v>
      </c>
      <c r="E77">
        <f>_xlfn.XLOOKUP(C77,'دیده بان بازار'!$A$5:$A$2990,'دیده بان بازار'!$Q$5:$Q$2990,"")</f>
        <v>7.25</v>
      </c>
      <c r="F77" s="428">
        <f t="shared" si="1"/>
        <v>18.73</v>
      </c>
    </row>
    <row r="78" spans="1:6">
      <c r="A78" s="2059" t="str">
        <f>_xlfn.XLOOKUP(C78,'Price Record'!$C$5:$C$102,'Price Record'!$D$5:$D$102,"")</f>
        <v/>
      </c>
      <c r="B78" t="s">
        <v>1838</v>
      </c>
      <c r="C78" t="s">
        <v>1839</v>
      </c>
      <c r="D78" t="s">
        <v>192</v>
      </c>
      <c r="E78">
        <f>_xlfn.XLOOKUP(C78,'دیده بان بازار'!$A$5:$A$2990,'دیده بان بازار'!$Q$5:$Q$2990,"")</f>
        <v>4.25</v>
      </c>
      <c r="F78" s="428" t="str">
        <f t="shared" si="1"/>
        <v/>
      </c>
    </row>
    <row r="79" spans="1:6">
      <c r="A79" s="2059" t="str">
        <f>_xlfn.XLOOKUP(C79,'Price Record'!$C$5:$C$102,'Price Record'!$D$5:$D$102,"")</f>
        <v/>
      </c>
      <c r="B79" t="s">
        <v>1840</v>
      </c>
      <c r="C79" t="s">
        <v>1841</v>
      </c>
      <c r="D79">
        <v>22.49</v>
      </c>
      <c r="E79">
        <f>_xlfn.XLOOKUP(C79,'دیده بان بازار'!$A$5:$A$2990,'دیده بان بازار'!$Q$5:$Q$2990,"")</f>
        <v>14.9</v>
      </c>
      <c r="F79" s="428">
        <f t="shared" si="1"/>
        <v>-7.5899999999999981</v>
      </c>
    </row>
    <row r="80" spans="1:6">
      <c r="A80" s="2059" t="str">
        <f>_xlfn.XLOOKUP(C80,'Price Record'!$C$5:$C$102,'Price Record'!$D$5:$D$102,"")</f>
        <v/>
      </c>
      <c r="B80" t="s">
        <v>1842</v>
      </c>
      <c r="C80" t="s">
        <v>1843</v>
      </c>
      <c r="D80">
        <v>8.83</v>
      </c>
      <c r="E80">
        <f>_xlfn.XLOOKUP(C80,'دیده بان بازار'!$A$5:$A$2990,'دیده بان بازار'!$Q$5:$Q$2990,"")</f>
        <v>4.05</v>
      </c>
      <c r="F80" s="428">
        <f t="shared" si="1"/>
        <v>-4.78</v>
      </c>
    </row>
    <row r="81" spans="1:6">
      <c r="A81" s="2059" t="str">
        <f>_xlfn.XLOOKUP(C81,'Price Record'!$C$5:$C$102,'Price Record'!$D$5:$D$102,"")</f>
        <v/>
      </c>
      <c r="B81" t="s">
        <v>1842</v>
      </c>
      <c r="C81" t="s">
        <v>1844</v>
      </c>
      <c r="D81" t="s">
        <v>192</v>
      </c>
      <c r="E81" t="str">
        <f>_xlfn.XLOOKUP(C81,'دیده بان بازار'!$A$5:$A$2990,'دیده بان بازار'!$Q$5:$Q$2990,"")</f>
        <v/>
      </c>
      <c r="F81" s="428" t="str">
        <f t="shared" si="1"/>
        <v/>
      </c>
    </row>
    <row r="82" spans="1:6">
      <c r="A82" s="2059" t="str">
        <f>_xlfn.XLOOKUP(C82,'Price Record'!$C$5:$C$102,'Price Record'!$D$5:$D$102,"")</f>
        <v/>
      </c>
      <c r="B82" t="s">
        <v>1845</v>
      </c>
      <c r="C82" t="s">
        <v>1846</v>
      </c>
      <c r="D82">
        <v>12.81</v>
      </c>
      <c r="E82">
        <f>_xlfn.XLOOKUP(C82,'دیده بان بازار'!$A$5:$A$2990,'دیده بان بازار'!$Q$5:$Q$2990,"")</f>
        <v>15.43</v>
      </c>
      <c r="F82" s="428">
        <f t="shared" si="1"/>
        <v>2.6199999999999992</v>
      </c>
    </row>
    <row r="83" spans="1:6">
      <c r="A83" s="2059" t="str">
        <f>_xlfn.XLOOKUP(C83,'Price Record'!$C$5:$C$102,'Price Record'!$D$5:$D$102,"")</f>
        <v/>
      </c>
      <c r="B83" t="s">
        <v>1847</v>
      </c>
      <c r="C83" t="s">
        <v>1848</v>
      </c>
      <c r="D83" t="s">
        <v>192</v>
      </c>
      <c r="E83">
        <f>_xlfn.XLOOKUP(C83,'دیده بان بازار'!$A$5:$A$2990,'دیده بان بازار'!$Q$5:$Q$2990,"")</f>
        <v>15.36</v>
      </c>
      <c r="F83" s="428" t="str">
        <f t="shared" si="1"/>
        <v/>
      </c>
    </row>
    <row r="84" spans="1:6">
      <c r="A84" s="2059" t="str">
        <f>_xlfn.XLOOKUP(C84,'Price Record'!$C$5:$C$102,'Price Record'!$D$5:$D$102,"")</f>
        <v/>
      </c>
      <c r="B84" t="s">
        <v>1849</v>
      </c>
      <c r="C84" t="s">
        <v>1850</v>
      </c>
      <c r="D84">
        <v>7.01</v>
      </c>
      <c r="E84">
        <f>_xlfn.XLOOKUP(C84,'دیده بان بازار'!$A$5:$A$2990,'دیده بان بازار'!$Q$5:$Q$2990,"")</f>
        <v>4.29</v>
      </c>
      <c r="F84" s="428">
        <f t="shared" si="1"/>
        <v>-2.7199999999999998</v>
      </c>
    </row>
    <row r="85" spans="1:6">
      <c r="A85" s="2059" t="str">
        <f>_xlfn.XLOOKUP(C85,'Price Record'!$C$5:$C$102,'Price Record'!$D$5:$D$102,"")</f>
        <v/>
      </c>
      <c r="B85" t="s">
        <v>1851</v>
      </c>
      <c r="C85" t="s">
        <v>1852</v>
      </c>
      <c r="D85" t="s">
        <v>192</v>
      </c>
      <c r="E85">
        <f>_xlfn.XLOOKUP(C85,'دیده بان بازار'!$A$5:$A$2990,'دیده بان بازار'!$Q$5:$Q$2990,"")</f>
        <v>15.19</v>
      </c>
      <c r="F85" s="428" t="str">
        <f t="shared" si="1"/>
        <v/>
      </c>
    </row>
    <row r="86" spans="1:6">
      <c r="A86" s="2059" t="str">
        <f>_xlfn.XLOOKUP(C86,'Price Record'!$C$5:$C$102,'Price Record'!$D$5:$D$102,"")</f>
        <v/>
      </c>
      <c r="B86" t="s">
        <v>1853</v>
      </c>
      <c r="C86" t="s">
        <v>1854</v>
      </c>
      <c r="D86">
        <v>9.16</v>
      </c>
      <c r="E86">
        <f>_xlfn.XLOOKUP(C86,'دیده بان بازار'!$A$5:$A$2990,'دیده بان بازار'!$Q$5:$Q$2990,"")</f>
        <v>13.03</v>
      </c>
      <c r="F86" s="428">
        <f t="shared" si="1"/>
        <v>3.8699999999999992</v>
      </c>
    </row>
    <row r="87" spans="1:6">
      <c r="A87" s="2059" t="str">
        <f>_xlfn.XLOOKUP(C87,'Price Record'!$C$5:$C$102,'Price Record'!$D$5:$D$102,"")</f>
        <v/>
      </c>
      <c r="B87" t="s">
        <v>1855</v>
      </c>
      <c r="C87" t="s">
        <v>1856</v>
      </c>
      <c r="D87">
        <v>7.94</v>
      </c>
      <c r="E87">
        <f>_xlfn.XLOOKUP(C87,'دیده بان بازار'!$A$5:$A$2990,'دیده بان بازار'!$Q$5:$Q$2990,"")</f>
        <v>4.34</v>
      </c>
      <c r="F87" s="428">
        <f t="shared" si="1"/>
        <v>-3.6000000000000005</v>
      </c>
    </row>
    <row r="88" spans="1:6">
      <c r="A88" s="2059" t="str">
        <f>_xlfn.XLOOKUP(C88,'Price Record'!$C$5:$C$102,'Price Record'!$D$5:$D$102,"")</f>
        <v/>
      </c>
      <c r="B88" t="s">
        <v>1857</v>
      </c>
      <c r="C88" t="s">
        <v>1858</v>
      </c>
      <c r="D88">
        <v>101.14</v>
      </c>
      <c r="E88">
        <f>_xlfn.XLOOKUP(C88,'دیده بان بازار'!$A$5:$A$2990,'دیده بان بازار'!$Q$5:$Q$2990,"")</f>
        <v>7.44</v>
      </c>
      <c r="F88" s="428">
        <f t="shared" si="1"/>
        <v>-93.7</v>
      </c>
    </row>
    <row r="89" spans="1:6">
      <c r="A89" s="2059" t="str">
        <f>_xlfn.XLOOKUP(C89,'Price Record'!$C$5:$C$102,'Price Record'!$D$5:$D$102,"")</f>
        <v/>
      </c>
      <c r="B89" t="s">
        <v>1857</v>
      </c>
      <c r="C89" t="s">
        <v>1859</v>
      </c>
      <c r="D89">
        <v>-8.1999999999999993</v>
      </c>
      <c r="E89" t="str">
        <f>_xlfn.XLOOKUP(C89,'دیده بان بازار'!$A$5:$A$2990,'دیده بان بازار'!$Q$5:$Q$2990,"")</f>
        <v/>
      </c>
      <c r="F89" s="428" t="str">
        <f t="shared" si="1"/>
        <v/>
      </c>
    </row>
    <row r="90" spans="1:6">
      <c r="A90" s="2059" t="str">
        <f>_xlfn.XLOOKUP(C90,'Price Record'!$C$5:$C$102,'Price Record'!$D$5:$D$102,"")</f>
        <v/>
      </c>
      <c r="B90" t="s">
        <v>1860</v>
      </c>
      <c r="C90" t="s">
        <v>1861</v>
      </c>
      <c r="D90" t="s">
        <v>192</v>
      </c>
      <c r="E90">
        <f>_xlfn.XLOOKUP(C90,'دیده بان بازار'!$A$5:$A$2990,'دیده بان بازار'!$Q$5:$Q$2990,"")</f>
        <v>1.6</v>
      </c>
      <c r="F90" s="428" t="str">
        <f t="shared" si="1"/>
        <v/>
      </c>
    </row>
    <row r="91" spans="1:6">
      <c r="A91" s="2059" t="str">
        <f>_xlfn.XLOOKUP(C91,'Price Record'!$C$5:$C$102,'Price Record'!$D$5:$D$102,"")</f>
        <v/>
      </c>
      <c r="B91" t="s">
        <v>1862</v>
      </c>
      <c r="C91" t="s">
        <v>1863</v>
      </c>
      <c r="D91" t="s">
        <v>192</v>
      </c>
      <c r="E91">
        <f>_xlfn.XLOOKUP(C91,'دیده بان بازار'!$A$5:$A$2990,'دیده بان بازار'!$Q$5:$Q$2990,"")</f>
        <v>55.19</v>
      </c>
      <c r="F91" s="428" t="str">
        <f t="shared" si="1"/>
        <v/>
      </c>
    </row>
    <row r="92" spans="1:6">
      <c r="A92" s="2062" t="str">
        <f>_xlfn.XLOOKUP(C92,'Price Record'!$C$5:$C$102,'Price Record'!$D$5:$D$102,"")</f>
        <v>T</v>
      </c>
      <c r="B92" s="1445" t="s">
        <v>185</v>
      </c>
      <c r="C92" s="1445" t="s">
        <v>186</v>
      </c>
      <c r="D92" s="1445">
        <v>5.8</v>
      </c>
      <c r="E92" s="1445">
        <f>_xlfn.XLOOKUP(C92,'دیده بان بازار'!$A$5:$A$2990,'دیده بان بازار'!$Q$5:$Q$2990,"")</f>
        <v>3.99</v>
      </c>
      <c r="F92" s="2063">
        <f t="shared" si="1"/>
        <v>-1.8099999999999996</v>
      </c>
    </row>
    <row r="93" spans="1:6">
      <c r="A93" s="2059" t="str">
        <f>_xlfn.XLOOKUP(C93,'Price Record'!$C$5:$C$102,'Price Record'!$D$5:$D$102,"")</f>
        <v/>
      </c>
      <c r="B93" t="s">
        <v>1864</v>
      </c>
      <c r="C93" t="s">
        <v>1865</v>
      </c>
      <c r="D93" t="s">
        <v>192</v>
      </c>
      <c r="E93">
        <f>_xlfn.XLOOKUP(C93,'دیده بان بازار'!$A$5:$A$2990,'دیده بان بازار'!$Q$5:$Q$2990,"")</f>
        <v>9.6199999999999992</v>
      </c>
      <c r="F93" s="428" t="str">
        <f t="shared" si="1"/>
        <v/>
      </c>
    </row>
    <row r="94" spans="1:6">
      <c r="A94" s="2062" t="str">
        <f>_xlfn.XLOOKUP(C94,'Price Record'!$C$5:$C$102,'Price Record'!$D$5:$D$102,"")</f>
        <v>T</v>
      </c>
      <c r="B94" s="1445" t="s">
        <v>181</v>
      </c>
      <c r="C94" s="1445" t="s">
        <v>182</v>
      </c>
      <c r="D94" s="1445" t="s">
        <v>192</v>
      </c>
      <c r="E94" s="1445">
        <f>_xlfn.XLOOKUP(C94,'دیده بان بازار'!$A$5:$A$2990,'دیده بان بازار'!$Q$5:$Q$2990,"")</f>
        <v>5.32</v>
      </c>
      <c r="F94" s="2063" t="str">
        <f t="shared" si="1"/>
        <v/>
      </c>
    </row>
    <row r="95" spans="1:6">
      <c r="A95" s="2059" t="str">
        <f>_xlfn.XLOOKUP(C95,'Price Record'!$C$5:$C$102,'Price Record'!$D$5:$D$102,"")</f>
        <v/>
      </c>
      <c r="B95" t="s">
        <v>1866</v>
      </c>
      <c r="C95" t="s">
        <v>1867</v>
      </c>
      <c r="D95">
        <v>5.67</v>
      </c>
      <c r="E95">
        <f>_xlfn.XLOOKUP(C95,'دیده بان بازار'!$A$5:$A$2990,'دیده بان بازار'!$Q$5:$Q$2990,"")</f>
        <v>2.96</v>
      </c>
      <c r="F95" s="428">
        <f t="shared" si="1"/>
        <v>-2.71</v>
      </c>
    </row>
    <row r="96" spans="1:6">
      <c r="A96" s="2059" t="str">
        <f>_xlfn.XLOOKUP(C96,'Price Record'!$C$5:$C$102,'Price Record'!$D$5:$D$102,"")</f>
        <v/>
      </c>
      <c r="B96" t="s">
        <v>1868</v>
      </c>
      <c r="C96" t="s">
        <v>1869</v>
      </c>
      <c r="D96">
        <v>5.55</v>
      </c>
      <c r="E96">
        <f>_xlfn.XLOOKUP(C96,'دیده بان بازار'!$A$5:$A$2990,'دیده بان بازار'!$Q$5:$Q$2990,"")</f>
        <v>7.92</v>
      </c>
      <c r="F96" s="428">
        <f t="shared" si="1"/>
        <v>2.37</v>
      </c>
    </row>
    <row r="97" spans="1:6">
      <c r="A97" s="2059" t="str">
        <f>_xlfn.XLOOKUP(C97,'Price Record'!$C$5:$C$102,'Price Record'!$D$5:$D$102,"")</f>
        <v/>
      </c>
      <c r="B97" t="s">
        <v>1870</v>
      </c>
      <c r="C97" t="s">
        <v>1871</v>
      </c>
      <c r="D97">
        <v>-132.22</v>
      </c>
      <c r="E97">
        <f>_xlfn.XLOOKUP(C97,'دیده بان بازار'!$A$5:$A$2990,'دیده بان بازار'!$Q$5:$Q$2990,"")</f>
        <v>5.59</v>
      </c>
      <c r="F97" s="428">
        <f t="shared" si="1"/>
        <v>137.81</v>
      </c>
    </row>
    <row r="98" spans="1:6">
      <c r="A98" s="2059" t="str">
        <f>_xlfn.XLOOKUP(C98,'Price Record'!$C$5:$C$102,'Price Record'!$D$5:$D$102,"")</f>
        <v/>
      </c>
      <c r="B98" t="s">
        <v>1872</v>
      </c>
      <c r="C98" t="s">
        <v>1873</v>
      </c>
      <c r="D98" t="s">
        <v>192</v>
      </c>
      <c r="E98">
        <f>_xlfn.XLOOKUP(C98,'دیده بان بازار'!$A$5:$A$2990,'دیده بان بازار'!$Q$5:$Q$2990,"")</f>
        <v>10.09</v>
      </c>
      <c r="F98" s="428" t="str">
        <f t="shared" si="1"/>
        <v/>
      </c>
    </row>
    <row r="99" spans="1:6">
      <c r="A99" s="2059" t="str">
        <f>_xlfn.XLOOKUP(C99,'Price Record'!$C$5:$C$102,'Price Record'!$D$5:$D$102,"")</f>
        <v/>
      </c>
      <c r="B99" t="s">
        <v>1874</v>
      </c>
      <c r="C99" t="s">
        <v>1875</v>
      </c>
      <c r="D99">
        <v>3.52</v>
      </c>
      <c r="E99">
        <f>_xlfn.XLOOKUP(C99,'دیده بان بازار'!$A$5:$A$2990,'دیده بان بازار'!$Q$5:$Q$2990,"")</f>
        <v>13.16</v>
      </c>
      <c r="F99" s="428">
        <f t="shared" si="1"/>
        <v>9.64</v>
      </c>
    </row>
    <row r="100" spans="1:6">
      <c r="A100" s="2059" t="str">
        <f>_xlfn.XLOOKUP(C100,'Price Record'!$C$5:$C$102,'Price Record'!$D$5:$D$102,"")</f>
        <v/>
      </c>
      <c r="B100" t="s">
        <v>1876</v>
      </c>
      <c r="C100" t="s">
        <v>1877</v>
      </c>
      <c r="D100">
        <v>4.12</v>
      </c>
      <c r="E100">
        <f>_xlfn.XLOOKUP(C100,'دیده بان بازار'!$A$5:$A$2990,'دیده بان بازار'!$Q$5:$Q$2990,"")</f>
        <v>4.3499999999999996</v>
      </c>
      <c r="F100" s="428">
        <f t="shared" si="1"/>
        <v>0.22999999999999954</v>
      </c>
    </row>
    <row r="101" spans="1:6">
      <c r="A101" s="2059" t="str">
        <f>_xlfn.XLOOKUP(C101,'Price Record'!$C$5:$C$102,'Price Record'!$D$5:$D$102,"")</f>
        <v/>
      </c>
      <c r="B101" t="s">
        <v>1878</v>
      </c>
      <c r="C101" t="s">
        <v>1878</v>
      </c>
      <c r="D101" t="s">
        <v>192</v>
      </c>
      <c r="E101">
        <f>_xlfn.XLOOKUP(C101,'دیده بان بازار'!$A$5:$A$2990,'دیده بان بازار'!$Q$5:$Q$2990,"")</f>
        <v>-1.43</v>
      </c>
      <c r="F101" s="428" t="str">
        <f t="shared" si="1"/>
        <v/>
      </c>
    </row>
    <row r="102" spans="1:6">
      <c r="A102" s="2059" t="str">
        <f>_xlfn.XLOOKUP(C102,'Price Record'!$C$5:$C$102,'Price Record'!$D$5:$D$102,"")</f>
        <v/>
      </c>
      <c r="B102" t="s">
        <v>1879</v>
      </c>
      <c r="C102" t="s">
        <v>1880</v>
      </c>
      <c r="D102">
        <v>8.9700000000000006</v>
      </c>
      <c r="E102">
        <f>_xlfn.XLOOKUP(C102,'دیده بان بازار'!$A$5:$A$2990,'دیده بان بازار'!$Q$5:$Q$2990,"")</f>
        <v>13.05</v>
      </c>
      <c r="F102" s="428">
        <f t="shared" si="1"/>
        <v>4.08</v>
      </c>
    </row>
    <row r="103" spans="1:6">
      <c r="A103" s="2059" t="str">
        <f>_xlfn.XLOOKUP(C103,'Price Record'!$C$5:$C$102,'Price Record'!$D$5:$D$102,"")</f>
        <v/>
      </c>
      <c r="B103" t="s">
        <v>1881</v>
      </c>
      <c r="C103" t="s">
        <v>1882</v>
      </c>
      <c r="D103" t="s">
        <v>192</v>
      </c>
      <c r="E103">
        <f>_xlfn.XLOOKUP(C103,'دیده بان بازار'!$A$5:$A$2990,'دیده بان بازار'!$Q$5:$Q$2990,"")</f>
        <v>9.9499999999999993</v>
      </c>
      <c r="F103" s="428" t="str">
        <f t="shared" si="1"/>
        <v/>
      </c>
    </row>
    <row r="104" spans="1:6">
      <c r="A104" s="2062" t="str">
        <f>_xlfn.XLOOKUP(C104,'Price Record'!$C$5:$C$102,'Price Record'!$D$5:$D$102,"")</f>
        <v>T</v>
      </c>
      <c r="B104" s="1445" t="s">
        <v>187</v>
      </c>
      <c r="C104" s="1445" t="s">
        <v>188</v>
      </c>
      <c r="D104" s="1445" t="s">
        <v>192</v>
      </c>
      <c r="E104" s="1445">
        <f>_xlfn.XLOOKUP(C104,'دیده بان بازار'!$A$5:$A$2990,'دیده بان بازار'!$Q$5:$Q$2990,"")</f>
        <v>6.79</v>
      </c>
      <c r="F104" s="2063" t="str">
        <f t="shared" si="1"/>
        <v/>
      </c>
    </row>
    <row r="105" spans="1:6">
      <c r="A105" s="2059" t="str">
        <f>_xlfn.XLOOKUP(C105,'Price Record'!$C$5:$C$102,'Price Record'!$D$5:$D$102,"")</f>
        <v/>
      </c>
      <c r="B105" t="s">
        <v>187</v>
      </c>
      <c r="C105" t="s">
        <v>1883</v>
      </c>
      <c r="D105" t="s">
        <v>192</v>
      </c>
      <c r="E105" t="str">
        <f>_xlfn.XLOOKUP(C105,'دیده بان بازار'!$A$5:$A$2990,'دیده بان بازار'!$Q$5:$Q$2990,"")</f>
        <v/>
      </c>
      <c r="F105" s="428" t="str">
        <f t="shared" si="1"/>
        <v/>
      </c>
    </row>
    <row r="106" spans="1:6">
      <c r="A106" s="2062" t="str">
        <f>_xlfn.XLOOKUP(C106,'Price Record'!$C$5:$C$102,'Price Record'!$D$5:$D$102,"")</f>
        <v>T</v>
      </c>
      <c r="B106" s="1445" t="s">
        <v>183</v>
      </c>
      <c r="C106" s="1445" t="s">
        <v>184</v>
      </c>
      <c r="D106" s="1445" t="s">
        <v>192</v>
      </c>
      <c r="E106" s="1445">
        <f>_xlfn.XLOOKUP(C106,'دیده بان بازار'!$A$5:$A$2990,'دیده بان بازار'!$Q$5:$Q$2990,"")</f>
        <v>4.83</v>
      </c>
      <c r="F106" s="2063" t="str">
        <f t="shared" si="1"/>
        <v/>
      </c>
    </row>
    <row r="107" spans="1:6">
      <c r="A107" s="2059" t="str">
        <f>_xlfn.XLOOKUP(C107,'Price Record'!$C$5:$C$102,'Price Record'!$D$5:$D$102,"")</f>
        <v/>
      </c>
      <c r="B107" t="s">
        <v>183</v>
      </c>
      <c r="C107" t="s">
        <v>1884</v>
      </c>
      <c r="D107">
        <v>44.47</v>
      </c>
      <c r="E107" t="str">
        <f>_xlfn.XLOOKUP(C107,'دیده بان بازار'!$A$5:$A$2990,'دیده بان بازار'!$Q$5:$Q$2990,"")</f>
        <v/>
      </c>
      <c r="F107" s="428" t="str">
        <f t="shared" si="1"/>
        <v/>
      </c>
    </row>
    <row r="108" spans="1:6">
      <c r="A108" s="2059" t="str">
        <f>_xlfn.XLOOKUP(C108,'Price Record'!$C$5:$C$102,'Price Record'!$D$5:$D$102,"")</f>
        <v/>
      </c>
      <c r="B108" t="s">
        <v>1885</v>
      </c>
      <c r="C108" t="s">
        <v>1886</v>
      </c>
      <c r="D108">
        <v>27.15</v>
      </c>
      <c r="E108">
        <f>_xlfn.XLOOKUP(C108,'دیده بان بازار'!$A$5:$A$2990,'دیده بان بازار'!$Q$5:$Q$2990,"")</f>
        <v>30.84</v>
      </c>
      <c r="F108" s="428" t="str">
        <f t="shared" si="1"/>
        <v/>
      </c>
    </row>
    <row r="109" spans="1:6">
      <c r="A109" s="2059" t="str">
        <f>_xlfn.XLOOKUP(C109,'Price Record'!$C$5:$C$102,'Price Record'!$D$5:$D$102,"")</f>
        <v/>
      </c>
      <c r="B109" t="s">
        <v>1887</v>
      </c>
      <c r="C109" t="s">
        <v>1888</v>
      </c>
      <c r="D109" t="s">
        <v>192</v>
      </c>
      <c r="E109">
        <f>_xlfn.XLOOKUP(C109,'دیده بان بازار'!$A$5:$A$2990,'دیده بان بازار'!$Q$5:$Q$2990,"")</f>
        <v>-0.98</v>
      </c>
      <c r="F109" s="428" t="str">
        <f t="shared" si="1"/>
        <v/>
      </c>
    </row>
    <row r="110" spans="1:6">
      <c r="A110" s="2059" t="str">
        <f>_xlfn.XLOOKUP(C110,'Price Record'!$C$5:$C$102,'Price Record'!$D$5:$D$102,"")</f>
        <v/>
      </c>
      <c r="B110" t="s">
        <v>1889</v>
      </c>
      <c r="C110" t="s">
        <v>1890</v>
      </c>
      <c r="D110">
        <v>4.71</v>
      </c>
      <c r="E110">
        <f>_xlfn.XLOOKUP(C110,'دیده بان بازار'!$A$5:$A$2990,'دیده بان بازار'!$Q$5:$Q$2990,"")</f>
        <v>4.6500000000000004</v>
      </c>
      <c r="F110" s="428">
        <f t="shared" si="1"/>
        <v>-5.9999999999999609E-2</v>
      </c>
    </row>
    <row r="111" spans="1:6">
      <c r="A111" s="2059" t="str">
        <f>_xlfn.XLOOKUP(C111,'Price Record'!$C$5:$C$102,'Price Record'!$D$5:$D$102,"")</f>
        <v/>
      </c>
      <c r="B111" t="s">
        <v>1891</v>
      </c>
      <c r="C111" t="s">
        <v>1892</v>
      </c>
      <c r="D111" t="s">
        <v>192</v>
      </c>
      <c r="E111">
        <f>_xlfn.XLOOKUP(C111,'دیده بان بازار'!$A$5:$A$2990,'دیده بان بازار'!$Q$5:$Q$2990,"")</f>
        <v>3.88</v>
      </c>
      <c r="F111" s="428" t="str">
        <f t="shared" si="1"/>
        <v/>
      </c>
    </row>
    <row r="112" spans="1:6">
      <c r="A112" s="2059" t="str">
        <f>_xlfn.XLOOKUP(C112,'Price Record'!$C$5:$C$102,'Price Record'!$D$5:$D$102,"")</f>
        <v/>
      </c>
      <c r="B112" t="s">
        <v>1893</v>
      </c>
      <c r="C112" t="s">
        <v>1894</v>
      </c>
      <c r="D112" t="s">
        <v>192</v>
      </c>
      <c r="E112">
        <f>_xlfn.XLOOKUP(C112,'دیده بان بازار'!$A$5:$A$2990,'دیده بان بازار'!$Q$5:$Q$2990,"")</f>
        <v>25.1</v>
      </c>
      <c r="F112" s="428" t="str">
        <f t="shared" si="1"/>
        <v/>
      </c>
    </row>
    <row r="113" spans="1:6">
      <c r="A113" s="2059" t="str">
        <f>_xlfn.XLOOKUP(C113,'Price Record'!$C$5:$C$102,'Price Record'!$D$5:$D$102,"")</f>
        <v/>
      </c>
      <c r="B113" t="s">
        <v>1895</v>
      </c>
      <c r="C113" t="s">
        <v>1896</v>
      </c>
      <c r="D113">
        <v>-3.2</v>
      </c>
      <c r="E113">
        <f>_xlfn.XLOOKUP(C113,'دیده بان بازار'!$A$5:$A$2990,'دیده بان بازار'!$Q$5:$Q$2990,"")</f>
        <v>14.52</v>
      </c>
      <c r="F113" s="428">
        <f t="shared" si="1"/>
        <v>17.72</v>
      </c>
    </row>
    <row r="114" spans="1:6">
      <c r="A114" s="2059" t="str">
        <f>_xlfn.XLOOKUP(C114,'Price Record'!$C$5:$C$102,'Price Record'!$D$5:$D$102,"")</f>
        <v/>
      </c>
      <c r="B114" t="s">
        <v>1897</v>
      </c>
      <c r="C114" t="s">
        <v>1898</v>
      </c>
      <c r="D114">
        <v>38.78</v>
      </c>
      <c r="E114">
        <f>_xlfn.XLOOKUP(C114,'دیده بان بازار'!$A$5:$A$2990,'دیده بان بازار'!$Q$5:$Q$2990,"")</f>
        <v>50.73</v>
      </c>
      <c r="F114" s="428" t="str">
        <f t="shared" si="1"/>
        <v/>
      </c>
    </row>
    <row r="115" spans="1:6">
      <c r="A115" s="2059" t="str">
        <f>_xlfn.XLOOKUP(C115,'Price Record'!$C$5:$C$102,'Price Record'!$D$5:$D$102,"")</f>
        <v/>
      </c>
      <c r="B115" t="s">
        <v>1899</v>
      </c>
      <c r="C115" t="s">
        <v>1900</v>
      </c>
      <c r="D115" t="s">
        <v>192</v>
      </c>
      <c r="E115">
        <f>_xlfn.XLOOKUP(C115,'دیده بان بازار'!$A$5:$A$2990,'دیده بان بازار'!$Q$5:$Q$2990,"")</f>
        <v>24.65</v>
      </c>
      <c r="F115" s="428" t="str">
        <f t="shared" si="1"/>
        <v/>
      </c>
    </row>
    <row r="116" spans="1:6">
      <c r="A116" s="2059" t="str">
        <f>_xlfn.XLOOKUP(C116,'Price Record'!$C$5:$C$102,'Price Record'!$D$5:$D$102,"")</f>
        <v/>
      </c>
      <c r="B116" t="s">
        <v>1901</v>
      </c>
      <c r="C116" t="s">
        <v>1902</v>
      </c>
      <c r="D116">
        <v>6.33</v>
      </c>
      <c r="E116">
        <f>_xlfn.XLOOKUP(C116,'دیده بان بازار'!$A$5:$A$2990,'دیده بان بازار'!$Q$5:$Q$2990,"")</f>
        <v>24.23</v>
      </c>
      <c r="F116" s="428" t="str">
        <f t="shared" si="1"/>
        <v/>
      </c>
    </row>
    <row r="117" spans="1:6">
      <c r="A117" s="2059" t="str">
        <f>_xlfn.XLOOKUP(C117,'Price Record'!$C$5:$C$102,'Price Record'!$D$5:$D$102,"")</f>
        <v/>
      </c>
      <c r="B117" t="s">
        <v>1903</v>
      </c>
      <c r="C117" t="s">
        <v>1904</v>
      </c>
      <c r="D117" t="s">
        <v>192</v>
      </c>
      <c r="E117">
        <f>_xlfn.XLOOKUP(C117,'دیده بان بازار'!$A$5:$A$2990,'دیده بان بازار'!$Q$5:$Q$2990,"")</f>
        <v>3.47</v>
      </c>
      <c r="F117" s="428" t="str">
        <f t="shared" si="1"/>
        <v/>
      </c>
    </row>
    <row r="118" spans="1:6">
      <c r="A118" s="2059" t="str">
        <f>_xlfn.XLOOKUP(C118,'Price Record'!$C$5:$C$102,'Price Record'!$D$5:$D$102,"")</f>
        <v/>
      </c>
      <c r="B118" t="s">
        <v>1905</v>
      </c>
      <c r="C118" t="s">
        <v>1906</v>
      </c>
      <c r="D118">
        <v>12.45</v>
      </c>
      <c r="E118">
        <f>_xlfn.XLOOKUP(C118,'دیده بان بازار'!$A$5:$A$2990,'دیده بان بازار'!$Q$5:$Q$2990,"")</f>
        <v>4.99</v>
      </c>
      <c r="F118" s="428">
        <f t="shared" si="1"/>
        <v>-7.4599999999999991</v>
      </c>
    </row>
    <row r="119" spans="1:6">
      <c r="A119" s="2059" t="str">
        <f>_xlfn.XLOOKUP(C119,'Price Record'!$C$5:$C$102,'Price Record'!$D$5:$D$102,"")</f>
        <v/>
      </c>
      <c r="B119" t="s">
        <v>1907</v>
      </c>
      <c r="C119" t="s">
        <v>1908</v>
      </c>
      <c r="D119">
        <v>-53.02</v>
      </c>
      <c r="E119" t="str">
        <f>_xlfn.XLOOKUP(C119,'دیده بان بازار'!$A$5:$A$2990,'دیده بان بازار'!$Q$5:$Q$2990,"")</f>
        <v/>
      </c>
      <c r="F119" s="428" t="str">
        <f t="shared" si="1"/>
        <v/>
      </c>
    </row>
    <row r="120" spans="1:6">
      <c r="A120" s="2059" t="str">
        <f>_xlfn.XLOOKUP(C120,'Price Record'!$C$5:$C$102,'Price Record'!$D$5:$D$102,"")</f>
        <v/>
      </c>
      <c r="B120" t="s">
        <v>1909</v>
      </c>
      <c r="C120" t="s">
        <v>1910</v>
      </c>
      <c r="D120">
        <v>6.41</v>
      </c>
      <c r="E120">
        <f>_xlfn.XLOOKUP(C120,'دیده بان بازار'!$A$5:$A$2990,'دیده بان بازار'!$Q$5:$Q$2990,"")</f>
        <v>11.85</v>
      </c>
      <c r="F120" s="428">
        <f t="shared" si="1"/>
        <v>5.4399999999999995</v>
      </c>
    </row>
    <row r="121" spans="1:6">
      <c r="A121" s="2059" t="str">
        <f>_xlfn.XLOOKUP(C121,'Price Record'!$C$5:$C$102,'Price Record'!$D$5:$D$102,"")</f>
        <v/>
      </c>
      <c r="B121" t="s">
        <v>1909</v>
      </c>
      <c r="C121" t="s">
        <v>1911</v>
      </c>
      <c r="D121">
        <v>8.09</v>
      </c>
      <c r="E121" t="str">
        <f>_xlfn.XLOOKUP(C121,'دیده بان بازار'!$A$5:$A$2990,'دیده بان بازار'!$Q$5:$Q$2990,"")</f>
        <v/>
      </c>
      <c r="F121" s="428" t="str">
        <f t="shared" si="1"/>
        <v/>
      </c>
    </row>
    <row r="122" spans="1:6">
      <c r="A122" s="2059" t="str">
        <f>_xlfn.XLOOKUP(C122,'Price Record'!$C$5:$C$102,'Price Record'!$D$5:$D$102,"")</f>
        <v/>
      </c>
      <c r="B122" t="s">
        <v>1912</v>
      </c>
      <c r="C122" t="s">
        <v>1913</v>
      </c>
      <c r="D122" t="s">
        <v>192</v>
      </c>
      <c r="E122">
        <f>_xlfn.XLOOKUP(C122,'دیده بان بازار'!$A$5:$A$2990,'دیده بان بازار'!$Q$5:$Q$2990,"")</f>
        <v>45.76</v>
      </c>
      <c r="F122" s="428" t="str">
        <f t="shared" si="1"/>
        <v/>
      </c>
    </row>
    <row r="123" spans="1:6">
      <c r="A123" s="2059" t="str">
        <f>_xlfn.XLOOKUP(C123,'Price Record'!$C$5:$C$102,'Price Record'!$D$5:$D$102,"")</f>
        <v/>
      </c>
      <c r="B123" t="s">
        <v>1914</v>
      </c>
      <c r="C123" t="s">
        <v>1915</v>
      </c>
      <c r="D123">
        <v>26.05</v>
      </c>
      <c r="E123">
        <f>_xlfn.XLOOKUP(C123,'دیده بان بازار'!$A$5:$A$2990,'دیده بان بازار'!$Q$5:$Q$2990,"")</f>
        <v>2.8</v>
      </c>
      <c r="F123" s="428">
        <f t="shared" si="1"/>
        <v>-23.25</v>
      </c>
    </row>
    <row r="124" spans="1:6">
      <c r="A124" s="2059" t="str">
        <f>_xlfn.XLOOKUP(C124,'Price Record'!$C$5:$C$102,'Price Record'!$D$5:$D$102,"")</f>
        <v/>
      </c>
      <c r="B124" t="s">
        <v>1916</v>
      </c>
      <c r="C124" t="s">
        <v>1917</v>
      </c>
      <c r="D124" t="s">
        <v>192</v>
      </c>
      <c r="E124">
        <f>_xlfn.XLOOKUP(C124,'دیده بان بازار'!$A$5:$A$2990,'دیده بان بازار'!$Q$5:$Q$2990,"")</f>
        <v>31.02</v>
      </c>
      <c r="F124" s="428" t="str">
        <f t="shared" si="1"/>
        <v/>
      </c>
    </row>
    <row r="125" spans="1:6">
      <c r="A125" s="2059" t="str">
        <f>_xlfn.XLOOKUP(C125,'Price Record'!$C$5:$C$102,'Price Record'!$D$5:$D$102,"")</f>
        <v/>
      </c>
      <c r="B125" t="s">
        <v>1918</v>
      </c>
      <c r="C125" t="s">
        <v>1919</v>
      </c>
      <c r="D125">
        <v>-337</v>
      </c>
      <c r="E125">
        <f>_xlfn.XLOOKUP(C125,'دیده بان بازار'!$A$5:$A$2990,'دیده بان بازار'!$Q$5:$Q$2990,"")</f>
        <v>4.05</v>
      </c>
      <c r="F125" s="428">
        <f t="shared" si="1"/>
        <v>341.05</v>
      </c>
    </row>
    <row r="126" spans="1:6">
      <c r="A126" s="2059" t="str">
        <f>_xlfn.XLOOKUP(C126,'Price Record'!$C$5:$C$102,'Price Record'!$D$5:$D$102,"")</f>
        <v/>
      </c>
      <c r="B126" t="s">
        <v>1920</v>
      </c>
      <c r="C126" t="s">
        <v>1921</v>
      </c>
      <c r="D126" t="s">
        <v>192</v>
      </c>
      <c r="E126">
        <f>_xlfn.XLOOKUP(C126,'دیده بان بازار'!$A$5:$A$2990,'دیده بان بازار'!$Q$5:$Q$2990,"")</f>
        <v>29.61</v>
      </c>
      <c r="F126" s="428" t="str">
        <f t="shared" si="1"/>
        <v/>
      </c>
    </row>
    <row r="127" spans="1:6">
      <c r="A127" s="2059" t="str">
        <f>_xlfn.XLOOKUP(C127,'Price Record'!$C$5:$C$102,'Price Record'!$D$5:$D$102,"")</f>
        <v/>
      </c>
      <c r="B127" t="s">
        <v>1922</v>
      </c>
      <c r="C127" t="s">
        <v>1923</v>
      </c>
      <c r="D127" t="s">
        <v>192</v>
      </c>
      <c r="E127">
        <f>_xlfn.XLOOKUP(C127,'دیده بان بازار'!$A$5:$A$2990,'دیده بان بازار'!$Q$5:$Q$2990,"")</f>
        <v>8.33</v>
      </c>
      <c r="F127" s="428" t="str">
        <f t="shared" si="1"/>
        <v/>
      </c>
    </row>
    <row r="128" spans="1:6">
      <c r="A128" s="2059" t="str">
        <f>_xlfn.XLOOKUP(C128,'Price Record'!$C$5:$C$102,'Price Record'!$D$5:$D$102,"")</f>
        <v/>
      </c>
      <c r="B128" t="s">
        <v>1922</v>
      </c>
      <c r="C128" t="s">
        <v>1924</v>
      </c>
      <c r="D128">
        <v>48.91</v>
      </c>
      <c r="E128" t="str">
        <f>_xlfn.XLOOKUP(C128,'دیده بان بازار'!$A$5:$A$2990,'دیده بان بازار'!$Q$5:$Q$2990,"")</f>
        <v/>
      </c>
      <c r="F128" s="428" t="str">
        <f t="shared" si="1"/>
        <v/>
      </c>
    </row>
    <row r="129" spans="1:6">
      <c r="A129" s="2059" t="str">
        <f>_xlfn.XLOOKUP(C129,'Price Record'!$C$5:$C$102,'Price Record'!$D$5:$D$102,"")</f>
        <v/>
      </c>
      <c r="B129" t="s">
        <v>1925</v>
      </c>
      <c r="C129" t="s">
        <v>1926</v>
      </c>
      <c r="D129">
        <v>9.41</v>
      </c>
      <c r="E129">
        <f>_xlfn.XLOOKUP(C129,'دیده بان بازار'!$A$5:$A$2990,'دیده بان بازار'!$Q$5:$Q$2990,"")</f>
        <v>-20.94</v>
      </c>
      <c r="F129" s="428" t="str">
        <f t="shared" si="1"/>
        <v/>
      </c>
    </row>
    <row r="130" spans="1:6">
      <c r="A130" s="2059" t="str">
        <f>_xlfn.XLOOKUP(C130,'Price Record'!$C$5:$C$102,'Price Record'!$D$5:$D$102,"")</f>
        <v/>
      </c>
      <c r="B130" t="s">
        <v>1927</v>
      </c>
      <c r="C130" t="s">
        <v>1928</v>
      </c>
      <c r="D130">
        <v>6.08</v>
      </c>
      <c r="E130">
        <f>_xlfn.XLOOKUP(C130,'دیده بان بازار'!$A$5:$A$2990,'دیده بان بازار'!$Q$5:$Q$2990,"")</f>
        <v>35.97</v>
      </c>
      <c r="F130" s="428" t="str">
        <f t="shared" si="1"/>
        <v/>
      </c>
    </row>
    <row r="131" spans="1:6">
      <c r="A131" s="2059" t="str">
        <f>_xlfn.XLOOKUP(C131,'Price Record'!$C$5:$C$102,'Price Record'!$D$5:$D$102,"")</f>
        <v/>
      </c>
      <c r="B131" t="s">
        <v>1929</v>
      </c>
      <c r="C131" t="s">
        <v>1930</v>
      </c>
      <c r="D131">
        <v>12.44</v>
      </c>
      <c r="E131">
        <f>_xlfn.XLOOKUP(C131,'دیده بان بازار'!$A$5:$A$2990,'دیده بان بازار'!$Q$5:$Q$2990,"")</f>
        <v>3.81</v>
      </c>
      <c r="F131" s="428">
        <f t="shared" si="1"/>
        <v>-8.629999999999999</v>
      </c>
    </row>
    <row r="132" spans="1:6">
      <c r="A132" s="2059" t="str">
        <f>_xlfn.XLOOKUP(C132,'Price Record'!$C$5:$C$102,'Price Record'!$D$5:$D$102,"")</f>
        <v/>
      </c>
      <c r="B132" t="s">
        <v>1931</v>
      </c>
      <c r="C132" t="s">
        <v>1932</v>
      </c>
      <c r="D132">
        <v>4.09</v>
      </c>
      <c r="E132">
        <f>_xlfn.XLOOKUP(C132,'دیده بان بازار'!$A$5:$A$2990,'دیده بان بازار'!$Q$5:$Q$2990,"")</f>
        <v>6.09</v>
      </c>
      <c r="F132" s="428">
        <f t="shared" ref="F132:F195" si="2">IFERROR(IF(0&lt;E132,IF(E132&lt;20,E132-D132,""),""),"")</f>
        <v>2</v>
      </c>
    </row>
    <row r="133" spans="1:6">
      <c r="A133" s="2059" t="str">
        <f>_xlfn.XLOOKUP(C133,'Price Record'!$C$5:$C$102,'Price Record'!$D$5:$D$102,"")</f>
        <v/>
      </c>
      <c r="B133" t="s">
        <v>1933</v>
      </c>
      <c r="C133" t="s">
        <v>1934</v>
      </c>
      <c r="D133">
        <v>4.42</v>
      </c>
      <c r="E133">
        <f>_xlfn.XLOOKUP(C133,'دیده بان بازار'!$A$5:$A$2990,'دیده بان بازار'!$Q$5:$Q$2990,"")</f>
        <v>6.45</v>
      </c>
      <c r="F133" s="428">
        <f t="shared" si="2"/>
        <v>2.0300000000000002</v>
      </c>
    </row>
    <row r="134" spans="1:6">
      <c r="A134" s="2059" t="str">
        <f>_xlfn.XLOOKUP(C134,'Price Record'!$C$5:$C$102,'Price Record'!$D$5:$D$102,"")</f>
        <v/>
      </c>
      <c r="B134" t="s">
        <v>1935</v>
      </c>
      <c r="C134" t="s">
        <v>1936</v>
      </c>
      <c r="D134">
        <v>4.45</v>
      </c>
      <c r="E134">
        <f>_xlfn.XLOOKUP(C134,'دیده بان بازار'!$A$5:$A$2990,'دیده بان بازار'!$Q$5:$Q$2990,"")</f>
        <v>1456</v>
      </c>
      <c r="F134" s="428" t="str">
        <f t="shared" si="2"/>
        <v/>
      </c>
    </row>
    <row r="135" spans="1:6">
      <c r="A135" s="2059" t="str">
        <f>_xlfn.XLOOKUP(C135,'Price Record'!$C$5:$C$102,'Price Record'!$D$5:$D$102,"")</f>
        <v/>
      </c>
      <c r="B135" t="s">
        <v>1937</v>
      </c>
      <c r="C135" t="s">
        <v>1938</v>
      </c>
      <c r="D135" t="s">
        <v>192</v>
      </c>
      <c r="E135">
        <f>_xlfn.XLOOKUP(C135,'دیده بان بازار'!$A$5:$A$2990,'دیده بان بازار'!$Q$5:$Q$2990,"")</f>
        <v>3.6</v>
      </c>
      <c r="F135" s="428" t="str">
        <f t="shared" si="2"/>
        <v/>
      </c>
    </row>
    <row r="136" spans="1:6">
      <c r="A136" s="2059" t="str">
        <f>_xlfn.XLOOKUP(C136,'Price Record'!$C$5:$C$102,'Price Record'!$D$5:$D$102,"")</f>
        <v/>
      </c>
      <c r="B136" t="s">
        <v>1939</v>
      </c>
      <c r="C136" t="s">
        <v>1940</v>
      </c>
      <c r="D136" t="s">
        <v>192</v>
      </c>
      <c r="E136">
        <f>_xlfn.XLOOKUP(C136,'دیده بان بازار'!$A$5:$A$2990,'دیده بان بازار'!$Q$5:$Q$2990,"")</f>
        <v>3.29</v>
      </c>
      <c r="F136" s="428" t="str">
        <f t="shared" si="2"/>
        <v/>
      </c>
    </row>
    <row r="137" spans="1:6">
      <c r="A137" s="2059" t="str">
        <f>_xlfn.XLOOKUP(C137,'Price Record'!$C$5:$C$102,'Price Record'!$D$5:$D$102,"")</f>
        <v/>
      </c>
      <c r="B137" t="s">
        <v>1941</v>
      </c>
      <c r="C137" t="s">
        <v>1942</v>
      </c>
      <c r="D137" t="s">
        <v>192</v>
      </c>
      <c r="E137">
        <f>_xlfn.XLOOKUP(C137,'دیده بان بازار'!$A$5:$A$2990,'دیده بان بازار'!$Q$5:$Q$2990,"")</f>
        <v>4.32</v>
      </c>
      <c r="F137" s="428" t="str">
        <f t="shared" si="2"/>
        <v/>
      </c>
    </row>
    <row r="138" spans="1:6">
      <c r="A138" s="2059" t="str">
        <f>_xlfn.XLOOKUP(C138,'Price Record'!$C$5:$C$102,'Price Record'!$D$5:$D$102,"")</f>
        <v/>
      </c>
      <c r="B138" t="s">
        <v>1941</v>
      </c>
      <c r="C138" t="s">
        <v>1943</v>
      </c>
      <c r="D138">
        <v>10.050000000000001</v>
      </c>
      <c r="E138" t="str">
        <f>_xlfn.XLOOKUP(C138,'دیده بان بازار'!$A$5:$A$2990,'دیده بان بازار'!$Q$5:$Q$2990,"")</f>
        <v/>
      </c>
      <c r="F138" s="428" t="str">
        <f t="shared" si="2"/>
        <v/>
      </c>
    </row>
    <row r="139" spans="1:6">
      <c r="A139" s="2059" t="str">
        <f>_xlfn.XLOOKUP(C139,'Price Record'!$C$5:$C$102,'Price Record'!$D$5:$D$102,"")</f>
        <v/>
      </c>
      <c r="B139" t="s">
        <v>1944</v>
      </c>
      <c r="C139" t="s">
        <v>1945</v>
      </c>
      <c r="D139" t="s">
        <v>192</v>
      </c>
      <c r="E139">
        <f>_xlfn.XLOOKUP(C139,'دیده بان بازار'!$A$5:$A$2990,'دیده بان بازار'!$Q$5:$Q$2990,"")</f>
        <v>4.1500000000000004</v>
      </c>
      <c r="F139" s="428" t="str">
        <f t="shared" si="2"/>
        <v/>
      </c>
    </row>
    <row r="140" spans="1:6">
      <c r="A140" s="2059" t="str">
        <f>_xlfn.XLOOKUP(C140,'Price Record'!$C$5:$C$102,'Price Record'!$D$5:$D$102,"")</f>
        <v/>
      </c>
      <c r="B140" t="s">
        <v>1946</v>
      </c>
      <c r="C140" t="s">
        <v>1947</v>
      </c>
      <c r="D140">
        <v>24.6</v>
      </c>
      <c r="E140" t="str">
        <f>_xlfn.XLOOKUP(C140,'دیده بان بازار'!$A$5:$A$2990,'دیده بان بازار'!$Q$5:$Q$2990,"")</f>
        <v/>
      </c>
      <c r="F140" s="428" t="str">
        <f t="shared" si="2"/>
        <v/>
      </c>
    </row>
    <row r="141" spans="1:6">
      <c r="A141" s="2059" t="str">
        <f>_xlfn.XLOOKUP(C141,'Price Record'!$C$5:$C$102,'Price Record'!$D$5:$D$102,"")</f>
        <v/>
      </c>
      <c r="B141" t="s">
        <v>1948</v>
      </c>
      <c r="C141" t="s">
        <v>1949</v>
      </c>
      <c r="D141" t="s">
        <v>192</v>
      </c>
      <c r="E141">
        <f>_xlfn.XLOOKUP(C141,'دیده بان بازار'!$A$5:$A$2990,'دیده بان بازار'!$Q$5:$Q$2990,"")</f>
        <v>3.46</v>
      </c>
      <c r="F141" s="428" t="str">
        <f t="shared" si="2"/>
        <v/>
      </c>
    </row>
    <row r="142" spans="1:6">
      <c r="A142" s="2059" t="str">
        <f>_xlfn.XLOOKUP(C142,'Price Record'!$C$5:$C$102,'Price Record'!$D$5:$D$102,"")</f>
        <v/>
      </c>
      <c r="B142" t="s">
        <v>1950</v>
      </c>
      <c r="C142" t="s">
        <v>1951</v>
      </c>
      <c r="D142" t="s">
        <v>192</v>
      </c>
      <c r="E142">
        <f>_xlfn.XLOOKUP(C142,'دیده بان بازار'!$A$5:$A$2990,'دیده بان بازار'!$Q$5:$Q$2990,"")</f>
        <v>1526.25</v>
      </c>
      <c r="F142" s="428" t="str">
        <f t="shared" si="2"/>
        <v/>
      </c>
    </row>
    <row r="143" spans="1:6">
      <c r="A143" s="2059" t="str">
        <f>_xlfn.XLOOKUP(C143,'Price Record'!$C$5:$C$102,'Price Record'!$D$5:$D$102,"")</f>
        <v/>
      </c>
      <c r="B143" t="s">
        <v>1952</v>
      </c>
      <c r="C143" t="s">
        <v>1953</v>
      </c>
      <c r="D143">
        <v>1.58</v>
      </c>
      <c r="E143">
        <f>_xlfn.XLOOKUP(C143,'دیده بان بازار'!$A$5:$A$2990,'دیده بان بازار'!$Q$5:$Q$2990,"")</f>
        <v>23.57</v>
      </c>
      <c r="F143" s="428" t="str">
        <f t="shared" si="2"/>
        <v/>
      </c>
    </row>
    <row r="144" spans="1:6">
      <c r="A144" s="2059" t="str">
        <f>_xlfn.XLOOKUP(C144,'Price Record'!$C$5:$C$102,'Price Record'!$D$5:$D$102,"")</f>
        <v/>
      </c>
      <c r="B144" t="s">
        <v>1952</v>
      </c>
      <c r="C144" t="s">
        <v>1954</v>
      </c>
      <c r="D144" t="s">
        <v>192</v>
      </c>
      <c r="E144" t="str">
        <f>_xlfn.XLOOKUP(C144,'دیده بان بازار'!$A$5:$A$2990,'دیده بان بازار'!$Q$5:$Q$2990,"")</f>
        <v/>
      </c>
      <c r="F144" s="428" t="str">
        <f t="shared" si="2"/>
        <v/>
      </c>
    </row>
    <row r="145" spans="1:6">
      <c r="A145" s="2059" t="str">
        <f>_xlfn.XLOOKUP(C145,'Price Record'!$C$5:$C$102,'Price Record'!$D$5:$D$102,"")</f>
        <v/>
      </c>
      <c r="B145" t="s">
        <v>1955</v>
      </c>
      <c r="C145" t="s">
        <v>1956</v>
      </c>
      <c r="D145">
        <v>4.08</v>
      </c>
      <c r="E145">
        <f>_xlfn.XLOOKUP(C145,'دیده بان بازار'!$A$5:$A$2990,'دیده بان بازار'!$Q$5:$Q$2990,"")</f>
        <v>20.309999999999999</v>
      </c>
      <c r="F145" s="428" t="str">
        <f t="shared" si="2"/>
        <v/>
      </c>
    </row>
    <row r="146" spans="1:6">
      <c r="A146" s="2059" t="str">
        <f>_xlfn.XLOOKUP(C146,'Price Record'!$C$5:$C$102,'Price Record'!$D$5:$D$102,"")</f>
        <v/>
      </c>
      <c r="B146" t="s">
        <v>1957</v>
      </c>
      <c r="C146" t="s">
        <v>1958</v>
      </c>
      <c r="D146">
        <v>25.32</v>
      </c>
      <c r="E146">
        <f>_xlfn.XLOOKUP(C146,'دیده بان بازار'!$A$5:$A$2990,'دیده بان بازار'!$Q$5:$Q$2990,"")</f>
        <v>2.83</v>
      </c>
      <c r="F146" s="428">
        <f t="shared" si="2"/>
        <v>-22.490000000000002</v>
      </c>
    </row>
    <row r="147" spans="1:6">
      <c r="A147" s="2059" t="str">
        <f>_xlfn.XLOOKUP(C147,'Price Record'!$C$5:$C$102,'Price Record'!$D$5:$D$102,"")</f>
        <v/>
      </c>
      <c r="B147" t="s">
        <v>1959</v>
      </c>
      <c r="C147" t="s">
        <v>1960</v>
      </c>
      <c r="D147" t="s">
        <v>192</v>
      </c>
      <c r="E147">
        <f>_xlfn.XLOOKUP(C147,'دیده بان بازار'!$A$5:$A$2990,'دیده بان بازار'!$Q$5:$Q$2990,"")</f>
        <v>5.27</v>
      </c>
      <c r="F147" s="428" t="str">
        <f t="shared" si="2"/>
        <v/>
      </c>
    </row>
    <row r="148" spans="1:6">
      <c r="A148" s="2059" t="str">
        <f>_xlfn.XLOOKUP(C148,'Price Record'!$C$5:$C$102,'Price Record'!$D$5:$D$102,"")</f>
        <v/>
      </c>
      <c r="B148" t="s">
        <v>1961</v>
      </c>
      <c r="C148" t="s">
        <v>1962</v>
      </c>
      <c r="D148">
        <v>4.0599999999999996</v>
      </c>
      <c r="E148">
        <f>_xlfn.XLOOKUP(C148,'دیده بان بازار'!$A$5:$A$2990,'دیده بان بازار'!$Q$5:$Q$2990,"")</f>
        <v>2.84</v>
      </c>
      <c r="F148" s="428">
        <f t="shared" si="2"/>
        <v>-1.2199999999999998</v>
      </c>
    </row>
    <row r="149" spans="1:6">
      <c r="A149" s="2059" t="str">
        <f>_xlfn.XLOOKUP(C149,'Price Record'!$C$5:$C$102,'Price Record'!$D$5:$D$102,"")</f>
        <v/>
      </c>
      <c r="B149" t="s">
        <v>1963</v>
      </c>
      <c r="C149" t="s">
        <v>1964</v>
      </c>
      <c r="D149" t="s">
        <v>192</v>
      </c>
      <c r="E149">
        <f>_xlfn.XLOOKUP(C149,'دیده بان بازار'!$A$5:$A$2990,'دیده بان بازار'!$Q$5:$Q$2990,"")</f>
        <v>31.2</v>
      </c>
      <c r="F149" s="428" t="str">
        <f t="shared" si="2"/>
        <v/>
      </c>
    </row>
    <row r="150" spans="1:6">
      <c r="A150" s="2059" t="str">
        <f>_xlfn.XLOOKUP(C150,'Price Record'!$C$5:$C$102,'Price Record'!$D$5:$D$102,"")</f>
        <v/>
      </c>
      <c r="B150" t="s">
        <v>1965</v>
      </c>
      <c r="C150" t="s">
        <v>1966</v>
      </c>
      <c r="D150">
        <v>4.82</v>
      </c>
      <c r="E150">
        <f>_xlfn.XLOOKUP(C150,'دیده بان بازار'!$A$5:$A$2990,'دیده بان بازار'!$Q$5:$Q$2990,"")</f>
        <v>4.8899999999999997</v>
      </c>
      <c r="F150" s="428">
        <f t="shared" si="2"/>
        <v>6.9999999999999396E-2</v>
      </c>
    </row>
    <row r="151" spans="1:6">
      <c r="A151" s="2059" t="str">
        <f>_xlfn.XLOOKUP(C151,'Price Record'!$C$5:$C$102,'Price Record'!$D$5:$D$102,"")</f>
        <v/>
      </c>
      <c r="B151" t="s">
        <v>1967</v>
      </c>
      <c r="C151" t="s">
        <v>1968</v>
      </c>
      <c r="D151">
        <v>5.35</v>
      </c>
      <c r="E151">
        <f>_xlfn.XLOOKUP(C151,'دیده بان بازار'!$A$5:$A$2990,'دیده بان بازار'!$Q$5:$Q$2990,"")</f>
        <v>-15.56</v>
      </c>
      <c r="F151" s="428" t="str">
        <f t="shared" si="2"/>
        <v/>
      </c>
    </row>
    <row r="152" spans="1:6">
      <c r="A152" s="2059" t="str">
        <f>_xlfn.XLOOKUP(C152,'Price Record'!$C$5:$C$102,'Price Record'!$D$5:$D$102,"")</f>
        <v/>
      </c>
      <c r="B152" t="s">
        <v>1969</v>
      </c>
      <c r="C152" t="s">
        <v>1970</v>
      </c>
      <c r="D152">
        <v>4.8899999999999997</v>
      </c>
      <c r="E152">
        <f>_xlfn.XLOOKUP(C152,'دیده بان بازار'!$A$5:$A$2990,'دیده بان بازار'!$Q$5:$Q$2990,"")</f>
        <v>-33.4</v>
      </c>
      <c r="F152" s="428" t="str">
        <f t="shared" si="2"/>
        <v/>
      </c>
    </row>
    <row r="153" spans="1:6">
      <c r="A153" s="2059" t="str">
        <f>_xlfn.XLOOKUP(C153,'Price Record'!$C$5:$C$102,'Price Record'!$D$5:$D$102,"")</f>
        <v/>
      </c>
      <c r="B153" t="s">
        <v>1971</v>
      </c>
      <c r="C153" t="s">
        <v>1972</v>
      </c>
      <c r="D153">
        <v>29.5</v>
      </c>
      <c r="E153">
        <f>_xlfn.XLOOKUP(C153,'دیده بان بازار'!$A$5:$A$2990,'دیده بان بازار'!$Q$5:$Q$2990,"")</f>
        <v>2.59</v>
      </c>
      <c r="F153" s="428">
        <f t="shared" si="2"/>
        <v>-26.91</v>
      </c>
    </row>
    <row r="154" spans="1:6">
      <c r="A154" s="2059" t="str">
        <f>_xlfn.XLOOKUP(C154,'Price Record'!$C$5:$C$102,'Price Record'!$D$5:$D$102,"")</f>
        <v/>
      </c>
      <c r="B154" t="s">
        <v>1973</v>
      </c>
      <c r="C154" t="s">
        <v>1974</v>
      </c>
      <c r="D154" t="s">
        <v>192</v>
      </c>
      <c r="E154">
        <f>_xlfn.XLOOKUP(C154,'دیده بان بازار'!$A$5:$A$2990,'دیده بان بازار'!$Q$5:$Q$2990,"")</f>
        <v>11.04</v>
      </c>
      <c r="F154" s="428" t="str">
        <f t="shared" si="2"/>
        <v/>
      </c>
    </row>
    <row r="155" spans="1:6">
      <c r="A155" s="2059" t="str">
        <f>_xlfn.XLOOKUP(C155,'Price Record'!$C$5:$C$102,'Price Record'!$D$5:$D$102,"")</f>
        <v/>
      </c>
      <c r="B155" t="s">
        <v>1975</v>
      </c>
      <c r="C155" t="s">
        <v>1976</v>
      </c>
      <c r="D155">
        <v>4.59</v>
      </c>
      <c r="E155">
        <f>_xlfn.XLOOKUP(C155,'دیده بان بازار'!$A$5:$A$2990,'دیده بان بازار'!$Q$5:$Q$2990,"")</f>
        <v>7.61</v>
      </c>
      <c r="F155" s="428">
        <f t="shared" si="2"/>
        <v>3.0200000000000005</v>
      </c>
    </row>
    <row r="156" spans="1:6">
      <c r="A156" s="2059" t="str">
        <f>_xlfn.XLOOKUP(C156,'Price Record'!$C$5:$C$102,'Price Record'!$D$5:$D$102,"")</f>
        <v/>
      </c>
      <c r="B156" t="s">
        <v>1977</v>
      </c>
      <c r="C156" t="s">
        <v>1978</v>
      </c>
      <c r="D156">
        <v>3.87</v>
      </c>
      <c r="E156">
        <f>_xlfn.XLOOKUP(C156,'دیده بان بازار'!$A$5:$A$2990,'دیده بان بازار'!$Q$5:$Q$2990,"")</f>
        <v>18.829999999999998</v>
      </c>
      <c r="F156" s="428">
        <f t="shared" si="2"/>
        <v>14.959999999999997</v>
      </c>
    </row>
    <row r="157" spans="1:6">
      <c r="A157" s="2059" t="str">
        <f>_xlfn.XLOOKUP(C157,'Price Record'!$C$5:$C$102,'Price Record'!$D$5:$D$102,"")</f>
        <v/>
      </c>
      <c r="B157" t="s">
        <v>1979</v>
      </c>
      <c r="C157" t="s">
        <v>1980</v>
      </c>
      <c r="D157">
        <v>4.05</v>
      </c>
      <c r="E157" t="str">
        <f>_xlfn.XLOOKUP(C157,'دیده بان بازار'!$A$5:$A$2990,'دیده بان بازار'!$Q$5:$Q$2990,"")</f>
        <v/>
      </c>
      <c r="F157" s="428" t="str">
        <f t="shared" si="2"/>
        <v/>
      </c>
    </row>
    <row r="158" spans="1:6">
      <c r="A158" s="2059" t="str">
        <f>_xlfn.XLOOKUP(C158,'Price Record'!$C$5:$C$102,'Price Record'!$D$5:$D$102,"")</f>
        <v/>
      </c>
      <c r="B158" t="s">
        <v>1979</v>
      </c>
      <c r="C158" t="s">
        <v>1981</v>
      </c>
      <c r="D158" t="s">
        <v>192</v>
      </c>
      <c r="E158" t="str">
        <f>_xlfn.XLOOKUP(C158,'دیده بان بازار'!$A$5:$A$2990,'دیده بان بازار'!$Q$5:$Q$2990,"")</f>
        <v/>
      </c>
      <c r="F158" s="428" t="str">
        <f t="shared" si="2"/>
        <v/>
      </c>
    </row>
    <row r="159" spans="1:6">
      <c r="A159" s="2059" t="str">
        <f>_xlfn.XLOOKUP(C159,'Price Record'!$C$5:$C$102,'Price Record'!$D$5:$D$102,"")</f>
        <v/>
      </c>
      <c r="B159" t="s">
        <v>1982</v>
      </c>
      <c r="C159" t="s">
        <v>1983</v>
      </c>
      <c r="D159">
        <v>-4.95</v>
      </c>
      <c r="E159">
        <f>_xlfn.XLOOKUP(C159,'دیده بان بازار'!$A$5:$A$2990,'دیده بان بازار'!$Q$5:$Q$2990,"")</f>
        <v>-250.86</v>
      </c>
      <c r="F159" s="428" t="str">
        <f t="shared" si="2"/>
        <v/>
      </c>
    </row>
    <row r="160" spans="1:6">
      <c r="A160" s="2059" t="str">
        <f>_xlfn.XLOOKUP(C160,'Price Record'!$C$5:$C$102,'Price Record'!$D$5:$D$102,"")</f>
        <v/>
      </c>
      <c r="B160" t="s">
        <v>1984</v>
      </c>
      <c r="C160" t="s">
        <v>1985</v>
      </c>
      <c r="D160" t="s">
        <v>192</v>
      </c>
      <c r="E160">
        <f>_xlfn.XLOOKUP(C160,'دیده بان بازار'!$A$5:$A$2990,'دیده بان بازار'!$Q$5:$Q$2990,"")</f>
        <v>33.54</v>
      </c>
      <c r="F160" s="428" t="str">
        <f t="shared" si="2"/>
        <v/>
      </c>
    </row>
    <row r="161" spans="1:6">
      <c r="A161" s="2059" t="str">
        <f>_xlfn.XLOOKUP(C161,'Price Record'!$C$5:$C$102,'Price Record'!$D$5:$D$102,"")</f>
        <v/>
      </c>
      <c r="B161" t="s">
        <v>1986</v>
      </c>
      <c r="C161" t="s">
        <v>1987</v>
      </c>
      <c r="D161" t="s">
        <v>192</v>
      </c>
      <c r="E161">
        <f>_xlfn.XLOOKUP(C161,'دیده بان بازار'!$A$5:$A$2990,'دیده بان بازار'!$Q$5:$Q$2990,"")</f>
        <v>24.31</v>
      </c>
      <c r="F161" s="428" t="str">
        <f t="shared" si="2"/>
        <v/>
      </c>
    </row>
    <row r="162" spans="1:6">
      <c r="A162" s="2059" t="str">
        <f>_xlfn.XLOOKUP(C162,'Price Record'!$C$5:$C$102,'Price Record'!$D$5:$D$102,"")</f>
        <v/>
      </c>
      <c r="B162" t="s">
        <v>1988</v>
      </c>
      <c r="C162" t="s">
        <v>1989</v>
      </c>
      <c r="D162">
        <v>5.47</v>
      </c>
      <c r="E162">
        <f>_xlfn.XLOOKUP(C162,'دیده بان بازار'!$A$5:$A$2990,'دیده بان بازار'!$Q$5:$Q$2990,"")</f>
        <v>53.22</v>
      </c>
      <c r="F162" s="428" t="str">
        <f t="shared" si="2"/>
        <v/>
      </c>
    </row>
    <row r="163" spans="1:6">
      <c r="A163" s="2059" t="str">
        <f>_xlfn.XLOOKUP(C163,'Price Record'!$C$5:$C$102,'Price Record'!$D$5:$D$102,"")</f>
        <v/>
      </c>
      <c r="B163" t="s">
        <v>1988</v>
      </c>
      <c r="C163" t="s">
        <v>1990</v>
      </c>
      <c r="D163">
        <v>7.22</v>
      </c>
      <c r="E163">
        <f>_xlfn.XLOOKUP(C163,'دیده بان بازار'!$A$5:$A$2990,'دیده بان بازار'!$Q$5:$Q$2990,"")</f>
        <v>53.22</v>
      </c>
      <c r="F163" s="428" t="str">
        <f t="shared" si="2"/>
        <v/>
      </c>
    </row>
    <row r="164" spans="1:6">
      <c r="A164" s="2059" t="str">
        <f>_xlfn.XLOOKUP(C164,'Price Record'!$C$5:$C$102,'Price Record'!$D$5:$D$102,"")</f>
        <v/>
      </c>
      <c r="B164" t="s">
        <v>1991</v>
      </c>
      <c r="C164" t="s">
        <v>1992</v>
      </c>
      <c r="D164">
        <v>-23.42</v>
      </c>
      <c r="E164">
        <f>_xlfn.XLOOKUP(C164,'دیده بان بازار'!$A$5:$A$2990,'دیده بان بازار'!$Q$5:$Q$2990,"")</f>
        <v>48.14</v>
      </c>
      <c r="F164" s="428" t="str">
        <f t="shared" si="2"/>
        <v/>
      </c>
    </row>
    <row r="165" spans="1:6">
      <c r="A165" s="2059" t="str">
        <f>_xlfn.XLOOKUP(C165,'Price Record'!$C$5:$C$102,'Price Record'!$D$5:$D$102,"")</f>
        <v/>
      </c>
      <c r="B165" t="s">
        <v>1993</v>
      </c>
      <c r="C165" t="s">
        <v>1994</v>
      </c>
      <c r="D165" t="s">
        <v>192</v>
      </c>
      <c r="E165">
        <f>_xlfn.XLOOKUP(C165,'دیده بان بازار'!$A$5:$A$2990,'دیده بان بازار'!$Q$5:$Q$2990,"")</f>
        <v>12.26</v>
      </c>
      <c r="F165" s="428" t="str">
        <f t="shared" si="2"/>
        <v/>
      </c>
    </row>
    <row r="166" spans="1:6">
      <c r="A166" s="2059" t="str">
        <f>_xlfn.XLOOKUP(C166,'Price Record'!$C$5:$C$102,'Price Record'!$D$5:$D$102,"")</f>
        <v/>
      </c>
      <c r="B166" t="s">
        <v>1995</v>
      </c>
      <c r="C166" t="s">
        <v>1996</v>
      </c>
      <c r="D166" t="s">
        <v>192</v>
      </c>
      <c r="E166">
        <f>_xlfn.XLOOKUP(C166,'دیده بان بازار'!$A$5:$A$2990,'دیده بان بازار'!$Q$5:$Q$2990,"")</f>
        <v>-67.709999999999994</v>
      </c>
      <c r="F166" s="428" t="str">
        <f t="shared" si="2"/>
        <v/>
      </c>
    </row>
    <row r="167" spans="1:6">
      <c r="A167" s="2059" t="str">
        <f>_xlfn.XLOOKUP(C167,'Price Record'!$C$5:$C$102,'Price Record'!$D$5:$D$102,"")</f>
        <v/>
      </c>
      <c r="B167" t="s">
        <v>1997</v>
      </c>
      <c r="C167" t="s">
        <v>1998</v>
      </c>
      <c r="D167">
        <v>4.38</v>
      </c>
      <c r="E167">
        <f>_xlfn.XLOOKUP(C167,'دیده بان بازار'!$A$5:$A$2990,'دیده بان بازار'!$Q$5:$Q$2990,"")</f>
        <v>-173.07</v>
      </c>
      <c r="F167" s="428" t="str">
        <f t="shared" si="2"/>
        <v/>
      </c>
    </row>
    <row r="168" spans="1:6">
      <c r="A168" s="2059" t="str">
        <f>_xlfn.XLOOKUP(C168,'Price Record'!$C$5:$C$102,'Price Record'!$D$5:$D$102,"")</f>
        <v/>
      </c>
      <c r="B168" t="s">
        <v>1999</v>
      </c>
      <c r="C168" t="s">
        <v>2000</v>
      </c>
      <c r="D168">
        <v>15.4</v>
      </c>
      <c r="E168" t="str">
        <f>_xlfn.XLOOKUP(C168,'دیده بان بازار'!$A$5:$A$2990,'دیده بان بازار'!$Q$5:$Q$2990,"")</f>
        <v/>
      </c>
      <c r="F168" s="428" t="str">
        <f t="shared" si="2"/>
        <v/>
      </c>
    </row>
    <row r="169" spans="1:6">
      <c r="A169" s="2059" t="str">
        <f>_xlfn.XLOOKUP(C169,'Price Record'!$C$5:$C$102,'Price Record'!$D$5:$D$102,"")</f>
        <v/>
      </c>
      <c r="B169" t="s">
        <v>2001</v>
      </c>
      <c r="C169" t="s">
        <v>2002</v>
      </c>
      <c r="D169">
        <v>28.26</v>
      </c>
      <c r="E169">
        <f>_xlfn.XLOOKUP(C169,'دیده بان بازار'!$A$5:$A$2990,'دیده بان بازار'!$Q$5:$Q$2990,"")</f>
        <v>126.29</v>
      </c>
      <c r="F169" s="428" t="str">
        <f t="shared" si="2"/>
        <v/>
      </c>
    </row>
    <row r="170" spans="1:6">
      <c r="A170" s="2059" t="str">
        <f>_xlfn.XLOOKUP(C170,'Price Record'!$C$5:$C$102,'Price Record'!$D$5:$D$102,"")</f>
        <v/>
      </c>
      <c r="B170" t="s">
        <v>2001</v>
      </c>
      <c r="C170" t="s">
        <v>2003</v>
      </c>
      <c r="D170">
        <v>4.37</v>
      </c>
      <c r="E170" t="str">
        <f>_xlfn.XLOOKUP(C170,'دیده بان بازار'!$A$5:$A$2990,'دیده بان بازار'!$Q$5:$Q$2990,"")</f>
        <v/>
      </c>
      <c r="F170" s="428" t="str">
        <f t="shared" si="2"/>
        <v/>
      </c>
    </row>
    <row r="171" spans="1:6">
      <c r="A171" s="2059" t="str">
        <f>_xlfn.XLOOKUP(C171,'Price Record'!$C$5:$C$102,'Price Record'!$D$5:$D$102,"")</f>
        <v/>
      </c>
      <c r="B171" t="s">
        <v>2004</v>
      </c>
      <c r="C171" t="s">
        <v>2005</v>
      </c>
      <c r="D171" t="s">
        <v>192</v>
      </c>
      <c r="E171">
        <f>_xlfn.XLOOKUP(C171,'دیده بان بازار'!$A$5:$A$2990,'دیده بان بازار'!$Q$5:$Q$2990,"")</f>
        <v>8.07</v>
      </c>
      <c r="F171" s="428" t="str">
        <f t="shared" si="2"/>
        <v/>
      </c>
    </row>
    <row r="172" spans="1:6">
      <c r="A172" s="2059" t="str">
        <f>_xlfn.XLOOKUP(C172,'Price Record'!$C$5:$C$102,'Price Record'!$D$5:$D$102,"")</f>
        <v/>
      </c>
      <c r="B172" t="s">
        <v>2006</v>
      </c>
      <c r="C172" t="s">
        <v>2007</v>
      </c>
      <c r="D172">
        <v>6.64</v>
      </c>
      <c r="E172">
        <f>_xlfn.XLOOKUP(C172,'دیده بان بازار'!$A$5:$A$2990,'دیده بان بازار'!$Q$5:$Q$2990,"")</f>
        <v>5.15</v>
      </c>
      <c r="F172" s="428">
        <f t="shared" si="2"/>
        <v>-1.4899999999999993</v>
      </c>
    </row>
    <row r="173" spans="1:6">
      <c r="A173" s="2059" t="str">
        <f>_xlfn.XLOOKUP(C173,'Price Record'!$C$5:$C$102,'Price Record'!$D$5:$D$102,"")</f>
        <v/>
      </c>
      <c r="B173" t="s">
        <v>2008</v>
      </c>
      <c r="C173" t="s">
        <v>2009</v>
      </c>
      <c r="D173">
        <v>5.75</v>
      </c>
      <c r="E173" t="str">
        <f>_xlfn.XLOOKUP(C173,'دیده بان بازار'!$A$5:$A$2990,'دیده بان بازار'!$Q$5:$Q$2990,"")</f>
        <v/>
      </c>
      <c r="F173" s="428" t="str">
        <f t="shared" si="2"/>
        <v/>
      </c>
    </row>
    <row r="174" spans="1:6">
      <c r="A174" s="2059" t="str">
        <f>_xlfn.XLOOKUP(C174,'Price Record'!$C$5:$C$102,'Price Record'!$D$5:$D$102,"")</f>
        <v/>
      </c>
      <c r="B174" t="s">
        <v>2010</v>
      </c>
      <c r="C174" t="s">
        <v>2011</v>
      </c>
      <c r="D174" t="s">
        <v>192</v>
      </c>
      <c r="E174">
        <f>_xlfn.XLOOKUP(C174,'دیده بان بازار'!$A$5:$A$2990,'دیده بان بازار'!$Q$5:$Q$2990,"")</f>
        <v>6.72</v>
      </c>
      <c r="F174" s="428" t="str">
        <f t="shared" si="2"/>
        <v/>
      </c>
    </row>
    <row r="175" spans="1:6">
      <c r="A175" s="2059" t="str">
        <f>_xlfn.XLOOKUP(C175,'Price Record'!$C$5:$C$102,'Price Record'!$D$5:$D$102,"")</f>
        <v/>
      </c>
      <c r="B175" t="s">
        <v>2012</v>
      </c>
      <c r="C175" t="s">
        <v>2013</v>
      </c>
      <c r="D175" t="s">
        <v>192</v>
      </c>
      <c r="E175">
        <f>_xlfn.XLOOKUP(C175,'دیده بان بازار'!$A$5:$A$2990,'دیده بان بازار'!$Q$5:$Q$2990,"")</f>
        <v>6.82</v>
      </c>
      <c r="F175" s="428" t="str">
        <f t="shared" si="2"/>
        <v/>
      </c>
    </row>
    <row r="176" spans="1:6">
      <c r="A176" s="2059" t="str">
        <f>_xlfn.XLOOKUP(C176,'Price Record'!$C$5:$C$102,'Price Record'!$D$5:$D$102,"")</f>
        <v/>
      </c>
      <c r="B176" t="s">
        <v>2012</v>
      </c>
      <c r="C176" t="s">
        <v>2014</v>
      </c>
      <c r="D176" t="s">
        <v>192</v>
      </c>
      <c r="E176" t="str">
        <f>_xlfn.XLOOKUP(C176,'دیده بان بازار'!$A$5:$A$2990,'دیده بان بازار'!$Q$5:$Q$2990,"")</f>
        <v/>
      </c>
      <c r="F176" s="428" t="str">
        <f t="shared" si="2"/>
        <v/>
      </c>
    </row>
    <row r="177" spans="1:6">
      <c r="A177" s="2059" t="str">
        <f>_xlfn.XLOOKUP(C177,'Price Record'!$C$5:$C$102,'Price Record'!$D$5:$D$102,"")</f>
        <v/>
      </c>
      <c r="B177" t="s">
        <v>2015</v>
      </c>
      <c r="C177" t="s">
        <v>2016</v>
      </c>
      <c r="D177" t="s">
        <v>192</v>
      </c>
      <c r="E177">
        <f>_xlfn.XLOOKUP(C177,'دیده بان بازار'!$A$5:$A$2990,'دیده بان بازار'!$Q$5:$Q$2990,"")</f>
        <v>4.59</v>
      </c>
      <c r="F177" s="428" t="str">
        <f t="shared" si="2"/>
        <v/>
      </c>
    </row>
    <row r="178" spans="1:6">
      <c r="A178" s="2059" t="str">
        <f>_xlfn.XLOOKUP(C178,'Price Record'!$C$5:$C$102,'Price Record'!$D$5:$D$102,"")</f>
        <v/>
      </c>
      <c r="B178" t="s">
        <v>2017</v>
      </c>
      <c r="C178" t="s">
        <v>2018</v>
      </c>
      <c r="D178">
        <v>14.98</v>
      </c>
      <c r="E178">
        <f>_xlfn.XLOOKUP(C178,'دیده بان بازار'!$A$5:$A$2990,'دیده بان بازار'!$Q$5:$Q$2990,"")</f>
        <v>8.61</v>
      </c>
      <c r="F178" s="428">
        <f t="shared" si="2"/>
        <v>-6.370000000000001</v>
      </c>
    </row>
    <row r="179" spans="1:6">
      <c r="A179" s="2059" t="str">
        <f>_xlfn.XLOOKUP(C179,'Price Record'!$C$5:$C$102,'Price Record'!$D$5:$D$102,"")</f>
        <v/>
      </c>
      <c r="B179" t="s">
        <v>2017</v>
      </c>
      <c r="C179" t="s">
        <v>2019</v>
      </c>
      <c r="D179">
        <v>-514.83000000000004</v>
      </c>
      <c r="E179" t="str">
        <f>_xlfn.XLOOKUP(C179,'دیده بان بازار'!$A$5:$A$2990,'دیده بان بازار'!$Q$5:$Q$2990,"")</f>
        <v/>
      </c>
      <c r="F179" s="428" t="str">
        <f t="shared" si="2"/>
        <v/>
      </c>
    </row>
    <row r="180" spans="1:6">
      <c r="A180" s="2059" t="str">
        <f>_xlfn.XLOOKUP(C180,'Price Record'!$C$5:$C$102,'Price Record'!$D$5:$D$102,"")</f>
        <v/>
      </c>
      <c r="B180" t="s">
        <v>2020</v>
      </c>
      <c r="C180" t="s">
        <v>2021</v>
      </c>
      <c r="D180" t="s">
        <v>192</v>
      </c>
      <c r="E180">
        <f>_xlfn.XLOOKUP(C180,'دیده بان بازار'!$A$5:$A$2990,'دیده بان بازار'!$Q$5:$Q$2990,"")</f>
        <v>5.5</v>
      </c>
      <c r="F180" s="428" t="str">
        <f t="shared" si="2"/>
        <v/>
      </c>
    </row>
    <row r="181" spans="1:6">
      <c r="A181" s="2059" t="str">
        <f>_xlfn.XLOOKUP(C181,'Price Record'!$C$5:$C$102,'Price Record'!$D$5:$D$102,"")</f>
        <v/>
      </c>
      <c r="B181" t="s">
        <v>2022</v>
      </c>
      <c r="C181" t="s">
        <v>2023</v>
      </c>
      <c r="D181" t="s">
        <v>192</v>
      </c>
      <c r="E181">
        <f>_xlfn.XLOOKUP(C181,'دیده بان بازار'!$A$5:$A$2990,'دیده بان بازار'!$Q$5:$Q$2990,"")</f>
        <v>25.76</v>
      </c>
      <c r="F181" s="428" t="str">
        <f t="shared" si="2"/>
        <v/>
      </c>
    </row>
    <row r="182" spans="1:6">
      <c r="A182" s="2059" t="str">
        <f>_xlfn.XLOOKUP(C182,'Price Record'!$C$5:$C$102,'Price Record'!$D$5:$D$102,"")</f>
        <v/>
      </c>
      <c r="B182" t="s">
        <v>2024</v>
      </c>
      <c r="C182" t="s">
        <v>2025</v>
      </c>
      <c r="D182" t="s">
        <v>192</v>
      </c>
      <c r="E182">
        <f>_xlfn.XLOOKUP(C182,'دیده بان بازار'!$A$5:$A$2990,'دیده بان بازار'!$Q$5:$Q$2990,"")</f>
        <v>8.09</v>
      </c>
      <c r="F182" s="428" t="str">
        <f t="shared" si="2"/>
        <v/>
      </c>
    </row>
    <row r="183" spans="1:6">
      <c r="A183" s="2059" t="str">
        <f>_xlfn.XLOOKUP(C183,'Price Record'!$C$5:$C$102,'Price Record'!$D$5:$D$102,"")</f>
        <v/>
      </c>
      <c r="B183" t="s">
        <v>2024</v>
      </c>
      <c r="C183" t="s">
        <v>2026</v>
      </c>
      <c r="D183" t="s">
        <v>192</v>
      </c>
      <c r="E183" t="str">
        <f>_xlfn.XLOOKUP(C183,'دیده بان بازار'!$A$5:$A$2990,'دیده بان بازار'!$Q$5:$Q$2990,"")</f>
        <v/>
      </c>
      <c r="F183" s="428" t="str">
        <f t="shared" si="2"/>
        <v/>
      </c>
    </row>
    <row r="184" spans="1:6">
      <c r="A184" s="2059" t="str">
        <f>_xlfn.XLOOKUP(C184,'Price Record'!$C$5:$C$102,'Price Record'!$D$5:$D$102,"")</f>
        <v/>
      </c>
      <c r="B184" t="s">
        <v>2027</v>
      </c>
      <c r="C184" t="s">
        <v>2028</v>
      </c>
      <c r="D184" t="s">
        <v>192</v>
      </c>
      <c r="E184" t="str">
        <f>_xlfn.XLOOKUP(C184,'دیده بان بازار'!$A$5:$A$2990,'دیده بان بازار'!$Q$5:$Q$2990,"")</f>
        <v/>
      </c>
      <c r="F184" s="428" t="str">
        <f t="shared" si="2"/>
        <v/>
      </c>
    </row>
    <row r="185" spans="1:6">
      <c r="A185" s="2059" t="str">
        <f>_xlfn.XLOOKUP(C185,'Price Record'!$C$5:$C$102,'Price Record'!$D$5:$D$102,"")</f>
        <v/>
      </c>
      <c r="B185" t="s">
        <v>2029</v>
      </c>
      <c r="C185" t="s">
        <v>2030</v>
      </c>
      <c r="D185">
        <v>70.88</v>
      </c>
      <c r="E185">
        <f>_xlfn.XLOOKUP(C185,'دیده بان بازار'!$A$5:$A$2990,'دیده بان بازار'!$Q$5:$Q$2990,"")</f>
        <v>24.21</v>
      </c>
      <c r="F185" s="428" t="str">
        <f t="shared" si="2"/>
        <v/>
      </c>
    </row>
    <row r="186" spans="1:6">
      <c r="A186" s="2059" t="str">
        <f>_xlfn.XLOOKUP(C186,'Price Record'!$C$5:$C$102,'Price Record'!$D$5:$D$102,"")</f>
        <v/>
      </c>
      <c r="B186" t="s">
        <v>2031</v>
      </c>
      <c r="C186" t="s">
        <v>2032</v>
      </c>
      <c r="D186">
        <v>22.32</v>
      </c>
      <c r="E186">
        <f>_xlfn.XLOOKUP(C186,'دیده بان بازار'!$A$5:$A$2990,'دیده بان بازار'!$Q$5:$Q$2990,"")</f>
        <v>25.26</v>
      </c>
      <c r="F186" s="428" t="str">
        <f t="shared" si="2"/>
        <v/>
      </c>
    </row>
    <row r="187" spans="1:6">
      <c r="A187" s="2059" t="str">
        <f>_xlfn.XLOOKUP(C187,'Price Record'!$C$5:$C$102,'Price Record'!$D$5:$D$102,"")</f>
        <v/>
      </c>
      <c r="B187" t="s">
        <v>2033</v>
      </c>
      <c r="C187" t="s">
        <v>2034</v>
      </c>
      <c r="D187" t="s">
        <v>192</v>
      </c>
      <c r="E187">
        <f>_xlfn.XLOOKUP(C187,'دیده بان بازار'!$A$5:$A$2990,'دیده بان بازار'!$Q$5:$Q$2990,"")</f>
        <v>2.13</v>
      </c>
      <c r="F187" s="428" t="str">
        <f t="shared" si="2"/>
        <v/>
      </c>
    </row>
    <row r="188" spans="1:6">
      <c r="A188" s="2059" t="str">
        <f>_xlfn.XLOOKUP(C188,'Price Record'!$C$5:$C$102,'Price Record'!$D$5:$D$102,"")</f>
        <v/>
      </c>
      <c r="B188" t="s">
        <v>2035</v>
      </c>
      <c r="C188" t="s">
        <v>2036</v>
      </c>
      <c r="D188" t="s">
        <v>192</v>
      </c>
      <c r="E188">
        <f>_xlfn.XLOOKUP(C188,'دیده بان بازار'!$A$5:$A$2990,'دیده بان بازار'!$Q$5:$Q$2990,"")</f>
        <v>7.6</v>
      </c>
      <c r="F188" s="428" t="str">
        <f t="shared" si="2"/>
        <v/>
      </c>
    </row>
    <row r="189" spans="1:6">
      <c r="A189" s="2059" t="str">
        <f>_xlfn.XLOOKUP(C189,'Price Record'!$C$5:$C$102,'Price Record'!$D$5:$D$102,"")</f>
        <v/>
      </c>
      <c r="B189" t="s">
        <v>2037</v>
      </c>
      <c r="C189" t="s">
        <v>2038</v>
      </c>
      <c r="D189">
        <v>-10.66</v>
      </c>
      <c r="E189">
        <f>_xlfn.XLOOKUP(C189,'دیده بان بازار'!$A$5:$A$2990,'دیده بان بازار'!$Q$5:$Q$2990,"")</f>
        <v>22.79</v>
      </c>
      <c r="F189" s="428" t="str">
        <f t="shared" si="2"/>
        <v/>
      </c>
    </row>
    <row r="190" spans="1:6">
      <c r="A190" s="2059" t="str">
        <f>_xlfn.XLOOKUP(C190,'Price Record'!$C$5:$C$102,'Price Record'!$D$5:$D$102,"")</f>
        <v/>
      </c>
      <c r="B190" t="s">
        <v>2039</v>
      </c>
      <c r="C190" t="s">
        <v>2040</v>
      </c>
      <c r="D190">
        <v>8.33</v>
      </c>
      <c r="E190">
        <f>_xlfn.XLOOKUP(C190,'دیده بان بازار'!$A$5:$A$2990,'دیده بان بازار'!$Q$5:$Q$2990,"")</f>
        <v>5.52</v>
      </c>
      <c r="F190" s="428">
        <f t="shared" si="2"/>
        <v>-2.8100000000000005</v>
      </c>
    </row>
    <row r="191" spans="1:6">
      <c r="A191" s="2059" t="str">
        <f>_xlfn.XLOOKUP(C191,'Price Record'!$C$5:$C$102,'Price Record'!$D$5:$D$102,"")</f>
        <v/>
      </c>
      <c r="B191" t="s">
        <v>2041</v>
      </c>
      <c r="C191" t="s">
        <v>2042</v>
      </c>
      <c r="D191">
        <v>-1.5</v>
      </c>
      <c r="E191">
        <f>_xlfn.XLOOKUP(C191,'دیده بان بازار'!$A$5:$A$2990,'دیده بان بازار'!$Q$5:$Q$2990,"")</f>
        <v>5.18</v>
      </c>
      <c r="F191" s="428">
        <f t="shared" si="2"/>
        <v>6.68</v>
      </c>
    </row>
    <row r="192" spans="1:6">
      <c r="A192" s="2059" t="str">
        <f>_xlfn.XLOOKUP(C192,'Price Record'!$C$5:$C$102,'Price Record'!$D$5:$D$102,"")</f>
        <v/>
      </c>
      <c r="B192" t="s">
        <v>2043</v>
      </c>
      <c r="C192" t="s">
        <v>2044</v>
      </c>
      <c r="D192" t="s">
        <v>192</v>
      </c>
      <c r="E192">
        <f>_xlfn.XLOOKUP(C192,'دیده بان بازار'!$A$5:$A$2990,'دیده بان بازار'!$Q$5:$Q$2990,"")</f>
        <v>6.44</v>
      </c>
      <c r="F192" s="428" t="str">
        <f t="shared" si="2"/>
        <v/>
      </c>
    </row>
    <row r="193" spans="1:6">
      <c r="A193" s="2059" t="str">
        <f>_xlfn.XLOOKUP(C193,'Price Record'!$C$5:$C$102,'Price Record'!$D$5:$D$102,"")</f>
        <v/>
      </c>
      <c r="B193" t="s">
        <v>2045</v>
      </c>
      <c r="C193" t="s">
        <v>2046</v>
      </c>
      <c r="D193">
        <v>4.68</v>
      </c>
      <c r="E193">
        <f>_xlfn.XLOOKUP(C193,'دیده بان بازار'!$A$5:$A$2990,'دیده بان بازار'!$Q$5:$Q$2990,"")</f>
        <v>6.43</v>
      </c>
      <c r="F193" s="428">
        <f t="shared" si="2"/>
        <v>1.75</v>
      </c>
    </row>
    <row r="194" spans="1:6">
      <c r="A194" s="2059" t="str">
        <f>_xlfn.XLOOKUP(C194,'Price Record'!$C$5:$C$102,'Price Record'!$D$5:$D$102,"")</f>
        <v/>
      </c>
      <c r="B194" t="s">
        <v>2047</v>
      </c>
      <c r="C194" t="s">
        <v>2048</v>
      </c>
      <c r="D194" t="s">
        <v>192</v>
      </c>
      <c r="E194">
        <f>_xlfn.XLOOKUP(C194,'دیده بان بازار'!$A$5:$A$2990,'دیده بان بازار'!$Q$5:$Q$2990,"")</f>
        <v>61.7</v>
      </c>
      <c r="F194" s="428" t="str">
        <f t="shared" si="2"/>
        <v/>
      </c>
    </row>
    <row r="195" spans="1:6">
      <c r="A195" s="2059" t="str">
        <f>_xlfn.XLOOKUP(C195,'Price Record'!$C$5:$C$102,'Price Record'!$D$5:$D$102,"")</f>
        <v/>
      </c>
      <c r="B195" t="s">
        <v>2049</v>
      </c>
      <c r="C195" t="s">
        <v>2050</v>
      </c>
      <c r="D195" t="s">
        <v>192</v>
      </c>
      <c r="E195">
        <f>_xlfn.XLOOKUP(C195,'دیده بان بازار'!$A$5:$A$2990,'دیده بان بازار'!$Q$5:$Q$2990,"")</f>
        <v>7.29</v>
      </c>
      <c r="F195" s="428" t="str">
        <f t="shared" si="2"/>
        <v/>
      </c>
    </row>
    <row r="196" spans="1:6">
      <c r="A196" s="2059" t="str">
        <f>_xlfn.XLOOKUP(C196,'Price Record'!$C$5:$C$102,'Price Record'!$D$5:$D$102,"")</f>
        <v/>
      </c>
      <c r="B196" t="s">
        <v>2051</v>
      </c>
      <c r="C196" t="s">
        <v>2052</v>
      </c>
      <c r="D196">
        <v>259.76</v>
      </c>
      <c r="E196">
        <f>_xlfn.XLOOKUP(C196,'دیده بان بازار'!$A$5:$A$2990,'دیده بان بازار'!$Q$5:$Q$2990,"")</f>
        <v>7.3</v>
      </c>
      <c r="F196" s="428">
        <f t="shared" ref="F196:F259" si="3">IFERROR(IF(0&lt;E196,IF(E196&lt;20,E196-D196,""),""),"")</f>
        <v>-252.45999999999998</v>
      </c>
    </row>
    <row r="197" spans="1:6">
      <c r="A197" s="2059" t="str">
        <f>_xlfn.XLOOKUP(C197,'Price Record'!$C$5:$C$102,'Price Record'!$D$5:$D$102,"")</f>
        <v/>
      </c>
      <c r="B197" t="s">
        <v>2053</v>
      </c>
      <c r="C197" t="s">
        <v>2054</v>
      </c>
      <c r="D197">
        <v>5.58</v>
      </c>
      <c r="E197">
        <f>_xlfn.XLOOKUP(C197,'دیده بان بازار'!$A$5:$A$2990,'دیده بان بازار'!$Q$5:$Q$2990,"")</f>
        <v>6.27</v>
      </c>
      <c r="F197" s="428">
        <f t="shared" si="3"/>
        <v>0.6899999999999995</v>
      </c>
    </row>
    <row r="198" spans="1:6">
      <c r="A198" s="2059" t="str">
        <f>_xlfn.XLOOKUP(C198,'Price Record'!$C$5:$C$102,'Price Record'!$D$5:$D$102,"")</f>
        <v/>
      </c>
      <c r="B198" t="s">
        <v>2055</v>
      </c>
      <c r="C198" t="s">
        <v>2056</v>
      </c>
      <c r="D198">
        <v>4.0599999999999996</v>
      </c>
      <c r="E198">
        <f>_xlfn.XLOOKUP(C198,'دیده بان بازار'!$A$5:$A$2990,'دیده بان بازار'!$Q$5:$Q$2990,"")</f>
        <v>43.89</v>
      </c>
      <c r="F198" s="428" t="str">
        <f t="shared" si="3"/>
        <v/>
      </c>
    </row>
    <row r="199" spans="1:6">
      <c r="A199" s="2059" t="str">
        <f>_xlfn.XLOOKUP(C199,'Price Record'!$C$5:$C$102,'Price Record'!$D$5:$D$102,"")</f>
        <v/>
      </c>
      <c r="B199" t="s">
        <v>2057</v>
      </c>
      <c r="C199" t="s">
        <v>2058</v>
      </c>
      <c r="D199">
        <v>5.97</v>
      </c>
      <c r="E199" t="str">
        <f>_xlfn.XLOOKUP(C199,'دیده بان بازار'!$A$5:$A$2990,'دیده بان بازار'!$Q$5:$Q$2990,"")</f>
        <v/>
      </c>
      <c r="F199" s="428" t="str">
        <f t="shared" si="3"/>
        <v/>
      </c>
    </row>
    <row r="200" spans="1:6">
      <c r="A200" s="2059" t="str">
        <f>_xlfn.XLOOKUP(C200,'Price Record'!$C$5:$C$102,'Price Record'!$D$5:$D$102,"")</f>
        <v/>
      </c>
      <c r="B200" t="s">
        <v>2059</v>
      </c>
      <c r="C200" t="s">
        <v>2060</v>
      </c>
      <c r="D200" t="s">
        <v>192</v>
      </c>
      <c r="E200">
        <f>_xlfn.XLOOKUP(C200,'دیده بان بازار'!$A$5:$A$2990,'دیده بان بازار'!$Q$5:$Q$2990,"")</f>
        <v>1.74</v>
      </c>
      <c r="F200" s="428" t="str">
        <f t="shared" si="3"/>
        <v/>
      </c>
    </row>
    <row r="201" spans="1:6">
      <c r="A201" s="2059" t="str">
        <f>_xlfn.XLOOKUP(C201,'Price Record'!$C$5:$C$102,'Price Record'!$D$5:$D$102,"")</f>
        <v/>
      </c>
      <c r="B201" t="s">
        <v>2059</v>
      </c>
      <c r="C201" t="s">
        <v>2061</v>
      </c>
      <c r="D201">
        <v>3.37</v>
      </c>
      <c r="E201" t="str">
        <f>_xlfn.XLOOKUP(C201,'دیده بان بازار'!$A$5:$A$2990,'دیده بان بازار'!$Q$5:$Q$2990,"")</f>
        <v/>
      </c>
      <c r="F201" s="428" t="str">
        <f t="shared" si="3"/>
        <v/>
      </c>
    </row>
    <row r="202" spans="1:6">
      <c r="A202" s="2059" t="str">
        <f>_xlfn.XLOOKUP(C202,'Price Record'!$C$5:$C$102,'Price Record'!$D$5:$D$102,"")</f>
        <v/>
      </c>
      <c r="B202" t="s">
        <v>2062</v>
      </c>
      <c r="C202" t="s">
        <v>2063</v>
      </c>
      <c r="D202" t="s">
        <v>192</v>
      </c>
      <c r="E202">
        <f>_xlfn.XLOOKUP(C202,'دیده بان بازار'!$A$5:$A$2990,'دیده بان بازار'!$Q$5:$Q$2990,"")</f>
        <v>5.27</v>
      </c>
      <c r="F202" s="428" t="str">
        <f t="shared" si="3"/>
        <v/>
      </c>
    </row>
    <row r="203" spans="1:6">
      <c r="A203" s="2059" t="str">
        <f>_xlfn.XLOOKUP(C203,'Price Record'!$C$5:$C$102,'Price Record'!$D$5:$D$102,"")</f>
        <v/>
      </c>
      <c r="B203" t="s">
        <v>2064</v>
      </c>
      <c r="C203" t="s">
        <v>2065</v>
      </c>
      <c r="D203">
        <v>-3.34</v>
      </c>
      <c r="E203">
        <f>_xlfn.XLOOKUP(C203,'دیده بان بازار'!$A$5:$A$2990,'دیده بان بازار'!$Q$5:$Q$2990,"")</f>
        <v>28.6</v>
      </c>
      <c r="F203" s="428" t="str">
        <f t="shared" si="3"/>
        <v/>
      </c>
    </row>
    <row r="204" spans="1:6">
      <c r="A204" s="2059" t="str">
        <f>_xlfn.XLOOKUP(C204,'Price Record'!$C$5:$C$102,'Price Record'!$D$5:$D$102,"")</f>
        <v/>
      </c>
      <c r="B204" t="s">
        <v>2066</v>
      </c>
      <c r="C204" t="s">
        <v>2067</v>
      </c>
      <c r="D204" t="s">
        <v>192</v>
      </c>
      <c r="E204">
        <f>_xlfn.XLOOKUP(C204,'دیده بان بازار'!$A$5:$A$2990,'دیده بان بازار'!$Q$5:$Q$2990,"")</f>
        <v>7.78</v>
      </c>
      <c r="F204" s="428" t="str">
        <f t="shared" si="3"/>
        <v/>
      </c>
    </row>
    <row r="205" spans="1:6">
      <c r="A205" s="2059" t="str">
        <f>_xlfn.XLOOKUP(C205,'Price Record'!$C$5:$C$102,'Price Record'!$D$5:$D$102,"")</f>
        <v/>
      </c>
      <c r="B205" t="s">
        <v>2068</v>
      </c>
      <c r="C205" t="s">
        <v>2069</v>
      </c>
      <c r="D205" t="s">
        <v>192</v>
      </c>
      <c r="E205">
        <f>_xlfn.XLOOKUP(C205,'دیده بان بازار'!$A$5:$A$2990,'دیده بان بازار'!$Q$5:$Q$2990,"")</f>
        <v>18.23</v>
      </c>
      <c r="F205" s="428" t="str">
        <f t="shared" si="3"/>
        <v/>
      </c>
    </row>
    <row r="206" spans="1:6">
      <c r="A206" s="2059" t="str">
        <f>_xlfn.XLOOKUP(C206,'Price Record'!$C$5:$C$102,'Price Record'!$D$5:$D$102,"")</f>
        <v/>
      </c>
      <c r="B206" t="s">
        <v>2068</v>
      </c>
      <c r="C206" t="s">
        <v>2070</v>
      </c>
      <c r="D206" t="s">
        <v>192</v>
      </c>
      <c r="E206" t="str">
        <f>_xlfn.XLOOKUP(C206,'دیده بان بازار'!$A$5:$A$2990,'دیده بان بازار'!$Q$5:$Q$2990,"")</f>
        <v/>
      </c>
      <c r="F206" s="428" t="str">
        <f t="shared" si="3"/>
        <v/>
      </c>
    </row>
    <row r="207" spans="1:6">
      <c r="A207" s="2059" t="str">
        <f>_xlfn.XLOOKUP(C207,'Price Record'!$C$5:$C$102,'Price Record'!$D$5:$D$102,"")</f>
        <v/>
      </c>
      <c r="B207" t="s">
        <v>2071</v>
      </c>
      <c r="C207" t="s">
        <v>2072</v>
      </c>
      <c r="D207" t="s">
        <v>192</v>
      </c>
      <c r="E207">
        <f>_xlfn.XLOOKUP(C207,'دیده بان بازار'!$A$5:$A$2990,'دیده بان بازار'!$Q$5:$Q$2990,"")</f>
        <v>-22.02</v>
      </c>
      <c r="F207" s="428" t="str">
        <f t="shared" si="3"/>
        <v/>
      </c>
    </row>
    <row r="208" spans="1:6">
      <c r="A208" s="2059" t="str">
        <f>_xlfn.XLOOKUP(C208,'Price Record'!$C$5:$C$102,'Price Record'!$D$5:$D$102,"")</f>
        <v/>
      </c>
      <c r="B208" t="s">
        <v>2073</v>
      </c>
      <c r="C208" t="s">
        <v>2074</v>
      </c>
      <c r="D208">
        <v>4.88</v>
      </c>
      <c r="E208">
        <f>_xlfn.XLOOKUP(C208,'دیده بان بازار'!$A$5:$A$2990,'دیده بان بازار'!$Q$5:$Q$2990,"")</f>
        <v>15.27</v>
      </c>
      <c r="F208" s="428">
        <f t="shared" si="3"/>
        <v>10.39</v>
      </c>
    </row>
    <row r="209" spans="1:6">
      <c r="A209" s="2059" t="str">
        <f>_xlfn.XLOOKUP(C209,'Price Record'!$C$5:$C$102,'Price Record'!$D$5:$D$102,"")</f>
        <v/>
      </c>
      <c r="B209" t="s">
        <v>2075</v>
      </c>
      <c r="C209" t="s">
        <v>2076</v>
      </c>
      <c r="D209">
        <v>37.950000000000003</v>
      </c>
      <c r="E209">
        <f>_xlfn.XLOOKUP(C209,'دیده بان بازار'!$A$5:$A$2990,'دیده بان بازار'!$Q$5:$Q$2990,"")</f>
        <v>7.59</v>
      </c>
      <c r="F209" s="428">
        <f t="shared" si="3"/>
        <v>-30.360000000000003</v>
      </c>
    </row>
    <row r="210" spans="1:6">
      <c r="A210" s="2062" t="str">
        <f>_xlfn.XLOOKUP(C210,'Price Record'!$C$5:$C$102,'Price Record'!$D$5:$D$102,"")</f>
        <v>AP</v>
      </c>
      <c r="B210" s="1445" t="s">
        <v>86</v>
      </c>
      <c r="C210" s="1445" t="s">
        <v>87</v>
      </c>
      <c r="D210" s="1445" t="s">
        <v>192</v>
      </c>
      <c r="E210" s="1445">
        <f>_xlfn.XLOOKUP(C210,'دیده بان بازار'!$A$5:$A$2990,'دیده بان بازار'!$Q$5:$Q$2990,"")</f>
        <v>6.21</v>
      </c>
      <c r="F210" s="2063" t="str">
        <f t="shared" si="3"/>
        <v/>
      </c>
    </row>
    <row r="211" spans="1:6">
      <c r="A211" s="2059" t="str">
        <f>_xlfn.XLOOKUP(C211,'Price Record'!$C$5:$C$102,'Price Record'!$D$5:$D$102,"")</f>
        <v/>
      </c>
      <c r="B211" t="s">
        <v>2077</v>
      </c>
      <c r="C211" t="s">
        <v>2078</v>
      </c>
      <c r="D211">
        <v>5.08</v>
      </c>
      <c r="E211">
        <f>_xlfn.XLOOKUP(C211,'دیده بان بازار'!$A$5:$A$2990,'دیده بان بازار'!$Q$5:$Q$2990,"")</f>
        <v>148.69999999999999</v>
      </c>
      <c r="F211" s="428" t="str">
        <f t="shared" si="3"/>
        <v/>
      </c>
    </row>
    <row r="212" spans="1:6">
      <c r="A212" s="2059" t="str">
        <f>_xlfn.XLOOKUP(C212,'Price Record'!$C$5:$C$102,'Price Record'!$D$5:$D$102,"")</f>
        <v/>
      </c>
      <c r="B212" t="s">
        <v>2079</v>
      </c>
      <c r="C212" t="s">
        <v>2080</v>
      </c>
      <c r="D212">
        <v>5.76</v>
      </c>
      <c r="E212">
        <f>_xlfn.XLOOKUP(C212,'دیده بان بازار'!$A$5:$A$2990,'دیده بان بازار'!$Q$5:$Q$2990,"")</f>
        <v>4.05</v>
      </c>
      <c r="F212" s="428">
        <f t="shared" si="3"/>
        <v>-1.71</v>
      </c>
    </row>
    <row r="213" spans="1:6">
      <c r="A213" s="2059" t="str">
        <f>_xlfn.XLOOKUP(C213,'Price Record'!$C$5:$C$102,'Price Record'!$D$5:$D$102,"")</f>
        <v/>
      </c>
      <c r="B213" t="s">
        <v>2079</v>
      </c>
      <c r="C213" t="s">
        <v>2081</v>
      </c>
      <c r="D213" t="s">
        <v>192</v>
      </c>
      <c r="E213">
        <f>_xlfn.XLOOKUP(C213,'دیده بان بازار'!$A$5:$A$2990,'دیده بان بازار'!$Q$5:$Q$2990,"")</f>
        <v>4.05</v>
      </c>
      <c r="F213" s="428" t="str">
        <f t="shared" si="3"/>
        <v/>
      </c>
    </row>
    <row r="214" spans="1:6">
      <c r="A214" s="2059" t="str">
        <f>_xlfn.XLOOKUP(C214,'Price Record'!$C$5:$C$102,'Price Record'!$D$5:$D$102,"")</f>
        <v/>
      </c>
      <c r="B214" t="s">
        <v>2082</v>
      </c>
      <c r="C214" t="s">
        <v>2083</v>
      </c>
      <c r="D214">
        <v>9.4700000000000006</v>
      </c>
      <c r="E214">
        <f>_xlfn.XLOOKUP(C214,'دیده بان بازار'!$A$5:$A$2990,'دیده بان بازار'!$Q$5:$Q$2990,"")</f>
        <v>-0.85</v>
      </c>
      <c r="F214" s="428" t="str">
        <f t="shared" si="3"/>
        <v/>
      </c>
    </row>
    <row r="215" spans="1:6">
      <c r="A215" s="2059" t="str">
        <f>_xlfn.XLOOKUP(C215,'Price Record'!$C$5:$C$102,'Price Record'!$D$5:$D$102,"")</f>
        <v/>
      </c>
      <c r="B215" t="s">
        <v>2084</v>
      </c>
      <c r="C215" t="s">
        <v>2085</v>
      </c>
      <c r="D215">
        <v>5.65</v>
      </c>
      <c r="E215">
        <f>_xlfn.XLOOKUP(C215,'دیده بان بازار'!$A$5:$A$2990,'دیده بان بازار'!$Q$5:$Q$2990,"")</f>
        <v>14.92</v>
      </c>
      <c r="F215" s="428">
        <f t="shared" si="3"/>
        <v>9.27</v>
      </c>
    </row>
    <row r="216" spans="1:6">
      <c r="A216" s="2059" t="str">
        <f>_xlfn.XLOOKUP(C216,'Price Record'!$C$5:$C$102,'Price Record'!$D$5:$D$102,"")</f>
        <v/>
      </c>
      <c r="B216" t="s">
        <v>2086</v>
      </c>
      <c r="C216" t="s">
        <v>2087</v>
      </c>
      <c r="D216">
        <v>5.78</v>
      </c>
      <c r="E216">
        <f>_xlfn.XLOOKUP(C216,'دیده بان بازار'!$A$5:$A$2990,'دیده بان بازار'!$Q$5:$Q$2990,"")</f>
        <v>7.3</v>
      </c>
      <c r="F216" s="428">
        <f t="shared" si="3"/>
        <v>1.5199999999999996</v>
      </c>
    </row>
    <row r="217" spans="1:6">
      <c r="A217" s="2059" t="str">
        <f>_xlfn.XLOOKUP(C217,'Price Record'!$C$5:$C$102,'Price Record'!$D$5:$D$102,"")</f>
        <v/>
      </c>
      <c r="B217" t="s">
        <v>2088</v>
      </c>
      <c r="C217" t="s">
        <v>2089</v>
      </c>
      <c r="D217">
        <v>8.39</v>
      </c>
      <c r="E217">
        <f>_xlfn.XLOOKUP(C217,'دیده بان بازار'!$A$5:$A$2990,'دیده بان بازار'!$Q$5:$Q$2990,"")</f>
        <v>3.55</v>
      </c>
      <c r="F217" s="428">
        <f t="shared" si="3"/>
        <v>-4.8400000000000007</v>
      </c>
    </row>
    <row r="218" spans="1:6">
      <c r="A218" s="2059" t="str">
        <f>_xlfn.XLOOKUP(C218,'Price Record'!$C$5:$C$102,'Price Record'!$D$5:$D$102,"")</f>
        <v/>
      </c>
      <c r="B218" t="s">
        <v>2090</v>
      </c>
      <c r="C218" t="s">
        <v>2091</v>
      </c>
      <c r="D218" t="s">
        <v>192</v>
      </c>
      <c r="E218">
        <f>_xlfn.XLOOKUP(C218,'دیده بان بازار'!$A$5:$A$2990,'دیده بان بازار'!$Q$5:$Q$2990,"")</f>
        <v>34.65</v>
      </c>
      <c r="F218" s="428" t="str">
        <f t="shared" si="3"/>
        <v/>
      </c>
    </row>
    <row r="219" spans="1:6">
      <c r="A219" s="2059" t="str">
        <f>_xlfn.XLOOKUP(C219,'Price Record'!$C$5:$C$102,'Price Record'!$D$5:$D$102,"")</f>
        <v/>
      </c>
      <c r="B219" t="s">
        <v>2090</v>
      </c>
      <c r="C219" t="s">
        <v>2092</v>
      </c>
      <c r="D219">
        <v>10.83</v>
      </c>
      <c r="E219">
        <f>_xlfn.XLOOKUP(C219,'دیده بان بازار'!$A$5:$A$2990,'دیده بان بازار'!$Q$5:$Q$2990,"")</f>
        <v>34.65</v>
      </c>
      <c r="F219" s="428" t="str">
        <f t="shared" si="3"/>
        <v/>
      </c>
    </row>
    <row r="220" spans="1:6">
      <c r="A220" s="2059" t="str">
        <f>_xlfn.XLOOKUP(C220,'Price Record'!$C$5:$C$102,'Price Record'!$D$5:$D$102,"")</f>
        <v/>
      </c>
      <c r="B220" t="s">
        <v>2093</v>
      </c>
      <c r="C220" t="s">
        <v>2094</v>
      </c>
      <c r="D220">
        <v>4.6900000000000004</v>
      </c>
      <c r="E220">
        <f>_xlfn.XLOOKUP(C220,'دیده بان بازار'!$A$5:$A$2990,'دیده بان بازار'!$Q$5:$Q$2990,"")</f>
        <v>7.75</v>
      </c>
      <c r="F220" s="428">
        <f t="shared" si="3"/>
        <v>3.0599999999999996</v>
      </c>
    </row>
    <row r="221" spans="1:6">
      <c r="A221" s="2059" t="str">
        <f>_xlfn.XLOOKUP(C221,'Price Record'!$C$5:$C$102,'Price Record'!$D$5:$D$102,"")</f>
        <v/>
      </c>
      <c r="B221" t="s">
        <v>2095</v>
      </c>
      <c r="C221" t="s">
        <v>2096</v>
      </c>
      <c r="D221">
        <v>4.9800000000000004</v>
      </c>
      <c r="E221">
        <f>_xlfn.XLOOKUP(C221,'دیده بان بازار'!$A$5:$A$2990,'دیده بان بازار'!$Q$5:$Q$2990,"")</f>
        <v>7.09</v>
      </c>
      <c r="F221" s="428">
        <f t="shared" si="3"/>
        <v>2.1099999999999994</v>
      </c>
    </row>
    <row r="222" spans="1:6">
      <c r="A222" s="2059" t="str">
        <f>_xlfn.XLOOKUP(C222,'Price Record'!$C$5:$C$102,'Price Record'!$D$5:$D$102,"")</f>
        <v/>
      </c>
      <c r="B222" t="s">
        <v>2097</v>
      </c>
      <c r="C222" t="s">
        <v>2098</v>
      </c>
      <c r="D222">
        <v>8.1999999999999993</v>
      </c>
      <c r="E222">
        <f>_xlfn.XLOOKUP(C222,'دیده بان بازار'!$A$5:$A$2990,'دیده بان بازار'!$Q$5:$Q$2990,"")</f>
        <v>5.69</v>
      </c>
      <c r="F222" s="428">
        <f t="shared" si="3"/>
        <v>-2.5099999999999989</v>
      </c>
    </row>
    <row r="223" spans="1:6">
      <c r="A223" s="2059" t="str">
        <f>_xlfn.XLOOKUP(C223,'Price Record'!$C$5:$C$102,'Price Record'!$D$5:$D$102,"")</f>
        <v/>
      </c>
      <c r="B223" t="s">
        <v>2099</v>
      </c>
      <c r="C223" t="s">
        <v>2100</v>
      </c>
      <c r="D223" t="s">
        <v>192</v>
      </c>
      <c r="E223">
        <f>_xlfn.XLOOKUP(C223,'دیده بان بازار'!$A$5:$A$2990,'دیده بان بازار'!$Q$5:$Q$2990,"")</f>
        <v>7.41</v>
      </c>
      <c r="F223" s="428" t="str">
        <f t="shared" si="3"/>
        <v/>
      </c>
    </row>
    <row r="224" spans="1:6">
      <c r="A224" s="2059" t="str">
        <f>_xlfn.XLOOKUP(C224,'Price Record'!$C$5:$C$102,'Price Record'!$D$5:$D$102,"")</f>
        <v/>
      </c>
      <c r="B224" t="s">
        <v>2101</v>
      </c>
      <c r="C224" t="s">
        <v>2102</v>
      </c>
      <c r="D224" t="s">
        <v>192</v>
      </c>
      <c r="E224">
        <f>_xlfn.XLOOKUP(C224,'دیده بان بازار'!$A$5:$A$2990,'دیده بان بازار'!$Q$5:$Q$2990,"")</f>
        <v>15.13</v>
      </c>
      <c r="F224" s="428" t="str">
        <f t="shared" si="3"/>
        <v/>
      </c>
    </row>
    <row r="225" spans="1:6">
      <c r="A225" s="2059" t="str">
        <f>_xlfn.XLOOKUP(C225,'Price Record'!$C$5:$C$102,'Price Record'!$D$5:$D$102,"")</f>
        <v/>
      </c>
      <c r="B225" t="s">
        <v>2103</v>
      </c>
      <c r="C225" t="s">
        <v>2104</v>
      </c>
      <c r="D225">
        <v>6.86</v>
      </c>
      <c r="E225">
        <f>_xlfn.XLOOKUP(C225,'دیده بان بازار'!$A$5:$A$2990,'دیده بان بازار'!$Q$5:$Q$2990,"")</f>
        <v>4.54</v>
      </c>
      <c r="F225" s="428">
        <f t="shared" si="3"/>
        <v>-2.3200000000000003</v>
      </c>
    </row>
    <row r="226" spans="1:6">
      <c r="A226" s="2059" t="str">
        <f>_xlfn.XLOOKUP(C226,'Price Record'!$C$5:$C$102,'Price Record'!$D$5:$D$102,"")</f>
        <v/>
      </c>
      <c r="B226" t="s">
        <v>2103</v>
      </c>
      <c r="C226" t="s">
        <v>2105</v>
      </c>
      <c r="D226" t="s">
        <v>192</v>
      </c>
      <c r="E226" t="str">
        <f>_xlfn.XLOOKUP(C226,'دیده بان بازار'!$A$5:$A$2990,'دیده بان بازار'!$Q$5:$Q$2990,"")</f>
        <v/>
      </c>
      <c r="F226" s="428" t="str">
        <f t="shared" si="3"/>
        <v/>
      </c>
    </row>
    <row r="227" spans="1:6">
      <c r="A227" s="2059" t="str">
        <f>_xlfn.XLOOKUP(C227,'Price Record'!$C$5:$C$102,'Price Record'!$D$5:$D$102,"")</f>
        <v/>
      </c>
      <c r="B227" t="s">
        <v>2106</v>
      </c>
      <c r="C227" t="s">
        <v>2107</v>
      </c>
      <c r="D227">
        <v>11.15</v>
      </c>
      <c r="E227">
        <f>_xlfn.XLOOKUP(C227,'دیده بان بازار'!$A$5:$A$2990,'دیده بان بازار'!$Q$5:$Q$2990,"")</f>
        <v>-3.4</v>
      </c>
      <c r="F227" s="428" t="str">
        <f t="shared" si="3"/>
        <v/>
      </c>
    </row>
    <row r="228" spans="1:6">
      <c r="A228" s="2059" t="str">
        <f>_xlfn.XLOOKUP(C228,'Price Record'!$C$5:$C$102,'Price Record'!$D$5:$D$102,"")</f>
        <v/>
      </c>
      <c r="B228" t="s">
        <v>2108</v>
      </c>
      <c r="C228" t="s">
        <v>2109</v>
      </c>
      <c r="D228" t="s">
        <v>192</v>
      </c>
      <c r="E228">
        <f>_xlfn.XLOOKUP(C228,'دیده بان بازار'!$A$5:$A$2990,'دیده بان بازار'!$Q$5:$Q$2990,"")</f>
        <v>14.93</v>
      </c>
      <c r="F228" s="428" t="str">
        <f t="shared" si="3"/>
        <v/>
      </c>
    </row>
    <row r="229" spans="1:6">
      <c r="A229" s="2059" t="str">
        <f>_xlfn.XLOOKUP(C229,'Price Record'!$C$5:$C$102,'Price Record'!$D$5:$D$102,"")</f>
        <v/>
      </c>
      <c r="B229" t="s">
        <v>2110</v>
      </c>
      <c r="C229" t="s">
        <v>2111</v>
      </c>
      <c r="D229" t="s">
        <v>192</v>
      </c>
      <c r="E229">
        <f>_xlfn.XLOOKUP(C229,'دیده بان بازار'!$A$5:$A$2990,'دیده بان بازار'!$Q$5:$Q$2990,"")</f>
        <v>10.92</v>
      </c>
      <c r="F229" s="428" t="str">
        <f t="shared" si="3"/>
        <v/>
      </c>
    </row>
    <row r="230" spans="1:6">
      <c r="A230" s="2059" t="str">
        <f>_xlfn.XLOOKUP(C230,'Price Record'!$C$5:$C$102,'Price Record'!$D$5:$D$102,"")</f>
        <v/>
      </c>
      <c r="B230" t="s">
        <v>2112</v>
      </c>
      <c r="C230" t="s">
        <v>2113</v>
      </c>
      <c r="D230" t="s">
        <v>192</v>
      </c>
      <c r="E230">
        <f>_xlfn.XLOOKUP(C230,'دیده بان بازار'!$A$5:$A$2990,'دیده بان بازار'!$Q$5:$Q$2990,"")</f>
        <v>58.05</v>
      </c>
      <c r="F230" s="428" t="str">
        <f t="shared" si="3"/>
        <v/>
      </c>
    </row>
    <row r="231" spans="1:6">
      <c r="A231" s="2059" t="str">
        <f>_xlfn.XLOOKUP(C231,'Price Record'!$C$5:$C$102,'Price Record'!$D$5:$D$102,"")</f>
        <v/>
      </c>
      <c r="B231" t="s">
        <v>2114</v>
      </c>
      <c r="C231" t="s">
        <v>2115</v>
      </c>
      <c r="D231">
        <v>-79.22</v>
      </c>
      <c r="E231">
        <f>_xlfn.XLOOKUP(C231,'دیده بان بازار'!$A$5:$A$2990,'دیده بان بازار'!$Q$5:$Q$2990,"")</f>
        <v>15.35</v>
      </c>
      <c r="F231" s="428">
        <f t="shared" si="3"/>
        <v>94.57</v>
      </c>
    </row>
    <row r="232" spans="1:6">
      <c r="A232" s="2059" t="str">
        <f>_xlfn.XLOOKUP(C232,'Price Record'!$C$5:$C$102,'Price Record'!$D$5:$D$102,"")</f>
        <v/>
      </c>
      <c r="B232" t="s">
        <v>2116</v>
      </c>
      <c r="C232" t="s">
        <v>2117</v>
      </c>
      <c r="D232" t="s">
        <v>192</v>
      </c>
      <c r="E232">
        <f>_xlfn.XLOOKUP(C232,'دیده بان بازار'!$A$5:$A$2990,'دیده بان بازار'!$Q$5:$Q$2990,"")</f>
        <v>82.05</v>
      </c>
      <c r="F232" s="428" t="str">
        <f t="shared" si="3"/>
        <v/>
      </c>
    </row>
    <row r="233" spans="1:6">
      <c r="A233" s="2059" t="str">
        <f>_xlfn.XLOOKUP(C233,'Price Record'!$C$5:$C$102,'Price Record'!$D$5:$D$102,"")</f>
        <v/>
      </c>
      <c r="B233" t="s">
        <v>2118</v>
      </c>
      <c r="C233" t="s">
        <v>2119</v>
      </c>
      <c r="D233">
        <v>16.36</v>
      </c>
      <c r="E233">
        <f>_xlfn.XLOOKUP(C233,'دیده بان بازار'!$A$5:$A$2990,'دیده بان بازار'!$Q$5:$Q$2990,"")</f>
        <v>3.16</v>
      </c>
      <c r="F233" s="428">
        <f t="shared" si="3"/>
        <v>-13.2</v>
      </c>
    </row>
    <row r="234" spans="1:6">
      <c r="A234" s="2059" t="str">
        <f>_xlfn.XLOOKUP(C234,'Price Record'!$C$5:$C$102,'Price Record'!$D$5:$D$102,"")</f>
        <v/>
      </c>
      <c r="B234" t="s">
        <v>2120</v>
      </c>
      <c r="C234" t="s">
        <v>2121</v>
      </c>
      <c r="D234">
        <v>12.81</v>
      </c>
      <c r="E234">
        <f>_xlfn.XLOOKUP(C234,'دیده بان بازار'!$A$5:$A$2990,'دیده بان بازار'!$Q$5:$Q$2990,"")</f>
        <v>15.45</v>
      </c>
      <c r="F234" s="428">
        <f t="shared" si="3"/>
        <v>2.6399999999999988</v>
      </c>
    </row>
    <row r="235" spans="1:6">
      <c r="A235" s="2059" t="str">
        <f>_xlfn.XLOOKUP(C235,'Price Record'!$C$5:$C$102,'Price Record'!$D$5:$D$102,"")</f>
        <v/>
      </c>
      <c r="B235" t="s">
        <v>2122</v>
      </c>
      <c r="C235" t="s">
        <v>2123</v>
      </c>
      <c r="D235" t="s">
        <v>192</v>
      </c>
      <c r="E235">
        <f>_xlfn.XLOOKUP(C235,'دیده بان بازار'!$A$5:$A$2990,'دیده بان بازار'!$Q$5:$Q$2990,"")</f>
        <v>44.74</v>
      </c>
      <c r="F235" s="428" t="str">
        <f t="shared" si="3"/>
        <v/>
      </c>
    </row>
    <row r="236" spans="1:6">
      <c r="A236" s="2059" t="str">
        <f>_xlfn.XLOOKUP(C236,'Price Record'!$C$5:$C$102,'Price Record'!$D$5:$D$102,"")</f>
        <v/>
      </c>
      <c r="B236" t="s">
        <v>2122</v>
      </c>
      <c r="C236" t="s">
        <v>2124</v>
      </c>
      <c r="D236">
        <v>10.8</v>
      </c>
      <c r="E236" t="str">
        <f>_xlfn.XLOOKUP(C236,'دیده بان بازار'!$A$5:$A$2990,'دیده بان بازار'!$Q$5:$Q$2990,"")</f>
        <v/>
      </c>
      <c r="F236" s="428" t="str">
        <f t="shared" si="3"/>
        <v/>
      </c>
    </row>
    <row r="237" spans="1:6">
      <c r="A237" s="2059" t="str">
        <f>_xlfn.XLOOKUP(C237,'Price Record'!$C$5:$C$102,'Price Record'!$D$5:$D$102,"")</f>
        <v/>
      </c>
      <c r="B237" t="s">
        <v>2125</v>
      </c>
      <c r="C237" t="s">
        <v>2126</v>
      </c>
      <c r="D237" t="s">
        <v>192</v>
      </c>
      <c r="E237">
        <f>_xlfn.XLOOKUP(C237,'دیده بان بازار'!$A$5:$A$2990,'دیده بان بازار'!$Q$5:$Q$2990,"")</f>
        <v>35.56</v>
      </c>
      <c r="F237" s="428" t="str">
        <f t="shared" si="3"/>
        <v/>
      </c>
    </row>
    <row r="238" spans="1:6">
      <c r="A238" s="2059" t="str">
        <f>_xlfn.XLOOKUP(C238,'Price Record'!$C$5:$C$102,'Price Record'!$D$5:$D$102,"")</f>
        <v/>
      </c>
      <c r="B238" t="s">
        <v>2125</v>
      </c>
      <c r="C238" t="s">
        <v>2127</v>
      </c>
      <c r="D238">
        <v>2.86</v>
      </c>
      <c r="E238" t="str">
        <f>_xlfn.XLOOKUP(C238,'دیده بان بازار'!$A$5:$A$2990,'دیده بان بازار'!$Q$5:$Q$2990,"")</f>
        <v/>
      </c>
      <c r="F238" s="428" t="str">
        <f t="shared" si="3"/>
        <v/>
      </c>
    </row>
    <row r="239" spans="1:6">
      <c r="A239" s="2059" t="str">
        <f>_xlfn.XLOOKUP(C239,'Price Record'!$C$5:$C$102,'Price Record'!$D$5:$D$102,"")</f>
        <v/>
      </c>
      <c r="B239" t="s">
        <v>2128</v>
      </c>
      <c r="C239" t="s">
        <v>2129</v>
      </c>
      <c r="D239">
        <v>7.33</v>
      </c>
      <c r="E239">
        <f>_xlfn.XLOOKUP(C239,'دیده بان بازار'!$A$5:$A$2990,'دیده بان بازار'!$Q$5:$Q$2990,"")</f>
        <v>4.96</v>
      </c>
      <c r="F239" s="428">
        <f t="shared" si="3"/>
        <v>-2.37</v>
      </c>
    </row>
    <row r="240" spans="1:6">
      <c r="A240" s="2059" t="str">
        <f>_xlfn.XLOOKUP(C240,'Price Record'!$C$5:$C$102,'Price Record'!$D$5:$D$102,"")</f>
        <v/>
      </c>
      <c r="B240" t="s">
        <v>2128</v>
      </c>
      <c r="C240" t="s">
        <v>2130</v>
      </c>
      <c r="D240">
        <v>4.67</v>
      </c>
      <c r="E240">
        <f>_xlfn.XLOOKUP(C240,'دیده بان بازار'!$A$5:$A$2990,'دیده بان بازار'!$Q$5:$Q$2990,"")</f>
        <v>4.96</v>
      </c>
      <c r="F240" s="428">
        <f t="shared" si="3"/>
        <v>0.29000000000000004</v>
      </c>
    </row>
    <row r="241" spans="1:6">
      <c r="A241" s="2059" t="str">
        <f>_xlfn.XLOOKUP(C241,'Price Record'!$C$5:$C$102,'Price Record'!$D$5:$D$102,"")</f>
        <v/>
      </c>
      <c r="B241" t="s">
        <v>2131</v>
      </c>
      <c r="C241" t="s">
        <v>2132</v>
      </c>
      <c r="D241">
        <v>5.82</v>
      </c>
      <c r="E241">
        <f>_xlfn.XLOOKUP(C241,'دیده بان بازار'!$A$5:$A$2990,'دیده بان بازار'!$Q$5:$Q$2990,"")</f>
        <v>-13.79</v>
      </c>
      <c r="F241" s="428" t="str">
        <f t="shared" si="3"/>
        <v/>
      </c>
    </row>
    <row r="242" spans="1:6">
      <c r="A242" s="2059" t="str">
        <f>_xlfn.XLOOKUP(C242,'Price Record'!$C$5:$C$102,'Price Record'!$D$5:$D$102,"")</f>
        <v/>
      </c>
      <c r="B242" t="s">
        <v>2133</v>
      </c>
      <c r="C242" t="s">
        <v>2134</v>
      </c>
      <c r="D242">
        <v>5.53</v>
      </c>
      <c r="E242">
        <f>_xlfn.XLOOKUP(C242,'دیده بان بازار'!$A$5:$A$2990,'دیده بان بازار'!$Q$5:$Q$2990,"")</f>
        <v>36.54</v>
      </c>
      <c r="F242" s="428" t="str">
        <f t="shared" si="3"/>
        <v/>
      </c>
    </row>
    <row r="243" spans="1:6">
      <c r="A243" s="2059" t="str">
        <f>_xlfn.XLOOKUP(C243,'Price Record'!$C$5:$C$102,'Price Record'!$D$5:$D$102,"")</f>
        <v/>
      </c>
      <c r="B243" t="s">
        <v>2133</v>
      </c>
      <c r="C243" t="s">
        <v>2135</v>
      </c>
      <c r="D243">
        <v>10.85</v>
      </c>
      <c r="E243">
        <f>_xlfn.XLOOKUP(C243,'دیده بان بازار'!$A$5:$A$2990,'دیده بان بازار'!$Q$5:$Q$2990,"")</f>
        <v>36.54</v>
      </c>
      <c r="F243" s="428" t="str">
        <f t="shared" si="3"/>
        <v/>
      </c>
    </row>
    <row r="244" spans="1:6">
      <c r="A244" s="2059" t="str">
        <f>_xlfn.XLOOKUP(C244,'Price Record'!$C$5:$C$102,'Price Record'!$D$5:$D$102,"")</f>
        <v/>
      </c>
      <c r="B244" t="s">
        <v>2136</v>
      </c>
      <c r="C244" t="s">
        <v>2137</v>
      </c>
      <c r="D244" t="s">
        <v>192</v>
      </c>
      <c r="E244">
        <f>_xlfn.XLOOKUP(C244,'دیده بان بازار'!$A$5:$A$2990,'دیده بان بازار'!$Q$5:$Q$2990,"")</f>
        <v>6.15</v>
      </c>
      <c r="F244" s="428" t="str">
        <f t="shared" si="3"/>
        <v/>
      </c>
    </row>
    <row r="245" spans="1:6">
      <c r="A245" s="2059" t="str">
        <f>_xlfn.XLOOKUP(C245,'Price Record'!$C$5:$C$102,'Price Record'!$D$5:$D$102,"")</f>
        <v/>
      </c>
      <c r="B245" t="s">
        <v>2138</v>
      </c>
      <c r="C245" t="s">
        <v>2139</v>
      </c>
      <c r="D245">
        <v>5.04</v>
      </c>
      <c r="E245">
        <f>_xlfn.XLOOKUP(C245,'دیده بان بازار'!$A$5:$A$2990,'دیده بان بازار'!$Q$5:$Q$2990,"")</f>
        <v>24.3</v>
      </c>
      <c r="F245" s="428" t="str">
        <f t="shared" si="3"/>
        <v/>
      </c>
    </row>
    <row r="246" spans="1:6">
      <c r="A246" s="2059" t="str">
        <f>_xlfn.XLOOKUP(C246,'Price Record'!$C$5:$C$102,'Price Record'!$D$5:$D$102,"")</f>
        <v/>
      </c>
      <c r="B246" t="s">
        <v>2140</v>
      </c>
      <c r="C246" t="s">
        <v>2141</v>
      </c>
      <c r="D246">
        <v>5.48</v>
      </c>
      <c r="E246">
        <f>_xlfn.XLOOKUP(C246,'دیده بان بازار'!$A$5:$A$2990,'دیده بان بازار'!$Q$5:$Q$2990,"")</f>
        <v>5.44</v>
      </c>
      <c r="F246" s="428">
        <f t="shared" si="3"/>
        <v>-4.0000000000000036E-2</v>
      </c>
    </row>
    <row r="247" spans="1:6">
      <c r="A247" s="2059" t="str">
        <f>_xlfn.XLOOKUP(C247,'Price Record'!$C$5:$C$102,'Price Record'!$D$5:$D$102,"")</f>
        <v/>
      </c>
      <c r="B247" t="s">
        <v>2142</v>
      </c>
      <c r="C247" t="s">
        <v>2143</v>
      </c>
      <c r="D247">
        <v>5.85</v>
      </c>
      <c r="E247">
        <f>_xlfn.XLOOKUP(C247,'دیده بان بازار'!$A$5:$A$2990,'دیده بان بازار'!$Q$5:$Q$2990,"")</f>
        <v>7.2</v>
      </c>
      <c r="F247" s="428">
        <f t="shared" si="3"/>
        <v>1.3500000000000005</v>
      </c>
    </row>
    <row r="248" spans="1:6">
      <c r="A248" s="2059" t="str">
        <f>_xlfn.XLOOKUP(C248,'Price Record'!$C$5:$C$102,'Price Record'!$D$5:$D$102,"")</f>
        <v/>
      </c>
      <c r="B248" t="s">
        <v>2144</v>
      </c>
      <c r="C248" t="s">
        <v>2145</v>
      </c>
      <c r="D248">
        <v>5.92</v>
      </c>
      <c r="E248">
        <f>_xlfn.XLOOKUP(C248,'دیده بان بازار'!$A$5:$A$2990,'دیده بان بازار'!$Q$5:$Q$2990,"")</f>
        <v>10.72</v>
      </c>
      <c r="F248" s="428">
        <f t="shared" si="3"/>
        <v>4.8000000000000007</v>
      </c>
    </row>
    <row r="249" spans="1:6">
      <c r="A249" s="2059" t="str">
        <f>_xlfn.XLOOKUP(C249,'Price Record'!$C$5:$C$102,'Price Record'!$D$5:$D$102,"")</f>
        <v/>
      </c>
      <c r="B249" t="s">
        <v>2144</v>
      </c>
      <c r="C249" t="s">
        <v>2146</v>
      </c>
      <c r="D249">
        <v>4.47</v>
      </c>
      <c r="E249" t="str">
        <f>_xlfn.XLOOKUP(C249,'دیده بان بازار'!$A$5:$A$2990,'دیده بان بازار'!$Q$5:$Q$2990,"")</f>
        <v/>
      </c>
      <c r="F249" s="428" t="str">
        <f t="shared" si="3"/>
        <v/>
      </c>
    </row>
    <row r="250" spans="1:6">
      <c r="A250" s="2062" t="str">
        <f>_xlfn.XLOOKUP(C250,'Price Record'!$C$5:$C$102,'Price Record'!$D$5:$D$102,"")</f>
        <v>A</v>
      </c>
      <c r="B250" s="1445" t="s">
        <v>222</v>
      </c>
      <c r="C250" s="1445" t="s">
        <v>223</v>
      </c>
      <c r="D250" s="1445">
        <v>5.33</v>
      </c>
      <c r="E250" s="1445">
        <f>_xlfn.XLOOKUP(C250,'دیده بان بازار'!$A$5:$A$2990,'دیده بان بازار'!$Q$5:$Q$2990,"")</f>
        <v>-11.88</v>
      </c>
      <c r="F250" s="2063" t="str">
        <f t="shared" si="3"/>
        <v/>
      </c>
    </row>
    <row r="251" spans="1:6">
      <c r="A251" s="2059" t="str">
        <f>_xlfn.XLOOKUP(C251,'Price Record'!$C$5:$C$102,'Price Record'!$D$5:$D$102,"")</f>
        <v/>
      </c>
      <c r="B251" t="s">
        <v>222</v>
      </c>
      <c r="C251" t="s">
        <v>2147</v>
      </c>
      <c r="D251">
        <v>7.41</v>
      </c>
      <c r="E251">
        <f>_xlfn.XLOOKUP(C251,'دیده بان بازار'!$A$5:$A$2990,'دیده بان بازار'!$Q$5:$Q$2990,"")</f>
        <v>-11.88</v>
      </c>
      <c r="F251" s="428" t="str">
        <f t="shared" si="3"/>
        <v/>
      </c>
    </row>
    <row r="252" spans="1:6">
      <c r="A252" s="2059" t="str">
        <f>_xlfn.XLOOKUP(C252,'Price Record'!$C$5:$C$102,'Price Record'!$D$5:$D$102,"")</f>
        <v/>
      </c>
      <c r="B252" t="s">
        <v>2148</v>
      </c>
      <c r="C252" t="s">
        <v>2149</v>
      </c>
      <c r="D252">
        <v>-4.47</v>
      </c>
      <c r="E252">
        <f>_xlfn.XLOOKUP(C252,'دیده بان بازار'!$A$5:$A$2990,'دیده بان بازار'!$Q$5:$Q$2990,"")</f>
        <v>8.5500000000000007</v>
      </c>
      <c r="F252" s="428">
        <f t="shared" si="3"/>
        <v>13.02</v>
      </c>
    </row>
    <row r="253" spans="1:6">
      <c r="A253" s="2059" t="str">
        <f>_xlfn.XLOOKUP(C253,'Price Record'!$C$5:$C$102,'Price Record'!$D$5:$D$102,"")</f>
        <v/>
      </c>
      <c r="B253" t="s">
        <v>2150</v>
      </c>
      <c r="C253" t="s">
        <v>2151</v>
      </c>
      <c r="D253">
        <v>5.29</v>
      </c>
      <c r="E253">
        <f>_xlfn.XLOOKUP(C253,'دیده بان بازار'!$A$5:$A$2990,'دیده بان بازار'!$Q$5:$Q$2990,"")</f>
        <v>-53.46</v>
      </c>
      <c r="F253" s="428" t="str">
        <f t="shared" si="3"/>
        <v/>
      </c>
    </row>
    <row r="254" spans="1:6">
      <c r="A254" s="2059" t="str">
        <f>_xlfn.XLOOKUP(C254,'Price Record'!$C$5:$C$102,'Price Record'!$D$5:$D$102,"")</f>
        <v/>
      </c>
      <c r="B254" t="s">
        <v>2152</v>
      </c>
      <c r="C254" t="s">
        <v>2153</v>
      </c>
      <c r="D254">
        <v>8.2100000000000009</v>
      </c>
      <c r="E254">
        <f>_xlfn.XLOOKUP(C254,'دیده بان بازار'!$A$5:$A$2990,'دیده بان بازار'!$Q$5:$Q$2990,"")</f>
        <v>2.92</v>
      </c>
      <c r="F254" s="428">
        <f t="shared" si="3"/>
        <v>-5.2900000000000009</v>
      </c>
    </row>
    <row r="255" spans="1:6">
      <c r="A255" s="2059" t="str">
        <f>_xlfn.XLOOKUP(C255,'Price Record'!$C$5:$C$102,'Price Record'!$D$5:$D$102,"")</f>
        <v/>
      </c>
      <c r="B255" t="s">
        <v>2154</v>
      </c>
      <c r="C255" t="s">
        <v>2155</v>
      </c>
      <c r="D255" t="s">
        <v>192</v>
      </c>
      <c r="E255">
        <f>_xlfn.XLOOKUP(C255,'دیده بان بازار'!$A$5:$A$2990,'دیده بان بازار'!$Q$5:$Q$2990,"")</f>
        <v>7.84</v>
      </c>
      <c r="F255" s="428" t="str">
        <f t="shared" si="3"/>
        <v/>
      </c>
    </row>
    <row r="256" spans="1:6">
      <c r="A256" s="2059" t="str">
        <f>_xlfn.XLOOKUP(C256,'Price Record'!$C$5:$C$102,'Price Record'!$D$5:$D$102,"")</f>
        <v/>
      </c>
      <c r="B256" t="s">
        <v>2156</v>
      </c>
      <c r="C256" t="s">
        <v>2157</v>
      </c>
      <c r="D256">
        <v>26.48</v>
      </c>
      <c r="E256">
        <f>_xlfn.XLOOKUP(C256,'دیده بان بازار'!$A$5:$A$2990,'دیده بان بازار'!$Q$5:$Q$2990,"")</f>
        <v>2.2000000000000002</v>
      </c>
      <c r="F256" s="428">
        <f t="shared" si="3"/>
        <v>-24.28</v>
      </c>
    </row>
    <row r="257" spans="1:6">
      <c r="A257" s="2059" t="str">
        <f>_xlfn.XLOOKUP(C257,'Price Record'!$C$5:$C$102,'Price Record'!$D$5:$D$102,"")</f>
        <v/>
      </c>
      <c r="B257" t="s">
        <v>2156</v>
      </c>
      <c r="C257" t="s">
        <v>2158</v>
      </c>
      <c r="D257" t="s">
        <v>192</v>
      </c>
      <c r="E257">
        <f>_xlfn.XLOOKUP(C257,'دیده بان بازار'!$A$5:$A$2990,'دیده بان بازار'!$Q$5:$Q$2990,"")</f>
        <v>2.2000000000000002</v>
      </c>
      <c r="F257" s="428" t="str">
        <f t="shared" si="3"/>
        <v/>
      </c>
    </row>
    <row r="258" spans="1:6">
      <c r="A258" s="2059" t="str">
        <f>_xlfn.XLOOKUP(C258,'Price Record'!$C$5:$C$102,'Price Record'!$D$5:$D$102,"")</f>
        <v/>
      </c>
      <c r="B258" t="s">
        <v>2159</v>
      </c>
      <c r="C258" t="s">
        <v>2160</v>
      </c>
      <c r="D258">
        <v>6.69</v>
      </c>
      <c r="E258" t="str">
        <f>_xlfn.XLOOKUP(C258,'دیده بان بازار'!$A$5:$A$2990,'دیده بان بازار'!$Q$5:$Q$2990,"")</f>
        <v/>
      </c>
      <c r="F258" s="428" t="str">
        <f t="shared" si="3"/>
        <v/>
      </c>
    </row>
    <row r="259" spans="1:6">
      <c r="A259" s="2062" t="str">
        <f>_xlfn.XLOOKUP(C259,'Price Record'!$C$5:$C$102,'Price Record'!$D$5:$D$102,"")</f>
        <v>PH</v>
      </c>
      <c r="B259" s="1445" t="s">
        <v>162</v>
      </c>
      <c r="C259" s="1445" t="s">
        <v>163</v>
      </c>
      <c r="D259" s="1445">
        <v>5.78</v>
      </c>
      <c r="E259" s="1445">
        <f>_xlfn.XLOOKUP(C259,'دیده بان بازار'!$A$5:$A$2990,'دیده بان بازار'!$Q$5:$Q$2990,"")</f>
        <v>8.43</v>
      </c>
      <c r="F259" s="2063">
        <f t="shared" si="3"/>
        <v>2.6499999999999995</v>
      </c>
    </row>
    <row r="260" spans="1:6">
      <c r="A260" s="2059" t="str">
        <f>_xlfn.XLOOKUP(C260,'Price Record'!$C$5:$C$102,'Price Record'!$D$5:$D$102,"")</f>
        <v/>
      </c>
      <c r="B260" t="s">
        <v>2161</v>
      </c>
      <c r="C260" t="s">
        <v>2162</v>
      </c>
      <c r="D260">
        <v>5.63</v>
      </c>
      <c r="E260">
        <f>_xlfn.XLOOKUP(C260,'دیده بان بازار'!$A$5:$A$2990,'دیده بان بازار'!$Q$5:$Q$2990,"")</f>
        <v>11.37</v>
      </c>
      <c r="F260" s="428">
        <f t="shared" ref="F260:F323" si="4">IFERROR(IF(0&lt;E260,IF(E260&lt;20,E260-D260,""),""),"")</f>
        <v>5.7399999999999993</v>
      </c>
    </row>
    <row r="261" spans="1:6">
      <c r="A261" s="2059" t="str">
        <f>_xlfn.XLOOKUP(C261,'Price Record'!$C$5:$C$102,'Price Record'!$D$5:$D$102,"")</f>
        <v/>
      </c>
      <c r="B261" t="s">
        <v>2163</v>
      </c>
      <c r="C261" t="s">
        <v>2164</v>
      </c>
      <c r="D261">
        <v>5</v>
      </c>
      <c r="E261">
        <f>_xlfn.XLOOKUP(C261,'دیده بان بازار'!$A$5:$A$2990,'دیده بان بازار'!$Q$5:$Q$2990,"")</f>
        <v>6.19</v>
      </c>
      <c r="F261" s="428">
        <f t="shared" si="4"/>
        <v>1.1900000000000004</v>
      </c>
    </row>
    <row r="262" spans="1:6">
      <c r="A262" s="2059" t="str">
        <f>_xlfn.XLOOKUP(C262,'Price Record'!$C$5:$C$102,'Price Record'!$D$5:$D$102,"")</f>
        <v/>
      </c>
      <c r="B262" t="s">
        <v>2165</v>
      </c>
      <c r="C262" t="s">
        <v>2166</v>
      </c>
      <c r="D262" t="s">
        <v>192</v>
      </c>
      <c r="E262">
        <f>_xlfn.XLOOKUP(C262,'دیده بان بازار'!$A$5:$A$2990,'دیده بان بازار'!$Q$5:$Q$2990,"")</f>
        <v>44.9</v>
      </c>
      <c r="F262" s="428" t="str">
        <f t="shared" si="4"/>
        <v/>
      </c>
    </row>
    <row r="263" spans="1:6">
      <c r="A263" s="2059" t="str">
        <f>_xlfn.XLOOKUP(C263,'Price Record'!$C$5:$C$102,'Price Record'!$D$5:$D$102,"")</f>
        <v/>
      </c>
      <c r="B263" t="s">
        <v>2167</v>
      </c>
      <c r="C263" t="s">
        <v>2168</v>
      </c>
      <c r="D263">
        <v>5.2</v>
      </c>
      <c r="E263">
        <f>_xlfn.XLOOKUP(C263,'دیده بان بازار'!$A$5:$A$2990,'دیده بان بازار'!$Q$5:$Q$2990,"")</f>
        <v>-1.1299999999999999</v>
      </c>
      <c r="F263" s="428" t="str">
        <f t="shared" si="4"/>
        <v/>
      </c>
    </row>
    <row r="264" spans="1:6">
      <c r="A264" s="2059" t="str">
        <f>_xlfn.XLOOKUP(C264,'Price Record'!$C$5:$C$102,'Price Record'!$D$5:$D$102,"")</f>
        <v/>
      </c>
      <c r="B264" t="s">
        <v>2169</v>
      </c>
      <c r="C264" t="s">
        <v>2170</v>
      </c>
      <c r="D264" t="s">
        <v>192</v>
      </c>
      <c r="E264">
        <f>_xlfn.XLOOKUP(C264,'دیده بان بازار'!$A$5:$A$2990,'دیده بان بازار'!$Q$5:$Q$2990,"")</f>
        <v>9.5299999999999994</v>
      </c>
      <c r="F264" s="428" t="str">
        <f t="shared" si="4"/>
        <v/>
      </c>
    </row>
    <row r="265" spans="1:6">
      <c r="A265" s="2059" t="str">
        <f>_xlfn.XLOOKUP(C265,'Price Record'!$C$5:$C$102,'Price Record'!$D$5:$D$102,"")</f>
        <v/>
      </c>
      <c r="B265" t="s">
        <v>2171</v>
      </c>
      <c r="C265" t="s">
        <v>2172</v>
      </c>
      <c r="D265" t="s">
        <v>192</v>
      </c>
      <c r="E265">
        <f>_xlfn.XLOOKUP(C265,'دیده بان بازار'!$A$5:$A$2990,'دیده بان بازار'!$Q$5:$Q$2990,"")</f>
        <v>9.02</v>
      </c>
      <c r="F265" s="428" t="str">
        <f t="shared" si="4"/>
        <v/>
      </c>
    </row>
    <row r="266" spans="1:6">
      <c r="A266" s="2059" t="str">
        <f>_xlfn.XLOOKUP(C266,'Price Record'!$C$5:$C$102,'Price Record'!$D$5:$D$102,"")</f>
        <v/>
      </c>
      <c r="B266" t="s">
        <v>2171</v>
      </c>
      <c r="C266" t="s">
        <v>2173</v>
      </c>
      <c r="D266">
        <v>4.4400000000000004</v>
      </c>
      <c r="E266" t="str">
        <f>_xlfn.XLOOKUP(C266,'دیده بان بازار'!$A$5:$A$2990,'دیده بان بازار'!$Q$5:$Q$2990,"")</f>
        <v/>
      </c>
      <c r="F266" s="428" t="str">
        <f t="shared" si="4"/>
        <v/>
      </c>
    </row>
    <row r="267" spans="1:6">
      <c r="A267" s="2062" t="str">
        <f>_xlfn.XLOOKUP(C267,'Price Record'!$C$5:$C$102,'Price Record'!$D$5:$D$102,"")</f>
        <v>PH</v>
      </c>
      <c r="B267" s="1445" t="s">
        <v>158</v>
      </c>
      <c r="C267" s="1445" t="s">
        <v>159</v>
      </c>
      <c r="D267" s="1445" t="s">
        <v>192</v>
      </c>
      <c r="E267" s="1445">
        <f>_xlfn.XLOOKUP(C267,'دیده بان بازار'!$A$5:$A$2990,'دیده بان بازار'!$Q$5:$Q$2990,"")</f>
        <v>9.2899999999999991</v>
      </c>
      <c r="F267" s="2063" t="str">
        <f t="shared" si="4"/>
        <v/>
      </c>
    </row>
    <row r="268" spans="1:6">
      <c r="A268" s="2062" t="str">
        <f>_xlfn.XLOOKUP(C268,'Price Record'!$C$5:$C$102,'Price Record'!$D$5:$D$102,"")</f>
        <v>PH</v>
      </c>
      <c r="B268" s="1445" t="s">
        <v>169</v>
      </c>
      <c r="C268" s="1445" t="s">
        <v>170</v>
      </c>
      <c r="D268" s="1445">
        <v>5.46</v>
      </c>
      <c r="E268" s="1445">
        <f>_xlfn.XLOOKUP(C268,'دیده بان بازار'!$A$5:$A$2990,'دیده بان بازار'!$Q$5:$Q$2990,"")</f>
        <v>7.81</v>
      </c>
      <c r="F268" s="2063">
        <f t="shared" si="4"/>
        <v>2.3499999999999996</v>
      </c>
    </row>
    <row r="269" spans="1:6">
      <c r="A269" s="2059" t="str">
        <f>_xlfn.XLOOKUP(C269,'Price Record'!$C$5:$C$102,'Price Record'!$D$5:$D$102,"")</f>
        <v/>
      </c>
      <c r="B269" t="s">
        <v>2174</v>
      </c>
      <c r="C269" t="s">
        <v>2175</v>
      </c>
      <c r="D269">
        <v>8.31</v>
      </c>
      <c r="E269">
        <f>_xlfn.XLOOKUP(C269,'دیده بان بازار'!$A$5:$A$2990,'دیده بان بازار'!$Q$5:$Q$2990,"")</f>
        <v>6.86</v>
      </c>
      <c r="F269" s="428">
        <f t="shared" si="4"/>
        <v>-1.4500000000000002</v>
      </c>
    </row>
    <row r="270" spans="1:6">
      <c r="A270" s="2059" t="str">
        <f>_xlfn.XLOOKUP(C270,'Price Record'!$C$5:$C$102,'Price Record'!$D$5:$D$102,"")</f>
        <v/>
      </c>
      <c r="B270" t="s">
        <v>2176</v>
      </c>
      <c r="C270" t="s">
        <v>2177</v>
      </c>
      <c r="D270">
        <v>5.0199999999999996</v>
      </c>
      <c r="E270">
        <f>_xlfn.XLOOKUP(C270,'دیده بان بازار'!$A$5:$A$2990,'دیده بان بازار'!$Q$5:$Q$2990,"")</f>
        <v>9.14</v>
      </c>
      <c r="F270" s="428">
        <f t="shared" si="4"/>
        <v>4.120000000000001</v>
      </c>
    </row>
    <row r="271" spans="1:6">
      <c r="A271" s="2059" t="str">
        <f>_xlfn.XLOOKUP(C271,'Price Record'!$C$5:$C$102,'Price Record'!$D$5:$D$102,"")</f>
        <v/>
      </c>
      <c r="B271" t="s">
        <v>2178</v>
      </c>
      <c r="C271" t="s">
        <v>2179</v>
      </c>
      <c r="D271" t="s">
        <v>192</v>
      </c>
      <c r="E271">
        <f>_xlfn.XLOOKUP(C271,'دیده بان بازار'!$A$5:$A$2990,'دیده بان بازار'!$Q$5:$Q$2990,"")</f>
        <v>7.18</v>
      </c>
      <c r="F271" s="428" t="str">
        <f t="shared" si="4"/>
        <v/>
      </c>
    </row>
    <row r="272" spans="1:6">
      <c r="A272" s="2059" t="str">
        <f>_xlfn.XLOOKUP(C272,'Price Record'!$C$5:$C$102,'Price Record'!$D$5:$D$102,"")</f>
        <v/>
      </c>
      <c r="B272" t="s">
        <v>2180</v>
      </c>
      <c r="C272" t="s">
        <v>2181</v>
      </c>
      <c r="D272">
        <v>4.25</v>
      </c>
      <c r="E272">
        <f>_xlfn.XLOOKUP(C272,'دیده بان بازار'!$A$5:$A$2990,'دیده بان بازار'!$Q$5:$Q$2990,"")</f>
        <v>3.48</v>
      </c>
      <c r="F272" s="428">
        <f t="shared" si="4"/>
        <v>-0.77</v>
      </c>
    </row>
    <row r="273" spans="1:6">
      <c r="A273" s="2059" t="str">
        <f>_xlfn.XLOOKUP(C273,'Price Record'!$C$5:$C$102,'Price Record'!$D$5:$D$102,"")</f>
        <v/>
      </c>
      <c r="B273" t="s">
        <v>2182</v>
      </c>
      <c r="C273" t="s">
        <v>2183</v>
      </c>
      <c r="D273" t="s">
        <v>192</v>
      </c>
      <c r="E273">
        <f>_xlfn.XLOOKUP(C273,'دیده بان بازار'!$A$5:$A$2990,'دیده بان بازار'!$Q$5:$Q$2990,"")</f>
        <v>6.65</v>
      </c>
      <c r="F273" s="428" t="str">
        <f t="shared" si="4"/>
        <v/>
      </c>
    </row>
    <row r="274" spans="1:6">
      <c r="A274" s="2059" t="str">
        <f>_xlfn.XLOOKUP(C274,'Price Record'!$C$5:$C$102,'Price Record'!$D$5:$D$102,"")</f>
        <v/>
      </c>
      <c r="B274" t="s">
        <v>2184</v>
      </c>
      <c r="C274" t="s">
        <v>2185</v>
      </c>
      <c r="D274">
        <v>7.84</v>
      </c>
      <c r="E274">
        <f>_xlfn.XLOOKUP(C274,'دیده بان بازار'!$A$5:$A$2990,'دیده بان بازار'!$Q$5:$Q$2990,"")</f>
        <v>7.02</v>
      </c>
      <c r="F274" s="428">
        <f t="shared" si="4"/>
        <v>-0.82000000000000028</v>
      </c>
    </row>
    <row r="275" spans="1:6">
      <c r="A275" s="2059" t="str">
        <f>_xlfn.XLOOKUP(C275,'Price Record'!$C$5:$C$102,'Price Record'!$D$5:$D$102,"")</f>
        <v/>
      </c>
      <c r="B275" t="s">
        <v>2186</v>
      </c>
      <c r="C275" t="s">
        <v>2187</v>
      </c>
      <c r="D275" t="s">
        <v>192</v>
      </c>
      <c r="E275">
        <f>_xlfn.XLOOKUP(C275,'دیده بان بازار'!$A$5:$A$2990,'دیده بان بازار'!$Q$5:$Q$2990,"")</f>
        <v>61.67</v>
      </c>
      <c r="F275" s="428" t="str">
        <f t="shared" si="4"/>
        <v/>
      </c>
    </row>
    <row r="276" spans="1:6">
      <c r="A276" s="2059" t="str">
        <f>_xlfn.XLOOKUP(C276,'Price Record'!$C$5:$C$102,'Price Record'!$D$5:$D$102,"")</f>
        <v/>
      </c>
      <c r="B276" t="s">
        <v>2186</v>
      </c>
      <c r="C276" t="s">
        <v>2188</v>
      </c>
      <c r="D276">
        <v>5.5</v>
      </c>
      <c r="E276" t="str">
        <f>_xlfn.XLOOKUP(C276,'دیده بان بازار'!$A$5:$A$2990,'دیده بان بازار'!$Q$5:$Q$2990,"")</f>
        <v/>
      </c>
      <c r="F276" s="428" t="str">
        <f t="shared" si="4"/>
        <v/>
      </c>
    </row>
    <row r="277" spans="1:6">
      <c r="A277" s="2059" t="str">
        <f>_xlfn.XLOOKUP(C277,'Price Record'!$C$5:$C$102,'Price Record'!$D$5:$D$102,"")</f>
        <v/>
      </c>
      <c r="B277" t="s">
        <v>2189</v>
      </c>
      <c r="C277" t="s">
        <v>2190</v>
      </c>
      <c r="D277" t="s">
        <v>192</v>
      </c>
      <c r="E277">
        <f>_xlfn.XLOOKUP(C277,'دیده بان بازار'!$A$5:$A$2990,'دیده بان بازار'!$Q$5:$Q$2990,"")</f>
        <v>7.21</v>
      </c>
      <c r="F277" s="428" t="str">
        <f t="shared" si="4"/>
        <v/>
      </c>
    </row>
    <row r="278" spans="1:6">
      <c r="A278" s="2059" t="str">
        <f>_xlfn.XLOOKUP(C278,'Price Record'!$C$5:$C$102,'Price Record'!$D$5:$D$102,"")</f>
        <v/>
      </c>
      <c r="B278" t="s">
        <v>2191</v>
      </c>
      <c r="C278" t="s">
        <v>2192</v>
      </c>
      <c r="D278">
        <v>6.79</v>
      </c>
      <c r="E278">
        <f>_xlfn.XLOOKUP(C278,'دیده بان بازار'!$A$5:$A$2990,'دیده بان بازار'!$Q$5:$Q$2990,"")</f>
        <v>16.37</v>
      </c>
      <c r="F278" s="428">
        <f t="shared" si="4"/>
        <v>9.5800000000000018</v>
      </c>
    </row>
    <row r="279" spans="1:6">
      <c r="A279" s="2062" t="str">
        <f>_xlfn.XLOOKUP(C279,'Price Record'!$C$5:$C$102,'Price Record'!$D$5:$D$102,"")</f>
        <v>PH</v>
      </c>
      <c r="B279" s="1445" t="s">
        <v>160</v>
      </c>
      <c r="C279" s="1445" t="s">
        <v>161</v>
      </c>
      <c r="D279" s="1445">
        <v>5.23</v>
      </c>
      <c r="E279" s="1445">
        <f>_xlfn.XLOOKUP(C279,'دیده بان بازار'!$A$5:$A$2990,'دیده بان بازار'!$Q$5:$Q$2990,"")</f>
        <v>7.04</v>
      </c>
      <c r="F279" s="2063">
        <f t="shared" si="4"/>
        <v>1.8099999999999996</v>
      </c>
    </row>
    <row r="280" spans="1:6">
      <c r="A280" s="2059" t="str">
        <f>_xlfn.XLOOKUP(C280,'Price Record'!$C$5:$C$102,'Price Record'!$D$5:$D$102,"")</f>
        <v/>
      </c>
      <c r="B280" t="s">
        <v>2193</v>
      </c>
      <c r="C280" t="s">
        <v>2194</v>
      </c>
      <c r="D280">
        <v>36.68</v>
      </c>
      <c r="E280">
        <f>_xlfn.XLOOKUP(C280,'دیده بان بازار'!$A$5:$A$2990,'دیده بان بازار'!$Q$5:$Q$2990,"")</f>
        <v>7.66</v>
      </c>
      <c r="F280" s="428">
        <f t="shared" si="4"/>
        <v>-29.02</v>
      </c>
    </row>
    <row r="281" spans="1:6">
      <c r="A281" s="2059" t="str">
        <f>_xlfn.XLOOKUP(C281,'Price Record'!$C$5:$C$102,'Price Record'!$D$5:$D$102,"")</f>
        <v/>
      </c>
      <c r="B281" t="s">
        <v>2195</v>
      </c>
      <c r="C281" t="s">
        <v>2196</v>
      </c>
      <c r="D281" t="s">
        <v>192</v>
      </c>
      <c r="E281">
        <f>_xlfn.XLOOKUP(C281,'دیده بان بازار'!$A$5:$A$2990,'دیده بان بازار'!$Q$5:$Q$2990,"")</f>
        <v>27.48</v>
      </c>
      <c r="F281" s="428" t="str">
        <f t="shared" si="4"/>
        <v/>
      </c>
    </row>
    <row r="282" spans="1:6">
      <c r="A282" s="2062" t="str">
        <f>_xlfn.XLOOKUP(C282,'Price Record'!$C$5:$C$102,'Price Record'!$D$5:$D$102,"")</f>
        <v>PH</v>
      </c>
      <c r="B282" s="1445" t="s">
        <v>220</v>
      </c>
      <c r="C282" s="1445" t="s">
        <v>221</v>
      </c>
      <c r="D282" s="1445">
        <v>5.26</v>
      </c>
      <c r="E282" s="1445">
        <f>_xlfn.XLOOKUP(C282,'دیده بان بازار'!$A$5:$A$2990,'دیده بان بازار'!$Q$5:$Q$2990,"")</f>
        <v>6.59</v>
      </c>
      <c r="F282" s="2063">
        <f t="shared" si="4"/>
        <v>1.33</v>
      </c>
    </row>
    <row r="283" spans="1:6">
      <c r="A283" s="2062" t="str">
        <f>_xlfn.XLOOKUP(C283,'Price Record'!$C$5:$C$102,'Price Record'!$D$5:$D$102,"")</f>
        <v>PH</v>
      </c>
      <c r="B283" s="1445" t="s">
        <v>166</v>
      </c>
      <c r="C283" s="1445" t="s">
        <v>167</v>
      </c>
      <c r="D283" s="1445">
        <v>-38.1</v>
      </c>
      <c r="E283" s="1445">
        <f>_xlfn.XLOOKUP(C283,'دیده بان بازار'!$A$5:$A$2990,'دیده بان بازار'!$Q$5:$Q$2990,"")</f>
        <v>7.74</v>
      </c>
      <c r="F283" s="2063">
        <f t="shared" si="4"/>
        <v>45.84</v>
      </c>
    </row>
    <row r="284" spans="1:6">
      <c r="A284" s="2059" t="str">
        <f>_xlfn.XLOOKUP(C284,'Price Record'!$C$5:$C$102,'Price Record'!$D$5:$D$102,"")</f>
        <v/>
      </c>
      <c r="B284" t="s">
        <v>2197</v>
      </c>
      <c r="C284" t="s">
        <v>2198</v>
      </c>
      <c r="D284">
        <v>11.33</v>
      </c>
      <c r="E284">
        <f>_xlfn.XLOOKUP(C284,'دیده بان بازار'!$A$5:$A$2990,'دیده بان بازار'!$Q$5:$Q$2990,"")</f>
        <v>16.25</v>
      </c>
      <c r="F284" s="428">
        <f t="shared" si="4"/>
        <v>4.92</v>
      </c>
    </row>
    <row r="285" spans="1:6">
      <c r="A285" s="2059" t="str">
        <f>_xlfn.XLOOKUP(C285,'Price Record'!$C$5:$C$102,'Price Record'!$D$5:$D$102,"")</f>
        <v/>
      </c>
      <c r="B285" t="s">
        <v>2199</v>
      </c>
      <c r="C285" t="s">
        <v>2200</v>
      </c>
      <c r="D285">
        <v>-8.65</v>
      </c>
      <c r="E285">
        <f>_xlfn.XLOOKUP(C285,'دیده بان بازار'!$A$5:$A$2990,'دیده بان بازار'!$Q$5:$Q$2990,"")</f>
        <v>12.48</v>
      </c>
      <c r="F285" s="428">
        <f t="shared" si="4"/>
        <v>21.130000000000003</v>
      </c>
    </row>
    <row r="286" spans="1:6">
      <c r="A286" s="2062" t="str">
        <f>_xlfn.XLOOKUP(C286,'Price Record'!$C$5:$C$102,'Price Record'!$D$5:$D$102,"")</f>
        <v>PH</v>
      </c>
      <c r="B286" s="1445" t="s">
        <v>156</v>
      </c>
      <c r="C286" s="1445" t="s">
        <v>157</v>
      </c>
      <c r="D286" s="1445">
        <v>4.6900000000000004</v>
      </c>
      <c r="E286" s="1445">
        <f>_xlfn.XLOOKUP(C286,'دیده بان بازار'!$A$5:$A$2990,'دیده بان بازار'!$Q$5:$Q$2990,"")</f>
        <v>6.54</v>
      </c>
      <c r="F286" s="2063">
        <f t="shared" si="4"/>
        <v>1.8499999999999996</v>
      </c>
    </row>
    <row r="287" spans="1:6">
      <c r="A287" s="2059" t="str">
        <f>_xlfn.XLOOKUP(C287,'Price Record'!$C$5:$C$102,'Price Record'!$D$5:$D$102,"")</f>
        <v/>
      </c>
      <c r="B287" t="s">
        <v>2201</v>
      </c>
      <c r="C287" t="s">
        <v>2202</v>
      </c>
      <c r="D287">
        <v>4.0199999999999996</v>
      </c>
      <c r="E287">
        <f>_xlfn.XLOOKUP(C287,'دیده بان بازار'!$A$5:$A$2990,'دیده بان بازار'!$Q$5:$Q$2990,"")</f>
        <v>8.2100000000000009</v>
      </c>
      <c r="F287" s="428">
        <f t="shared" si="4"/>
        <v>4.1900000000000013</v>
      </c>
    </row>
    <row r="288" spans="1:6">
      <c r="A288" s="2059" t="str">
        <f>_xlfn.XLOOKUP(C288,'Price Record'!$C$5:$C$102,'Price Record'!$D$5:$D$102,"")</f>
        <v/>
      </c>
      <c r="B288" t="s">
        <v>2203</v>
      </c>
      <c r="C288" t="s">
        <v>2204</v>
      </c>
      <c r="D288">
        <v>3.83</v>
      </c>
      <c r="E288">
        <f>_xlfn.XLOOKUP(C288,'دیده بان بازار'!$A$5:$A$2990,'دیده بان بازار'!$Q$5:$Q$2990,"")</f>
        <v>8.2899999999999991</v>
      </c>
      <c r="F288" s="428">
        <f t="shared" si="4"/>
        <v>4.4599999999999991</v>
      </c>
    </row>
    <row r="289" spans="1:6">
      <c r="A289" s="2059" t="str">
        <f>_xlfn.XLOOKUP(C289,'Price Record'!$C$5:$C$102,'Price Record'!$D$5:$D$102,"")</f>
        <v/>
      </c>
      <c r="B289" t="s">
        <v>2205</v>
      </c>
      <c r="C289" t="s">
        <v>2206</v>
      </c>
      <c r="D289" t="s">
        <v>192</v>
      </c>
      <c r="E289" t="str">
        <f>_xlfn.XLOOKUP(C289,'دیده بان بازار'!$A$5:$A$2990,'دیده بان بازار'!$Q$5:$Q$2990,"")</f>
        <v/>
      </c>
      <c r="F289" s="428" t="str">
        <f t="shared" si="4"/>
        <v/>
      </c>
    </row>
    <row r="290" spans="1:6">
      <c r="A290" s="2059" t="str">
        <f>_xlfn.XLOOKUP(C290,'Price Record'!$C$5:$C$102,'Price Record'!$D$5:$D$102,"")</f>
        <v/>
      </c>
      <c r="B290" t="s">
        <v>2207</v>
      </c>
      <c r="C290" t="s">
        <v>2208</v>
      </c>
      <c r="D290">
        <v>10.32</v>
      </c>
      <c r="E290">
        <f>_xlfn.XLOOKUP(C290,'دیده بان بازار'!$A$5:$A$2990,'دیده بان بازار'!$Q$5:$Q$2990,"")</f>
        <v>10.050000000000001</v>
      </c>
      <c r="F290" s="428">
        <f t="shared" si="4"/>
        <v>-0.26999999999999957</v>
      </c>
    </row>
    <row r="291" spans="1:6">
      <c r="A291" s="2059" t="str">
        <f>_xlfn.XLOOKUP(C291,'Price Record'!$C$5:$C$102,'Price Record'!$D$5:$D$102,"")</f>
        <v/>
      </c>
      <c r="B291" t="s">
        <v>2209</v>
      </c>
      <c r="C291" t="s">
        <v>2210</v>
      </c>
      <c r="D291" t="s">
        <v>192</v>
      </c>
      <c r="E291">
        <f>_xlfn.XLOOKUP(C291,'دیده بان بازار'!$A$5:$A$2990,'دیده بان بازار'!$Q$5:$Q$2990,"")</f>
        <v>8.69</v>
      </c>
      <c r="F291" s="428" t="str">
        <f t="shared" si="4"/>
        <v/>
      </c>
    </row>
    <row r="292" spans="1:6">
      <c r="A292" s="2059" t="str">
        <f>_xlfn.XLOOKUP(C292,'Price Record'!$C$5:$C$102,'Price Record'!$D$5:$D$102,"")</f>
        <v/>
      </c>
      <c r="B292" t="s">
        <v>2211</v>
      </c>
      <c r="C292" t="s">
        <v>2212</v>
      </c>
      <c r="D292">
        <v>4.88</v>
      </c>
      <c r="E292">
        <f>_xlfn.XLOOKUP(C292,'دیده بان بازار'!$A$5:$A$2990,'دیده بان بازار'!$Q$5:$Q$2990,"")</f>
        <v>6.13</v>
      </c>
      <c r="F292" s="428">
        <f t="shared" si="4"/>
        <v>1.25</v>
      </c>
    </row>
    <row r="293" spans="1:6">
      <c r="A293" s="2059" t="str">
        <f>_xlfn.XLOOKUP(C293,'Price Record'!$C$5:$C$102,'Price Record'!$D$5:$D$102,"")</f>
        <v/>
      </c>
      <c r="B293" t="s">
        <v>2213</v>
      </c>
      <c r="C293" t="s">
        <v>2214</v>
      </c>
      <c r="D293">
        <v>5.09</v>
      </c>
      <c r="E293">
        <f>_xlfn.XLOOKUP(C293,'دیده بان بازار'!$A$5:$A$2990,'دیده بان بازار'!$Q$5:$Q$2990,"")</f>
        <v>7.11</v>
      </c>
      <c r="F293" s="428">
        <f t="shared" si="4"/>
        <v>2.0200000000000005</v>
      </c>
    </row>
    <row r="294" spans="1:6">
      <c r="A294" s="2059" t="str">
        <f>_xlfn.XLOOKUP(C294,'Price Record'!$C$5:$C$102,'Price Record'!$D$5:$D$102,"")</f>
        <v/>
      </c>
      <c r="B294" t="s">
        <v>2215</v>
      </c>
      <c r="C294" t="s">
        <v>2216</v>
      </c>
      <c r="D294">
        <v>8.0500000000000007</v>
      </c>
      <c r="E294">
        <f>_xlfn.XLOOKUP(C294,'دیده بان بازار'!$A$5:$A$2990,'دیده بان بازار'!$Q$5:$Q$2990,"")</f>
        <v>-74.67</v>
      </c>
      <c r="F294" s="428" t="str">
        <f t="shared" si="4"/>
        <v/>
      </c>
    </row>
    <row r="295" spans="1:6">
      <c r="A295" s="2059" t="str">
        <f>_xlfn.XLOOKUP(C295,'Price Record'!$C$5:$C$102,'Price Record'!$D$5:$D$102,"")</f>
        <v/>
      </c>
      <c r="B295" t="s">
        <v>2217</v>
      </c>
      <c r="C295" t="s">
        <v>2218</v>
      </c>
      <c r="D295">
        <v>6.04</v>
      </c>
      <c r="E295">
        <f>_xlfn.XLOOKUP(C295,'دیده بان بازار'!$A$5:$A$2990,'دیده بان بازار'!$Q$5:$Q$2990,"")</f>
        <v>2.95</v>
      </c>
      <c r="F295" s="428">
        <f t="shared" si="4"/>
        <v>-3.09</v>
      </c>
    </row>
    <row r="296" spans="1:6">
      <c r="A296" s="2059" t="str">
        <f>_xlfn.XLOOKUP(C296,'Price Record'!$C$5:$C$102,'Price Record'!$D$5:$D$102,"")</f>
        <v/>
      </c>
      <c r="B296" t="s">
        <v>2219</v>
      </c>
      <c r="C296" t="s">
        <v>2220</v>
      </c>
      <c r="D296">
        <v>-10.29</v>
      </c>
      <c r="E296">
        <f>_xlfn.XLOOKUP(C296,'دیده بان بازار'!$A$5:$A$2990,'دیده بان بازار'!$Q$5:$Q$2990,"")</f>
        <v>6.44</v>
      </c>
      <c r="F296" s="428">
        <f t="shared" si="4"/>
        <v>16.73</v>
      </c>
    </row>
    <row r="297" spans="1:6">
      <c r="A297" s="2059" t="str">
        <f>_xlfn.XLOOKUP(C297,'Price Record'!$C$5:$C$102,'Price Record'!$D$5:$D$102,"")</f>
        <v/>
      </c>
      <c r="B297" t="s">
        <v>2221</v>
      </c>
      <c r="C297" t="s">
        <v>2222</v>
      </c>
      <c r="D297" t="s">
        <v>192</v>
      </c>
      <c r="E297">
        <f>_xlfn.XLOOKUP(C297,'دیده بان بازار'!$A$5:$A$2990,'دیده بان بازار'!$Q$5:$Q$2990,"")</f>
        <v>6.73</v>
      </c>
      <c r="F297" s="428" t="str">
        <f t="shared" si="4"/>
        <v/>
      </c>
    </row>
    <row r="298" spans="1:6">
      <c r="A298" s="2059" t="str">
        <f>_xlfn.XLOOKUP(C298,'Price Record'!$C$5:$C$102,'Price Record'!$D$5:$D$102,"")</f>
        <v/>
      </c>
      <c r="B298" t="s">
        <v>2223</v>
      </c>
      <c r="C298" t="s">
        <v>2224</v>
      </c>
      <c r="D298">
        <v>6.03</v>
      </c>
      <c r="E298">
        <f>_xlfn.XLOOKUP(C298,'دیده بان بازار'!$A$5:$A$2990,'دیده بان بازار'!$Q$5:$Q$2990,"")</f>
        <v>12.5</v>
      </c>
      <c r="F298" s="428">
        <f t="shared" si="4"/>
        <v>6.47</v>
      </c>
    </row>
    <row r="299" spans="1:6">
      <c r="A299" s="2059" t="str">
        <f>_xlfn.XLOOKUP(C299,'Price Record'!$C$5:$C$102,'Price Record'!$D$5:$D$102,"")</f>
        <v/>
      </c>
      <c r="B299" t="s">
        <v>2225</v>
      </c>
      <c r="C299" t="s">
        <v>2226</v>
      </c>
      <c r="D299" t="s">
        <v>192</v>
      </c>
      <c r="E299">
        <f>_xlfn.XLOOKUP(C299,'دیده بان بازار'!$A$5:$A$2990,'دیده بان بازار'!$Q$5:$Q$2990,"")</f>
        <v>4.75</v>
      </c>
      <c r="F299" s="428" t="str">
        <f t="shared" si="4"/>
        <v/>
      </c>
    </row>
    <row r="300" spans="1:6">
      <c r="A300" s="2059" t="str">
        <f>_xlfn.XLOOKUP(C300,'Price Record'!$C$5:$C$102,'Price Record'!$D$5:$D$102,"")</f>
        <v/>
      </c>
      <c r="B300" t="s">
        <v>2227</v>
      </c>
      <c r="C300" t="s">
        <v>2228</v>
      </c>
      <c r="D300">
        <v>4.3</v>
      </c>
      <c r="E300">
        <f>_xlfn.XLOOKUP(C300,'دیده بان بازار'!$A$5:$A$2990,'دیده بان بازار'!$Q$5:$Q$2990,"")</f>
        <v>36.229999999999997</v>
      </c>
      <c r="F300" s="428" t="str">
        <f t="shared" si="4"/>
        <v/>
      </c>
    </row>
    <row r="301" spans="1:6">
      <c r="A301" s="2059" t="str">
        <f>_xlfn.XLOOKUP(C301,'Price Record'!$C$5:$C$102,'Price Record'!$D$5:$D$102,"")</f>
        <v/>
      </c>
      <c r="B301" t="s">
        <v>2229</v>
      </c>
      <c r="C301" t="s">
        <v>2230</v>
      </c>
      <c r="D301">
        <v>6.8</v>
      </c>
      <c r="E301">
        <f>_xlfn.XLOOKUP(C301,'دیده بان بازار'!$A$5:$A$2990,'دیده بان بازار'!$Q$5:$Q$2990,"")</f>
        <v>8.81</v>
      </c>
      <c r="F301" s="428">
        <f t="shared" si="4"/>
        <v>2.0100000000000007</v>
      </c>
    </row>
    <row r="302" spans="1:6">
      <c r="A302" s="2059" t="str">
        <f>_xlfn.XLOOKUP(C302,'Price Record'!$C$5:$C$102,'Price Record'!$D$5:$D$102,"")</f>
        <v/>
      </c>
      <c r="B302" t="s">
        <v>2231</v>
      </c>
      <c r="C302" t="s">
        <v>2232</v>
      </c>
      <c r="D302">
        <v>6.35</v>
      </c>
      <c r="E302">
        <f>_xlfn.XLOOKUP(C302,'دیده بان بازار'!$A$5:$A$2990,'دیده بان بازار'!$Q$5:$Q$2990,"")</f>
        <v>10.99</v>
      </c>
      <c r="F302" s="428">
        <f t="shared" si="4"/>
        <v>4.6400000000000006</v>
      </c>
    </row>
    <row r="303" spans="1:6">
      <c r="A303" s="2059" t="str">
        <f>_xlfn.XLOOKUP(C303,'Price Record'!$C$5:$C$102,'Price Record'!$D$5:$D$102,"")</f>
        <v/>
      </c>
      <c r="B303" t="s">
        <v>2233</v>
      </c>
      <c r="C303" t="s">
        <v>2234</v>
      </c>
      <c r="D303">
        <v>3.79</v>
      </c>
      <c r="E303">
        <f>_xlfn.XLOOKUP(C303,'دیده بان بازار'!$A$5:$A$2990,'دیده بان بازار'!$Q$5:$Q$2990,"")</f>
        <v>-30.02</v>
      </c>
      <c r="F303" s="428" t="str">
        <f t="shared" si="4"/>
        <v/>
      </c>
    </row>
    <row r="304" spans="1:6">
      <c r="A304" s="2059" t="str">
        <f>_xlfn.XLOOKUP(C304,'Price Record'!$C$5:$C$102,'Price Record'!$D$5:$D$102,"")</f>
        <v/>
      </c>
      <c r="B304" t="s">
        <v>2235</v>
      </c>
      <c r="C304" t="s">
        <v>2236</v>
      </c>
      <c r="D304" t="s">
        <v>192</v>
      </c>
      <c r="E304" t="str">
        <f>_xlfn.XLOOKUP(C304,'دیده بان بازار'!$A$5:$A$2990,'دیده بان بازار'!$Q$5:$Q$2990,"")</f>
        <v/>
      </c>
      <c r="F304" s="428" t="str">
        <f t="shared" si="4"/>
        <v/>
      </c>
    </row>
    <row r="305" spans="1:6">
      <c r="A305" s="2059" t="str">
        <f>_xlfn.XLOOKUP(C305,'Price Record'!$C$5:$C$102,'Price Record'!$D$5:$D$102,"")</f>
        <v/>
      </c>
      <c r="B305" t="s">
        <v>2237</v>
      </c>
      <c r="C305" t="s">
        <v>2238</v>
      </c>
      <c r="D305" t="s">
        <v>192</v>
      </c>
      <c r="E305">
        <f>_xlfn.XLOOKUP(C305,'دیده بان بازار'!$A$5:$A$2990,'دیده بان بازار'!$Q$5:$Q$2990,"")</f>
        <v>15.91</v>
      </c>
      <c r="F305" s="428" t="str">
        <f t="shared" si="4"/>
        <v/>
      </c>
    </row>
    <row r="306" spans="1:6">
      <c r="A306" s="2059" t="str">
        <f>_xlfn.XLOOKUP(C306,'Price Record'!$C$5:$C$102,'Price Record'!$D$5:$D$102,"")</f>
        <v/>
      </c>
      <c r="B306" t="s">
        <v>2239</v>
      </c>
      <c r="C306" t="s">
        <v>2240</v>
      </c>
      <c r="D306" t="s">
        <v>192</v>
      </c>
      <c r="E306">
        <f>_xlfn.XLOOKUP(C306,'دیده بان بازار'!$A$5:$A$2990,'دیده بان بازار'!$Q$5:$Q$2990,"")</f>
        <v>3.37</v>
      </c>
      <c r="F306" s="428" t="str">
        <f t="shared" si="4"/>
        <v/>
      </c>
    </row>
    <row r="307" spans="1:6">
      <c r="A307" s="2059" t="str">
        <f>_xlfn.XLOOKUP(C307,'Price Record'!$C$5:$C$102,'Price Record'!$D$5:$D$102,"")</f>
        <v/>
      </c>
      <c r="B307" t="s">
        <v>2241</v>
      </c>
      <c r="C307" t="s">
        <v>2242</v>
      </c>
      <c r="D307">
        <v>4.5999999999999996</v>
      </c>
      <c r="E307">
        <f>_xlfn.XLOOKUP(C307,'دیده بان بازار'!$A$5:$A$2990,'دیده بان بازار'!$Q$5:$Q$2990,"")</f>
        <v>6.77</v>
      </c>
      <c r="F307" s="428">
        <f t="shared" si="4"/>
        <v>2.17</v>
      </c>
    </row>
    <row r="308" spans="1:6">
      <c r="A308" s="2059" t="str">
        <f>_xlfn.XLOOKUP(C308,'Price Record'!$C$5:$C$102,'Price Record'!$D$5:$D$102,"")</f>
        <v/>
      </c>
      <c r="B308" t="s">
        <v>2243</v>
      </c>
      <c r="C308" t="s">
        <v>2244</v>
      </c>
      <c r="D308">
        <v>7.5</v>
      </c>
      <c r="E308">
        <f>_xlfn.XLOOKUP(C308,'دیده بان بازار'!$A$5:$A$2990,'دیده بان بازار'!$Q$5:$Q$2990,"")</f>
        <v>4.47</v>
      </c>
      <c r="F308" s="428">
        <f t="shared" si="4"/>
        <v>-3.0300000000000002</v>
      </c>
    </row>
    <row r="309" spans="1:6">
      <c r="A309" s="2059" t="str">
        <f>_xlfn.XLOOKUP(C309,'Price Record'!$C$5:$C$102,'Price Record'!$D$5:$D$102,"")</f>
        <v/>
      </c>
      <c r="B309" t="s">
        <v>2245</v>
      </c>
      <c r="C309" t="s">
        <v>2246</v>
      </c>
      <c r="D309" t="s">
        <v>192</v>
      </c>
      <c r="E309">
        <f>_xlfn.XLOOKUP(C309,'دیده بان بازار'!$A$5:$A$2990,'دیده بان بازار'!$Q$5:$Q$2990,"")</f>
        <v>13.48</v>
      </c>
      <c r="F309" s="428" t="str">
        <f t="shared" si="4"/>
        <v/>
      </c>
    </row>
    <row r="310" spans="1:6">
      <c r="A310" s="2059" t="str">
        <f>_xlfn.XLOOKUP(C310,'Price Record'!$C$5:$C$102,'Price Record'!$D$5:$D$102,"")</f>
        <v/>
      </c>
      <c r="B310" t="s">
        <v>2247</v>
      </c>
      <c r="C310" t="s">
        <v>2248</v>
      </c>
      <c r="D310">
        <v>4.3600000000000003</v>
      </c>
      <c r="E310">
        <f>_xlfn.XLOOKUP(C310,'دیده بان بازار'!$A$5:$A$2990,'دیده بان بازار'!$Q$5:$Q$2990,"")</f>
        <v>6.4</v>
      </c>
      <c r="F310" s="428">
        <f t="shared" si="4"/>
        <v>2.04</v>
      </c>
    </row>
    <row r="311" spans="1:6">
      <c r="A311" s="2059" t="str">
        <f>_xlfn.XLOOKUP(C311,'Price Record'!$C$5:$C$102,'Price Record'!$D$5:$D$102,"")</f>
        <v/>
      </c>
      <c r="B311" t="s">
        <v>2249</v>
      </c>
      <c r="C311" t="s">
        <v>2250</v>
      </c>
      <c r="D311">
        <v>7.48</v>
      </c>
      <c r="E311">
        <f>_xlfn.XLOOKUP(C311,'دیده بان بازار'!$A$5:$A$2990,'دیده بان بازار'!$Q$5:$Q$2990,"")</f>
        <v>7.53</v>
      </c>
      <c r="F311" s="428">
        <f t="shared" si="4"/>
        <v>4.9999999999999822E-2</v>
      </c>
    </row>
    <row r="312" spans="1:6">
      <c r="A312" s="2059" t="str">
        <f>_xlfn.XLOOKUP(C312,'Price Record'!$C$5:$C$102,'Price Record'!$D$5:$D$102,"")</f>
        <v/>
      </c>
      <c r="B312" t="s">
        <v>2251</v>
      </c>
      <c r="C312" t="s">
        <v>2252</v>
      </c>
      <c r="D312">
        <v>5.58</v>
      </c>
      <c r="E312">
        <f>_xlfn.XLOOKUP(C312,'دیده بان بازار'!$A$5:$A$2990,'دیده بان بازار'!$Q$5:$Q$2990,"")</f>
        <v>6.89</v>
      </c>
      <c r="F312" s="428">
        <f t="shared" si="4"/>
        <v>1.3099999999999996</v>
      </c>
    </row>
    <row r="313" spans="1:6">
      <c r="A313" s="2059" t="str">
        <f>_xlfn.XLOOKUP(C313,'Price Record'!$C$5:$C$102,'Price Record'!$D$5:$D$102,"")</f>
        <v/>
      </c>
      <c r="B313" t="s">
        <v>2253</v>
      </c>
      <c r="C313" t="s">
        <v>2254</v>
      </c>
      <c r="D313" t="s">
        <v>192</v>
      </c>
      <c r="E313">
        <f>_xlfn.XLOOKUP(C313,'دیده بان بازار'!$A$5:$A$2990,'دیده بان بازار'!$Q$5:$Q$2990,"")</f>
        <v>5.9</v>
      </c>
      <c r="F313" s="428" t="str">
        <f t="shared" si="4"/>
        <v/>
      </c>
    </row>
    <row r="314" spans="1:6">
      <c r="A314" s="2059" t="str">
        <f>_xlfn.XLOOKUP(C314,'Price Record'!$C$5:$C$102,'Price Record'!$D$5:$D$102,"")</f>
        <v/>
      </c>
      <c r="B314" t="s">
        <v>2253</v>
      </c>
      <c r="C314" t="s">
        <v>2255</v>
      </c>
      <c r="D314">
        <v>8.3800000000000008</v>
      </c>
      <c r="E314" t="str">
        <f>_xlfn.XLOOKUP(C314,'دیده بان بازار'!$A$5:$A$2990,'دیده بان بازار'!$Q$5:$Q$2990,"")</f>
        <v/>
      </c>
      <c r="F314" s="428" t="str">
        <f t="shared" si="4"/>
        <v/>
      </c>
    </row>
    <row r="315" spans="1:6">
      <c r="A315" s="2059" t="str">
        <f>_xlfn.XLOOKUP(C315,'Price Record'!$C$5:$C$102,'Price Record'!$D$5:$D$102,"")</f>
        <v>F</v>
      </c>
      <c r="B315" t="s">
        <v>212</v>
      </c>
      <c r="C315" t="s">
        <v>213</v>
      </c>
      <c r="D315">
        <v>6.48</v>
      </c>
      <c r="E315">
        <f>_xlfn.XLOOKUP(C315,'دیده بان بازار'!$A$5:$A$2990,'دیده بان بازار'!$Q$5:$Q$2990,"")</f>
        <v>6.45</v>
      </c>
      <c r="F315" s="428">
        <f t="shared" si="4"/>
        <v>-3.0000000000000249E-2</v>
      </c>
    </row>
    <row r="316" spans="1:6">
      <c r="A316" s="2059" t="str">
        <f>_xlfn.XLOOKUP(C316,'Price Record'!$C$5:$C$102,'Price Record'!$D$5:$D$102,"")</f>
        <v>F</v>
      </c>
      <c r="B316" t="s">
        <v>106</v>
      </c>
      <c r="C316" t="s">
        <v>107</v>
      </c>
      <c r="D316">
        <v>5.73</v>
      </c>
      <c r="E316">
        <f>_xlfn.XLOOKUP(C316,'دیده بان بازار'!$A$5:$A$2990,'دیده بان بازار'!$Q$5:$Q$2990,"")</f>
        <v>5.79</v>
      </c>
      <c r="F316" s="428">
        <f t="shared" si="4"/>
        <v>5.9999999999999609E-2</v>
      </c>
    </row>
    <row r="317" spans="1:6">
      <c r="A317" s="2059" t="str">
        <f>_xlfn.XLOOKUP(C317,'Price Record'!$C$5:$C$102,'Price Record'!$D$5:$D$102,"")</f>
        <v/>
      </c>
      <c r="B317" t="s">
        <v>2256</v>
      </c>
      <c r="C317" t="s">
        <v>2257</v>
      </c>
      <c r="D317" t="s">
        <v>192</v>
      </c>
      <c r="E317">
        <f>_xlfn.XLOOKUP(C317,'دیده بان بازار'!$A$5:$A$2990,'دیده بان بازار'!$Q$5:$Q$2990,"")</f>
        <v>8.42</v>
      </c>
      <c r="F317" s="428" t="str">
        <f t="shared" si="4"/>
        <v/>
      </c>
    </row>
    <row r="318" spans="1:6">
      <c r="A318" s="2059" t="str">
        <f>_xlfn.XLOOKUP(C318,'Price Record'!$C$5:$C$102,'Price Record'!$D$5:$D$102,"")</f>
        <v/>
      </c>
      <c r="B318" t="s">
        <v>2256</v>
      </c>
      <c r="C318" t="s">
        <v>2258</v>
      </c>
      <c r="D318" t="s">
        <v>192</v>
      </c>
      <c r="E318" t="str">
        <f>_xlfn.XLOOKUP(C318,'دیده بان بازار'!$A$5:$A$2990,'دیده بان بازار'!$Q$5:$Q$2990,"")</f>
        <v/>
      </c>
      <c r="F318" s="428" t="str">
        <f t="shared" si="4"/>
        <v/>
      </c>
    </row>
    <row r="319" spans="1:6">
      <c r="A319" s="2059" t="str">
        <f>_xlfn.XLOOKUP(C319,'Price Record'!$C$5:$C$102,'Price Record'!$D$5:$D$102,"")</f>
        <v/>
      </c>
      <c r="B319" t="s">
        <v>2259</v>
      </c>
      <c r="C319" t="s">
        <v>2260</v>
      </c>
      <c r="D319">
        <v>3.82</v>
      </c>
      <c r="E319">
        <f>_xlfn.XLOOKUP(C319,'دیده بان بازار'!$A$5:$A$2990,'دیده بان بازار'!$Q$5:$Q$2990,"")</f>
        <v>6.85</v>
      </c>
      <c r="F319" s="428">
        <f t="shared" si="4"/>
        <v>3.03</v>
      </c>
    </row>
    <row r="320" spans="1:6">
      <c r="A320" s="2059" t="str">
        <f>_xlfn.XLOOKUP(C320,'Price Record'!$C$5:$C$102,'Price Record'!$D$5:$D$102,"")</f>
        <v/>
      </c>
      <c r="B320" t="s">
        <v>2261</v>
      </c>
      <c r="C320" t="s">
        <v>2262</v>
      </c>
      <c r="D320">
        <v>3.65</v>
      </c>
      <c r="E320">
        <f>_xlfn.XLOOKUP(C320,'دیده بان بازار'!$A$5:$A$2990,'دیده بان بازار'!$Q$5:$Q$2990,"")</f>
        <v>5.57</v>
      </c>
      <c r="F320" s="428">
        <f t="shared" si="4"/>
        <v>1.9200000000000004</v>
      </c>
    </row>
    <row r="321" spans="1:6">
      <c r="A321" s="2059" t="str">
        <f>_xlfn.XLOOKUP(C321,'Price Record'!$C$5:$C$102,'Price Record'!$D$5:$D$102,"")</f>
        <v/>
      </c>
      <c r="B321" t="s">
        <v>2263</v>
      </c>
      <c r="C321" t="s">
        <v>2264</v>
      </c>
      <c r="D321" t="s">
        <v>192</v>
      </c>
      <c r="E321">
        <f>_xlfn.XLOOKUP(C321,'دیده بان بازار'!$A$5:$A$2990,'دیده بان بازار'!$Q$5:$Q$2990,"")</f>
        <v>10.42</v>
      </c>
      <c r="F321" s="428" t="str">
        <f t="shared" si="4"/>
        <v/>
      </c>
    </row>
    <row r="322" spans="1:6">
      <c r="A322" s="2059" t="str">
        <f>_xlfn.XLOOKUP(C322,'Price Record'!$C$5:$C$102,'Price Record'!$D$5:$D$102,"")</f>
        <v/>
      </c>
      <c r="B322" t="s">
        <v>2265</v>
      </c>
      <c r="C322" t="s">
        <v>2266</v>
      </c>
      <c r="D322">
        <v>4.41</v>
      </c>
      <c r="E322">
        <f>_xlfn.XLOOKUP(C322,'دیده بان بازار'!$A$5:$A$2990,'دیده بان بازار'!$Q$5:$Q$2990,"")</f>
        <v>8.2799999999999994</v>
      </c>
      <c r="F322" s="428">
        <f t="shared" si="4"/>
        <v>3.8699999999999992</v>
      </c>
    </row>
    <row r="323" spans="1:6">
      <c r="A323" s="2059" t="str">
        <f>_xlfn.XLOOKUP(C323,'Price Record'!$C$5:$C$102,'Price Record'!$D$5:$D$102,"")</f>
        <v/>
      </c>
      <c r="B323" t="s">
        <v>2267</v>
      </c>
      <c r="C323" t="s">
        <v>2268</v>
      </c>
      <c r="D323">
        <v>6.29</v>
      </c>
      <c r="E323" t="str">
        <f>_xlfn.XLOOKUP(C323,'دیده بان بازار'!$A$5:$A$2990,'دیده بان بازار'!$Q$5:$Q$2990,"")</f>
        <v/>
      </c>
      <c r="F323" s="428" t="str">
        <f t="shared" si="4"/>
        <v/>
      </c>
    </row>
    <row r="324" spans="1:6">
      <c r="A324" s="2059" t="str">
        <f>_xlfn.XLOOKUP(C324,'Price Record'!$C$5:$C$102,'Price Record'!$D$5:$D$102,"")</f>
        <v/>
      </c>
      <c r="B324" t="s">
        <v>2267</v>
      </c>
      <c r="C324" t="s">
        <v>2269</v>
      </c>
      <c r="D324">
        <v>5.59</v>
      </c>
      <c r="E324" t="str">
        <f>_xlfn.XLOOKUP(C324,'دیده بان بازار'!$A$5:$A$2990,'دیده بان بازار'!$Q$5:$Q$2990,"")</f>
        <v/>
      </c>
      <c r="F324" s="428" t="str">
        <f t="shared" ref="F324:F387" si="5">IFERROR(IF(0&lt;E324,IF(E324&lt;20,E324-D324,""),""),"")</f>
        <v/>
      </c>
    </row>
    <row r="325" spans="1:6">
      <c r="A325" s="2059" t="str">
        <f>_xlfn.XLOOKUP(C325,'Price Record'!$C$5:$C$102,'Price Record'!$D$5:$D$102,"")</f>
        <v>F</v>
      </c>
      <c r="B325" t="s">
        <v>214</v>
      </c>
      <c r="C325" t="s">
        <v>215</v>
      </c>
      <c r="D325">
        <v>6.49</v>
      </c>
      <c r="E325">
        <f>_xlfn.XLOOKUP(C325,'دیده بان بازار'!$A$5:$A$2990,'دیده بان بازار'!$Q$5:$Q$2990,"")</f>
        <v>6.36</v>
      </c>
      <c r="F325" s="428">
        <f t="shared" si="5"/>
        <v>-0.12999999999999989</v>
      </c>
    </row>
    <row r="326" spans="1:6">
      <c r="A326" s="2059" t="str">
        <f>_xlfn.XLOOKUP(C326,'Price Record'!$C$5:$C$102,'Price Record'!$D$5:$D$102,"")</f>
        <v/>
      </c>
      <c r="B326" t="s">
        <v>214</v>
      </c>
      <c r="C326" t="s">
        <v>2270</v>
      </c>
      <c r="D326" t="s">
        <v>192</v>
      </c>
      <c r="E326" t="str">
        <f>_xlfn.XLOOKUP(C326,'دیده بان بازار'!$A$5:$A$2990,'دیده بان بازار'!$Q$5:$Q$2990,"")</f>
        <v/>
      </c>
      <c r="F326" s="428" t="str">
        <f t="shared" si="5"/>
        <v/>
      </c>
    </row>
    <row r="327" spans="1:6">
      <c r="A327" s="2059" t="str">
        <f>_xlfn.XLOOKUP(C327,'Price Record'!$C$5:$C$102,'Price Record'!$D$5:$D$102,"")</f>
        <v/>
      </c>
      <c r="B327" t="s">
        <v>2271</v>
      </c>
      <c r="C327" t="s">
        <v>2272</v>
      </c>
      <c r="D327">
        <v>-0.64</v>
      </c>
      <c r="E327">
        <f>_xlfn.XLOOKUP(C327,'دیده بان بازار'!$A$5:$A$2990,'دیده بان بازار'!$Q$5:$Q$2990,"")</f>
        <v>6.71</v>
      </c>
      <c r="F327" s="428">
        <f t="shared" si="5"/>
        <v>7.35</v>
      </c>
    </row>
    <row r="328" spans="1:6">
      <c r="A328" s="2059" t="str">
        <f>_xlfn.XLOOKUP(C328,'Price Record'!$C$5:$C$102,'Price Record'!$D$5:$D$102,"")</f>
        <v/>
      </c>
      <c r="B328" t="s">
        <v>2271</v>
      </c>
      <c r="C328" t="s">
        <v>2273</v>
      </c>
      <c r="D328" t="s">
        <v>192</v>
      </c>
      <c r="E328">
        <f>_xlfn.XLOOKUP(C328,'دیده بان بازار'!$A$5:$A$2990,'دیده بان بازار'!$Q$5:$Q$2990,"")</f>
        <v>6.71</v>
      </c>
      <c r="F328" s="428" t="str">
        <f t="shared" si="5"/>
        <v/>
      </c>
    </row>
    <row r="329" spans="1:6">
      <c r="A329" s="2059" t="str">
        <f>_xlfn.XLOOKUP(C329,'Price Record'!$C$5:$C$102,'Price Record'!$D$5:$D$102,"")</f>
        <v/>
      </c>
      <c r="B329" t="s">
        <v>2274</v>
      </c>
      <c r="C329" t="s">
        <v>2275</v>
      </c>
      <c r="D329" t="s">
        <v>192</v>
      </c>
      <c r="E329">
        <f>_xlfn.XLOOKUP(C329,'دیده بان بازار'!$A$5:$A$2990,'دیده بان بازار'!$Q$5:$Q$2990,"")</f>
        <v>-1604</v>
      </c>
      <c r="F329" s="428" t="str">
        <f t="shared" si="5"/>
        <v/>
      </c>
    </row>
    <row r="330" spans="1:6">
      <c r="A330" s="2059" t="str">
        <f>_xlfn.XLOOKUP(C330,'Price Record'!$C$5:$C$102,'Price Record'!$D$5:$D$102,"")</f>
        <v/>
      </c>
      <c r="B330" t="s">
        <v>2276</v>
      </c>
      <c r="C330" t="s">
        <v>2277</v>
      </c>
      <c r="D330">
        <v>4.47</v>
      </c>
      <c r="E330">
        <f>_xlfn.XLOOKUP(C330,'دیده بان بازار'!$A$5:$A$2990,'دیده بان بازار'!$Q$5:$Q$2990,"")</f>
        <v>15.53</v>
      </c>
      <c r="F330" s="428">
        <f t="shared" si="5"/>
        <v>11.059999999999999</v>
      </c>
    </row>
    <row r="331" spans="1:6">
      <c r="A331" s="2059" t="str">
        <f>_xlfn.XLOOKUP(C331,'Price Record'!$C$5:$C$102,'Price Record'!$D$5:$D$102,"")</f>
        <v/>
      </c>
      <c r="B331" t="s">
        <v>2276</v>
      </c>
      <c r="C331" t="s">
        <v>2278</v>
      </c>
      <c r="D331">
        <v>8.67</v>
      </c>
      <c r="E331" t="str">
        <f>_xlfn.XLOOKUP(C331,'دیده بان بازار'!$A$5:$A$2990,'دیده بان بازار'!$Q$5:$Q$2990,"")</f>
        <v/>
      </c>
      <c r="F331" s="428" t="str">
        <f t="shared" si="5"/>
        <v/>
      </c>
    </row>
    <row r="332" spans="1:6">
      <c r="A332" s="2059" t="str">
        <f>_xlfn.XLOOKUP(C332,'Price Record'!$C$5:$C$102,'Price Record'!$D$5:$D$102,"")</f>
        <v/>
      </c>
      <c r="B332" t="s">
        <v>2279</v>
      </c>
      <c r="C332" t="s">
        <v>2280</v>
      </c>
      <c r="D332">
        <v>5.25</v>
      </c>
      <c r="E332">
        <f>_xlfn.XLOOKUP(C332,'دیده بان بازار'!$A$5:$A$2990,'دیده بان بازار'!$Q$5:$Q$2990,"")</f>
        <v>7.64</v>
      </c>
      <c r="F332" s="428">
        <f t="shared" si="5"/>
        <v>2.3899999999999997</v>
      </c>
    </row>
    <row r="333" spans="1:6">
      <c r="A333" s="2059" t="str">
        <f>_xlfn.XLOOKUP(C333,'Price Record'!$C$5:$C$102,'Price Record'!$D$5:$D$102,"")</f>
        <v/>
      </c>
      <c r="B333" t="s">
        <v>2281</v>
      </c>
      <c r="C333" t="s">
        <v>2282</v>
      </c>
      <c r="D333">
        <v>7.37</v>
      </c>
      <c r="E333">
        <f>_xlfn.XLOOKUP(C333,'دیده بان بازار'!$A$5:$A$2990,'دیده بان بازار'!$Q$5:$Q$2990,"")</f>
        <v>-24.81</v>
      </c>
      <c r="F333" s="428" t="str">
        <f t="shared" si="5"/>
        <v/>
      </c>
    </row>
    <row r="334" spans="1:6">
      <c r="A334" s="2062" t="str">
        <f>_xlfn.XLOOKUP(C334,'Price Record'!$C$5:$C$102,'Price Record'!$D$5:$D$102,"")</f>
        <v>C</v>
      </c>
      <c r="B334" s="1445" t="s">
        <v>60</v>
      </c>
      <c r="C334" s="1445" t="s">
        <v>61</v>
      </c>
      <c r="D334" s="1445">
        <v>21.88</v>
      </c>
      <c r="E334" s="1445" t="str">
        <f>_xlfn.XLOOKUP(C334,'دیده بان بازار'!$A$5:$A$2990,'دیده بان بازار'!$Q$5:$Q$2990,"")</f>
        <v/>
      </c>
      <c r="F334" s="2063" t="str">
        <f t="shared" si="5"/>
        <v/>
      </c>
    </row>
    <row r="335" spans="1:6">
      <c r="A335" s="2062" t="str">
        <f>_xlfn.XLOOKUP(C335,'Price Record'!$C$5:$C$102,'Price Record'!$D$5:$D$102,"")</f>
        <v>C</v>
      </c>
      <c r="B335" s="1445" t="s">
        <v>84</v>
      </c>
      <c r="C335" s="1445" t="s">
        <v>85</v>
      </c>
      <c r="D335" s="1445">
        <v>6.1</v>
      </c>
      <c r="E335" s="1445">
        <f>_xlfn.XLOOKUP(C335,'دیده بان بازار'!$A$5:$A$2990,'دیده بان بازار'!$Q$5:$Q$2990,"")</f>
        <v>7.44</v>
      </c>
      <c r="F335" s="2063">
        <f t="shared" si="5"/>
        <v>1.3400000000000007</v>
      </c>
    </row>
    <row r="336" spans="1:6">
      <c r="A336" s="2059" t="str">
        <f>_xlfn.XLOOKUP(C336,'Price Record'!$C$5:$C$102,'Price Record'!$D$5:$D$102,"")</f>
        <v/>
      </c>
      <c r="B336" t="s">
        <v>84</v>
      </c>
      <c r="C336" t="s">
        <v>2283</v>
      </c>
      <c r="D336" t="s">
        <v>192</v>
      </c>
      <c r="E336" t="str">
        <f>_xlfn.XLOOKUP(C336,'دیده بان بازار'!$A$5:$A$2990,'دیده بان بازار'!$Q$5:$Q$2990,"")</f>
        <v/>
      </c>
      <c r="F336" s="428" t="str">
        <f t="shared" si="5"/>
        <v/>
      </c>
    </row>
    <row r="337" spans="1:6">
      <c r="A337" s="2062" t="str">
        <f>_xlfn.XLOOKUP(C337,'Price Record'!$C$5:$C$102,'Price Record'!$D$5:$D$102,"")</f>
        <v>C</v>
      </c>
      <c r="B337" s="1445" t="s">
        <v>27</v>
      </c>
      <c r="C337" s="1445" t="s">
        <v>28</v>
      </c>
      <c r="D337" s="1445">
        <v>6.92</v>
      </c>
      <c r="E337" s="1445">
        <f>_xlfn.XLOOKUP(C337,'دیده بان بازار'!$A$5:$A$2990,'دیده بان بازار'!$Q$5:$Q$2990,"")</f>
        <v>4.8099999999999996</v>
      </c>
      <c r="F337" s="2063">
        <f t="shared" si="5"/>
        <v>-2.1100000000000003</v>
      </c>
    </row>
    <row r="338" spans="1:6">
      <c r="A338" s="2062" t="str">
        <f>_xlfn.XLOOKUP(C338,'Price Record'!$C$5:$C$102,'Price Record'!$D$5:$D$102,"")</f>
        <v>C</v>
      </c>
      <c r="B338" s="1445" t="s">
        <v>2284</v>
      </c>
      <c r="C338" s="1445" t="s">
        <v>43</v>
      </c>
      <c r="D338" s="1445" t="s">
        <v>192</v>
      </c>
      <c r="E338" s="1445">
        <f>_xlfn.XLOOKUP(C338,'دیده بان بازار'!$A$5:$A$2990,'دیده بان بازار'!$Q$5:$Q$2990,"")</f>
        <v>5.98</v>
      </c>
      <c r="F338" s="2063" t="str">
        <f t="shared" si="5"/>
        <v/>
      </c>
    </row>
    <row r="339" spans="1:6">
      <c r="A339" s="2062" t="str">
        <f>_xlfn.XLOOKUP(C339,'Price Record'!$C$5:$C$102,'Price Record'!$D$5:$D$102,"")</f>
        <v>B</v>
      </c>
      <c r="B339" s="1445" t="s">
        <v>200</v>
      </c>
      <c r="C339" s="1445" t="s">
        <v>201</v>
      </c>
      <c r="D339" s="1445" t="s">
        <v>192</v>
      </c>
      <c r="E339" s="1445">
        <f>_xlfn.XLOOKUP(C339,'دیده بان بازار'!$A$5:$A$2990,'دیده بان بازار'!$Q$5:$Q$2990,"")</f>
        <v>5.47</v>
      </c>
      <c r="F339" s="2063" t="str">
        <f t="shared" si="5"/>
        <v/>
      </c>
    </row>
    <row r="340" spans="1:6">
      <c r="A340" s="2062" t="str">
        <f>_xlfn.XLOOKUP(C340,'Price Record'!$C$5:$C$102,'Price Record'!$D$5:$D$102,"")</f>
        <v>C</v>
      </c>
      <c r="B340" s="1445" t="s">
        <v>52</v>
      </c>
      <c r="C340" s="1445" t="s">
        <v>53</v>
      </c>
      <c r="D340" s="1445" t="s">
        <v>192</v>
      </c>
      <c r="E340" s="1445">
        <f>_xlfn.XLOOKUP(C340,'دیده بان بازار'!$A$5:$A$2990,'دیده بان بازار'!$Q$5:$Q$2990,"")</f>
        <v>6.95</v>
      </c>
      <c r="F340" s="2063" t="str">
        <f t="shared" si="5"/>
        <v/>
      </c>
    </row>
    <row r="341" spans="1:6">
      <c r="A341" s="2062" t="str">
        <f>_xlfn.XLOOKUP(C341,'Price Record'!$C$5:$C$102,'Price Record'!$D$5:$D$102,"")</f>
        <v>DH</v>
      </c>
      <c r="B341" s="1445" t="s">
        <v>92</v>
      </c>
      <c r="C341" s="1445" t="s">
        <v>93</v>
      </c>
      <c r="D341" s="1445">
        <v>5.63</v>
      </c>
      <c r="E341" s="1445" t="str">
        <f>_xlfn.XLOOKUP(C341,'دیده بان بازار'!$A$5:$A$2990,'دیده بان بازار'!$Q$5:$Q$2990,"")</f>
        <v/>
      </c>
      <c r="F341" s="2063" t="str">
        <f t="shared" si="5"/>
        <v/>
      </c>
    </row>
    <row r="342" spans="1:6">
      <c r="A342" s="2062" t="str">
        <f>_xlfn.XLOOKUP(C342,'Price Record'!$C$5:$C$102,'Price Record'!$D$5:$D$102,"")</f>
        <v>C</v>
      </c>
      <c r="B342" s="1445" t="s">
        <v>68</v>
      </c>
      <c r="C342" s="1445" t="s">
        <v>69</v>
      </c>
      <c r="D342" s="1445">
        <v>122.2</v>
      </c>
      <c r="E342" s="1445">
        <f>_xlfn.XLOOKUP(C342,'دیده بان بازار'!$A$5:$A$2990,'دیده بان بازار'!$Q$5:$Q$2990,"")</f>
        <v>6.75</v>
      </c>
      <c r="F342" s="2063">
        <f t="shared" si="5"/>
        <v>-115.45</v>
      </c>
    </row>
    <row r="343" spans="1:6">
      <c r="A343" s="2059" t="str">
        <f>_xlfn.XLOOKUP(C343,'Price Record'!$C$5:$C$102,'Price Record'!$D$5:$D$102,"")</f>
        <v/>
      </c>
      <c r="B343" t="s">
        <v>68</v>
      </c>
      <c r="C343" t="s">
        <v>2285</v>
      </c>
      <c r="D343" t="s">
        <v>192</v>
      </c>
      <c r="E343" t="str">
        <f>_xlfn.XLOOKUP(C343,'دیده بان بازار'!$A$5:$A$2990,'دیده بان بازار'!$Q$5:$Q$2990,"")</f>
        <v/>
      </c>
      <c r="F343" s="428" t="str">
        <f t="shared" si="5"/>
        <v/>
      </c>
    </row>
    <row r="344" spans="1:6">
      <c r="A344" s="2062" t="str">
        <f>_xlfn.XLOOKUP(C344,'Price Record'!$C$5:$C$102,'Price Record'!$D$5:$D$102,"")</f>
        <v>C</v>
      </c>
      <c r="B344" s="1445" t="s">
        <v>46</v>
      </c>
      <c r="C344" s="1445" t="s">
        <v>47</v>
      </c>
      <c r="D344" s="1445" t="s">
        <v>192</v>
      </c>
      <c r="E344" s="1445">
        <f>_xlfn.XLOOKUP(C344,'دیده بان بازار'!$A$5:$A$2990,'دیده بان بازار'!$Q$5:$Q$2990,"")</f>
        <v>5.46</v>
      </c>
      <c r="F344" s="2063" t="str">
        <f t="shared" si="5"/>
        <v/>
      </c>
    </row>
    <row r="345" spans="1:6">
      <c r="A345" s="2062" t="str">
        <f>_xlfn.XLOOKUP(C345,'Price Record'!$C$5:$C$102,'Price Record'!$D$5:$D$102,"")</f>
        <v>C</v>
      </c>
      <c r="B345" s="1445" t="s">
        <v>80</v>
      </c>
      <c r="C345" s="1445" t="s">
        <v>81</v>
      </c>
      <c r="D345" s="1445" t="s">
        <v>192</v>
      </c>
      <c r="E345" s="1445">
        <f>_xlfn.XLOOKUP(C345,'دیده بان بازار'!$A$5:$A$2990,'دیده بان بازار'!$Q$5:$Q$2990,"")</f>
        <v>5.59</v>
      </c>
      <c r="F345" s="2063" t="str">
        <f t="shared" si="5"/>
        <v/>
      </c>
    </row>
    <row r="346" spans="1:6">
      <c r="A346" s="2059" t="str">
        <f>_xlfn.XLOOKUP(C346,'Price Record'!$C$5:$C$102,'Price Record'!$D$5:$D$102,"")</f>
        <v/>
      </c>
      <c r="B346" t="s">
        <v>2286</v>
      </c>
      <c r="C346" t="s">
        <v>961</v>
      </c>
      <c r="D346" t="s">
        <v>192</v>
      </c>
      <c r="E346">
        <f>_xlfn.XLOOKUP(C346,'دیده بان بازار'!$A$5:$A$2990,'دیده بان بازار'!$Q$5:$Q$2990,"")</f>
        <v>13.69</v>
      </c>
      <c r="F346" s="428" t="str">
        <f t="shared" si="5"/>
        <v/>
      </c>
    </row>
    <row r="347" spans="1:6">
      <c r="A347" s="2062" t="str">
        <f>_xlfn.XLOOKUP(C347,'Price Record'!$C$5:$C$102,'Price Record'!$D$5:$D$102,"")</f>
        <v>C</v>
      </c>
      <c r="B347" s="1445" t="s">
        <v>34</v>
      </c>
      <c r="C347" s="1445" t="s">
        <v>35</v>
      </c>
      <c r="D347" s="1445">
        <v>96.68</v>
      </c>
      <c r="E347" s="1445">
        <f>_xlfn.XLOOKUP(C347,'دیده بان بازار'!$A$5:$A$2990,'دیده بان بازار'!$Q$5:$Q$2990,"")</f>
        <v>5.52</v>
      </c>
      <c r="F347" s="2063">
        <f t="shared" si="5"/>
        <v>-91.160000000000011</v>
      </c>
    </row>
    <row r="348" spans="1:6">
      <c r="A348" s="2059" t="str">
        <f>_xlfn.XLOOKUP(C348,'Price Record'!$C$5:$C$102,'Price Record'!$D$5:$D$102,"")</f>
        <v/>
      </c>
      <c r="B348" t="s">
        <v>2287</v>
      </c>
      <c r="C348" t="s">
        <v>2288</v>
      </c>
      <c r="D348">
        <v>15.9</v>
      </c>
      <c r="E348">
        <f>_xlfn.XLOOKUP(C348,'دیده بان بازار'!$A$5:$A$2990,'دیده بان بازار'!$Q$5:$Q$2990,"")</f>
        <v>15.92</v>
      </c>
      <c r="F348" s="428">
        <f t="shared" si="5"/>
        <v>1.9999999999999574E-2</v>
      </c>
    </row>
    <row r="349" spans="1:6">
      <c r="A349" s="2062" t="str">
        <f>_xlfn.XLOOKUP(C349,'Price Record'!$C$5:$C$102,'Price Record'!$D$5:$D$102,"")</f>
        <v>C</v>
      </c>
      <c r="B349" s="1445" t="s">
        <v>2289</v>
      </c>
      <c r="C349" s="1445" t="s">
        <v>37</v>
      </c>
      <c r="D349" s="1445" t="s">
        <v>192</v>
      </c>
      <c r="E349" s="1445">
        <f>_xlfn.XLOOKUP(C349,'دیده بان بازار'!$A$5:$A$2990,'دیده بان بازار'!$Q$5:$Q$2990,"")</f>
        <v>7.93</v>
      </c>
      <c r="F349" s="2063" t="str">
        <f t="shared" si="5"/>
        <v/>
      </c>
    </row>
    <row r="350" spans="1:6">
      <c r="A350" s="2059" t="str">
        <f>_xlfn.XLOOKUP(C350,'Price Record'!$C$5:$C$102,'Price Record'!$D$5:$D$102,"")</f>
        <v/>
      </c>
      <c r="B350" t="s">
        <v>2289</v>
      </c>
      <c r="C350" t="s">
        <v>2290</v>
      </c>
      <c r="D350">
        <v>8.48</v>
      </c>
      <c r="E350">
        <f>_xlfn.XLOOKUP(C350,'دیده بان بازار'!$A$5:$A$2990,'دیده بان بازار'!$Q$5:$Q$2990,"")</f>
        <v>7.93</v>
      </c>
      <c r="F350" s="428">
        <f t="shared" si="5"/>
        <v>-0.55000000000000071</v>
      </c>
    </row>
    <row r="351" spans="1:6">
      <c r="A351" s="2059" t="str">
        <f>_xlfn.XLOOKUP(C351,'Price Record'!$C$5:$C$102,'Price Record'!$D$5:$D$102,"")</f>
        <v/>
      </c>
      <c r="B351" t="s">
        <v>2291</v>
      </c>
      <c r="C351" t="s">
        <v>2292</v>
      </c>
      <c r="D351" t="s">
        <v>192</v>
      </c>
      <c r="E351">
        <f>_xlfn.XLOOKUP(C351,'دیده بان بازار'!$A$5:$A$2990,'دیده بان بازار'!$Q$5:$Q$2990,"")</f>
        <v>3.78</v>
      </c>
      <c r="F351" s="428" t="str">
        <f t="shared" si="5"/>
        <v/>
      </c>
    </row>
    <row r="352" spans="1:6">
      <c r="A352" s="2059" t="str">
        <f>_xlfn.XLOOKUP(C352,'Price Record'!$C$5:$C$102,'Price Record'!$D$5:$D$102,"")</f>
        <v/>
      </c>
      <c r="B352" t="s">
        <v>2293</v>
      </c>
      <c r="C352" t="s">
        <v>2294</v>
      </c>
      <c r="D352">
        <v>3.78</v>
      </c>
      <c r="E352">
        <f>_xlfn.XLOOKUP(C352,'دیده بان بازار'!$A$5:$A$2990,'دیده بان بازار'!$Q$5:$Q$2990,"")</f>
        <v>10.69</v>
      </c>
      <c r="F352" s="428">
        <f t="shared" si="5"/>
        <v>6.91</v>
      </c>
    </row>
    <row r="353" spans="1:6">
      <c r="A353" s="2062" t="str">
        <f>_xlfn.XLOOKUP(C353,'Price Record'!$C$5:$C$102,'Price Record'!$D$5:$D$102,"")</f>
        <v>C</v>
      </c>
      <c r="B353" s="1445" t="s">
        <v>74</v>
      </c>
      <c r="C353" s="1445" t="s">
        <v>75</v>
      </c>
      <c r="D353" s="1445" t="s">
        <v>192</v>
      </c>
      <c r="E353" s="1445" t="str">
        <f>_xlfn.XLOOKUP(C353,'دیده بان بازار'!$A$5:$A$2990,'دیده بان بازار'!$Q$5:$Q$2990,"")</f>
        <v/>
      </c>
      <c r="F353" s="2063" t="str">
        <f t="shared" si="5"/>
        <v/>
      </c>
    </row>
    <row r="354" spans="1:6">
      <c r="A354" s="2059" t="str">
        <f>_xlfn.XLOOKUP(C354,'Price Record'!$C$5:$C$102,'Price Record'!$D$5:$D$102,"")</f>
        <v/>
      </c>
      <c r="B354" t="s">
        <v>74</v>
      </c>
      <c r="C354" t="s">
        <v>2295</v>
      </c>
      <c r="D354">
        <v>4.97</v>
      </c>
      <c r="E354" t="str">
        <f>_xlfn.XLOOKUP(C354,'دیده بان بازار'!$A$5:$A$2990,'دیده بان بازار'!$Q$5:$Q$2990,"")</f>
        <v/>
      </c>
      <c r="F354" s="428" t="str">
        <f t="shared" si="5"/>
        <v/>
      </c>
    </row>
    <row r="355" spans="1:6">
      <c r="A355" s="2062" t="str">
        <f>_xlfn.XLOOKUP(C355,'Price Record'!$C$5:$C$102,'Price Record'!$D$5:$D$102,"")</f>
        <v>C</v>
      </c>
      <c r="B355" s="1445" t="s">
        <v>78</v>
      </c>
      <c r="C355" s="1445" t="s">
        <v>79</v>
      </c>
      <c r="D355" s="1445">
        <v>5.21</v>
      </c>
      <c r="E355" s="1445">
        <f>_xlfn.XLOOKUP(C355,'دیده بان بازار'!$A$5:$A$2990,'دیده بان بازار'!$Q$5:$Q$2990,"")</f>
        <v>5.01</v>
      </c>
      <c r="F355" s="2063">
        <f t="shared" si="5"/>
        <v>-0.20000000000000018</v>
      </c>
    </row>
    <row r="356" spans="1:6">
      <c r="A356" s="2059" t="str">
        <f>_xlfn.XLOOKUP(C356,'Price Record'!$C$5:$C$102,'Price Record'!$D$5:$D$102,"")</f>
        <v/>
      </c>
      <c r="B356" t="s">
        <v>78</v>
      </c>
      <c r="C356" t="s">
        <v>2296</v>
      </c>
      <c r="D356" t="s">
        <v>192</v>
      </c>
      <c r="E356">
        <f>_xlfn.XLOOKUP(C356,'دیده بان بازار'!$A$5:$A$2990,'دیده بان بازار'!$Q$5:$Q$2990,"")</f>
        <v>5.01</v>
      </c>
      <c r="F356" s="428" t="str">
        <f t="shared" si="5"/>
        <v/>
      </c>
    </row>
    <row r="357" spans="1:6">
      <c r="A357" s="2062" t="str">
        <f>_xlfn.XLOOKUP(C357,'Price Record'!$C$5:$C$102,'Price Record'!$D$5:$D$102,"")</f>
        <v>C</v>
      </c>
      <c r="B357" s="1445" t="s">
        <v>32</v>
      </c>
      <c r="C357" s="1445" t="s">
        <v>33</v>
      </c>
      <c r="D357" s="1445" t="s">
        <v>192</v>
      </c>
      <c r="E357" s="1445">
        <f>_xlfn.XLOOKUP(C357,'دیده بان بازار'!$A$5:$A$2990,'دیده بان بازار'!$Q$5:$Q$2990,"")</f>
        <v>5.97</v>
      </c>
      <c r="F357" s="2063" t="str">
        <f t="shared" si="5"/>
        <v/>
      </c>
    </row>
    <row r="358" spans="1:6">
      <c r="A358" s="2059" t="str">
        <f>_xlfn.XLOOKUP(C358,'Price Record'!$C$5:$C$102,'Price Record'!$D$5:$D$102,"")</f>
        <v/>
      </c>
      <c r="B358" t="s">
        <v>32</v>
      </c>
      <c r="C358" t="s">
        <v>2297</v>
      </c>
      <c r="D358" t="s">
        <v>192</v>
      </c>
      <c r="E358">
        <f>_xlfn.XLOOKUP(C358,'دیده بان بازار'!$A$5:$A$2990,'دیده بان بازار'!$Q$5:$Q$2990,"")</f>
        <v>5.97</v>
      </c>
      <c r="F358" s="428" t="str">
        <f t="shared" si="5"/>
        <v/>
      </c>
    </row>
    <row r="359" spans="1:6">
      <c r="A359" s="2062" t="str">
        <f>_xlfn.XLOOKUP(C359,'Price Record'!$C$5:$C$102,'Price Record'!$D$5:$D$102,"")</f>
        <v>C</v>
      </c>
      <c r="B359" s="1445" t="s">
        <v>44</v>
      </c>
      <c r="C359" s="1445" t="s">
        <v>45</v>
      </c>
      <c r="D359" s="1445">
        <v>12.67</v>
      </c>
      <c r="E359" s="1445">
        <f>_xlfn.XLOOKUP(C359,'دیده بان بازار'!$A$5:$A$2990,'دیده بان بازار'!$Q$5:$Q$2990,"")</f>
        <v>6.73</v>
      </c>
      <c r="F359" s="2063">
        <f t="shared" si="5"/>
        <v>-5.9399999999999995</v>
      </c>
    </row>
    <row r="360" spans="1:6">
      <c r="A360" s="2059" t="str">
        <f>_xlfn.XLOOKUP(C360,'Price Record'!$C$5:$C$102,'Price Record'!$D$5:$D$102,"")</f>
        <v/>
      </c>
      <c r="B360" t="s">
        <v>2298</v>
      </c>
      <c r="C360" t="s">
        <v>2299</v>
      </c>
      <c r="D360" t="s">
        <v>192</v>
      </c>
      <c r="E360">
        <f>_xlfn.XLOOKUP(C360,'دیده بان بازار'!$A$5:$A$2990,'دیده بان بازار'!$Q$5:$Q$2990,"")</f>
        <v>39.93</v>
      </c>
      <c r="F360" s="428" t="str">
        <f t="shared" si="5"/>
        <v/>
      </c>
    </row>
    <row r="361" spans="1:6">
      <c r="A361" s="2062" t="str">
        <f>_xlfn.XLOOKUP(C361,'Price Record'!$C$5:$C$102,'Price Record'!$D$5:$D$102,"")</f>
        <v>C</v>
      </c>
      <c r="B361" s="1445" t="s">
        <v>218</v>
      </c>
      <c r="C361" s="1445" t="s">
        <v>219</v>
      </c>
      <c r="D361" s="1445">
        <v>3.73</v>
      </c>
      <c r="E361" s="1445">
        <f>_xlfn.XLOOKUP(C361,'دیده بان بازار'!$A$5:$A$2990,'دیده بان بازار'!$Q$5:$Q$2990,"")</f>
        <v>-110.37</v>
      </c>
      <c r="F361" s="2063" t="str">
        <f t="shared" si="5"/>
        <v/>
      </c>
    </row>
    <row r="362" spans="1:6">
      <c r="A362" s="2062" t="str">
        <f>_xlfn.XLOOKUP(C362,'Price Record'!$C$5:$C$102,'Price Record'!$D$5:$D$102,"")</f>
        <v>C</v>
      </c>
      <c r="B362" s="1445" t="s">
        <v>40</v>
      </c>
      <c r="C362" s="1445" t="s">
        <v>41</v>
      </c>
      <c r="D362" s="1445">
        <v>6.62</v>
      </c>
      <c r="E362" s="1445">
        <f>_xlfn.XLOOKUP(C362,'دیده بان بازار'!$A$5:$A$2990,'دیده بان بازار'!$Q$5:$Q$2990,"")</f>
        <v>4.71</v>
      </c>
      <c r="F362" s="2063">
        <f t="shared" si="5"/>
        <v>-1.9100000000000001</v>
      </c>
    </row>
    <row r="363" spans="1:6">
      <c r="A363" s="2059" t="str">
        <f>_xlfn.XLOOKUP(C363,'Price Record'!$C$5:$C$102,'Price Record'!$D$5:$D$102,"")</f>
        <v/>
      </c>
      <c r="B363" t="s">
        <v>40</v>
      </c>
      <c r="C363" t="s">
        <v>2300</v>
      </c>
      <c r="D363" t="s">
        <v>192</v>
      </c>
      <c r="E363" t="str">
        <f>_xlfn.XLOOKUP(C363,'دیده بان بازار'!$A$5:$A$2990,'دیده بان بازار'!$Q$5:$Q$2990,"")</f>
        <v/>
      </c>
      <c r="F363" s="428" t="str">
        <f t="shared" si="5"/>
        <v/>
      </c>
    </row>
    <row r="364" spans="1:6">
      <c r="A364" s="2059" t="str">
        <f>_xlfn.XLOOKUP(C364,'Price Record'!$C$5:$C$102,'Price Record'!$D$5:$D$102,"")</f>
        <v/>
      </c>
      <c r="B364" t="s">
        <v>2301</v>
      </c>
      <c r="C364" t="s">
        <v>2302</v>
      </c>
      <c r="D364" t="s">
        <v>192</v>
      </c>
      <c r="E364">
        <f>_xlfn.XLOOKUP(C364,'دیده بان بازار'!$A$5:$A$2990,'دیده بان بازار'!$Q$5:$Q$2990,"")</f>
        <v>4.46</v>
      </c>
      <c r="F364" s="428" t="str">
        <f t="shared" si="5"/>
        <v/>
      </c>
    </row>
    <row r="365" spans="1:6">
      <c r="A365" s="2059" t="str">
        <f>_xlfn.XLOOKUP(C365,'Price Record'!$C$5:$C$102,'Price Record'!$D$5:$D$102,"")</f>
        <v/>
      </c>
      <c r="B365" t="s">
        <v>2303</v>
      </c>
      <c r="C365" t="s">
        <v>951</v>
      </c>
      <c r="D365">
        <v>5.4</v>
      </c>
      <c r="E365">
        <f>_xlfn.XLOOKUP(C365,'دیده بان بازار'!$A$5:$A$2990,'دیده بان بازار'!$Q$5:$Q$2990,"")</f>
        <v>12.55</v>
      </c>
      <c r="F365" s="428">
        <f t="shared" si="5"/>
        <v>7.15</v>
      </c>
    </row>
    <row r="366" spans="1:6">
      <c r="A366" s="2059" t="str">
        <f>_xlfn.XLOOKUP(C366,'Price Record'!$C$5:$C$102,'Price Record'!$D$5:$D$102,"")</f>
        <v/>
      </c>
      <c r="B366" t="s">
        <v>2303</v>
      </c>
      <c r="C366" t="s">
        <v>2304</v>
      </c>
      <c r="D366" t="s">
        <v>192</v>
      </c>
      <c r="E366" t="str">
        <f>_xlfn.XLOOKUP(C366,'دیده بان بازار'!$A$5:$A$2990,'دیده بان بازار'!$Q$5:$Q$2990,"")</f>
        <v/>
      </c>
      <c r="F366" s="428" t="str">
        <f t="shared" si="5"/>
        <v/>
      </c>
    </row>
    <row r="367" spans="1:6">
      <c r="A367" s="2059" t="str">
        <f>_xlfn.XLOOKUP(C367,'Price Record'!$C$5:$C$102,'Price Record'!$D$5:$D$102,"")</f>
        <v/>
      </c>
      <c r="B367" t="s">
        <v>2305</v>
      </c>
      <c r="C367" t="s">
        <v>929</v>
      </c>
      <c r="D367" t="s">
        <v>192</v>
      </c>
      <c r="E367">
        <f>_xlfn.XLOOKUP(C367,'دیده بان بازار'!$A$5:$A$2990,'دیده بان بازار'!$Q$5:$Q$2990,"")</f>
        <v>-6.6</v>
      </c>
      <c r="F367" s="428" t="str">
        <f t="shared" si="5"/>
        <v/>
      </c>
    </row>
    <row r="368" spans="1:6">
      <c r="A368" s="2059" t="str">
        <f>_xlfn.XLOOKUP(C368,'Price Record'!$C$5:$C$102,'Price Record'!$D$5:$D$102,"")</f>
        <v/>
      </c>
      <c r="B368" t="s">
        <v>2306</v>
      </c>
      <c r="C368" t="s">
        <v>2307</v>
      </c>
      <c r="D368">
        <v>-16.11</v>
      </c>
      <c r="E368" t="str">
        <f>_xlfn.XLOOKUP(C368,'دیده بان بازار'!$A$5:$A$2990,'دیده بان بازار'!$Q$5:$Q$2990,"")</f>
        <v/>
      </c>
      <c r="F368" s="428" t="str">
        <f t="shared" si="5"/>
        <v/>
      </c>
    </row>
    <row r="369" spans="1:6">
      <c r="A369" s="2059" t="str">
        <f>_xlfn.XLOOKUP(C369,'Price Record'!$C$5:$C$102,'Price Record'!$D$5:$D$102,"")</f>
        <v/>
      </c>
      <c r="B369" t="s">
        <v>2306</v>
      </c>
      <c r="C369" t="s">
        <v>2308</v>
      </c>
      <c r="D369" t="s">
        <v>192</v>
      </c>
      <c r="E369" t="str">
        <f>_xlfn.XLOOKUP(C369,'دیده بان بازار'!$A$5:$A$2990,'دیده بان بازار'!$Q$5:$Q$2990,"")</f>
        <v/>
      </c>
      <c r="F369" s="428" t="str">
        <f t="shared" si="5"/>
        <v/>
      </c>
    </row>
    <row r="370" spans="1:6">
      <c r="A370" s="2062" t="str">
        <f>_xlfn.XLOOKUP(C370,'Price Record'!$C$5:$C$102,'Price Record'!$D$5:$D$102,"")</f>
        <v>C</v>
      </c>
      <c r="B370" s="1445" t="s">
        <v>2309</v>
      </c>
      <c r="C370" s="1445" t="s">
        <v>39</v>
      </c>
      <c r="D370" s="1445" t="s">
        <v>192</v>
      </c>
      <c r="E370" s="1445">
        <f>_xlfn.XLOOKUP(C370,'دیده بان بازار'!$A$5:$A$2990,'دیده بان بازار'!$Q$5:$Q$2990,"")</f>
        <v>6.87</v>
      </c>
      <c r="F370" s="2063" t="str">
        <f t="shared" si="5"/>
        <v/>
      </c>
    </row>
    <row r="371" spans="1:6">
      <c r="A371" s="2062" t="str">
        <f>_xlfn.XLOOKUP(C371,'Price Record'!$C$5:$C$102,'Price Record'!$D$5:$D$102,"")</f>
        <v>C</v>
      </c>
      <c r="B371" s="1445" t="s">
        <v>30</v>
      </c>
      <c r="C371" s="1445" t="s">
        <v>31</v>
      </c>
      <c r="D371" s="1445">
        <v>7.33</v>
      </c>
      <c r="E371" s="1445">
        <f>_xlfn.XLOOKUP(C371,'دیده بان بازار'!$A$5:$A$2990,'دیده بان بازار'!$Q$5:$Q$2990,"")</f>
        <v>6.45</v>
      </c>
      <c r="F371" s="2063">
        <f t="shared" si="5"/>
        <v>-0.87999999999999989</v>
      </c>
    </row>
    <row r="372" spans="1:6">
      <c r="A372" s="2062" t="str">
        <f>_xlfn.XLOOKUP(C372,'Price Record'!$C$5:$C$102,'Price Record'!$D$5:$D$102,"")</f>
        <v>C</v>
      </c>
      <c r="B372" s="1445" t="s">
        <v>50</v>
      </c>
      <c r="C372" s="1445" t="s">
        <v>51</v>
      </c>
      <c r="D372" s="1445" t="s">
        <v>192</v>
      </c>
      <c r="E372" s="1445">
        <f>_xlfn.XLOOKUP(C372,'دیده بان بازار'!$A$5:$A$2990,'دیده بان بازار'!$Q$5:$Q$2990,"")</f>
        <v>6.16</v>
      </c>
      <c r="F372" s="2063" t="str">
        <f t="shared" si="5"/>
        <v/>
      </c>
    </row>
    <row r="373" spans="1:6">
      <c r="A373" s="2059" t="str">
        <f>_xlfn.XLOOKUP(C373,'Price Record'!$C$5:$C$102,'Price Record'!$D$5:$D$102,"")</f>
        <v/>
      </c>
      <c r="B373" t="s">
        <v>2310</v>
      </c>
      <c r="C373" t="s">
        <v>956</v>
      </c>
      <c r="D373" t="s">
        <v>192</v>
      </c>
      <c r="E373">
        <f>_xlfn.XLOOKUP(C373,'دیده بان بازار'!$A$5:$A$2990,'دیده بان بازار'!$Q$5:$Q$2990,"")</f>
        <v>8.65</v>
      </c>
      <c r="F373" s="428" t="str">
        <f t="shared" si="5"/>
        <v/>
      </c>
    </row>
    <row r="374" spans="1:6">
      <c r="A374" s="2059" t="str">
        <f>_xlfn.XLOOKUP(C374,'Price Record'!$C$5:$C$102,'Price Record'!$D$5:$D$102,"")</f>
        <v/>
      </c>
      <c r="B374" t="s">
        <v>2310</v>
      </c>
      <c r="C374" t="s">
        <v>2311</v>
      </c>
      <c r="D374" t="s">
        <v>192</v>
      </c>
      <c r="E374" t="str">
        <f>_xlfn.XLOOKUP(C374,'دیده بان بازار'!$A$5:$A$2990,'دیده بان بازار'!$Q$5:$Q$2990,"")</f>
        <v/>
      </c>
      <c r="F374" s="428" t="str">
        <f t="shared" si="5"/>
        <v/>
      </c>
    </row>
    <row r="375" spans="1:6">
      <c r="A375" s="2062" t="str">
        <f>_xlfn.XLOOKUP(C375,'Price Record'!$C$5:$C$102,'Price Record'!$D$5:$D$102,"")</f>
        <v>C</v>
      </c>
      <c r="B375" s="1445" t="s">
        <v>56</v>
      </c>
      <c r="C375" s="1445" t="s">
        <v>57</v>
      </c>
      <c r="D375" s="1445" t="s">
        <v>192</v>
      </c>
      <c r="E375" s="1445">
        <f>_xlfn.XLOOKUP(C375,'دیده بان بازار'!$A$5:$A$2990,'دیده بان بازار'!$Q$5:$Q$2990,"")</f>
        <v>5.41</v>
      </c>
      <c r="F375" s="2063" t="str">
        <f t="shared" si="5"/>
        <v/>
      </c>
    </row>
    <row r="376" spans="1:6">
      <c r="A376" s="2059" t="str">
        <f>_xlfn.XLOOKUP(C376,'Price Record'!$C$5:$C$102,'Price Record'!$D$5:$D$102,"")</f>
        <v/>
      </c>
      <c r="B376" t="s">
        <v>2312</v>
      </c>
      <c r="C376" t="s">
        <v>2313</v>
      </c>
      <c r="D376" t="s">
        <v>192</v>
      </c>
      <c r="E376">
        <f>_xlfn.XLOOKUP(C376,'دیده بان بازار'!$A$5:$A$2990,'دیده بان بازار'!$Q$5:$Q$2990,"")</f>
        <v>7.36</v>
      </c>
      <c r="F376" s="428" t="str">
        <f t="shared" si="5"/>
        <v/>
      </c>
    </row>
    <row r="377" spans="1:6">
      <c r="A377" s="2062" t="str">
        <f>_xlfn.XLOOKUP(C377,'Price Record'!$C$5:$C$102,'Price Record'!$D$5:$D$102,"")</f>
        <v>C</v>
      </c>
      <c r="B377" s="1445" t="s">
        <v>72</v>
      </c>
      <c r="C377" s="1445" t="s">
        <v>73</v>
      </c>
      <c r="D377" s="1445">
        <v>83.02</v>
      </c>
      <c r="E377" s="1445">
        <f>_xlfn.XLOOKUP(C377,'دیده بان بازار'!$A$5:$A$2990,'دیده بان بازار'!$Q$5:$Q$2990,"")</f>
        <v>6.46</v>
      </c>
      <c r="F377" s="2063">
        <f t="shared" si="5"/>
        <v>-76.56</v>
      </c>
    </row>
    <row r="378" spans="1:6">
      <c r="A378" s="2059" t="str">
        <f>_xlfn.XLOOKUP(C378,'Price Record'!$C$5:$C$102,'Price Record'!$D$5:$D$102,"")</f>
        <v/>
      </c>
      <c r="B378" t="s">
        <v>2314</v>
      </c>
      <c r="C378" t="s">
        <v>932</v>
      </c>
      <c r="D378" t="s">
        <v>192</v>
      </c>
      <c r="E378">
        <f>_xlfn.XLOOKUP(C378,'دیده بان بازار'!$A$5:$A$2990,'دیده بان بازار'!$Q$5:$Q$2990,"")</f>
        <v>9.41</v>
      </c>
      <c r="F378" s="428" t="str">
        <f t="shared" si="5"/>
        <v/>
      </c>
    </row>
    <row r="379" spans="1:6">
      <c r="A379" s="2059" t="str">
        <f>_xlfn.XLOOKUP(C379,'Price Record'!$C$5:$C$102,'Price Record'!$D$5:$D$102,"")</f>
        <v/>
      </c>
      <c r="B379" t="s">
        <v>1678</v>
      </c>
      <c r="C379" t="s">
        <v>1679</v>
      </c>
      <c r="D379" t="s">
        <v>192</v>
      </c>
      <c r="E379">
        <f>_xlfn.XLOOKUP(C379,'دیده بان بازار'!$A$5:$A$2990,'دیده بان بازار'!$Q$5:$Q$2990,"")</f>
        <v>7.7</v>
      </c>
      <c r="F379" s="428" t="str">
        <f t="shared" si="5"/>
        <v/>
      </c>
    </row>
    <row r="380" spans="1:6">
      <c r="A380" s="2059" t="str">
        <f>_xlfn.XLOOKUP(C380,'Price Record'!$C$5:$C$102,'Price Record'!$D$5:$D$102,"")</f>
        <v/>
      </c>
      <c r="B380" t="s">
        <v>1678</v>
      </c>
      <c r="C380" t="s">
        <v>2315</v>
      </c>
      <c r="D380" t="s">
        <v>192</v>
      </c>
      <c r="E380" t="str">
        <f>_xlfn.XLOOKUP(C380,'دیده بان بازار'!$A$5:$A$2990,'دیده بان بازار'!$Q$5:$Q$2990,"")</f>
        <v/>
      </c>
      <c r="F380" s="428" t="str">
        <f t="shared" si="5"/>
        <v/>
      </c>
    </row>
    <row r="381" spans="1:6">
      <c r="A381" s="2059" t="str">
        <f>_xlfn.XLOOKUP(C381,'Price Record'!$C$5:$C$102,'Price Record'!$D$5:$D$102,"")</f>
        <v/>
      </c>
      <c r="B381" t="s">
        <v>2316</v>
      </c>
      <c r="C381" t="s">
        <v>2317</v>
      </c>
      <c r="D381">
        <v>4.18</v>
      </c>
      <c r="E381">
        <f>_xlfn.XLOOKUP(C381,'دیده بان بازار'!$A$5:$A$2990,'دیده بان بازار'!$Q$5:$Q$2990,"")</f>
        <v>-12.07</v>
      </c>
      <c r="F381" s="428" t="str">
        <f t="shared" si="5"/>
        <v/>
      </c>
    </row>
    <row r="382" spans="1:6">
      <c r="A382" s="2059" t="str">
        <f>_xlfn.XLOOKUP(C382,'Price Record'!$C$5:$C$102,'Price Record'!$D$5:$D$102,"")</f>
        <v/>
      </c>
      <c r="B382" t="s">
        <v>2318</v>
      </c>
      <c r="C382" t="s">
        <v>2319</v>
      </c>
      <c r="D382" t="s">
        <v>192</v>
      </c>
      <c r="E382">
        <f>_xlfn.XLOOKUP(C382,'دیده بان بازار'!$A$5:$A$2990,'دیده بان بازار'!$Q$5:$Q$2990,"")</f>
        <v>11.24</v>
      </c>
      <c r="F382" s="428" t="str">
        <f t="shared" si="5"/>
        <v/>
      </c>
    </row>
    <row r="383" spans="1:6">
      <c r="A383" s="2062" t="str">
        <f>_xlfn.XLOOKUP(C383,'Price Record'!$C$5:$C$102,'Price Record'!$D$5:$D$102,"")</f>
        <v>C</v>
      </c>
      <c r="B383" s="1445" t="s">
        <v>62</v>
      </c>
      <c r="C383" s="1445" t="s">
        <v>63</v>
      </c>
      <c r="D383" s="1445">
        <v>4.1399999999999997</v>
      </c>
      <c r="E383" s="1445">
        <f>_xlfn.XLOOKUP(C383,'دیده بان بازار'!$A$5:$A$2990,'دیده بان بازار'!$Q$5:$Q$2990,"")</f>
        <v>6.3</v>
      </c>
      <c r="F383" s="2063">
        <f t="shared" si="5"/>
        <v>2.16</v>
      </c>
    </row>
    <row r="384" spans="1:6">
      <c r="A384" s="2062" t="str">
        <f>_xlfn.XLOOKUP(C384,'Price Record'!$C$5:$C$102,'Price Record'!$D$5:$D$102,"")</f>
        <v>C</v>
      </c>
      <c r="B384" s="1445" t="s">
        <v>76</v>
      </c>
      <c r="C384" s="1445" t="s">
        <v>77</v>
      </c>
      <c r="D384" s="1445" t="s">
        <v>192</v>
      </c>
      <c r="E384" s="1445">
        <f>_xlfn.XLOOKUP(C384,'دیده بان بازار'!$A$5:$A$2990,'دیده بان بازار'!$Q$5:$Q$2990,"")</f>
        <v>6.37</v>
      </c>
      <c r="F384" s="2063" t="str">
        <f t="shared" si="5"/>
        <v/>
      </c>
    </row>
    <row r="385" spans="1:6">
      <c r="A385" s="2059" t="str">
        <f>_xlfn.XLOOKUP(C385,'Price Record'!$C$5:$C$102,'Price Record'!$D$5:$D$102,"")</f>
        <v/>
      </c>
      <c r="B385" t="s">
        <v>76</v>
      </c>
      <c r="C385" t="s">
        <v>2320</v>
      </c>
      <c r="D385">
        <v>4.38</v>
      </c>
      <c r="E385" t="str">
        <f>_xlfn.XLOOKUP(C385,'دیده بان بازار'!$A$5:$A$2990,'دیده بان بازار'!$Q$5:$Q$2990,"")</f>
        <v/>
      </c>
      <c r="F385" s="428" t="str">
        <f t="shared" si="5"/>
        <v/>
      </c>
    </row>
    <row r="386" spans="1:6">
      <c r="A386" s="2059" t="str">
        <f>_xlfn.XLOOKUP(C386,'Price Record'!$C$5:$C$102,'Price Record'!$D$5:$D$102,"")</f>
        <v/>
      </c>
      <c r="B386" t="s">
        <v>2321</v>
      </c>
      <c r="C386" t="s">
        <v>968</v>
      </c>
      <c r="D386" t="s">
        <v>192</v>
      </c>
      <c r="E386">
        <f>_xlfn.XLOOKUP(C386,'دیده بان بازار'!$A$5:$A$2990,'دیده بان بازار'!$Q$5:$Q$2990,"")</f>
        <v>21.44</v>
      </c>
      <c r="F386" s="428" t="str">
        <f t="shared" si="5"/>
        <v/>
      </c>
    </row>
    <row r="387" spans="1:6">
      <c r="A387" s="2059" t="str">
        <f>_xlfn.XLOOKUP(C387,'Price Record'!$C$5:$C$102,'Price Record'!$D$5:$D$102,"")</f>
        <v>C</v>
      </c>
      <c r="B387" t="s">
        <v>82</v>
      </c>
      <c r="C387" t="s">
        <v>83</v>
      </c>
      <c r="D387" t="s">
        <v>192</v>
      </c>
      <c r="E387">
        <f>_xlfn.XLOOKUP(C387,'دیده بان بازار'!$A$5:$A$2990,'دیده بان بازار'!$Q$5:$Q$2990,"")</f>
        <v>6.87</v>
      </c>
      <c r="F387" s="428" t="str">
        <f t="shared" si="5"/>
        <v/>
      </c>
    </row>
    <row r="388" spans="1:6">
      <c r="A388" s="2062" t="str">
        <f>_xlfn.XLOOKUP(C388,'Price Record'!$C$5:$C$102,'Price Record'!$D$5:$D$102,"")</f>
        <v>C</v>
      </c>
      <c r="B388" s="1445" t="s">
        <v>66</v>
      </c>
      <c r="C388" s="1445" t="s">
        <v>67</v>
      </c>
      <c r="D388" s="1445" t="s">
        <v>192</v>
      </c>
      <c r="E388" s="1445">
        <f>_xlfn.XLOOKUP(C388,'دیده بان بازار'!$A$5:$A$2990,'دیده بان بازار'!$Q$5:$Q$2990,"")</f>
        <v>5.79</v>
      </c>
      <c r="F388" s="2063" t="str">
        <f t="shared" ref="F388:F451" si="6">IFERROR(IF(0&lt;E388,IF(E388&lt;20,E388-D388,""),""),"")</f>
        <v/>
      </c>
    </row>
    <row r="389" spans="1:6">
      <c r="A389" s="2062" t="str">
        <f>_xlfn.XLOOKUP(C389,'Price Record'!$C$5:$C$102,'Price Record'!$D$5:$D$102,"")</f>
        <v>C</v>
      </c>
      <c r="B389" s="1445" t="s">
        <v>2322</v>
      </c>
      <c r="C389" s="1445" t="s">
        <v>65</v>
      </c>
      <c r="D389" s="1445" t="s">
        <v>192</v>
      </c>
      <c r="E389" s="1445">
        <f>_xlfn.XLOOKUP(C389,'دیده بان بازار'!$A$5:$A$2990,'دیده بان بازار'!$Q$5:$Q$2990,"")</f>
        <v>6.4</v>
      </c>
      <c r="F389" s="2063" t="str">
        <f t="shared" si="6"/>
        <v/>
      </c>
    </row>
    <row r="390" spans="1:6">
      <c r="A390" s="2059" t="str">
        <f>_xlfn.XLOOKUP(C390,'Price Record'!$C$5:$C$102,'Price Record'!$D$5:$D$102,"")</f>
        <v/>
      </c>
      <c r="B390" t="s">
        <v>2323</v>
      </c>
      <c r="C390" t="s">
        <v>2324</v>
      </c>
      <c r="D390" t="s">
        <v>192</v>
      </c>
      <c r="E390">
        <f>_xlfn.XLOOKUP(C390,'دیده بان بازار'!$A$5:$A$2990,'دیده بان بازار'!$Q$5:$Q$2990,"")</f>
        <v>-0.16</v>
      </c>
      <c r="F390" s="428" t="str">
        <f t="shared" si="6"/>
        <v/>
      </c>
    </row>
    <row r="391" spans="1:6">
      <c r="A391" s="2062" t="str">
        <f>_xlfn.XLOOKUP(C391,'Price Record'!$C$5:$C$102,'Price Record'!$D$5:$D$102,"")</f>
        <v>C</v>
      </c>
      <c r="B391" s="1445" t="s">
        <v>54</v>
      </c>
      <c r="C391" s="1445" t="s">
        <v>55</v>
      </c>
      <c r="D391" s="1445" t="s">
        <v>192</v>
      </c>
      <c r="E391" s="1445">
        <f>_xlfn.XLOOKUP(C391,'دیده بان بازار'!$A$5:$A$2990,'دیده بان بازار'!$Q$5:$Q$2990,"")</f>
        <v>6.65</v>
      </c>
      <c r="F391" s="2063" t="str">
        <f t="shared" si="6"/>
        <v/>
      </c>
    </row>
    <row r="392" spans="1:6">
      <c r="A392" s="2059" t="str">
        <f>_xlfn.XLOOKUP(C392,'Price Record'!$C$5:$C$102,'Price Record'!$D$5:$D$102,"")</f>
        <v/>
      </c>
      <c r="B392" t="s">
        <v>2325</v>
      </c>
      <c r="C392" t="s">
        <v>2326</v>
      </c>
      <c r="D392">
        <v>9.14</v>
      </c>
      <c r="E392">
        <f>_xlfn.XLOOKUP(C392,'دیده بان بازار'!$A$5:$A$2990,'دیده بان بازار'!$Q$5:$Q$2990,"")</f>
        <v>2.94</v>
      </c>
      <c r="F392" s="428">
        <f t="shared" si="6"/>
        <v>-6.2000000000000011</v>
      </c>
    </row>
    <row r="393" spans="1:6">
      <c r="A393" s="2059" t="str">
        <f>_xlfn.XLOOKUP(C393,'Price Record'!$C$5:$C$102,'Price Record'!$D$5:$D$102,"")</f>
        <v/>
      </c>
      <c r="B393" t="s">
        <v>2327</v>
      </c>
      <c r="C393" t="s">
        <v>2328</v>
      </c>
      <c r="D393" t="s">
        <v>192</v>
      </c>
      <c r="E393">
        <f>_xlfn.XLOOKUP(C393,'دیده بان بازار'!$A$5:$A$2990,'دیده بان بازار'!$Q$5:$Q$2990,"")</f>
        <v>4.4800000000000004</v>
      </c>
      <c r="F393" s="428" t="str">
        <f t="shared" si="6"/>
        <v/>
      </c>
    </row>
    <row r="394" spans="1:6">
      <c r="A394" s="2059" t="str">
        <f>_xlfn.XLOOKUP(C394,'Price Record'!$C$5:$C$102,'Price Record'!$D$5:$D$102,"")</f>
        <v/>
      </c>
      <c r="B394" t="s">
        <v>2329</v>
      </c>
      <c r="C394" t="s">
        <v>2330</v>
      </c>
      <c r="D394" t="s">
        <v>192</v>
      </c>
      <c r="E394">
        <f>_xlfn.XLOOKUP(C394,'دیده بان بازار'!$A$5:$A$2990,'دیده بان بازار'!$Q$5:$Q$2990,"")</f>
        <v>7.19</v>
      </c>
      <c r="F394" s="428" t="str">
        <f t="shared" si="6"/>
        <v/>
      </c>
    </row>
    <row r="395" spans="1:6">
      <c r="A395" s="2062" t="str">
        <f>_xlfn.XLOOKUP(C395,'Price Record'!$C$5:$C$102,'Price Record'!$D$5:$D$102,"")</f>
        <v>C</v>
      </c>
      <c r="B395" s="1445" t="s">
        <v>58</v>
      </c>
      <c r="C395" s="1445" t="s">
        <v>59</v>
      </c>
      <c r="D395" s="1445" t="s">
        <v>192</v>
      </c>
      <c r="E395" s="1445">
        <f>_xlfn.XLOOKUP(C395,'دیده بان بازار'!$A$5:$A$2990,'دیده بان بازار'!$Q$5:$Q$2990,"")</f>
        <v>17.059999999999999</v>
      </c>
      <c r="F395" s="2063" t="str">
        <f t="shared" si="6"/>
        <v/>
      </c>
    </row>
    <row r="396" spans="1:6">
      <c r="A396" s="2059" t="str">
        <f>_xlfn.XLOOKUP(C396,'Price Record'!$C$5:$C$102,'Price Record'!$D$5:$D$102,"")</f>
        <v/>
      </c>
      <c r="B396" t="s">
        <v>58</v>
      </c>
      <c r="C396" t="s">
        <v>2331</v>
      </c>
      <c r="D396" t="s">
        <v>192</v>
      </c>
      <c r="E396" t="str">
        <f>_xlfn.XLOOKUP(C396,'دیده بان بازار'!$A$5:$A$2990,'دیده بان بازار'!$Q$5:$Q$2990,"")</f>
        <v/>
      </c>
      <c r="F396" s="428" t="str">
        <f t="shared" si="6"/>
        <v/>
      </c>
    </row>
    <row r="397" spans="1:6">
      <c r="A397" s="2059" t="str">
        <f>_xlfn.XLOOKUP(C397,'Price Record'!$C$5:$C$102,'Price Record'!$D$5:$D$102,"")</f>
        <v/>
      </c>
      <c r="B397" t="s">
        <v>2332</v>
      </c>
      <c r="C397" t="s">
        <v>2333</v>
      </c>
      <c r="D397" t="s">
        <v>192</v>
      </c>
      <c r="E397">
        <f>_xlfn.XLOOKUP(C397,'دیده بان بازار'!$A$5:$A$2990,'دیده بان بازار'!$Q$5:$Q$2990,"")</f>
        <v>14.33</v>
      </c>
      <c r="F397" s="428" t="str">
        <f t="shared" si="6"/>
        <v/>
      </c>
    </row>
    <row r="398" spans="1:6">
      <c r="A398" s="2059" t="str">
        <f>_xlfn.XLOOKUP(C398,'Price Record'!$C$5:$C$102,'Price Record'!$D$5:$D$102,"")</f>
        <v/>
      </c>
      <c r="B398" t="s">
        <v>1676</v>
      </c>
      <c r="C398" t="s">
        <v>1677</v>
      </c>
      <c r="D398" t="s">
        <v>192</v>
      </c>
      <c r="E398">
        <f>_xlfn.XLOOKUP(C398,'دیده بان بازار'!$A$5:$A$2990,'دیده بان بازار'!$Q$5:$Q$2990,"")</f>
        <v>6.61</v>
      </c>
      <c r="F398" s="428" t="str">
        <f t="shared" si="6"/>
        <v/>
      </c>
    </row>
    <row r="399" spans="1:6">
      <c r="A399" s="2059" t="str">
        <f>_xlfn.XLOOKUP(C399,'Price Record'!$C$5:$C$102,'Price Record'!$D$5:$D$102,"")</f>
        <v/>
      </c>
      <c r="B399" t="s">
        <v>2334</v>
      </c>
      <c r="C399" t="s">
        <v>2335</v>
      </c>
      <c r="D399">
        <v>35.44</v>
      </c>
      <c r="E399">
        <f>_xlfn.XLOOKUP(C399,'دیده بان بازار'!$A$5:$A$2990,'دیده بان بازار'!$Q$5:$Q$2990,"")</f>
        <v>14.18</v>
      </c>
      <c r="F399" s="428">
        <f t="shared" si="6"/>
        <v>-21.259999999999998</v>
      </c>
    </row>
    <row r="400" spans="1:6">
      <c r="A400" s="2062" t="str">
        <f>_xlfn.XLOOKUP(C400,'Price Record'!$C$5:$C$102,'Price Record'!$D$5:$D$102,"")</f>
        <v>M</v>
      </c>
      <c r="B400" s="1445" t="s">
        <v>124</v>
      </c>
      <c r="C400" s="1445" t="s">
        <v>125</v>
      </c>
      <c r="D400" s="1445">
        <v>45.58</v>
      </c>
      <c r="E400" s="1445">
        <f>_xlfn.XLOOKUP(C400,'دیده بان بازار'!$A$5:$A$2990,'دیده بان بازار'!$Q$5:$Q$2990,"")</f>
        <v>5.04</v>
      </c>
      <c r="F400" s="2063">
        <f t="shared" si="6"/>
        <v>-40.54</v>
      </c>
    </row>
    <row r="401" spans="1:6">
      <c r="A401" s="2059" t="str">
        <f>_xlfn.XLOOKUP(C401,'Price Record'!$C$5:$C$102,'Price Record'!$D$5:$D$102,"")</f>
        <v/>
      </c>
      <c r="B401" t="s">
        <v>124</v>
      </c>
      <c r="C401" t="s">
        <v>2336</v>
      </c>
      <c r="D401">
        <v>2.68</v>
      </c>
      <c r="E401">
        <f>_xlfn.XLOOKUP(C401,'دیده بان بازار'!$A$5:$A$2990,'دیده بان بازار'!$Q$5:$Q$2990,"")</f>
        <v>5.04</v>
      </c>
      <c r="F401" s="428">
        <f t="shared" si="6"/>
        <v>2.36</v>
      </c>
    </row>
    <row r="402" spans="1:6">
      <c r="A402" s="2059" t="str">
        <f>_xlfn.XLOOKUP(C402,'Price Record'!$C$5:$C$102,'Price Record'!$D$5:$D$102,"")</f>
        <v/>
      </c>
      <c r="B402" t="s">
        <v>2337</v>
      </c>
      <c r="C402" t="s">
        <v>964</v>
      </c>
      <c r="D402">
        <v>31.21</v>
      </c>
      <c r="E402">
        <f>_xlfn.XLOOKUP(C402,'دیده بان بازار'!$A$5:$A$2990,'دیده بان بازار'!$Q$5:$Q$2990,"")</f>
        <v>22.74</v>
      </c>
      <c r="F402" s="428" t="str">
        <f t="shared" si="6"/>
        <v/>
      </c>
    </row>
    <row r="403" spans="1:6">
      <c r="A403" s="2059" t="str">
        <f>_xlfn.XLOOKUP(C403,'Price Record'!$C$5:$C$102,'Price Record'!$D$5:$D$102,"")</f>
        <v/>
      </c>
      <c r="B403" t="s">
        <v>2338</v>
      </c>
      <c r="C403" t="s">
        <v>2338</v>
      </c>
      <c r="D403">
        <v>3.37</v>
      </c>
      <c r="E403">
        <f>_xlfn.XLOOKUP(C403,'دیده بان بازار'!$A$5:$A$2990,'دیده بان بازار'!$Q$5:$Q$2990,"")</f>
        <v>7.15</v>
      </c>
      <c r="F403" s="428">
        <f t="shared" si="6"/>
        <v>3.7800000000000002</v>
      </c>
    </row>
    <row r="404" spans="1:6">
      <c r="A404" s="2059" t="str">
        <f>_xlfn.XLOOKUP(C404,'Price Record'!$C$5:$C$102,'Price Record'!$D$5:$D$102,"")</f>
        <v/>
      </c>
      <c r="B404" t="s">
        <v>2338</v>
      </c>
      <c r="C404" t="s">
        <v>2339</v>
      </c>
      <c r="D404">
        <v>5.41</v>
      </c>
      <c r="E404" t="str">
        <f>_xlfn.XLOOKUP(C404,'دیده بان بازار'!$A$5:$A$2990,'دیده بان بازار'!$Q$5:$Q$2990,"")</f>
        <v/>
      </c>
      <c r="F404" s="428" t="str">
        <f t="shared" si="6"/>
        <v/>
      </c>
    </row>
    <row r="405" spans="1:6">
      <c r="A405" s="2059" t="str">
        <f>_xlfn.XLOOKUP(C405,'Price Record'!$C$5:$C$102,'Price Record'!$D$5:$D$102,"")</f>
        <v/>
      </c>
      <c r="B405" t="s">
        <v>2338</v>
      </c>
      <c r="C405" t="s">
        <v>2340</v>
      </c>
      <c r="D405" t="s">
        <v>192</v>
      </c>
      <c r="E405">
        <f>_xlfn.XLOOKUP(C405,'دیده بان بازار'!$A$5:$A$2990,'دیده بان بازار'!$Q$5:$Q$2990,"")</f>
        <v>7.15</v>
      </c>
      <c r="F405" s="428" t="str">
        <f t="shared" si="6"/>
        <v/>
      </c>
    </row>
    <row r="406" spans="1:6">
      <c r="A406" s="2062" t="str">
        <f>_xlfn.XLOOKUP(C406,'Price Record'!$C$5:$C$102,'Price Record'!$D$5:$D$102,"")</f>
        <v>PEP</v>
      </c>
      <c r="B406" s="1445" t="s">
        <v>148</v>
      </c>
      <c r="C406" s="1445" t="s">
        <v>149</v>
      </c>
      <c r="D406" s="1445" t="s">
        <v>192</v>
      </c>
      <c r="E406" s="1445">
        <f>_xlfn.XLOOKUP(C406,'دیده بان بازار'!$A$5:$A$2990,'دیده بان بازار'!$Q$5:$Q$2990,"")</f>
        <v>5.07</v>
      </c>
      <c r="F406" s="2063" t="str">
        <f t="shared" si="6"/>
        <v/>
      </c>
    </row>
    <row r="407" spans="1:6">
      <c r="A407" s="2059" t="str">
        <f>_xlfn.XLOOKUP(C407,'Price Record'!$C$5:$C$102,'Price Record'!$D$5:$D$102,"")</f>
        <v/>
      </c>
      <c r="B407" t="s">
        <v>2341</v>
      </c>
      <c r="C407" t="s">
        <v>2342</v>
      </c>
      <c r="D407" t="s">
        <v>192</v>
      </c>
      <c r="E407">
        <f>_xlfn.XLOOKUP(C407,'دیده بان بازار'!$A$5:$A$2990,'دیده بان بازار'!$Q$5:$Q$2990,"")</f>
        <v>9.2100000000000009</v>
      </c>
      <c r="F407" s="428" t="str">
        <f t="shared" si="6"/>
        <v/>
      </c>
    </row>
    <row r="408" spans="1:6">
      <c r="A408" s="2059" t="str">
        <f>_xlfn.XLOOKUP(C408,'Price Record'!$C$5:$C$102,'Price Record'!$D$5:$D$102,"")</f>
        <v/>
      </c>
      <c r="B408" t="s">
        <v>2343</v>
      </c>
      <c r="C408" t="s">
        <v>2344</v>
      </c>
      <c r="D408">
        <v>5.3</v>
      </c>
      <c r="E408">
        <f>_xlfn.XLOOKUP(C408,'دیده بان بازار'!$A$5:$A$2990,'دیده بان بازار'!$Q$5:$Q$2990,"")</f>
        <v>7.45</v>
      </c>
      <c r="F408" s="428">
        <f t="shared" si="6"/>
        <v>2.1500000000000004</v>
      </c>
    </row>
    <row r="409" spans="1:6">
      <c r="A409" s="2059" t="str">
        <f>_xlfn.XLOOKUP(C409,'Price Record'!$C$5:$C$102,'Price Record'!$D$5:$D$102,"")</f>
        <v/>
      </c>
      <c r="B409" t="s">
        <v>2345</v>
      </c>
      <c r="C409" t="s">
        <v>2346</v>
      </c>
      <c r="D409" t="s">
        <v>192</v>
      </c>
      <c r="E409">
        <f>_xlfn.XLOOKUP(C409,'دیده بان بازار'!$A$5:$A$2990,'دیده بان بازار'!$Q$5:$Q$2990,"")</f>
        <v>4.37</v>
      </c>
      <c r="F409" s="428" t="str">
        <f t="shared" si="6"/>
        <v/>
      </c>
    </row>
    <row r="410" spans="1:6">
      <c r="A410" s="2062" t="str">
        <f>_xlfn.XLOOKUP(C410,'Price Record'!$C$5:$C$102,'Price Record'!$D$5:$D$102,"")</f>
        <v>PAB</v>
      </c>
      <c r="B410" s="1445" t="s">
        <v>138</v>
      </c>
      <c r="C410" s="1445" t="s">
        <v>139</v>
      </c>
      <c r="D410" s="1445" t="s">
        <v>192</v>
      </c>
      <c r="E410" s="1445">
        <f>_xlfn.XLOOKUP(C410,'دیده بان بازار'!$A$5:$A$2990,'دیده بان بازار'!$Q$5:$Q$2990,"")</f>
        <v>3.82</v>
      </c>
      <c r="F410" s="2063" t="str">
        <f t="shared" si="6"/>
        <v/>
      </c>
    </row>
    <row r="411" spans="1:6">
      <c r="A411" s="2062" t="str">
        <f>_xlfn.XLOOKUP(C411,'Price Record'!$C$5:$C$102,'Price Record'!$D$5:$D$102,"")</f>
        <v>R</v>
      </c>
      <c r="B411" s="1445" t="s">
        <v>173</v>
      </c>
      <c r="C411" s="1445" t="s">
        <v>174</v>
      </c>
      <c r="D411" s="1445" t="s">
        <v>192</v>
      </c>
      <c r="E411" s="1445">
        <f>_xlfn.XLOOKUP(C411,'دیده بان بازار'!$A$5:$A$2990,'دیده بان بازار'!$Q$5:$Q$2990,"")</f>
        <v>4.9800000000000004</v>
      </c>
      <c r="F411" s="2063" t="str">
        <f t="shared" si="6"/>
        <v/>
      </c>
    </row>
    <row r="412" spans="1:6">
      <c r="A412" s="2062" t="str">
        <f>_xlfn.XLOOKUP(C412,'Price Record'!$C$5:$C$102,'Price Record'!$D$5:$D$102,"")</f>
        <v>L</v>
      </c>
      <c r="B412" s="1445" t="s">
        <v>179</v>
      </c>
      <c r="C412" s="1445" t="s">
        <v>180</v>
      </c>
      <c r="D412" s="1445">
        <v>5.43</v>
      </c>
      <c r="E412" s="1445" t="str">
        <f>_xlfn.XLOOKUP(C412,'دیده بان بازار'!$A$5:$A$2990,'دیده بان بازار'!$Q$5:$Q$2990,"")</f>
        <v/>
      </c>
      <c r="F412" s="2063" t="str">
        <f t="shared" si="6"/>
        <v/>
      </c>
    </row>
    <row r="413" spans="1:6">
      <c r="A413" s="2059" t="str">
        <f>_xlfn.XLOOKUP(C413,'Price Record'!$C$5:$C$102,'Price Record'!$D$5:$D$102,"")</f>
        <v/>
      </c>
      <c r="B413" t="s">
        <v>179</v>
      </c>
      <c r="C413" t="s">
        <v>2347</v>
      </c>
      <c r="D413">
        <v>8.11</v>
      </c>
      <c r="E413" t="str">
        <f>_xlfn.XLOOKUP(C413,'دیده بان بازار'!$A$5:$A$2990,'دیده بان بازار'!$Q$5:$Q$2990,"")</f>
        <v/>
      </c>
      <c r="F413" s="428" t="str">
        <f t="shared" si="6"/>
        <v/>
      </c>
    </row>
    <row r="414" spans="1:6">
      <c r="A414" s="2059" t="str">
        <f>_xlfn.XLOOKUP(C414,'Price Record'!$C$5:$C$102,'Price Record'!$D$5:$D$102,"")</f>
        <v/>
      </c>
      <c r="B414" t="s">
        <v>2348</v>
      </c>
      <c r="C414" t="s">
        <v>2349</v>
      </c>
      <c r="D414" t="s">
        <v>192</v>
      </c>
      <c r="E414">
        <f>_xlfn.XLOOKUP(C414,'دیده بان بازار'!$A$5:$A$2990,'دیده بان بازار'!$Q$5:$Q$2990,"")</f>
        <v>4.5199999999999996</v>
      </c>
      <c r="F414" s="428" t="str">
        <f t="shared" si="6"/>
        <v/>
      </c>
    </row>
    <row r="415" spans="1:6">
      <c r="A415" s="2059" t="str">
        <f>_xlfn.XLOOKUP(C415,'Price Record'!$C$5:$C$102,'Price Record'!$D$5:$D$102,"")</f>
        <v/>
      </c>
      <c r="B415" t="s">
        <v>2350</v>
      </c>
      <c r="C415" t="s">
        <v>2351</v>
      </c>
      <c r="D415" t="s">
        <v>192</v>
      </c>
      <c r="E415">
        <f>_xlfn.XLOOKUP(C415,'دیده بان بازار'!$A$5:$A$2990,'دیده بان بازار'!$Q$5:$Q$2990,"")</f>
        <v>6.06</v>
      </c>
      <c r="F415" s="428" t="str">
        <f t="shared" si="6"/>
        <v/>
      </c>
    </row>
    <row r="416" spans="1:6">
      <c r="A416" s="2062" t="str">
        <f>_xlfn.XLOOKUP(C416,'Price Record'!$C$5:$C$102,'Price Record'!$D$5:$D$102,"")</f>
        <v>DH</v>
      </c>
      <c r="B416" s="1445" t="s">
        <v>90</v>
      </c>
      <c r="C416" s="1445" t="s">
        <v>91</v>
      </c>
      <c r="D416" s="1445">
        <v>9.8800000000000008</v>
      </c>
      <c r="E416" s="1445">
        <f>_xlfn.XLOOKUP(C416,'دیده بان بازار'!$A$5:$A$2990,'دیده بان بازار'!$Q$5:$Q$2990,"")</f>
        <v>5.83</v>
      </c>
      <c r="F416" s="2063">
        <f t="shared" si="6"/>
        <v>-4.0500000000000007</v>
      </c>
    </row>
    <row r="417" spans="1:6">
      <c r="A417" s="2059" t="str">
        <f>_xlfn.XLOOKUP(C417,'Price Record'!$C$5:$C$102,'Price Record'!$D$5:$D$102,"")</f>
        <v/>
      </c>
      <c r="B417" t="s">
        <v>2352</v>
      </c>
      <c r="C417" t="s">
        <v>2353</v>
      </c>
      <c r="D417" t="s">
        <v>192</v>
      </c>
      <c r="E417">
        <f>_xlfn.XLOOKUP(C417,'دیده بان بازار'!$A$5:$A$2990,'دیده بان بازار'!$Q$5:$Q$2990,"")</f>
        <v>-0.83</v>
      </c>
      <c r="F417" s="428" t="str">
        <f t="shared" si="6"/>
        <v/>
      </c>
    </row>
    <row r="418" spans="1:6">
      <c r="A418" s="2062" t="str">
        <f>_xlfn.XLOOKUP(C418,'Price Record'!$C$5:$C$102,'Price Record'!$D$5:$D$102,"")</f>
        <v>PUR</v>
      </c>
      <c r="B418" s="1445" t="s">
        <v>142</v>
      </c>
      <c r="C418" s="1445" t="s">
        <v>143</v>
      </c>
      <c r="D418" s="1445">
        <v>4.74</v>
      </c>
      <c r="E418" s="1445">
        <f>_xlfn.XLOOKUP(C418,'دیده بان بازار'!$A$5:$A$2990,'دیده بان بازار'!$Q$5:$Q$2990,"")</f>
        <v>5.82</v>
      </c>
      <c r="F418" s="2063">
        <f t="shared" si="6"/>
        <v>1.08</v>
      </c>
    </row>
    <row r="419" spans="1:6">
      <c r="A419" s="2059" t="str">
        <f>_xlfn.XLOOKUP(C419,'Price Record'!$C$5:$C$102,'Price Record'!$D$5:$D$102,"")</f>
        <v/>
      </c>
      <c r="B419" t="s">
        <v>2354</v>
      </c>
      <c r="C419" t="s">
        <v>2355</v>
      </c>
      <c r="D419">
        <v>4.55</v>
      </c>
      <c r="E419">
        <f>_xlfn.XLOOKUP(C419,'دیده بان بازار'!$A$5:$A$2990,'دیده بان بازار'!$Q$5:$Q$2990,"")</f>
        <v>23</v>
      </c>
      <c r="F419" s="428" t="str">
        <f t="shared" si="6"/>
        <v/>
      </c>
    </row>
    <row r="420" spans="1:6">
      <c r="A420" s="2062" t="str">
        <f>_xlfn.XLOOKUP(C420,'Price Record'!$C$5:$C$102,'Price Record'!$D$5:$D$102,"")</f>
        <v>R</v>
      </c>
      <c r="B420" s="1445" t="s">
        <v>175</v>
      </c>
      <c r="C420" s="1445" t="s">
        <v>176</v>
      </c>
      <c r="D420" s="1445" t="s">
        <v>192</v>
      </c>
      <c r="E420" s="1445">
        <f>_xlfn.XLOOKUP(C420,'دیده بان بازار'!$A$5:$A$2990,'دیده بان بازار'!$Q$5:$Q$2990,"")</f>
        <v>6.19</v>
      </c>
      <c r="F420" s="2063" t="str">
        <f t="shared" si="6"/>
        <v/>
      </c>
    </row>
    <row r="421" spans="1:6">
      <c r="A421" s="2062" t="str">
        <f>_xlfn.XLOOKUP(C421,'Price Record'!$C$5:$C$102,'Price Record'!$D$5:$D$102,"")</f>
        <v>R</v>
      </c>
      <c r="B421" s="1445" t="s">
        <v>171</v>
      </c>
      <c r="C421" s="1445" t="s">
        <v>172</v>
      </c>
      <c r="D421" s="1445">
        <v>-312.86</v>
      </c>
      <c r="E421" s="1445">
        <f>_xlfn.XLOOKUP(C421,'دیده بان بازار'!$A$5:$A$2990,'دیده بان بازار'!$Q$5:$Q$2990,"")</f>
        <v>3.61</v>
      </c>
      <c r="F421" s="2063">
        <f t="shared" si="6"/>
        <v>316.47000000000003</v>
      </c>
    </row>
    <row r="422" spans="1:6">
      <c r="A422" s="2059" t="str">
        <f>_xlfn.XLOOKUP(C422,'Price Record'!$C$5:$C$102,'Price Record'!$D$5:$D$102,"")</f>
        <v/>
      </c>
      <c r="B422" t="s">
        <v>2356</v>
      </c>
      <c r="C422" t="s">
        <v>2357</v>
      </c>
      <c r="D422" t="s">
        <v>192</v>
      </c>
      <c r="E422">
        <f>_xlfn.XLOOKUP(C422,'دیده بان بازار'!$A$5:$A$2990,'دیده بان بازار'!$Q$5:$Q$2990,"")</f>
        <v>4.3899999999999997</v>
      </c>
      <c r="F422" s="428" t="str">
        <f t="shared" si="6"/>
        <v/>
      </c>
    </row>
    <row r="423" spans="1:6">
      <c r="A423" s="2059" t="str">
        <f>_xlfn.XLOOKUP(C423,'Price Record'!$C$5:$C$102,'Price Record'!$D$5:$D$102,"")</f>
        <v/>
      </c>
      <c r="B423" t="s">
        <v>2358</v>
      </c>
      <c r="C423" t="s">
        <v>2359</v>
      </c>
      <c r="D423">
        <v>8.31</v>
      </c>
      <c r="E423">
        <f>_xlfn.XLOOKUP(C423,'دیده بان بازار'!$A$5:$A$2990,'دیده بان بازار'!$Q$5:$Q$2990,"")</f>
        <v>4.4800000000000004</v>
      </c>
      <c r="F423" s="428">
        <f t="shared" si="6"/>
        <v>-3.83</v>
      </c>
    </row>
    <row r="424" spans="1:6">
      <c r="A424" s="2059" t="str">
        <f>_xlfn.XLOOKUP(C424,'Price Record'!$C$5:$C$102,'Price Record'!$D$5:$D$102,"")</f>
        <v/>
      </c>
      <c r="B424" t="s">
        <v>2360</v>
      </c>
      <c r="C424" t="s">
        <v>2361</v>
      </c>
      <c r="D424">
        <v>12.12</v>
      </c>
      <c r="E424">
        <f>_xlfn.XLOOKUP(C424,'دیده بان بازار'!$A$5:$A$2990,'دیده بان بازار'!$Q$5:$Q$2990,"")</f>
        <v>6.1</v>
      </c>
      <c r="F424" s="428">
        <f t="shared" si="6"/>
        <v>-6.02</v>
      </c>
    </row>
    <row r="425" spans="1:6">
      <c r="A425" s="2059" t="str">
        <f>_xlfn.XLOOKUP(C425,'Price Record'!$C$5:$C$102,'Price Record'!$D$5:$D$102,"")</f>
        <v/>
      </c>
      <c r="B425" t="s">
        <v>2362</v>
      </c>
      <c r="C425" t="s">
        <v>2363</v>
      </c>
      <c r="D425">
        <v>5.88</v>
      </c>
      <c r="E425">
        <f>_xlfn.XLOOKUP(C425,'دیده بان بازار'!$A$5:$A$2990,'دیده بان بازار'!$Q$5:$Q$2990,"")</f>
        <v>6.79</v>
      </c>
      <c r="F425" s="428">
        <f t="shared" si="6"/>
        <v>0.91000000000000014</v>
      </c>
    </row>
    <row r="426" spans="1:6">
      <c r="A426" s="2062" t="str">
        <f>_xlfn.XLOOKUP(C426,'Price Record'!$C$5:$C$102,'Price Record'!$D$5:$D$102,"")</f>
        <v>L</v>
      </c>
      <c r="B426" s="1445" t="s">
        <v>177</v>
      </c>
      <c r="C426" s="1445" t="s">
        <v>178</v>
      </c>
      <c r="D426" s="1445" t="s">
        <v>192</v>
      </c>
      <c r="E426" s="1445">
        <f>_xlfn.XLOOKUP(C426,'دیده بان بازار'!$A$5:$A$2990,'دیده بان بازار'!$Q$5:$Q$2990,"")</f>
        <v>6.6</v>
      </c>
      <c r="F426" s="2063" t="str">
        <f t="shared" si="6"/>
        <v/>
      </c>
    </row>
    <row r="427" spans="1:6">
      <c r="A427" s="2059" t="str">
        <f>_xlfn.XLOOKUP(C427,'Price Record'!$C$5:$C$102,'Price Record'!$D$5:$D$102,"")</f>
        <v/>
      </c>
      <c r="B427" t="s">
        <v>2364</v>
      </c>
      <c r="C427" t="s">
        <v>2365</v>
      </c>
      <c r="D427" t="s">
        <v>192</v>
      </c>
      <c r="E427">
        <f>_xlfn.XLOOKUP(C427,'دیده بان بازار'!$A$5:$A$2990,'دیده بان بازار'!$Q$5:$Q$2990,"")</f>
        <v>45.24</v>
      </c>
      <c r="F427" s="428" t="str">
        <f t="shared" si="6"/>
        <v/>
      </c>
    </row>
    <row r="428" spans="1:6">
      <c r="A428" s="2059" t="str">
        <f>_xlfn.XLOOKUP(C428,'Price Record'!$C$5:$C$102,'Price Record'!$D$5:$D$102,"")</f>
        <v/>
      </c>
      <c r="B428" t="s">
        <v>2366</v>
      </c>
      <c r="C428" t="s">
        <v>2367</v>
      </c>
      <c r="D428" t="s">
        <v>192</v>
      </c>
      <c r="E428">
        <f>_xlfn.XLOOKUP(C428,'دیده بان بازار'!$A$5:$A$2990,'دیده بان بازار'!$Q$5:$Q$2990,"")</f>
        <v>2.94</v>
      </c>
      <c r="F428" s="428" t="str">
        <f t="shared" si="6"/>
        <v/>
      </c>
    </row>
    <row r="429" spans="1:6">
      <c r="A429" s="2059" t="str">
        <f>_xlfn.XLOOKUP(C429,'Price Record'!$C$5:$C$102,'Price Record'!$D$5:$D$102,"")</f>
        <v/>
      </c>
      <c r="B429" t="s">
        <v>2368</v>
      </c>
      <c r="C429" t="s">
        <v>2369</v>
      </c>
      <c r="D429" t="s">
        <v>192</v>
      </c>
      <c r="E429">
        <f>_xlfn.XLOOKUP(C429,'دیده بان بازار'!$A$5:$A$2990,'دیده بان بازار'!$Q$5:$Q$2990,"")</f>
        <v>4.7699999999999996</v>
      </c>
      <c r="F429" s="428" t="str">
        <f t="shared" si="6"/>
        <v/>
      </c>
    </row>
    <row r="430" spans="1:6">
      <c r="A430" s="2059" t="str">
        <f>_xlfn.XLOOKUP(C430,'Price Record'!$C$5:$C$102,'Price Record'!$D$5:$D$102,"")</f>
        <v/>
      </c>
      <c r="B430" t="s">
        <v>2370</v>
      </c>
      <c r="C430" t="s">
        <v>2371</v>
      </c>
      <c r="D430">
        <v>6.39</v>
      </c>
      <c r="E430">
        <f>_xlfn.XLOOKUP(C430,'دیده بان بازار'!$A$5:$A$2990,'دیده بان بازار'!$Q$5:$Q$2990,"")</f>
        <v>12.79</v>
      </c>
      <c r="F430" s="428">
        <f t="shared" si="6"/>
        <v>6.3999999999999995</v>
      </c>
    </row>
    <row r="431" spans="1:6">
      <c r="A431" s="2059" t="str">
        <f>_xlfn.XLOOKUP(C431,'Price Record'!$C$5:$C$102,'Price Record'!$D$5:$D$102,"")</f>
        <v/>
      </c>
      <c r="B431" t="s">
        <v>2372</v>
      </c>
      <c r="C431" t="s">
        <v>2373</v>
      </c>
      <c r="D431">
        <v>30.4</v>
      </c>
      <c r="E431">
        <f>_xlfn.XLOOKUP(C431,'دیده بان بازار'!$A$5:$A$2990,'دیده بان بازار'!$Q$5:$Q$2990,"")</f>
        <v>205.29</v>
      </c>
      <c r="F431" s="428" t="str">
        <f t="shared" si="6"/>
        <v/>
      </c>
    </row>
    <row r="432" spans="1:6">
      <c r="A432" s="2059" t="str">
        <f>_xlfn.XLOOKUP(C432,'Price Record'!$C$5:$C$102,'Price Record'!$D$5:$D$102,"")</f>
        <v/>
      </c>
      <c r="B432" t="s">
        <v>2374</v>
      </c>
      <c r="C432" t="s">
        <v>2375</v>
      </c>
      <c r="D432" t="s">
        <v>192</v>
      </c>
      <c r="E432">
        <f>_xlfn.XLOOKUP(C432,'دیده بان بازار'!$A$5:$A$2990,'دیده بان بازار'!$Q$5:$Q$2990,"")</f>
        <v>6.27</v>
      </c>
      <c r="F432" s="428" t="str">
        <f t="shared" si="6"/>
        <v/>
      </c>
    </row>
    <row r="433" spans="1:6">
      <c r="A433" s="2059" t="str">
        <f>_xlfn.XLOOKUP(C433,'Price Record'!$C$5:$C$102,'Price Record'!$D$5:$D$102,"")</f>
        <v/>
      </c>
      <c r="B433" t="s">
        <v>2374</v>
      </c>
      <c r="C433" t="s">
        <v>2376</v>
      </c>
      <c r="D433" t="s">
        <v>192</v>
      </c>
      <c r="E433" t="str">
        <f>_xlfn.XLOOKUP(C433,'دیده بان بازار'!$A$5:$A$2990,'دیده بان بازار'!$Q$5:$Q$2990,"")</f>
        <v/>
      </c>
      <c r="F433" s="428" t="str">
        <f t="shared" si="6"/>
        <v/>
      </c>
    </row>
    <row r="434" spans="1:6">
      <c r="A434" s="2059" t="str">
        <f>_xlfn.XLOOKUP(C434,'Price Record'!$C$5:$C$102,'Price Record'!$D$5:$D$102,"")</f>
        <v/>
      </c>
      <c r="B434" t="s">
        <v>2377</v>
      </c>
      <c r="C434" t="s">
        <v>2378</v>
      </c>
      <c r="D434">
        <v>4.29</v>
      </c>
      <c r="E434">
        <f>_xlfn.XLOOKUP(C434,'دیده بان بازار'!$A$5:$A$2990,'دیده بان بازار'!$Q$5:$Q$2990,"")</f>
        <v>5.07</v>
      </c>
      <c r="F434" s="428">
        <f t="shared" si="6"/>
        <v>0.78000000000000025</v>
      </c>
    </row>
    <row r="435" spans="1:6">
      <c r="A435" s="2059" t="str">
        <f>_xlfn.XLOOKUP(C435,'Price Record'!$C$5:$C$102,'Price Record'!$D$5:$D$102,"")</f>
        <v/>
      </c>
      <c r="B435" t="s">
        <v>2379</v>
      </c>
      <c r="C435" t="s">
        <v>2380</v>
      </c>
      <c r="D435">
        <v>-18.600000000000001</v>
      </c>
      <c r="E435">
        <f>_xlfn.XLOOKUP(C435,'دیده بان بازار'!$A$5:$A$2990,'دیده بان بازار'!$Q$5:$Q$2990,"")</f>
        <v>4.46</v>
      </c>
      <c r="F435" s="428">
        <f t="shared" si="6"/>
        <v>23.060000000000002</v>
      </c>
    </row>
    <row r="436" spans="1:6">
      <c r="A436" s="2059" t="str">
        <f>_xlfn.XLOOKUP(C436,'Price Record'!$C$5:$C$102,'Price Record'!$D$5:$D$102,"")</f>
        <v/>
      </c>
      <c r="B436" t="s">
        <v>2381</v>
      </c>
      <c r="C436" t="s">
        <v>2382</v>
      </c>
      <c r="D436">
        <v>-17.760000000000002</v>
      </c>
      <c r="E436">
        <f>_xlfn.XLOOKUP(C436,'دیده بان بازار'!$A$5:$A$2990,'دیده بان بازار'!$Q$5:$Q$2990,"")</f>
        <v>18.71</v>
      </c>
      <c r="F436" s="428">
        <f t="shared" si="6"/>
        <v>36.47</v>
      </c>
    </row>
    <row r="437" spans="1:6">
      <c r="A437" s="2059" t="str">
        <f>_xlfn.XLOOKUP(C437,'Price Record'!$C$5:$C$102,'Price Record'!$D$5:$D$102,"")</f>
        <v/>
      </c>
      <c r="B437" t="s">
        <v>2383</v>
      </c>
      <c r="C437" t="s">
        <v>2384</v>
      </c>
      <c r="D437" t="s">
        <v>192</v>
      </c>
      <c r="E437">
        <f>_xlfn.XLOOKUP(C437,'دیده بان بازار'!$A$5:$A$2990,'دیده بان بازار'!$Q$5:$Q$2990,"")</f>
        <v>9.69</v>
      </c>
      <c r="F437" s="428" t="str">
        <f t="shared" si="6"/>
        <v/>
      </c>
    </row>
    <row r="438" spans="1:6">
      <c r="A438" s="2059" t="str">
        <f>_xlfn.XLOOKUP(C438,'Price Record'!$C$5:$C$102,'Price Record'!$D$5:$D$102,"")</f>
        <v/>
      </c>
      <c r="B438" t="s">
        <v>2385</v>
      </c>
      <c r="C438" t="s">
        <v>2386</v>
      </c>
      <c r="D438">
        <v>6.94</v>
      </c>
      <c r="E438">
        <f>_xlfn.XLOOKUP(C438,'دیده بان بازار'!$A$5:$A$2990,'دیده بان بازار'!$Q$5:$Q$2990,"")</f>
        <v>7.12</v>
      </c>
      <c r="F438" s="428">
        <f t="shared" si="6"/>
        <v>0.17999999999999972</v>
      </c>
    </row>
    <row r="439" spans="1:6">
      <c r="A439" s="2059" t="str">
        <f>_xlfn.XLOOKUP(C439,'Price Record'!$C$5:$C$102,'Price Record'!$D$5:$D$102,"")</f>
        <v/>
      </c>
      <c r="B439" t="s">
        <v>2385</v>
      </c>
      <c r="C439" t="s">
        <v>2387</v>
      </c>
      <c r="D439">
        <v>-17.53</v>
      </c>
      <c r="E439" t="str">
        <f>_xlfn.XLOOKUP(C439,'دیده بان بازار'!$A$5:$A$2990,'دیده بان بازار'!$Q$5:$Q$2990,"")</f>
        <v/>
      </c>
      <c r="F439" s="428" t="str">
        <f t="shared" si="6"/>
        <v/>
      </c>
    </row>
    <row r="440" spans="1:6">
      <c r="A440" s="2059" t="str">
        <f>_xlfn.XLOOKUP(C440,'Price Record'!$C$5:$C$102,'Price Record'!$D$5:$D$102,"")</f>
        <v/>
      </c>
      <c r="B440" t="s">
        <v>2388</v>
      </c>
      <c r="C440" t="s">
        <v>2389</v>
      </c>
      <c r="D440" t="s">
        <v>192</v>
      </c>
      <c r="E440">
        <f>_xlfn.XLOOKUP(C440,'دیده بان بازار'!$A$5:$A$2990,'دیده بان بازار'!$Q$5:$Q$2990,"")</f>
        <v>8.57</v>
      </c>
      <c r="F440" s="428" t="str">
        <f t="shared" si="6"/>
        <v/>
      </c>
    </row>
    <row r="441" spans="1:6">
      <c r="A441" s="2059" t="str">
        <f>_xlfn.XLOOKUP(C441,'Price Record'!$C$5:$C$102,'Price Record'!$D$5:$D$102,"")</f>
        <v/>
      </c>
      <c r="B441" t="s">
        <v>2390</v>
      </c>
      <c r="C441" t="s">
        <v>2391</v>
      </c>
      <c r="D441">
        <v>-59.81</v>
      </c>
      <c r="E441">
        <f>_xlfn.XLOOKUP(C441,'دیده بان بازار'!$A$5:$A$2990,'دیده بان بازار'!$Q$5:$Q$2990,"")</f>
        <v>15.6</v>
      </c>
      <c r="F441" s="428">
        <f t="shared" si="6"/>
        <v>75.41</v>
      </c>
    </row>
    <row r="442" spans="1:6">
      <c r="A442" s="2059" t="str">
        <f>_xlfn.XLOOKUP(C442,'Price Record'!$C$5:$C$102,'Price Record'!$D$5:$D$102,"")</f>
        <v/>
      </c>
      <c r="B442" t="s">
        <v>2392</v>
      </c>
      <c r="C442" t="s">
        <v>2393</v>
      </c>
      <c r="D442" t="s">
        <v>192</v>
      </c>
      <c r="E442">
        <f>_xlfn.XLOOKUP(C442,'دیده بان بازار'!$A$5:$A$2990,'دیده بان بازار'!$Q$5:$Q$2990,"")</f>
        <v>5.41</v>
      </c>
      <c r="F442" s="428" t="str">
        <f t="shared" si="6"/>
        <v/>
      </c>
    </row>
    <row r="443" spans="1:6">
      <c r="A443" s="2059" t="str">
        <f>_xlfn.XLOOKUP(C443,'Price Record'!$C$5:$C$102,'Price Record'!$D$5:$D$102,"")</f>
        <v/>
      </c>
      <c r="B443" t="s">
        <v>2394</v>
      </c>
      <c r="C443" t="s">
        <v>2395</v>
      </c>
      <c r="D443">
        <v>6.89</v>
      </c>
      <c r="E443">
        <f>_xlfn.XLOOKUP(C443,'دیده بان بازار'!$A$5:$A$2990,'دیده بان بازار'!$Q$5:$Q$2990,"")</f>
        <v>3.62</v>
      </c>
      <c r="F443" s="428">
        <f t="shared" si="6"/>
        <v>-3.2699999999999996</v>
      </c>
    </row>
    <row r="444" spans="1:6">
      <c r="A444" s="2059" t="str">
        <f>_xlfn.XLOOKUP(C444,'Price Record'!$C$5:$C$102,'Price Record'!$D$5:$D$102,"")</f>
        <v/>
      </c>
      <c r="B444" t="s">
        <v>2396</v>
      </c>
      <c r="C444" t="s">
        <v>2397</v>
      </c>
      <c r="D444">
        <v>29.02</v>
      </c>
      <c r="E444">
        <f>_xlfn.XLOOKUP(C444,'دیده بان بازار'!$A$5:$A$2990,'دیده بان بازار'!$Q$5:$Q$2990,"")</f>
        <v>5.2</v>
      </c>
      <c r="F444" s="428">
        <f t="shared" si="6"/>
        <v>-23.82</v>
      </c>
    </row>
    <row r="445" spans="1:6">
      <c r="A445" s="2059" t="str">
        <f>_xlfn.XLOOKUP(C445,'Price Record'!$C$5:$C$102,'Price Record'!$D$5:$D$102,"")</f>
        <v/>
      </c>
      <c r="B445" t="s">
        <v>2398</v>
      </c>
      <c r="C445" t="s">
        <v>2399</v>
      </c>
      <c r="D445">
        <v>-28.36</v>
      </c>
      <c r="E445">
        <f>_xlfn.XLOOKUP(C445,'دیده بان بازار'!$A$5:$A$2990,'دیده بان بازار'!$Q$5:$Q$2990,"")</f>
        <v>6.9</v>
      </c>
      <c r="F445" s="428">
        <f t="shared" si="6"/>
        <v>35.26</v>
      </c>
    </row>
    <row r="446" spans="1:6">
      <c r="A446" s="2059" t="str">
        <f>_xlfn.XLOOKUP(C446,'Price Record'!$C$5:$C$102,'Price Record'!$D$5:$D$102,"")</f>
        <v/>
      </c>
      <c r="B446" t="s">
        <v>2400</v>
      </c>
      <c r="C446" t="s">
        <v>2401</v>
      </c>
      <c r="D446">
        <v>13.38</v>
      </c>
      <c r="E446">
        <f>_xlfn.XLOOKUP(C446,'دیده بان بازار'!$A$5:$A$2990,'دیده بان بازار'!$Q$5:$Q$2990,"")</f>
        <v>72.53</v>
      </c>
      <c r="F446" s="428" t="str">
        <f t="shared" si="6"/>
        <v/>
      </c>
    </row>
    <row r="447" spans="1:6">
      <c r="A447" s="2059" t="str">
        <f>_xlfn.XLOOKUP(C447,'Price Record'!$C$5:$C$102,'Price Record'!$D$5:$D$102,"")</f>
        <v/>
      </c>
      <c r="B447" t="s">
        <v>2402</v>
      </c>
      <c r="C447" t="s">
        <v>2403</v>
      </c>
      <c r="D447" t="s">
        <v>192</v>
      </c>
      <c r="E447">
        <f>_xlfn.XLOOKUP(C447,'دیده بان بازار'!$A$5:$A$2990,'دیده بان بازار'!$Q$5:$Q$2990,"")</f>
        <v>29.78</v>
      </c>
      <c r="F447" s="428" t="str">
        <f t="shared" si="6"/>
        <v/>
      </c>
    </row>
    <row r="448" spans="1:6">
      <c r="A448" s="2062" t="str">
        <f>_xlfn.XLOOKUP(C448,'Price Record'!$C$5:$C$102,'Price Record'!$D$5:$D$102,"")</f>
        <v>DH</v>
      </c>
      <c r="B448" s="1445" t="s">
        <v>94</v>
      </c>
      <c r="C448" s="1445" t="s">
        <v>95</v>
      </c>
      <c r="D448" s="1445">
        <v>13.18</v>
      </c>
      <c r="E448" s="1445">
        <f>_xlfn.XLOOKUP(C448,'دیده بان بازار'!$A$5:$A$2990,'دیده بان بازار'!$Q$5:$Q$2990,"")</f>
        <v>8</v>
      </c>
      <c r="F448" s="2063">
        <f t="shared" si="6"/>
        <v>-5.18</v>
      </c>
    </row>
    <row r="449" spans="1:6">
      <c r="A449" s="2062" t="str">
        <f>_xlfn.XLOOKUP(C449,'Price Record'!$C$5:$C$102,'Price Record'!$D$5:$D$102,"")</f>
        <v>PET</v>
      </c>
      <c r="B449" s="1445" t="s">
        <v>152</v>
      </c>
      <c r="C449" s="1445" t="s">
        <v>153</v>
      </c>
      <c r="D449" s="1445" t="s">
        <v>192</v>
      </c>
      <c r="E449" s="1445">
        <f>_xlfn.XLOOKUP(C449,'دیده بان بازار'!$A$5:$A$2990,'دیده بان بازار'!$Q$5:$Q$2990,"")</f>
        <v>7.3</v>
      </c>
      <c r="F449" s="2063" t="str">
        <f t="shared" si="6"/>
        <v/>
      </c>
    </row>
    <row r="450" spans="1:6">
      <c r="A450" s="2059" t="str">
        <f>_xlfn.XLOOKUP(C450,'Price Record'!$C$5:$C$102,'Price Record'!$D$5:$D$102,"")</f>
        <v/>
      </c>
      <c r="B450" t="s">
        <v>2404</v>
      </c>
      <c r="C450" t="s">
        <v>2405</v>
      </c>
      <c r="D450" t="s">
        <v>192</v>
      </c>
      <c r="E450">
        <f>_xlfn.XLOOKUP(C450,'دیده بان بازار'!$A$5:$A$2990,'دیده بان بازار'!$Q$5:$Q$2990,"")</f>
        <v>-13.63</v>
      </c>
      <c r="F450" s="428" t="str">
        <f t="shared" si="6"/>
        <v/>
      </c>
    </row>
    <row r="451" spans="1:6">
      <c r="A451" s="2059" t="str">
        <f>_xlfn.XLOOKUP(C451,'Price Record'!$C$5:$C$102,'Price Record'!$D$5:$D$102,"")</f>
        <v/>
      </c>
      <c r="B451" t="s">
        <v>2406</v>
      </c>
      <c r="C451" t="s">
        <v>2407</v>
      </c>
      <c r="D451">
        <v>5.54</v>
      </c>
      <c r="E451">
        <f>_xlfn.XLOOKUP(C451,'دیده بان بازار'!$A$5:$A$2990,'دیده بان بازار'!$Q$5:$Q$2990,"")</f>
        <v>15.91</v>
      </c>
      <c r="F451" s="428">
        <f t="shared" si="6"/>
        <v>10.370000000000001</v>
      </c>
    </row>
    <row r="452" spans="1:6">
      <c r="A452" s="2059" t="str">
        <f>_xlfn.XLOOKUP(C452,'Price Record'!$C$5:$C$102,'Price Record'!$D$5:$D$102,"")</f>
        <v/>
      </c>
      <c r="B452" t="s">
        <v>2406</v>
      </c>
      <c r="C452" t="s">
        <v>2408</v>
      </c>
      <c r="D452" t="s">
        <v>192</v>
      </c>
      <c r="E452" t="str">
        <f>_xlfn.XLOOKUP(C452,'دیده بان بازار'!$A$5:$A$2990,'دیده بان بازار'!$Q$5:$Q$2990,"")</f>
        <v/>
      </c>
      <c r="F452" s="428" t="str">
        <f t="shared" ref="F452:F515" si="7">IFERROR(IF(0&lt;E452,IF(E452&lt;20,E452-D452,""),""),"")</f>
        <v/>
      </c>
    </row>
    <row r="453" spans="1:6">
      <c r="A453" s="2059" t="str">
        <f>_xlfn.XLOOKUP(C453,'Price Record'!$C$5:$C$102,'Price Record'!$D$5:$D$102,"")</f>
        <v/>
      </c>
      <c r="B453" t="s">
        <v>2409</v>
      </c>
      <c r="C453" t="s">
        <v>2410</v>
      </c>
      <c r="D453" t="s">
        <v>192</v>
      </c>
      <c r="E453">
        <f>_xlfn.XLOOKUP(C453,'دیده بان بازار'!$A$5:$A$2990,'دیده بان بازار'!$Q$5:$Q$2990,"")</f>
        <v>15.62</v>
      </c>
      <c r="F453" s="428" t="str">
        <f t="shared" si="7"/>
        <v/>
      </c>
    </row>
    <row r="454" spans="1:6">
      <c r="A454" s="2059" t="str">
        <f>_xlfn.XLOOKUP(C454,'Price Record'!$C$5:$C$102,'Price Record'!$D$5:$D$102,"")</f>
        <v/>
      </c>
      <c r="B454" t="s">
        <v>2411</v>
      </c>
      <c r="C454" t="s">
        <v>2412</v>
      </c>
      <c r="D454" t="s">
        <v>192</v>
      </c>
      <c r="E454">
        <f>_xlfn.XLOOKUP(C454,'دیده بان بازار'!$A$5:$A$2990,'دیده بان بازار'!$Q$5:$Q$2990,"")</f>
        <v>4.8899999999999997</v>
      </c>
      <c r="F454" s="428" t="str">
        <f t="shared" si="7"/>
        <v/>
      </c>
    </row>
    <row r="455" spans="1:6">
      <c r="A455" s="2059" t="str">
        <f>_xlfn.XLOOKUP(C455,'Price Record'!$C$5:$C$102,'Price Record'!$D$5:$D$102,"")</f>
        <v/>
      </c>
      <c r="B455" t="s">
        <v>2411</v>
      </c>
      <c r="C455" t="s">
        <v>2413</v>
      </c>
      <c r="D455">
        <v>8.4600000000000009</v>
      </c>
      <c r="E455" t="str">
        <f>_xlfn.XLOOKUP(C455,'دیده بان بازار'!$A$5:$A$2990,'دیده بان بازار'!$Q$5:$Q$2990,"")</f>
        <v/>
      </c>
      <c r="F455" s="428" t="str">
        <f t="shared" si="7"/>
        <v/>
      </c>
    </row>
    <row r="456" spans="1:6">
      <c r="A456" s="2059" t="str">
        <f>_xlfn.XLOOKUP(C456,'Price Record'!$C$5:$C$102,'Price Record'!$D$5:$D$102,"")</f>
        <v/>
      </c>
      <c r="B456" t="s">
        <v>2414</v>
      </c>
      <c r="C456" t="s">
        <v>2415</v>
      </c>
      <c r="D456" t="s">
        <v>192</v>
      </c>
      <c r="E456">
        <f>_xlfn.XLOOKUP(C456,'دیده بان بازار'!$A$5:$A$2990,'دیده بان بازار'!$Q$5:$Q$2990,"")</f>
        <v>4.7699999999999996</v>
      </c>
      <c r="F456" s="428" t="str">
        <f t="shared" si="7"/>
        <v/>
      </c>
    </row>
    <row r="457" spans="1:6">
      <c r="A457" s="2059" t="str">
        <f>_xlfn.XLOOKUP(C457,'Price Record'!$C$5:$C$102,'Price Record'!$D$5:$D$102,"")</f>
        <v/>
      </c>
      <c r="B457" t="s">
        <v>2416</v>
      </c>
      <c r="C457" t="s">
        <v>2417</v>
      </c>
      <c r="D457" t="s">
        <v>192</v>
      </c>
      <c r="E457" t="str">
        <f>_xlfn.XLOOKUP(C457,'دیده بان بازار'!$A$5:$A$2990,'دیده بان بازار'!$Q$5:$Q$2990,"")</f>
        <v/>
      </c>
      <c r="F457" s="428" t="str">
        <f t="shared" si="7"/>
        <v/>
      </c>
    </row>
    <row r="458" spans="1:6">
      <c r="A458" s="2059" t="str">
        <f>_xlfn.XLOOKUP(C458,'Price Record'!$C$5:$C$102,'Price Record'!$D$5:$D$102,"")</f>
        <v/>
      </c>
      <c r="B458" t="s">
        <v>2416</v>
      </c>
      <c r="C458" t="s">
        <v>2418</v>
      </c>
      <c r="D458" t="s">
        <v>192</v>
      </c>
      <c r="E458" t="str">
        <f>_xlfn.XLOOKUP(C458,'دیده بان بازار'!$A$5:$A$2990,'دیده بان بازار'!$Q$5:$Q$2990,"")</f>
        <v/>
      </c>
      <c r="F458" s="428" t="str">
        <f t="shared" si="7"/>
        <v/>
      </c>
    </row>
    <row r="459" spans="1:6">
      <c r="A459" s="2059" t="str">
        <f>_xlfn.XLOOKUP(C459,'Price Record'!$C$5:$C$102,'Price Record'!$D$5:$D$102,"")</f>
        <v/>
      </c>
      <c r="B459" t="s">
        <v>2419</v>
      </c>
      <c r="C459" t="s">
        <v>1446</v>
      </c>
      <c r="D459" t="s">
        <v>192</v>
      </c>
      <c r="E459">
        <f>_xlfn.XLOOKUP(C459,'دیده بان بازار'!$A$5:$A$2990,'دیده بان بازار'!$Q$5:$Q$2990,"")</f>
        <v>5.94</v>
      </c>
      <c r="F459" s="428" t="str">
        <f t="shared" si="7"/>
        <v/>
      </c>
    </row>
    <row r="460" spans="1:6">
      <c r="A460" s="2059" t="str">
        <f>_xlfn.XLOOKUP(C460,'Price Record'!$C$5:$C$102,'Price Record'!$D$5:$D$102,"")</f>
        <v/>
      </c>
      <c r="B460" t="s">
        <v>2419</v>
      </c>
      <c r="C460" t="s">
        <v>2420</v>
      </c>
      <c r="D460" t="s">
        <v>192</v>
      </c>
      <c r="E460" t="str">
        <f>_xlfn.XLOOKUP(C460,'دیده بان بازار'!$A$5:$A$2990,'دیده بان بازار'!$Q$5:$Q$2990,"")</f>
        <v/>
      </c>
      <c r="F460" s="428" t="str">
        <f t="shared" si="7"/>
        <v/>
      </c>
    </row>
    <row r="461" spans="1:6">
      <c r="A461" s="2059" t="str">
        <f>_xlfn.XLOOKUP(C461,'Price Record'!$C$5:$C$102,'Price Record'!$D$5:$D$102,"")</f>
        <v/>
      </c>
      <c r="B461" t="s">
        <v>2419</v>
      </c>
      <c r="C461" t="s">
        <v>2421</v>
      </c>
      <c r="D461" t="s">
        <v>192</v>
      </c>
      <c r="E461">
        <f>_xlfn.XLOOKUP(C461,'دیده بان بازار'!$A$5:$A$2990,'دیده بان بازار'!$Q$5:$Q$2990,"")</f>
        <v>5.94</v>
      </c>
      <c r="F461" s="428" t="str">
        <f t="shared" si="7"/>
        <v/>
      </c>
    </row>
    <row r="462" spans="1:6">
      <c r="A462" s="2059" t="str">
        <f>_xlfn.XLOOKUP(C462,'Price Record'!$C$5:$C$102,'Price Record'!$D$5:$D$102,"")</f>
        <v/>
      </c>
      <c r="B462" t="s">
        <v>2422</v>
      </c>
      <c r="C462" t="s">
        <v>2423</v>
      </c>
      <c r="D462" t="s">
        <v>192</v>
      </c>
      <c r="E462">
        <f>_xlfn.XLOOKUP(C462,'دیده بان بازار'!$A$5:$A$2990,'دیده بان بازار'!$Q$5:$Q$2990,"")</f>
        <v>23.94</v>
      </c>
      <c r="F462" s="428" t="str">
        <f t="shared" si="7"/>
        <v/>
      </c>
    </row>
    <row r="463" spans="1:6">
      <c r="A463" s="2062" t="str">
        <f>_xlfn.XLOOKUP(C463,'Price Record'!$C$5:$C$102,'Price Record'!$D$5:$D$102,"")</f>
        <v>PUR</v>
      </c>
      <c r="B463" s="1445" t="s">
        <v>144</v>
      </c>
      <c r="C463" s="1445" t="s">
        <v>145</v>
      </c>
      <c r="D463" s="1445" t="s">
        <v>192</v>
      </c>
      <c r="E463" s="1445">
        <f>_xlfn.XLOOKUP(C463,'دیده بان بازار'!$A$5:$A$2990,'دیده بان بازار'!$Q$5:$Q$2990,"")</f>
        <v>6.68</v>
      </c>
      <c r="F463" s="2063" t="str">
        <f t="shared" si="7"/>
        <v/>
      </c>
    </row>
    <row r="464" spans="1:6">
      <c r="A464" s="2059" t="str">
        <f>_xlfn.XLOOKUP(C464,'Price Record'!$C$5:$C$102,'Price Record'!$D$5:$D$102,"")</f>
        <v/>
      </c>
      <c r="B464" t="s">
        <v>2424</v>
      </c>
      <c r="C464" t="s">
        <v>2425</v>
      </c>
      <c r="D464" t="s">
        <v>192</v>
      </c>
      <c r="E464">
        <f>_xlfn.XLOOKUP(C464,'دیده بان بازار'!$A$5:$A$2990,'دیده بان بازار'!$Q$5:$Q$2990,"")</f>
        <v>10.86</v>
      </c>
      <c r="F464" s="428" t="str">
        <f t="shared" si="7"/>
        <v/>
      </c>
    </row>
    <row r="465" spans="1:6">
      <c r="A465" s="2059" t="str">
        <f>_xlfn.XLOOKUP(C465,'Price Record'!$C$5:$C$102,'Price Record'!$D$5:$D$102,"")</f>
        <v/>
      </c>
      <c r="B465" t="s">
        <v>2426</v>
      </c>
      <c r="C465" t="s">
        <v>2427</v>
      </c>
      <c r="D465" t="s">
        <v>192</v>
      </c>
      <c r="E465">
        <f>_xlfn.XLOOKUP(C465,'دیده بان بازار'!$A$5:$A$2990,'دیده بان بازار'!$Q$5:$Q$2990,"")</f>
        <v>7.37</v>
      </c>
      <c r="F465" s="428" t="str">
        <f t="shared" si="7"/>
        <v/>
      </c>
    </row>
    <row r="466" spans="1:6">
      <c r="A466" s="2059" t="str">
        <f>_xlfn.XLOOKUP(C466,'Price Record'!$C$5:$C$102,'Price Record'!$D$5:$D$102,"")</f>
        <v/>
      </c>
      <c r="B466" t="s">
        <v>2428</v>
      </c>
      <c r="C466" t="s">
        <v>2429</v>
      </c>
      <c r="D466" t="s">
        <v>192</v>
      </c>
      <c r="E466">
        <f>_xlfn.XLOOKUP(C466,'دیده بان بازار'!$A$5:$A$2990,'دیده بان بازار'!$Q$5:$Q$2990,"")</f>
        <v>5.74</v>
      </c>
      <c r="F466" s="428" t="str">
        <f t="shared" si="7"/>
        <v/>
      </c>
    </row>
    <row r="467" spans="1:6">
      <c r="A467" s="2059" t="str">
        <f>_xlfn.XLOOKUP(C467,'Price Record'!$C$5:$C$102,'Price Record'!$D$5:$D$102,"")</f>
        <v/>
      </c>
      <c r="B467" t="s">
        <v>2430</v>
      </c>
      <c r="C467" t="s">
        <v>2431</v>
      </c>
      <c r="D467" t="s">
        <v>192</v>
      </c>
      <c r="E467" t="str">
        <f>_xlfn.XLOOKUP(C467,'دیده بان بازار'!$A$5:$A$2990,'دیده بان بازار'!$Q$5:$Q$2990,"")</f>
        <v/>
      </c>
      <c r="F467" s="428" t="str">
        <f t="shared" si="7"/>
        <v/>
      </c>
    </row>
    <row r="468" spans="1:6">
      <c r="A468" s="2059" t="str">
        <f>_xlfn.XLOOKUP(C468,'Price Record'!$C$5:$C$102,'Price Record'!$D$5:$D$102,"")</f>
        <v/>
      </c>
      <c r="B468" t="s">
        <v>2432</v>
      </c>
      <c r="C468" t="s">
        <v>2433</v>
      </c>
      <c r="D468" t="s">
        <v>192</v>
      </c>
      <c r="E468" t="str">
        <f>_xlfn.XLOOKUP(C468,'دیده بان بازار'!$A$5:$A$2990,'دیده بان بازار'!$Q$5:$Q$2990,"")</f>
        <v/>
      </c>
      <c r="F468" s="428" t="str">
        <f t="shared" si="7"/>
        <v/>
      </c>
    </row>
    <row r="469" spans="1:6">
      <c r="A469" s="2059" t="str">
        <f>_xlfn.XLOOKUP(C469,'Price Record'!$C$5:$C$102,'Price Record'!$D$5:$D$102,"")</f>
        <v>F</v>
      </c>
      <c r="B469" t="s">
        <v>210</v>
      </c>
      <c r="C469" t="s">
        <v>211</v>
      </c>
      <c r="D469" t="s">
        <v>192</v>
      </c>
      <c r="E469">
        <f>_xlfn.XLOOKUP(C469,'دیده بان بازار'!$A$5:$A$2990,'دیده بان بازار'!$Q$5:$Q$2990,"")</f>
        <v>8.93</v>
      </c>
      <c r="F469" s="428" t="str">
        <f t="shared" si="7"/>
        <v/>
      </c>
    </row>
    <row r="470" spans="1:6">
      <c r="A470" s="2059" t="str">
        <f>_xlfn.XLOOKUP(C470,'Price Record'!$C$5:$C$102,'Price Record'!$D$5:$D$102,"")</f>
        <v/>
      </c>
      <c r="B470" t="s">
        <v>2434</v>
      </c>
      <c r="C470" t="s">
        <v>2435</v>
      </c>
      <c r="D470" t="s">
        <v>192</v>
      </c>
      <c r="E470" t="str">
        <f>_xlfn.XLOOKUP(C470,'دیده بان بازار'!$A$5:$A$2990,'دیده بان بازار'!$Q$5:$Q$2990,"")</f>
        <v/>
      </c>
      <c r="F470" s="428" t="str">
        <f t="shared" si="7"/>
        <v/>
      </c>
    </row>
    <row r="471" spans="1:6">
      <c r="A471" s="2059" t="str">
        <f>_xlfn.XLOOKUP(C471,'Price Record'!$C$5:$C$102,'Price Record'!$D$5:$D$102,"")</f>
        <v/>
      </c>
      <c r="B471" t="s">
        <v>2436</v>
      </c>
      <c r="C471" t="s">
        <v>2437</v>
      </c>
      <c r="D471" t="s">
        <v>192</v>
      </c>
      <c r="E471" t="str">
        <f>_xlfn.XLOOKUP(C471,'دیده بان بازار'!$A$5:$A$2990,'دیده بان بازار'!$Q$5:$Q$2990,"")</f>
        <v/>
      </c>
      <c r="F471" s="428" t="str">
        <f t="shared" si="7"/>
        <v/>
      </c>
    </row>
    <row r="472" spans="1:6">
      <c r="A472" s="2059" t="str">
        <f>_xlfn.XLOOKUP(C472,'Price Record'!$C$5:$C$102,'Price Record'!$D$5:$D$102,"")</f>
        <v/>
      </c>
      <c r="B472" t="s">
        <v>2438</v>
      </c>
      <c r="C472" t="s">
        <v>2439</v>
      </c>
      <c r="D472" t="s">
        <v>192</v>
      </c>
      <c r="E472">
        <f>_xlfn.XLOOKUP(C472,'دیده بان بازار'!$A$5:$A$2990,'دیده بان بازار'!$Q$5:$Q$2990,"")</f>
        <v>12.92</v>
      </c>
      <c r="F472" s="428" t="str">
        <f t="shared" si="7"/>
        <v/>
      </c>
    </row>
    <row r="473" spans="1:6">
      <c r="A473" s="2059" t="str">
        <f>_xlfn.XLOOKUP(C473,'Price Record'!$C$5:$C$102,'Price Record'!$D$5:$D$102,"")</f>
        <v/>
      </c>
      <c r="B473" t="s">
        <v>2440</v>
      </c>
      <c r="C473" t="s">
        <v>2441</v>
      </c>
      <c r="D473" t="s">
        <v>192</v>
      </c>
      <c r="E473">
        <f>_xlfn.XLOOKUP(C473,'دیده بان بازار'!$A$5:$A$2990,'دیده بان بازار'!$Q$5:$Q$2990,"")</f>
        <v>5.89</v>
      </c>
      <c r="F473" s="428" t="str">
        <f t="shared" si="7"/>
        <v/>
      </c>
    </row>
    <row r="474" spans="1:6">
      <c r="A474" s="2059" t="str">
        <f>_xlfn.XLOOKUP(C474,'Price Record'!$C$5:$C$102,'Price Record'!$D$5:$D$102,"")</f>
        <v/>
      </c>
      <c r="B474" t="s">
        <v>2442</v>
      </c>
      <c r="C474" t="s">
        <v>2443</v>
      </c>
      <c r="D474" t="s">
        <v>192</v>
      </c>
      <c r="E474">
        <f>_xlfn.XLOOKUP(C474,'دیده بان بازار'!$A$5:$A$2990,'دیده بان بازار'!$Q$5:$Q$2990,"")</f>
        <v>6.15</v>
      </c>
      <c r="F474" s="428" t="str">
        <f t="shared" si="7"/>
        <v/>
      </c>
    </row>
    <row r="475" spans="1:6">
      <c r="A475" s="2059" t="str">
        <f>_xlfn.XLOOKUP(C475,'Price Record'!$C$5:$C$102,'Price Record'!$D$5:$D$102,"")</f>
        <v/>
      </c>
      <c r="B475" t="s">
        <v>2444</v>
      </c>
      <c r="C475" t="s">
        <v>2445</v>
      </c>
      <c r="D475">
        <v>10.52</v>
      </c>
      <c r="E475">
        <f>_xlfn.XLOOKUP(C475,'دیده بان بازار'!$A$5:$A$2990,'دیده بان بازار'!$Q$5:$Q$2990,"")</f>
        <v>6.3</v>
      </c>
      <c r="F475" s="428">
        <f t="shared" si="7"/>
        <v>-4.22</v>
      </c>
    </row>
    <row r="476" spans="1:6">
      <c r="A476" s="2059" t="str">
        <f>_xlfn.XLOOKUP(C476,'Price Record'!$C$5:$C$102,'Price Record'!$D$5:$D$102,"")</f>
        <v/>
      </c>
      <c r="B476" t="s">
        <v>2446</v>
      </c>
      <c r="C476" t="s">
        <v>2447</v>
      </c>
      <c r="D476" t="s">
        <v>192</v>
      </c>
      <c r="E476">
        <f>_xlfn.XLOOKUP(C476,'دیده بان بازار'!$A$5:$A$2990,'دیده بان بازار'!$Q$5:$Q$2990,"")</f>
        <v>8.68</v>
      </c>
      <c r="F476" s="428" t="str">
        <f t="shared" si="7"/>
        <v/>
      </c>
    </row>
    <row r="477" spans="1:6">
      <c r="A477" s="2059" t="str">
        <f>_xlfn.XLOOKUP(C477,'Price Record'!$C$5:$C$102,'Price Record'!$D$5:$D$102,"")</f>
        <v/>
      </c>
      <c r="B477" t="s">
        <v>2446</v>
      </c>
      <c r="C477" t="s">
        <v>2448</v>
      </c>
      <c r="D477" t="s">
        <v>192</v>
      </c>
      <c r="E477" t="str">
        <f>_xlfn.XLOOKUP(C477,'دیده بان بازار'!$A$5:$A$2990,'دیده بان بازار'!$Q$5:$Q$2990,"")</f>
        <v/>
      </c>
      <c r="F477" s="428" t="str">
        <f t="shared" si="7"/>
        <v/>
      </c>
    </row>
    <row r="478" spans="1:6">
      <c r="A478" s="2059" t="str">
        <f>_xlfn.XLOOKUP(C478,'Price Record'!$C$5:$C$102,'Price Record'!$D$5:$D$102,"")</f>
        <v/>
      </c>
      <c r="B478" t="s">
        <v>2449</v>
      </c>
      <c r="C478" t="s">
        <v>2450</v>
      </c>
      <c r="D478" t="s">
        <v>192</v>
      </c>
      <c r="E478">
        <f>_xlfn.XLOOKUP(C478,'دیده بان بازار'!$A$5:$A$2990,'دیده بان بازار'!$Q$5:$Q$2990,"")</f>
        <v>836.51</v>
      </c>
      <c r="F478" s="428" t="str">
        <f t="shared" si="7"/>
        <v/>
      </c>
    </row>
    <row r="479" spans="1:6">
      <c r="A479" s="2059" t="str">
        <f>_xlfn.XLOOKUP(C479,'Price Record'!$C$5:$C$102,'Price Record'!$D$5:$D$102,"")</f>
        <v/>
      </c>
      <c r="B479" t="s">
        <v>2451</v>
      </c>
      <c r="C479" t="s">
        <v>2452</v>
      </c>
      <c r="D479" t="s">
        <v>192</v>
      </c>
      <c r="E479">
        <f>_xlfn.XLOOKUP(C479,'دیده بان بازار'!$A$5:$A$2990,'دیده بان بازار'!$Q$5:$Q$2990,"")</f>
        <v>4.7699999999999996</v>
      </c>
      <c r="F479" s="428" t="str">
        <f t="shared" si="7"/>
        <v/>
      </c>
    </row>
    <row r="480" spans="1:6">
      <c r="A480" s="2059" t="str">
        <f>_xlfn.XLOOKUP(C480,'Price Record'!$C$5:$C$102,'Price Record'!$D$5:$D$102,"")</f>
        <v/>
      </c>
      <c r="B480" t="s">
        <v>2453</v>
      </c>
      <c r="C480" t="s">
        <v>2454</v>
      </c>
      <c r="D480">
        <v>5.74</v>
      </c>
      <c r="E480">
        <f>_xlfn.XLOOKUP(C480,'دیده بان بازار'!$A$5:$A$2990,'دیده بان بازار'!$Q$5:$Q$2990,"")</f>
        <v>8.8000000000000007</v>
      </c>
      <c r="F480" s="428">
        <f t="shared" si="7"/>
        <v>3.0600000000000005</v>
      </c>
    </row>
    <row r="481" spans="1:6">
      <c r="A481" s="2059" t="str">
        <f>_xlfn.XLOOKUP(C481,'Price Record'!$C$5:$C$102,'Price Record'!$D$5:$D$102,"")</f>
        <v/>
      </c>
      <c r="B481" t="s">
        <v>2455</v>
      </c>
      <c r="C481" t="s">
        <v>2456</v>
      </c>
      <c r="D481" t="s">
        <v>192</v>
      </c>
      <c r="E481">
        <f>_xlfn.XLOOKUP(C481,'دیده بان بازار'!$A$5:$A$2990,'دیده بان بازار'!$Q$5:$Q$2990,"")</f>
        <v>7.41</v>
      </c>
      <c r="F481" s="428" t="str">
        <f t="shared" si="7"/>
        <v/>
      </c>
    </row>
    <row r="482" spans="1:6">
      <c r="A482" s="2062" t="str">
        <f>_xlfn.XLOOKUP(C482,'Price Record'!$C$5:$C$102,'Price Record'!$D$5:$D$102,"")</f>
        <v>F</v>
      </c>
      <c r="B482" s="1445" t="s">
        <v>104</v>
      </c>
      <c r="C482" s="1445" t="s">
        <v>105</v>
      </c>
      <c r="D482" s="1445" t="s">
        <v>192</v>
      </c>
      <c r="E482" s="1445">
        <f>_xlfn.XLOOKUP(C482,'دیده بان بازار'!$A$5:$A$2990,'دیده بان بازار'!$Q$5:$Q$2990,"")</f>
        <v>5.42</v>
      </c>
      <c r="F482" s="2063" t="str">
        <f t="shared" si="7"/>
        <v/>
      </c>
    </row>
    <row r="483" spans="1:6">
      <c r="A483" s="2059" t="str">
        <f>_xlfn.XLOOKUP(C483,'Price Record'!$C$5:$C$102,'Price Record'!$D$5:$D$102,"")</f>
        <v/>
      </c>
      <c r="B483" t="s">
        <v>104</v>
      </c>
      <c r="C483" t="s">
        <v>2457</v>
      </c>
      <c r="D483" t="s">
        <v>192</v>
      </c>
      <c r="E483" t="str">
        <f>_xlfn.XLOOKUP(C483,'دیده بان بازار'!$A$5:$A$2990,'دیده بان بازار'!$Q$5:$Q$2990,"")</f>
        <v/>
      </c>
      <c r="F483" s="428" t="str">
        <f t="shared" si="7"/>
        <v/>
      </c>
    </row>
    <row r="484" spans="1:6">
      <c r="A484" s="2062" t="str">
        <f>_xlfn.XLOOKUP(C484,'Price Record'!$C$5:$C$102,'Price Record'!$D$5:$D$102,"")</f>
        <v>F</v>
      </c>
      <c r="B484" s="1445" t="s">
        <v>96</v>
      </c>
      <c r="C484" s="1445" t="s">
        <v>97</v>
      </c>
      <c r="D484" s="1445" t="s">
        <v>192</v>
      </c>
      <c r="E484" s="1445">
        <f>_xlfn.XLOOKUP(C484,'دیده بان بازار'!$A$5:$A$2990,'دیده بان بازار'!$Q$5:$Q$2990,"")</f>
        <v>6.04</v>
      </c>
      <c r="F484" s="2063" t="str">
        <f t="shared" si="7"/>
        <v/>
      </c>
    </row>
    <row r="485" spans="1:6">
      <c r="A485" s="2059" t="str">
        <f>_xlfn.XLOOKUP(C485,'Price Record'!$C$5:$C$102,'Price Record'!$D$5:$D$102,"")</f>
        <v/>
      </c>
      <c r="B485" t="s">
        <v>2458</v>
      </c>
      <c r="C485" t="s">
        <v>2459</v>
      </c>
      <c r="D485">
        <v>12.19</v>
      </c>
      <c r="E485">
        <f>_xlfn.XLOOKUP(C485,'دیده بان بازار'!$A$5:$A$2990,'دیده بان بازار'!$Q$5:$Q$2990,"")</f>
        <v>6.09</v>
      </c>
      <c r="F485" s="428">
        <f t="shared" si="7"/>
        <v>-6.1</v>
      </c>
    </row>
    <row r="486" spans="1:6">
      <c r="A486" s="2059" t="str">
        <f>_xlfn.XLOOKUP(C486,'Price Record'!$C$5:$C$102,'Price Record'!$D$5:$D$102,"")</f>
        <v/>
      </c>
      <c r="B486" t="s">
        <v>2460</v>
      </c>
      <c r="C486" t="s">
        <v>2461</v>
      </c>
      <c r="D486" t="s">
        <v>192</v>
      </c>
      <c r="E486">
        <f>_xlfn.XLOOKUP(C486,'دیده بان بازار'!$A$5:$A$2990,'دیده بان بازار'!$Q$5:$Q$2990,"")</f>
        <v>8.74</v>
      </c>
      <c r="F486" s="428" t="str">
        <f t="shared" si="7"/>
        <v/>
      </c>
    </row>
    <row r="487" spans="1:6">
      <c r="A487" s="2059" t="str">
        <f>_xlfn.XLOOKUP(C487,'Price Record'!$C$5:$C$102,'Price Record'!$D$5:$D$102,"")</f>
        <v/>
      </c>
      <c r="B487" t="s">
        <v>2462</v>
      </c>
      <c r="C487" t="s">
        <v>2463</v>
      </c>
      <c r="D487">
        <v>4.83</v>
      </c>
      <c r="E487">
        <f>_xlfn.XLOOKUP(C487,'دیده بان بازار'!$A$5:$A$2990,'دیده بان بازار'!$Q$5:$Q$2990,"")</f>
        <v>5.73</v>
      </c>
      <c r="F487" s="428">
        <f t="shared" si="7"/>
        <v>0.90000000000000036</v>
      </c>
    </row>
    <row r="488" spans="1:6">
      <c r="A488" s="2059" t="str">
        <f>_xlfn.XLOOKUP(C488,'Price Record'!$C$5:$C$102,'Price Record'!$D$5:$D$102,"")</f>
        <v/>
      </c>
      <c r="B488" t="s">
        <v>2464</v>
      </c>
      <c r="C488" t="s">
        <v>2465</v>
      </c>
      <c r="D488" t="s">
        <v>192</v>
      </c>
      <c r="E488">
        <f>_xlfn.XLOOKUP(C488,'دیده بان بازار'!$A$5:$A$2990,'دیده بان بازار'!$Q$5:$Q$2990,"")</f>
        <v>5.32</v>
      </c>
      <c r="F488" s="428" t="str">
        <f t="shared" si="7"/>
        <v/>
      </c>
    </row>
    <row r="489" spans="1:6">
      <c r="A489" s="2059" t="str">
        <f>_xlfn.XLOOKUP(C489,'Price Record'!$C$5:$C$102,'Price Record'!$D$5:$D$102,"")</f>
        <v/>
      </c>
      <c r="B489" t="s">
        <v>2466</v>
      </c>
      <c r="C489" t="s">
        <v>2467</v>
      </c>
      <c r="D489">
        <v>129.91999999999999</v>
      </c>
      <c r="E489">
        <f>_xlfn.XLOOKUP(C489,'دیده بان بازار'!$A$5:$A$2990,'دیده بان بازار'!$Q$5:$Q$2990,"")</f>
        <v>5.43</v>
      </c>
      <c r="F489" s="428">
        <f t="shared" si="7"/>
        <v>-124.48999999999998</v>
      </c>
    </row>
    <row r="490" spans="1:6">
      <c r="A490" s="2059" t="str">
        <f>_xlfn.XLOOKUP(C490,'Price Record'!$C$5:$C$102,'Price Record'!$D$5:$D$102,"")</f>
        <v/>
      </c>
      <c r="B490" t="s">
        <v>2468</v>
      </c>
      <c r="C490" t="s">
        <v>2469</v>
      </c>
      <c r="D490" t="s">
        <v>192</v>
      </c>
      <c r="E490">
        <f>_xlfn.XLOOKUP(C490,'دیده بان بازار'!$A$5:$A$2990,'دیده بان بازار'!$Q$5:$Q$2990,"")</f>
        <v>8.7200000000000006</v>
      </c>
      <c r="F490" s="428" t="str">
        <f t="shared" si="7"/>
        <v/>
      </c>
    </row>
    <row r="491" spans="1:6">
      <c r="A491" s="2059" t="str">
        <f>_xlfn.XLOOKUP(C491,'Price Record'!$C$5:$C$102,'Price Record'!$D$5:$D$102,"")</f>
        <v/>
      </c>
      <c r="B491" t="s">
        <v>2470</v>
      </c>
      <c r="C491" t="s">
        <v>2471</v>
      </c>
      <c r="D491">
        <v>7.49</v>
      </c>
      <c r="E491">
        <f>_xlfn.XLOOKUP(C491,'دیده بان بازار'!$A$5:$A$2990,'دیده بان بازار'!$Q$5:$Q$2990,"")</f>
        <v>8.14</v>
      </c>
      <c r="F491" s="428">
        <f t="shared" si="7"/>
        <v>0.65000000000000036</v>
      </c>
    </row>
    <row r="492" spans="1:6">
      <c r="A492" s="2059" t="str">
        <f>_xlfn.XLOOKUP(C492,'Price Record'!$C$5:$C$102,'Price Record'!$D$5:$D$102,"")</f>
        <v/>
      </c>
      <c r="B492" t="s">
        <v>2470</v>
      </c>
      <c r="C492" t="s">
        <v>2472</v>
      </c>
      <c r="D492" t="s">
        <v>192</v>
      </c>
      <c r="E492">
        <f>_xlfn.XLOOKUP(C492,'دیده بان بازار'!$A$5:$A$2990,'دیده بان بازار'!$Q$5:$Q$2990,"")</f>
        <v>8.14</v>
      </c>
      <c r="F492" s="428" t="str">
        <f t="shared" si="7"/>
        <v/>
      </c>
    </row>
    <row r="493" spans="1:6">
      <c r="A493" s="2059" t="str">
        <f>_xlfn.XLOOKUP(C493,'Price Record'!$C$5:$C$102,'Price Record'!$D$5:$D$102,"")</f>
        <v/>
      </c>
      <c r="B493" t="s">
        <v>2473</v>
      </c>
      <c r="C493" t="s">
        <v>2474</v>
      </c>
      <c r="D493" t="s">
        <v>192</v>
      </c>
      <c r="E493">
        <f>_xlfn.XLOOKUP(C493,'دیده بان بازار'!$A$5:$A$2990,'دیده بان بازار'!$Q$5:$Q$2990,"")</f>
        <v>8.0299999999999994</v>
      </c>
      <c r="F493" s="428" t="str">
        <f t="shared" si="7"/>
        <v/>
      </c>
    </row>
    <row r="494" spans="1:6">
      <c r="A494" s="2062" t="str">
        <f>_xlfn.XLOOKUP(C494,'Price Record'!$C$5:$C$102,'Price Record'!$D$5:$D$102,"")</f>
        <v>F</v>
      </c>
      <c r="B494" s="1445" t="s">
        <v>102</v>
      </c>
      <c r="C494" s="1445" t="s">
        <v>103</v>
      </c>
      <c r="D494" s="1445" t="s">
        <v>192</v>
      </c>
      <c r="E494" s="1445">
        <f>_xlfn.XLOOKUP(C494,'دیده بان بازار'!$A$5:$A$2990,'دیده بان بازار'!$Q$5:$Q$2990,"")</f>
        <v>6.4</v>
      </c>
      <c r="F494" s="2063" t="str">
        <f t="shared" si="7"/>
        <v/>
      </c>
    </row>
    <row r="495" spans="1:6">
      <c r="A495" s="2059" t="str">
        <f>_xlfn.XLOOKUP(C495,'Price Record'!$C$5:$C$102,'Price Record'!$D$5:$D$102,"")</f>
        <v/>
      </c>
      <c r="B495" t="s">
        <v>2475</v>
      </c>
      <c r="C495" t="s">
        <v>2476</v>
      </c>
      <c r="D495">
        <v>5.9</v>
      </c>
      <c r="E495">
        <f>_xlfn.XLOOKUP(C495,'دیده بان بازار'!$A$5:$A$2990,'دیده بان بازار'!$Q$5:$Q$2990,"")</f>
        <v>47.41</v>
      </c>
      <c r="F495" s="428" t="str">
        <f t="shared" si="7"/>
        <v/>
      </c>
    </row>
    <row r="496" spans="1:6">
      <c r="A496" s="2059" t="str">
        <f>_xlfn.XLOOKUP(C496,'Price Record'!$C$5:$C$102,'Price Record'!$D$5:$D$102,"")</f>
        <v/>
      </c>
      <c r="B496" t="s">
        <v>2477</v>
      </c>
      <c r="C496" t="s">
        <v>2478</v>
      </c>
      <c r="D496">
        <v>6.32</v>
      </c>
      <c r="E496">
        <f>_xlfn.XLOOKUP(C496,'دیده بان بازار'!$A$5:$A$2990,'دیده بان بازار'!$Q$5:$Q$2990,"")</f>
        <v>9.43</v>
      </c>
      <c r="F496" s="428">
        <f t="shared" si="7"/>
        <v>3.1099999999999994</v>
      </c>
    </row>
    <row r="497" spans="1:6">
      <c r="A497" s="2059" t="str">
        <f>_xlfn.XLOOKUP(C497,'Price Record'!$C$5:$C$102,'Price Record'!$D$5:$D$102,"")</f>
        <v/>
      </c>
      <c r="B497" t="s">
        <v>2479</v>
      </c>
      <c r="C497" t="s">
        <v>2480</v>
      </c>
      <c r="D497" t="s">
        <v>192</v>
      </c>
      <c r="E497">
        <f>_xlfn.XLOOKUP(C497,'دیده بان بازار'!$A$5:$A$2990,'دیده بان بازار'!$Q$5:$Q$2990,"")</f>
        <v>6.71</v>
      </c>
      <c r="F497" s="428" t="str">
        <f t="shared" si="7"/>
        <v/>
      </c>
    </row>
    <row r="498" spans="1:6">
      <c r="A498" s="2059" t="str">
        <f>_xlfn.XLOOKUP(C498,'Price Record'!$C$5:$C$102,'Price Record'!$D$5:$D$102,"")</f>
        <v/>
      </c>
      <c r="B498" t="s">
        <v>2481</v>
      </c>
      <c r="C498" t="s">
        <v>2482</v>
      </c>
      <c r="D498">
        <v>3.86</v>
      </c>
      <c r="E498">
        <f>_xlfn.XLOOKUP(C498,'دیده بان بازار'!$A$5:$A$2990,'دیده بان بازار'!$Q$5:$Q$2990,"")</f>
        <v>7.32</v>
      </c>
      <c r="F498" s="428">
        <f t="shared" si="7"/>
        <v>3.4600000000000004</v>
      </c>
    </row>
    <row r="499" spans="1:6">
      <c r="A499" s="2059" t="str">
        <f>_xlfn.XLOOKUP(C499,'Price Record'!$C$5:$C$102,'Price Record'!$D$5:$D$102,"")</f>
        <v/>
      </c>
      <c r="B499" t="s">
        <v>2481</v>
      </c>
      <c r="C499" t="s">
        <v>2483</v>
      </c>
      <c r="D499">
        <v>-229.47</v>
      </c>
      <c r="E499" t="str">
        <f>_xlfn.XLOOKUP(C499,'دیده بان بازار'!$A$5:$A$2990,'دیده بان بازار'!$Q$5:$Q$2990,"")</f>
        <v/>
      </c>
      <c r="F499" s="428" t="str">
        <f t="shared" si="7"/>
        <v/>
      </c>
    </row>
    <row r="500" spans="1:6">
      <c r="A500" s="2059" t="str">
        <f>_xlfn.XLOOKUP(C500,'Price Record'!$C$5:$C$102,'Price Record'!$D$5:$D$102,"")</f>
        <v/>
      </c>
      <c r="B500" t="s">
        <v>2484</v>
      </c>
      <c r="C500" t="s">
        <v>2485</v>
      </c>
      <c r="D500" t="s">
        <v>192</v>
      </c>
      <c r="E500">
        <f>_xlfn.XLOOKUP(C500,'دیده بان بازار'!$A$5:$A$2990,'دیده بان بازار'!$Q$5:$Q$2990,"")</f>
        <v>17.38</v>
      </c>
      <c r="F500" s="428" t="str">
        <f t="shared" si="7"/>
        <v/>
      </c>
    </row>
    <row r="501" spans="1:6">
      <c r="A501" s="2059" t="str">
        <f>_xlfn.XLOOKUP(C501,'Price Record'!$C$5:$C$102,'Price Record'!$D$5:$D$102,"")</f>
        <v/>
      </c>
      <c r="B501" t="s">
        <v>2484</v>
      </c>
      <c r="C501" t="s">
        <v>2486</v>
      </c>
      <c r="D501" t="s">
        <v>192</v>
      </c>
      <c r="E501" t="str">
        <f>_xlfn.XLOOKUP(C501,'دیده بان بازار'!$A$5:$A$2990,'دیده بان بازار'!$Q$5:$Q$2990,"")</f>
        <v/>
      </c>
      <c r="F501" s="428" t="str">
        <f t="shared" si="7"/>
        <v/>
      </c>
    </row>
    <row r="502" spans="1:6">
      <c r="A502" s="2059" t="str">
        <f>_xlfn.XLOOKUP(C502,'Price Record'!$C$5:$C$102,'Price Record'!$D$5:$D$102,"")</f>
        <v/>
      </c>
      <c r="B502" t="s">
        <v>2487</v>
      </c>
      <c r="C502" t="s">
        <v>2488</v>
      </c>
      <c r="D502" t="s">
        <v>192</v>
      </c>
      <c r="E502">
        <f>_xlfn.XLOOKUP(C502,'دیده بان بازار'!$A$5:$A$2990,'دیده بان بازار'!$Q$5:$Q$2990,"")</f>
        <v>13.29</v>
      </c>
      <c r="F502" s="428" t="str">
        <f t="shared" si="7"/>
        <v/>
      </c>
    </row>
    <row r="503" spans="1:6">
      <c r="A503" s="2059" t="str">
        <f>_xlfn.XLOOKUP(C503,'Price Record'!$C$5:$C$102,'Price Record'!$D$5:$D$102,"")</f>
        <v/>
      </c>
      <c r="B503" t="s">
        <v>2489</v>
      </c>
      <c r="C503" t="s">
        <v>2490</v>
      </c>
      <c r="D503" t="s">
        <v>192</v>
      </c>
      <c r="E503">
        <f>_xlfn.XLOOKUP(C503,'دیده بان بازار'!$A$5:$A$2990,'دیده بان بازار'!$Q$5:$Q$2990,"")</f>
        <v>7.31</v>
      </c>
      <c r="F503" s="428" t="str">
        <f t="shared" si="7"/>
        <v/>
      </c>
    </row>
    <row r="504" spans="1:6">
      <c r="A504" s="2062" t="str">
        <f>_xlfn.XLOOKUP(C504,'Price Record'!$C$5:$C$102,'Price Record'!$D$5:$D$102,"")</f>
        <v>F</v>
      </c>
      <c r="B504" s="1445" t="s">
        <v>100</v>
      </c>
      <c r="C504" s="1445" t="s">
        <v>101</v>
      </c>
      <c r="D504" s="1445">
        <v>5.87</v>
      </c>
      <c r="E504" s="1445">
        <f>_xlfn.XLOOKUP(C504,'دیده بان بازار'!$A$5:$A$2990,'دیده بان بازار'!$Q$5:$Q$2990,"")</f>
        <v>6.96</v>
      </c>
      <c r="F504" s="2063">
        <f t="shared" si="7"/>
        <v>1.0899999999999999</v>
      </c>
    </row>
    <row r="505" spans="1:6">
      <c r="A505" s="2062" t="str">
        <f>_xlfn.XLOOKUP(C505,'Price Record'!$C$5:$C$102,'Price Record'!$D$5:$D$102,"")</f>
        <v>F</v>
      </c>
      <c r="B505" s="1445" t="s">
        <v>98</v>
      </c>
      <c r="C505" s="1445" t="s">
        <v>99</v>
      </c>
      <c r="D505" s="1445">
        <v>-3.39</v>
      </c>
      <c r="E505" s="1445">
        <f>_xlfn.XLOOKUP(C505,'دیده بان بازار'!$A$5:$A$2990,'دیده بان بازار'!$Q$5:$Q$2990,"")</f>
        <v>6.8</v>
      </c>
      <c r="F505" s="2063">
        <f t="shared" si="7"/>
        <v>10.19</v>
      </c>
    </row>
    <row r="506" spans="1:6">
      <c r="A506" s="2059" t="str">
        <f>_xlfn.XLOOKUP(C506,'Price Record'!$C$5:$C$102,'Price Record'!$D$5:$D$102,"")</f>
        <v/>
      </c>
      <c r="B506" t="s">
        <v>2491</v>
      </c>
      <c r="C506" t="s">
        <v>2492</v>
      </c>
      <c r="D506" t="s">
        <v>192</v>
      </c>
      <c r="E506">
        <f>_xlfn.XLOOKUP(C506,'دیده بان بازار'!$A$5:$A$2990,'دیده بان بازار'!$Q$5:$Q$2990,"")</f>
        <v>22</v>
      </c>
      <c r="F506" s="428" t="str">
        <f t="shared" si="7"/>
        <v/>
      </c>
    </row>
    <row r="507" spans="1:6">
      <c r="A507" s="2059" t="str">
        <f>_xlfn.XLOOKUP(C507,'Price Record'!$C$5:$C$102,'Price Record'!$D$5:$D$102,"")</f>
        <v/>
      </c>
      <c r="B507" t="s">
        <v>2493</v>
      </c>
      <c r="C507" t="s">
        <v>2494</v>
      </c>
      <c r="D507">
        <v>4.8600000000000003</v>
      </c>
      <c r="E507" t="str">
        <f>_xlfn.XLOOKUP(C507,'دیده بان بازار'!$A$5:$A$2990,'دیده بان بازار'!$Q$5:$Q$2990,"")</f>
        <v/>
      </c>
      <c r="F507" s="428" t="str">
        <f t="shared" si="7"/>
        <v/>
      </c>
    </row>
    <row r="508" spans="1:6">
      <c r="A508" s="2059" t="str">
        <f>_xlfn.XLOOKUP(C508,'Price Record'!$C$5:$C$102,'Price Record'!$D$5:$D$102,"")</f>
        <v/>
      </c>
      <c r="B508" t="s">
        <v>2493</v>
      </c>
      <c r="C508" t="s">
        <v>2495</v>
      </c>
      <c r="D508">
        <v>7.14</v>
      </c>
      <c r="E508" t="str">
        <f>_xlfn.XLOOKUP(C508,'دیده بان بازار'!$A$5:$A$2990,'دیده بان بازار'!$Q$5:$Q$2990,"")</f>
        <v/>
      </c>
      <c r="F508" s="428" t="str">
        <f t="shared" si="7"/>
        <v/>
      </c>
    </row>
    <row r="509" spans="1:6">
      <c r="A509" s="2059" t="str">
        <f>_xlfn.XLOOKUP(C509,'Price Record'!$C$5:$C$102,'Price Record'!$D$5:$D$102,"")</f>
        <v/>
      </c>
      <c r="B509" t="s">
        <v>2496</v>
      </c>
      <c r="C509" t="s">
        <v>2497</v>
      </c>
      <c r="D509">
        <v>-10.029999999999999</v>
      </c>
      <c r="E509">
        <f>_xlfn.XLOOKUP(C509,'دیده بان بازار'!$A$5:$A$2990,'دیده بان بازار'!$Q$5:$Q$2990,"")</f>
        <v>-76.81</v>
      </c>
      <c r="F509" s="428" t="str">
        <f t="shared" si="7"/>
        <v/>
      </c>
    </row>
    <row r="510" spans="1:6">
      <c r="A510" s="2059" t="str">
        <f>_xlfn.XLOOKUP(C510,'Price Record'!$C$5:$C$102,'Price Record'!$D$5:$D$102,"")</f>
        <v/>
      </c>
      <c r="B510" t="s">
        <v>2498</v>
      </c>
      <c r="C510" t="s">
        <v>2499</v>
      </c>
      <c r="D510" t="s">
        <v>192</v>
      </c>
      <c r="E510">
        <f>_xlfn.XLOOKUP(C510,'دیده بان بازار'!$A$5:$A$2990,'دیده بان بازار'!$Q$5:$Q$2990,"")</f>
        <v>3.93</v>
      </c>
      <c r="F510" s="428" t="str">
        <f t="shared" si="7"/>
        <v/>
      </c>
    </row>
    <row r="511" spans="1:6">
      <c r="A511" s="2059" t="str">
        <f>_xlfn.XLOOKUP(C511,'Price Record'!$C$5:$C$102,'Price Record'!$D$5:$D$102,"")</f>
        <v/>
      </c>
      <c r="B511" t="s">
        <v>2500</v>
      </c>
      <c r="C511" t="s">
        <v>2501</v>
      </c>
      <c r="D511">
        <v>-33</v>
      </c>
      <c r="E511">
        <f>_xlfn.XLOOKUP(C511,'دیده بان بازار'!$A$5:$A$2990,'دیده بان بازار'!$Q$5:$Q$2990,"")</f>
        <v>5.17</v>
      </c>
      <c r="F511" s="428">
        <f t="shared" si="7"/>
        <v>38.17</v>
      </c>
    </row>
    <row r="512" spans="1:6">
      <c r="A512" s="2059" t="str">
        <f>_xlfn.XLOOKUP(C512,'Price Record'!$C$5:$C$102,'Price Record'!$D$5:$D$102,"")</f>
        <v/>
      </c>
      <c r="B512" t="s">
        <v>2502</v>
      </c>
      <c r="C512" t="s">
        <v>2503</v>
      </c>
      <c r="D512">
        <v>5.57</v>
      </c>
      <c r="E512" t="str">
        <f>_xlfn.XLOOKUP(C512,'دیده بان بازار'!$A$5:$A$2990,'دیده بان بازار'!$Q$5:$Q$2990,"")</f>
        <v/>
      </c>
      <c r="F512" s="428" t="str">
        <f t="shared" si="7"/>
        <v/>
      </c>
    </row>
    <row r="513" spans="1:6">
      <c r="A513" s="2059" t="str">
        <f>_xlfn.XLOOKUP(C513,'Price Record'!$C$5:$C$102,'Price Record'!$D$5:$D$102,"")</f>
        <v/>
      </c>
      <c r="B513" t="s">
        <v>2502</v>
      </c>
      <c r="C513" t="s">
        <v>2504</v>
      </c>
      <c r="D513">
        <v>10.56</v>
      </c>
      <c r="E513" t="str">
        <f>_xlfn.XLOOKUP(C513,'دیده بان بازار'!$A$5:$A$2990,'دیده بان بازار'!$Q$5:$Q$2990,"")</f>
        <v/>
      </c>
      <c r="F513" s="428" t="str">
        <f t="shared" si="7"/>
        <v/>
      </c>
    </row>
    <row r="514" spans="1:6">
      <c r="A514" s="2059" t="str">
        <f>_xlfn.XLOOKUP(C514,'Price Record'!$C$5:$C$102,'Price Record'!$D$5:$D$102,"")</f>
        <v/>
      </c>
      <c r="B514" t="s">
        <v>2505</v>
      </c>
      <c r="C514" t="s">
        <v>2506</v>
      </c>
      <c r="D514">
        <v>6.41</v>
      </c>
      <c r="E514">
        <f>_xlfn.XLOOKUP(C514,'دیده بان بازار'!$A$5:$A$2990,'دیده بان بازار'!$Q$5:$Q$2990,"")</f>
        <v>19.07</v>
      </c>
      <c r="F514" s="428">
        <f t="shared" si="7"/>
        <v>12.66</v>
      </c>
    </row>
    <row r="515" spans="1:6">
      <c r="A515" s="2059" t="str">
        <f>_xlfn.XLOOKUP(C515,'Price Record'!$C$5:$C$102,'Price Record'!$D$5:$D$102,"")</f>
        <v/>
      </c>
      <c r="B515" t="s">
        <v>2507</v>
      </c>
      <c r="C515" t="s">
        <v>2508</v>
      </c>
      <c r="D515" t="s">
        <v>192</v>
      </c>
      <c r="E515">
        <f>_xlfn.XLOOKUP(C515,'دیده بان بازار'!$A$5:$A$2990,'دیده بان بازار'!$Q$5:$Q$2990,"")</f>
        <v>5.57</v>
      </c>
      <c r="F515" s="428" t="str">
        <f t="shared" si="7"/>
        <v/>
      </c>
    </row>
    <row r="516" spans="1:6">
      <c r="A516" s="2059" t="str">
        <f>_xlfn.XLOOKUP(C516,'Price Record'!$C$5:$C$102,'Price Record'!$D$5:$D$102,"")</f>
        <v/>
      </c>
      <c r="B516" t="s">
        <v>2509</v>
      </c>
      <c r="C516" t="s">
        <v>2510</v>
      </c>
      <c r="D516">
        <v>4.92</v>
      </c>
      <c r="E516">
        <f>_xlfn.XLOOKUP(C516,'دیده بان بازار'!$A$5:$A$2990,'دیده بان بازار'!$Q$5:$Q$2990,"")</f>
        <v>-93.33</v>
      </c>
      <c r="F516" s="428" t="str">
        <f t="shared" ref="F516:F579" si="8">IFERROR(IF(0&lt;E516,IF(E516&lt;20,E516-D516,""),""),"")</f>
        <v/>
      </c>
    </row>
    <row r="517" spans="1:6">
      <c r="A517" s="2059" t="str">
        <f>_xlfn.XLOOKUP(C517,'Price Record'!$C$5:$C$102,'Price Record'!$D$5:$D$102,"")</f>
        <v/>
      </c>
      <c r="B517" t="s">
        <v>2511</v>
      </c>
      <c r="C517" t="s">
        <v>2512</v>
      </c>
      <c r="D517" t="s">
        <v>192</v>
      </c>
      <c r="E517">
        <f>_xlfn.XLOOKUP(C517,'دیده بان بازار'!$A$5:$A$2990,'دیده بان بازار'!$Q$5:$Q$2990,"")</f>
        <v>5.47</v>
      </c>
      <c r="F517" s="428" t="str">
        <f t="shared" si="8"/>
        <v/>
      </c>
    </row>
    <row r="518" spans="1:6">
      <c r="A518" s="2059" t="str">
        <f>_xlfn.XLOOKUP(C518,'Price Record'!$C$5:$C$102,'Price Record'!$D$5:$D$102,"")</f>
        <v/>
      </c>
      <c r="B518" t="s">
        <v>2513</v>
      </c>
      <c r="C518" t="s">
        <v>2514</v>
      </c>
      <c r="D518" t="s">
        <v>192</v>
      </c>
      <c r="E518">
        <f>_xlfn.XLOOKUP(C518,'دیده بان بازار'!$A$5:$A$2990,'دیده بان بازار'!$Q$5:$Q$2990,"")</f>
        <v>6</v>
      </c>
      <c r="F518" s="428" t="str">
        <f t="shared" si="8"/>
        <v/>
      </c>
    </row>
    <row r="519" spans="1:6">
      <c r="A519" s="2059" t="str">
        <f>_xlfn.XLOOKUP(C519,'Price Record'!$C$5:$C$102,'Price Record'!$D$5:$D$102,"")</f>
        <v/>
      </c>
      <c r="B519" t="s">
        <v>2515</v>
      </c>
      <c r="C519" t="s">
        <v>2516</v>
      </c>
      <c r="D519" t="s">
        <v>192</v>
      </c>
      <c r="E519">
        <f>_xlfn.XLOOKUP(C519,'دیده بان بازار'!$A$5:$A$2990,'دیده بان بازار'!$Q$5:$Q$2990,"")</f>
        <v>5.89</v>
      </c>
      <c r="F519" s="428" t="str">
        <f t="shared" si="8"/>
        <v/>
      </c>
    </row>
    <row r="520" spans="1:6">
      <c r="A520" s="2062" t="str">
        <f>_xlfn.XLOOKUP(C520,'Price Record'!$C$5:$C$102,'Price Record'!$D$5:$D$102,"")</f>
        <v>CO</v>
      </c>
      <c r="B520" s="1445" t="s">
        <v>128</v>
      </c>
      <c r="C520" s="1445" t="s">
        <v>129</v>
      </c>
      <c r="D520" s="1445">
        <v>5.74</v>
      </c>
      <c r="E520" s="1445">
        <f>_xlfn.XLOOKUP(C520,'دیده بان بازار'!$A$5:$A$2990,'دیده بان بازار'!$Q$5:$Q$2990,"")</f>
        <v>10.1</v>
      </c>
      <c r="F520" s="2063">
        <f t="shared" si="8"/>
        <v>4.3599999999999994</v>
      </c>
    </row>
    <row r="521" spans="1:6">
      <c r="A521" s="2059" t="str">
        <f>_xlfn.XLOOKUP(C521,'Price Record'!$C$5:$C$102,'Price Record'!$D$5:$D$102,"")</f>
        <v/>
      </c>
      <c r="B521" t="s">
        <v>128</v>
      </c>
      <c r="C521" t="s">
        <v>2517</v>
      </c>
      <c r="D521" t="s">
        <v>192</v>
      </c>
      <c r="E521">
        <f>_xlfn.XLOOKUP(C521,'دیده بان بازار'!$A$5:$A$2990,'دیده بان بازار'!$Q$5:$Q$2990,"")</f>
        <v>10.1</v>
      </c>
      <c r="F521" s="428" t="str">
        <f t="shared" si="8"/>
        <v/>
      </c>
    </row>
    <row r="522" spans="1:6">
      <c r="A522" s="2059" t="str">
        <f>_xlfn.XLOOKUP(C522,'Price Record'!$C$5:$C$102,'Price Record'!$D$5:$D$102,"")</f>
        <v/>
      </c>
      <c r="B522" t="s">
        <v>2518</v>
      </c>
      <c r="C522" t="s">
        <v>2519</v>
      </c>
      <c r="D522" t="s">
        <v>192</v>
      </c>
      <c r="E522">
        <f>_xlfn.XLOOKUP(C522,'دیده بان بازار'!$A$5:$A$2990,'دیده بان بازار'!$Q$5:$Q$2990,"")</f>
        <v>41.56</v>
      </c>
      <c r="F522" s="428" t="str">
        <f t="shared" si="8"/>
        <v/>
      </c>
    </row>
    <row r="523" spans="1:6">
      <c r="A523" s="2059" t="str">
        <f>_xlfn.XLOOKUP(C523,'Price Record'!$C$5:$C$102,'Price Record'!$D$5:$D$102,"")</f>
        <v/>
      </c>
      <c r="B523" t="s">
        <v>2520</v>
      </c>
      <c r="C523" t="s">
        <v>2521</v>
      </c>
      <c r="D523">
        <v>2.54</v>
      </c>
      <c r="E523">
        <f>_xlfn.XLOOKUP(C523,'دیده بان بازار'!$A$5:$A$2990,'دیده بان بازار'!$Q$5:$Q$2990,"")</f>
        <v>10.71</v>
      </c>
      <c r="F523" s="428">
        <f t="shared" si="8"/>
        <v>8.1700000000000017</v>
      </c>
    </row>
    <row r="524" spans="1:6">
      <c r="A524" s="2059" t="str">
        <f>_xlfn.XLOOKUP(C524,'Price Record'!$C$5:$C$102,'Price Record'!$D$5:$D$102,"")</f>
        <v/>
      </c>
      <c r="B524" t="s">
        <v>2522</v>
      </c>
      <c r="C524" t="s">
        <v>2523</v>
      </c>
      <c r="D524">
        <v>2.15</v>
      </c>
      <c r="E524">
        <f>_xlfn.XLOOKUP(C524,'دیده بان بازار'!$A$5:$A$2990,'دیده بان بازار'!$Q$5:$Q$2990,"")</f>
        <v>13.22</v>
      </c>
      <c r="F524" s="428">
        <f t="shared" si="8"/>
        <v>11.07</v>
      </c>
    </row>
    <row r="525" spans="1:6">
      <c r="A525" s="2059" t="str">
        <f>_xlfn.XLOOKUP(C525,'Price Record'!$C$5:$C$102,'Price Record'!$D$5:$D$102,"")</f>
        <v/>
      </c>
      <c r="B525" t="s">
        <v>2524</v>
      </c>
      <c r="C525" t="s">
        <v>2525</v>
      </c>
      <c r="D525">
        <v>99.69</v>
      </c>
      <c r="E525">
        <f>_xlfn.XLOOKUP(C525,'دیده بان بازار'!$A$5:$A$2990,'دیده بان بازار'!$Q$5:$Q$2990,"")</f>
        <v>3.47</v>
      </c>
      <c r="F525" s="428">
        <f t="shared" si="8"/>
        <v>-96.22</v>
      </c>
    </row>
    <row r="526" spans="1:6">
      <c r="A526" s="2059" t="str">
        <f>_xlfn.XLOOKUP(C526,'Price Record'!$C$5:$C$102,'Price Record'!$D$5:$D$102,"")</f>
        <v/>
      </c>
      <c r="B526" t="s">
        <v>2526</v>
      </c>
      <c r="C526" t="s">
        <v>2527</v>
      </c>
      <c r="D526">
        <v>5.95</v>
      </c>
      <c r="E526">
        <f>_xlfn.XLOOKUP(C526,'دیده بان بازار'!$A$5:$A$2990,'دیده بان بازار'!$Q$5:$Q$2990,"")</f>
        <v>6.1</v>
      </c>
      <c r="F526" s="428">
        <f t="shared" si="8"/>
        <v>0.14999999999999947</v>
      </c>
    </row>
    <row r="527" spans="1:6">
      <c r="A527" s="2062" t="str">
        <f>_xlfn.XLOOKUP(C527,'Price Record'!$C$5:$C$102,'Price Record'!$D$5:$D$102,"")</f>
        <v>M</v>
      </c>
      <c r="B527" s="1445" t="s">
        <v>116</v>
      </c>
      <c r="C527" s="1445" t="s">
        <v>117</v>
      </c>
      <c r="D527" s="1445" t="s">
        <v>192</v>
      </c>
      <c r="E527" s="1445">
        <f>_xlfn.XLOOKUP(C527,'دیده بان بازار'!$A$5:$A$2990,'دیده بان بازار'!$Q$5:$Q$2990,"")</f>
        <v>4.68</v>
      </c>
      <c r="F527" s="2063" t="str">
        <f t="shared" si="8"/>
        <v/>
      </c>
    </row>
    <row r="528" spans="1:6">
      <c r="A528" s="2059" t="str">
        <f>_xlfn.XLOOKUP(C528,'Price Record'!$C$5:$C$102,'Price Record'!$D$5:$D$102,"")</f>
        <v/>
      </c>
      <c r="B528" t="s">
        <v>116</v>
      </c>
      <c r="C528" t="s">
        <v>2528</v>
      </c>
      <c r="D528">
        <v>38.21</v>
      </c>
      <c r="E528">
        <f>_xlfn.XLOOKUP(C528,'دیده بان بازار'!$A$5:$A$2990,'دیده بان بازار'!$Q$5:$Q$2990,"")</f>
        <v>4.68</v>
      </c>
      <c r="F528" s="428">
        <f t="shared" si="8"/>
        <v>-33.53</v>
      </c>
    </row>
    <row r="529" spans="1:6">
      <c r="A529" s="2059" t="str">
        <f>_xlfn.XLOOKUP(C529,'Price Record'!$C$5:$C$102,'Price Record'!$D$5:$D$102,"")</f>
        <v/>
      </c>
      <c r="B529" t="s">
        <v>2529</v>
      </c>
      <c r="C529" t="s">
        <v>2530</v>
      </c>
      <c r="D529" t="s">
        <v>192</v>
      </c>
      <c r="E529">
        <f>_xlfn.XLOOKUP(C529,'دیده بان بازار'!$A$5:$A$2990,'دیده بان بازار'!$Q$5:$Q$2990,"")</f>
        <v>9.32</v>
      </c>
      <c r="F529" s="428" t="str">
        <f t="shared" si="8"/>
        <v/>
      </c>
    </row>
    <row r="530" spans="1:6">
      <c r="A530" s="2059" t="str">
        <f>_xlfn.XLOOKUP(C530,'Price Record'!$C$5:$C$102,'Price Record'!$D$5:$D$102,"")</f>
        <v/>
      </c>
      <c r="B530" t="s">
        <v>2529</v>
      </c>
      <c r="C530" t="s">
        <v>2531</v>
      </c>
      <c r="D530">
        <v>6.17</v>
      </c>
      <c r="E530" t="str">
        <f>_xlfn.XLOOKUP(C530,'دیده بان بازار'!$A$5:$A$2990,'دیده بان بازار'!$Q$5:$Q$2990,"")</f>
        <v/>
      </c>
      <c r="F530" s="428" t="str">
        <f t="shared" si="8"/>
        <v/>
      </c>
    </row>
    <row r="531" spans="1:6">
      <c r="A531" s="2059" t="str">
        <f>_xlfn.XLOOKUP(C531,'Price Record'!$C$5:$C$102,'Price Record'!$D$5:$D$102,"")</f>
        <v/>
      </c>
      <c r="B531" t="s">
        <v>2532</v>
      </c>
      <c r="C531" t="s">
        <v>2533</v>
      </c>
      <c r="D531" t="s">
        <v>192</v>
      </c>
      <c r="E531">
        <f>_xlfn.XLOOKUP(C531,'دیده بان بازار'!$A$5:$A$2990,'دیده بان بازار'!$Q$5:$Q$2990,"")</f>
        <v>6.57</v>
      </c>
      <c r="F531" s="428" t="str">
        <f t="shared" si="8"/>
        <v/>
      </c>
    </row>
    <row r="532" spans="1:6">
      <c r="A532" s="2059" t="str">
        <f>_xlfn.XLOOKUP(C532,'Price Record'!$C$5:$C$102,'Price Record'!$D$5:$D$102,"")</f>
        <v/>
      </c>
      <c r="B532" t="s">
        <v>2532</v>
      </c>
      <c r="C532" t="s">
        <v>2534</v>
      </c>
      <c r="D532">
        <v>9.26</v>
      </c>
      <c r="E532" t="str">
        <f>_xlfn.XLOOKUP(C532,'دیده بان بازار'!$A$5:$A$2990,'دیده بان بازار'!$Q$5:$Q$2990,"")</f>
        <v/>
      </c>
      <c r="F532" s="428" t="str">
        <f t="shared" si="8"/>
        <v/>
      </c>
    </row>
    <row r="533" spans="1:6">
      <c r="A533" s="2059" t="str">
        <f>_xlfn.XLOOKUP(C533,'Price Record'!$C$5:$C$102,'Price Record'!$D$5:$D$102,"")</f>
        <v/>
      </c>
      <c r="B533" t="s">
        <v>2535</v>
      </c>
      <c r="C533" t="s">
        <v>2536</v>
      </c>
      <c r="D533" t="s">
        <v>192</v>
      </c>
      <c r="E533">
        <f>_xlfn.XLOOKUP(C533,'دیده بان بازار'!$A$5:$A$2990,'دیده بان بازار'!$Q$5:$Q$2990,"")</f>
        <v>14.24</v>
      </c>
      <c r="F533" s="428" t="str">
        <f t="shared" si="8"/>
        <v/>
      </c>
    </row>
    <row r="534" spans="1:6">
      <c r="A534" s="2059" t="str">
        <f>_xlfn.XLOOKUP(C534,'Price Record'!$C$5:$C$102,'Price Record'!$D$5:$D$102,"")</f>
        <v/>
      </c>
      <c r="B534" t="s">
        <v>2537</v>
      </c>
      <c r="C534" t="s">
        <v>2538</v>
      </c>
      <c r="D534">
        <v>5.3</v>
      </c>
      <c r="E534">
        <f>_xlfn.XLOOKUP(C534,'دیده بان بازار'!$A$5:$A$2990,'دیده بان بازار'!$Q$5:$Q$2990,"")</f>
        <v>18.27</v>
      </c>
      <c r="F534" s="428">
        <f t="shared" si="8"/>
        <v>12.969999999999999</v>
      </c>
    </row>
    <row r="535" spans="1:6">
      <c r="A535" s="2059" t="str">
        <f>_xlfn.XLOOKUP(C535,'Price Record'!$C$5:$C$102,'Price Record'!$D$5:$D$102,"")</f>
        <v/>
      </c>
      <c r="B535" t="s">
        <v>2539</v>
      </c>
      <c r="C535" t="s">
        <v>2540</v>
      </c>
      <c r="D535">
        <v>9.57</v>
      </c>
      <c r="E535">
        <f>_xlfn.XLOOKUP(C535,'دیده بان بازار'!$A$5:$A$2990,'دیده بان بازار'!$Q$5:$Q$2990,"")</f>
        <v>6.43</v>
      </c>
      <c r="F535" s="428">
        <f t="shared" si="8"/>
        <v>-3.1400000000000006</v>
      </c>
    </row>
    <row r="536" spans="1:6">
      <c r="A536" s="2059" t="str">
        <f>_xlfn.XLOOKUP(C536,'Price Record'!$C$5:$C$102,'Price Record'!$D$5:$D$102,"")</f>
        <v/>
      </c>
      <c r="B536" t="s">
        <v>2541</v>
      </c>
      <c r="C536" t="s">
        <v>2542</v>
      </c>
      <c r="D536" t="s">
        <v>192</v>
      </c>
      <c r="E536">
        <f>_xlfn.XLOOKUP(C536,'دیده بان بازار'!$A$5:$A$2990,'دیده بان بازار'!$Q$5:$Q$2990,"")</f>
        <v>22.85</v>
      </c>
      <c r="F536" s="428" t="str">
        <f t="shared" si="8"/>
        <v/>
      </c>
    </row>
    <row r="537" spans="1:6">
      <c r="A537" s="2059" t="str">
        <f>_xlfn.XLOOKUP(C537,'Price Record'!$C$5:$C$102,'Price Record'!$D$5:$D$102,"")</f>
        <v/>
      </c>
      <c r="B537" t="s">
        <v>2541</v>
      </c>
      <c r="C537" t="s">
        <v>2543</v>
      </c>
      <c r="D537">
        <v>5.22</v>
      </c>
      <c r="E537" t="str">
        <f>_xlfn.XLOOKUP(C537,'دیده بان بازار'!$A$5:$A$2990,'دیده بان بازار'!$Q$5:$Q$2990,"")</f>
        <v/>
      </c>
      <c r="F537" s="428" t="str">
        <f t="shared" si="8"/>
        <v/>
      </c>
    </row>
    <row r="538" spans="1:6">
      <c r="A538" s="2059" t="str">
        <f>_xlfn.XLOOKUP(C538,'Price Record'!$C$5:$C$102,'Price Record'!$D$5:$D$102,"")</f>
        <v/>
      </c>
      <c r="B538" t="s">
        <v>2544</v>
      </c>
      <c r="C538" t="s">
        <v>2545</v>
      </c>
      <c r="D538">
        <v>27.05</v>
      </c>
      <c r="E538">
        <f>_xlfn.XLOOKUP(C538,'دیده بان بازار'!$A$5:$A$2990,'دیده بان بازار'!$Q$5:$Q$2990,"")</f>
        <v>7.34</v>
      </c>
      <c r="F538" s="428">
        <f t="shared" si="8"/>
        <v>-19.71</v>
      </c>
    </row>
    <row r="539" spans="1:6">
      <c r="A539" s="2059" t="str">
        <f>_xlfn.XLOOKUP(C539,'Price Record'!$C$5:$C$102,'Price Record'!$D$5:$D$102,"")</f>
        <v/>
      </c>
      <c r="B539" t="s">
        <v>2546</v>
      </c>
      <c r="C539" t="s">
        <v>2547</v>
      </c>
      <c r="D539" t="s">
        <v>192</v>
      </c>
      <c r="E539">
        <f>_xlfn.XLOOKUP(C539,'دیده بان بازار'!$A$5:$A$2990,'دیده بان بازار'!$Q$5:$Q$2990,"")</f>
        <v>6.67</v>
      </c>
      <c r="F539" s="428" t="str">
        <f t="shared" si="8"/>
        <v/>
      </c>
    </row>
    <row r="540" spans="1:6">
      <c r="A540" s="2059" t="str">
        <f>_xlfn.XLOOKUP(C540,'Price Record'!$C$5:$C$102,'Price Record'!$D$5:$D$102,"")</f>
        <v/>
      </c>
      <c r="B540" t="s">
        <v>2548</v>
      </c>
      <c r="C540" t="s">
        <v>2549</v>
      </c>
      <c r="D540">
        <v>3.46</v>
      </c>
      <c r="E540">
        <f>_xlfn.XLOOKUP(C540,'دیده بان بازار'!$A$5:$A$2990,'دیده بان بازار'!$Q$5:$Q$2990,"")</f>
        <v>19.29</v>
      </c>
      <c r="F540" s="428">
        <f t="shared" si="8"/>
        <v>15.829999999999998</v>
      </c>
    </row>
    <row r="541" spans="1:6">
      <c r="A541" s="2059" t="str">
        <f>_xlfn.XLOOKUP(C541,'Price Record'!$C$5:$C$102,'Price Record'!$D$5:$D$102,"")</f>
        <v/>
      </c>
      <c r="B541" t="s">
        <v>2550</v>
      </c>
      <c r="C541" t="s">
        <v>2551</v>
      </c>
      <c r="D541">
        <v>11.64</v>
      </c>
      <c r="E541">
        <f>_xlfn.XLOOKUP(C541,'دیده بان بازار'!$A$5:$A$2990,'دیده بان بازار'!$Q$5:$Q$2990,"")</f>
        <v>5.3</v>
      </c>
      <c r="F541" s="428">
        <f t="shared" si="8"/>
        <v>-6.3400000000000007</v>
      </c>
    </row>
    <row r="542" spans="1:6">
      <c r="A542" s="2059" t="str">
        <f>_xlfn.XLOOKUP(C542,'Price Record'!$C$5:$C$102,'Price Record'!$D$5:$D$102,"")</f>
        <v/>
      </c>
      <c r="B542" t="s">
        <v>2552</v>
      </c>
      <c r="C542" t="s">
        <v>2553</v>
      </c>
      <c r="D542">
        <v>11.32</v>
      </c>
      <c r="E542" t="str">
        <f>_xlfn.XLOOKUP(C542,'دیده بان بازار'!$A$5:$A$2990,'دیده بان بازار'!$Q$5:$Q$2990,"")</f>
        <v/>
      </c>
      <c r="F542" s="428" t="str">
        <f t="shared" si="8"/>
        <v/>
      </c>
    </row>
    <row r="543" spans="1:6">
      <c r="A543" s="2059" t="str">
        <f>_xlfn.XLOOKUP(C543,'Price Record'!$C$5:$C$102,'Price Record'!$D$5:$D$102,"")</f>
        <v/>
      </c>
      <c r="B543" t="s">
        <v>2554</v>
      </c>
      <c r="C543" t="s">
        <v>2555</v>
      </c>
      <c r="D543" t="s">
        <v>192</v>
      </c>
      <c r="E543">
        <f>_xlfn.XLOOKUP(C543,'دیده بان بازار'!$A$5:$A$2990,'دیده بان بازار'!$Q$5:$Q$2990,"")</f>
        <v>4.25</v>
      </c>
      <c r="F543" s="428" t="str">
        <f t="shared" si="8"/>
        <v/>
      </c>
    </row>
    <row r="544" spans="1:6">
      <c r="A544" s="2059" t="str">
        <f>_xlfn.XLOOKUP(C544,'Price Record'!$C$5:$C$102,'Price Record'!$D$5:$D$102,"")</f>
        <v/>
      </c>
      <c r="B544" t="s">
        <v>2554</v>
      </c>
      <c r="C544" t="s">
        <v>2556</v>
      </c>
      <c r="D544" t="s">
        <v>192</v>
      </c>
      <c r="E544" t="str">
        <f>_xlfn.XLOOKUP(C544,'دیده بان بازار'!$A$5:$A$2990,'دیده بان بازار'!$Q$5:$Q$2990,"")</f>
        <v/>
      </c>
      <c r="F544" s="428" t="str">
        <f t="shared" si="8"/>
        <v/>
      </c>
    </row>
    <row r="545" spans="1:6">
      <c r="A545" s="2062" t="str">
        <f>_xlfn.XLOOKUP(C545,'Price Record'!$C$5:$C$102,'Price Record'!$D$5:$D$102,"")</f>
        <v>M</v>
      </c>
      <c r="B545" s="1445" t="s">
        <v>120</v>
      </c>
      <c r="C545" s="1445" t="s">
        <v>121</v>
      </c>
      <c r="D545" s="1445">
        <v>3.62</v>
      </c>
      <c r="E545" s="1445">
        <f>_xlfn.XLOOKUP(C545,'دیده بان بازار'!$A$5:$A$2990,'دیده بان بازار'!$Q$5:$Q$2990,"")</f>
        <v>4.5599999999999996</v>
      </c>
      <c r="F545" s="2063">
        <f t="shared" si="8"/>
        <v>0.9399999999999995</v>
      </c>
    </row>
    <row r="546" spans="1:6">
      <c r="A546" s="2062" t="str">
        <f>_xlfn.XLOOKUP(C546,'Price Record'!$C$5:$C$102,'Price Record'!$D$5:$D$102,"")</f>
        <v>M</v>
      </c>
      <c r="B546" s="1445" t="s">
        <v>114</v>
      </c>
      <c r="C546" s="1445" t="s">
        <v>115</v>
      </c>
      <c r="D546" s="1445" t="s">
        <v>192</v>
      </c>
      <c r="E546" s="1445">
        <f>_xlfn.XLOOKUP(C546,'دیده بان بازار'!$A$5:$A$2990,'دیده بان بازار'!$Q$5:$Q$2990,"")</f>
        <v>3.82</v>
      </c>
      <c r="F546" s="2063" t="str">
        <f t="shared" si="8"/>
        <v/>
      </c>
    </row>
    <row r="547" spans="1:6">
      <c r="A547" s="2059" t="str">
        <f>_xlfn.XLOOKUP(C547,'Price Record'!$C$5:$C$102,'Price Record'!$D$5:$D$102,"")</f>
        <v/>
      </c>
      <c r="B547" t="s">
        <v>114</v>
      </c>
      <c r="C547" t="s">
        <v>2557</v>
      </c>
      <c r="D547">
        <v>6.66</v>
      </c>
      <c r="E547" t="str">
        <f>_xlfn.XLOOKUP(C547,'دیده بان بازار'!$A$5:$A$2990,'دیده بان بازار'!$Q$5:$Q$2990,"")</f>
        <v/>
      </c>
      <c r="F547" s="428" t="str">
        <f t="shared" si="8"/>
        <v/>
      </c>
    </row>
    <row r="548" spans="1:6">
      <c r="A548" s="2059" t="str">
        <f>_xlfn.XLOOKUP(C548,'Price Record'!$C$5:$C$102,'Price Record'!$D$5:$D$102,"")</f>
        <v/>
      </c>
      <c r="B548" t="s">
        <v>2558</v>
      </c>
      <c r="C548" t="s">
        <v>2559</v>
      </c>
      <c r="D548" t="s">
        <v>192</v>
      </c>
      <c r="E548">
        <f>_xlfn.XLOOKUP(C548,'دیده بان بازار'!$A$5:$A$2990,'دیده بان بازار'!$Q$5:$Q$2990,"")</f>
        <v>-13.37</v>
      </c>
      <c r="F548" s="428" t="str">
        <f t="shared" si="8"/>
        <v/>
      </c>
    </row>
    <row r="549" spans="1:6">
      <c r="A549" s="2059" t="str">
        <f>_xlfn.XLOOKUP(C549,'Price Record'!$C$5:$C$102,'Price Record'!$D$5:$D$102,"")</f>
        <v/>
      </c>
      <c r="B549" t="s">
        <v>2560</v>
      </c>
      <c r="C549" t="s">
        <v>2561</v>
      </c>
      <c r="D549" t="s">
        <v>192</v>
      </c>
      <c r="E549">
        <f>_xlfn.XLOOKUP(C549,'دیده بان بازار'!$A$5:$A$2990,'دیده بان بازار'!$Q$5:$Q$2990,"")</f>
        <v>-32.07</v>
      </c>
      <c r="F549" s="428" t="str">
        <f t="shared" si="8"/>
        <v/>
      </c>
    </row>
    <row r="550" spans="1:6">
      <c r="A550" s="2059" t="str">
        <f>_xlfn.XLOOKUP(C550,'Price Record'!$C$5:$C$102,'Price Record'!$D$5:$D$102,"")</f>
        <v/>
      </c>
      <c r="B550" t="s">
        <v>2560</v>
      </c>
      <c r="C550" t="s">
        <v>2562</v>
      </c>
      <c r="D550">
        <v>2.5</v>
      </c>
      <c r="E550" t="str">
        <f>_xlfn.XLOOKUP(C550,'دیده بان بازار'!$A$5:$A$2990,'دیده بان بازار'!$Q$5:$Q$2990,"")</f>
        <v/>
      </c>
      <c r="F550" s="428" t="str">
        <f t="shared" si="8"/>
        <v/>
      </c>
    </row>
    <row r="551" spans="1:6">
      <c r="A551" s="2059" t="str">
        <f>_xlfn.XLOOKUP(C551,'Price Record'!$C$5:$C$102,'Price Record'!$D$5:$D$102,"")</f>
        <v/>
      </c>
      <c r="B551" t="s">
        <v>2563</v>
      </c>
      <c r="C551" t="s">
        <v>2564</v>
      </c>
      <c r="D551">
        <v>4.43</v>
      </c>
      <c r="E551" t="str">
        <f>_xlfn.XLOOKUP(C551,'دیده بان بازار'!$A$5:$A$2990,'دیده بان بازار'!$Q$5:$Q$2990,"")</f>
        <v/>
      </c>
      <c r="F551" s="428" t="str">
        <f t="shared" si="8"/>
        <v/>
      </c>
    </row>
    <row r="552" spans="1:6">
      <c r="A552" s="2059" t="str">
        <f>_xlfn.XLOOKUP(C552,'Price Record'!$C$5:$C$102,'Price Record'!$D$5:$D$102,"")</f>
        <v/>
      </c>
      <c r="B552" t="s">
        <v>2563</v>
      </c>
      <c r="C552" t="s">
        <v>2565</v>
      </c>
      <c r="D552">
        <v>15</v>
      </c>
      <c r="E552" t="str">
        <f>_xlfn.XLOOKUP(C552,'دیده بان بازار'!$A$5:$A$2990,'دیده بان بازار'!$Q$5:$Q$2990,"")</f>
        <v/>
      </c>
      <c r="F552" s="428" t="str">
        <f t="shared" si="8"/>
        <v/>
      </c>
    </row>
    <row r="553" spans="1:6">
      <c r="A553" s="2062" t="str">
        <f>_xlfn.XLOOKUP(C553,'Price Record'!$C$5:$C$102,'Price Record'!$D$5:$D$102,"")</f>
        <v>M</v>
      </c>
      <c r="B553" s="1445" t="s">
        <v>122</v>
      </c>
      <c r="C553" s="1445" t="s">
        <v>123</v>
      </c>
      <c r="D553" s="1445">
        <v>13.22</v>
      </c>
      <c r="E553" s="1445">
        <f>_xlfn.XLOOKUP(C553,'دیده بان بازار'!$A$5:$A$2990,'دیده بان بازار'!$Q$5:$Q$2990,"")</f>
        <v>17.690000000000001</v>
      </c>
      <c r="F553" s="2063">
        <f t="shared" si="8"/>
        <v>4.4700000000000006</v>
      </c>
    </row>
    <row r="554" spans="1:6">
      <c r="A554" s="2059" t="str">
        <f>_xlfn.XLOOKUP(C554,'Price Record'!$C$5:$C$102,'Price Record'!$D$5:$D$102,"")</f>
        <v/>
      </c>
      <c r="B554" t="s">
        <v>122</v>
      </c>
      <c r="C554" t="s">
        <v>2566</v>
      </c>
      <c r="D554">
        <v>-87.69</v>
      </c>
      <c r="E554">
        <f>_xlfn.XLOOKUP(C554,'دیده بان بازار'!$A$5:$A$2990,'دیده بان بازار'!$Q$5:$Q$2990,"")</f>
        <v>17.690000000000001</v>
      </c>
      <c r="F554" s="428">
        <f t="shared" si="8"/>
        <v>105.38</v>
      </c>
    </row>
    <row r="555" spans="1:6">
      <c r="A555" s="2059" t="str">
        <f>_xlfn.XLOOKUP(C555,'Price Record'!$C$5:$C$102,'Price Record'!$D$5:$D$102,"")</f>
        <v/>
      </c>
      <c r="B555" t="s">
        <v>2567</v>
      </c>
      <c r="C555" t="s">
        <v>2568</v>
      </c>
      <c r="D555" t="s">
        <v>192</v>
      </c>
      <c r="E555" t="str">
        <f>_xlfn.XLOOKUP(C555,'دیده بان بازار'!$A$5:$A$2990,'دیده بان بازار'!$Q$5:$Q$2990,"")</f>
        <v/>
      </c>
      <c r="F555" s="428" t="str">
        <f t="shared" si="8"/>
        <v/>
      </c>
    </row>
    <row r="556" spans="1:6">
      <c r="A556" s="2059" t="str">
        <f>_xlfn.XLOOKUP(C556,'Price Record'!$C$5:$C$102,'Price Record'!$D$5:$D$102,"")</f>
        <v/>
      </c>
      <c r="B556" t="s">
        <v>2569</v>
      </c>
      <c r="C556" t="s">
        <v>2570</v>
      </c>
      <c r="D556">
        <v>-4.92</v>
      </c>
      <c r="E556" t="str">
        <f>_xlfn.XLOOKUP(C556,'دیده بان بازار'!$A$5:$A$2990,'دیده بان بازار'!$Q$5:$Q$2990,"")</f>
        <v/>
      </c>
      <c r="F556" s="428" t="str">
        <f t="shared" si="8"/>
        <v/>
      </c>
    </row>
    <row r="557" spans="1:6">
      <c r="A557" s="2059" t="str">
        <f>_xlfn.XLOOKUP(C557,'Price Record'!$C$5:$C$102,'Price Record'!$D$5:$D$102,"")</f>
        <v/>
      </c>
      <c r="B557" t="s">
        <v>2571</v>
      </c>
      <c r="C557" t="s">
        <v>2572</v>
      </c>
      <c r="D557">
        <v>-9.58</v>
      </c>
      <c r="E557">
        <f>_xlfn.XLOOKUP(C557,'دیده بان بازار'!$A$5:$A$2990,'دیده بان بازار'!$Q$5:$Q$2990,"")</f>
        <v>-36.32</v>
      </c>
      <c r="F557" s="428" t="str">
        <f t="shared" si="8"/>
        <v/>
      </c>
    </row>
    <row r="558" spans="1:6">
      <c r="A558" s="2059" t="str">
        <f>_xlfn.XLOOKUP(C558,'Price Record'!$C$5:$C$102,'Price Record'!$D$5:$D$102,"")</f>
        <v/>
      </c>
      <c r="B558" t="s">
        <v>2573</v>
      </c>
      <c r="C558" t="s">
        <v>2574</v>
      </c>
      <c r="D558">
        <v>4.87</v>
      </c>
      <c r="E558">
        <f>_xlfn.XLOOKUP(C558,'دیده بان بازار'!$A$5:$A$2990,'دیده بان بازار'!$Q$5:$Q$2990,"")</f>
        <v>3.9</v>
      </c>
      <c r="F558" s="428">
        <f t="shared" si="8"/>
        <v>-0.9700000000000002</v>
      </c>
    </row>
    <row r="559" spans="1:6">
      <c r="A559" s="2059" t="str">
        <f>_xlfn.XLOOKUP(C559,'Price Record'!$C$5:$C$102,'Price Record'!$D$5:$D$102,"")</f>
        <v/>
      </c>
      <c r="B559" t="s">
        <v>2575</v>
      </c>
      <c r="C559" t="s">
        <v>2576</v>
      </c>
      <c r="D559">
        <v>0</v>
      </c>
      <c r="E559">
        <f>_xlfn.XLOOKUP(C559,'دیده بان بازار'!$A$5:$A$2990,'دیده بان بازار'!$Q$5:$Q$2990,"")</f>
        <v>-68.37</v>
      </c>
      <c r="F559" s="428" t="str">
        <f t="shared" si="8"/>
        <v/>
      </c>
    </row>
    <row r="560" spans="1:6">
      <c r="A560" s="2059" t="str">
        <f>_xlfn.XLOOKUP(C560,'Price Record'!$C$5:$C$102,'Price Record'!$D$5:$D$102,"")</f>
        <v/>
      </c>
      <c r="B560" t="s">
        <v>2577</v>
      </c>
      <c r="C560" t="s">
        <v>2578</v>
      </c>
      <c r="D560" t="s">
        <v>192</v>
      </c>
      <c r="E560">
        <f>_xlfn.XLOOKUP(C560,'دیده بان بازار'!$A$5:$A$2990,'دیده بان بازار'!$Q$5:$Q$2990,"")</f>
        <v>14.11</v>
      </c>
      <c r="F560" s="428" t="str">
        <f t="shared" si="8"/>
        <v/>
      </c>
    </row>
    <row r="561" spans="1:6">
      <c r="A561" s="2059" t="str">
        <f>_xlfn.XLOOKUP(C561,'Price Record'!$C$5:$C$102,'Price Record'!$D$5:$D$102,"")</f>
        <v/>
      </c>
      <c r="B561" t="s">
        <v>2579</v>
      </c>
      <c r="C561" t="s">
        <v>2580</v>
      </c>
      <c r="D561" t="s">
        <v>192</v>
      </c>
      <c r="E561">
        <f>_xlfn.XLOOKUP(C561,'دیده بان بازار'!$A$5:$A$2990,'دیده بان بازار'!$Q$5:$Q$2990,"")</f>
        <v>8.5</v>
      </c>
      <c r="F561" s="428" t="str">
        <f t="shared" si="8"/>
        <v/>
      </c>
    </row>
    <row r="562" spans="1:6">
      <c r="A562" s="2059" t="str">
        <f>_xlfn.XLOOKUP(C562,'Price Record'!$C$5:$C$102,'Price Record'!$D$5:$D$102,"")</f>
        <v/>
      </c>
      <c r="B562" t="s">
        <v>2581</v>
      </c>
      <c r="C562" t="s">
        <v>2582</v>
      </c>
      <c r="D562">
        <v>9.52</v>
      </c>
      <c r="E562">
        <f>_xlfn.XLOOKUP(C562,'دیده بان بازار'!$A$5:$A$2990,'دیده بان بازار'!$Q$5:$Q$2990,"")</f>
        <v>-275.73</v>
      </c>
      <c r="F562" s="428" t="str">
        <f t="shared" si="8"/>
        <v/>
      </c>
    </row>
    <row r="563" spans="1:6">
      <c r="A563" s="2062" t="str">
        <f>_xlfn.XLOOKUP(C563,'Price Record'!$C$5:$C$102,'Price Record'!$D$5:$D$102,"")</f>
        <v>CO</v>
      </c>
      <c r="B563" s="1445" t="s">
        <v>126</v>
      </c>
      <c r="C563" s="1445" t="s">
        <v>127</v>
      </c>
      <c r="D563" s="1445">
        <v>3.66</v>
      </c>
      <c r="E563" s="1445">
        <f>_xlfn.XLOOKUP(C563,'دیده بان بازار'!$A$5:$A$2990,'دیده بان بازار'!$Q$5:$Q$2990,"")</f>
        <v>11.5</v>
      </c>
      <c r="F563" s="2063">
        <f t="shared" si="8"/>
        <v>7.84</v>
      </c>
    </row>
    <row r="564" spans="1:6">
      <c r="A564" s="2059" t="str">
        <f>_xlfn.XLOOKUP(C564,'Price Record'!$C$5:$C$102,'Price Record'!$D$5:$D$102,"")</f>
        <v/>
      </c>
      <c r="B564" t="s">
        <v>126</v>
      </c>
      <c r="C564" t="s">
        <v>2583</v>
      </c>
      <c r="D564">
        <v>36.79</v>
      </c>
      <c r="E564" t="str">
        <f>_xlfn.XLOOKUP(C564,'دیده بان بازار'!$A$5:$A$2990,'دیده بان بازار'!$Q$5:$Q$2990,"")</f>
        <v/>
      </c>
      <c r="F564" s="428" t="str">
        <f t="shared" si="8"/>
        <v/>
      </c>
    </row>
    <row r="565" spans="1:6">
      <c r="A565" s="2062" t="str">
        <f>_xlfn.XLOOKUP(C565,'Price Record'!$C$5:$C$102,'Price Record'!$D$5:$D$102,"")</f>
        <v>IT</v>
      </c>
      <c r="B565" s="1445" t="s">
        <v>112</v>
      </c>
      <c r="C565" s="1445" t="s">
        <v>2584</v>
      </c>
      <c r="D565" s="1445">
        <v>-5.18</v>
      </c>
      <c r="E565" s="1445">
        <f>_xlfn.XLOOKUP(C565,'دیده بان بازار'!$A$5:$A$2990,'دیده بان بازار'!$Q$5:$Q$2990,"")</f>
        <v>5.03</v>
      </c>
      <c r="F565" s="2063">
        <f t="shared" si="8"/>
        <v>10.210000000000001</v>
      </c>
    </row>
    <row r="566" spans="1:6">
      <c r="A566" s="2059" t="str">
        <f>_xlfn.XLOOKUP(C566,'Price Record'!$C$5:$C$102,'Price Record'!$D$5:$D$102,"")</f>
        <v/>
      </c>
      <c r="B566" t="s">
        <v>2585</v>
      </c>
      <c r="C566" t="s">
        <v>2586</v>
      </c>
      <c r="D566">
        <v>5.2</v>
      </c>
      <c r="E566">
        <f>_xlfn.XLOOKUP(C566,'دیده بان بازار'!$A$5:$A$2990,'دیده بان بازار'!$Q$5:$Q$2990,"")</f>
        <v>1.03</v>
      </c>
      <c r="F566" s="428">
        <f t="shared" si="8"/>
        <v>-4.17</v>
      </c>
    </row>
    <row r="567" spans="1:6">
      <c r="A567" s="2059" t="str">
        <f>_xlfn.XLOOKUP(C567,'Price Record'!$C$5:$C$102,'Price Record'!$D$5:$D$102,"")</f>
        <v/>
      </c>
      <c r="B567" t="s">
        <v>2587</v>
      </c>
      <c r="C567" t="s">
        <v>2588</v>
      </c>
      <c r="D567" t="s">
        <v>192</v>
      </c>
      <c r="E567">
        <f>_xlfn.XLOOKUP(C567,'دیده بان بازار'!$A$5:$A$2990,'دیده بان بازار'!$Q$5:$Q$2990,"")</f>
        <v>7.28</v>
      </c>
      <c r="F567" s="428" t="str">
        <f t="shared" si="8"/>
        <v/>
      </c>
    </row>
    <row r="568" spans="1:6">
      <c r="A568" s="2059" t="str">
        <f>_xlfn.XLOOKUP(C568,'Price Record'!$C$5:$C$102,'Price Record'!$D$5:$D$102,"")</f>
        <v/>
      </c>
      <c r="B568" t="s">
        <v>2589</v>
      </c>
      <c r="C568" t="s">
        <v>2590</v>
      </c>
      <c r="D568">
        <v>4.42</v>
      </c>
      <c r="E568">
        <f>_xlfn.XLOOKUP(C568,'دیده بان بازار'!$A$5:$A$2990,'دیده بان بازار'!$Q$5:$Q$2990,"")</f>
        <v>9.2100000000000009</v>
      </c>
      <c r="F568" s="428">
        <f t="shared" si="8"/>
        <v>4.7900000000000009</v>
      </c>
    </row>
    <row r="569" spans="1:6">
      <c r="A569" s="2059" t="str">
        <f>_xlfn.XLOOKUP(C569,'Price Record'!$C$5:$C$102,'Price Record'!$D$5:$D$102,"")</f>
        <v/>
      </c>
      <c r="B569" t="s">
        <v>2589</v>
      </c>
      <c r="C569" t="s">
        <v>2591</v>
      </c>
      <c r="D569" t="s">
        <v>192</v>
      </c>
      <c r="E569" t="str">
        <f>_xlfn.XLOOKUP(C569,'دیده بان بازار'!$A$5:$A$2990,'دیده بان بازار'!$Q$5:$Q$2990,"")</f>
        <v/>
      </c>
      <c r="F569" s="428" t="str">
        <f t="shared" si="8"/>
        <v/>
      </c>
    </row>
    <row r="570" spans="1:6">
      <c r="A570" s="2059" t="str">
        <f>_xlfn.XLOOKUP(C570,'Price Record'!$C$5:$C$102,'Price Record'!$D$5:$D$102,"")</f>
        <v/>
      </c>
      <c r="B570" t="s">
        <v>2592</v>
      </c>
      <c r="C570" t="s">
        <v>2593</v>
      </c>
      <c r="D570">
        <v>48.61</v>
      </c>
      <c r="E570">
        <f>_xlfn.XLOOKUP(C570,'دیده بان بازار'!$A$5:$A$2990,'دیده بان بازار'!$Q$5:$Q$2990,"")</f>
        <v>7.4</v>
      </c>
      <c r="F570" s="428">
        <f t="shared" si="8"/>
        <v>-41.21</v>
      </c>
    </row>
    <row r="571" spans="1:6">
      <c r="A571" s="2059" t="str">
        <f>_xlfn.XLOOKUP(C571,'Price Record'!$C$5:$C$102,'Price Record'!$D$5:$D$102,"")</f>
        <v/>
      </c>
      <c r="B571" t="s">
        <v>2594</v>
      </c>
      <c r="C571" t="s">
        <v>2595</v>
      </c>
      <c r="D571" t="s">
        <v>192</v>
      </c>
      <c r="E571">
        <f>_xlfn.XLOOKUP(C571,'دیده بان بازار'!$A$5:$A$2990,'دیده بان بازار'!$Q$5:$Q$2990,"")</f>
        <v>5.0599999999999996</v>
      </c>
      <c r="F571" s="428" t="str">
        <f t="shared" si="8"/>
        <v/>
      </c>
    </row>
    <row r="572" spans="1:6">
      <c r="A572" s="2059" t="str">
        <f>_xlfn.XLOOKUP(C572,'Price Record'!$C$5:$C$102,'Price Record'!$D$5:$D$102,"")</f>
        <v/>
      </c>
      <c r="B572" t="s">
        <v>2596</v>
      </c>
      <c r="C572" t="s">
        <v>2597</v>
      </c>
      <c r="D572">
        <v>2.76</v>
      </c>
      <c r="E572">
        <f>_xlfn.XLOOKUP(C572,'دیده بان بازار'!$A$5:$A$2990,'دیده بان بازار'!$Q$5:$Q$2990,"")</f>
        <v>7.38</v>
      </c>
      <c r="F572" s="428">
        <f t="shared" si="8"/>
        <v>4.62</v>
      </c>
    </row>
    <row r="573" spans="1:6">
      <c r="A573" s="2059" t="str">
        <f>_xlfn.XLOOKUP(C573,'Price Record'!$C$5:$C$102,'Price Record'!$D$5:$D$102,"")</f>
        <v/>
      </c>
      <c r="B573" t="s">
        <v>2598</v>
      </c>
      <c r="C573" t="s">
        <v>2599</v>
      </c>
      <c r="D573">
        <v>4.2699999999999996</v>
      </c>
      <c r="E573">
        <f>_xlfn.XLOOKUP(C573,'دیده بان بازار'!$A$5:$A$2990,'دیده بان بازار'!$Q$5:$Q$2990,"")</f>
        <v>4.93</v>
      </c>
      <c r="F573" s="428">
        <f t="shared" si="8"/>
        <v>0.66000000000000014</v>
      </c>
    </row>
    <row r="574" spans="1:6">
      <c r="A574" s="2059" t="str">
        <f>_xlfn.XLOOKUP(C574,'Price Record'!$C$5:$C$102,'Price Record'!$D$5:$D$102,"")</f>
        <v/>
      </c>
      <c r="B574" t="s">
        <v>2598</v>
      </c>
      <c r="C574" t="s">
        <v>2600</v>
      </c>
      <c r="D574">
        <v>9.6199999999999992</v>
      </c>
      <c r="E574" t="str">
        <f>_xlfn.XLOOKUP(C574,'دیده بان بازار'!$A$5:$A$2990,'دیده بان بازار'!$Q$5:$Q$2990,"")</f>
        <v/>
      </c>
      <c r="F574" s="428" t="str">
        <f t="shared" si="8"/>
        <v/>
      </c>
    </row>
    <row r="575" spans="1:6">
      <c r="A575" s="2059" t="str">
        <f>_xlfn.XLOOKUP(C575,'Price Record'!$C$5:$C$102,'Price Record'!$D$5:$D$102,"")</f>
        <v/>
      </c>
      <c r="B575" t="s">
        <v>2601</v>
      </c>
      <c r="C575" t="s">
        <v>2602</v>
      </c>
      <c r="D575" t="s">
        <v>192</v>
      </c>
      <c r="E575">
        <f>_xlfn.XLOOKUP(C575,'دیده بان بازار'!$A$5:$A$2990,'دیده بان بازار'!$Q$5:$Q$2990,"")</f>
        <v>8.65</v>
      </c>
      <c r="F575" s="428" t="str">
        <f t="shared" si="8"/>
        <v/>
      </c>
    </row>
    <row r="576" spans="1:6">
      <c r="A576" s="2059" t="str">
        <f>_xlfn.XLOOKUP(C576,'Price Record'!$C$5:$C$102,'Price Record'!$D$5:$D$102,"")</f>
        <v/>
      </c>
      <c r="B576" t="s">
        <v>2601</v>
      </c>
      <c r="C576" t="s">
        <v>2603</v>
      </c>
      <c r="D576" t="s">
        <v>192</v>
      </c>
      <c r="E576" t="str">
        <f>_xlfn.XLOOKUP(C576,'دیده بان بازار'!$A$5:$A$2990,'دیده بان بازار'!$Q$5:$Q$2990,"")</f>
        <v/>
      </c>
      <c r="F576" s="428" t="str">
        <f t="shared" si="8"/>
        <v/>
      </c>
    </row>
    <row r="577" spans="1:6">
      <c r="A577" s="2059" t="str">
        <f>_xlfn.XLOOKUP(C577,'Price Record'!$C$5:$C$102,'Price Record'!$D$5:$D$102,"")</f>
        <v/>
      </c>
      <c r="B577" t="s">
        <v>2604</v>
      </c>
      <c r="C577" t="s">
        <v>2605</v>
      </c>
      <c r="D577">
        <v>42.95</v>
      </c>
      <c r="E577">
        <f>_xlfn.XLOOKUP(C577,'دیده بان بازار'!$A$5:$A$2990,'دیده بان بازار'!$Q$5:$Q$2990,"")</f>
        <v>5.83</v>
      </c>
      <c r="F577" s="428">
        <f t="shared" si="8"/>
        <v>-37.120000000000005</v>
      </c>
    </row>
    <row r="578" spans="1:6">
      <c r="A578" s="2059" t="str">
        <f>_xlfn.XLOOKUP(C578,'Price Record'!$C$5:$C$102,'Price Record'!$D$5:$D$102,"")</f>
        <v/>
      </c>
      <c r="B578" t="s">
        <v>2606</v>
      </c>
      <c r="C578" t="s">
        <v>2607</v>
      </c>
      <c r="D578" t="s">
        <v>192</v>
      </c>
      <c r="E578">
        <f>_xlfn.XLOOKUP(C578,'دیده بان بازار'!$A$5:$A$2990,'دیده بان بازار'!$Q$5:$Q$2990,"")</f>
        <v>6.1</v>
      </c>
      <c r="F578" s="428" t="str">
        <f t="shared" si="8"/>
        <v/>
      </c>
    </row>
    <row r="579" spans="1:6">
      <c r="A579" s="2059" t="str">
        <f>_xlfn.XLOOKUP(C579,'Price Record'!$C$5:$C$102,'Price Record'!$D$5:$D$102,"")</f>
        <v/>
      </c>
      <c r="B579" t="s">
        <v>2606</v>
      </c>
      <c r="C579" t="s">
        <v>2608</v>
      </c>
      <c r="D579" t="s">
        <v>192</v>
      </c>
      <c r="E579">
        <f>_xlfn.XLOOKUP(C579,'دیده بان بازار'!$A$5:$A$2990,'دیده بان بازار'!$Q$5:$Q$2990,"")</f>
        <v>6.1</v>
      </c>
      <c r="F579" s="428" t="str">
        <f t="shared" si="8"/>
        <v/>
      </c>
    </row>
    <row r="580" spans="1:6">
      <c r="A580" s="2059" t="str">
        <f>_xlfn.XLOOKUP(C580,'Price Record'!$C$5:$C$102,'Price Record'!$D$5:$D$102,"")</f>
        <v/>
      </c>
      <c r="B580" t="s">
        <v>2609</v>
      </c>
      <c r="C580" t="s">
        <v>2610</v>
      </c>
      <c r="D580">
        <v>4.83</v>
      </c>
      <c r="E580">
        <f>_xlfn.XLOOKUP(C580,'دیده بان بازار'!$A$5:$A$2990,'دیده بان بازار'!$Q$5:$Q$2990,"")</f>
        <v>9.2200000000000006</v>
      </c>
      <c r="F580" s="428">
        <f t="shared" ref="F580:F643" si="9">IFERROR(IF(0&lt;E580,IF(E580&lt;20,E580-D580,""),""),"")</f>
        <v>4.3900000000000006</v>
      </c>
    </row>
    <row r="581" spans="1:6">
      <c r="A581" s="2059" t="str">
        <f>_xlfn.XLOOKUP(C581,'Price Record'!$C$5:$C$102,'Price Record'!$D$5:$D$102,"")</f>
        <v/>
      </c>
      <c r="B581" t="s">
        <v>2611</v>
      </c>
      <c r="C581" s="102" t="s">
        <v>2612</v>
      </c>
      <c r="D581" t="s">
        <v>192</v>
      </c>
      <c r="E581">
        <f>_xlfn.XLOOKUP(C581,'دیده بان بازار'!$A$5:$A$2990,'دیده بان بازار'!$Q$5:$Q$2990,"")</f>
        <v>10.8</v>
      </c>
      <c r="F581" s="428" t="str">
        <f t="shared" si="9"/>
        <v/>
      </c>
    </row>
    <row r="582" spans="1:6">
      <c r="A582" s="2059" t="str">
        <f>_xlfn.XLOOKUP(C582,'Price Record'!$C$5:$C$102,'Price Record'!$D$5:$D$102,"")</f>
        <v/>
      </c>
      <c r="B582" t="s">
        <v>2613</v>
      </c>
      <c r="C582" t="s">
        <v>2614</v>
      </c>
      <c r="D582">
        <v>9.39</v>
      </c>
      <c r="E582">
        <f>_xlfn.XLOOKUP(C582,'دیده بان بازار'!$A$5:$A$2990,'دیده بان بازار'!$Q$5:$Q$2990,"")</f>
        <v>28.13</v>
      </c>
      <c r="F582" s="428" t="str">
        <f t="shared" si="9"/>
        <v/>
      </c>
    </row>
    <row r="583" spans="1:6">
      <c r="A583" s="2059" t="str">
        <f>_xlfn.XLOOKUP(C583,'Price Record'!$C$5:$C$102,'Price Record'!$D$5:$D$102,"")</f>
        <v/>
      </c>
      <c r="B583" t="s">
        <v>2615</v>
      </c>
      <c r="C583" t="s">
        <v>2616</v>
      </c>
      <c r="D583" t="s">
        <v>192</v>
      </c>
      <c r="E583">
        <f>_xlfn.XLOOKUP(C583,'دیده بان بازار'!$A$5:$A$2990,'دیده بان بازار'!$Q$5:$Q$2990,"")</f>
        <v>4.59</v>
      </c>
      <c r="F583" s="428" t="str">
        <f t="shared" si="9"/>
        <v/>
      </c>
    </row>
    <row r="584" spans="1:6">
      <c r="A584" s="2059" t="str">
        <f>_xlfn.XLOOKUP(C584,'Price Record'!$C$5:$C$102,'Price Record'!$D$5:$D$102,"")</f>
        <v/>
      </c>
      <c r="B584" t="s">
        <v>2617</v>
      </c>
      <c r="C584" t="s">
        <v>2618</v>
      </c>
      <c r="D584">
        <v>9.3699999999999992</v>
      </c>
      <c r="E584" t="str">
        <f>_xlfn.XLOOKUP(C584,'دیده بان بازار'!$A$5:$A$2990,'دیده بان بازار'!$Q$5:$Q$2990,"")</f>
        <v/>
      </c>
      <c r="F584" s="428" t="str">
        <f t="shared" si="9"/>
        <v/>
      </c>
    </row>
    <row r="585" spans="1:6">
      <c r="A585" s="2059" t="str">
        <f>_xlfn.XLOOKUP(C585,'Price Record'!$C$5:$C$102,'Price Record'!$D$5:$D$102,"")</f>
        <v/>
      </c>
      <c r="B585" t="s">
        <v>2617</v>
      </c>
      <c r="C585" t="s">
        <v>2619</v>
      </c>
      <c r="D585" t="s">
        <v>192</v>
      </c>
      <c r="E585" t="str">
        <f>_xlfn.XLOOKUP(C585,'دیده بان بازار'!$A$5:$A$2990,'دیده بان بازار'!$Q$5:$Q$2990,"")</f>
        <v/>
      </c>
      <c r="F585" s="428" t="str">
        <f t="shared" si="9"/>
        <v/>
      </c>
    </row>
    <row r="586" spans="1:6">
      <c r="A586" s="2059" t="str">
        <f>_xlfn.XLOOKUP(C586,'Price Record'!$C$5:$C$102,'Price Record'!$D$5:$D$102,"")</f>
        <v/>
      </c>
      <c r="B586" t="s">
        <v>2620</v>
      </c>
      <c r="C586" t="s">
        <v>2621</v>
      </c>
      <c r="D586">
        <v>7.32</v>
      </c>
      <c r="E586">
        <f>_xlfn.XLOOKUP(C586,'دیده بان بازار'!$A$5:$A$2990,'دیده بان بازار'!$Q$5:$Q$2990,"")</f>
        <v>9.11</v>
      </c>
      <c r="F586" s="428">
        <f t="shared" si="9"/>
        <v>1.7899999999999991</v>
      </c>
    </row>
    <row r="587" spans="1:6">
      <c r="A587" s="2059" t="str">
        <f>_xlfn.XLOOKUP(C587,'Price Record'!$C$5:$C$102,'Price Record'!$D$5:$D$102,"")</f>
        <v/>
      </c>
      <c r="B587" t="s">
        <v>2620</v>
      </c>
      <c r="C587" t="s">
        <v>2622</v>
      </c>
      <c r="D587" t="s">
        <v>192</v>
      </c>
      <c r="E587" t="str">
        <f>_xlfn.XLOOKUP(C587,'دیده بان بازار'!$A$5:$A$2990,'دیده بان بازار'!$Q$5:$Q$2990,"")</f>
        <v/>
      </c>
      <c r="F587" s="428" t="str">
        <f t="shared" si="9"/>
        <v/>
      </c>
    </row>
    <row r="588" spans="1:6">
      <c r="A588" s="2059" t="str">
        <f>_xlfn.XLOOKUP(C588,'Price Record'!$C$5:$C$102,'Price Record'!$D$5:$D$102,"")</f>
        <v/>
      </c>
      <c r="B588" t="s">
        <v>2620</v>
      </c>
      <c r="C588" t="s">
        <v>2623</v>
      </c>
      <c r="D588" t="s">
        <v>192</v>
      </c>
      <c r="E588" t="str">
        <f>_xlfn.XLOOKUP(C588,'دیده بان بازار'!$A$5:$A$2990,'دیده بان بازار'!$Q$5:$Q$2990,"")</f>
        <v/>
      </c>
      <c r="F588" s="428" t="str">
        <f t="shared" si="9"/>
        <v/>
      </c>
    </row>
    <row r="589" spans="1:6">
      <c r="A589" s="2059" t="str">
        <f>_xlfn.XLOOKUP(C589,'Price Record'!$C$5:$C$102,'Price Record'!$D$5:$D$102,"")</f>
        <v/>
      </c>
      <c r="B589" t="s">
        <v>2624</v>
      </c>
      <c r="C589" t="s">
        <v>2625</v>
      </c>
      <c r="D589" t="s">
        <v>192</v>
      </c>
      <c r="E589">
        <f>_xlfn.XLOOKUP(C589,'دیده بان بازار'!$A$5:$A$2990,'دیده بان بازار'!$Q$5:$Q$2990,"")</f>
        <v>8.6</v>
      </c>
      <c r="F589" s="428" t="str">
        <f t="shared" si="9"/>
        <v/>
      </c>
    </row>
    <row r="590" spans="1:6">
      <c r="A590" s="2059" t="str">
        <f>_xlfn.XLOOKUP(C590,'Price Record'!$C$5:$C$102,'Price Record'!$D$5:$D$102,"")</f>
        <v/>
      </c>
      <c r="B590" t="s">
        <v>2626</v>
      </c>
      <c r="C590" t="s">
        <v>2627</v>
      </c>
      <c r="D590">
        <v>5.74</v>
      </c>
      <c r="E590" t="str">
        <f>_xlfn.XLOOKUP(C590,'دیده بان بازار'!$A$5:$A$2990,'دیده بان بازار'!$Q$5:$Q$2990,"")</f>
        <v/>
      </c>
      <c r="F590" s="428" t="str">
        <f t="shared" si="9"/>
        <v/>
      </c>
    </row>
    <row r="591" spans="1:6">
      <c r="A591" s="2059" t="str">
        <f>_xlfn.XLOOKUP(C591,'Price Record'!$C$5:$C$102,'Price Record'!$D$5:$D$102,"")</f>
        <v/>
      </c>
      <c r="B591" t="s">
        <v>2628</v>
      </c>
      <c r="C591" t="s">
        <v>2629</v>
      </c>
      <c r="D591" t="s">
        <v>192</v>
      </c>
      <c r="E591" t="str">
        <f>_xlfn.XLOOKUP(C591,'دیده بان بازار'!$A$5:$A$2990,'دیده بان بازار'!$Q$5:$Q$2990,"")</f>
        <v/>
      </c>
      <c r="F591" s="428" t="str">
        <f t="shared" si="9"/>
        <v/>
      </c>
    </row>
    <row r="592" spans="1:6">
      <c r="A592" s="2059" t="str">
        <f>_xlfn.XLOOKUP(C592,'Price Record'!$C$5:$C$102,'Price Record'!$D$5:$D$102,"")</f>
        <v/>
      </c>
      <c r="B592" t="s">
        <v>2628</v>
      </c>
      <c r="C592" t="s">
        <v>2630</v>
      </c>
      <c r="D592" t="s">
        <v>192</v>
      </c>
      <c r="E592" t="str">
        <f>_xlfn.XLOOKUP(C592,'دیده بان بازار'!$A$5:$A$2990,'دیده بان بازار'!$Q$5:$Q$2990,"")</f>
        <v/>
      </c>
      <c r="F592" s="428" t="str">
        <f t="shared" si="9"/>
        <v/>
      </c>
    </row>
    <row r="593" spans="1:6">
      <c r="A593" s="2059" t="str">
        <f>_xlfn.XLOOKUP(C593,'Price Record'!$C$5:$C$102,'Price Record'!$D$5:$D$102,"")</f>
        <v/>
      </c>
      <c r="B593" t="s">
        <v>2631</v>
      </c>
      <c r="C593" t="s">
        <v>2632</v>
      </c>
      <c r="D593">
        <v>5.44</v>
      </c>
      <c r="E593" t="str">
        <f>_xlfn.XLOOKUP(C593,'دیده بان بازار'!$A$5:$A$2990,'دیده بان بازار'!$Q$5:$Q$2990,"")</f>
        <v/>
      </c>
      <c r="F593" s="428" t="str">
        <f t="shared" si="9"/>
        <v/>
      </c>
    </row>
    <row r="594" spans="1:6">
      <c r="A594" s="2059" t="str">
        <f>_xlfn.XLOOKUP(C594,'Price Record'!$C$5:$C$102,'Price Record'!$D$5:$D$102,"")</f>
        <v/>
      </c>
      <c r="B594" t="s">
        <v>2633</v>
      </c>
      <c r="C594" t="s">
        <v>2634</v>
      </c>
      <c r="D594">
        <v>12</v>
      </c>
      <c r="E594">
        <f>_xlfn.XLOOKUP(C594,'دیده بان بازار'!$A$5:$A$2990,'دیده بان بازار'!$Q$5:$Q$2990,"")</f>
        <v>8.81</v>
      </c>
      <c r="F594" s="428">
        <f t="shared" si="9"/>
        <v>-3.1899999999999995</v>
      </c>
    </row>
    <row r="595" spans="1:6">
      <c r="A595" s="2059" t="str">
        <f>_xlfn.XLOOKUP(C595,'Price Record'!$C$5:$C$102,'Price Record'!$D$5:$D$102,"")</f>
        <v/>
      </c>
      <c r="B595" t="s">
        <v>2633</v>
      </c>
      <c r="C595" t="s">
        <v>2635</v>
      </c>
      <c r="D595">
        <v>-239.67</v>
      </c>
      <c r="E595" t="str">
        <f>_xlfn.XLOOKUP(C595,'دیده بان بازار'!$A$5:$A$2990,'دیده بان بازار'!$Q$5:$Q$2990,"")</f>
        <v/>
      </c>
      <c r="F595" s="428" t="str">
        <f t="shared" si="9"/>
        <v/>
      </c>
    </row>
    <row r="596" spans="1:6">
      <c r="A596" s="2059" t="str">
        <f>_xlfn.XLOOKUP(C596,'Price Record'!$C$5:$C$102,'Price Record'!$D$5:$D$102,"")</f>
        <v/>
      </c>
      <c r="B596" t="s">
        <v>2636</v>
      </c>
      <c r="C596" t="s">
        <v>2637</v>
      </c>
      <c r="D596" t="s">
        <v>192</v>
      </c>
      <c r="E596">
        <f>_xlfn.XLOOKUP(C596,'دیده بان بازار'!$A$5:$A$2990,'دیده بان بازار'!$Q$5:$Q$2990,"")</f>
        <v>7.38</v>
      </c>
      <c r="F596" s="428" t="str">
        <f t="shared" si="9"/>
        <v/>
      </c>
    </row>
    <row r="597" spans="1:6">
      <c r="A597" s="2059" t="str">
        <f>_xlfn.XLOOKUP(C597,'Price Record'!$C$5:$C$102,'Price Record'!$D$5:$D$102,"")</f>
        <v/>
      </c>
      <c r="B597" t="s">
        <v>2636</v>
      </c>
      <c r="C597" t="s">
        <v>2638</v>
      </c>
      <c r="D597">
        <v>3.12</v>
      </c>
      <c r="E597" t="str">
        <f>_xlfn.XLOOKUP(C597,'دیده بان بازار'!$A$5:$A$2990,'دیده بان بازار'!$Q$5:$Q$2990,"")</f>
        <v/>
      </c>
      <c r="F597" s="428" t="str">
        <f t="shared" si="9"/>
        <v/>
      </c>
    </row>
    <row r="598" spans="1:6">
      <c r="A598" s="2059" t="str">
        <f>_xlfn.XLOOKUP(C598,'Price Record'!$C$5:$C$102,'Price Record'!$D$5:$D$102,"")</f>
        <v/>
      </c>
      <c r="B598" t="s">
        <v>2639</v>
      </c>
      <c r="C598" t="s">
        <v>2640</v>
      </c>
      <c r="D598" t="s">
        <v>192</v>
      </c>
      <c r="E598">
        <f>_xlfn.XLOOKUP(C598,'دیده بان بازار'!$A$5:$A$2990,'دیده بان بازار'!$Q$5:$Q$2990,"")</f>
        <v>7.55</v>
      </c>
      <c r="F598" s="428" t="str">
        <f t="shared" si="9"/>
        <v/>
      </c>
    </row>
    <row r="599" spans="1:6">
      <c r="A599" s="2059" t="str">
        <f>_xlfn.XLOOKUP(C599,'Price Record'!$C$5:$C$102,'Price Record'!$D$5:$D$102,"")</f>
        <v/>
      </c>
      <c r="B599" t="s">
        <v>2641</v>
      </c>
      <c r="C599" t="s">
        <v>2642</v>
      </c>
      <c r="D599" t="s">
        <v>192</v>
      </c>
      <c r="E599">
        <f>_xlfn.XLOOKUP(C599,'دیده بان بازار'!$A$5:$A$2990,'دیده بان بازار'!$Q$5:$Q$2990,"")</f>
        <v>7.29</v>
      </c>
      <c r="F599" s="428" t="str">
        <f t="shared" si="9"/>
        <v/>
      </c>
    </row>
    <row r="600" spans="1:6">
      <c r="A600" s="2059" t="str">
        <f>_xlfn.XLOOKUP(C600,'Price Record'!$C$5:$C$102,'Price Record'!$D$5:$D$102,"")</f>
        <v/>
      </c>
      <c r="B600" t="s">
        <v>2643</v>
      </c>
      <c r="C600" t="s">
        <v>2644</v>
      </c>
      <c r="D600" t="s">
        <v>192</v>
      </c>
      <c r="E600">
        <f>_xlfn.XLOOKUP(C600,'دیده بان بازار'!$A$5:$A$2990,'دیده بان بازار'!$Q$5:$Q$2990,"")</f>
        <v>-56.55</v>
      </c>
      <c r="F600" s="428" t="str">
        <f t="shared" si="9"/>
        <v/>
      </c>
    </row>
    <row r="601" spans="1:6">
      <c r="A601" s="2059" t="str">
        <f>_xlfn.XLOOKUP(C601,'Price Record'!$C$5:$C$102,'Price Record'!$D$5:$D$102,"")</f>
        <v/>
      </c>
      <c r="B601" t="s">
        <v>2645</v>
      </c>
      <c r="C601" t="s">
        <v>2646</v>
      </c>
      <c r="D601" t="s">
        <v>192</v>
      </c>
      <c r="E601">
        <f>_xlfn.XLOOKUP(C601,'دیده بان بازار'!$A$5:$A$2990,'دیده بان بازار'!$Q$5:$Q$2990,"")</f>
        <v>23.55</v>
      </c>
      <c r="F601" s="428" t="str">
        <f t="shared" si="9"/>
        <v/>
      </c>
    </row>
    <row r="602" spans="1:6">
      <c r="A602" s="2059" t="str">
        <f>_xlfn.XLOOKUP(C602,'Price Record'!$C$5:$C$102,'Price Record'!$D$5:$D$102,"")</f>
        <v/>
      </c>
      <c r="B602" t="s">
        <v>2647</v>
      </c>
      <c r="C602" t="s">
        <v>2648</v>
      </c>
      <c r="D602">
        <v>3.6</v>
      </c>
      <c r="E602">
        <f>_xlfn.XLOOKUP(C602,'دیده بان بازار'!$A$5:$A$2990,'دیده بان بازار'!$Q$5:$Q$2990,"")</f>
        <v>8.94</v>
      </c>
      <c r="F602" s="428">
        <f t="shared" si="9"/>
        <v>5.34</v>
      </c>
    </row>
    <row r="603" spans="1:6">
      <c r="A603" s="2059" t="str">
        <f>_xlfn.XLOOKUP(C603,'Price Record'!$C$5:$C$102,'Price Record'!$D$5:$D$102,"")</f>
        <v/>
      </c>
      <c r="B603" t="s">
        <v>2649</v>
      </c>
      <c r="C603" t="s">
        <v>2650</v>
      </c>
      <c r="D603">
        <v>2.2599999999999998</v>
      </c>
      <c r="E603">
        <f>_xlfn.XLOOKUP(C603,'دیده بان بازار'!$A$5:$A$2990,'دیده بان بازار'!$Q$5:$Q$2990,"")</f>
        <v>13.36</v>
      </c>
      <c r="F603" s="428">
        <f t="shared" si="9"/>
        <v>11.1</v>
      </c>
    </row>
    <row r="604" spans="1:6">
      <c r="A604" s="2059" t="str">
        <f>_xlfn.XLOOKUP(C604,'Price Record'!$C$5:$C$102,'Price Record'!$D$5:$D$102,"")</f>
        <v/>
      </c>
      <c r="B604" t="s">
        <v>2651</v>
      </c>
      <c r="C604" t="s">
        <v>2652</v>
      </c>
      <c r="D604" t="s">
        <v>192</v>
      </c>
      <c r="E604">
        <f>_xlfn.XLOOKUP(C604,'دیده بان بازار'!$A$5:$A$2990,'دیده بان بازار'!$Q$5:$Q$2990,"")</f>
        <v>11.27</v>
      </c>
      <c r="F604" s="428" t="str">
        <f t="shared" si="9"/>
        <v/>
      </c>
    </row>
    <row r="605" spans="1:6">
      <c r="A605" s="2062" t="str">
        <f>_xlfn.XLOOKUP(C605,'Price Record'!$C$5:$C$102,'Price Record'!$D$5:$D$102,"")</f>
        <v>KN</v>
      </c>
      <c r="B605" s="1445" t="s">
        <v>130</v>
      </c>
      <c r="C605" s="1445" t="s">
        <v>131</v>
      </c>
      <c r="D605" s="1445">
        <v>-64.81</v>
      </c>
      <c r="E605" s="1445">
        <f>_xlfn.XLOOKUP(C605,'دیده بان بازار'!$A$5:$A$2990,'دیده بان بازار'!$Q$5:$Q$2990,"")</f>
        <v>5.95</v>
      </c>
      <c r="F605" s="2063">
        <f t="shared" si="9"/>
        <v>70.760000000000005</v>
      </c>
    </row>
    <row r="606" spans="1:6">
      <c r="A606" s="2059" t="str">
        <f>_xlfn.XLOOKUP(C606,'Price Record'!$C$5:$C$102,'Price Record'!$D$5:$D$102,"")</f>
        <v/>
      </c>
      <c r="B606" t="s">
        <v>2653</v>
      </c>
      <c r="C606" t="s">
        <v>2654</v>
      </c>
      <c r="D606" t="s">
        <v>192</v>
      </c>
      <c r="E606" t="str">
        <f>_xlfn.XLOOKUP(C606,'دیده بان بازار'!$A$5:$A$2990,'دیده بان بازار'!$Q$5:$Q$2990,"")</f>
        <v/>
      </c>
      <c r="F606" s="428" t="str">
        <f t="shared" si="9"/>
        <v/>
      </c>
    </row>
    <row r="607" spans="1:6">
      <c r="A607" s="2059" t="str">
        <f>_xlfn.XLOOKUP(C607,'Price Record'!$C$5:$C$102,'Price Record'!$D$5:$D$102,"")</f>
        <v/>
      </c>
      <c r="B607" t="s">
        <v>2655</v>
      </c>
      <c r="C607" t="s">
        <v>2656</v>
      </c>
      <c r="D607" t="s">
        <v>192</v>
      </c>
      <c r="E607" t="str">
        <f>_xlfn.XLOOKUP(C607,'دیده بان بازار'!$A$5:$A$2990,'دیده بان بازار'!$Q$5:$Q$2990,"")</f>
        <v/>
      </c>
      <c r="F607" s="428" t="str">
        <f t="shared" si="9"/>
        <v/>
      </c>
    </row>
    <row r="608" spans="1:6">
      <c r="A608" s="2059" t="str">
        <f>_xlfn.XLOOKUP(C608,'Price Record'!$C$5:$C$102,'Price Record'!$D$5:$D$102,"")</f>
        <v/>
      </c>
      <c r="B608" t="s">
        <v>2657</v>
      </c>
      <c r="C608" t="s">
        <v>2658</v>
      </c>
      <c r="D608" t="s">
        <v>192</v>
      </c>
      <c r="E608">
        <f>_xlfn.XLOOKUP(C608,'دیده بان بازار'!$A$5:$A$2990,'دیده بان بازار'!$Q$5:$Q$2990,"")</f>
        <v>-35.619999999999997</v>
      </c>
      <c r="F608" s="428" t="str">
        <f t="shared" si="9"/>
        <v/>
      </c>
    </row>
    <row r="609" spans="1:6">
      <c r="A609" s="2062" t="str">
        <f>_xlfn.XLOOKUP(C609,'Price Record'!$C$5:$C$102,'Price Record'!$D$5:$D$102,"")</f>
        <v>PH</v>
      </c>
      <c r="B609" s="1445" t="s">
        <v>164</v>
      </c>
      <c r="C609" s="1445" t="s">
        <v>165</v>
      </c>
      <c r="D609" s="1445" t="s">
        <v>192</v>
      </c>
      <c r="E609" s="1445">
        <f>_xlfn.XLOOKUP(C609,'دیده بان بازار'!$A$5:$A$2990,'دیده بان بازار'!$Q$5:$Q$2990,"")</f>
        <v>8.09</v>
      </c>
      <c r="F609" s="2063" t="str">
        <f t="shared" si="9"/>
        <v/>
      </c>
    </row>
    <row r="610" spans="1:6">
      <c r="A610" s="2059" t="str">
        <f>_xlfn.XLOOKUP(C610,'Price Record'!$C$5:$C$102,'Price Record'!$D$5:$D$102,"")</f>
        <v/>
      </c>
      <c r="B610" t="s">
        <v>2659</v>
      </c>
      <c r="C610" t="s">
        <v>2660</v>
      </c>
      <c r="D610">
        <v>10.92</v>
      </c>
      <c r="E610">
        <f>_xlfn.XLOOKUP(C610,'دیده بان بازار'!$A$5:$A$2990,'دیده بان بازار'!$Q$5:$Q$2990,"")</f>
        <v>9.6300000000000008</v>
      </c>
      <c r="F610" s="428">
        <f t="shared" si="9"/>
        <v>-1.2899999999999991</v>
      </c>
    </row>
    <row r="611" spans="1:6">
      <c r="A611" s="2059" t="str">
        <f>_xlfn.XLOOKUP(C611,'Price Record'!$C$5:$C$102,'Price Record'!$D$5:$D$102,"")</f>
        <v/>
      </c>
      <c r="B611" t="s">
        <v>2661</v>
      </c>
      <c r="C611" t="s">
        <v>2662</v>
      </c>
      <c r="D611">
        <v>5.33</v>
      </c>
      <c r="E611">
        <f>_xlfn.XLOOKUP(C611,'دیده بان بازار'!$A$5:$A$2990,'دیده بان بازار'!$Q$5:$Q$2990,"")</f>
        <v>4.59</v>
      </c>
      <c r="F611" s="428">
        <f t="shared" si="9"/>
        <v>-0.74000000000000021</v>
      </c>
    </row>
    <row r="612" spans="1:6">
      <c r="A612" s="2062" t="str">
        <f>_xlfn.XLOOKUP(C612,'Price Record'!$C$5:$C$102,'Price Record'!$D$5:$D$102,"")</f>
        <v>KM</v>
      </c>
      <c r="B612" s="1445" t="s">
        <v>134</v>
      </c>
      <c r="C612" s="1445" t="s">
        <v>135</v>
      </c>
      <c r="D612" s="1445">
        <v>3.51</v>
      </c>
      <c r="E612" s="1445">
        <f>_xlfn.XLOOKUP(C612,'دیده بان بازار'!$A$5:$A$2990,'دیده بان بازار'!$Q$5:$Q$2990,"")</f>
        <v>9.33</v>
      </c>
      <c r="F612" s="2063">
        <f t="shared" si="9"/>
        <v>5.82</v>
      </c>
    </row>
    <row r="613" spans="1:6">
      <c r="A613" s="2059" t="str">
        <f>_xlfn.XLOOKUP(C613,'Price Record'!$C$5:$C$102,'Price Record'!$D$5:$D$102,"")</f>
        <v/>
      </c>
      <c r="B613" t="s">
        <v>2663</v>
      </c>
      <c r="C613" t="s">
        <v>2664</v>
      </c>
      <c r="D613">
        <v>7.54</v>
      </c>
      <c r="E613">
        <f>_xlfn.XLOOKUP(C613,'دیده بان بازار'!$A$5:$A$2990,'دیده بان بازار'!$Q$5:$Q$2990,"")</f>
        <v>14.51</v>
      </c>
      <c r="F613" s="428">
        <f t="shared" si="9"/>
        <v>6.97</v>
      </c>
    </row>
    <row r="614" spans="1:6">
      <c r="A614" s="2059" t="str">
        <f>_xlfn.XLOOKUP(C614,'Price Record'!$C$5:$C$102,'Price Record'!$D$5:$D$102,"")</f>
        <v/>
      </c>
      <c r="B614" t="s">
        <v>2663</v>
      </c>
      <c r="C614" t="s">
        <v>2665</v>
      </c>
      <c r="D614" t="s">
        <v>192</v>
      </c>
      <c r="E614">
        <f>_xlfn.XLOOKUP(C614,'دیده بان بازار'!$A$5:$A$2990,'دیده بان بازار'!$Q$5:$Q$2990,"")</f>
        <v>14.51</v>
      </c>
      <c r="F614" s="428" t="str">
        <f t="shared" si="9"/>
        <v/>
      </c>
    </row>
    <row r="615" spans="1:6">
      <c r="A615" s="2059" t="str">
        <f>_xlfn.XLOOKUP(C615,'Price Record'!$C$5:$C$102,'Price Record'!$D$5:$D$102,"")</f>
        <v/>
      </c>
      <c r="B615" t="s">
        <v>2666</v>
      </c>
      <c r="C615" t="s">
        <v>2667</v>
      </c>
      <c r="D615">
        <v>10.6</v>
      </c>
      <c r="E615">
        <f>_xlfn.XLOOKUP(C615,'دیده بان بازار'!$A$5:$A$2990,'دیده بان بازار'!$Q$5:$Q$2990,"")</f>
        <v>-121</v>
      </c>
      <c r="F615" s="428" t="str">
        <f t="shared" si="9"/>
        <v/>
      </c>
    </row>
    <row r="616" spans="1:6">
      <c r="A616" s="2059" t="str">
        <f>_xlfn.XLOOKUP(C616,'Price Record'!$C$5:$C$102,'Price Record'!$D$5:$D$102,"")</f>
        <v/>
      </c>
      <c r="B616" t="s">
        <v>2668</v>
      </c>
      <c r="C616" t="s">
        <v>2669</v>
      </c>
      <c r="D616" t="s">
        <v>192</v>
      </c>
      <c r="E616">
        <f>_xlfn.XLOOKUP(C616,'دیده بان بازار'!$A$5:$A$2990,'دیده بان بازار'!$Q$5:$Q$2990,"")</f>
        <v>7.8</v>
      </c>
      <c r="F616" s="428" t="str">
        <f t="shared" si="9"/>
        <v/>
      </c>
    </row>
    <row r="617" spans="1:6">
      <c r="A617" s="2059" t="str">
        <f>_xlfn.XLOOKUP(C617,'Price Record'!$C$5:$C$102,'Price Record'!$D$5:$D$102,"")</f>
        <v/>
      </c>
      <c r="B617" t="s">
        <v>2670</v>
      </c>
      <c r="C617" t="s">
        <v>2671</v>
      </c>
      <c r="D617" t="s">
        <v>192</v>
      </c>
      <c r="E617">
        <f>_xlfn.XLOOKUP(C617,'دیده بان بازار'!$A$5:$A$2990,'دیده بان بازار'!$Q$5:$Q$2990,"")</f>
        <v>4.5999999999999996</v>
      </c>
      <c r="F617" s="428" t="str">
        <f t="shared" si="9"/>
        <v/>
      </c>
    </row>
    <row r="618" spans="1:6">
      <c r="A618" s="2059" t="str">
        <f>_xlfn.XLOOKUP(C618,'Price Record'!$C$5:$C$102,'Price Record'!$D$5:$D$102,"")</f>
        <v/>
      </c>
      <c r="B618" t="s">
        <v>2672</v>
      </c>
      <c r="C618" t="s">
        <v>2673</v>
      </c>
      <c r="D618">
        <v>2.12</v>
      </c>
      <c r="E618">
        <f>_xlfn.XLOOKUP(C618,'دیده بان بازار'!$A$5:$A$2990,'دیده بان بازار'!$Q$5:$Q$2990,"")</f>
        <v>22.47</v>
      </c>
      <c r="F618" s="428" t="str">
        <f t="shared" si="9"/>
        <v/>
      </c>
    </row>
    <row r="619" spans="1:6">
      <c r="A619" s="2059" t="str">
        <f>_xlfn.XLOOKUP(C619,'Price Record'!$C$5:$C$102,'Price Record'!$D$5:$D$102,"")</f>
        <v/>
      </c>
      <c r="B619" t="s">
        <v>2672</v>
      </c>
      <c r="C619" t="s">
        <v>2674</v>
      </c>
      <c r="D619">
        <v>8.1199999999999992</v>
      </c>
      <c r="E619" t="str">
        <f>_xlfn.XLOOKUP(C619,'دیده بان بازار'!$A$5:$A$2990,'دیده بان بازار'!$Q$5:$Q$2990,"")</f>
        <v/>
      </c>
      <c r="F619" s="428" t="str">
        <f t="shared" si="9"/>
        <v/>
      </c>
    </row>
    <row r="620" spans="1:6">
      <c r="A620" s="2059" t="str">
        <f>_xlfn.XLOOKUP(C620,'Price Record'!$C$5:$C$102,'Price Record'!$D$5:$D$102,"")</f>
        <v/>
      </c>
      <c r="B620" t="s">
        <v>2675</v>
      </c>
      <c r="C620" t="s">
        <v>2676</v>
      </c>
      <c r="D620" t="s">
        <v>192</v>
      </c>
      <c r="E620">
        <f>_xlfn.XLOOKUP(C620,'دیده بان بازار'!$A$5:$A$2990,'دیده بان بازار'!$Q$5:$Q$2990,"")</f>
        <v>6.92</v>
      </c>
      <c r="F620" s="428" t="str">
        <f t="shared" si="9"/>
        <v/>
      </c>
    </row>
    <row r="621" spans="1:6">
      <c r="A621" s="2059" t="str">
        <f>_xlfn.XLOOKUP(C621,'Price Record'!$C$5:$C$102,'Price Record'!$D$5:$D$102,"")</f>
        <v/>
      </c>
      <c r="B621" t="s">
        <v>2675</v>
      </c>
      <c r="C621" t="s">
        <v>2677</v>
      </c>
      <c r="D621" t="s">
        <v>192</v>
      </c>
      <c r="E621" t="str">
        <f>_xlfn.XLOOKUP(C621,'دیده بان بازار'!$A$5:$A$2990,'دیده بان بازار'!$Q$5:$Q$2990,"")</f>
        <v/>
      </c>
      <c r="F621" s="428" t="str">
        <f t="shared" si="9"/>
        <v/>
      </c>
    </row>
    <row r="622" spans="1:6">
      <c r="A622" s="2059" t="str">
        <f>_xlfn.XLOOKUP(C622,'Price Record'!$C$5:$C$102,'Price Record'!$D$5:$D$102,"")</f>
        <v/>
      </c>
      <c r="B622" t="s">
        <v>2678</v>
      </c>
      <c r="C622" t="s">
        <v>2679</v>
      </c>
      <c r="D622">
        <v>3.83</v>
      </c>
      <c r="E622">
        <f>_xlfn.XLOOKUP(C622,'دیده بان بازار'!$A$5:$A$2990,'دیده بان بازار'!$Q$5:$Q$2990,"")</f>
        <v>7.43</v>
      </c>
      <c r="F622" s="428">
        <f t="shared" si="9"/>
        <v>3.5999999999999996</v>
      </c>
    </row>
    <row r="623" spans="1:6">
      <c r="A623" s="2059" t="str">
        <f>_xlfn.XLOOKUP(C623,'Price Record'!$C$5:$C$102,'Price Record'!$D$5:$D$102,"")</f>
        <v/>
      </c>
      <c r="B623" t="s">
        <v>2678</v>
      </c>
      <c r="C623" t="s">
        <v>2680</v>
      </c>
      <c r="D623" t="s">
        <v>192</v>
      </c>
      <c r="E623">
        <f>_xlfn.XLOOKUP(C623,'دیده بان بازار'!$A$5:$A$2990,'دیده بان بازار'!$Q$5:$Q$2990,"")</f>
        <v>7.43</v>
      </c>
      <c r="F623" s="428" t="str">
        <f t="shared" si="9"/>
        <v/>
      </c>
    </row>
    <row r="624" spans="1:6">
      <c r="A624" s="2059" t="str">
        <f>_xlfn.XLOOKUP(C624,'Price Record'!$C$5:$C$102,'Price Record'!$D$5:$D$102,"")</f>
        <v/>
      </c>
      <c r="B624" t="s">
        <v>2681</v>
      </c>
      <c r="C624" t="s">
        <v>2682</v>
      </c>
      <c r="D624">
        <v>2.83</v>
      </c>
      <c r="E624">
        <f>_xlfn.XLOOKUP(C624,'دیده بان بازار'!$A$5:$A$2990,'دیده بان بازار'!$Q$5:$Q$2990,"")</f>
        <v>5.48</v>
      </c>
      <c r="F624" s="428">
        <f t="shared" si="9"/>
        <v>2.6500000000000004</v>
      </c>
    </row>
    <row r="625" spans="1:6">
      <c r="A625" s="2059" t="str">
        <f>_xlfn.XLOOKUP(C625,'Price Record'!$C$5:$C$102,'Price Record'!$D$5:$D$102,"")</f>
        <v/>
      </c>
      <c r="B625" t="s">
        <v>2683</v>
      </c>
      <c r="C625" t="s">
        <v>2684</v>
      </c>
      <c r="D625" t="s">
        <v>192</v>
      </c>
      <c r="E625">
        <f>_xlfn.XLOOKUP(C625,'دیده بان بازار'!$A$5:$A$2990,'دیده بان بازار'!$Q$5:$Q$2990,"")</f>
        <v>10.64</v>
      </c>
      <c r="F625" s="428" t="str">
        <f t="shared" si="9"/>
        <v/>
      </c>
    </row>
    <row r="626" spans="1:6">
      <c r="A626" s="2059" t="str">
        <f>_xlfn.XLOOKUP(C626,'Price Record'!$C$5:$C$102,'Price Record'!$D$5:$D$102,"")</f>
        <v/>
      </c>
      <c r="B626" t="s">
        <v>2685</v>
      </c>
      <c r="C626" t="s">
        <v>2686</v>
      </c>
      <c r="D626" t="s">
        <v>192</v>
      </c>
      <c r="E626">
        <f>_xlfn.XLOOKUP(C626,'دیده بان بازار'!$A$5:$A$2990,'دیده بان بازار'!$Q$5:$Q$2990,"")</f>
        <v>170.22</v>
      </c>
      <c r="F626" s="428" t="str">
        <f t="shared" si="9"/>
        <v/>
      </c>
    </row>
    <row r="627" spans="1:6">
      <c r="A627" s="2059" t="str">
        <f>_xlfn.XLOOKUP(C627,'Price Record'!$C$5:$C$102,'Price Record'!$D$5:$D$102,"")</f>
        <v/>
      </c>
      <c r="B627" t="s">
        <v>2687</v>
      </c>
      <c r="C627" t="s">
        <v>2688</v>
      </c>
      <c r="D627" t="s">
        <v>192</v>
      </c>
      <c r="E627">
        <f>_xlfn.XLOOKUP(C627,'دیده بان بازار'!$A$5:$A$2990,'دیده بان بازار'!$Q$5:$Q$2990,"")</f>
        <v>8.23</v>
      </c>
      <c r="F627" s="428" t="str">
        <f t="shared" si="9"/>
        <v/>
      </c>
    </row>
    <row r="628" spans="1:6">
      <c r="A628" s="2059" t="str">
        <f>_xlfn.XLOOKUP(C628,'Price Record'!$C$5:$C$102,'Price Record'!$D$5:$D$102,"")</f>
        <v/>
      </c>
      <c r="B628" t="s">
        <v>2689</v>
      </c>
      <c r="C628" t="s">
        <v>2690</v>
      </c>
      <c r="D628" t="s">
        <v>192</v>
      </c>
      <c r="E628">
        <f>_xlfn.XLOOKUP(C628,'دیده بان بازار'!$A$5:$A$2990,'دیده بان بازار'!$Q$5:$Q$2990,"")</f>
        <v>5.01</v>
      </c>
      <c r="F628" s="428" t="str">
        <f t="shared" si="9"/>
        <v/>
      </c>
    </row>
    <row r="629" spans="1:6">
      <c r="A629" s="2062" t="str">
        <f>_xlfn.XLOOKUP(C629,'Price Record'!$C$5:$C$102,'Price Record'!$D$5:$D$102,"")</f>
        <v>KM</v>
      </c>
      <c r="B629" s="1445" t="s">
        <v>136</v>
      </c>
      <c r="C629" s="1445" t="s">
        <v>137</v>
      </c>
      <c r="D629" s="1445">
        <v>-31.13</v>
      </c>
      <c r="E629" s="1445">
        <f>_xlfn.XLOOKUP(C629,'دیده بان بازار'!$A$5:$A$2990,'دیده بان بازار'!$Q$5:$Q$2990,"")</f>
        <v>8.32</v>
      </c>
      <c r="F629" s="2063">
        <f t="shared" si="9"/>
        <v>39.450000000000003</v>
      </c>
    </row>
    <row r="630" spans="1:6">
      <c r="A630" s="2059" t="str">
        <f>_xlfn.XLOOKUP(C630,'Price Record'!$C$5:$C$102,'Price Record'!$D$5:$D$102,"")</f>
        <v/>
      </c>
      <c r="B630" t="s">
        <v>136</v>
      </c>
      <c r="C630" t="s">
        <v>2691</v>
      </c>
      <c r="D630" t="s">
        <v>192</v>
      </c>
      <c r="E630" t="str">
        <f>_xlfn.XLOOKUP(C630,'دیده بان بازار'!$A$5:$A$2990,'دیده بان بازار'!$Q$5:$Q$2990,"")</f>
        <v/>
      </c>
      <c r="F630" s="428" t="str">
        <f t="shared" si="9"/>
        <v/>
      </c>
    </row>
    <row r="631" spans="1:6">
      <c r="A631" s="2059" t="str">
        <f>_xlfn.XLOOKUP(C631,'Price Record'!$C$5:$C$102,'Price Record'!$D$5:$D$102,"")</f>
        <v/>
      </c>
      <c r="B631" t="s">
        <v>2692</v>
      </c>
      <c r="C631" t="s">
        <v>2693</v>
      </c>
      <c r="D631" t="s">
        <v>192</v>
      </c>
      <c r="E631">
        <f>_xlfn.XLOOKUP(C631,'دیده بان بازار'!$A$5:$A$2990,'دیده بان بازار'!$Q$5:$Q$2990,"")</f>
        <v>5.37</v>
      </c>
      <c r="F631" s="428" t="str">
        <f t="shared" si="9"/>
        <v/>
      </c>
    </row>
    <row r="632" spans="1:6">
      <c r="A632" s="2059" t="str">
        <f>_xlfn.XLOOKUP(C632,'Price Record'!$C$5:$C$102,'Price Record'!$D$5:$D$102,"")</f>
        <v/>
      </c>
      <c r="B632" t="s">
        <v>2694</v>
      </c>
      <c r="C632" t="s">
        <v>2695</v>
      </c>
      <c r="D632">
        <v>5.68</v>
      </c>
      <c r="E632">
        <f>_xlfn.XLOOKUP(C632,'دیده بان بازار'!$A$5:$A$2990,'دیده بان بازار'!$Q$5:$Q$2990,"")</f>
        <v>10.67</v>
      </c>
      <c r="F632" s="428">
        <f t="shared" si="9"/>
        <v>4.99</v>
      </c>
    </row>
    <row r="633" spans="1:6">
      <c r="A633" s="2059" t="str">
        <f>_xlfn.XLOOKUP(C633,'Price Record'!$C$5:$C$102,'Price Record'!$D$5:$D$102,"")</f>
        <v/>
      </c>
      <c r="B633" t="s">
        <v>2696</v>
      </c>
      <c r="C633" t="s">
        <v>2697</v>
      </c>
      <c r="D633">
        <v>1.73</v>
      </c>
      <c r="E633">
        <f>_xlfn.XLOOKUP(C633,'دیده بان بازار'!$A$5:$A$2990,'دیده بان بازار'!$Q$5:$Q$2990,"")</f>
        <v>13.42</v>
      </c>
      <c r="F633" s="428">
        <f t="shared" si="9"/>
        <v>11.69</v>
      </c>
    </row>
    <row r="634" spans="1:6">
      <c r="A634" s="2059" t="str">
        <f>_xlfn.XLOOKUP(C634,'Price Record'!$C$5:$C$102,'Price Record'!$D$5:$D$102,"")</f>
        <v/>
      </c>
      <c r="B634" t="s">
        <v>2698</v>
      </c>
      <c r="C634" t="s">
        <v>2699</v>
      </c>
      <c r="D634">
        <v>7.34</v>
      </c>
      <c r="E634">
        <f>_xlfn.XLOOKUP(C634,'دیده بان بازار'!$A$5:$A$2990,'دیده بان بازار'!$Q$5:$Q$2990,"")</f>
        <v>6.86</v>
      </c>
      <c r="F634" s="428">
        <f t="shared" si="9"/>
        <v>-0.47999999999999954</v>
      </c>
    </row>
    <row r="635" spans="1:6">
      <c r="A635" s="2059" t="str">
        <f>_xlfn.XLOOKUP(C635,'Price Record'!$C$5:$C$102,'Price Record'!$D$5:$D$102,"")</f>
        <v/>
      </c>
      <c r="B635" t="s">
        <v>2698</v>
      </c>
      <c r="C635" t="s">
        <v>2700</v>
      </c>
      <c r="D635" t="s">
        <v>192</v>
      </c>
      <c r="E635">
        <f>_xlfn.XLOOKUP(C635,'دیده بان بازار'!$A$5:$A$2990,'دیده بان بازار'!$Q$5:$Q$2990,"")</f>
        <v>6.86</v>
      </c>
      <c r="F635" s="428" t="str">
        <f t="shared" si="9"/>
        <v/>
      </c>
    </row>
    <row r="636" spans="1:6">
      <c r="A636" s="2059" t="str">
        <f>_xlfn.XLOOKUP(C636,'Price Record'!$C$5:$C$102,'Price Record'!$D$5:$D$102,"")</f>
        <v/>
      </c>
      <c r="B636" t="s">
        <v>2701</v>
      </c>
      <c r="C636" t="s">
        <v>2702</v>
      </c>
      <c r="D636">
        <v>3.14</v>
      </c>
      <c r="E636">
        <f>_xlfn.XLOOKUP(C636,'دیده بان بازار'!$A$5:$A$2990,'دیده بان بازار'!$Q$5:$Q$2990,"")</f>
        <v>4.76</v>
      </c>
      <c r="F636" s="428">
        <f t="shared" si="9"/>
        <v>1.6199999999999997</v>
      </c>
    </row>
    <row r="637" spans="1:6">
      <c r="A637" s="2059" t="str">
        <f>_xlfn.XLOOKUP(C637,'Price Record'!$C$5:$C$102,'Price Record'!$D$5:$D$102,"")</f>
        <v/>
      </c>
      <c r="B637" t="s">
        <v>2701</v>
      </c>
      <c r="C637" t="s">
        <v>2703</v>
      </c>
      <c r="D637" t="s">
        <v>192</v>
      </c>
      <c r="E637">
        <f>_xlfn.XLOOKUP(C637,'دیده بان بازار'!$A$5:$A$2990,'دیده بان بازار'!$Q$5:$Q$2990,"")</f>
        <v>4.76</v>
      </c>
      <c r="F637" s="428" t="str">
        <f t="shared" si="9"/>
        <v/>
      </c>
    </row>
    <row r="638" spans="1:6">
      <c r="A638" s="2059" t="str">
        <f>_xlfn.XLOOKUP(C638,'Price Record'!$C$5:$C$102,'Price Record'!$D$5:$D$102,"")</f>
        <v/>
      </c>
      <c r="B638" t="s">
        <v>2704</v>
      </c>
      <c r="C638" t="s">
        <v>2705</v>
      </c>
      <c r="D638" t="s">
        <v>192</v>
      </c>
      <c r="E638">
        <f>_xlfn.XLOOKUP(C638,'دیده بان بازار'!$A$5:$A$2990,'دیده بان بازار'!$Q$5:$Q$2990,"")</f>
        <v>15.69</v>
      </c>
      <c r="F638" s="428" t="str">
        <f t="shared" si="9"/>
        <v/>
      </c>
    </row>
    <row r="639" spans="1:6">
      <c r="A639" s="2059" t="str">
        <f>_xlfn.XLOOKUP(C639,'Price Record'!$C$5:$C$102,'Price Record'!$D$5:$D$102,"")</f>
        <v/>
      </c>
      <c r="B639" t="s">
        <v>2706</v>
      </c>
      <c r="C639" t="s">
        <v>2707</v>
      </c>
      <c r="D639">
        <v>4.29</v>
      </c>
      <c r="E639">
        <f>_xlfn.XLOOKUP(C639,'دیده بان بازار'!$A$5:$A$2990,'دیده بان بازار'!$Q$5:$Q$2990,"")</f>
        <v>31.62</v>
      </c>
      <c r="F639" s="428" t="str">
        <f t="shared" si="9"/>
        <v/>
      </c>
    </row>
    <row r="640" spans="1:6">
      <c r="A640" s="2059" t="str">
        <f>_xlfn.XLOOKUP(C640,'Price Record'!$C$5:$C$102,'Price Record'!$D$5:$D$102,"")</f>
        <v/>
      </c>
      <c r="B640" t="s">
        <v>2708</v>
      </c>
      <c r="C640" t="s">
        <v>2709</v>
      </c>
      <c r="D640" t="s">
        <v>192</v>
      </c>
      <c r="E640">
        <f>_xlfn.XLOOKUP(C640,'دیده بان بازار'!$A$5:$A$2990,'دیده بان بازار'!$Q$5:$Q$2990,"")</f>
        <v>-32.520000000000003</v>
      </c>
      <c r="F640" s="428" t="str">
        <f t="shared" si="9"/>
        <v/>
      </c>
    </row>
    <row r="641" spans="1:6">
      <c r="A641" s="2059" t="str">
        <f>_xlfn.XLOOKUP(C641,'Price Record'!$C$5:$C$102,'Price Record'!$D$5:$D$102,"")</f>
        <v/>
      </c>
      <c r="B641" t="s">
        <v>2710</v>
      </c>
      <c r="C641" t="s">
        <v>2711</v>
      </c>
      <c r="D641">
        <v>-35.19</v>
      </c>
      <c r="E641">
        <f>_xlfn.XLOOKUP(C641,'دیده بان بازار'!$A$5:$A$2990,'دیده بان بازار'!$Q$5:$Q$2990,"")</f>
        <v>5.29</v>
      </c>
      <c r="F641" s="428">
        <f t="shared" si="9"/>
        <v>40.479999999999997</v>
      </c>
    </row>
    <row r="642" spans="1:6">
      <c r="A642" s="2059" t="str">
        <f>_xlfn.XLOOKUP(C642,'Price Record'!$C$5:$C$102,'Price Record'!$D$5:$D$102,"")</f>
        <v/>
      </c>
      <c r="B642" t="s">
        <v>2712</v>
      </c>
      <c r="C642" t="s">
        <v>2713</v>
      </c>
      <c r="D642">
        <v>-463.21</v>
      </c>
      <c r="E642">
        <f>_xlfn.XLOOKUP(C642,'دیده بان بازار'!$A$5:$A$2990,'دیده بان بازار'!$Q$5:$Q$2990,"")</f>
        <v>9.17</v>
      </c>
      <c r="F642" s="428">
        <f t="shared" si="9"/>
        <v>472.38</v>
      </c>
    </row>
    <row r="643" spans="1:6">
      <c r="A643" s="2059" t="str">
        <f>_xlfn.XLOOKUP(C643,'Price Record'!$C$5:$C$102,'Price Record'!$D$5:$D$102,"")</f>
        <v/>
      </c>
      <c r="B643" t="s">
        <v>2714</v>
      </c>
      <c r="C643" t="s">
        <v>2715</v>
      </c>
      <c r="D643">
        <v>3.69</v>
      </c>
      <c r="E643">
        <f>_xlfn.XLOOKUP(C643,'دیده بان بازار'!$A$5:$A$2990,'دیده بان بازار'!$Q$5:$Q$2990,"")</f>
        <v>16.440000000000001</v>
      </c>
      <c r="F643" s="428">
        <f t="shared" si="9"/>
        <v>12.750000000000002</v>
      </c>
    </row>
    <row r="644" spans="1:6">
      <c r="A644" s="2059" t="str">
        <f>_xlfn.XLOOKUP(C644,'Price Record'!$C$5:$C$102,'Price Record'!$D$5:$D$102,"")</f>
        <v/>
      </c>
      <c r="B644" t="s">
        <v>2716</v>
      </c>
      <c r="C644" t="s">
        <v>2717</v>
      </c>
      <c r="D644" t="s">
        <v>192</v>
      </c>
      <c r="E644">
        <f>_xlfn.XLOOKUP(C644,'دیده بان بازار'!$A$5:$A$2990,'دیده بان بازار'!$Q$5:$Q$2990,"")</f>
        <v>9.4</v>
      </c>
      <c r="F644" s="428" t="str">
        <f t="shared" ref="F644:F707" si="10">IFERROR(IF(0&lt;E644,IF(E644&lt;20,E644-D644,""),""),"")</f>
        <v/>
      </c>
    </row>
    <row r="645" spans="1:6">
      <c r="A645" s="2059" t="str">
        <f>_xlfn.XLOOKUP(C645,'Price Record'!$C$5:$C$102,'Price Record'!$D$5:$D$102,"")</f>
        <v/>
      </c>
      <c r="B645" t="s">
        <v>2718</v>
      </c>
      <c r="C645" t="s">
        <v>2719</v>
      </c>
      <c r="D645">
        <v>5.7</v>
      </c>
      <c r="E645">
        <f>_xlfn.XLOOKUP(C645,'دیده بان بازار'!$A$5:$A$2990,'دیده بان بازار'!$Q$5:$Q$2990,"")</f>
        <v>-13.53</v>
      </c>
      <c r="F645" s="428" t="str">
        <f t="shared" si="10"/>
        <v/>
      </c>
    </row>
    <row r="646" spans="1:6">
      <c r="A646" s="2059" t="str">
        <f>_xlfn.XLOOKUP(C646,'Price Record'!$C$5:$C$102,'Price Record'!$D$5:$D$102,"")</f>
        <v/>
      </c>
      <c r="B646" t="s">
        <v>2720</v>
      </c>
      <c r="C646" t="s">
        <v>2721</v>
      </c>
      <c r="D646" t="s">
        <v>192</v>
      </c>
      <c r="E646">
        <f>_xlfn.XLOOKUP(C646,'دیده بان بازار'!$A$5:$A$2990,'دیده بان بازار'!$Q$5:$Q$2990,"")</f>
        <v>12.21</v>
      </c>
      <c r="F646" s="428" t="str">
        <f t="shared" si="10"/>
        <v/>
      </c>
    </row>
    <row r="647" spans="1:6">
      <c r="A647" s="2059" t="str">
        <f>_xlfn.XLOOKUP(C647,'Price Record'!$C$5:$C$102,'Price Record'!$D$5:$D$102,"")</f>
        <v/>
      </c>
      <c r="B647" t="s">
        <v>2722</v>
      </c>
      <c r="C647" t="s">
        <v>2723</v>
      </c>
      <c r="D647">
        <v>9.92</v>
      </c>
      <c r="E647">
        <f>_xlfn.XLOOKUP(C647,'دیده بان بازار'!$A$5:$A$2990,'دیده بان بازار'!$Q$5:$Q$2990,"")</f>
        <v>6.73</v>
      </c>
      <c r="F647" s="428">
        <f t="shared" si="10"/>
        <v>-3.1899999999999995</v>
      </c>
    </row>
    <row r="648" spans="1:6">
      <c r="A648" s="2059" t="str">
        <f>_xlfn.XLOOKUP(C648,'Price Record'!$C$5:$C$102,'Price Record'!$D$5:$D$102,"")</f>
        <v/>
      </c>
      <c r="B648" t="s">
        <v>2724</v>
      </c>
      <c r="C648" t="s">
        <v>2725</v>
      </c>
      <c r="D648" t="s">
        <v>192</v>
      </c>
      <c r="E648">
        <f>_xlfn.XLOOKUP(C648,'دیده بان بازار'!$A$5:$A$2990,'دیده بان بازار'!$Q$5:$Q$2990,"")</f>
        <v>6.33</v>
      </c>
      <c r="F648" s="428" t="str">
        <f t="shared" si="10"/>
        <v/>
      </c>
    </row>
    <row r="649" spans="1:6">
      <c r="A649" s="2059" t="str">
        <f>_xlfn.XLOOKUP(C649,'Price Record'!$C$5:$C$102,'Price Record'!$D$5:$D$102,"")</f>
        <v/>
      </c>
      <c r="B649" t="s">
        <v>2724</v>
      </c>
      <c r="C649" t="s">
        <v>2726</v>
      </c>
      <c r="D649" t="s">
        <v>192</v>
      </c>
      <c r="E649" t="str">
        <f>_xlfn.XLOOKUP(C649,'دیده بان بازار'!$A$5:$A$2990,'دیده بان بازار'!$Q$5:$Q$2990,"")</f>
        <v/>
      </c>
      <c r="F649" s="428" t="str">
        <f t="shared" si="10"/>
        <v/>
      </c>
    </row>
    <row r="650" spans="1:6">
      <c r="A650" s="2059" t="str">
        <f>_xlfn.XLOOKUP(C650,'Price Record'!$C$5:$C$102,'Price Record'!$D$5:$D$102,"")</f>
        <v/>
      </c>
      <c r="B650" t="s">
        <v>2727</v>
      </c>
      <c r="C650" t="s">
        <v>2728</v>
      </c>
      <c r="D650" t="s">
        <v>192</v>
      </c>
      <c r="E650">
        <f>_xlfn.XLOOKUP(C650,'دیده بان بازار'!$A$5:$A$2990,'دیده بان بازار'!$Q$5:$Q$2990,"")</f>
        <v>-37.659999999999997</v>
      </c>
      <c r="F650" s="428" t="str">
        <f t="shared" si="10"/>
        <v/>
      </c>
    </row>
    <row r="651" spans="1:6">
      <c r="A651" s="2059" t="str">
        <f>_xlfn.XLOOKUP(C651,'Price Record'!$C$5:$C$102,'Price Record'!$D$5:$D$102,"")</f>
        <v/>
      </c>
      <c r="B651" t="s">
        <v>2727</v>
      </c>
      <c r="C651" t="s">
        <v>2729</v>
      </c>
      <c r="D651">
        <v>6.04</v>
      </c>
      <c r="E651" t="str">
        <f>_xlfn.XLOOKUP(C651,'دیده بان بازار'!$A$5:$A$2990,'دیده بان بازار'!$Q$5:$Q$2990,"")</f>
        <v/>
      </c>
      <c r="F651" s="428" t="str">
        <f t="shared" si="10"/>
        <v/>
      </c>
    </row>
    <row r="652" spans="1:6">
      <c r="A652" s="2059" t="str">
        <f>_xlfn.XLOOKUP(C652,'Price Record'!$C$5:$C$102,'Price Record'!$D$5:$D$102,"")</f>
        <v/>
      </c>
      <c r="B652" t="s">
        <v>2730</v>
      </c>
      <c r="C652" t="s">
        <v>2731</v>
      </c>
      <c r="D652" t="s">
        <v>192</v>
      </c>
      <c r="E652">
        <f>_xlfn.XLOOKUP(C652,'دیده بان بازار'!$A$5:$A$2990,'دیده بان بازار'!$Q$5:$Q$2990,"")</f>
        <v>9.41</v>
      </c>
      <c r="F652" s="428" t="str">
        <f t="shared" si="10"/>
        <v/>
      </c>
    </row>
    <row r="653" spans="1:6">
      <c r="A653" s="2059" t="str">
        <f>_xlfn.XLOOKUP(C653,'Price Record'!$C$5:$C$102,'Price Record'!$D$5:$D$102,"")</f>
        <v/>
      </c>
      <c r="B653" t="s">
        <v>2732</v>
      </c>
      <c r="C653" t="s">
        <v>2733</v>
      </c>
      <c r="D653">
        <v>2.5299999999999998</v>
      </c>
      <c r="E653">
        <f>_xlfn.XLOOKUP(C653,'دیده بان بازار'!$A$5:$A$2990,'دیده بان بازار'!$Q$5:$Q$2990,"")</f>
        <v>6.63</v>
      </c>
      <c r="F653" s="428">
        <f t="shared" si="10"/>
        <v>4.0999999999999996</v>
      </c>
    </row>
    <row r="654" spans="1:6">
      <c r="A654" s="2059" t="str">
        <f>_xlfn.XLOOKUP(C654,'Price Record'!$C$5:$C$102,'Price Record'!$D$5:$D$102,"")</f>
        <v/>
      </c>
      <c r="B654" t="s">
        <v>2734</v>
      </c>
      <c r="C654" t="s">
        <v>2735</v>
      </c>
      <c r="D654" t="s">
        <v>192</v>
      </c>
      <c r="E654">
        <f>_xlfn.XLOOKUP(C654,'دیده بان بازار'!$A$5:$A$2990,'دیده بان بازار'!$Q$5:$Q$2990,"")</f>
        <v>10.8</v>
      </c>
      <c r="F654" s="428" t="str">
        <f t="shared" si="10"/>
        <v/>
      </c>
    </row>
    <row r="655" spans="1:6">
      <c r="A655" s="2059" t="str">
        <f>_xlfn.XLOOKUP(C655,'Price Record'!$C$5:$C$102,'Price Record'!$D$5:$D$102,"")</f>
        <v/>
      </c>
      <c r="B655" t="s">
        <v>2734</v>
      </c>
      <c r="C655" t="s">
        <v>2736</v>
      </c>
      <c r="D655">
        <v>4.88</v>
      </c>
      <c r="E655" t="str">
        <f>_xlfn.XLOOKUP(C655,'دیده بان بازار'!$A$5:$A$2990,'دیده بان بازار'!$Q$5:$Q$2990,"")</f>
        <v/>
      </c>
      <c r="F655" s="428" t="str">
        <f t="shared" si="10"/>
        <v/>
      </c>
    </row>
    <row r="656" spans="1:6">
      <c r="A656" s="2059" t="str">
        <f>_xlfn.XLOOKUP(C656,'Price Record'!$C$5:$C$102,'Price Record'!$D$5:$D$102,"")</f>
        <v/>
      </c>
      <c r="B656" t="s">
        <v>2734</v>
      </c>
      <c r="C656" t="s">
        <v>2737</v>
      </c>
      <c r="D656">
        <v>7.05</v>
      </c>
      <c r="E656" t="str">
        <f>_xlfn.XLOOKUP(C656,'دیده بان بازار'!$A$5:$A$2990,'دیده بان بازار'!$Q$5:$Q$2990,"")</f>
        <v/>
      </c>
      <c r="F656" s="428" t="str">
        <f t="shared" si="10"/>
        <v/>
      </c>
    </row>
    <row r="657" spans="1:6">
      <c r="A657" s="2059" t="str">
        <f>_xlfn.XLOOKUP(C657,'Price Record'!$C$5:$C$102,'Price Record'!$D$5:$D$102,"")</f>
        <v/>
      </c>
      <c r="B657" t="s">
        <v>2738</v>
      </c>
      <c r="C657" t="s">
        <v>2739</v>
      </c>
      <c r="D657">
        <v>11.38</v>
      </c>
      <c r="E657">
        <f>_xlfn.XLOOKUP(C657,'دیده بان بازار'!$A$5:$A$2990,'دیده بان بازار'!$Q$5:$Q$2990,"")</f>
        <v>6.12</v>
      </c>
      <c r="F657" s="428">
        <f t="shared" si="10"/>
        <v>-5.2600000000000007</v>
      </c>
    </row>
    <row r="658" spans="1:6">
      <c r="A658" s="2059" t="str">
        <f>_xlfn.XLOOKUP(C658,'Price Record'!$C$5:$C$102,'Price Record'!$D$5:$D$102,"")</f>
        <v/>
      </c>
      <c r="B658" t="s">
        <v>2740</v>
      </c>
      <c r="C658" t="s">
        <v>2741</v>
      </c>
      <c r="D658">
        <v>39.270000000000003</v>
      </c>
      <c r="E658">
        <f>_xlfn.XLOOKUP(C658,'دیده بان بازار'!$A$5:$A$2990,'دیده بان بازار'!$Q$5:$Q$2990,"")</f>
        <v>5.99</v>
      </c>
      <c r="F658" s="428">
        <f t="shared" si="10"/>
        <v>-33.28</v>
      </c>
    </row>
    <row r="659" spans="1:6">
      <c r="A659" s="2059" t="str">
        <f>_xlfn.XLOOKUP(C659,'Price Record'!$C$5:$C$102,'Price Record'!$D$5:$D$102,"")</f>
        <v/>
      </c>
      <c r="B659" t="s">
        <v>2740</v>
      </c>
      <c r="C659" t="s">
        <v>2742</v>
      </c>
      <c r="D659" t="s">
        <v>192</v>
      </c>
      <c r="E659" t="str">
        <f>_xlfn.XLOOKUP(C659,'دیده بان بازار'!$A$5:$A$2990,'دیده بان بازار'!$Q$5:$Q$2990,"")</f>
        <v/>
      </c>
      <c r="F659" s="428" t="str">
        <f t="shared" si="10"/>
        <v/>
      </c>
    </row>
    <row r="660" spans="1:6">
      <c r="A660" s="2059" t="str">
        <f>_xlfn.XLOOKUP(C660,'Price Record'!$C$5:$C$102,'Price Record'!$D$5:$D$102,"")</f>
        <v/>
      </c>
      <c r="B660" t="s">
        <v>2740</v>
      </c>
      <c r="C660" t="s">
        <v>2743</v>
      </c>
      <c r="D660">
        <v>5.87</v>
      </c>
      <c r="E660" t="str">
        <f>_xlfn.XLOOKUP(C660,'دیده بان بازار'!$A$5:$A$2990,'دیده بان بازار'!$Q$5:$Q$2990,"")</f>
        <v/>
      </c>
      <c r="F660" s="428" t="str">
        <f t="shared" si="10"/>
        <v/>
      </c>
    </row>
    <row r="661" spans="1:6">
      <c r="A661" s="2059" t="str">
        <f>_xlfn.XLOOKUP(C661,'Price Record'!$C$5:$C$102,'Price Record'!$D$5:$D$102,"")</f>
        <v/>
      </c>
      <c r="B661" t="s">
        <v>2744</v>
      </c>
      <c r="C661" t="s">
        <v>2745</v>
      </c>
      <c r="D661" t="s">
        <v>192</v>
      </c>
      <c r="E661">
        <f>_xlfn.XLOOKUP(C661,'دیده بان بازار'!$A$5:$A$2990,'دیده بان بازار'!$Q$5:$Q$2990,"")</f>
        <v>13.78</v>
      </c>
      <c r="F661" s="428" t="str">
        <f t="shared" si="10"/>
        <v/>
      </c>
    </row>
    <row r="662" spans="1:6">
      <c r="A662" s="2059" t="str">
        <f>_xlfn.XLOOKUP(C662,'Price Record'!$C$5:$C$102,'Price Record'!$D$5:$D$102,"")</f>
        <v/>
      </c>
      <c r="B662" t="s">
        <v>2746</v>
      </c>
      <c r="C662" t="s">
        <v>2747</v>
      </c>
      <c r="D662" t="s">
        <v>192</v>
      </c>
      <c r="E662">
        <f>_xlfn.XLOOKUP(C662,'دیده بان بازار'!$A$5:$A$2990,'دیده بان بازار'!$Q$5:$Q$2990,"")</f>
        <v>13.16</v>
      </c>
      <c r="F662" s="428" t="str">
        <f t="shared" si="10"/>
        <v/>
      </c>
    </row>
    <row r="663" spans="1:6">
      <c r="A663" s="2059" t="str">
        <f>_xlfn.XLOOKUP(C663,'Price Record'!$C$5:$C$102,'Price Record'!$D$5:$D$102,"")</f>
        <v/>
      </c>
      <c r="B663" t="s">
        <v>2748</v>
      </c>
      <c r="C663" t="s">
        <v>2749</v>
      </c>
      <c r="D663" t="s">
        <v>192</v>
      </c>
      <c r="E663">
        <f>_xlfn.XLOOKUP(C663,'دیده بان بازار'!$A$5:$A$2990,'دیده بان بازار'!$Q$5:$Q$2990,"")</f>
        <v>5.62</v>
      </c>
      <c r="F663" s="428" t="str">
        <f t="shared" si="10"/>
        <v/>
      </c>
    </row>
    <row r="664" spans="1:6">
      <c r="A664" s="2059" t="str">
        <f>_xlfn.XLOOKUP(C664,'Price Record'!$C$5:$C$102,'Price Record'!$D$5:$D$102,"")</f>
        <v/>
      </c>
      <c r="B664" t="s">
        <v>2748</v>
      </c>
      <c r="C664" t="s">
        <v>2750</v>
      </c>
      <c r="D664">
        <v>4.0199999999999996</v>
      </c>
      <c r="E664">
        <f>_xlfn.XLOOKUP(C664,'دیده بان بازار'!$A$5:$A$2990,'دیده بان بازار'!$Q$5:$Q$2990,"")</f>
        <v>5.62</v>
      </c>
      <c r="F664" s="428">
        <f t="shared" si="10"/>
        <v>1.6000000000000005</v>
      </c>
    </row>
    <row r="665" spans="1:6">
      <c r="A665" s="2059" t="str">
        <f>_xlfn.XLOOKUP(C665,'Price Record'!$C$5:$C$102,'Price Record'!$D$5:$D$102,"")</f>
        <v/>
      </c>
      <c r="B665" t="s">
        <v>2751</v>
      </c>
      <c r="C665" t="s">
        <v>2752</v>
      </c>
      <c r="D665" t="s">
        <v>192</v>
      </c>
      <c r="E665">
        <f>_xlfn.XLOOKUP(C665,'دیده بان بازار'!$A$5:$A$2990,'دیده بان بازار'!$Q$5:$Q$2990,"")</f>
        <v>12.27</v>
      </c>
      <c r="F665" s="428" t="str">
        <f t="shared" si="10"/>
        <v/>
      </c>
    </row>
    <row r="666" spans="1:6">
      <c r="A666" s="2059" t="str">
        <f>_xlfn.XLOOKUP(C666,'Price Record'!$C$5:$C$102,'Price Record'!$D$5:$D$102,"")</f>
        <v/>
      </c>
      <c r="B666" t="s">
        <v>2753</v>
      </c>
      <c r="C666" t="s">
        <v>2754</v>
      </c>
      <c r="D666" t="s">
        <v>192</v>
      </c>
      <c r="E666">
        <f>_xlfn.XLOOKUP(C666,'دیده بان بازار'!$A$5:$A$2990,'دیده بان بازار'!$Q$5:$Q$2990,"")</f>
        <v>5.49</v>
      </c>
      <c r="F666" s="428" t="str">
        <f t="shared" si="10"/>
        <v/>
      </c>
    </row>
    <row r="667" spans="1:6">
      <c r="A667" s="2059" t="str">
        <f>_xlfn.XLOOKUP(C667,'Price Record'!$C$5:$C$102,'Price Record'!$D$5:$D$102,"")</f>
        <v/>
      </c>
      <c r="B667" t="s">
        <v>2755</v>
      </c>
      <c r="C667" t="s">
        <v>2756</v>
      </c>
      <c r="D667" t="s">
        <v>192</v>
      </c>
      <c r="E667">
        <f>_xlfn.XLOOKUP(C667,'دیده بان بازار'!$A$5:$A$2990,'دیده بان بازار'!$Q$5:$Q$2990,"")</f>
        <v>-3.01</v>
      </c>
      <c r="F667" s="428" t="str">
        <f t="shared" si="10"/>
        <v/>
      </c>
    </row>
    <row r="668" spans="1:6">
      <c r="A668" s="2062" t="str">
        <f>_xlfn.XLOOKUP(C668,'Price Record'!$C$5:$C$102,'Price Record'!$D$5:$D$102,"")</f>
        <v>KN</v>
      </c>
      <c r="B668" s="1445" t="s">
        <v>132</v>
      </c>
      <c r="C668" s="1445" t="s">
        <v>133</v>
      </c>
      <c r="D668" s="1445" t="s">
        <v>192</v>
      </c>
      <c r="E668" s="1445">
        <f>_xlfn.XLOOKUP(C668,'دیده بان بازار'!$A$5:$A$2990,'دیده بان بازار'!$Q$5:$Q$2990,"")</f>
        <v>6.32</v>
      </c>
      <c r="F668" s="2063" t="str">
        <f t="shared" si="10"/>
        <v/>
      </c>
    </row>
    <row r="669" spans="1:6">
      <c r="A669" s="2059" t="str">
        <f>_xlfn.XLOOKUP(C669,'Price Record'!$C$5:$C$102,'Price Record'!$D$5:$D$102,"")</f>
        <v/>
      </c>
      <c r="B669" t="s">
        <v>132</v>
      </c>
      <c r="C669" t="s">
        <v>2757</v>
      </c>
      <c r="D669" t="s">
        <v>192</v>
      </c>
      <c r="E669">
        <f>_xlfn.XLOOKUP(C669,'دیده بان بازار'!$A$5:$A$2990,'دیده بان بازار'!$Q$5:$Q$2990,"")</f>
        <v>6.32</v>
      </c>
      <c r="F669" s="428" t="str">
        <f t="shared" si="10"/>
        <v/>
      </c>
    </row>
    <row r="670" spans="1:6">
      <c r="A670" s="2059" t="str">
        <f>_xlfn.XLOOKUP(C670,'Price Record'!$C$5:$C$102,'Price Record'!$D$5:$D$102,"")</f>
        <v/>
      </c>
      <c r="B670" t="s">
        <v>2758</v>
      </c>
      <c r="C670" t="s">
        <v>2759</v>
      </c>
      <c r="D670" t="s">
        <v>192</v>
      </c>
      <c r="E670">
        <f>_xlfn.XLOOKUP(C670,'دیده بان بازار'!$A$5:$A$2990,'دیده بان بازار'!$Q$5:$Q$2990,"")</f>
        <v>26.85</v>
      </c>
      <c r="F670" s="428" t="str">
        <f t="shared" si="10"/>
        <v/>
      </c>
    </row>
    <row r="671" spans="1:6">
      <c r="A671" s="2059" t="str">
        <f>_xlfn.XLOOKUP(C671,'Price Record'!$C$5:$C$102,'Price Record'!$D$5:$D$102,"")</f>
        <v>F</v>
      </c>
      <c r="B671" t="s">
        <v>216</v>
      </c>
      <c r="C671" t="s">
        <v>217</v>
      </c>
      <c r="D671" t="s">
        <v>192</v>
      </c>
      <c r="E671">
        <f>_xlfn.XLOOKUP(C671,'دیده بان بازار'!$A$5:$A$2990,'دیده بان بازار'!$Q$5:$Q$2990,"")</f>
        <v>5.93</v>
      </c>
      <c r="F671" s="428" t="str">
        <f t="shared" si="10"/>
        <v/>
      </c>
    </row>
    <row r="672" spans="1:6">
      <c r="A672" s="2059" t="str">
        <f>_xlfn.XLOOKUP(C672,'Price Record'!$C$5:$C$102,'Price Record'!$D$5:$D$102,"")</f>
        <v/>
      </c>
      <c r="B672" t="s">
        <v>2760</v>
      </c>
      <c r="C672" t="s">
        <v>2761</v>
      </c>
      <c r="D672" t="s">
        <v>192</v>
      </c>
      <c r="E672">
        <f>_xlfn.XLOOKUP(C672,'دیده بان بازار'!$A$5:$A$2990,'دیده بان بازار'!$Q$5:$Q$2990,"")</f>
        <v>39.1</v>
      </c>
      <c r="F672" s="428" t="str">
        <f t="shared" si="10"/>
        <v/>
      </c>
    </row>
    <row r="673" spans="1:6">
      <c r="A673" s="2059" t="str">
        <f>_xlfn.XLOOKUP(C673,'Price Record'!$C$5:$C$102,'Price Record'!$D$5:$D$102,"")</f>
        <v/>
      </c>
      <c r="B673" t="s">
        <v>2762</v>
      </c>
      <c r="C673" t="s">
        <v>2763</v>
      </c>
      <c r="D673" t="s">
        <v>192</v>
      </c>
      <c r="E673">
        <f>_xlfn.XLOOKUP(C673,'دیده بان بازار'!$A$5:$A$2990,'دیده بان بازار'!$Q$5:$Q$2990,"")</f>
        <v>8.82</v>
      </c>
      <c r="F673" s="428" t="str">
        <f t="shared" si="10"/>
        <v/>
      </c>
    </row>
    <row r="674" spans="1:6">
      <c r="A674" s="2059" t="str">
        <f>_xlfn.XLOOKUP(C674,'Price Record'!$C$5:$C$102,'Price Record'!$D$5:$D$102,"")</f>
        <v/>
      </c>
      <c r="B674" t="s">
        <v>2762</v>
      </c>
      <c r="C674" t="s">
        <v>2764</v>
      </c>
      <c r="D674" t="s">
        <v>192</v>
      </c>
      <c r="E674">
        <f>_xlfn.XLOOKUP(C674,'دیده بان بازار'!$A$5:$A$2990,'دیده بان بازار'!$Q$5:$Q$2990,"")</f>
        <v>8.82</v>
      </c>
      <c r="F674" s="428" t="str">
        <f t="shared" si="10"/>
        <v/>
      </c>
    </row>
    <row r="675" spans="1:6">
      <c r="A675" s="2059" t="str">
        <f>_xlfn.XLOOKUP(C675,'Price Record'!$C$5:$C$102,'Price Record'!$D$5:$D$102,"")</f>
        <v/>
      </c>
      <c r="B675" t="s">
        <v>2765</v>
      </c>
      <c r="C675" t="s">
        <v>2766</v>
      </c>
      <c r="D675" t="s">
        <v>192</v>
      </c>
      <c r="E675">
        <f>_xlfn.XLOOKUP(C675,'دیده بان بازار'!$A$5:$A$2990,'دیده بان بازار'!$Q$5:$Q$2990,"")</f>
        <v>5.79</v>
      </c>
      <c r="F675" s="428" t="str">
        <f t="shared" si="10"/>
        <v/>
      </c>
    </row>
    <row r="676" spans="1:6">
      <c r="A676" s="2059" t="str">
        <f>_xlfn.XLOOKUP(C676,'Price Record'!$C$5:$C$102,'Price Record'!$D$5:$D$102,"")</f>
        <v/>
      </c>
      <c r="B676" t="s">
        <v>2767</v>
      </c>
      <c r="C676" t="s">
        <v>2768</v>
      </c>
      <c r="D676" t="s">
        <v>192</v>
      </c>
      <c r="E676">
        <f>_xlfn.XLOOKUP(C676,'دیده بان بازار'!$A$5:$A$2990,'دیده بان بازار'!$Q$5:$Q$2990,"")</f>
        <v>6.35</v>
      </c>
      <c r="F676" s="428" t="str">
        <f t="shared" si="10"/>
        <v/>
      </c>
    </row>
    <row r="677" spans="1:6">
      <c r="A677" s="2059" t="str">
        <f>_xlfn.XLOOKUP(C677,'Price Record'!$C$5:$C$102,'Price Record'!$D$5:$D$102,"")</f>
        <v/>
      </c>
      <c r="B677" t="s">
        <v>2767</v>
      </c>
      <c r="C677" t="s">
        <v>2769</v>
      </c>
      <c r="D677" t="s">
        <v>192</v>
      </c>
      <c r="E677">
        <f>_xlfn.XLOOKUP(C677,'دیده بان بازار'!$A$5:$A$2990,'دیده بان بازار'!$Q$5:$Q$2990,"")</f>
        <v>6.35</v>
      </c>
      <c r="F677" s="428" t="str">
        <f t="shared" si="10"/>
        <v/>
      </c>
    </row>
    <row r="678" spans="1:6">
      <c r="A678" s="2059" t="str">
        <f>_xlfn.XLOOKUP(C678,'Price Record'!$C$5:$C$102,'Price Record'!$D$5:$D$102,"")</f>
        <v/>
      </c>
      <c r="B678" t="s">
        <v>2770</v>
      </c>
      <c r="C678" t="s">
        <v>2771</v>
      </c>
      <c r="D678" t="s">
        <v>192</v>
      </c>
      <c r="E678">
        <f>_xlfn.XLOOKUP(C678,'دیده بان بازار'!$A$5:$A$2990,'دیده بان بازار'!$Q$5:$Q$2990,"")</f>
        <v>33.21</v>
      </c>
      <c r="F678" s="428" t="str">
        <f t="shared" si="10"/>
        <v/>
      </c>
    </row>
    <row r="679" spans="1:6">
      <c r="A679" s="2059" t="str">
        <f>_xlfn.XLOOKUP(C679,'Price Record'!$C$5:$C$102,'Price Record'!$D$5:$D$102,"")</f>
        <v/>
      </c>
      <c r="B679" t="s">
        <v>2772</v>
      </c>
      <c r="C679" t="s">
        <v>2773</v>
      </c>
      <c r="D679" t="s">
        <v>192</v>
      </c>
      <c r="E679">
        <f>_xlfn.XLOOKUP(C679,'دیده بان بازار'!$A$5:$A$2990,'دیده بان بازار'!$Q$5:$Q$2990,"")</f>
        <v>7.41</v>
      </c>
      <c r="F679" s="428" t="str">
        <f t="shared" si="10"/>
        <v/>
      </c>
    </row>
    <row r="680" spans="1:6">
      <c r="A680" s="2059" t="str">
        <f>_xlfn.XLOOKUP(C680,'Price Record'!$C$5:$C$102,'Price Record'!$D$5:$D$102,"")</f>
        <v/>
      </c>
      <c r="B680" t="s">
        <v>2772</v>
      </c>
      <c r="C680" t="s">
        <v>2774</v>
      </c>
      <c r="D680" t="s">
        <v>192</v>
      </c>
      <c r="E680" t="str">
        <f>_xlfn.XLOOKUP(C680,'دیده بان بازار'!$A$5:$A$2990,'دیده بان بازار'!$Q$5:$Q$2990,"")</f>
        <v/>
      </c>
      <c r="F680" s="428" t="str">
        <f t="shared" si="10"/>
        <v/>
      </c>
    </row>
    <row r="681" spans="1:6">
      <c r="A681" s="2059" t="str">
        <f>_xlfn.XLOOKUP(C681,'Price Record'!$C$5:$C$102,'Price Record'!$D$5:$D$102,"")</f>
        <v/>
      </c>
      <c r="B681" t="s">
        <v>2775</v>
      </c>
      <c r="C681" t="s">
        <v>2776</v>
      </c>
      <c r="D681" t="s">
        <v>192</v>
      </c>
      <c r="E681">
        <f>_xlfn.XLOOKUP(C681,'دیده بان بازار'!$A$5:$A$2990,'دیده بان بازار'!$Q$5:$Q$2990,"")</f>
        <v>9.19</v>
      </c>
      <c r="F681" s="428" t="str">
        <f t="shared" si="10"/>
        <v/>
      </c>
    </row>
    <row r="682" spans="1:6">
      <c r="A682" s="2059" t="str">
        <f>_xlfn.XLOOKUP(C682,'Price Record'!$C$5:$C$102,'Price Record'!$D$5:$D$102,"")</f>
        <v/>
      </c>
      <c r="B682" t="s">
        <v>2775</v>
      </c>
      <c r="C682" t="s">
        <v>2777</v>
      </c>
      <c r="D682" t="s">
        <v>192</v>
      </c>
      <c r="E682">
        <f>_xlfn.XLOOKUP(C682,'دیده بان بازار'!$A$5:$A$2990,'دیده بان بازار'!$Q$5:$Q$2990,"")</f>
        <v>9.19</v>
      </c>
      <c r="F682" s="428" t="str">
        <f t="shared" si="10"/>
        <v/>
      </c>
    </row>
    <row r="683" spans="1:6">
      <c r="A683" s="2059" t="str">
        <f>_xlfn.XLOOKUP(C683,'Price Record'!$C$5:$C$102,'Price Record'!$D$5:$D$102,"")</f>
        <v/>
      </c>
      <c r="B683" t="s">
        <v>2778</v>
      </c>
      <c r="C683" t="s">
        <v>2779</v>
      </c>
      <c r="D683" t="s">
        <v>192</v>
      </c>
      <c r="E683">
        <f>_xlfn.XLOOKUP(C683,'دیده بان بازار'!$A$5:$A$2990,'دیده بان بازار'!$Q$5:$Q$2990,"")</f>
        <v>7.8</v>
      </c>
      <c r="F683" s="428" t="str">
        <f t="shared" si="10"/>
        <v/>
      </c>
    </row>
    <row r="684" spans="1:6">
      <c r="A684" s="2059" t="str">
        <f>_xlfn.XLOOKUP(C684,'Price Record'!$C$5:$C$102,'Price Record'!$D$5:$D$102,"")</f>
        <v/>
      </c>
      <c r="B684" t="s">
        <v>2780</v>
      </c>
      <c r="C684" t="s">
        <v>2781</v>
      </c>
      <c r="D684" t="s">
        <v>192</v>
      </c>
      <c r="E684">
        <f>_xlfn.XLOOKUP(C684,'دیده بان بازار'!$A$5:$A$2990,'دیده بان بازار'!$Q$5:$Q$2990,"")</f>
        <v>4.47</v>
      </c>
      <c r="F684" s="428" t="str">
        <f t="shared" si="10"/>
        <v/>
      </c>
    </row>
    <row r="685" spans="1:6">
      <c r="A685" s="2059" t="str">
        <f>_xlfn.XLOOKUP(C685,'Price Record'!$C$5:$C$102,'Price Record'!$D$5:$D$102,"")</f>
        <v/>
      </c>
      <c r="B685" t="s">
        <v>2782</v>
      </c>
      <c r="C685" t="s">
        <v>2783</v>
      </c>
      <c r="D685" t="s">
        <v>192</v>
      </c>
      <c r="E685">
        <f>_xlfn.XLOOKUP(C685,'دیده بان بازار'!$A$5:$A$2990,'دیده بان بازار'!$Q$5:$Q$2990,"")</f>
        <v>8.1999999999999993</v>
      </c>
      <c r="F685" s="428" t="str">
        <f t="shared" si="10"/>
        <v/>
      </c>
    </row>
    <row r="686" spans="1:6">
      <c r="A686" s="2059" t="str">
        <f>_xlfn.XLOOKUP(C686,'Price Record'!$C$5:$C$102,'Price Record'!$D$5:$D$102,"")</f>
        <v/>
      </c>
      <c r="B686" t="s">
        <v>2784</v>
      </c>
      <c r="C686" t="s">
        <v>2785</v>
      </c>
      <c r="D686" t="s">
        <v>192</v>
      </c>
      <c r="E686" t="str">
        <f>_xlfn.XLOOKUP(C686,'دیده بان بازار'!$A$5:$A$2990,'دیده بان بازار'!$Q$5:$Q$2990,"")</f>
        <v/>
      </c>
      <c r="F686" s="428" t="str">
        <f t="shared" si="10"/>
        <v/>
      </c>
    </row>
    <row r="687" spans="1:6">
      <c r="A687" s="2059" t="str">
        <f>_xlfn.XLOOKUP(C687,'Price Record'!$C$5:$C$102,'Price Record'!$D$5:$D$102,"")</f>
        <v/>
      </c>
      <c r="B687" t="s">
        <v>2786</v>
      </c>
      <c r="C687" t="s">
        <v>2787</v>
      </c>
      <c r="D687" t="s">
        <v>192</v>
      </c>
      <c r="E687">
        <f>_xlfn.XLOOKUP(C687,'دیده بان بازار'!$A$5:$A$2990,'دیده بان بازار'!$Q$5:$Q$2990,"")</f>
        <v>7.85</v>
      </c>
      <c r="F687" s="428" t="str">
        <f t="shared" si="10"/>
        <v/>
      </c>
    </row>
    <row r="688" spans="1:6">
      <c r="A688" s="2059" t="str">
        <f>_xlfn.XLOOKUP(C688,'Price Record'!$C$5:$C$102,'Price Record'!$D$5:$D$102,"")</f>
        <v/>
      </c>
      <c r="B688" t="s">
        <v>2788</v>
      </c>
      <c r="C688" t="s">
        <v>2789</v>
      </c>
      <c r="D688" t="s">
        <v>192</v>
      </c>
      <c r="E688">
        <f>_xlfn.XLOOKUP(C688,'دیده بان بازار'!$A$5:$A$2990,'دیده بان بازار'!$Q$5:$Q$2990,"")</f>
        <v>11.86</v>
      </c>
      <c r="F688" s="428" t="str">
        <f t="shared" si="10"/>
        <v/>
      </c>
    </row>
    <row r="689" spans="1:6">
      <c r="A689" s="2059" t="str">
        <f>_xlfn.XLOOKUP(C689,'Price Record'!$C$5:$C$102,'Price Record'!$D$5:$D$102,"")</f>
        <v/>
      </c>
      <c r="B689" t="s">
        <v>2788</v>
      </c>
      <c r="C689" t="s">
        <v>2790</v>
      </c>
      <c r="D689" t="s">
        <v>192</v>
      </c>
      <c r="E689" t="str">
        <f>_xlfn.XLOOKUP(C689,'دیده بان بازار'!$A$5:$A$2990,'دیده بان بازار'!$Q$5:$Q$2990,"")</f>
        <v/>
      </c>
      <c r="F689" s="428" t="str">
        <f t="shared" si="10"/>
        <v/>
      </c>
    </row>
    <row r="690" spans="1:6">
      <c r="A690" s="2059" t="str">
        <f>_xlfn.XLOOKUP(C690,'Price Record'!$C$5:$C$102,'Price Record'!$D$5:$D$102,"")</f>
        <v/>
      </c>
      <c r="B690" t="s">
        <v>2791</v>
      </c>
      <c r="C690" t="s">
        <v>2792</v>
      </c>
      <c r="D690" t="s">
        <v>192</v>
      </c>
      <c r="E690">
        <f>_xlfn.XLOOKUP(C690,'دیده بان بازار'!$A$5:$A$2990,'دیده بان بازار'!$Q$5:$Q$2990,"")</f>
        <v>141.66999999999999</v>
      </c>
      <c r="F690" s="428" t="str">
        <f t="shared" si="10"/>
        <v/>
      </c>
    </row>
    <row r="691" spans="1:6">
      <c r="A691" s="2059" t="str">
        <f>_xlfn.XLOOKUP(C691,'Price Record'!$C$5:$C$102,'Price Record'!$D$5:$D$102,"")</f>
        <v/>
      </c>
      <c r="B691" t="s">
        <v>2793</v>
      </c>
      <c r="C691" t="s">
        <v>2794</v>
      </c>
      <c r="D691" t="s">
        <v>192</v>
      </c>
      <c r="E691">
        <f>_xlfn.XLOOKUP(C691,'دیده بان بازار'!$A$5:$A$2990,'دیده بان بازار'!$Q$5:$Q$2990,"")</f>
        <v>9.75</v>
      </c>
      <c r="F691" s="428" t="str">
        <f t="shared" si="10"/>
        <v/>
      </c>
    </row>
    <row r="692" spans="1:6">
      <c r="A692" s="2059" t="str">
        <f>_xlfn.XLOOKUP(C692,'Price Record'!$C$5:$C$102,'Price Record'!$D$5:$D$102,"")</f>
        <v/>
      </c>
      <c r="B692" t="s">
        <v>2793</v>
      </c>
      <c r="C692" t="s">
        <v>2795</v>
      </c>
      <c r="D692" t="s">
        <v>192</v>
      </c>
      <c r="E692" t="str">
        <f>_xlfn.XLOOKUP(C692,'دیده بان بازار'!$A$5:$A$2990,'دیده بان بازار'!$Q$5:$Q$2990,"")</f>
        <v/>
      </c>
      <c r="F692" s="428" t="str">
        <f t="shared" si="10"/>
        <v/>
      </c>
    </row>
    <row r="693" spans="1:6">
      <c r="A693" s="2059" t="str">
        <f>_xlfn.XLOOKUP(C693,'Price Record'!$C$5:$C$102,'Price Record'!$D$5:$D$102,"")</f>
        <v/>
      </c>
      <c r="B693" t="s">
        <v>2796</v>
      </c>
      <c r="C693" t="s">
        <v>2797</v>
      </c>
      <c r="D693" t="s">
        <v>192</v>
      </c>
      <c r="E693">
        <f>_xlfn.XLOOKUP(C693,'دیده بان بازار'!$A$5:$A$2990,'دیده بان بازار'!$Q$5:$Q$2990,"")</f>
        <v>7.83</v>
      </c>
      <c r="F693" s="428" t="str">
        <f t="shared" si="10"/>
        <v/>
      </c>
    </row>
    <row r="694" spans="1:6">
      <c r="A694" s="2059" t="str">
        <f>_xlfn.XLOOKUP(C694,'Price Record'!$C$5:$C$102,'Price Record'!$D$5:$D$102,"")</f>
        <v/>
      </c>
      <c r="B694" t="s">
        <v>2798</v>
      </c>
      <c r="C694" t="s">
        <v>2799</v>
      </c>
      <c r="D694" t="s">
        <v>192</v>
      </c>
      <c r="E694">
        <f>_xlfn.XLOOKUP(C694,'دیده بان بازار'!$A$5:$A$2990,'دیده بان بازار'!$Q$5:$Q$2990,"")</f>
        <v>9.61</v>
      </c>
      <c r="F694" s="428" t="str">
        <f t="shared" si="10"/>
        <v/>
      </c>
    </row>
    <row r="695" spans="1:6">
      <c r="A695" s="2059" t="str">
        <f>_xlfn.XLOOKUP(C695,'Price Record'!$C$5:$C$102,'Price Record'!$D$5:$D$102,"")</f>
        <v/>
      </c>
      <c r="B695" t="s">
        <v>2800</v>
      </c>
      <c r="C695" t="s">
        <v>2801</v>
      </c>
      <c r="D695" t="s">
        <v>192</v>
      </c>
      <c r="E695">
        <f>_xlfn.XLOOKUP(C695,'دیده بان بازار'!$A$5:$A$2990,'دیده بان بازار'!$Q$5:$Q$2990,"")</f>
        <v>25.95</v>
      </c>
      <c r="F695" s="428" t="str">
        <f t="shared" si="10"/>
        <v/>
      </c>
    </row>
    <row r="696" spans="1:6">
      <c r="A696" s="2059" t="str">
        <f>_xlfn.XLOOKUP(C696,'Price Record'!$C$5:$C$102,'Price Record'!$D$5:$D$102,"")</f>
        <v/>
      </c>
      <c r="B696" t="s">
        <v>2802</v>
      </c>
      <c r="C696" t="s">
        <v>2803</v>
      </c>
      <c r="D696" t="s">
        <v>192</v>
      </c>
      <c r="E696">
        <f>_xlfn.XLOOKUP(C696,'دیده بان بازار'!$A$5:$A$2990,'دیده بان بازار'!$Q$5:$Q$2990,"")</f>
        <v>4.4400000000000004</v>
      </c>
      <c r="F696" s="428" t="str">
        <f t="shared" si="10"/>
        <v/>
      </c>
    </row>
    <row r="697" spans="1:6">
      <c r="A697" s="2059" t="str">
        <f>_xlfn.XLOOKUP(C697,'Price Record'!$C$5:$C$102,'Price Record'!$D$5:$D$102,"")</f>
        <v/>
      </c>
      <c r="B697" t="s">
        <v>2804</v>
      </c>
      <c r="C697" t="s">
        <v>2805</v>
      </c>
      <c r="D697" t="s">
        <v>192</v>
      </c>
      <c r="E697">
        <f>_xlfn.XLOOKUP(C697,'دیده بان بازار'!$A$5:$A$2990,'دیده بان بازار'!$Q$5:$Q$2990,"")</f>
        <v>15.56</v>
      </c>
      <c r="F697" s="428" t="str">
        <f t="shared" si="10"/>
        <v/>
      </c>
    </row>
    <row r="698" spans="1:6">
      <c r="A698" s="2059" t="str">
        <f>_xlfn.XLOOKUP(C698,'Price Record'!$C$5:$C$102,'Price Record'!$D$5:$D$102,"")</f>
        <v/>
      </c>
      <c r="B698" t="s">
        <v>2806</v>
      </c>
      <c r="C698" t="s">
        <v>2807</v>
      </c>
      <c r="D698" t="s">
        <v>192</v>
      </c>
      <c r="E698">
        <f>_xlfn.XLOOKUP(C698,'دیده بان بازار'!$A$5:$A$2990,'دیده بان بازار'!$Q$5:$Q$2990,"")</f>
        <v>580.95000000000005</v>
      </c>
      <c r="F698" s="428" t="str">
        <f t="shared" si="10"/>
        <v/>
      </c>
    </row>
    <row r="699" spans="1:6">
      <c r="A699" s="2059" t="str">
        <f>_xlfn.XLOOKUP(C699,'Price Record'!$C$5:$C$102,'Price Record'!$D$5:$D$102,"")</f>
        <v/>
      </c>
      <c r="B699" t="s">
        <v>2808</v>
      </c>
      <c r="C699" t="s">
        <v>2809</v>
      </c>
      <c r="D699" t="s">
        <v>192</v>
      </c>
      <c r="E699">
        <f>_xlfn.XLOOKUP(C699,'دیده بان بازار'!$A$5:$A$2990,'دیده بان بازار'!$Q$5:$Q$2990,"")</f>
        <v>-17.41</v>
      </c>
      <c r="F699" s="428" t="str">
        <f t="shared" si="10"/>
        <v/>
      </c>
    </row>
    <row r="700" spans="1:6">
      <c r="A700" s="2062" t="str">
        <f>_xlfn.XLOOKUP(C700,'Price Record'!$C$5:$C$102,'Price Record'!$D$5:$D$102,"")</f>
        <v>HL</v>
      </c>
      <c r="B700" s="1445" t="s">
        <v>110</v>
      </c>
      <c r="C700" s="1445" t="s">
        <v>111</v>
      </c>
      <c r="D700" s="1445" t="s">
        <v>192</v>
      </c>
      <c r="E700" s="1445">
        <f>_xlfn.XLOOKUP(C700,'دیده بان بازار'!$A$5:$A$2990,'دیده بان بازار'!$Q$5:$Q$2990,"")</f>
        <v>3.02</v>
      </c>
      <c r="F700" s="2063" t="str">
        <f t="shared" si="10"/>
        <v/>
      </c>
    </row>
    <row r="701" spans="1:6">
      <c r="A701" s="2059" t="str">
        <f>_xlfn.XLOOKUP(C701,'Price Record'!$C$5:$C$102,'Price Record'!$D$5:$D$102,"")</f>
        <v/>
      </c>
      <c r="B701" t="s">
        <v>2810</v>
      </c>
      <c r="C701" t="s">
        <v>2811</v>
      </c>
      <c r="D701" t="s">
        <v>192</v>
      </c>
      <c r="E701">
        <f>_xlfn.XLOOKUP(C701,'دیده بان بازار'!$A$5:$A$2990,'دیده بان بازار'!$Q$5:$Q$2990,"")</f>
        <v>13.87</v>
      </c>
      <c r="F701" s="428" t="str">
        <f t="shared" si="10"/>
        <v/>
      </c>
    </row>
    <row r="702" spans="1:6">
      <c r="A702" s="2059" t="str">
        <f>_xlfn.XLOOKUP(C702,'Price Record'!$C$5:$C$102,'Price Record'!$D$5:$D$102,"")</f>
        <v/>
      </c>
      <c r="B702" t="s">
        <v>2812</v>
      </c>
      <c r="C702" t="s">
        <v>2813</v>
      </c>
      <c r="D702" t="s">
        <v>192</v>
      </c>
      <c r="E702">
        <f>_xlfn.XLOOKUP(C702,'دیده بان بازار'!$A$5:$A$2990,'دیده بان بازار'!$Q$5:$Q$2990,"")</f>
        <v>9.9700000000000006</v>
      </c>
      <c r="F702" s="428" t="str">
        <f t="shared" si="10"/>
        <v/>
      </c>
    </row>
    <row r="703" spans="1:6">
      <c r="A703" s="2059" t="str">
        <f>_xlfn.XLOOKUP(C703,'Price Record'!$C$5:$C$102,'Price Record'!$D$5:$D$102,"")</f>
        <v/>
      </c>
      <c r="B703" t="s">
        <v>2812</v>
      </c>
      <c r="C703" t="s">
        <v>2814</v>
      </c>
      <c r="D703" t="s">
        <v>192</v>
      </c>
      <c r="E703" t="str">
        <f>_xlfn.XLOOKUP(C703,'دیده بان بازار'!$A$5:$A$2990,'دیده بان بازار'!$Q$5:$Q$2990,"")</f>
        <v/>
      </c>
      <c r="F703" s="428" t="str">
        <f t="shared" si="10"/>
        <v/>
      </c>
    </row>
    <row r="704" spans="1:6">
      <c r="A704" s="2059" t="str">
        <f>_xlfn.XLOOKUP(C704,'Price Record'!$C$5:$C$102,'Price Record'!$D$5:$D$102,"")</f>
        <v/>
      </c>
      <c r="B704" t="s">
        <v>2815</v>
      </c>
      <c r="C704" t="s">
        <v>2816</v>
      </c>
      <c r="D704" t="s">
        <v>192</v>
      </c>
      <c r="E704">
        <f>_xlfn.XLOOKUP(C704,'دیده بان بازار'!$A$5:$A$2990,'دیده بان بازار'!$Q$5:$Q$2990,"")</f>
        <v>-6.53</v>
      </c>
      <c r="F704" s="428" t="str">
        <f t="shared" si="10"/>
        <v/>
      </c>
    </row>
    <row r="705" spans="1:6">
      <c r="A705" s="2059" t="str">
        <f>_xlfn.XLOOKUP(C705,'Price Record'!$C$5:$C$102,'Price Record'!$D$5:$D$102,"")</f>
        <v/>
      </c>
      <c r="B705" t="s">
        <v>2817</v>
      </c>
      <c r="C705" t="s">
        <v>2818</v>
      </c>
      <c r="D705" t="s">
        <v>192</v>
      </c>
      <c r="E705">
        <f>_xlfn.XLOOKUP(C705,'دیده بان بازار'!$A$5:$A$2990,'دیده بان بازار'!$Q$5:$Q$2990,"")</f>
        <v>5.33</v>
      </c>
      <c r="F705" s="428" t="str">
        <f t="shared" si="10"/>
        <v/>
      </c>
    </row>
    <row r="706" spans="1:6">
      <c r="A706" s="2059" t="str">
        <f>_xlfn.XLOOKUP(C706,'Price Record'!$C$5:$C$102,'Price Record'!$D$5:$D$102,"")</f>
        <v/>
      </c>
      <c r="B706" t="s">
        <v>2819</v>
      </c>
      <c r="C706" t="s">
        <v>2820</v>
      </c>
      <c r="D706" t="s">
        <v>192</v>
      </c>
      <c r="E706">
        <f>_xlfn.XLOOKUP(C706,'دیده بان بازار'!$A$5:$A$2990,'دیده بان بازار'!$Q$5:$Q$2990,"")</f>
        <v>3.94</v>
      </c>
      <c r="F706" s="428" t="str">
        <f t="shared" si="10"/>
        <v/>
      </c>
    </row>
    <row r="707" spans="1:6">
      <c r="A707" s="2059" t="str">
        <f>_xlfn.XLOOKUP(C707,'Price Record'!$C$5:$C$102,'Price Record'!$D$5:$D$102,"")</f>
        <v/>
      </c>
      <c r="B707" t="s">
        <v>2821</v>
      </c>
      <c r="C707" t="s">
        <v>2822</v>
      </c>
      <c r="D707" t="s">
        <v>192</v>
      </c>
      <c r="E707">
        <f>_xlfn.XLOOKUP(C707,'دیده بان بازار'!$A$5:$A$2990,'دیده بان بازار'!$Q$5:$Q$2990,"")</f>
        <v>9.56</v>
      </c>
      <c r="F707" s="428" t="str">
        <f t="shared" si="10"/>
        <v/>
      </c>
    </row>
    <row r="708" spans="1:6">
      <c r="A708" s="2059" t="str">
        <f>_xlfn.XLOOKUP(C708,'Price Record'!$C$5:$C$102,'Price Record'!$D$5:$D$102,"")</f>
        <v/>
      </c>
      <c r="B708" t="s">
        <v>2821</v>
      </c>
      <c r="C708" t="s">
        <v>2823</v>
      </c>
      <c r="D708" t="s">
        <v>192</v>
      </c>
      <c r="E708" t="str">
        <f>_xlfn.XLOOKUP(C708,'دیده بان بازار'!$A$5:$A$2990,'دیده بان بازار'!$Q$5:$Q$2990,"")</f>
        <v/>
      </c>
      <c r="F708" s="428" t="str">
        <f t="shared" ref="F708:F771" si="11">IFERROR(IF(0&lt;E708,IF(E708&lt;20,E708-D708,""),""),"")</f>
        <v/>
      </c>
    </row>
    <row r="709" spans="1:6">
      <c r="A709" s="2062" t="str">
        <f>_xlfn.XLOOKUP(C709,'Price Record'!$C$5:$C$102,'Price Record'!$D$5:$D$102,"")</f>
        <v>PEP</v>
      </c>
      <c r="B709" s="1445" t="s">
        <v>150</v>
      </c>
      <c r="C709" s="1445" t="s">
        <v>151</v>
      </c>
      <c r="D709" s="1445" t="s">
        <v>192</v>
      </c>
      <c r="E709" s="1445">
        <f>_xlfn.XLOOKUP(C709,'دیده بان بازار'!$A$5:$A$2990,'دیده بان بازار'!$Q$5:$Q$2990,"")</f>
        <v>5.9</v>
      </c>
      <c r="F709" s="2063" t="str">
        <f t="shared" si="11"/>
        <v/>
      </c>
    </row>
    <row r="710" spans="1:6">
      <c r="A710" s="2059" t="str">
        <f>_xlfn.XLOOKUP(C710,'Price Record'!$C$5:$C$102,'Price Record'!$D$5:$D$102,"")</f>
        <v/>
      </c>
      <c r="B710" t="s">
        <v>2824</v>
      </c>
      <c r="C710" t="s">
        <v>2825</v>
      </c>
      <c r="D710" t="s">
        <v>192</v>
      </c>
      <c r="E710">
        <f>_xlfn.XLOOKUP(C710,'دیده بان بازار'!$A$5:$A$2990,'دیده بان بازار'!$Q$5:$Q$2990,"")</f>
        <v>5.49</v>
      </c>
      <c r="F710" s="428" t="str">
        <f t="shared" si="11"/>
        <v/>
      </c>
    </row>
    <row r="711" spans="1:6">
      <c r="A711" s="2059" t="str">
        <f>_xlfn.XLOOKUP(C711,'Price Record'!$C$5:$C$102,'Price Record'!$D$5:$D$102,"")</f>
        <v/>
      </c>
      <c r="B711" t="s">
        <v>2826</v>
      </c>
      <c r="C711" t="s">
        <v>2827</v>
      </c>
      <c r="D711" t="s">
        <v>192</v>
      </c>
      <c r="E711">
        <f>_xlfn.XLOOKUP(C711,'دیده بان بازار'!$A$5:$A$2990,'دیده بان بازار'!$Q$5:$Q$2990,"")</f>
        <v>21.82</v>
      </c>
      <c r="F711" s="428" t="str">
        <f t="shared" si="11"/>
        <v/>
      </c>
    </row>
    <row r="712" spans="1:6">
      <c r="A712" s="2059" t="str">
        <f>_xlfn.XLOOKUP(C712,'Price Record'!$C$5:$C$102,'Price Record'!$D$5:$D$102,"")</f>
        <v/>
      </c>
      <c r="B712" t="s">
        <v>2828</v>
      </c>
      <c r="C712" t="s">
        <v>2829</v>
      </c>
      <c r="D712" t="s">
        <v>192</v>
      </c>
      <c r="E712">
        <f>_xlfn.XLOOKUP(C712,'دیده بان بازار'!$A$5:$A$2990,'دیده بان بازار'!$Q$5:$Q$2990,"")</f>
        <v>4.2699999999999996</v>
      </c>
      <c r="F712" s="428" t="str">
        <f t="shared" si="11"/>
        <v/>
      </c>
    </row>
    <row r="713" spans="1:6">
      <c r="A713" s="2059" t="str">
        <f>_xlfn.XLOOKUP(C713,'Price Record'!$C$5:$C$102,'Price Record'!$D$5:$D$102,"")</f>
        <v/>
      </c>
      <c r="B713" t="s">
        <v>2830</v>
      </c>
      <c r="C713" t="s">
        <v>2831</v>
      </c>
      <c r="D713" t="s">
        <v>192</v>
      </c>
      <c r="E713" t="str">
        <f>_xlfn.XLOOKUP(C713,'دیده بان بازار'!$A$5:$A$2990,'دیده بان بازار'!$Q$5:$Q$2990,"")</f>
        <v/>
      </c>
      <c r="F713" s="428" t="str">
        <f t="shared" si="11"/>
        <v/>
      </c>
    </row>
    <row r="714" spans="1:6">
      <c r="A714" s="2059" t="str">
        <f>_xlfn.XLOOKUP(C714,'Price Record'!$C$5:$C$102,'Price Record'!$D$5:$D$102,"")</f>
        <v/>
      </c>
      <c r="B714" t="s">
        <v>2832</v>
      </c>
      <c r="C714" t="s">
        <v>2833</v>
      </c>
      <c r="D714" t="s">
        <v>192</v>
      </c>
      <c r="E714">
        <f>_xlfn.XLOOKUP(C714,'دیده بان بازار'!$A$5:$A$2990,'دیده بان بازار'!$Q$5:$Q$2990,"")</f>
        <v>30.68</v>
      </c>
      <c r="F714" s="428" t="str">
        <f t="shared" si="11"/>
        <v/>
      </c>
    </row>
    <row r="715" spans="1:6">
      <c r="A715" s="2059" t="str">
        <f>_xlfn.XLOOKUP(C715,'Price Record'!$C$5:$C$102,'Price Record'!$D$5:$D$102,"")</f>
        <v/>
      </c>
      <c r="B715" t="s">
        <v>2834</v>
      </c>
      <c r="C715" t="s">
        <v>2835</v>
      </c>
      <c r="D715" t="s">
        <v>192</v>
      </c>
      <c r="E715">
        <f>_xlfn.XLOOKUP(C715,'دیده بان بازار'!$A$5:$A$2990,'دیده بان بازار'!$Q$5:$Q$2990,"")</f>
        <v>3.39</v>
      </c>
      <c r="F715" s="428" t="str">
        <f t="shared" si="11"/>
        <v/>
      </c>
    </row>
    <row r="716" spans="1:6">
      <c r="A716" s="2059" t="str">
        <f>_xlfn.XLOOKUP(C716,'Price Record'!$C$5:$C$102,'Price Record'!$D$5:$D$102,"")</f>
        <v/>
      </c>
      <c r="B716" t="s">
        <v>2836</v>
      </c>
      <c r="C716" t="s">
        <v>2837</v>
      </c>
      <c r="D716" t="s">
        <v>192</v>
      </c>
      <c r="E716">
        <f>_xlfn.XLOOKUP(C716,'دیده بان بازار'!$A$5:$A$2990,'دیده بان بازار'!$Q$5:$Q$2990,"")</f>
        <v>16.600000000000001</v>
      </c>
      <c r="F716" s="428" t="str">
        <f t="shared" si="11"/>
        <v/>
      </c>
    </row>
    <row r="717" spans="1:6">
      <c r="A717" s="2059" t="str">
        <f>_xlfn.XLOOKUP(C717,'Price Record'!$C$5:$C$102,'Price Record'!$D$5:$D$102,"")</f>
        <v/>
      </c>
      <c r="B717" t="s">
        <v>2838</v>
      </c>
      <c r="C717" t="s">
        <v>2839</v>
      </c>
      <c r="D717" t="s">
        <v>192</v>
      </c>
      <c r="E717">
        <f>_xlfn.XLOOKUP(C717,'دیده بان بازار'!$A$5:$A$2990,'دیده بان بازار'!$Q$5:$Q$2990,"")</f>
        <v>6.12</v>
      </c>
      <c r="F717" s="428" t="str">
        <f t="shared" si="11"/>
        <v/>
      </c>
    </row>
    <row r="718" spans="1:6">
      <c r="A718" s="2059" t="str">
        <f>_xlfn.XLOOKUP(C718,'Price Record'!$C$5:$C$102,'Price Record'!$D$5:$D$102,"")</f>
        <v/>
      </c>
      <c r="B718" t="s">
        <v>2840</v>
      </c>
      <c r="C718" t="s">
        <v>2841</v>
      </c>
      <c r="D718" t="s">
        <v>192</v>
      </c>
      <c r="E718">
        <f>_xlfn.XLOOKUP(C718,'دیده بان بازار'!$A$5:$A$2990,'دیده بان بازار'!$Q$5:$Q$2990,"")</f>
        <v>-84.89</v>
      </c>
      <c r="F718" s="428" t="str">
        <f t="shared" si="11"/>
        <v/>
      </c>
    </row>
    <row r="719" spans="1:6">
      <c r="A719" s="2059" t="str">
        <f>_xlfn.XLOOKUP(C719,'Price Record'!$C$5:$C$102,'Price Record'!$D$5:$D$102,"")</f>
        <v/>
      </c>
      <c r="B719" t="s">
        <v>2842</v>
      </c>
      <c r="C719" t="s">
        <v>2843</v>
      </c>
      <c r="D719" t="s">
        <v>192</v>
      </c>
      <c r="E719">
        <f>_xlfn.XLOOKUP(C719,'دیده بان بازار'!$A$5:$A$2990,'دیده بان بازار'!$Q$5:$Q$2990,"")</f>
        <v>3.77</v>
      </c>
      <c r="F719" s="428" t="str">
        <f t="shared" si="11"/>
        <v/>
      </c>
    </row>
    <row r="720" spans="1:6">
      <c r="A720" s="2059" t="str">
        <f>_xlfn.XLOOKUP(C720,'Price Record'!$C$5:$C$102,'Price Record'!$D$5:$D$102,"")</f>
        <v/>
      </c>
      <c r="B720" t="s">
        <v>2842</v>
      </c>
      <c r="C720" t="s">
        <v>2844</v>
      </c>
      <c r="D720" t="s">
        <v>192</v>
      </c>
      <c r="E720">
        <f>_xlfn.XLOOKUP(C720,'دیده بان بازار'!$A$5:$A$2990,'دیده بان بازار'!$Q$5:$Q$2990,"")</f>
        <v>3.77</v>
      </c>
      <c r="F720" s="428" t="str">
        <f t="shared" si="11"/>
        <v/>
      </c>
    </row>
    <row r="721" spans="1:6">
      <c r="A721" s="2059" t="str">
        <f>_xlfn.XLOOKUP(C721,'Price Record'!$C$5:$C$102,'Price Record'!$D$5:$D$102,"")</f>
        <v/>
      </c>
      <c r="B721" t="s">
        <v>2845</v>
      </c>
      <c r="C721" t="s">
        <v>2846</v>
      </c>
      <c r="D721" t="s">
        <v>192</v>
      </c>
      <c r="E721">
        <f>_xlfn.XLOOKUP(C721,'دیده بان بازار'!$A$5:$A$2990,'دیده بان بازار'!$Q$5:$Q$2990,"")</f>
        <v>13.14</v>
      </c>
      <c r="F721" s="428" t="str">
        <f t="shared" si="11"/>
        <v/>
      </c>
    </row>
    <row r="722" spans="1:6">
      <c r="A722" s="2059" t="str">
        <f>_xlfn.XLOOKUP(C722,'Price Record'!$C$5:$C$102,'Price Record'!$D$5:$D$102,"")</f>
        <v/>
      </c>
      <c r="B722" t="s">
        <v>2845</v>
      </c>
      <c r="C722" t="s">
        <v>2847</v>
      </c>
      <c r="D722" t="s">
        <v>192</v>
      </c>
      <c r="E722" t="str">
        <f>_xlfn.XLOOKUP(C722,'دیده بان بازار'!$A$5:$A$2990,'دیده بان بازار'!$Q$5:$Q$2990,"")</f>
        <v/>
      </c>
      <c r="F722" s="428" t="str">
        <f t="shared" si="11"/>
        <v/>
      </c>
    </row>
    <row r="723" spans="1:6">
      <c r="A723" s="2059" t="str">
        <f>_xlfn.XLOOKUP(C723,'Price Record'!$C$5:$C$102,'Price Record'!$D$5:$D$102,"")</f>
        <v/>
      </c>
      <c r="B723" t="s">
        <v>2848</v>
      </c>
      <c r="C723" t="s">
        <v>2849</v>
      </c>
      <c r="D723" t="s">
        <v>192</v>
      </c>
      <c r="E723">
        <f>_xlfn.XLOOKUP(C723,'دیده بان بازار'!$A$5:$A$2990,'دیده بان بازار'!$Q$5:$Q$2990,"")</f>
        <v>8.0399999999999991</v>
      </c>
      <c r="F723" s="428" t="str">
        <f t="shared" si="11"/>
        <v/>
      </c>
    </row>
    <row r="724" spans="1:6">
      <c r="A724" s="2059" t="str">
        <f>_xlfn.XLOOKUP(C724,'Price Record'!$C$5:$C$102,'Price Record'!$D$5:$D$102,"")</f>
        <v/>
      </c>
      <c r="B724" t="s">
        <v>2850</v>
      </c>
      <c r="C724" t="s">
        <v>2851</v>
      </c>
      <c r="D724" t="s">
        <v>192</v>
      </c>
      <c r="E724">
        <f>_xlfn.XLOOKUP(C724,'دیده بان بازار'!$A$5:$A$2990,'دیده بان بازار'!$Q$5:$Q$2990,"")</f>
        <v>67.42</v>
      </c>
      <c r="F724" s="428" t="str">
        <f t="shared" si="11"/>
        <v/>
      </c>
    </row>
    <row r="725" spans="1:6">
      <c r="A725" s="2059" t="str">
        <f>_xlfn.XLOOKUP(C725,'Price Record'!$C$5:$C$102,'Price Record'!$D$5:$D$102,"")</f>
        <v/>
      </c>
      <c r="B725" t="s">
        <v>2852</v>
      </c>
      <c r="C725" t="s">
        <v>2853</v>
      </c>
      <c r="D725" t="s">
        <v>192</v>
      </c>
      <c r="E725">
        <f>_xlfn.XLOOKUP(C725,'دیده بان بازار'!$A$5:$A$2990,'دیده بان بازار'!$Q$5:$Q$2990,"")</f>
        <v>-18.239999999999998</v>
      </c>
      <c r="F725" s="428" t="str">
        <f t="shared" si="11"/>
        <v/>
      </c>
    </row>
    <row r="726" spans="1:6">
      <c r="A726" s="2059" t="str">
        <f>_xlfn.XLOOKUP(C726,'Price Record'!$C$5:$C$102,'Price Record'!$D$5:$D$102,"")</f>
        <v/>
      </c>
      <c r="B726" t="s">
        <v>2854</v>
      </c>
      <c r="C726" t="s">
        <v>2855</v>
      </c>
      <c r="D726" t="s">
        <v>192</v>
      </c>
      <c r="E726">
        <f>_xlfn.XLOOKUP(C726,'دیده بان بازار'!$A$5:$A$2990,'دیده بان بازار'!$Q$5:$Q$2990,"")</f>
        <v>6.69</v>
      </c>
      <c r="F726" s="428" t="str">
        <f t="shared" si="11"/>
        <v/>
      </c>
    </row>
    <row r="727" spans="1:6">
      <c r="A727" s="2059" t="str">
        <f>_xlfn.XLOOKUP(C727,'Price Record'!$C$5:$C$102,'Price Record'!$D$5:$D$102,"")</f>
        <v/>
      </c>
      <c r="B727" t="s">
        <v>2856</v>
      </c>
      <c r="C727" t="s">
        <v>2857</v>
      </c>
      <c r="D727" t="s">
        <v>192</v>
      </c>
      <c r="E727">
        <f>_xlfn.XLOOKUP(C727,'دیده بان بازار'!$A$5:$A$2990,'دیده بان بازار'!$Q$5:$Q$2990,"")</f>
        <v>6.09</v>
      </c>
      <c r="F727" s="428" t="str">
        <f t="shared" si="11"/>
        <v/>
      </c>
    </row>
    <row r="728" spans="1:6">
      <c r="A728" s="2059" t="str">
        <f>_xlfn.XLOOKUP(C728,'Price Record'!$C$5:$C$102,'Price Record'!$D$5:$D$102,"")</f>
        <v/>
      </c>
      <c r="B728" t="s">
        <v>2856</v>
      </c>
      <c r="C728" t="s">
        <v>2858</v>
      </c>
      <c r="D728" t="s">
        <v>192</v>
      </c>
      <c r="E728" t="str">
        <f>_xlfn.XLOOKUP(C728,'دیده بان بازار'!$A$5:$A$2990,'دیده بان بازار'!$Q$5:$Q$2990,"")</f>
        <v/>
      </c>
      <c r="F728" s="428" t="str">
        <f t="shared" si="11"/>
        <v/>
      </c>
    </row>
    <row r="729" spans="1:6">
      <c r="A729" s="2059" t="str">
        <f>_xlfn.XLOOKUP(C729,'Price Record'!$C$5:$C$102,'Price Record'!$D$5:$D$102,"")</f>
        <v/>
      </c>
      <c r="B729" t="s">
        <v>2856</v>
      </c>
      <c r="C729" t="s">
        <v>2859</v>
      </c>
      <c r="D729" t="s">
        <v>192</v>
      </c>
      <c r="E729" t="str">
        <f>_xlfn.XLOOKUP(C729,'دیده بان بازار'!$A$5:$A$2990,'دیده بان بازار'!$Q$5:$Q$2990,"")</f>
        <v/>
      </c>
      <c r="F729" s="428" t="str">
        <f t="shared" si="11"/>
        <v/>
      </c>
    </row>
    <row r="730" spans="1:6">
      <c r="A730" s="2059" t="str">
        <f>_xlfn.XLOOKUP(C730,'Price Record'!$C$5:$C$102,'Price Record'!$D$5:$D$102,"")</f>
        <v/>
      </c>
      <c r="B730" t="s">
        <v>2860</v>
      </c>
      <c r="C730" t="s">
        <v>2861</v>
      </c>
      <c r="D730" t="s">
        <v>192</v>
      </c>
      <c r="E730">
        <f>_xlfn.XLOOKUP(C730,'دیده بان بازار'!$A$5:$A$2990,'دیده بان بازار'!$Q$5:$Q$2990,"")</f>
        <v>18.38</v>
      </c>
      <c r="F730" s="428" t="str">
        <f t="shared" si="11"/>
        <v/>
      </c>
    </row>
    <row r="731" spans="1:6">
      <c r="A731" s="2059" t="str">
        <f>_xlfn.XLOOKUP(C731,'Price Record'!$C$5:$C$102,'Price Record'!$D$5:$D$102,"")</f>
        <v/>
      </c>
      <c r="B731" t="s">
        <v>2860</v>
      </c>
      <c r="C731" t="s">
        <v>2862</v>
      </c>
      <c r="D731" t="s">
        <v>192</v>
      </c>
      <c r="E731" t="str">
        <f>_xlfn.XLOOKUP(C731,'دیده بان بازار'!$A$5:$A$2990,'دیده بان بازار'!$Q$5:$Q$2990,"")</f>
        <v/>
      </c>
      <c r="F731" s="428" t="str">
        <f t="shared" si="11"/>
        <v/>
      </c>
    </row>
    <row r="732" spans="1:6">
      <c r="A732" s="2059" t="str">
        <f>_xlfn.XLOOKUP(C732,'Price Record'!$C$5:$C$102,'Price Record'!$D$5:$D$102,"")</f>
        <v/>
      </c>
      <c r="B732" t="s">
        <v>2863</v>
      </c>
      <c r="C732" t="s">
        <v>2864</v>
      </c>
      <c r="D732" t="s">
        <v>192</v>
      </c>
      <c r="E732" t="str">
        <f>_xlfn.XLOOKUP(C732,'دیده بان بازار'!$A$5:$A$2990,'دیده بان بازار'!$Q$5:$Q$2990,"")</f>
        <v/>
      </c>
      <c r="F732" s="428" t="str">
        <f t="shared" si="11"/>
        <v/>
      </c>
    </row>
    <row r="733" spans="1:6">
      <c r="A733" s="2059" t="str">
        <f>_xlfn.XLOOKUP(C733,'Price Record'!$C$5:$C$102,'Price Record'!$D$5:$D$102,"")</f>
        <v/>
      </c>
      <c r="B733" t="s">
        <v>2865</v>
      </c>
      <c r="C733" t="s">
        <v>2866</v>
      </c>
      <c r="D733" t="s">
        <v>192</v>
      </c>
      <c r="E733">
        <f>_xlfn.XLOOKUP(C733,'دیده بان بازار'!$A$5:$A$2990,'دیده بان بازار'!$Q$5:$Q$2990,"")</f>
        <v>7.63</v>
      </c>
      <c r="F733" s="428" t="str">
        <f t="shared" si="11"/>
        <v/>
      </c>
    </row>
    <row r="734" spans="1:6">
      <c r="A734" s="2059" t="str">
        <f>_xlfn.XLOOKUP(C734,'Price Record'!$C$5:$C$102,'Price Record'!$D$5:$D$102,"")</f>
        <v/>
      </c>
      <c r="B734" t="s">
        <v>2867</v>
      </c>
      <c r="C734" t="s">
        <v>2868</v>
      </c>
      <c r="D734" t="s">
        <v>192</v>
      </c>
      <c r="E734">
        <f>_xlfn.XLOOKUP(C734,'دیده بان بازار'!$A$5:$A$2990,'دیده بان بازار'!$Q$5:$Q$2990,"")</f>
        <v>8.48</v>
      </c>
      <c r="F734" s="428" t="str">
        <f t="shared" si="11"/>
        <v/>
      </c>
    </row>
    <row r="735" spans="1:6">
      <c r="A735" s="2059" t="str">
        <f>_xlfn.XLOOKUP(C735,'Price Record'!$C$5:$C$102,'Price Record'!$D$5:$D$102,"")</f>
        <v/>
      </c>
      <c r="B735" t="s">
        <v>2869</v>
      </c>
      <c r="C735" t="s">
        <v>11</v>
      </c>
      <c r="D735" t="s">
        <v>192</v>
      </c>
      <c r="E735">
        <f>_xlfn.XLOOKUP(C735,'دیده بان بازار'!$A$5:$A$2990,'دیده بان بازار'!$Q$5:$Q$2990,"")</f>
        <v>3.4</v>
      </c>
      <c r="F735" s="428" t="str">
        <f t="shared" si="11"/>
        <v/>
      </c>
    </row>
    <row r="736" spans="1:6">
      <c r="A736" s="2059" t="str">
        <f>_xlfn.XLOOKUP(C736,'Price Record'!$C$5:$C$102,'Price Record'!$D$5:$D$102,"")</f>
        <v/>
      </c>
      <c r="B736" t="s">
        <v>2869</v>
      </c>
      <c r="C736" t="s">
        <v>2870</v>
      </c>
      <c r="D736" t="s">
        <v>192</v>
      </c>
      <c r="E736">
        <f>_xlfn.XLOOKUP(C736,'دیده بان بازار'!$A$5:$A$2990,'دیده بان بازار'!$Q$5:$Q$2990,"")</f>
        <v>3.4</v>
      </c>
      <c r="F736" s="428" t="str">
        <f t="shared" si="11"/>
        <v/>
      </c>
    </row>
    <row r="737" spans="1:6">
      <c r="A737" s="2059" t="str">
        <f>_xlfn.XLOOKUP(C737,'Price Record'!$C$5:$C$102,'Price Record'!$D$5:$D$102,"")</f>
        <v/>
      </c>
      <c r="B737" t="s">
        <v>2871</v>
      </c>
      <c r="C737" t="s">
        <v>2872</v>
      </c>
      <c r="D737" t="s">
        <v>192</v>
      </c>
      <c r="E737">
        <f>_xlfn.XLOOKUP(C737,'دیده بان بازار'!$A$5:$A$2990,'دیده بان بازار'!$Q$5:$Q$2990,"")</f>
        <v>6.8</v>
      </c>
      <c r="F737" s="428" t="str">
        <f t="shared" si="11"/>
        <v/>
      </c>
    </row>
    <row r="738" spans="1:6">
      <c r="A738" s="2062" t="str">
        <f>_xlfn.XLOOKUP(C738,'Price Record'!$C$5:$C$102,'Price Record'!$D$5:$D$102,"")</f>
        <v/>
      </c>
      <c r="B738" s="1445" t="s">
        <v>154</v>
      </c>
      <c r="C738" s="1445" t="s">
        <v>155</v>
      </c>
      <c r="D738" s="1445" t="s">
        <v>192</v>
      </c>
      <c r="E738" s="1445">
        <f>_xlfn.XLOOKUP(C738,'دیده بان بازار'!$A$5:$A$2990,'دیده بان بازار'!$Q$5:$Q$2990,"")</f>
        <v>9.0500000000000007</v>
      </c>
      <c r="F738" s="2063" t="str">
        <f t="shared" si="11"/>
        <v/>
      </c>
    </row>
    <row r="739" spans="1:6">
      <c r="A739" s="2059" t="str">
        <f>_xlfn.XLOOKUP(C739,'Price Record'!$C$5:$C$102,'Price Record'!$D$5:$D$102,"")</f>
        <v/>
      </c>
      <c r="B739" t="s">
        <v>154</v>
      </c>
      <c r="C739" t="s">
        <v>2873</v>
      </c>
      <c r="D739" t="s">
        <v>192</v>
      </c>
      <c r="E739">
        <f>_xlfn.XLOOKUP(C739,'دیده بان بازار'!$A$5:$A$2990,'دیده بان بازار'!$Q$5:$Q$2990,"")</f>
        <v>9.0500000000000007</v>
      </c>
      <c r="F739" s="428" t="str">
        <f t="shared" si="11"/>
        <v/>
      </c>
    </row>
    <row r="740" spans="1:6">
      <c r="A740" s="2059" t="str">
        <f>_xlfn.XLOOKUP(C740,'Price Record'!$C$5:$C$102,'Price Record'!$D$5:$D$102,"")</f>
        <v/>
      </c>
      <c r="B740" t="s">
        <v>2874</v>
      </c>
      <c r="C740" t="s">
        <v>2875</v>
      </c>
      <c r="D740" t="s">
        <v>192</v>
      </c>
      <c r="E740" t="str">
        <f>_xlfn.XLOOKUP(C740,'دیده بان بازار'!$A$5:$A$2990,'دیده بان بازار'!$Q$5:$Q$2990,"")</f>
        <v/>
      </c>
      <c r="F740" s="428" t="str">
        <f t="shared" si="11"/>
        <v/>
      </c>
    </row>
    <row r="741" spans="1:6">
      <c r="A741" s="2059" t="str">
        <f>_xlfn.XLOOKUP(C741,'Price Record'!$C$5:$C$102,'Price Record'!$D$5:$D$102,"")</f>
        <v/>
      </c>
      <c r="B741" t="s">
        <v>2876</v>
      </c>
      <c r="C741" t="s">
        <v>2877</v>
      </c>
      <c r="D741" t="s">
        <v>192</v>
      </c>
      <c r="E741">
        <f>_xlfn.XLOOKUP(C741,'دیده بان بازار'!$A$5:$A$2990,'دیده بان بازار'!$Q$5:$Q$2990,"")</f>
        <v>4.42</v>
      </c>
      <c r="F741" s="428" t="str">
        <f t="shared" si="11"/>
        <v/>
      </c>
    </row>
    <row r="742" spans="1:6">
      <c r="A742" s="2059" t="str">
        <f>_xlfn.XLOOKUP(C742,'Price Record'!$C$5:$C$102,'Price Record'!$D$5:$D$102,"")</f>
        <v/>
      </c>
      <c r="B742" t="s">
        <v>2876</v>
      </c>
      <c r="C742" t="s">
        <v>2878</v>
      </c>
      <c r="D742" t="s">
        <v>192</v>
      </c>
      <c r="E742" t="str">
        <f>_xlfn.XLOOKUP(C742,'دیده بان بازار'!$A$5:$A$2990,'دیده بان بازار'!$Q$5:$Q$2990,"")</f>
        <v/>
      </c>
      <c r="F742" s="428" t="str">
        <f t="shared" si="11"/>
        <v/>
      </c>
    </row>
    <row r="743" spans="1:6">
      <c r="A743" s="2059" t="str">
        <f>_xlfn.XLOOKUP(C743,'Price Record'!$C$5:$C$102,'Price Record'!$D$5:$D$102,"")</f>
        <v/>
      </c>
      <c r="B743" t="s">
        <v>2876</v>
      </c>
      <c r="C743" t="s">
        <v>2879</v>
      </c>
      <c r="D743" t="s">
        <v>192</v>
      </c>
      <c r="E743" t="str">
        <f>_xlfn.XLOOKUP(C743,'دیده بان بازار'!$A$5:$A$2990,'دیده بان بازار'!$Q$5:$Q$2990,"")</f>
        <v/>
      </c>
      <c r="F743" s="428" t="str">
        <f t="shared" si="11"/>
        <v/>
      </c>
    </row>
    <row r="744" spans="1:6">
      <c r="A744" s="2059" t="str">
        <f>_xlfn.XLOOKUP(C744,'Price Record'!$C$5:$C$102,'Price Record'!$D$5:$D$102,"")</f>
        <v/>
      </c>
      <c r="B744" t="s">
        <v>2880</v>
      </c>
      <c r="C744" t="s">
        <v>2881</v>
      </c>
      <c r="D744" t="s">
        <v>192</v>
      </c>
      <c r="E744">
        <f>_xlfn.XLOOKUP(C744,'دیده بان بازار'!$A$5:$A$2990,'دیده بان بازار'!$Q$5:$Q$2990,"")</f>
        <v>10.130000000000001</v>
      </c>
      <c r="F744" s="428" t="str">
        <f t="shared" si="11"/>
        <v/>
      </c>
    </row>
    <row r="745" spans="1:6">
      <c r="A745" s="2059" t="str">
        <f>_xlfn.XLOOKUP(C745,'Price Record'!$C$5:$C$102,'Price Record'!$D$5:$D$102,"")</f>
        <v/>
      </c>
      <c r="B745" t="s">
        <v>2882</v>
      </c>
      <c r="C745" t="s">
        <v>2883</v>
      </c>
      <c r="D745" t="s">
        <v>192</v>
      </c>
      <c r="E745">
        <f>_xlfn.XLOOKUP(C745,'دیده بان بازار'!$A$5:$A$2990,'دیده بان بازار'!$Q$5:$Q$2990,"")</f>
        <v>8.61</v>
      </c>
      <c r="F745" s="428" t="str">
        <f t="shared" si="11"/>
        <v/>
      </c>
    </row>
    <row r="746" spans="1:6">
      <c r="A746" s="2059" t="str">
        <f>_xlfn.XLOOKUP(C746,'Price Record'!$C$5:$C$102,'Price Record'!$D$5:$D$102,"")</f>
        <v/>
      </c>
      <c r="B746" t="s">
        <v>2884</v>
      </c>
      <c r="C746" t="s">
        <v>2885</v>
      </c>
      <c r="D746" t="s">
        <v>192</v>
      </c>
      <c r="E746" t="str">
        <f>_xlfn.XLOOKUP(C746,'دیده بان بازار'!$A$5:$A$2990,'دیده بان بازار'!$Q$5:$Q$2990,"")</f>
        <v/>
      </c>
      <c r="F746" s="428" t="str">
        <f t="shared" si="11"/>
        <v/>
      </c>
    </row>
    <row r="747" spans="1:6">
      <c r="A747" s="2059" t="str">
        <f>_xlfn.XLOOKUP(C747,'Price Record'!$C$5:$C$102,'Price Record'!$D$5:$D$102,"")</f>
        <v/>
      </c>
      <c r="B747" t="s">
        <v>2886</v>
      </c>
      <c r="C747" t="s">
        <v>2887</v>
      </c>
      <c r="D747" t="s">
        <v>192</v>
      </c>
      <c r="E747">
        <f>_xlfn.XLOOKUP(C747,'دیده بان بازار'!$A$5:$A$2990,'دیده بان بازار'!$Q$5:$Q$2990,"")</f>
        <v>-7.48</v>
      </c>
      <c r="F747" s="428" t="str">
        <f t="shared" si="11"/>
        <v/>
      </c>
    </row>
    <row r="748" spans="1:6">
      <c r="A748" s="2059" t="str">
        <f>_xlfn.XLOOKUP(C748,'Price Record'!$C$5:$C$102,'Price Record'!$D$5:$D$102,"")</f>
        <v/>
      </c>
      <c r="B748" t="s">
        <v>2888</v>
      </c>
      <c r="C748" t="s">
        <v>2889</v>
      </c>
      <c r="D748" t="s">
        <v>192</v>
      </c>
      <c r="E748">
        <f>_xlfn.XLOOKUP(C748,'دیده بان بازار'!$A$5:$A$2990,'دیده بان بازار'!$Q$5:$Q$2990,"")</f>
        <v>8.0500000000000007</v>
      </c>
      <c r="F748" s="428" t="str">
        <f t="shared" si="11"/>
        <v/>
      </c>
    </row>
    <row r="749" spans="1:6">
      <c r="A749" s="2059" t="str">
        <f>_xlfn.XLOOKUP(C749,'Price Record'!$C$5:$C$102,'Price Record'!$D$5:$D$102,"")</f>
        <v/>
      </c>
      <c r="B749" t="s">
        <v>2888</v>
      </c>
      <c r="C749" t="s">
        <v>2890</v>
      </c>
      <c r="D749" t="s">
        <v>192</v>
      </c>
      <c r="E749">
        <f>_xlfn.XLOOKUP(C749,'دیده بان بازار'!$A$5:$A$2990,'دیده بان بازار'!$Q$5:$Q$2990,"")</f>
        <v>8.0500000000000007</v>
      </c>
      <c r="F749" s="428" t="str">
        <f t="shared" si="11"/>
        <v/>
      </c>
    </row>
    <row r="750" spans="1:6">
      <c r="A750" s="2059" t="str">
        <f>_xlfn.XLOOKUP(C750,'Price Record'!$C$5:$C$102,'Price Record'!$D$5:$D$102,"")</f>
        <v/>
      </c>
      <c r="B750" t="s">
        <v>2891</v>
      </c>
      <c r="C750" t="s">
        <v>2892</v>
      </c>
      <c r="D750" t="s">
        <v>192</v>
      </c>
      <c r="E750">
        <f>_xlfn.XLOOKUP(C750,'دیده بان بازار'!$A$5:$A$2990,'دیده بان بازار'!$Q$5:$Q$2990,"")</f>
        <v>6.41</v>
      </c>
      <c r="F750" s="428" t="str">
        <f t="shared" si="11"/>
        <v/>
      </c>
    </row>
    <row r="751" spans="1:6">
      <c r="A751" s="2059" t="str">
        <f>_xlfn.XLOOKUP(C751,'Price Record'!$C$5:$C$102,'Price Record'!$D$5:$D$102,"")</f>
        <v/>
      </c>
      <c r="B751" t="s">
        <v>2891</v>
      </c>
      <c r="C751" t="s">
        <v>2893</v>
      </c>
      <c r="D751" t="s">
        <v>192</v>
      </c>
      <c r="E751" t="str">
        <f>_xlfn.XLOOKUP(C751,'دیده بان بازار'!$A$5:$A$2990,'دیده بان بازار'!$Q$5:$Q$2990,"")</f>
        <v/>
      </c>
      <c r="F751" s="428" t="str">
        <f t="shared" si="11"/>
        <v/>
      </c>
    </row>
    <row r="752" spans="1:6">
      <c r="A752" s="2059" t="str">
        <f>_xlfn.XLOOKUP(C752,'Price Record'!$C$5:$C$102,'Price Record'!$D$5:$D$102,"")</f>
        <v/>
      </c>
      <c r="B752" t="s">
        <v>2894</v>
      </c>
      <c r="C752" t="s">
        <v>2895</v>
      </c>
      <c r="D752" t="s">
        <v>192</v>
      </c>
      <c r="E752">
        <f>_xlfn.XLOOKUP(C752,'دیده بان بازار'!$A$5:$A$2990,'دیده بان بازار'!$Q$5:$Q$2990,"")</f>
        <v>11.23</v>
      </c>
      <c r="F752" s="428" t="str">
        <f t="shared" si="11"/>
        <v/>
      </c>
    </row>
    <row r="753" spans="1:6">
      <c r="A753" s="2059" t="str">
        <f>_xlfn.XLOOKUP(C753,'Price Record'!$C$5:$C$102,'Price Record'!$D$5:$D$102,"")</f>
        <v/>
      </c>
      <c r="B753" t="s">
        <v>2896</v>
      </c>
      <c r="C753" t="s">
        <v>2897</v>
      </c>
      <c r="D753" t="s">
        <v>192</v>
      </c>
      <c r="E753">
        <f>_xlfn.XLOOKUP(C753,'دیده بان بازار'!$A$5:$A$2990,'دیده بان بازار'!$Q$5:$Q$2990,"")</f>
        <v>7.76</v>
      </c>
      <c r="F753" s="428" t="str">
        <f t="shared" si="11"/>
        <v/>
      </c>
    </row>
    <row r="754" spans="1:6">
      <c r="A754" s="2059" t="str">
        <f>_xlfn.XLOOKUP(C754,'Price Record'!$C$5:$C$102,'Price Record'!$D$5:$D$102,"")</f>
        <v/>
      </c>
      <c r="B754" t="s">
        <v>2898</v>
      </c>
      <c r="C754" t="s">
        <v>2899</v>
      </c>
      <c r="D754" t="s">
        <v>192</v>
      </c>
      <c r="E754">
        <f>_xlfn.XLOOKUP(C754,'دیده بان بازار'!$A$5:$A$2990,'دیده بان بازار'!$Q$5:$Q$2990,"")</f>
        <v>3.87</v>
      </c>
      <c r="F754" s="428" t="str">
        <f t="shared" si="11"/>
        <v/>
      </c>
    </row>
    <row r="755" spans="1:6">
      <c r="A755" s="2059" t="str">
        <f>_xlfn.XLOOKUP(C755,'Price Record'!$C$5:$C$102,'Price Record'!$D$5:$D$102,"")</f>
        <v/>
      </c>
      <c r="B755" t="s">
        <v>2900</v>
      </c>
      <c r="C755" t="s">
        <v>2901</v>
      </c>
      <c r="D755" t="s">
        <v>192</v>
      </c>
      <c r="E755">
        <f>_xlfn.XLOOKUP(C755,'دیده بان بازار'!$A$5:$A$2990,'دیده بان بازار'!$Q$5:$Q$2990,"")</f>
        <v>2.88</v>
      </c>
      <c r="F755" s="428" t="str">
        <f t="shared" si="11"/>
        <v/>
      </c>
    </row>
    <row r="756" spans="1:6">
      <c r="A756" s="2059" t="str">
        <f>_xlfn.XLOOKUP(C756,'Price Record'!$C$5:$C$102,'Price Record'!$D$5:$D$102,"")</f>
        <v/>
      </c>
      <c r="B756" t="s">
        <v>2902</v>
      </c>
      <c r="C756" t="s">
        <v>2903</v>
      </c>
      <c r="D756" t="s">
        <v>192</v>
      </c>
      <c r="E756">
        <f>_xlfn.XLOOKUP(C756,'دیده بان بازار'!$A$5:$A$2990,'دیده بان بازار'!$Q$5:$Q$2990,"")</f>
        <v>16.57</v>
      </c>
      <c r="F756" s="428" t="str">
        <f t="shared" si="11"/>
        <v/>
      </c>
    </row>
    <row r="757" spans="1:6">
      <c r="A757" s="2059" t="str">
        <f>_xlfn.XLOOKUP(C757,'Price Record'!$C$5:$C$102,'Price Record'!$D$5:$D$102,"")</f>
        <v/>
      </c>
      <c r="B757" t="s">
        <v>2904</v>
      </c>
      <c r="C757" t="s">
        <v>2905</v>
      </c>
      <c r="D757" t="s">
        <v>192</v>
      </c>
      <c r="E757">
        <f>_xlfn.XLOOKUP(C757,'دیده بان بازار'!$A$5:$A$2990,'دیده بان بازار'!$Q$5:$Q$2990,"")</f>
        <v>4.67</v>
      </c>
      <c r="F757" s="428" t="str">
        <f t="shared" si="11"/>
        <v/>
      </c>
    </row>
    <row r="758" spans="1:6">
      <c r="A758" s="2059" t="str">
        <f>_xlfn.XLOOKUP(C758,'Price Record'!$C$5:$C$102,'Price Record'!$D$5:$D$102,"")</f>
        <v/>
      </c>
      <c r="B758" t="s">
        <v>2906</v>
      </c>
      <c r="C758" t="s">
        <v>2907</v>
      </c>
      <c r="D758" t="s">
        <v>192</v>
      </c>
      <c r="E758">
        <f>_xlfn.XLOOKUP(C758,'دیده بان بازار'!$A$5:$A$2990,'دیده بان بازار'!$Q$5:$Q$2990,"")</f>
        <v>5.08</v>
      </c>
      <c r="F758" s="428" t="str">
        <f t="shared" si="11"/>
        <v/>
      </c>
    </row>
    <row r="759" spans="1:6">
      <c r="A759" s="2059" t="str">
        <f>_xlfn.XLOOKUP(C759,'Price Record'!$C$5:$C$102,'Price Record'!$D$5:$D$102,"")</f>
        <v/>
      </c>
      <c r="B759" t="s">
        <v>2906</v>
      </c>
      <c r="C759" t="s">
        <v>2908</v>
      </c>
      <c r="D759" t="s">
        <v>192</v>
      </c>
      <c r="E759">
        <f>_xlfn.XLOOKUP(C759,'دیده بان بازار'!$A$5:$A$2990,'دیده بان بازار'!$Q$5:$Q$2990,"")</f>
        <v>5.08</v>
      </c>
      <c r="F759" s="428" t="str">
        <f t="shared" si="11"/>
        <v/>
      </c>
    </row>
    <row r="760" spans="1:6">
      <c r="A760" s="2059" t="str">
        <f>_xlfn.XLOOKUP(C760,'Price Record'!$C$5:$C$102,'Price Record'!$D$5:$D$102,"")</f>
        <v/>
      </c>
      <c r="B760" t="s">
        <v>2909</v>
      </c>
      <c r="C760" t="s">
        <v>2910</v>
      </c>
      <c r="D760" t="s">
        <v>192</v>
      </c>
      <c r="E760">
        <f>_xlfn.XLOOKUP(C760,'دیده بان بازار'!$A$5:$A$2990,'دیده بان بازار'!$Q$5:$Q$2990,"")</f>
        <v>12.01</v>
      </c>
      <c r="F760" s="428" t="str">
        <f t="shared" si="11"/>
        <v/>
      </c>
    </row>
    <row r="761" spans="1:6">
      <c r="A761" s="2059" t="str">
        <f>_xlfn.XLOOKUP(C761,'Price Record'!$C$5:$C$102,'Price Record'!$D$5:$D$102,"")</f>
        <v/>
      </c>
      <c r="B761" t="s">
        <v>2911</v>
      </c>
      <c r="C761" t="s">
        <v>2912</v>
      </c>
      <c r="D761" t="s">
        <v>192</v>
      </c>
      <c r="E761">
        <f>_xlfn.XLOOKUP(C761,'دیده بان بازار'!$A$5:$A$2990,'دیده بان بازار'!$Q$5:$Q$2990,"")</f>
        <v>18.04</v>
      </c>
      <c r="F761" s="428" t="str">
        <f t="shared" si="11"/>
        <v/>
      </c>
    </row>
    <row r="762" spans="1:6">
      <c r="A762" s="2059" t="str">
        <f>_xlfn.XLOOKUP(C762,'Price Record'!$C$5:$C$102,'Price Record'!$D$5:$D$102,"")</f>
        <v/>
      </c>
      <c r="B762" t="s">
        <v>2913</v>
      </c>
      <c r="C762" t="s">
        <v>2914</v>
      </c>
      <c r="D762" t="s">
        <v>192</v>
      </c>
      <c r="E762">
        <f>_xlfn.XLOOKUP(C762,'دیده بان بازار'!$A$5:$A$2990,'دیده بان بازار'!$Q$5:$Q$2990,"")</f>
        <v>22.25</v>
      </c>
      <c r="F762" s="428" t="str">
        <f t="shared" si="11"/>
        <v/>
      </c>
    </row>
    <row r="763" spans="1:6">
      <c r="A763" s="2059" t="str">
        <f>_xlfn.XLOOKUP(C763,'Price Record'!$C$5:$C$102,'Price Record'!$D$5:$D$102,"")</f>
        <v/>
      </c>
      <c r="B763" t="s">
        <v>2915</v>
      </c>
      <c r="C763" t="s">
        <v>2916</v>
      </c>
      <c r="D763" t="s">
        <v>192</v>
      </c>
      <c r="E763">
        <f>_xlfn.XLOOKUP(C763,'دیده بان بازار'!$A$5:$A$2990,'دیده بان بازار'!$Q$5:$Q$2990,"")</f>
        <v>-84.22</v>
      </c>
      <c r="F763" s="428" t="str">
        <f t="shared" si="11"/>
        <v/>
      </c>
    </row>
    <row r="764" spans="1:6">
      <c r="A764" s="2059" t="str">
        <f>_xlfn.XLOOKUP(C764,'Price Record'!$C$5:$C$102,'Price Record'!$D$5:$D$102,"")</f>
        <v/>
      </c>
      <c r="B764" t="s">
        <v>2917</v>
      </c>
      <c r="C764" t="s">
        <v>2918</v>
      </c>
      <c r="D764" t="s">
        <v>192</v>
      </c>
      <c r="E764">
        <f>_xlfn.XLOOKUP(C764,'دیده بان بازار'!$A$5:$A$2990,'دیده بان بازار'!$Q$5:$Q$2990,"")</f>
        <v>29.53</v>
      </c>
      <c r="F764" s="428" t="str">
        <f t="shared" si="11"/>
        <v/>
      </c>
    </row>
    <row r="765" spans="1:6">
      <c r="A765" s="2059" t="str">
        <f>_xlfn.XLOOKUP(C765,'Price Record'!$C$5:$C$102,'Price Record'!$D$5:$D$102,"")</f>
        <v/>
      </c>
      <c r="B765" t="s">
        <v>2919</v>
      </c>
      <c r="C765" t="s">
        <v>2920</v>
      </c>
      <c r="D765" t="s">
        <v>192</v>
      </c>
      <c r="E765">
        <f>_xlfn.XLOOKUP(C765,'دیده بان بازار'!$A$5:$A$2990,'دیده بان بازار'!$Q$5:$Q$2990,"")</f>
        <v>3.3</v>
      </c>
      <c r="F765" s="428" t="str">
        <f t="shared" si="11"/>
        <v/>
      </c>
    </row>
    <row r="766" spans="1:6">
      <c r="A766" s="2059" t="str">
        <f>_xlfn.XLOOKUP(C766,'Price Record'!$C$5:$C$102,'Price Record'!$D$5:$D$102,"")</f>
        <v/>
      </c>
      <c r="B766" t="s">
        <v>2921</v>
      </c>
      <c r="C766" t="s">
        <v>2922</v>
      </c>
      <c r="D766" t="s">
        <v>192</v>
      </c>
      <c r="E766">
        <f>_xlfn.XLOOKUP(C766,'دیده بان بازار'!$A$5:$A$2990,'دیده بان بازار'!$Q$5:$Q$2990,"")</f>
        <v>6.33</v>
      </c>
      <c r="F766" s="428" t="str">
        <f t="shared" si="11"/>
        <v/>
      </c>
    </row>
    <row r="767" spans="1:6">
      <c r="A767" s="2059" t="str">
        <f>_xlfn.XLOOKUP(C767,'Price Record'!$C$5:$C$102,'Price Record'!$D$5:$D$102,"")</f>
        <v/>
      </c>
      <c r="B767" t="s">
        <v>2923</v>
      </c>
      <c r="C767" t="s">
        <v>2924</v>
      </c>
      <c r="D767" t="s">
        <v>192</v>
      </c>
      <c r="E767" t="str">
        <f>_xlfn.XLOOKUP(C767,'دیده بان بازار'!$A$5:$A$2990,'دیده بان بازار'!$Q$5:$Q$2990,"")</f>
        <v/>
      </c>
      <c r="F767" s="428" t="str">
        <f t="shared" si="11"/>
        <v/>
      </c>
    </row>
    <row r="768" spans="1:6">
      <c r="A768" s="2059" t="str">
        <f>_xlfn.XLOOKUP(C768,'Price Record'!$C$5:$C$102,'Price Record'!$D$5:$D$102,"")</f>
        <v/>
      </c>
      <c r="B768" t="s">
        <v>2925</v>
      </c>
      <c r="C768" t="s">
        <v>2926</v>
      </c>
      <c r="D768" t="s">
        <v>192</v>
      </c>
      <c r="E768">
        <f>_xlfn.XLOOKUP(C768,'دیده بان بازار'!$A$5:$A$2990,'دیده بان بازار'!$Q$5:$Q$2990,"")</f>
        <v>4.04</v>
      </c>
      <c r="F768" s="428" t="str">
        <f t="shared" si="11"/>
        <v/>
      </c>
    </row>
    <row r="769" spans="1:6">
      <c r="A769" s="2059" t="str">
        <f>_xlfn.XLOOKUP(C769,'Price Record'!$C$5:$C$102,'Price Record'!$D$5:$D$102,"")</f>
        <v/>
      </c>
      <c r="B769" t="s">
        <v>2925</v>
      </c>
      <c r="C769" t="s">
        <v>2927</v>
      </c>
      <c r="D769" t="s">
        <v>192</v>
      </c>
      <c r="E769">
        <f>_xlfn.XLOOKUP(C769,'دیده بان بازار'!$A$5:$A$2990,'دیده بان بازار'!$Q$5:$Q$2990,"")</f>
        <v>4.04</v>
      </c>
      <c r="F769" s="428" t="str">
        <f t="shared" si="11"/>
        <v/>
      </c>
    </row>
    <row r="770" spans="1:6">
      <c r="A770" s="2059" t="str">
        <f>_xlfn.XLOOKUP(C770,'Price Record'!$C$5:$C$102,'Price Record'!$D$5:$D$102,"")</f>
        <v/>
      </c>
      <c r="B770" t="s">
        <v>2928</v>
      </c>
      <c r="C770" t="s">
        <v>2929</v>
      </c>
      <c r="D770" t="s">
        <v>192</v>
      </c>
      <c r="E770">
        <f>_xlfn.XLOOKUP(C770,'دیده بان بازار'!$A$5:$A$2990,'دیده بان بازار'!$Q$5:$Q$2990,"")</f>
        <v>7.59</v>
      </c>
      <c r="F770" s="428" t="str">
        <f t="shared" si="11"/>
        <v/>
      </c>
    </row>
    <row r="771" spans="1:6">
      <c r="A771" s="2059" t="str">
        <f>_xlfn.XLOOKUP(C771,'Price Record'!$C$5:$C$102,'Price Record'!$D$5:$D$102,"")</f>
        <v/>
      </c>
      <c r="B771" t="s">
        <v>2930</v>
      </c>
      <c r="C771" t="s">
        <v>2931</v>
      </c>
      <c r="D771" t="s">
        <v>192</v>
      </c>
      <c r="E771">
        <f>_xlfn.XLOOKUP(C771,'دیده بان بازار'!$A$5:$A$2990,'دیده بان بازار'!$Q$5:$Q$2990,"")</f>
        <v>6.95</v>
      </c>
      <c r="F771" s="428" t="str">
        <f t="shared" si="11"/>
        <v/>
      </c>
    </row>
    <row r="772" spans="1:6">
      <c r="A772" s="2059" t="str">
        <f>_xlfn.XLOOKUP(C772,'Price Record'!$C$5:$C$102,'Price Record'!$D$5:$D$102,"")</f>
        <v/>
      </c>
      <c r="B772" t="s">
        <v>2932</v>
      </c>
      <c r="C772" t="s">
        <v>2933</v>
      </c>
      <c r="D772" t="s">
        <v>192</v>
      </c>
      <c r="E772">
        <f>_xlfn.XLOOKUP(C772,'دیده بان بازار'!$A$5:$A$2990,'دیده بان بازار'!$Q$5:$Q$2990,"")</f>
        <v>137.6</v>
      </c>
      <c r="F772" s="428" t="str">
        <f t="shared" ref="F772:F835" si="12">IFERROR(IF(0&lt;E772,IF(E772&lt;20,E772-D772,""),""),"")</f>
        <v/>
      </c>
    </row>
    <row r="773" spans="1:6">
      <c r="A773" s="2062" t="str">
        <f>_xlfn.XLOOKUP(C773,'Price Record'!$C$5:$C$102,'Price Record'!$D$5:$D$102,"")</f>
        <v>B</v>
      </c>
      <c r="B773" s="1445" t="s">
        <v>195</v>
      </c>
      <c r="C773" s="1445" t="s">
        <v>196</v>
      </c>
      <c r="D773" s="1445" t="s">
        <v>192</v>
      </c>
      <c r="E773" s="1445">
        <f>_xlfn.XLOOKUP(C773,'دیده بان بازار'!$A$5:$A$2990,'دیده بان بازار'!$Q$5:$Q$2990,"")</f>
        <v>2.72</v>
      </c>
      <c r="F773" s="2063" t="str">
        <f t="shared" si="12"/>
        <v/>
      </c>
    </row>
    <row r="774" spans="1:6">
      <c r="A774" s="2059" t="str">
        <f>_xlfn.XLOOKUP(C774,'Price Record'!$C$5:$C$102,'Price Record'!$D$5:$D$102,"")</f>
        <v/>
      </c>
      <c r="B774" t="s">
        <v>2934</v>
      </c>
      <c r="C774" t="s">
        <v>2935</v>
      </c>
      <c r="D774" t="s">
        <v>192</v>
      </c>
      <c r="E774">
        <f>_xlfn.XLOOKUP(C774,'دیده بان بازار'!$A$5:$A$2990,'دیده بان بازار'!$Q$5:$Q$2990,"")</f>
        <v>2.56</v>
      </c>
      <c r="F774" s="428" t="str">
        <f t="shared" si="12"/>
        <v/>
      </c>
    </row>
    <row r="775" spans="1:6">
      <c r="A775" s="2059" t="str">
        <f>_xlfn.XLOOKUP(C775,'Price Record'!$C$5:$C$102,'Price Record'!$D$5:$D$102,"")</f>
        <v/>
      </c>
      <c r="B775" t="s">
        <v>2936</v>
      </c>
      <c r="C775" t="s">
        <v>2937</v>
      </c>
      <c r="D775" t="s">
        <v>192</v>
      </c>
      <c r="E775">
        <f>_xlfn.XLOOKUP(C775,'دیده بان بازار'!$A$5:$A$2990,'دیده بان بازار'!$Q$5:$Q$2990,"")</f>
        <v>4.59</v>
      </c>
      <c r="F775" s="428" t="str">
        <f t="shared" si="12"/>
        <v/>
      </c>
    </row>
    <row r="776" spans="1:6">
      <c r="A776" s="2059" t="str">
        <f>_xlfn.XLOOKUP(C776,'Price Record'!$C$5:$C$102,'Price Record'!$D$5:$D$102,"")</f>
        <v/>
      </c>
      <c r="B776" t="s">
        <v>2936</v>
      </c>
      <c r="C776" t="s">
        <v>2938</v>
      </c>
      <c r="D776" t="s">
        <v>192</v>
      </c>
      <c r="E776" t="str">
        <f>_xlfn.XLOOKUP(C776,'دیده بان بازار'!$A$5:$A$2990,'دیده بان بازار'!$Q$5:$Q$2990,"")</f>
        <v/>
      </c>
      <c r="F776" s="428" t="str">
        <f t="shared" si="12"/>
        <v/>
      </c>
    </row>
    <row r="777" spans="1:6">
      <c r="A777" s="2059" t="str">
        <f>_xlfn.XLOOKUP(C777,'Price Record'!$C$5:$C$102,'Price Record'!$D$5:$D$102,"")</f>
        <v/>
      </c>
      <c r="B777" t="s">
        <v>2939</v>
      </c>
      <c r="C777" t="s">
        <v>2940</v>
      </c>
      <c r="D777" t="s">
        <v>192</v>
      </c>
      <c r="E777">
        <f>_xlfn.XLOOKUP(C777,'دیده بان بازار'!$A$5:$A$2990,'دیده بان بازار'!$Q$5:$Q$2990,"")</f>
        <v>10.35</v>
      </c>
      <c r="F777" s="428" t="str">
        <f t="shared" si="12"/>
        <v/>
      </c>
    </row>
    <row r="778" spans="1:6">
      <c r="A778" s="2059" t="str">
        <f>_xlfn.XLOOKUP(C778,'Price Record'!$C$5:$C$102,'Price Record'!$D$5:$D$102,"")</f>
        <v/>
      </c>
      <c r="B778" t="s">
        <v>2941</v>
      </c>
      <c r="C778" t="s">
        <v>2942</v>
      </c>
      <c r="D778" t="s">
        <v>192</v>
      </c>
      <c r="E778">
        <f>_xlfn.XLOOKUP(C778,'دیده بان بازار'!$A$5:$A$2990,'دیده بان بازار'!$Q$5:$Q$2990,"")</f>
        <v>1.95</v>
      </c>
      <c r="F778" s="428" t="str">
        <f t="shared" si="12"/>
        <v/>
      </c>
    </row>
    <row r="779" spans="1:6">
      <c r="A779" s="2059" t="str">
        <f>_xlfn.XLOOKUP(C779,'Price Record'!$C$5:$C$102,'Price Record'!$D$5:$D$102,"")</f>
        <v/>
      </c>
      <c r="B779" t="s">
        <v>2943</v>
      </c>
      <c r="C779" t="s">
        <v>2944</v>
      </c>
      <c r="D779" t="s">
        <v>192</v>
      </c>
      <c r="E779">
        <f>_xlfn.XLOOKUP(C779,'دیده بان بازار'!$A$5:$A$2990,'دیده بان بازار'!$Q$5:$Q$2990,"")</f>
        <v>12.23</v>
      </c>
      <c r="F779" s="428" t="str">
        <f t="shared" si="12"/>
        <v/>
      </c>
    </row>
    <row r="780" spans="1:6">
      <c r="A780" s="2059" t="str">
        <f>_xlfn.XLOOKUP(C780,'Price Record'!$C$5:$C$102,'Price Record'!$D$5:$D$102,"")</f>
        <v/>
      </c>
      <c r="B780" t="s">
        <v>2945</v>
      </c>
      <c r="C780" t="s">
        <v>2946</v>
      </c>
      <c r="D780" t="s">
        <v>192</v>
      </c>
      <c r="E780">
        <f>_xlfn.XLOOKUP(C780,'دیده بان بازار'!$A$5:$A$2990,'دیده بان بازار'!$Q$5:$Q$2990,"")</f>
        <v>6.26</v>
      </c>
      <c r="F780" s="428" t="str">
        <f t="shared" si="12"/>
        <v/>
      </c>
    </row>
    <row r="781" spans="1:6">
      <c r="A781" s="2059" t="str">
        <f>_xlfn.XLOOKUP(C781,'Price Record'!$C$5:$C$102,'Price Record'!$D$5:$D$102,"")</f>
        <v/>
      </c>
      <c r="B781" t="s">
        <v>2947</v>
      </c>
      <c r="C781" t="s">
        <v>2948</v>
      </c>
      <c r="D781" t="s">
        <v>192</v>
      </c>
      <c r="E781">
        <f>_xlfn.XLOOKUP(C781,'دیده بان بازار'!$A$5:$A$2990,'دیده بان بازار'!$Q$5:$Q$2990,"")</f>
        <v>6.99</v>
      </c>
      <c r="F781" s="428" t="str">
        <f t="shared" si="12"/>
        <v/>
      </c>
    </row>
    <row r="782" spans="1:6">
      <c r="A782" s="2059" t="str">
        <f>_xlfn.XLOOKUP(C782,'Price Record'!$C$5:$C$102,'Price Record'!$D$5:$D$102,"")</f>
        <v/>
      </c>
      <c r="B782" t="s">
        <v>2949</v>
      </c>
      <c r="C782" t="s">
        <v>2950</v>
      </c>
      <c r="D782" t="s">
        <v>192</v>
      </c>
      <c r="E782">
        <f>_xlfn.XLOOKUP(C782,'دیده بان بازار'!$A$5:$A$2990,'دیده بان بازار'!$Q$5:$Q$2990,"")</f>
        <v>12.41</v>
      </c>
      <c r="F782" s="428" t="str">
        <f t="shared" si="12"/>
        <v/>
      </c>
    </row>
    <row r="783" spans="1:6">
      <c r="A783" s="2059" t="str">
        <f>_xlfn.XLOOKUP(C783,'Price Record'!$C$5:$C$102,'Price Record'!$D$5:$D$102,"")</f>
        <v/>
      </c>
      <c r="B783" t="s">
        <v>2951</v>
      </c>
      <c r="C783" t="s">
        <v>2952</v>
      </c>
      <c r="D783" t="s">
        <v>192</v>
      </c>
      <c r="E783" t="str">
        <f>_xlfn.XLOOKUP(C783,'دیده بان بازار'!$A$5:$A$2990,'دیده بان بازار'!$Q$5:$Q$2990,"")</f>
        <v/>
      </c>
      <c r="F783" s="428" t="str">
        <f t="shared" si="12"/>
        <v/>
      </c>
    </row>
    <row r="784" spans="1:6">
      <c r="A784" s="2059" t="str">
        <f>_xlfn.XLOOKUP(C784,'Price Record'!$C$5:$C$102,'Price Record'!$D$5:$D$102,"")</f>
        <v/>
      </c>
      <c r="B784" t="s">
        <v>2953</v>
      </c>
      <c r="C784" t="s">
        <v>2954</v>
      </c>
      <c r="D784" t="s">
        <v>192</v>
      </c>
      <c r="E784">
        <f>_xlfn.XLOOKUP(C784,'دیده بان بازار'!$A$5:$A$2990,'دیده بان بازار'!$Q$5:$Q$2990,"")</f>
        <v>4.3899999999999997</v>
      </c>
      <c r="F784" s="428" t="str">
        <f t="shared" si="12"/>
        <v/>
      </c>
    </row>
    <row r="785" spans="1:6">
      <c r="A785" s="2059" t="str">
        <f>_xlfn.XLOOKUP(C785,'Price Record'!$C$5:$C$102,'Price Record'!$D$5:$D$102,"")</f>
        <v/>
      </c>
      <c r="B785" t="s">
        <v>2955</v>
      </c>
      <c r="C785" t="s">
        <v>2956</v>
      </c>
      <c r="D785" t="s">
        <v>192</v>
      </c>
      <c r="E785">
        <f>_xlfn.XLOOKUP(C785,'دیده بان بازار'!$A$5:$A$2990,'دیده بان بازار'!$Q$5:$Q$2990,"")</f>
        <v>3.99</v>
      </c>
      <c r="F785" s="428" t="str">
        <f t="shared" si="12"/>
        <v/>
      </c>
    </row>
    <row r="786" spans="1:6">
      <c r="A786" s="2062" t="str">
        <f>_xlfn.XLOOKUP(C786,'Price Record'!$C$5:$C$102,'Price Record'!$D$5:$D$102,"")</f>
        <v>B</v>
      </c>
      <c r="B786" s="1445" t="s">
        <v>198</v>
      </c>
      <c r="C786" s="1445" t="s">
        <v>199</v>
      </c>
      <c r="D786" s="1445" t="s">
        <v>192</v>
      </c>
      <c r="E786" s="1445">
        <f>_xlfn.XLOOKUP(C786,'دیده بان بازار'!$A$5:$A$2990,'دیده بان بازار'!$Q$5:$Q$2990,"")</f>
        <v>6.3</v>
      </c>
      <c r="F786" s="2063" t="str">
        <f t="shared" si="12"/>
        <v/>
      </c>
    </row>
    <row r="787" spans="1:6">
      <c r="A787" s="2059" t="str">
        <f>_xlfn.XLOOKUP(C787,'Price Record'!$C$5:$C$102,'Price Record'!$D$5:$D$102,"")</f>
        <v/>
      </c>
      <c r="B787" t="s">
        <v>2957</v>
      </c>
      <c r="C787" t="s">
        <v>2958</v>
      </c>
      <c r="D787" t="s">
        <v>192</v>
      </c>
      <c r="E787">
        <f>_xlfn.XLOOKUP(C787,'دیده بان بازار'!$A$5:$A$2990,'دیده بان بازار'!$Q$5:$Q$2990,"")</f>
        <v>-4.53</v>
      </c>
      <c r="F787" s="428" t="str">
        <f t="shared" si="12"/>
        <v/>
      </c>
    </row>
    <row r="788" spans="1:6">
      <c r="A788" s="2059" t="str">
        <f>_xlfn.XLOOKUP(C788,'Price Record'!$C$5:$C$102,'Price Record'!$D$5:$D$102,"")</f>
        <v/>
      </c>
      <c r="B788" t="s">
        <v>2957</v>
      </c>
      <c r="C788" t="s">
        <v>2959</v>
      </c>
      <c r="D788" t="s">
        <v>192</v>
      </c>
      <c r="E788" t="str">
        <f>_xlfn.XLOOKUP(C788,'دیده بان بازار'!$A$5:$A$2990,'دیده بان بازار'!$Q$5:$Q$2990,"")</f>
        <v/>
      </c>
      <c r="F788" s="428" t="str">
        <f t="shared" si="12"/>
        <v/>
      </c>
    </row>
    <row r="789" spans="1:6">
      <c r="A789" s="2059" t="str">
        <f>_xlfn.XLOOKUP(C789,'Price Record'!$C$5:$C$102,'Price Record'!$D$5:$D$102,"")</f>
        <v/>
      </c>
      <c r="B789" t="s">
        <v>2960</v>
      </c>
      <c r="C789" t="s">
        <v>2961</v>
      </c>
      <c r="D789" t="s">
        <v>192</v>
      </c>
      <c r="E789">
        <f>_xlfn.XLOOKUP(C789,'دیده بان بازار'!$A$5:$A$2990,'دیده بان بازار'!$Q$5:$Q$2990,"")</f>
        <v>20.73</v>
      </c>
      <c r="F789" s="428" t="str">
        <f t="shared" si="12"/>
        <v/>
      </c>
    </row>
    <row r="790" spans="1:6">
      <c r="A790" s="2059" t="str">
        <f>_xlfn.XLOOKUP(C790,'Price Record'!$C$5:$C$102,'Price Record'!$D$5:$D$102,"")</f>
        <v/>
      </c>
      <c r="B790" t="s">
        <v>2962</v>
      </c>
      <c r="C790" t="s">
        <v>2963</v>
      </c>
      <c r="D790" t="s">
        <v>192</v>
      </c>
      <c r="E790">
        <f>_xlfn.XLOOKUP(C790,'دیده بان بازار'!$A$5:$A$2990,'دیده بان بازار'!$Q$5:$Q$2990,"")</f>
        <v>12.57</v>
      </c>
      <c r="F790" s="428" t="str">
        <f t="shared" si="12"/>
        <v/>
      </c>
    </row>
    <row r="791" spans="1:6">
      <c r="A791" s="2059" t="str">
        <f>_xlfn.XLOOKUP(C791,'Price Record'!$C$5:$C$102,'Price Record'!$D$5:$D$102,"")</f>
        <v/>
      </c>
      <c r="B791" t="s">
        <v>2964</v>
      </c>
      <c r="C791" t="s">
        <v>2965</v>
      </c>
      <c r="D791" t="s">
        <v>192</v>
      </c>
      <c r="E791">
        <f>_xlfn.XLOOKUP(C791,'دیده بان بازار'!$A$5:$A$2990,'دیده بان بازار'!$Q$5:$Q$2990,"")</f>
        <v>4.7300000000000004</v>
      </c>
      <c r="F791" s="428" t="str">
        <f t="shared" si="12"/>
        <v/>
      </c>
    </row>
    <row r="792" spans="1:6">
      <c r="A792" s="2059" t="str">
        <f>_xlfn.XLOOKUP(C792,'Price Record'!$C$5:$C$102,'Price Record'!$D$5:$D$102,"")</f>
        <v/>
      </c>
      <c r="B792" t="s">
        <v>2966</v>
      </c>
      <c r="C792" t="s">
        <v>2967</v>
      </c>
      <c r="D792" t="s">
        <v>192</v>
      </c>
      <c r="E792" t="str">
        <f>_xlfn.XLOOKUP(C792,'دیده بان بازار'!$A$5:$A$2990,'دیده بان بازار'!$Q$5:$Q$2990,"")</f>
        <v/>
      </c>
      <c r="F792" s="428" t="str">
        <f t="shared" si="12"/>
        <v/>
      </c>
    </row>
    <row r="793" spans="1:6">
      <c r="A793" s="2059" t="str">
        <f>_xlfn.XLOOKUP(C793,'Price Record'!$C$5:$C$102,'Price Record'!$D$5:$D$102,"")</f>
        <v/>
      </c>
      <c r="B793" t="s">
        <v>2968</v>
      </c>
      <c r="C793" t="s">
        <v>2969</v>
      </c>
      <c r="D793" t="s">
        <v>192</v>
      </c>
      <c r="E793">
        <f>_xlfn.XLOOKUP(C793,'دیده بان بازار'!$A$5:$A$2990,'دیده بان بازار'!$Q$5:$Q$2990,"")</f>
        <v>3.7</v>
      </c>
      <c r="F793" s="428" t="str">
        <f t="shared" si="12"/>
        <v/>
      </c>
    </row>
    <row r="794" spans="1:6">
      <c r="A794" s="2059" t="str">
        <f>_xlfn.XLOOKUP(C794,'Price Record'!$C$5:$C$102,'Price Record'!$D$5:$D$102,"")</f>
        <v/>
      </c>
      <c r="B794" t="s">
        <v>2968</v>
      </c>
      <c r="C794" t="s">
        <v>2970</v>
      </c>
      <c r="D794" t="s">
        <v>192</v>
      </c>
      <c r="E794" t="str">
        <f>_xlfn.XLOOKUP(C794,'دیده بان بازار'!$A$5:$A$2990,'دیده بان بازار'!$Q$5:$Q$2990,"")</f>
        <v/>
      </c>
      <c r="F794" s="428" t="str">
        <f t="shared" si="12"/>
        <v/>
      </c>
    </row>
    <row r="795" spans="1:6">
      <c r="A795" s="2059" t="str">
        <f>_xlfn.XLOOKUP(C795,'Price Record'!$C$5:$C$102,'Price Record'!$D$5:$D$102,"")</f>
        <v/>
      </c>
      <c r="B795" t="s">
        <v>2971</v>
      </c>
      <c r="C795" t="s">
        <v>2972</v>
      </c>
      <c r="D795" t="s">
        <v>192</v>
      </c>
      <c r="E795">
        <f>_xlfn.XLOOKUP(C795,'دیده بان بازار'!$A$5:$A$2990,'دیده بان بازار'!$Q$5:$Q$2990,"")</f>
        <v>3.29</v>
      </c>
      <c r="F795" s="428" t="str">
        <f t="shared" si="12"/>
        <v/>
      </c>
    </row>
    <row r="796" spans="1:6">
      <c r="A796" s="2059" t="str">
        <f>_xlfn.XLOOKUP(C796,'Price Record'!$C$5:$C$102,'Price Record'!$D$5:$D$102,"")</f>
        <v/>
      </c>
      <c r="B796" t="s">
        <v>2973</v>
      </c>
      <c r="C796" t="s">
        <v>2974</v>
      </c>
      <c r="D796" t="s">
        <v>192</v>
      </c>
      <c r="E796">
        <f>_xlfn.XLOOKUP(C796,'دیده بان بازار'!$A$5:$A$2990,'دیده بان بازار'!$Q$5:$Q$2990,"")</f>
        <v>-42.66</v>
      </c>
      <c r="F796" s="428" t="str">
        <f t="shared" si="12"/>
        <v/>
      </c>
    </row>
    <row r="797" spans="1:6">
      <c r="A797" s="2059" t="str">
        <f>_xlfn.XLOOKUP(C797,'Price Record'!$C$5:$C$102,'Price Record'!$D$5:$D$102,"")</f>
        <v/>
      </c>
      <c r="B797" t="s">
        <v>2975</v>
      </c>
      <c r="C797" t="s">
        <v>2976</v>
      </c>
      <c r="D797" t="s">
        <v>192</v>
      </c>
      <c r="E797">
        <f>_xlfn.XLOOKUP(C797,'دیده بان بازار'!$A$5:$A$2990,'دیده بان بازار'!$Q$5:$Q$2990,"")</f>
        <v>8.57</v>
      </c>
      <c r="F797" s="428" t="str">
        <f t="shared" si="12"/>
        <v/>
      </c>
    </row>
    <row r="798" spans="1:6">
      <c r="A798" s="2059" t="str">
        <f>_xlfn.XLOOKUP(C798,'Price Record'!$C$5:$C$102,'Price Record'!$D$5:$D$102,"")</f>
        <v/>
      </c>
      <c r="B798" t="s">
        <v>2977</v>
      </c>
      <c r="C798" t="s">
        <v>2978</v>
      </c>
      <c r="D798" t="s">
        <v>192</v>
      </c>
      <c r="E798">
        <f>_xlfn.XLOOKUP(C798,'دیده بان بازار'!$A$5:$A$2990,'دیده بان بازار'!$Q$5:$Q$2990,"")</f>
        <v>5.18</v>
      </c>
      <c r="F798" s="428" t="str">
        <f t="shared" si="12"/>
        <v/>
      </c>
    </row>
    <row r="799" spans="1:6">
      <c r="A799" s="2059" t="str">
        <f>_xlfn.XLOOKUP(C799,'Price Record'!$C$5:$C$102,'Price Record'!$D$5:$D$102,"")</f>
        <v/>
      </c>
      <c r="B799" t="s">
        <v>2979</v>
      </c>
      <c r="C799" t="s">
        <v>2980</v>
      </c>
      <c r="D799" t="s">
        <v>192</v>
      </c>
      <c r="E799">
        <f>_xlfn.XLOOKUP(C799,'دیده بان بازار'!$A$5:$A$2990,'دیده بان بازار'!$Q$5:$Q$2990,"")</f>
        <v>10.96</v>
      </c>
      <c r="F799" s="428" t="str">
        <f t="shared" si="12"/>
        <v/>
      </c>
    </row>
    <row r="800" spans="1:6">
      <c r="A800" s="2059" t="str">
        <f>_xlfn.XLOOKUP(C800,'Price Record'!$C$5:$C$102,'Price Record'!$D$5:$D$102,"")</f>
        <v/>
      </c>
      <c r="B800" t="s">
        <v>2981</v>
      </c>
      <c r="C800" t="s">
        <v>2982</v>
      </c>
      <c r="D800" t="s">
        <v>192</v>
      </c>
      <c r="E800">
        <f>_xlfn.XLOOKUP(C800,'دیده بان بازار'!$A$5:$A$2990,'دیده بان بازار'!$Q$5:$Q$2990,"")</f>
        <v>6.27</v>
      </c>
      <c r="F800" s="428" t="str">
        <f t="shared" si="12"/>
        <v/>
      </c>
    </row>
    <row r="801" spans="1:6">
      <c r="A801" s="2059" t="str">
        <f>_xlfn.XLOOKUP(C801,'Price Record'!$C$5:$C$102,'Price Record'!$D$5:$D$102,"")</f>
        <v/>
      </c>
      <c r="B801" t="s">
        <v>2983</v>
      </c>
      <c r="C801" t="s">
        <v>2984</v>
      </c>
      <c r="D801" t="s">
        <v>192</v>
      </c>
      <c r="E801">
        <f>_xlfn.XLOOKUP(C801,'دیده بان بازار'!$A$5:$A$2990,'دیده بان بازار'!$Q$5:$Q$2990,"")</f>
        <v>11.14</v>
      </c>
      <c r="F801" s="428" t="str">
        <f t="shared" si="12"/>
        <v/>
      </c>
    </row>
    <row r="802" spans="1:6">
      <c r="A802" s="2059" t="str">
        <f>_xlfn.XLOOKUP(C802,'Price Record'!$C$5:$C$102,'Price Record'!$D$5:$D$102,"")</f>
        <v/>
      </c>
      <c r="B802" t="s">
        <v>2985</v>
      </c>
      <c r="C802" t="s">
        <v>2986</v>
      </c>
      <c r="D802" t="s">
        <v>192</v>
      </c>
      <c r="E802">
        <f>_xlfn.XLOOKUP(C802,'دیده بان بازار'!$A$5:$A$2990,'دیده بان بازار'!$Q$5:$Q$2990,"")</f>
        <v>5.71</v>
      </c>
      <c r="F802" s="428" t="str">
        <f t="shared" si="12"/>
        <v/>
      </c>
    </row>
    <row r="803" spans="1:6">
      <c r="A803" s="2059" t="str">
        <f>_xlfn.XLOOKUP(C803,'Price Record'!$C$5:$C$102,'Price Record'!$D$5:$D$102,"")</f>
        <v/>
      </c>
      <c r="B803" t="s">
        <v>2987</v>
      </c>
      <c r="C803" t="s">
        <v>2988</v>
      </c>
      <c r="D803" t="s">
        <v>192</v>
      </c>
      <c r="E803">
        <f>_xlfn.XLOOKUP(C803,'دیده بان بازار'!$A$5:$A$2990,'دیده بان بازار'!$Q$5:$Q$2990,"")</f>
        <v>8.81</v>
      </c>
      <c r="F803" s="428" t="str">
        <f t="shared" si="12"/>
        <v/>
      </c>
    </row>
    <row r="804" spans="1:6">
      <c r="A804" s="2059" t="str">
        <f>_xlfn.XLOOKUP(C804,'Price Record'!$C$5:$C$102,'Price Record'!$D$5:$D$102,"")</f>
        <v/>
      </c>
      <c r="B804" t="s">
        <v>2989</v>
      </c>
      <c r="C804" t="s">
        <v>2990</v>
      </c>
      <c r="D804" t="s">
        <v>192</v>
      </c>
      <c r="E804">
        <f>_xlfn.XLOOKUP(C804,'دیده بان بازار'!$A$5:$A$2990,'دیده بان بازار'!$Q$5:$Q$2990,"")</f>
        <v>3.95</v>
      </c>
      <c r="F804" s="428" t="str">
        <f t="shared" si="12"/>
        <v/>
      </c>
    </row>
    <row r="805" spans="1:6">
      <c r="A805" s="2059" t="str">
        <f>_xlfn.XLOOKUP(C805,'Price Record'!$C$5:$C$102,'Price Record'!$D$5:$D$102,"")</f>
        <v/>
      </c>
      <c r="B805" t="s">
        <v>2991</v>
      </c>
      <c r="C805" t="s">
        <v>2992</v>
      </c>
      <c r="D805" t="s">
        <v>192</v>
      </c>
      <c r="E805">
        <f>_xlfn.XLOOKUP(C805,'دیده بان بازار'!$A$5:$A$2990,'دیده بان بازار'!$Q$5:$Q$2990,"")</f>
        <v>1243</v>
      </c>
      <c r="F805" s="428" t="str">
        <f t="shared" si="12"/>
        <v/>
      </c>
    </row>
    <row r="806" spans="1:6">
      <c r="A806" s="2059" t="str">
        <f>_xlfn.XLOOKUP(C806,'Price Record'!$C$5:$C$102,'Price Record'!$D$5:$D$102,"")</f>
        <v/>
      </c>
      <c r="B806" t="s">
        <v>2993</v>
      </c>
      <c r="C806" t="s">
        <v>2994</v>
      </c>
      <c r="D806" t="s">
        <v>192</v>
      </c>
      <c r="E806">
        <f>_xlfn.XLOOKUP(C806,'دیده بان بازار'!$A$5:$A$2990,'دیده بان بازار'!$Q$5:$Q$2990,"")</f>
        <v>22.98</v>
      </c>
      <c r="F806" s="428" t="str">
        <f t="shared" si="12"/>
        <v/>
      </c>
    </row>
    <row r="807" spans="1:6">
      <c r="A807" s="2059" t="str">
        <f>_xlfn.XLOOKUP(C807,'Price Record'!$C$5:$C$102,'Price Record'!$D$5:$D$102,"")</f>
        <v/>
      </c>
      <c r="B807" t="s">
        <v>2993</v>
      </c>
      <c r="C807" t="s">
        <v>2995</v>
      </c>
      <c r="D807" t="s">
        <v>192</v>
      </c>
      <c r="E807" t="str">
        <f>_xlfn.XLOOKUP(C807,'دیده بان بازار'!$A$5:$A$2990,'دیده بان بازار'!$Q$5:$Q$2990,"")</f>
        <v/>
      </c>
      <c r="F807" s="428" t="str">
        <f t="shared" si="12"/>
        <v/>
      </c>
    </row>
    <row r="808" spans="1:6">
      <c r="A808" s="2059" t="str">
        <f>_xlfn.XLOOKUP(C808,'Price Record'!$C$5:$C$102,'Price Record'!$D$5:$D$102,"")</f>
        <v/>
      </c>
      <c r="B808" t="s">
        <v>2996</v>
      </c>
      <c r="C808" t="s">
        <v>2997</v>
      </c>
      <c r="D808" t="s">
        <v>192</v>
      </c>
      <c r="E808">
        <f>_xlfn.XLOOKUP(C808,'دیده بان بازار'!$A$5:$A$2990,'دیده بان بازار'!$Q$5:$Q$2990,"")</f>
        <v>2.0699999999999998</v>
      </c>
      <c r="F808" s="428" t="str">
        <f t="shared" si="12"/>
        <v/>
      </c>
    </row>
    <row r="809" spans="1:6">
      <c r="A809" s="2059" t="str">
        <f>_xlfn.XLOOKUP(C809,'Price Record'!$C$5:$C$102,'Price Record'!$D$5:$D$102,"")</f>
        <v/>
      </c>
      <c r="B809" t="s">
        <v>2996</v>
      </c>
      <c r="C809" t="s">
        <v>2998</v>
      </c>
      <c r="D809" t="s">
        <v>192</v>
      </c>
      <c r="E809">
        <f>_xlfn.XLOOKUP(C809,'دیده بان بازار'!$A$5:$A$2990,'دیده بان بازار'!$Q$5:$Q$2990,"")</f>
        <v>2.0699999999999998</v>
      </c>
      <c r="F809" s="428" t="str">
        <f t="shared" si="12"/>
        <v/>
      </c>
    </row>
    <row r="810" spans="1:6">
      <c r="A810" s="2059" t="str">
        <f>_xlfn.XLOOKUP(C810,'Price Record'!$C$5:$C$102,'Price Record'!$D$5:$D$102,"")</f>
        <v/>
      </c>
      <c r="B810" t="s">
        <v>2999</v>
      </c>
      <c r="C810" t="s">
        <v>3000</v>
      </c>
      <c r="D810" t="s">
        <v>192</v>
      </c>
      <c r="E810">
        <f>_xlfn.XLOOKUP(C810,'دیده بان بازار'!$A$5:$A$2990,'دیده بان بازار'!$Q$5:$Q$2990,"")</f>
        <v>12.44</v>
      </c>
      <c r="F810" s="428" t="str">
        <f t="shared" si="12"/>
        <v/>
      </c>
    </row>
    <row r="811" spans="1:6">
      <c r="A811" s="2059" t="str">
        <f>_xlfn.XLOOKUP(C811,'Price Record'!$C$5:$C$102,'Price Record'!$D$5:$D$102,"")</f>
        <v/>
      </c>
      <c r="B811" t="s">
        <v>3001</v>
      </c>
      <c r="C811" t="s">
        <v>3002</v>
      </c>
      <c r="D811" t="s">
        <v>192</v>
      </c>
      <c r="E811">
        <f>_xlfn.XLOOKUP(C811,'دیده بان بازار'!$A$5:$A$2990,'دیده بان بازار'!$Q$5:$Q$2990,"")</f>
        <v>-2.14</v>
      </c>
      <c r="F811" s="428" t="str">
        <f t="shared" si="12"/>
        <v/>
      </c>
    </row>
    <row r="812" spans="1:6">
      <c r="A812" s="2059" t="str">
        <f>_xlfn.XLOOKUP(C812,'Price Record'!$C$5:$C$102,'Price Record'!$D$5:$D$102,"")</f>
        <v/>
      </c>
      <c r="B812" t="s">
        <v>3003</v>
      </c>
      <c r="C812" t="s">
        <v>3004</v>
      </c>
      <c r="D812" t="s">
        <v>192</v>
      </c>
      <c r="E812">
        <f>_xlfn.XLOOKUP(C812,'دیده بان بازار'!$A$5:$A$2990,'دیده بان بازار'!$Q$5:$Q$2990,"")</f>
        <v>3.55</v>
      </c>
      <c r="F812" s="428" t="str">
        <f t="shared" si="12"/>
        <v/>
      </c>
    </row>
    <row r="813" spans="1:6">
      <c r="A813" s="2059" t="str">
        <f>_xlfn.XLOOKUP(C813,'Price Record'!$C$5:$C$102,'Price Record'!$D$5:$D$102,"")</f>
        <v/>
      </c>
      <c r="B813" t="s">
        <v>3005</v>
      </c>
      <c r="C813" t="s">
        <v>3006</v>
      </c>
      <c r="D813" t="s">
        <v>192</v>
      </c>
      <c r="E813">
        <f>_xlfn.XLOOKUP(C813,'دیده بان بازار'!$A$5:$A$2990,'دیده بان بازار'!$Q$5:$Q$2990,"")</f>
        <v>4.08</v>
      </c>
      <c r="F813" s="428" t="str">
        <f t="shared" si="12"/>
        <v/>
      </c>
    </row>
    <row r="814" spans="1:6">
      <c r="A814" s="2059" t="str">
        <f>_xlfn.XLOOKUP(C814,'Price Record'!$C$5:$C$102,'Price Record'!$D$5:$D$102,"")</f>
        <v/>
      </c>
      <c r="B814" t="s">
        <v>3005</v>
      </c>
      <c r="C814" t="s">
        <v>3007</v>
      </c>
      <c r="D814" t="s">
        <v>192</v>
      </c>
      <c r="E814">
        <f>_xlfn.XLOOKUP(C814,'دیده بان بازار'!$A$5:$A$2990,'دیده بان بازار'!$Q$5:$Q$2990,"")</f>
        <v>4.08</v>
      </c>
      <c r="F814" s="428" t="str">
        <f t="shared" si="12"/>
        <v/>
      </c>
    </row>
    <row r="815" spans="1:6">
      <c r="A815" s="2059" t="str">
        <f>_xlfn.XLOOKUP(C815,'Price Record'!$C$5:$C$102,'Price Record'!$D$5:$D$102,"")</f>
        <v/>
      </c>
      <c r="B815" t="s">
        <v>3008</v>
      </c>
      <c r="C815" t="s">
        <v>3009</v>
      </c>
      <c r="D815" t="s">
        <v>192</v>
      </c>
      <c r="E815">
        <f>_xlfn.XLOOKUP(C815,'دیده بان بازار'!$A$5:$A$2990,'دیده بان بازار'!$Q$5:$Q$2990,"")</f>
        <v>3.2</v>
      </c>
      <c r="F815" s="428" t="str">
        <f t="shared" si="12"/>
        <v/>
      </c>
    </row>
    <row r="816" spans="1:6">
      <c r="A816" s="2059" t="str">
        <f>_xlfn.XLOOKUP(C816,'Price Record'!$C$5:$C$102,'Price Record'!$D$5:$D$102,"")</f>
        <v/>
      </c>
      <c r="B816" t="s">
        <v>3008</v>
      </c>
      <c r="C816" t="s">
        <v>3010</v>
      </c>
      <c r="D816" t="s">
        <v>192</v>
      </c>
      <c r="E816" t="str">
        <f>_xlfn.XLOOKUP(C816,'دیده بان بازار'!$A$5:$A$2990,'دیده بان بازار'!$Q$5:$Q$2990,"")</f>
        <v/>
      </c>
      <c r="F816" s="428" t="str">
        <f t="shared" si="12"/>
        <v/>
      </c>
    </row>
    <row r="817" spans="1:6">
      <c r="A817" s="2059" t="str">
        <f>_xlfn.XLOOKUP(C817,'Price Record'!$C$5:$C$102,'Price Record'!$D$5:$D$102,"")</f>
        <v/>
      </c>
      <c r="B817" t="s">
        <v>3011</v>
      </c>
      <c r="C817" t="s">
        <v>3012</v>
      </c>
      <c r="D817" t="s">
        <v>192</v>
      </c>
      <c r="E817">
        <f>_xlfn.XLOOKUP(C817,'دیده بان بازار'!$A$5:$A$2990,'دیده بان بازار'!$Q$5:$Q$2990,"")</f>
        <v>47.3</v>
      </c>
      <c r="F817" s="428" t="str">
        <f t="shared" si="12"/>
        <v/>
      </c>
    </row>
    <row r="818" spans="1:6">
      <c r="A818" s="2059" t="str">
        <f>_xlfn.XLOOKUP(C818,'Price Record'!$C$5:$C$102,'Price Record'!$D$5:$D$102,"")</f>
        <v/>
      </c>
      <c r="B818" t="s">
        <v>3013</v>
      </c>
      <c r="C818" t="s">
        <v>3014</v>
      </c>
      <c r="D818" t="s">
        <v>192</v>
      </c>
      <c r="E818">
        <f>_xlfn.XLOOKUP(C818,'دیده بان بازار'!$A$5:$A$2990,'دیده بان بازار'!$Q$5:$Q$2990,"")</f>
        <v>4.75</v>
      </c>
      <c r="F818" s="428" t="str">
        <f t="shared" si="12"/>
        <v/>
      </c>
    </row>
    <row r="819" spans="1:6">
      <c r="A819" s="2059" t="str">
        <f>_xlfn.XLOOKUP(C819,'Price Record'!$C$5:$C$102,'Price Record'!$D$5:$D$102,"")</f>
        <v/>
      </c>
      <c r="B819" t="s">
        <v>3015</v>
      </c>
      <c r="C819" t="s">
        <v>3016</v>
      </c>
      <c r="D819" t="s">
        <v>192</v>
      </c>
      <c r="E819">
        <f>_xlfn.XLOOKUP(C819,'دیده بان بازار'!$A$5:$A$2990,'دیده بان بازار'!$Q$5:$Q$2990,"")</f>
        <v>7.28</v>
      </c>
      <c r="F819" s="428" t="str">
        <f t="shared" si="12"/>
        <v/>
      </c>
    </row>
    <row r="820" spans="1:6">
      <c r="A820" s="2059" t="str">
        <f>_xlfn.XLOOKUP(C820,'Price Record'!$C$5:$C$102,'Price Record'!$D$5:$D$102,"")</f>
        <v/>
      </c>
      <c r="B820" t="s">
        <v>3017</v>
      </c>
      <c r="C820" t="s">
        <v>3018</v>
      </c>
      <c r="D820" t="s">
        <v>192</v>
      </c>
      <c r="E820">
        <f>_xlfn.XLOOKUP(C820,'دیده بان بازار'!$A$5:$A$2990,'دیده بان بازار'!$Q$5:$Q$2990,"")</f>
        <v>20.43</v>
      </c>
      <c r="F820" s="428" t="str">
        <f t="shared" si="12"/>
        <v/>
      </c>
    </row>
    <row r="821" spans="1:6">
      <c r="A821" s="2059" t="str">
        <f>_xlfn.XLOOKUP(C821,'Price Record'!$C$5:$C$102,'Price Record'!$D$5:$D$102,"")</f>
        <v/>
      </c>
      <c r="B821" t="s">
        <v>3019</v>
      </c>
      <c r="C821" t="s">
        <v>3020</v>
      </c>
      <c r="D821" t="s">
        <v>192</v>
      </c>
      <c r="E821">
        <f>_xlfn.XLOOKUP(C821,'دیده بان بازار'!$A$5:$A$2990,'دیده بان بازار'!$Q$5:$Q$2990,"")</f>
        <v>-0.9</v>
      </c>
      <c r="F821" s="428" t="str">
        <f t="shared" si="12"/>
        <v/>
      </c>
    </row>
    <row r="822" spans="1:6">
      <c r="A822" s="2062" t="str">
        <f>_xlfn.XLOOKUP(C822,'Price Record'!$C$5:$C$102,'Price Record'!$D$5:$D$102,"")</f>
        <v>B</v>
      </c>
      <c r="B822" s="1445" t="s">
        <v>202</v>
      </c>
      <c r="C822" s="1445" t="s">
        <v>203</v>
      </c>
      <c r="D822" s="1445" t="s">
        <v>192</v>
      </c>
      <c r="E822" s="1445">
        <f>_xlfn.XLOOKUP(C822,'دیده بان بازار'!$A$5:$A$2990,'دیده بان بازار'!$Q$5:$Q$2990,"")</f>
        <v>4.79</v>
      </c>
      <c r="F822" s="2063" t="str">
        <f t="shared" si="12"/>
        <v/>
      </c>
    </row>
    <row r="823" spans="1:6">
      <c r="A823" s="2059" t="str">
        <f>_xlfn.XLOOKUP(C823,'Price Record'!$C$5:$C$102,'Price Record'!$D$5:$D$102,"")</f>
        <v/>
      </c>
      <c r="B823" t="s">
        <v>3021</v>
      </c>
      <c r="C823" t="s">
        <v>3022</v>
      </c>
      <c r="D823" t="s">
        <v>192</v>
      </c>
      <c r="E823">
        <f>_xlfn.XLOOKUP(C823,'دیده بان بازار'!$A$5:$A$2990,'دیده بان بازار'!$Q$5:$Q$2990,"")</f>
        <v>-856.07</v>
      </c>
      <c r="F823" s="428" t="str">
        <f t="shared" si="12"/>
        <v/>
      </c>
    </row>
    <row r="824" spans="1:6">
      <c r="A824" s="2059" t="str">
        <f>_xlfn.XLOOKUP(C824,'Price Record'!$C$5:$C$102,'Price Record'!$D$5:$D$102,"")</f>
        <v/>
      </c>
      <c r="B824" t="s">
        <v>3023</v>
      </c>
      <c r="C824" t="s">
        <v>3024</v>
      </c>
      <c r="D824" t="s">
        <v>192</v>
      </c>
      <c r="E824">
        <f>_xlfn.XLOOKUP(C824,'دیده بان بازار'!$A$5:$A$2990,'دیده بان بازار'!$Q$5:$Q$2990,"")</f>
        <v>5.73</v>
      </c>
      <c r="F824" s="428" t="str">
        <f t="shared" si="12"/>
        <v/>
      </c>
    </row>
    <row r="825" spans="1:6">
      <c r="A825" s="2059" t="str">
        <f>_xlfn.XLOOKUP(C825,'Price Record'!$C$5:$C$102,'Price Record'!$D$5:$D$102,"")</f>
        <v/>
      </c>
      <c r="B825" t="s">
        <v>3025</v>
      </c>
      <c r="C825" t="s">
        <v>3026</v>
      </c>
      <c r="D825" t="s">
        <v>192</v>
      </c>
      <c r="E825">
        <f>_xlfn.XLOOKUP(C825,'دیده بان بازار'!$A$5:$A$2990,'دیده بان بازار'!$Q$5:$Q$2990,"")</f>
        <v>5.28</v>
      </c>
      <c r="F825" s="428" t="str">
        <f t="shared" si="12"/>
        <v/>
      </c>
    </row>
    <row r="826" spans="1:6">
      <c r="A826" s="2059" t="str">
        <f>_xlfn.XLOOKUP(C826,'Price Record'!$C$5:$C$102,'Price Record'!$D$5:$D$102,"")</f>
        <v/>
      </c>
      <c r="B826" t="s">
        <v>3027</v>
      </c>
      <c r="C826" t="s">
        <v>3028</v>
      </c>
      <c r="D826" t="s">
        <v>192</v>
      </c>
      <c r="E826">
        <f>_xlfn.XLOOKUP(C826,'دیده بان بازار'!$A$5:$A$2990,'دیده بان بازار'!$Q$5:$Q$2990,"")</f>
        <v>5.25</v>
      </c>
      <c r="F826" s="428" t="str">
        <f t="shared" si="12"/>
        <v/>
      </c>
    </row>
    <row r="827" spans="1:6">
      <c r="A827" s="2059" t="str">
        <f>_xlfn.XLOOKUP(C827,'Price Record'!$C$5:$C$102,'Price Record'!$D$5:$D$102,"")</f>
        <v/>
      </c>
      <c r="B827" t="s">
        <v>3027</v>
      </c>
      <c r="C827" t="s">
        <v>3029</v>
      </c>
      <c r="D827" t="s">
        <v>192</v>
      </c>
      <c r="E827" t="str">
        <f>_xlfn.XLOOKUP(C827,'دیده بان بازار'!$A$5:$A$2990,'دیده بان بازار'!$Q$5:$Q$2990,"")</f>
        <v/>
      </c>
      <c r="F827" s="428" t="str">
        <f t="shared" si="12"/>
        <v/>
      </c>
    </row>
    <row r="828" spans="1:6">
      <c r="A828" s="2059" t="str">
        <f>_xlfn.XLOOKUP(C828,'Price Record'!$C$5:$C$102,'Price Record'!$D$5:$D$102,"")</f>
        <v/>
      </c>
      <c r="B828" t="s">
        <v>3027</v>
      </c>
      <c r="C828" t="s">
        <v>3030</v>
      </c>
      <c r="D828" t="s">
        <v>192</v>
      </c>
      <c r="E828" t="str">
        <f>_xlfn.XLOOKUP(C828,'دیده بان بازار'!$A$5:$A$2990,'دیده بان بازار'!$Q$5:$Q$2990,"")</f>
        <v/>
      </c>
      <c r="F828" s="428" t="str">
        <f t="shared" si="12"/>
        <v/>
      </c>
    </row>
    <row r="829" spans="1:6">
      <c r="A829" s="2059" t="str">
        <f>_xlfn.XLOOKUP(C829,'Price Record'!$C$5:$C$102,'Price Record'!$D$5:$D$102,"")</f>
        <v/>
      </c>
      <c r="B829" t="s">
        <v>3031</v>
      </c>
      <c r="C829" t="s">
        <v>3032</v>
      </c>
      <c r="D829" t="s">
        <v>192</v>
      </c>
      <c r="E829">
        <f>_xlfn.XLOOKUP(C829,'دیده بان بازار'!$A$5:$A$2990,'دیده بان بازار'!$Q$5:$Q$2990,"")</f>
        <v>2.58</v>
      </c>
      <c r="F829" s="428" t="str">
        <f t="shared" si="12"/>
        <v/>
      </c>
    </row>
    <row r="830" spans="1:6">
      <c r="A830" s="2059" t="str">
        <f>_xlfn.XLOOKUP(C830,'Price Record'!$C$5:$C$102,'Price Record'!$D$5:$D$102,"")</f>
        <v/>
      </c>
      <c r="B830" t="s">
        <v>3033</v>
      </c>
      <c r="C830" t="s">
        <v>3034</v>
      </c>
      <c r="D830" t="s">
        <v>192</v>
      </c>
      <c r="E830">
        <f>_xlfn.XLOOKUP(C830,'دیده بان بازار'!$A$5:$A$2990,'دیده بان بازار'!$Q$5:$Q$2990,"")</f>
        <v>8.11</v>
      </c>
      <c r="F830" s="428" t="str">
        <f t="shared" si="12"/>
        <v/>
      </c>
    </row>
    <row r="831" spans="1:6">
      <c r="A831" s="2059" t="str">
        <f>_xlfn.XLOOKUP(C831,'Price Record'!$C$5:$C$102,'Price Record'!$D$5:$D$102,"")</f>
        <v/>
      </c>
      <c r="B831" t="s">
        <v>3035</v>
      </c>
      <c r="C831" t="s">
        <v>3036</v>
      </c>
      <c r="D831" t="s">
        <v>192</v>
      </c>
      <c r="E831">
        <f>_xlfn.XLOOKUP(C831,'دیده بان بازار'!$A$5:$A$2990,'دیده بان بازار'!$Q$5:$Q$2990,"")</f>
        <v>7.81</v>
      </c>
      <c r="F831" s="428" t="str">
        <f t="shared" si="12"/>
        <v/>
      </c>
    </row>
    <row r="832" spans="1:6">
      <c r="A832" s="2059" t="str">
        <f>_xlfn.XLOOKUP(C832,'Price Record'!$C$5:$C$102,'Price Record'!$D$5:$D$102,"")</f>
        <v/>
      </c>
      <c r="B832" t="s">
        <v>3035</v>
      </c>
      <c r="C832" t="s">
        <v>3037</v>
      </c>
      <c r="D832" t="s">
        <v>192</v>
      </c>
      <c r="E832" t="str">
        <f>_xlfn.XLOOKUP(C832,'دیده بان بازار'!$A$5:$A$2990,'دیده بان بازار'!$Q$5:$Q$2990,"")</f>
        <v/>
      </c>
      <c r="F832" s="428" t="str">
        <f t="shared" si="12"/>
        <v/>
      </c>
    </row>
    <row r="833" spans="1:6">
      <c r="A833" s="2059" t="str">
        <f>_xlfn.XLOOKUP(C833,'Price Record'!$C$5:$C$102,'Price Record'!$D$5:$D$102,"")</f>
        <v/>
      </c>
      <c r="B833" t="s">
        <v>3038</v>
      </c>
      <c r="C833" t="s">
        <v>3039</v>
      </c>
      <c r="D833" t="s">
        <v>192</v>
      </c>
      <c r="E833">
        <f>_xlfn.XLOOKUP(C833,'دیده بان بازار'!$A$5:$A$2990,'دیده بان بازار'!$Q$5:$Q$2990,"")</f>
        <v>2.78</v>
      </c>
      <c r="F833" s="428" t="str">
        <f t="shared" si="12"/>
        <v/>
      </c>
    </row>
    <row r="834" spans="1:6">
      <c r="A834" s="2059" t="str">
        <f>_xlfn.XLOOKUP(C834,'Price Record'!$C$5:$C$102,'Price Record'!$D$5:$D$102,"")</f>
        <v/>
      </c>
      <c r="B834" t="s">
        <v>3040</v>
      </c>
      <c r="C834" t="s">
        <v>3041</v>
      </c>
      <c r="D834" t="s">
        <v>192</v>
      </c>
      <c r="E834">
        <f>_xlfn.XLOOKUP(C834,'دیده بان بازار'!$A$5:$A$2990,'دیده بان بازار'!$Q$5:$Q$2990,"")</f>
        <v>-61.87</v>
      </c>
      <c r="F834" s="428" t="str">
        <f t="shared" si="12"/>
        <v/>
      </c>
    </row>
    <row r="835" spans="1:6">
      <c r="A835" s="2059" t="str">
        <f>_xlfn.XLOOKUP(C835,'Price Record'!$C$5:$C$102,'Price Record'!$D$5:$D$102,"")</f>
        <v/>
      </c>
      <c r="B835" t="s">
        <v>3042</v>
      </c>
      <c r="C835" t="s">
        <v>3043</v>
      </c>
      <c r="D835" t="s">
        <v>192</v>
      </c>
      <c r="E835">
        <f>_xlfn.XLOOKUP(C835,'دیده بان بازار'!$A$5:$A$2990,'دیده بان بازار'!$Q$5:$Q$2990,"")</f>
        <v>10.130000000000001</v>
      </c>
      <c r="F835" s="428" t="str">
        <f t="shared" si="12"/>
        <v/>
      </c>
    </row>
    <row r="836" spans="1:6">
      <c r="A836" s="2059" t="str">
        <f>_xlfn.XLOOKUP(C836,'Price Record'!$C$5:$C$102,'Price Record'!$D$5:$D$102,"")</f>
        <v/>
      </c>
      <c r="B836" t="s">
        <v>3044</v>
      </c>
      <c r="C836" t="s">
        <v>3045</v>
      </c>
      <c r="D836" t="s">
        <v>192</v>
      </c>
      <c r="E836">
        <f>_xlfn.XLOOKUP(C836,'دیده بان بازار'!$A$5:$A$2990,'دیده بان بازار'!$Q$5:$Q$2990,"")</f>
        <v>7.8</v>
      </c>
      <c r="F836" s="428" t="str">
        <f t="shared" ref="F836:F882" si="13">IFERROR(IF(0&lt;E836,IF(E836&lt;20,E836-D836,""),""),"")</f>
        <v/>
      </c>
    </row>
    <row r="837" spans="1:6">
      <c r="A837" s="2059" t="str">
        <f>_xlfn.XLOOKUP(C837,'Price Record'!$C$5:$C$102,'Price Record'!$D$5:$D$102,"")</f>
        <v/>
      </c>
      <c r="B837" t="s">
        <v>3046</v>
      </c>
      <c r="C837" t="s">
        <v>3047</v>
      </c>
      <c r="D837" t="s">
        <v>192</v>
      </c>
      <c r="E837">
        <f>_xlfn.XLOOKUP(C837,'دیده بان بازار'!$A$5:$A$2990,'دیده بان بازار'!$Q$5:$Q$2990,"")</f>
        <v>5.74</v>
      </c>
      <c r="F837" s="428" t="str">
        <f t="shared" si="13"/>
        <v/>
      </c>
    </row>
    <row r="838" spans="1:6">
      <c r="A838" s="2059" t="str">
        <f>_xlfn.XLOOKUP(C838,'Price Record'!$C$5:$C$102,'Price Record'!$D$5:$D$102,"")</f>
        <v/>
      </c>
      <c r="B838" t="s">
        <v>3048</v>
      </c>
      <c r="C838" t="s">
        <v>3049</v>
      </c>
      <c r="D838" t="s">
        <v>192</v>
      </c>
      <c r="E838">
        <f>_xlfn.XLOOKUP(C838,'دیده بان بازار'!$A$5:$A$2990,'دیده بان بازار'!$Q$5:$Q$2990,"")</f>
        <v>4.41</v>
      </c>
      <c r="F838" s="428" t="str">
        <f t="shared" si="13"/>
        <v/>
      </c>
    </row>
    <row r="839" spans="1:6">
      <c r="A839" s="2059" t="str">
        <f>_xlfn.XLOOKUP(C839,'Price Record'!$C$5:$C$102,'Price Record'!$D$5:$D$102,"")</f>
        <v/>
      </c>
      <c r="B839" t="s">
        <v>3048</v>
      </c>
      <c r="C839" t="s">
        <v>3050</v>
      </c>
      <c r="D839" t="s">
        <v>192</v>
      </c>
      <c r="E839">
        <f>_xlfn.XLOOKUP(C839,'دیده بان بازار'!$A$5:$A$2990,'دیده بان بازار'!$Q$5:$Q$2990,"")</f>
        <v>4.41</v>
      </c>
      <c r="F839" s="428" t="str">
        <f t="shared" si="13"/>
        <v/>
      </c>
    </row>
    <row r="840" spans="1:6">
      <c r="A840" s="2059" t="str">
        <f>_xlfn.XLOOKUP(C840,'Price Record'!$C$5:$C$102,'Price Record'!$D$5:$D$102,"")</f>
        <v/>
      </c>
      <c r="B840" t="s">
        <v>3051</v>
      </c>
      <c r="C840" t="s">
        <v>3052</v>
      </c>
      <c r="D840" t="s">
        <v>192</v>
      </c>
      <c r="E840">
        <f>_xlfn.XLOOKUP(C840,'دیده بان بازار'!$A$5:$A$2990,'دیده بان بازار'!$Q$5:$Q$2990,"")</f>
        <v>12.32</v>
      </c>
      <c r="F840" s="428" t="str">
        <f t="shared" si="13"/>
        <v/>
      </c>
    </row>
    <row r="841" spans="1:6">
      <c r="A841" s="2059" t="str">
        <f>_xlfn.XLOOKUP(C841,'Price Record'!$C$5:$C$102,'Price Record'!$D$5:$D$102,"")</f>
        <v/>
      </c>
      <c r="B841" t="s">
        <v>3053</v>
      </c>
      <c r="C841" t="s">
        <v>3054</v>
      </c>
      <c r="D841" t="s">
        <v>192</v>
      </c>
      <c r="E841">
        <f>_xlfn.XLOOKUP(C841,'دیده بان بازار'!$A$5:$A$2990,'دیده بان بازار'!$Q$5:$Q$2990,"")</f>
        <v>1.51</v>
      </c>
      <c r="F841" s="428" t="str">
        <f t="shared" si="13"/>
        <v/>
      </c>
    </row>
    <row r="842" spans="1:6">
      <c r="A842" s="2059" t="str">
        <f>_xlfn.XLOOKUP(C842,'Price Record'!$C$5:$C$102,'Price Record'!$D$5:$D$102,"")</f>
        <v/>
      </c>
      <c r="B842" t="s">
        <v>3055</v>
      </c>
      <c r="C842" t="s">
        <v>3056</v>
      </c>
      <c r="D842" t="s">
        <v>192</v>
      </c>
      <c r="E842">
        <f>_xlfn.XLOOKUP(C842,'دیده بان بازار'!$A$5:$A$2990,'دیده بان بازار'!$Q$5:$Q$2990,"")</f>
        <v>-277.10000000000002</v>
      </c>
      <c r="F842" s="428" t="str">
        <f t="shared" si="13"/>
        <v/>
      </c>
    </row>
    <row r="843" spans="1:6">
      <c r="A843" s="2059" t="str">
        <f>_xlfn.XLOOKUP(C843,'Price Record'!$C$5:$C$102,'Price Record'!$D$5:$D$102,"")</f>
        <v/>
      </c>
      <c r="B843" t="s">
        <v>3057</v>
      </c>
      <c r="C843" t="s">
        <v>3058</v>
      </c>
      <c r="D843" t="s">
        <v>192</v>
      </c>
      <c r="E843">
        <f>_xlfn.XLOOKUP(C843,'دیده بان بازار'!$A$5:$A$2990,'دیده بان بازار'!$Q$5:$Q$2990,"")</f>
        <v>-716</v>
      </c>
      <c r="F843" s="428" t="str">
        <f t="shared" si="13"/>
        <v/>
      </c>
    </row>
    <row r="844" spans="1:6">
      <c r="A844" s="2059" t="str">
        <f>_xlfn.XLOOKUP(C844,'Price Record'!$C$5:$C$102,'Price Record'!$D$5:$D$102,"")</f>
        <v/>
      </c>
      <c r="B844" t="s">
        <v>3059</v>
      </c>
      <c r="C844" t="s">
        <v>3060</v>
      </c>
      <c r="D844" t="s">
        <v>192</v>
      </c>
      <c r="E844">
        <f>_xlfn.XLOOKUP(C844,'دیده بان بازار'!$A$5:$A$2990,'دیده بان بازار'!$Q$5:$Q$2990,"")</f>
        <v>2.83</v>
      </c>
      <c r="F844" s="428" t="str">
        <f t="shared" si="13"/>
        <v/>
      </c>
    </row>
    <row r="845" spans="1:6">
      <c r="A845" s="2059" t="str">
        <f>_xlfn.XLOOKUP(C845,'Price Record'!$C$5:$C$102,'Price Record'!$D$5:$D$102,"")</f>
        <v/>
      </c>
      <c r="B845" t="s">
        <v>3061</v>
      </c>
      <c r="C845" t="s">
        <v>3062</v>
      </c>
      <c r="D845" t="s">
        <v>192</v>
      </c>
      <c r="E845">
        <f>_xlfn.XLOOKUP(C845,'دیده بان بازار'!$A$5:$A$2990,'دیده بان بازار'!$Q$5:$Q$2990,"")</f>
        <v>11.17</v>
      </c>
      <c r="F845" s="428" t="str">
        <f t="shared" si="13"/>
        <v/>
      </c>
    </row>
    <row r="846" spans="1:6">
      <c r="A846" s="2059" t="str">
        <f>_xlfn.XLOOKUP(C846,'Price Record'!$C$5:$C$102,'Price Record'!$D$5:$D$102,"")</f>
        <v/>
      </c>
      <c r="B846" t="s">
        <v>3063</v>
      </c>
      <c r="C846" t="s">
        <v>3064</v>
      </c>
      <c r="D846" t="s">
        <v>192</v>
      </c>
      <c r="E846">
        <f>_xlfn.XLOOKUP(C846,'دیده بان بازار'!$A$5:$A$2990,'دیده بان بازار'!$Q$5:$Q$2990,"")</f>
        <v>9.66</v>
      </c>
      <c r="F846" s="428" t="str">
        <f t="shared" si="13"/>
        <v/>
      </c>
    </row>
    <row r="847" spans="1:6">
      <c r="A847" s="2059" t="str">
        <f>_xlfn.XLOOKUP(C847,'Price Record'!$C$5:$C$102,'Price Record'!$D$5:$D$102,"")</f>
        <v/>
      </c>
      <c r="B847" t="s">
        <v>3065</v>
      </c>
      <c r="C847" t="s">
        <v>3066</v>
      </c>
      <c r="D847" t="s">
        <v>192</v>
      </c>
      <c r="E847">
        <f>_xlfn.XLOOKUP(C847,'دیده بان بازار'!$A$5:$A$2990,'دیده بان بازار'!$Q$5:$Q$2990,"")</f>
        <v>9.43</v>
      </c>
      <c r="F847" s="428" t="str">
        <f t="shared" si="13"/>
        <v/>
      </c>
    </row>
    <row r="848" spans="1:6">
      <c r="A848" s="2059" t="str">
        <f>_xlfn.XLOOKUP(C848,'Price Record'!$C$5:$C$102,'Price Record'!$D$5:$D$102,"")</f>
        <v/>
      </c>
      <c r="B848" t="s">
        <v>3067</v>
      </c>
      <c r="C848" t="s">
        <v>3068</v>
      </c>
      <c r="D848" t="s">
        <v>192</v>
      </c>
      <c r="E848">
        <f>_xlfn.XLOOKUP(C848,'دیده بان بازار'!$A$5:$A$2990,'دیده بان بازار'!$Q$5:$Q$2990,"")</f>
        <v>2.5299999999999998</v>
      </c>
      <c r="F848" s="428" t="str">
        <f t="shared" si="13"/>
        <v/>
      </c>
    </row>
    <row r="849" spans="1:6">
      <c r="A849" s="2059" t="str">
        <f>_xlfn.XLOOKUP(C849,'Price Record'!$C$5:$C$102,'Price Record'!$D$5:$D$102,"")</f>
        <v/>
      </c>
      <c r="B849" t="s">
        <v>3067</v>
      </c>
      <c r="C849" t="s">
        <v>3069</v>
      </c>
      <c r="D849" t="s">
        <v>192</v>
      </c>
      <c r="E849">
        <f>_xlfn.XLOOKUP(C849,'دیده بان بازار'!$A$5:$A$2990,'دیده بان بازار'!$Q$5:$Q$2990,"")</f>
        <v>2.5299999999999998</v>
      </c>
      <c r="F849" s="428" t="str">
        <f t="shared" si="13"/>
        <v/>
      </c>
    </row>
    <row r="850" spans="1:6">
      <c r="A850" s="2059" t="str">
        <f>_xlfn.XLOOKUP(C850,'Price Record'!$C$5:$C$102,'Price Record'!$D$5:$D$102,"")</f>
        <v/>
      </c>
      <c r="B850" t="s">
        <v>3070</v>
      </c>
      <c r="C850" t="s">
        <v>3071</v>
      </c>
      <c r="D850" t="s">
        <v>192</v>
      </c>
      <c r="E850">
        <f>_xlfn.XLOOKUP(C850,'دیده بان بازار'!$A$5:$A$2990,'دیده بان بازار'!$Q$5:$Q$2990,"")</f>
        <v>9.8800000000000008</v>
      </c>
      <c r="F850" s="428" t="str">
        <f t="shared" si="13"/>
        <v/>
      </c>
    </row>
    <row r="851" spans="1:6">
      <c r="A851" s="2059" t="str">
        <f>_xlfn.XLOOKUP(C851,'Price Record'!$C$5:$C$102,'Price Record'!$D$5:$D$102,"")</f>
        <v/>
      </c>
      <c r="B851" t="s">
        <v>3072</v>
      </c>
      <c r="C851" t="s">
        <v>3073</v>
      </c>
      <c r="D851" t="s">
        <v>192</v>
      </c>
      <c r="E851">
        <f>_xlfn.XLOOKUP(C851,'دیده بان بازار'!$A$5:$A$2990,'دیده بان بازار'!$Q$5:$Q$2990,"")</f>
        <v>7.95</v>
      </c>
      <c r="F851" s="428" t="str">
        <f t="shared" si="13"/>
        <v/>
      </c>
    </row>
    <row r="852" spans="1:6">
      <c r="A852" s="2059" t="str">
        <f>_xlfn.XLOOKUP(C852,'Price Record'!$C$5:$C$102,'Price Record'!$D$5:$D$102,"")</f>
        <v/>
      </c>
      <c r="B852" t="s">
        <v>3072</v>
      </c>
      <c r="C852" t="s">
        <v>3074</v>
      </c>
      <c r="D852" t="s">
        <v>192</v>
      </c>
      <c r="E852">
        <f>_xlfn.XLOOKUP(C852,'دیده بان بازار'!$A$5:$A$2990,'دیده بان بازار'!$Q$5:$Q$2990,"")</f>
        <v>7.95</v>
      </c>
      <c r="F852" s="428" t="str">
        <f t="shared" si="13"/>
        <v/>
      </c>
    </row>
    <row r="853" spans="1:6">
      <c r="A853" s="2059" t="str">
        <f>_xlfn.XLOOKUP(C853,'Price Record'!$C$5:$C$102,'Price Record'!$D$5:$D$102,"")</f>
        <v/>
      </c>
      <c r="B853" t="s">
        <v>3075</v>
      </c>
      <c r="C853" t="s">
        <v>3076</v>
      </c>
      <c r="D853" t="s">
        <v>192</v>
      </c>
      <c r="E853">
        <f>_xlfn.XLOOKUP(C853,'دیده بان بازار'!$A$5:$A$2990,'دیده بان بازار'!$Q$5:$Q$2990,"")</f>
        <v>33.340000000000003</v>
      </c>
      <c r="F853" s="428" t="str">
        <f t="shared" si="13"/>
        <v/>
      </c>
    </row>
    <row r="854" spans="1:6">
      <c r="A854" s="2059" t="str">
        <f>_xlfn.XLOOKUP(C854,'Price Record'!$C$5:$C$102,'Price Record'!$D$5:$D$102,"")</f>
        <v/>
      </c>
      <c r="B854" t="s">
        <v>3077</v>
      </c>
      <c r="C854" t="s">
        <v>3078</v>
      </c>
      <c r="D854" t="s">
        <v>192</v>
      </c>
      <c r="E854">
        <f>_xlfn.XLOOKUP(C854,'دیده بان بازار'!$A$5:$A$2990,'دیده بان بازار'!$Q$5:$Q$2990,"")</f>
        <v>10.63</v>
      </c>
      <c r="F854" s="428" t="str">
        <f t="shared" si="13"/>
        <v/>
      </c>
    </row>
    <row r="855" spans="1:6">
      <c r="A855" s="2059" t="str">
        <f>_xlfn.XLOOKUP(C855,'Price Record'!$C$5:$C$102,'Price Record'!$D$5:$D$102,"")</f>
        <v/>
      </c>
      <c r="B855" t="s">
        <v>3079</v>
      </c>
      <c r="C855" t="s">
        <v>3080</v>
      </c>
      <c r="D855" t="s">
        <v>192</v>
      </c>
      <c r="E855">
        <f>_xlfn.XLOOKUP(C855,'دیده بان بازار'!$A$5:$A$2990,'دیده بان بازار'!$Q$5:$Q$2990,"")</f>
        <v>6.97</v>
      </c>
      <c r="F855" s="428" t="str">
        <f t="shared" si="13"/>
        <v/>
      </c>
    </row>
    <row r="856" spans="1:6">
      <c r="A856" s="2059" t="str">
        <f>_xlfn.XLOOKUP(C856,'Price Record'!$C$5:$C$102,'Price Record'!$D$5:$D$102,"")</f>
        <v/>
      </c>
      <c r="B856" t="s">
        <v>3079</v>
      </c>
      <c r="C856" t="s">
        <v>3081</v>
      </c>
      <c r="D856" t="s">
        <v>192</v>
      </c>
      <c r="E856">
        <f>_xlfn.XLOOKUP(C856,'دیده بان بازار'!$A$5:$A$2990,'دیده بان بازار'!$Q$5:$Q$2990,"")</f>
        <v>6.97</v>
      </c>
      <c r="F856" s="428" t="str">
        <f t="shared" si="13"/>
        <v/>
      </c>
    </row>
    <row r="857" spans="1:6">
      <c r="A857" s="2059" t="str">
        <f>_xlfn.XLOOKUP(C857,'Price Record'!$C$5:$C$102,'Price Record'!$D$5:$D$102,"")</f>
        <v/>
      </c>
      <c r="B857" t="s">
        <v>3082</v>
      </c>
      <c r="C857" t="s">
        <v>3083</v>
      </c>
      <c r="D857" t="s">
        <v>192</v>
      </c>
      <c r="E857">
        <f>_xlfn.XLOOKUP(C857,'دیده بان بازار'!$A$5:$A$2990,'دیده بان بازار'!$Q$5:$Q$2990,"")</f>
        <v>26</v>
      </c>
      <c r="F857" s="428" t="str">
        <f t="shared" si="13"/>
        <v/>
      </c>
    </row>
    <row r="858" spans="1:6">
      <c r="A858" s="2059" t="str">
        <f>_xlfn.XLOOKUP(C858,'Price Record'!$C$5:$C$102,'Price Record'!$D$5:$D$102,"")</f>
        <v/>
      </c>
      <c r="B858" t="s">
        <v>3084</v>
      </c>
      <c r="C858" t="s">
        <v>3085</v>
      </c>
      <c r="D858" t="s">
        <v>192</v>
      </c>
      <c r="E858">
        <f>_xlfn.XLOOKUP(C858,'دیده بان بازار'!$A$5:$A$2990,'دیده بان بازار'!$Q$5:$Q$2990,"")</f>
        <v>8.09</v>
      </c>
      <c r="F858" s="428" t="str">
        <f t="shared" si="13"/>
        <v/>
      </c>
    </row>
    <row r="859" spans="1:6">
      <c r="A859" s="2059" t="str">
        <f>_xlfn.XLOOKUP(C859,'Price Record'!$C$5:$C$102,'Price Record'!$D$5:$D$102,"")</f>
        <v/>
      </c>
      <c r="B859" t="s">
        <v>3084</v>
      </c>
      <c r="C859" t="s">
        <v>3086</v>
      </c>
      <c r="D859" t="s">
        <v>192</v>
      </c>
      <c r="E859" t="str">
        <f>_xlfn.XLOOKUP(C859,'دیده بان بازار'!$A$5:$A$2990,'دیده بان بازار'!$Q$5:$Q$2990,"")</f>
        <v/>
      </c>
      <c r="F859" s="428" t="str">
        <f t="shared" si="13"/>
        <v/>
      </c>
    </row>
    <row r="860" spans="1:6">
      <c r="A860" s="2059" t="str">
        <f>_xlfn.XLOOKUP(C860,'Price Record'!$C$5:$C$102,'Price Record'!$D$5:$D$102,"")</f>
        <v/>
      </c>
      <c r="B860" t="s">
        <v>3087</v>
      </c>
      <c r="C860" t="s">
        <v>3088</v>
      </c>
      <c r="D860" t="s">
        <v>192</v>
      </c>
      <c r="E860">
        <f>_xlfn.XLOOKUP(C860,'دیده بان بازار'!$A$5:$A$2990,'دیده بان بازار'!$Q$5:$Q$2990,"")</f>
        <v>4.75</v>
      </c>
      <c r="F860" s="428" t="str">
        <f t="shared" si="13"/>
        <v/>
      </c>
    </row>
    <row r="861" spans="1:6">
      <c r="A861" s="2059" t="str">
        <f>_xlfn.XLOOKUP(C861,'Price Record'!$C$5:$C$102,'Price Record'!$D$5:$D$102,"")</f>
        <v/>
      </c>
      <c r="B861" t="s">
        <v>3089</v>
      </c>
      <c r="C861" t="s">
        <v>3090</v>
      </c>
      <c r="D861" t="s">
        <v>192</v>
      </c>
      <c r="E861">
        <f>_xlfn.XLOOKUP(C861,'دیده بان بازار'!$A$5:$A$2990,'دیده بان بازار'!$Q$5:$Q$2990,"")</f>
        <v>7.44</v>
      </c>
      <c r="F861" s="428" t="str">
        <f t="shared" si="13"/>
        <v/>
      </c>
    </row>
    <row r="862" spans="1:6">
      <c r="A862" s="2059" t="str">
        <f>_xlfn.XLOOKUP(C862,'Price Record'!$C$5:$C$102,'Price Record'!$D$5:$D$102,"")</f>
        <v/>
      </c>
      <c r="B862" t="s">
        <v>3089</v>
      </c>
      <c r="C862" t="s">
        <v>3091</v>
      </c>
      <c r="D862" t="s">
        <v>192</v>
      </c>
      <c r="E862" t="str">
        <f>_xlfn.XLOOKUP(C862,'دیده بان بازار'!$A$5:$A$2990,'دیده بان بازار'!$Q$5:$Q$2990,"")</f>
        <v/>
      </c>
      <c r="F862" s="428" t="str">
        <f t="shared" si="13"/>
        <v/>
      </c>
    </row>
    <row r="863" spans="1:6">
      <c r="A863" s="2059" t="str">
        <f>_xlfn.XLOOKUP(C863,'Price Record'!$C$5:$C$102,'Price Record'!$D$5:$D$102,"")</f>
        <v/>
      </c>
      <c r="B863" t="s">
        <v>3092</v>
      </c>
      <c r="C863" t="s">
        <v>3093</v>
      </c>
      <c r="D863" t="s">
        <v>192</v>
      </c>
      <c r="E863">
        <f>_xlfn.XLOOKUP(C863,'دیده بان بازار'!$A$5:$A$2990,'دیده بان بازار'!$Q$5:$Q$2990,"")</f>
        <v>2.71</v>
      </c>
      <c r="F863" s="428" t="str">
        <f t="shared" si="13"/>
        <v/>
      </c>
    </row>
    <row r="864" spans="1:6">
      <c r="A864" s="2059" t="str">
        <f>_xlfn.XLOOKUP(C864,'Price Record'!$C$5:$C$102,'Price Record'!$D$5:$D$102,"")</f>
        <v/>
      </c>
      <c r="B864" t="s">
        <v>3092</v>
      </c>
      <c r="C864" t="s">
        <v>3094</v>
      </c>
      <c r="D864" t="s">
        <v>192</v>
      </c>
      <c r="E864" t="str">
        <f>_xlfn.XLOOKUP(C864,'دیده بان بازار'!$A$5:$A$2990,'دیده بان بازار'!$Q$5:$Q$2990,"")</f>
        <v/>
      </c>
      <c r="F864" s="428" t="str">
        <f t="shared" si="13"/>
        <v/>
      </c>
    </row>
    <row r="865" spans="1:6">
      <c r="A865" s="2059" t="str">
        <f>_xlfn.XLOOKUP(C865,'Price Record'!$C$5:$C$102,'Price Record'!$D$5:$D$102,"")</f>
        <v/>
      </c>
      <c r="B865" t="s">
        <v>3095</v>
      </c>
      <c r="C865" t="s">
        <v>3096</v>
      </c>
      <c r="D865" t="s">
        <v>192</v>
      </c>
      <c r="E865">
        <f>_xlfn.XLOOKUP(C865,'دیده بان بازار'!$A$5:$A$2990,'دیده بان بازار'!$Q$5:$Q$2990,"")</f>
        <v>152.72999999999999</v>
      </c>
      <c r="F865" s="428" t="str">
        <f t="shared" si="13"/>
        <v/>
      </c>
    </row>
    <row r="866" spans="1:6">
      <c r="A866" s="2059" t="str">
        <f>_xlfn.XLOOKUP(C866,'Price Record'!$C$5:$C$102,'Price Record'!$D$5:$D$102,"")</f>
        <v/>
      </c>
      <c r="B866" t="s">
        <v>3097</v>
      </c>
      <c r="C866" t="s">
        <v>3098</v>
      </c>
      <c r="D866" t="s">
        <v>192</v>
      </c>
      <c r="E866">
        <f>_xlfn.XLOOKUP(C866,'دیده بان بازار'!$A$5:$A$2990,'دیده بان بازار'!$Q$5:$Q$2990,"")</f>
        <v>7.21</v>
      </c>
      <c r="F866" s="428" t="str">
        <f t="shared" si="13"/>
        <v/>
      </c>
    </row>
    <row r="867" spans="1:6">
      <c r="A867" s="2059" t="str">
        <f>_xlfn.XLOOKUP(C867,'Price Record'!$C$5:$C$102,'Price Record'!$D$5:$D$102,"")</f>
        <v/>
      </c>
      <c r="B867" t="s">
        <v>3099</v>
      </c>
      <c r="C867" t="s">
        <v>3100</v>
      </c>
      <c r="D867" t="s">
        <v>192</v>
      </c>
      <c r="E867">
        <f>_xlfn.XLOOKUP(C867,'دیده بان بازار'!$A$5:$A$2990,'دیده بان بازار'!$Q$5:$Q$2990,"")</f>
        <v>-78.290000000000006</v>
      </c>
      <c r="F867" s="428" t="str">
        <f t="shared" si="13"/>
        <v/>
      </c>
    </row>
    <row r="868" spans="1:6">
      <c r="A868" s="2059" t="str">
        <f>_xlfn.XLOOKUP(C868,'Price Record'!$C$5:$C$102,'Price Record'!$D$5:$D$102,"")</f>
        <v/>
      </c>
      <c r="B868" t="s">
        <v>3101</v>
      </c>
      <c r="C868" t="s">
        <v>3102</v>
      </c>
      <c r="D868" t="s">
        <v>192</v>
      </c>
      <c r="E868">
        <f>_xlfn.XLOOKUP(C868,'دیده بان بازار'!$A$5:$A$2990,'دیده بان بازار'!$Q$5:$Q$2990,"")</f>
        <v>7.95</v>
      </c>
      <c r="F868" s="428" t="str">
        <f t="shared" si="13"/>
        <v/>
      </c>
    </row>
    <row r="869" spans="1:6">
      <c r="A869" s="2059" t="str">
        <f>_xlfn.XLOOKUP(C869,'Price Record'!$C$5:$C$102,'Price Record'!$D$5:$D$102,"")</f>
        <v/>
      </c>
      <c r="B869" t="s">
        <v>3103</v>
      </c>
      <c r="C869" t="s">
        <v>3104</v>
      </c>
      <c r="D869" t="s">
        <v>192</v>
      </c>
      <c r="E869">
        <f>_xlfn.XLOOKUP(C869,'دیده بان بازار'!$A$5:$A$2990,'دیده بان بازار'!$Q$5:$Q$2990,"")</f>
        <v>69.72</v>
      </c>
      <c r="F869" s="428" t="str">
        <f t="shared" si="13"/>
        <v/>
      </c>
    </row>
    <row r="870" spans="1:6">
      <c r="A870" s="2059" t="str">
        <f>_xlfn.XLOOKUP(C870,'Price Record'!$C$5:$C$102,'Price Record'!$D$5:$D$102,"")</f>
        <v/>
      </c>
      <c r="B870" t="s">
        <v>3105</v>
      </c>
      <c r="C870" t="s">
        <v>3106</v>
      </c>
      <c r="D870" t="s">
        <v>192</v>
      </c>
      <c r="E870">
        <f>_xlfn.XLOOKUP(C870,'دیده بان بازار'!$A$5:$A$2990,'دیده بان بازار'!$Q$5:$Q$2990,"")</f>
        <v>8.5</v>
      </c>
      <c r="F870" s="428" t="str">
        <f t="shared" si="13"/>
        <v/>
      </c>
    </row>
    <row r="871" spans="1:6">
      <c r="A871" s="2059" t="str">
        <f>_xlfn.XLOOKUP(C871,'Price Record'!$C$5:$C$102,'Price Record'!$D$5:$D$102,"")</f>
        <v/>
      </c>
      <c r="B871" t="s">
        <v>3105</v>
      </c>
      <c r="C871" t="s">
        <v>3107</v>
      </c>
      <c r="D871" t="s">
        <v>192</v>
      </c>
      <c r="E871">
        <f>_xlfn.XLOOKUP(C871,'دیده بان بازار'!$A$5:$A$2990,'دیده بان بازار'!$Q$5:$Q$2990,"")</f>
        <v>8.5</v>
      </c>
      <c r="F871" s="428" t="str">
        <f t="shared" si="13"/>
        <v/>
      </c>
    </row>
    <row r="872" spans="1:6">
      <c r="A872" s="2059" t="str">
        <f>_xlfn.XLOOKUP(C872,'Price Record'!$C$5:$C$102,'Price Record'!$D$5:$D$102,"")</f>
        <v/>
      </c>
      <c r="B872" t="s">
        <v>3108</v>
      </c>
      <c r="C872" t="s">
        <v>3109</v>
      </c>
      <c r="D872" t="s">
        <v>192</v>
      </c>
      <c r="E872">
        <f>_xlfn.XLOOKUP(C872,'دیده بان بازار'!$A$5:$A$2990,'دیده بان بازار'!$Q$5:$Q$2990,"")</f>
        <v>2.94</v>
      </c>
      <c r="F872" s="428" t="str">
        <f t="shared" si="13"/>
        <v/>
      </c>
    </row>
    <row r="873" spans="1:6">
      <c r="A873" s="2059" t="str">
        <f>_xlfn.XLOOKUP(C873,'Price Record'!$C$5:$C$102,'Price Record'!$D$5:$D$102,"")</f>
        <v/>
      </c>
      <c r="B873" t="s">
        <v>3110</v>
      </c>
      <c r="C873" t="s">
        <v>3111</v>
      </c>
      <c r="D873" t="s">
        <v>192</v>
      </c>
      <c r="E873">
        <f>_xlfn.XLOOKUP(C873,'دیده بان بازار'!$A$5:$A$2990,'دیده بان بازار'!$Q$5:$Q$2990,"")</f>
        <v>4.5999999999999996</v>
      </c>
      <c r="F873" s="428" t="str">
        <f t="shared" si="13"/>
        <v/>
      </c>
    </row>
    <row r="874" spans="1:6">
      <c r="A874" s="2059" t="str">
        <f>_xlfn.XLOOKUP(C874,'Price Record'!$C$5:$C$102,'Price Record'!$D$5:$D$102,"")</f>
        <v/>
      </c>
      <c r="B874" t="s">
        <v>3112</v>
      </c>
      <c r="C874" t="s">
        <v>3113</v>
      </c>
      <c r="D874" t="s">
        <v>192</v>
      </c>
      <c r="E874" t="str">
        <f>_xlfn.XLOOKUP(C874,'دیده بان بازار'!$A$5:$A$2990,'دیده بان بازار'!$Q$5:$Q$2990,"")</f>
        <v/>
      </c>
      <c r="F874" s="428" t="str">
        <f t="shared" si="13"/>
        <v/>
      </c>
    </row>
    <row r="875" spans="1:6">
      <c r="A875" s="2059" t="str">
        <f>_xlfn.XLOOKUP(C875,'Price Record'!$C$5:$C$102,'Price Record'!$D$5:$D$102,"")</f>
        <v/>
      </c>
      <c r="B875" t="s">
        <v>3112</v>
      </c>
      <c r="C875" t="s">
        <v>3114</v>
      </c>
      <c r="D875" t="s">
        <v>192</v>
      </c>
      <c r="E875" t="str">
        <f>_xlfn.XLOOKUP(C875,'دیده بان بازار'!$A$5:$A$2990,'دیده بان بازار'!$Q$5:$Q$2990,"")</f>
        <v/>
      </c>
      <c r="F875" s="428" t="str">
        <f t="shared" si="13"/>
        <v/>
      </c>
    </row>
    <row r="876" spans="1:6">
      <c r="A876" s="2059" t="str">
        <f>_xlfn.XLOOKUP(C876,'Price Record'!$C$5:$C$102,'Price Record'!$D$5:$D$102,"")</f>
        <v/>
      </c>
      <c r="B876" t="s">
        <v>3115</v>
      </c>
      <c r="C876" t="s">
        <v>3116</v>
      </c>
      <c r="D876" t="s">
        <v>192</v>
      </c>
      <c r="E876">
        <f>_xlfn.XLOOKUP(C876,'دیده بان بازار'!$A$5:$A$2990,'دیده بان بازار'!$Q$5:$Q$2990,"")</f>
        <v>5.81</v>
      </c>
      <c r="F876" s="428" t="str">
        <f t="shared" si="13"/>
        <v/>
      </c>
    </row>
    <row r="877" spans="1:6">
      <c r="A877" s="2059" t="str">
        <f>_xlfn.XLOOKUP(C877,'Price Record'!$C$5:$C$102,'Price Record'!$D$5:$D$102,"")</f>
        <v/>
      </c>
      <c r="B877" t="s">
        <v>3115</v>
      </c>
      <c r="C877" t="s">
        <v>3117</v>
      </c>
      <c r="D877" t="s">
        <v>192</v>
      </c>
      <c r="E877" t="str">
        <f>_xlfn.XLOOKUP(C877,'دیده بان بازار'!$A$5:$A$2990,'دیده بان بازار'!$Q$5:$Q$2990,"")</f>
        <v/>
      </c>
      <c r="F877" s="428" t="str">
        <f t="shared" si="13"/>
        <v/>
      </c>
    </row>
    <row r="878" spans="1:6">
      <c r="A878" s="2059" t="str">
        <f>_xlfn.XLOOKUP(C878,'Price Record'!$C$5:$C$102,'Price Record'!$D$5:$D$102,"")</f>
        <v/>
      </c>
      <c r="B878" t="s">
        <v>3118</v>
      </c>
      <c r="C878" t="s">
        <v>3119</v>
      </c>
      <c r="D878" t="s">
        <v>192</v>
      </c>
      <c r="E878">
        <f>_xlfn.XLOOKUP(C878,'دیده بان بازار'!$A$5:$A$2990,'دیده بان بازار'!$Q$5:$Q$2990,"")</f>
        <v>3.32</v>
      </c>
      <c r="F878" s="428" t="str">
        <f t="shared" si="13"/>
        <v/>
      </c>
    </row>
    <row r="879" spans="1:6">
      <c r="A879" s="2059" t="str">
        <f>_xlfn.XLOOKUP(C879,'Price Record'!$C$5:$C$102,'Price Record'!$D$5:$D$102,"")</f>
        <v/>
      </c>
      <c r="B879" t="s">
        <v>3118</v>
      </c>
      <c r="C879" t="s">
        <v>3120</v>
      </c>
      <c r="D879" t="s">
        <v>192</v>
      </c>
      <c r="E879" t="str">
        <f>_xlfn.XLOOKUP(C879,'دیده بان بازار'!$A$5:$A$2990,'دیده بان بازار'!$Q$5:$Q$2990,"")</f>
        <v/>
      </c>
      <c r="F879" s="428" t="str">
        <f t="shared" si="13"/>
        <v/>
      </c>
    </row>
    <row r="880" spans="1:6">
      <c r="A880" s="2059" t="str">
        <f>_xlfn.XLOOKUP(C880,'Price Record'!$C$5:$C$102,'Price Record'!$D$5:$D$102,"")</f>
        <v/>
      </c>
      <c r="B880" t="s">
        <v>3121</v>
      </c>
      <c r="C880" t="s">
        <v>3122</v>
      </c>
      <c r="D880" t="s">
        <v>192</v>
      </c>
      <c r="E880">
        <f>_xlfn.XLOOKUP(C880,'دیده بان بازار'!$A$5:$A$2990,'دیده بان بازار'!$Q$5:$Q$2990,"")</f>
        <v>-19.48</v>
      </c>
      <c r="F880" s="428" t="str">
        <f t="shared" si="13"/>
        <v/>
      </c>
    </row>
    <row r="881" spans="1:6">
      <c r="A881" s="2059" t="str">
        <f>_xlfn.XLOOKUP(C881,'Price Record'!$C$5:$C$102,'Price Record'!$D$5:$D$102,"")</f>
        <v/>
      </c>
      <c r="B881" t="s">
        <v>3123</v>
      </c>
      <c r="C881" t="s">
        <v>3124</v>
      </c>
      <c r="D881" t="s">
        <v>192</v>
      </c>
      <c r="E881">
        <f>_xlfn.XLOOKUP(C881,'دیده بان بازار'!$A$5:$A$2990,'دیده بان بازار'!$Q$5:$Q$2990,"")</f>
        <v>8.98</v>
      </c>
      <c r="F881" s="428" t="str">
        <f t="shared" si="13"/>
        <v/>
      </c>
    </row>
    <row r="882" spans="1:6">
      <c r="A882" s="2059" t="str">
        <f>_xlfn.XLOOKUP(C882,'Price Record'!$C$5:$C$102,'Price Record'!$D$5:$D$102,"")</f>
        <v/>
      </c>
      <c r="B882" t="s">
        <v>3125</v>
      </c>
      <c r="C882" t="s">
        <v>3126</v>
      </c>
      <c r="D882" t="s">
        <v>192</v>
      </c>
      <c r="E882">
        <f>_xlfn.XLOOKUP(C882,'دیده بان بازار'!$A$5:$A$2990,'دیده بان بازار'!$Q$5:$Q$2990,"")</f>
        <v>5.45</v>
      </c>
      <c r="F882" s="428" t="str">
        <f t="shared" si="13"/>
        <v/>
      </c>
    </row>
  </sheetData>
  <autoFilter ref="A3:F3" xr:uid="{1DD21AFD-4C6A-3C4A-BF01-E211D9466359}">
    <sortState xmlns:xlrd2="http://schemas.microsoft.com/office/spreadsheetml/2017/richdata2" ref="A4:F882">
      <sortCondition ref="C3:C882"/>
    </sortState>
  </autoFilter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EE28-EB0C-BB4B-B1A5-303082EB3B9E}">
  <sheetPr codeName="Sheet11">
    <tabColor theme="9" tint="0.39997558519241921"/>
  </sheetPr>
  <dimension ref="A1:AC605"/>
  <sheetViews>
    <sheetView view="pageBreakPreview" zoomScale="50" zoomScaleNormal="50" zoomScaleSheetLayoutView="50" workbookViewId="0">
      <pane xSplit="1" ySplit="4" topLeftCell="B309" activePane="bottomRight" state="frozen"/>
      <selection pane="topRight" activeCell="B1" sqref="B1"/>
      <selection pane="bottomLeft" activeCell="A5" sqref="A5"/>
      <selection pane="bottomRight" activeCell="A314" sqref="A314"/>
    </sheetView>
  </sheetViews>
  <sheetFormatPr baseColWidth="10" defaultColWidth="11" defaultRowHeight="21"/>
  <cols>
    <col min="1" max="1" width="9.33203125" customWidth="1"/>
    <col min="2" max="2" width="36.1640625" style="2131" customWidth="1"/>
    <col min="3" max="3" width="18.5" bestFit="1" customWidth="1"/>
    <col min="4" max="4" width="11.83203125" customWidth="1"/>
    <col min="5" max="5" width="14.1640625" style="11" customWidth="1"/>
    <col min="6" max="6" width="37.83203125" style="11" customWidth="1"/>
    <col min="7" max="7" width="36.6640625" style="11" customWidth="1"/>
    <col min="8" max="8" width="23.33203125" style="11" customWidth="1"/>
    <col min="9" max="9" width="22.33203125" style="11" customWidth="1"/>
    <col min="10" max="10" width="28.5" style="11" customWidth="1"/>
    <col min="11" max="11" width="21.5" style="11" customWidth="1"/>
    <col min="12" max="12" width="31" style="11" customWidth="1"/>
    <col min="13" max="13" width="37.1640625" style="11" customWidth="1"/>
    <col min="14" max="14" width="21.5" style="11" customWidth="1"/>
    <col min="15" max="15" width="35.1640625" style="11" customWidth="1"/>
    <col min="16" max="16" width="18.1640625" style="11" customWidth="1"/>
    <col min="17" max="17" width="34.1640625" style="11" customWidth="1"/>
    <col min="18" max="18" width="33.83203125" style="11" customWidth="1"/>
    <col min="19" max="19" width="26" style="11" customWidth="1"/>
    <col min="20" max="20" width="26.6640625" style="11" customWidth="1"/>
    <col min="21" max="21" width="34.1640625" style="11" customWidth="1"/>
    <col min="22" max="22" width="26" style="11" customWidth="1"/>
    <col min="23" max="23" width="25.6640625" style="11" customWidth="1"/>
    <col min="24" max="25" width="34.1640625" style="11" customWidth="1"/>
    <col min="26" max="26" width="26.5" style="11" customWidth="1"/>
    <col min="27" max="27" width="32.1640625" style="11" customWidth="1"/>
    <col min="28" max="28" width="30.83203125" style="11" customWidth="1"/>
    <col min="29" max="29" width="22.83203125" style="11" customWidth="1"/>
  </cols>
  <sheetData>
    <row r="1" spans="1:29" s="30" customFormat="1" ht="28" customHeight="1">
      <c r="A1" s="61"/>
      <c r="B1" s="2127">
        <f>Cement!P3</f>
        <v>0</v>
      </c>
      <c r="C1" s="61">
        <f>Cement!Q3</f>
        <v>0</v>
      </c>
      <c r="D1" s="35" t="str">
        <f>Cement!R3</f>
        <v>Month</v>
      </c>
      <c r="E1" s="34" t="str">
        <f>Cement!BN3</f>
        <v>Month</v>
      </c>
      <c r="F1" s="34"/>
      <c r="G1" s="34"/>
      <c r="H1" s="34"/>
      <c r="I1" s="1348"/>
      <c r="J1" s="41" t="str">
        <f>Cement!BR3</f>
        <v>Rial</v>
      </c>
      <c r="K1" s="34" t="str">
        <f>Cement!CJ3</f>
        <v>B.Toman</v>
      </c>
      <c r="L1" s="34">
        <f>Cement!CK3</f>
        <v>0</v>
      </c>
      <c r="M1" s="34" t="str">
        <f>Cement!CN3</f>
        <v>B.Toman</v>
      </c>
      <c r="N1" s="34" t="str">
        <f>Cement!CO3</f>
        <v>B.Toman</v>
      </c>
      <c r="O1" s="34" t="str">
        <f>Cement!CR3</f>
        <v>B.Toman</v>
      </c>
      <c r="P1" s="34" t="str">
        <f>Cement!CS3</f>
        <v>B.Toman</v>
      </c>
      <c r="Q1" s="34"/>
      <c r="R1" s="34" t="str">
        <f>Cement!CV3</f>
        <v>B.Toman</v>
      </c>
      <c r="S1" s="34" t="str">
        <f>Cement!CW3</f>
        <v>B.Toman</v>
      </c>
      <c r="T1" s="34" t="str">
        <f>Cement!CX3</f>
        <v>B.Toman</v>
      </c>
      <c r="U1" s="34" t="str">
        <f>Cement!DD3</f>
        <v>B.Toman</v>
      </c>
      <c r="V1" s="34" t="str">
        <f>Cement!DE3</f>
        <v>B.Toman</v>
      </c>
      <c r="W1" s="34" t="str">
        <f>Cement!DF3</f>
        <v>B.Toman</v>
      </c>
      <c r="X1" s="34" t="str">
        <f>Cement!DG3</f>
        <v>B.Toman</v>
      </c>
      <c r="Y1" s="34" t="str">
        <f>Cement!DJ3</f>
        <v>B.Toman</v>
      </c>
      <c r="Z1" s="34" t="str">
        <f>Cement!DK3</f>
        <v>B.Toman</v>
      </c>
      <c r="AA1" s="34" t="str">
        <f>Cement!DL3</f>
        <v>B.Toman</v>
      </c>
      <c r="AB1" s="34" t="str">
        <f>Cement!DQ3</f>
        <v>B.Toman</v>
      </c>
      <c r="AC1" s="34" t="str">
        <f>Cement!DR3</f>
        <v>B.Toman</v>
      </c>
    </row>
    <row r="2" spans="1:29" s="31" customFormat="1" ht="83" hidden="1" customHeight="1">
      <c r="A2" s="86"/>
      <c r="B2" s="2128" t="e">
        <f>Cement!#REF!</f>
        <v>#REF!</v>
      </c>
      <c r="C2" s="86" t="e">
        <f>Cement!#REF!</f>
        <v>#REF!</v>
      </c>
      <c r="D2" s="85" t="e">
        <f>Cement!#REF!</f>
        <v>#REF!</v>
      </c>
      <c r="E2" s="85" t="e">
        <f>Cement!#REF!</f>
        <v>#REF!</v>
      </c>
      <c r="F2" s="85"/>
      <c r="G2" s="85"/>
      <c r="H2" s="85"/>
      <c r="I2" s="1349"/>
      <c r="J2" s="85" t="e">
        <f>Cement!#REF!</f>
        <v>#REF!</v>
      </c>
      <c r="K2" s="85" t="e">
        <f>Cement!#REF!</f>
        <v>#REF!</v>
      </c>
      <c r="L2" s="85" t="e">
        <f>Cement!#REF!</f>
        <v>#REF!</v>
      </c>
      <c r="M2" s="85"/>
      <c r="N2" s="85"/>
      <c r="O2" s="85" t="e">
        <f>Cement!#REF!</f>
        <v>#REF!</v>
      </c>
      <c r="P2" s="88" t="e">
        <f>Cement!#REF!</f>
        <v>#REF!</v>
      </c>
      <c r="Q2" s="88"/>
      <c r="R2" s="89" t="e">
        <f>Cement!#REF!</f>
        <v>#REF!</v>
      </c>
      <c r="S2" s="89" t="e">
        <f>Cement!#REF!</f>
        <v>#REF!</v>
      </c>
      <c r="T2" s="89" t="e">
        <f>Cement!#REF!</f>
        <v>#REF!</v>
      </c>
      <c r="U2" s="90" t="e">
        <f>Cement!#REF!</f>
        <v>#REF!</v>
      </c>
      <c r="V2" s="88" t="e">
        <f>Cement!#REF!</f>
        <v>#REF!</v>
      </c>
      <c r="W2" s="88" t="e">
        <f>Cement!#REF!</f>
        <v>#REF!</v>
      </c>
      <c r="X2" s="90" t="e">
        <f>Cement!#REF!</f>
        <v>#REF!</v>
      </c>
      <c r="Y2" s="91" t="e">
        <f>Cement!#REF!</f>
        <v>#REF!</v>
      </c>
      <c r="Z2" s="91" t="e">
        <f>Cement!#REF!</f>
        <v>#REF!</v>
      </c>
      <c r="AA2" s="91" t="e">
        <f>Cement!#REF!</f>
        <v>#REF!</v>
      </c>
      <c r="AB2" s="91" t="e">
        <f>Cement!#REF!</f>
        <v>#REF!</v>
      </c>
      <c r="AC2" s="91" t="e">
        <f>Cement!#REF!</f>
        <v>#REF!</v>
      </c>
    </row>
    <row r="3" spans="1:29" s="853" customFormat="1" ht="130" customHeight="1">
      <c r="A3" s="851" t="s">
        <v>3127</v>
      </c>
      <c r="B3" s="2129" t="str">
        <f>Cement!P4</f>
        <v>نام شرکت</v>
      </c>
      <c r="C3" s="851" t="str">
        <f>Cement!Q4</f>
        <v>نماد</v>
      </c>
      <c r="D3" s="1339" t="str">
        <f>Cement!R4</f>
        <v xml:space="preserve">ماه پایان سال مالی </v>
      </c>
      <c r="E3" s="1339" t="str">
        <f>Cement!BN4</f>
        <v>آخرین ماه گزارش صورت مالی منتشره</v>
      </c>
      <c r="F3" s="852" t="str">
        <f>Cement!AV4</f>
        <v xml:space="preserve">درآمد (فروش) عملیاتی در حال تداوم  </v>
      </c>
      <c r="G3" s="852" t="str">
        <f>Cement!AW4</f>
        <v xml:space="preserve">سود (زیان) عملیاتی </v>
      </c>
      <c r="H3" s="1346" t="s">
        <v>3128</v>
      </c>
      <c r="I3" s="1350" t="s">
        <v>3129</v>
      </c>
      <c r="J3" s="852" t="s">
        <v>3130</v>
      </c>
      <c r="K3" s="852" t="str">
        <f>Cement!CJ4</f>
        <v>سرمایه ثبتی شرکت</v>
      </c>
      <c r="L3" s="852" t="str">
        <f>Cement!CM4</f>
        <v xml:space="preserve"> سود غیر عملیاتی آخرین گزارش</v>
      </c>
      <c r="M3" s="852" t="str">
        <f>Cement!CN4</f>
        <v>سود خالص عملیات  درحال تداوم</v>
      </c>
      <c r="N3" s="852" t="s">
        <v>3131</v>
      </c>
      <c r="O3" s="852" t="str">
        <f>Cement!CR4</f>
        <v>سود (زیان) انباشته</v>
      </c>
      <c r="P3" s="1339" t="str">
        <f>Cement!CS4</f>
        <v>سهام خزانه و کسری یا اضافی های دیگر</v>
      </c>
      <c r="Q3" s="1347" t="s">
        <v>358</v>
      </c>
      <c r="R3" s="2135" t="str">
        <f>Cement!CV4</f>
        <v>جمع بدهی جاری</v>
      </c>
      <c r="S3" s="852" t="str">
        <f>Cement!CW4</f>
        <v xml:space="preserve">تسهیلات مالی </v>
      </c>
      <c r="T3" s="1826" t="str">
        <f>Cement!CX4</f>
        <v xml:space="preserve">جمع بدهی غیر جاری </v>
      </c>
      <c r="U3" s="2134" t="str">
        <f>Cement!DD4</f>
        <v>جمع دارائی غیر جاری</v>
      </c>
      <c r="V3" s="852" t="str">
        <f>Cement!DE4</f>
        <v>دارئی مشهود</v>
      </c>
      <c r="W3" s="852" t="str">
        <f>Cement!DF4</f>
        <v xml:space="preserve">سرمایه گذاری های بلند مدت </v>
      </c>
      <c r="X3" s="2132" t="str">
        <f>Cement!DG4</f>
        <v>جمع دارائی جاری</v>
      </c>
      <c r="Y3" s="852" t="str">
        <f>Cement!DJ4</f>
        <v>موجودی مواد و کالا</v>
      </c>
      <c r="Z3" s="852" t="str">
        <f>Cement!DK4</f>
        <v>موجودی نقدی</v>
      </c>
      <c r="AA3" s="852" t="str">
        <f>Cement!DL4</f>
        <v>دریافتنی های تجاری</v>
      </c>
      <c r="AB3" s="852" t="str">
        <f>Cement!DQ4</f>
        <v>سرمایه گذاری‌های کوتاه مدت</v>
      </c>
      <c r="AC3" s="2133" t="str">
        <f>Cement!DR4</f>
        <v>پیش پرداختها و سایر</v>
      </c>
    </row>
    <row r="4" spans="1:29" ht="26" customHeight="1">
      <c r="A4" s="68"/>
      <c r="B4" s="2130">
        <f>Cement!P5</f>
        <v>0</v>
      </c>
      <c r="C4" s="68">
        <f>Cement!Q5</f>
        <v>0</v>
      </c>
      <c r="D4" s="71">
        <f>Cement!R5</f>
        <v>0</v>
      </c>
      <c r="E4" s="71">
        <f>Cement!BN5</f>
        <v>0</v>
      </c>
      <c r="F4" s="71"/>
      <c r="G4" s="71"/>
      <c r="H4" s="71"/>
      <c r="I4" s="71"/>
      <c r="J4" s="71"/>
      <c r="K4" s="70">
        <f>Cement!CJ5</f>
        <v>0</v>
      </c>
      <c r="L4" s="70">
        <f>Cement!CM5</f>
        <v>0</v>
      </c>
      <c r="M4" s="70"/>
      <c r="N4" s="70"/>
      <c r="O4" s="70">
        <f>Cement!CR5</f>
        <v>0</v>
      </c>
      <c r="P4" s="70">
        <f>Cement!CS5</f>
        <v>0</v>
      </c>
      <c r="Q4" s="70"/>
      <c r="R4" s="70"/>
      <c r="S4" s="70">
        <f>Cement!CW5</f>
        <v>0</v>
      </c>
      <c r="T4" s="70">
        <f>Cement!CX5</f>
        <v>0</v>
      </c>
      <c r="U4" s="70">
        <f>Cement!CY5</f>
        <v>0</v>
      </c>
      <c r="V4" s="70">
        <f>Cement!DE5</f>
        <v>0</v>
      </c>
      <c r="W4" s="70">
        <f>Cement!DF5</f>
        <v>0</v>
      </c>
      <c r="X4" s="70">
        <f>Cement!DG5</f>
        <v>0</v>
      </c>
      <c r="Y4" s="70">
        <f>Cement!DJ5</f>
        <v>0</v>
      </c>
      <c r="Z4" s="70">
        <f>Cement!DK5</f>
        <v>0</v>
      </c>
      <c r="AA4" s="70">
        <f>Cement!DL5</f>
        <v>0</v>
      </c>
      <c r="AB4" s="70">
        <f>Cement!DQ5</f>
        <v>0</v>
      </c>
      <c r="AC4" s="70">
        <f>Cement!DR5</f>
        <v>0</v>
      </c>
    </row>
    <row r="5" spans="1:29" ht="16" customHeight="1">
      <c r="A5" s="68"/>
      <c r="B5" s="2130" t="s">
        <v>609</v>
      </c>
      <c r="C5" s="68"/>
      <c r="D5" s="71"/>
      <c r="E5" s="71"/>
      <c r="F5" s="71"/>
      <c r="G5" s="71"/>
      <c r="H5" s="71"/>
      <c r="I5" s="71"/>
      <c r="J5" s="71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spans="1:29" s="2316" customFormat="1" ht="50" customHeight="1">
      <c r="A6" s="2321">
        <v>1</v>
      </c>
      <c r="B6" s="2322" t="str">
        <f>Cement!P7</f>
        <v>سيمان باقران</v>
      </c>
      <c r="C6" s="2321" t="str">
        <f>Cement!Q7</f>
        <v>سباقر</v>
      </c>
      <c r="D6" s="2315">
        <f>Cement!R7</f>
        <v>12</v>
      </c>
      <c r="E6" s="2323">
        <f>Cement!BN7</f>
        <v>3</v>
      </c>
      <c r="F6" s="2323">
        <f>Cement!AV7</f>
        <v>1221</v>
      </c>
      <c r="G6" s="2323">
        <f>Cement!AW7</f>
        <v>887</v>
      </c>
      <c r="H6" s="2324"/>
      <c r="I6" s="2325"/>
      <c r="J6" s="2326">
        <f>Cement!BR7</f>
        <v>0</v>
      </c>
      <c r="K6" s="2327">
        <f>Cement!CJ7</f>
        <v>60</v>
      </c>
      <c r="L6" s="2327">
        <f>Cement!CM7</f>
        <v>3</v>
      </c>
      <c r="M6" s="2328">
        <f>Cement!CN7</f>
        <v>888</v>
      </c>
      <c r="N6" s="2328">
        <f>Cement!CO7</f>
        <v>24</v>
      </c>
      <c r="O6" s="2328">
        <f>Cement!CR7</f>
        <v>1808</v>
      </c>
      <c r="P6" s="2326">
        <f>Cement!CS7</f>
        <v>0</v>
      </c>
      <c r="Q6" s="2329">
        <f>Cement!CU7</f>
        <v>1873</v>
      </c>
      <c r="R6" s="2330">
        <f>Cement!CV7</f>
        <v>2360</v>
      </c>
      <c r="S6" s="2328">
        <f>Cement!CW7</f>
        <v>55</v>
      </c>
      <c r="T6" s="2331">
        <f>Cement!CX7</f>
        <v>74</v>
      </c>
      <c r="U6" s="2332">
        <f>Cement!DD7</f>
        <v>919</v>
      </c>
      <c r="V6" s="2323">
        <f>Cement!DE7</f>
        <v>907</v>
      </c>
      <c r="W6" s="2323">
        <f>Cement!DF7</f>
        <v>6</v>
      </c>
      <c r="X6" s="2333">
        <f>Cement!DG7</f>
        <v>3388</v>
      </c>
      <c r="Y6" s="2334">
        <f>Cement!DJ7</f>
        <v>1430</v>
      </c>
      <c r="Z6" s="2334">
        <f>Cement!DK7</f>
        <v>263</v>
      </c>
      <c r="AA6" s="2334">
        <f>Cement!DL7</f>
        <v>1266</v>
      </c>
      <c r="AB6" s="2334">
        <f>Cement!DQ7</f>
        <v>0</v>
      </c>
      <c r="AC6" s="2335">
        <f>Cement!DR7</f>
        <v>429</v>
      </c>
    </row>
    <row r="7" spans="1:29" s="2318" customFormat="1" ht="105" customHeight="1">
      <c r="A7" s="2336" t="s">
        <v>609</v>
      </c>
      <c r="B7" s="2337"/>
      <c r="C7" s="2336"/>
      <c r="D7" s="2317"/>
      <c r="E7" s="2338"/>
      <c r="F7" s="2338"/>
      <c r="G7" s="2338"/>
      <c r="H7" s="2339"/>
      <c r="I7" s="2340"/>
      <c r="J7" s="2341"/>
      <c r="K7" s="2342"/>
      <c r="L7" s="2342"/>
      <c r="M7" s="2343"/>
      <c r="N7" s="2343"/>
      <c r="O7" s="2343"/>
      <c r="P7" s="2341"/>
      <c r="Q7" s="2344"/>
      <c r="R7" s="2345"/>
      <c r="S7" s="2343"/>
      <c r="T7" s="2346"/>
      <c r="U7" s="2347"/>
      <c r="V7" s="2348"/>
      <c r="W7" s="2348"/>
      <c r="X7" s="2349"/>
      <c r="Y7" s="2350"/>
      <c r="Z7" s="2350"/>
      <c r="AA7" s="2350"/>
      <c r="AB7" s="2350"/>
      <c r="AC7" s="2351"/>
    </row>
    <row r="8" spans="1:29" s="2318" customFormat="1" ht="70" customHeight="1">
      <c r="A8" s="2352" t="s">
        <v>609</v>
      </c>
      <c r="B8" s="2353" t="s">
        <v>3132</v>
      </c>
      <c r="C8" s="2352"/>
      <c r="D8" s="2319"/>
      <c r="E8" s="2319"/>
      <c r="F8" s="2319"/>
      <c r="G8" s="2319"/>
      <c r="H8" s="2319"/>
      <c r="I8" s="2319"/>
      <c r="J8" s="2354"/>
      <c r="K8" s="2355"/>
      <c r="L8" s="2355"/>
      <c r="M8" s="2356"/>
      <c r="N8" s="2356"/>
      <c r="O8" s="2356"/>
      <c r="P8" s="2354"/>
      <c r="Q8" s="2344"/>
      <c r="R8" s="2345"/>
      <c r="S8" s="2356"/>
      <c r="T8" s="2346"/>
      <c r="U8" s="2347"/>
      <c r="V8" s="2357"/>
      <c r="W8" s="2357"/>
      <c r="X8" s="2349"/>
      <c r="Y8" s="2358"/>
      <c r="Z8" s="2358"/>
      <c r="AA8" s="2358"/>
      <c r="AB8" s="2358"/>
      <c r="AC8" s="2359"/>
    </row>
    <row r="9" spans="1:29" s="2318" customFormat="1" ht="105" customHeight="1">
      <c r="A9" s="2336" t="s">
        <v>609</v>
      </c>
      <c r="B9" s="2337" t="s">
        <v>3133</v>
      </c>
      <c r="C9" s="2336"/>
      <c r="D9" s="2317"/>
      <c r="E9" s="2338"/>
      <c r="F9" s="2338"/>
      <c r="G9" s="2338"/>
      <c r="H9" s="2339"/>
      <c r="I9" s="2340"/>
      <c r="J9" s="2341"/>
      <c r="K9" s="2342"/>
      <c r="L9" s="2342"/>
      <c r="M9" s="2343"/>
      <c r="N9" s="2343"/>
      <c r="O9" s="2343"/>
      <c r="P9" s="2341"/>
      <c r="Q9" s="2344"/>
      <c r="R9" s="2345"/>
      <c r="S9" s="2343"/>
      <c r="T9" s="2346"/>
      <c r="U9" s="2347"/>
      <c r="V9" s="2348"/>
      <c r="W9" s="2348"/>
      <c r="X9" s="2349"/>
      <c r="Y9" s="2350"/>
      <c r="Z9" s="2350"/>
      <c r="AA9" s="2350"/>
      <c r="AB9" s="2350"/>
      <c r="AC9" s="2351"/>
    </row>
    <row r="10" spans="1:29" s="2316" customFormat="1" ht="50" customHeight="1">
      <c r="A10" s="2321">
        <f>IFERROR(IF(A6&gt;0,A6+1,""),"")</f>
        <v>2</v>
      </c>
      <c r="B10" s="2322" t="str">
        <f>Cement!P8</f>
        <v>سيمان فارس نو</v>
      </c>
      <c r="C10" s="2321" t="str">
        <f>Cement!Q8</f>
        <v>سفانو</v>
      </c>
      <c r="D10" s="2315">
        <f>Cement!R8</f>
        <v>12</v>
      </c>
      <c r="E10" s="2323">
        <f>Cement!BN8</f>
        <v>3</v>
      </c>
      <c r="F10" s="2323">
        <f>Cement!AV8</f>
        <v>892</v>
      </c>
      <c r="G10" s="2323">
        <f>Cement!AW8</f>
        <v>494</v>
      </c>
      <c r="H10" s="2324"/>
      <c r="I10" s="2325"/>
      <c r="J10" s="2326">
        <f>Cement!BR8</f>
        <v>0</v>
      </c>
      <c r="K10" s="2327">
        <f>Cement!CJ8</f>
        <v>160</v>
      </c>
      <c r="L10" s="2327">
        <f>Cement!CM8</f>
        <v>105</v>
      </c>
      <c r="M10" s="2328">
        <f>Cement!CN8</f>
        <v>515</v>
      </c>
      <c r="N10" s="2328">
        <f>Cement!CO8</f>
        <v>0</v>
      </c>
      <c r="O10" s="2328">
        <f>Cement!CR8</f>
        <v>611</v>
      </c>
      <c r="P10" s="2326">
        <f>Cement!CS8</f>
        <v>-33</v>
      </c>
      <c r="Q10" s="2329">
        <f>Cement!CU8</f>
        <v>804</v>
      </c>
      <c r="R10" s="2330">
        <f>Cement!CV8</f>
        <v>1669</v>
      </c>
      <c r="S10" s="2328">
        <f>Cement!CW8</f>
        <v>432</v>
      </c>
      <c r="T10" s="2331">
        <f>Cement!CX8</f>
        <v>65</v>
      </c>
      <c r="U10" s="2332">
        <f>Cement!DD8</f>
        <v>553</v>
      </c>
      <c r="V10" s="2323">
        <f>Cement!DE8</f>
        <v>504</v>
      </c>
      <c r="W10" s="2323">
        <f>Cement!DF8</f>
        <v>29</v>
      </c>
      <c r="X10" s="2333">
        <f>Cement!DG8</f>
        <v>1985</v>
      </c>
      <c r="Y10" s="2334">
        <f>Cement!DJ8</f>
        <v>864</v>
      </c>
      <c r="Z10" s="2334">
        <f>Cement!DK8</f>
        <v>98</v>
      </c>
      <c r="AA10" s="2334">
        <f>Cement!DL8</f>
        <v>213</v>
      </c>
      <c r="AB10" s="2334">
        <f>Cement!DQ8</f>
        <v>740</v>
      </c>
      <c r="AC10" s="2335">
        <f>Cement!DR8</f>
        <v>70</v>
      </c>
    </row>
    <row r="11" spans="1:29" s="2318" customFormat="1" ht="105" customHeight="1">
      <c r="A11" s="2336" t="str">
        <f>IFERROR(IF(A7&gt;0,A7+1,""),"")</f>
        <v/>
      </c>
      <c r="B11" s="2337"/>
      <c r="C11" s="2336"/>
      <c r="D11" s="2317"/>
      <c r="E11" s="2338"/>
      <c r="F11" s="2338"/>
      <c r="G11" s="2338"/>
      <c r="H11" s="2339"/>
      <c r="I11" s="2340"/>
      <c r="J11" s="2341"/>
      <c r="K11" s="2342"/>
      <c r="L11" s="2342"/>
      <c r="M11" s="2343"/>
      <c r="N11" s="2343"/>
      <c r="O11" s="2343"/>
      <c r="P11" s="2341"/>
      <c r="Q11" s="2344"/>
      <c r="R11" s="2345"/>
      <c r="S11" s="2343"/>
      <c r="T11" s="2346"/>
      <c r="U11" s="2347"/>
      <c r="V11" s="2348"/>
      <c r="W11" s="2348"/>
      <c r="X11" s="2349"/>
      <c r="Y11" s="2350"/>
      <c r="Z11" s="2350"/>
      <c r="AA11" s="2350"/>
      <c r="AB11" s="2350"/>
      <c r="AC11" s="2351"/>
    </row>
    <row r="12" spans="1:29" s="2318" customFormat="1" ht="70" customHeight="1">
      <c r="A12" s="2352" t="str">
        <f t="shared" ref="A12:A75" si="0">IFERROR(IF(A8&gt;0,A8+1,""),"")</f>
        <v/>
      </c>
      <c r="B12" s="2353" t="s">
        <v>3132</v>
      </c>
      <c r="C12" s="2352"/>
      <c r="D12" s="2319"/>
      <c r="E12" s="2319"/>
      <c r="F12" s="2319"/>
      <c r="G12" s="2319"/>
      <c r="H12" s="2319"/>
      <c r="I12" s="2319"/>
      <c r="J12" s="2354"/>
      <c r="K12" s="2355"/>
      <c r="L12" s="2355"/>
      <c r="M12" s="2356"/>
      <c r="N12" s="2356"/>
      <c r="O12" s="2356"/>
      <c r="P12" s="2354"/>
      <c r="Q12" s="2344"/>
      <c r="R12" s="2345"/>
      <c r="S12" s="2356"/>
      <c r="T12" s="2346"/>
      <c r="U12" s="2347"/>
      <c r="V12" s="2357"/>
      <c r="W12" s="2357"/>
      <c r="X12" s="2349"/>
      <c r="Y12" s="2358"/>
      <c r="Z12" s="2358"/>
      <c r="AA12" s="2358"/>
      <c r="AB12" s="2358"/>
      <c r="AC12" s="2359"/>
    </row>
    <row r="13" spans="1:29" s="2318" customFormat="1" ht="105" customHeight="1">
      <c r="A13" s="2336" t="str">
        <f t="shared" si="0"/>
        <v/>
      </c>
      <c r="B13" s="2337" t="s">
        <v>3133</v>
      </c>
      <c r="C13" s="2336"/>
      <c r="D13" s="2317"/>
      <c r="E13" s="2338"/>
      <c r="F13" s="2338"/>
      <c r="G13" s="2338"/>
      <c r="H13" s="2339"/>
      <c r="I13" s="2340"/>
      <c r="J13" s="2341"/>
      <c r="K13" s="2342"/>
      <c r="L13" s="2342"/>
      <c r="M13" s="2343"/>
      <c r="N13" s="2343"/>
      <c r="O13" s="2343"/>
      <c r="P13" s="2341"/>
      <c r="Q13" s="2344"/>
      <c r="R13" s="2345"/>
      <c r="S13" s="2343"/>
      <c r="T13" s="2346"/>
      <c r="U13" s="2347"/>
      <c r="V13" s="2348"/>
      <c r="W13" s="2348"/>
      <c r="X13" s="2349"/>
      <c r="Y13" s="2350"/>
      <c r="Z13" s="2350"/>
      <c r="AA13" s="2350"/>
      <c r="AB13" s="2350"/>
      <c r="AC13" s="2351"/>
    </row>
    <row r="14" spans="1:29" s="2316" customFormat="1" ht="50" customHeight="1">
      <c r="A14" s="2321">
        <f t="shared" si="0"/>
        <v>3</v>
      </c>
      <c r="B14" s="2322" t="str">
        <f>Cement!P9</f>
        <v>سيمان‌ بهبهان‌</v>
      </c>
      <c r="C14" s="2321" t="str">
        <f>Cement!Q9</f>
        <v>سبهان</v>
      </c>
      <c r="D14" s="2315">
        <f>Cement!R9</f>
        <v>12</v>
      </c>
      <c r="E14" s="2323">
        <f>Cement!BN9</f>
        <v>3</v>
      </c>
      <c r="F14" s="2323">
        <f>Cement!AV9</f>
        <v>656</v>
      </c>
      <c r="G14" s="2323">
        <f>Cement!AW9</f>
        <v>231</v>
      </c>
      <c r="H14" s="2324"/>
      <c r="I14" s="2325"/>
      <c r="J14" s="2326">
        <f>Cement!BR9</f>
        <v>0</v>
      </c>
      <c r="K14" s="2327">
        <f>Cement!CJ9</f>
        <v>740</v>
      </c>
      <c r="L14" s="2327">
        <f>Cement!CM9</f>
        <v>42</v>
      </c>
      <c r="M14" s="2328">
        <f>Cement!CN9</f>
        <v>225</v>
      </c>
      <c r="N14" s="2328">
        <f>Cement!CO9</f>
        <v>0</v>
      </c>
      <c r="O14" s="2328">
        <f>Cement!CR9</f>
        <v>290</v>
      </c>
      <c r="P14" s="2326">
        <f>Cement!CS9</f>
        <v>-22</v>
      </c>
      <c r="Q14" s="2329">
        <f>Cement!CU9</f>
        <v>1063</v>
      </c>
      <c r="R14" s="2330">
        <f>Cement!CV9</f>
        <v>960</v>
      </c>
      <c r="S14" s="2328">
        <f>Cement!CW9</f>
        <v>28</v>
      </c>
      <c r="T14" s="2331">
        <f>Cement!CX9</f>
        <v>127</v>
      </c>
      <c r="U14" s="2332">
        <f>Cement!DD9</f>
        <v>1001</v>
      </c>
      <c r="V14" s="2323">
        <f>Cement!DE9</f>
        <v>966</v>
      </c>
      <c r="W14" s="2323">
        <f>Cement!DF9</f>
        <v>27</v>
      </c>
      <c r="X14" s="2333">
        <f>Cement!DG9</f>
        <v>1149</v>
      </c>
      <c r="Y14" s="2334">
        <f>Cement!DJ9</f>
        <v>469</v>
      </c>
      <c r="Z14" s="2334">
        <f>Cement!DK9</f>
        <v>277</v>
      </c>
      <c r="AA14" s="2334">
        <f>Cement!DL9</f>
        <v>202</v>
      </c>
      <c r="AB14" s="2334">
        <f>Cement!DQ9</f>
        <v>152</v>
      </c>
      <c r="AC14" s="2335">
        <f>Cement!DR9</f>
        <v>49</v>
      </c>
    </row>
    <row r="15" spans="1:29" s="2318" customFormat="1" ht="105" customHeight="1">
      <c r="A15" s="2336" t="str">
        <f t="shared" si="0"/>
        <v/>
      </c>
      <c r="B15" s="2337"/>
      <c r="C15" s="2336"/>
      <c r="D15" s="2317"/>
      <c r="E15" s="2338"/>
      <c r="F15" s="2338"/>
      <c r="G15" s="2338"/>
      <c r="H15" s="2339"/>
      <c r="I15" s="2340"/>
      <c r="J15" s="2341"/>
      <c r="K15" s="2342"/>
      <c r="L15" s="2342"/>
      <c r="M15" s="2343"/>
      <c r="N15" s="2343"/>
      <c r="O15" s="2343"/>
      <c r="P15" s="2341"/>
      <c r="Q15" s="2344"/>
      <c r="R15" s="2345"/>
      <c r="S15" s="2343"/>
      <c r="T15" s="2346"/>
      <c r="U15" s="2347"/>
      <c r="V15" s="2348"/>
      <c r="W15" s="2348"/>
      <c r="X15" s="2349"/>
      <c r="Y15" s="2350"/>
      <c r="Z15" s="2350"/>
      <c r="AA15" s="2350"/>
      <c r="AB15" s="2350"/>
      <c r="AC15" s="2351"/>
    </row>
    <row r="16" spans="1:29" s="2318" customFormat="1" ht="70" customHeight="1">
      <c r="A16" s="2321" t="str">
        <f t="shared" si="0"/>
        <v/>
      </c>
      <c r="B16" s="2353" t="s">
        <v>3132</v>
      </c>
      <c r="C16" s="2352"/>
      <c r="D16" s="2319"/>
      <c r="E16" s="2319"/>
      <c r="F16" s="2319"/>
      <c r="G16" s="2319"/>
      <c r="H16" s="2319"/>
      <c r="I16" s="2319"/>
      <c r="J16" s="2354"/>
      <c r="K16" s="2355"/>
      <c r="L16" s="2355"/>
      <c r="M16" s="2356"/>
      <c r="N16" s="2356"/>
      <c r="O16" s="2356"/>
      <c r="P16" s="2354"/>
      <c r="Q16" s="2344"/>
      <c r="R16" s="2345"/>
      <c r="S16" s="2356"/>
      <c r="T16" s="2346"/>
      <c r="U16" s="2347"/>
      <c r="V16" s="2357"/>
      <c r="W16" s="2357"/>
      <c r="X16" s="2349"/>
      <c r="Y16" s="2358"/>
      <c r="Z16" s="2358"/>
      <c r="AA16" s="2358"/>
      <c r="AB16" s="2358"/>
      <c r="AC16" s="2359"/>
    </row>
    <row r="17" spans="1:29" s="2318" customFormat="1" ht="105" customHeight="1">
      <c r="A17" s="2336" t="str">
        <f t="shared" si="0"/>
        <v/>
      </c>
      <c r="B17" s="2337" t="s">
        <v>3133</v>
      </c>
      <c r="C17" s="2336"/>
      <c r="D17" s="2317"/>
      <c r="E17" s="2338"/>
      <c r="F17" s="2338"/>
      <c r="G17" s="2338"/>
      <c r="H17" s="2339"/>
      <c r="I17" s="2340"/>
      <c r="J17" s="2341"/>
      <c r="K17" s="2342"/>
      <c r="L17" s="2342"/>
      <c r="M17" s="2343"/>
      <c r="N17" s="2343"/>
      <c r="O17" s="2343"/>
      <c r="P17" s="2341"/>
      <c r="Q17" s="2344"/>
      <c r="R17" s="2345"/>
      <c r="S17" s="2343"/>
      <c r="T17" s="2346"/>
      <c r="U17" s="2347"/>
      <c r="V17" s="2348"/>
      <c r="W17" s="2348"/>
      <c r="X17" s="2349"/>
      <c r="Y17" s="2350"/>
      <c r="Z17" s="2350"/>
      <c r="AA17" s="2350"/>
      <c r="AB17" s="2350"/>
      <c r="AC17" s="2351"/>
    </row>
    <row r="18" spans="1:29" s="2316" customFormat="1" ht="50" customHeight="1">
      <c r="A18" s="2321">
        <f t="shared" si="0"/>
        <v>4</v>
      </c>
      <c r="B18" s="2322" t="str">
        <f>Cement!P10</f>
        <v>سيمان‌ داراب‌</v>
      </c>
      <c r="C18" s="2321" t="str">
        <f>Cement!Q10</f>
        <v>ساراب</v>
      </c>
      <c r="D18" s="2315">
        <f>Cement!R10</f>
        <v>12</v>
      </c>
      <c r="E18" s="2323">
        <f>Cement!BN10</f>
        <v>3</v>
      </c>
      <c r="F18" s="2323">
        <f>Cement!AV10</f>
        <v>716</v>
      </c>
      <c r="G18" s="2323">
        <f>Cement!AW10</f>
        <v>301</v>
      </c>
      <c r="H18" s="2324"/>
      <c r="I18" s="2325"/>
      <c r="J18" s="2326">
        <f>Cement!BR10</f>
        <v>0</v>
      </c>
      <c r="K18" s="2327">
        <f>Cement!CJ10</f>
        <v>500</v>
      </c>
      <c r="L18" s="2327">
        <f>Cement!CM10</f>
        <v>173</v>
      </c>
      <c r="M18" s="2328">
        <f>Cement!CN10</f>
        <v>481</v>
      </c>
      <c r="N18" s="2328">
        <f>Cement!CO10</f>
        <v>11</v>
      </c>
      <c r="O18" s="2328">
        <f>Cement!CR10</f>
        <v>1110</v>
      </c>
      <c r="P18" s="2326">
        <f>Cement!CS10</f>
        <v>-19</v>
      </c>
      <c r="Q18" s="2329">
        <f>Cement!CU10</f>
        <v>1941</v>
      </c>
      <c r="R18" s="2330">
        <f>Cement!CV10</f>
        <v>1160</v>
      </c>
      <c r="S18" s="2328">
        <f>Cement!CW10</f>
        <v>0</v>
      </c>
      <c r="T18" s="2331">
        <f>Cement!CX10</f>
        <v>123</v>
      </c>
      <c r="U18" s="2332">
        <f>Cement!DD10</f>
        <v>1025</v>
      </c>
      <c r="V18" s="2323">
        <f>Cement!DE10</f>
        <v>474</v>
      </c>
      <c r="W18" s="2323">
        <f>Cement!DF10</f>
        <v>175</v>
      </c>
      <c r="X18" s="2333">
        <f>Cement!DG10</f>
        <v>2199</v>
      </c>
      <c r="Y18" s="2334">
        <f>Cement!DJ10</f>
        <v>1044</v>
      </c>
      <c r="Z18" s="2334">
        <f>Cement!DK10</f>
        <v>275</v>
      </c>
      <c r="AA18" s="2334">
        <f>Cement!DL10</f>
        <v>245</v>
      </c>
      <c r="AB18" s="2334">
        <f>Cement!DQ10</f>
        <v>370</v>
      </c>
      <c r="AC18" s="2335">
        <f>Cement!DR10</f>
        <v>265</v>
      </c>
    </row>
    <row r="19" spans="1:29" s="2318" customFormat="1" ht="105" customHeight="1">
      <c r="A19" s="2336" t="str">
        <f t="shared" si="0"/>
        <v/>
      </c>
      <c r="B19" s="2337"/>
      <c r="C19" s="2336"/>
      <c r="D19" s="2317"/>
      <c r="E19" s="2338"/>
      <c r="F19" s="2338"/>
      <c r="G19" s="2338"/>
      <c r="H19" s="2339"/>
      <c r="I19" s="2340"/>
      <c r="J19" s="2341"/>
      <c r="K19" s="2342"/>
      <c r="L19" s="2342"/>
      <c r="M19" s="2343"/>
      <c r="N19" s="2343"/>
      <c r="O19" s="2343"/>
      <c r="P19" s="2341"/>
      <c r="Q19" s="2344"/>
      <c r="R19" s="2345"/>
      <c r="S19" s="2343"/>
      <c r="T19" s="2346"/>
      <c r="U19" s="2347"/>
      <c r="V19" s="2348"/>
      <c r="W19" s="2348"/>
      <c r="X19" s="2349"/>
      <c r="Y19" s="2350"/>
      <c r="Z19" s="2350"/>
      <c r="AA19" s="2350"/>
      <c r="AB19" s="2350"/>
      <c r="AC19" s="2351"/>
    </row>
    <row r="20" spans="1:29" s="2318" customFormat="1" ht="70" customHeight="1">
      <c r="A20" s="2321" t="str">
        <f t="shared" si="0"/>
        <v/>
      </c>
      <c r="B20" s="2353" t="s">
        <v>3132</v>
      </c>
      <c r="C20" s="2352"/>
      <c r="D20" s="2319"/>
      <c r="E20" s="2319"/>
      <c r="F20" s="2319"/>
      <c r="G20" s="2319"/>
      <c r="H20" s="2319"/>
      <c r="I20" s="2319"/>
      <c r="J20" s="2354"/>
      <c r="K20" s="2355"/>
      <c r="L20" s="2355"/>
      <c r="M20" s="2356"/>
      <c r="N20" s="2356"/>
      <c r="O20" s="2356"/>
      <c r="P20" s="2354"/>
      <c r="Q20" s="2344"/>
      <c r="R20" s="2345"/>
      <c r="S20" s="2356"/>
      <c r="T20" s="2346"/>
      <c r="U20" s="2347"/>
      <c r="V20" s="2357"/>
      <c r="W20" s="2357"/>
      <c r="X20" s="2349"/>
      <c r="Y20" s="2358"/>
      <c r="Z20" s="2358"/>
      <c r="AA20" s="2358"/>
      <c r="AB20" s="2358"/>
      <c r="AC20" s="2359"/>
    </row>
    <row r="21" spans="1:29" s="2318" customFormat="1" ht="105" customHeight="1">
      <c r="A21" s="2336" t="str">
        <f t="shared" si="0"/>
        <v/>
      </c>
      <c r="B21" s="2337" t="s">
        <v>3133</v>
      </c>
      <c r="C21" s="2336"/>
      <c r="D21" s="2317"/>
      <c r="E21" s="2338"/>
      <c r="F21" s="2338"/>
      <c r="G21" s="2338"/>
      <c r="H21" s="2339"/>
      <c r="I21" s="2340"/>
      <c r="J21" s="2341"/>
      <c r="K21" s="2342"/>
      <c r="L21" s="2342"/>
      <c r="M21" s="2343"/>
      <c r="N21" s="2343"/>
      <c r="O21" s="2343"/>
      <c r="P21" s="2341"/>
      <c r="Q21" s="2344"/>
      <c r="R21" s="2345"/>
      <c r="S21" s="2343"/>
      <c r="T21" s="2346"/>
      <c r="U21" s="2347"/>
      <c r="V21" s="2348"/>
      <c r="W21" s="2348"/>
      <c r="X21" s="2349"/>
      <c r="Y21" s="2350"/>
      <c r="Z21" s="2350"/>
      <c r="AA21" s="2350"/>
      <c r="AB21" s="2350"/>
      <c r="AC21" s="2351"/>
    </row>
    <row r="22" spans="1:29" s="2316" customFormat="1" ht="50" customHeight="1">
      <c r="A22" s="2321">
        <f t="shared" si="0"/>
        <v>5</v>
      </c>
      <c r="B22" s="2322" t="str">
        <f>Cement!P11</f>
        <v>سيمان‌ قائن‌</v>
      </c>
      <c r="C22" s="2321" t="str">
        <f>Cement!Q11</f>
        <v>سقاين</v>
      </c>
      <c r="D22" s="2315">
        <f>Cement!R11</f>
        <v>12</v>
      </c>
      <c r="E22" s="2323">
        <f>Cement!BN11</f>
        <v>3</v>
      </c>
      <c r="F22" s="2323">
        <f>Cement!AV11</f>
        <v>565</v>
      </c>
      <c r="G22" s="2323">
        <f>Cement!AW11</f>
        <v>435</v>
      </c>
      <c r="H22" s="2324"/>
      <c r="I22" s="2325"/>
      <c r="J22" s="2326">
        <f>Cement!BR11</f>
        <v>0</v>
      </c>
      <c r="K22" s="2327">
        <f>Cement!CJ11</f>
        <v>400</v>
      </c>
      <c r="L22" s="2327">
        <f>Cement!CM11</f>
        <v>170</v>
      </c>
      <c r="M22" s="2328">
        <f>Cement!CN11</f>
        <v>525</v>
      </c>
      <c r="N22" s="2328">
        <f>Cement!CO11</f>
        <v>0</v>
      </c>
      <c r="O22" s="2328">
        <f>Cement!CR11</f>
        <v>644</v>
      </c>
      <c r="P22" s="2326">
        <f>Cement!CS11</f>
        <v>-17</v>
      </c>
      <c r="Q22" s="2329">
        <f>Cement!CU11</f>
        <v>1124</v>
      </c>
      <c r="R22" s="2330">
        <f>Cement!CV11</f>
        <v>2092</v>
      </c>
      <c r="S22" s="2328">
        <f>Cement!CW11</f>
        <v>498</v>
      </c>
      <c r="T22" s="2331">
        <f>Cement!CX11</f>
        <v>33</v>
      </c>
      <c r="U22" s="2332">
        <f>Cement!DD11</f>
        <v>526</v>
      </c>
      <c r="V22" s="2323">
        <f>Cement!DE11</f>
        <v>290</v>
      </c>
      <c r="W22" s="2323">
        <f>Cement!DF11</f>
        <v>44</v>
      </c>
      <c r="X22" s="2333">
        <f>Cement!DG11</f>
        <v>2723</v>
      </c>
      <c r="Y22" s="2334">
        <f>Cement!DJ11</f>
        <v>721</v>
      </c>
      <c r="Z22" s="2334">
        <f>Cement!DK11</f>
        <v>575</v>
      </c>
      <c r="AA22" s="2334">
        <f>Cement!DL11</f>
        <v>436</v>
      </c>
      <c r="AB22" s="2334">
        <f>Cement!DQ11</f>
        <v>870</v>
      </c>
      <c r="AC22" s="2335">
        <f>Cement!DR11</f>
        <v>121</v>
      </c>
    </row>
    <row r="23" spans="1:29" s="2318" customFormat="1" ht="105" customHeight="1">
      <c r="A23" s="2336" t="str">
        <f t="shared" si="0"/>
        <v/>
      </c>
      <c r="B23" s="2337"/>
      <c r="C23" s="2336"/>
      <c r="D23" s="2317"/>
      <c r="E23" s="2338"/>
      <c r="F23" s="2338"/>
      <c r="G23" s="2338"/>
      <c r="H23" s="2339"/>
      <c r="I23" s="2340"/>
      <c r="J23" s="2341"/>
      <c r="K23" s="2342"/>
      <c r="L23" s="2342"/>
      <c r="M23" s="2343"/>
      <c r="N23" s="2343"/>
      <c r="O23" s="2343"/>
      <c r="P23" s="2341"/>
      <c r="Q23" s="2344"/>
      <c r="R23" s="2345"/>
      <c r="S23" s="2343"/>
      <c r="T23" s="2346"/>
      <c r="U23" s="2347"/>
      <c r="V23" s="2348"/>
      <c r="W23" s="2348"/>
      <c r="X23" s="2349"/>
      <c r="Y23" s="2350"/>
      <c r="Z23" s="2350"/>
      <c r="AA23" s="2350"/>
      <c r="AB23" s="2350"/>
      <c r="AC23" s="2351"/>
    </row>
    <row r="24" spans="1:29" s="2318" customFormat="1" ht="70" customHeight="1">
      <c r="A24" s="2321" t="str">
        <f t="shared" si="0"/>
        <v/>
      </c>
      <c r="B24" s="2353" t="s">
        <v>3132</v>
      </c>
      <c r="C24" s="2352"/>
      <c r="D24" s="2319"/>
      <c r="E24" s="2319"/>
      <c r="F24" s="2319"/>
      <c r="G24" s="2319"/>
      <c r="H24" s="2319"/>
      <c r="I24" s="2319"/>
      <c r="J24" s="2354"/>
      <c r="K24" s="2355"/>
      <c r="L24" s="2355"/>
      <c r="M24" s="2356"/>
      <c r="N24" s="2356"/>
      <c r="O24" s="2356"/>
      <c r="P24" s="2354"/>
      <c r="Q24" s="2344"/>
      <c r="R24" s="2345"/>
      <c r="S24" s="2356"/>
      <c r="T24" s="2346"/>
      <c r="U24" s="2347"/>
      <c r="V24" s="2357"/>
      <c r="W24" s="2357"/>
      <c r="X24" s="2349"/>
      <c r="Y24" s="2358"/>
      <c r="Z24" s="2358"/>
      <c r="AA24" s="2358"/>
      <c r="AB24" s="2358"/>
      <c r="AC24" s="2359"/>
    </row>
    <row r="25" spans="1:29" s="2318" customFormat="1" ht="105" customHeight="1">
      <c r="A25" s="2336" t="str">
        <f t="shared" si="0"/>
        <v/>
      </c>
      <c r="B25" s="2337" t="s">
        <v>3133</v>
      </c>
      <c r="C25" s="2336"/>
      <c r="D25" s="2317"/>
      <c r="E25" s="2338"/>
      <c r="F25" s="2338"/>
      <c r="G25" s="2338"/>
      <c r="H25" s="2339"/>
      <c r="I25" s="2340"/>
      <c r="J25" s="2341"/>
      <c r="K25" s="2342"/>
      <c r="L25" s="2342"/>
      <c r="M25" s="2343"/>
      <c r="N25" s="2343"/>
      <c r="O25" s="2343"/>
      <c r="P25" s="2341"/>
      <c r="Q25" s="2344"/>
      <c r="R25" s="2345"/>
      <c r="S25" s="2343"/>
      <c r="T25" s="2346"/>
      <c r="U25" s="2347"/>
      <c r="V25" s="2348"/>
      <c r="W25" s="2348"/>
      <c r="X25" s="2349"/>
      <c r="Y25" s="2350"/>
      <c r="Z25" s="2350"/>
      <c r="AA25" s="2350"/>
      <c r="AB25" s="2350"/>
      <c r="AC25" s="2351"/>
    </row>
    <row r="26" spans="1:29" s="2316" customFormat="1" ht="50" customHeight="1">
      <c r="A26" s="2321">
        <f t="shared" si="0"/>
        <v>6</v>
      </c>
      <c r="B26" s="2322" t="str">
        <f>Cement!P12</f>
        <v>سيمان‌ شاهرود</v>
      </c>
      <c r="C26" s="2321" t="str">
        <f>Cement!Q12</f>
        <v>سرود</v>
      </c>
      <c r="D26" s="2315">
        <f>Cement!R12</f>
        <v>12</v>
      </c>
      <c r="E26" s="2323">
        <f>Cement!BN12</f>
        <v>3</v>
      </c>
      <c r="F26" s="2323">
        <f>Cement!AV12</f>
        <v>2130</v>
      </c>
      <c r="G26" s="2323">
        <f>Cement!AW12</f>
        <v>1119</v>
      </c>
      <c r="H26" s="2324"/>
      <c r="I26" s="2325"/>
      <c r="J26" s="2326">
        <f>Cement!BR12</f>
        <v>0</v>
      </c>
      <c r="K26" s="2327">
        <f>Cement!CJ12</f>
        <v>960.0059</v>
      </c>
      <c r="L26" s="2327">
        <f>Cement!CM12</f>
        <v>115</v>
      </c>
      <c r="M26" s="2328">
        <f>Cement!CN12</f>
        <v>928</v>
      </c>
      <c r="N26" s="2328">
        <f>Cement!CO12</f>
        <v>-180</v>
      </c>
      <c r="O26" s="2328">
        <f>Cement!CR12</f>
        <v>1318</v>
      </c>
      <c r="P26" s="2326">
        <f>Cement!CS12</f>
        <v>-50</v>
      </c>
      <c r="Q26" s="2329">
        <f>Cement!CU12</f>
        <v>2366</v>
      </c>
      <c r="R26" s="2330">
        <f>Cement!CV12</f>
        <v>5826</v>
      </c>
      <c r="S26" s="2328">
        <f>Cement!CW12</f>
        <v>2879</v>
      </c>
      <c r="T26" s="2331">
        <f>Cement!CX12</f>
        <v>136</v>
      </c>
      <c r="U26" s="2332">
        <f>Cement!DD12</f>
        <v>2862</v>
      </c>
      <c r="V26" s="2323">
        <f>Cement!DE12</f>
        <v>2652</v>
      </c>
      <c r="W26" s="2323">
        <f>Cement!DF12</f>
        <v>40</v>
      </c>
      <c r="X26" s="2333">
        <f>Cement!DG12</f>
        <v>5466</v>
      </c>
      <c r="Y26" s="2334">
        <f>Cement!DJ12</f>
        <v>1323</v>
      </c>
      <c r="Z26" s="2334">
        <f>Cement!DK12</f>
        <v>274</v>
      </c>
      <c r="AA26" s="2334">
        <f>Cement!DL12</f>
        <v>824</v>
      </c>
      <c r="AB26" s="2334">
        <f>Cement!DQ12</f>
        <v>2650</v>
      </c>
      <c r="AC26" s="2335">
        <f>Cement!DR12</f>
        <v>395</v>
      </c>
    </row>
    <row r="27" spans="1:29" s="2318" customFormat="1" ht="105" customHeight="1">
      <c r="A27" s="2336" t="str">
        <f t="shared" si="0"/>
        <v/>
      </c>
      <c r="B27" s="2337"/>
      <c r="C27" s="2336"/>
      <c r="D27" s="2317"/>
      <c r="E27" s="2338"/>
      <c r="F27" s="2338"/>
      <c r="G27" s="2338"/>
      <c r="H27" s="2339"/>
      <c r="I27" s="2340"/>
      <c r="J27" s="2341"/>
      <c r="K27" s="2342"/>
      <c r="L27" s="2342"/>
      <c r="M27" s="2343"/>
      <c r="N27" s="2343"/>
      <c r="O27" s="2343"/>
      <c r="P27" s="2341"/>
      <c r="Q27" s="2344"/>
      <c r="R27" s="2345"/>
      <c r="S27" s="2343"/>
      <c r="T27" s="2346"/>
      <c r="U27" s="2347"/>
      <c r="V27" s="2348"/>
      <c r="W27" s="2348"/>
      <c r="X27" s="2349"/>
      <c r="Y27" s="2350"/>
      <c r="Z27" s="2350"/>
      <c r="AA27" s="2350"/>
      <c r="AB27" s="2350"/>
      <c r="AC27" s="2351"/>
    </row>
    <row r="28" spans="1:29" s="2318" customFormat="1" ht="70" customHeight="1">
      <c r="A28" s="2321" t="str">
        <f t="shared" si="0"/>
        <v/>
      </c>
      <c r="B28" s="2353" t="s">
        <v>3132</v>
      </c>
      <c r="C28" s="2352"/>
      <c r="D28" s="2319"/>
      <c r="E28" s="2319"/>
      <c r="F28" s="2319"/>
      <c r="G28" s="2319"/>
      <c r="H28" s="2319"/>
      <c r="I28" s="2319"/>
      <c r="J28" s="2354"/>
      <c r="K28" s="2355"/>
      <c r="L28" s="2355"/>
      <c r="M28" s="2356"/>
      <c r="N28" s="2356"/>
      <c r="O28" s="2356"/>
      <c r="P28" s="2354"/>
      <c r="Q28" s="2344"/>
      <c r="R28" s="2345"/>
      <c r="S28" s="2356"/>
      <c r="T28" s="2346"/>
      <c r="U28" s="2347"/>
      <c r="V28" s="2357"/>
      <c r="W28" s="2357"/>
      <c r="X28" s="2349"/>
      <c r="Y28" s="2358"/>
      <c r="Z28" s="2358"/>
      <c r="AA28" s="2358"/>
      <c r="AB28" s="2358"/>
      <c r="AC28" s="2359"/>
    </row>
    <row r="29" spans="1:29" s="2318" customFormat="1" ht="105" customHeight="1">
      <c r="A29" s="2336" t="str">
        <f t="shared" si="0"/>
        <v/>
      </c>
      <c r="B29" s="2337" t="s">
        <v>3133</v>
      </c>
      <c r="C29" s="2336"/>
      <c r="D29" s="2317"/>
      <c r="E29" s="2338"/>
      <c r="F29" s="2338"/>
      <c r="G29" s="2338"/>
      <c r="H29" s="2339"/>
      <c r="I29" s="2340"/>
      <c r="J29" s="2341"/>
      <c r="K29" s="2342"/>
      <c r="L29" s="2342"/>
      <c r="M29" s="2343"/>
      <c r="N29" s="2343"/>
      <c r="O29" s="2343"/>
      <c r="P29" s="2341"/>
      <c r="Q29" s="2344"/>
      <c r="R29" s="2345"/>
      <c r="S29" s="2343"/>
      <c r="T29" s="2346"/>
      <c r="U29" s="2347"/>
      <c r="V29" s="2348"/>
      <c r="W29" s="2348"/>
      <c r="X29" s="2349"/>
      <c r="Y29" s="2350"/>
      <c r="Z29" s="2350"/>
      <c r="AA29" s="2350"/>
      <c r="AB29" s="2350"/>
      <c r="AC29" s="2351"/>
    </row>
    <row r="30" spans="1:29" s="2316" customFormat="1" ht="50" customHeight="1">
      <c r="A30" s="2321">
        <f t="shared" si="0"/>
        <v>7</v>
      </c>
      <c r="B30" s="2322" t="str">
        <f>Cement!P13</f>
        <v>سيمان‌ بجنورد</v>
      </c>
      <c r="C30" s="2321" t="str">
        <f>Cement!Q13</f>
        <v>سبجنو</v>
      </c>
      <c r="D30" s="2315">
        <f>Cement!R13</f>
        <v>12</v>
      </c>
      <c r="E30" s="2323">
        <f>Cement!BN13</f>
        <v>3</v>
      </c>
      <c r="F30" s="2323">
        <f>Cement!AV13</f>
        <v>999</v>
      </c>
      <c r="G30" s="2323">
        <f>Cement!AW13</f>
        <v>560</v>
      </c>
      <c r="H30" s="2324"/>
      <c r="I30" s="2325"/>
      <c r="J30" s="2326">
        <f>Cement!BR13</f>
        <v>0</v>
      </c>
      <c r="K30" s="2327">
        <f>Cement!CJ13</f>
        <v>200</v>
      </c>
      <c r="L30" s="2327">
        <f>Cement!CM13</f>
        <v>21</v>
      </c>
      <c r="M30" s="2328">
        <f>Cement!CN13</f>
        <v>502</v>
      </c>
      <c r="N30" s="2328">
        <f>Cement!CO13</f>
        <v>0</v>
      </c>
      <c r="O30" s="2328">
        <f>Cement!CR13</f>
        <v>615</v>
      </c>
      <c r="P30" s="2326">
        <f>Cement!CS13</f>
        <v>-24</v>
      </c>
      <c r="Q30" s="2329">
        <f>Cement!CU13</f>
        <v>828</v>
      </c>
      <c r="R30" s="2330">
        <f>Cement!CV13</f>
        <v>2603</v>
      </c>
      <c r="S30" s="2328">
        <f>Cement!CW13</f>
        <v>331</v>
      </c>
      <c r="T30" s="2331">
        <f>Cement!CX13</f>
        <v>185</v>
      </c>
      <c r="U30" s="2332">
        <f>Cement!DD13</f>
        <v>701</v>
      </c>
      <c r="V30" s="2323">
        <f>Cement!DE13</f>
        <v>689</v>
      </c>
      <c r="W30" s="2323">
        <f>Cement!DF13</f>
        <v>0</v>
      </c>
      <c r="X30" s="2333">
        <f>Cement!DG13</f>
        <v>2915</v>
      </c>
      <c r="Y30" s="2334">
        <f>Cement!DJ13</f>
        <v>1134</v>
      </c>
      <c r="Z30" s="2334">
        <f>Cement!DK13</f>
        <v>1122</v>
      </c>
      <c r="AA30" s="2334">
        <f>Cement!DL13</f>
        <v>18</v>
      </c>
      <c r="AB30" s="2334">
        <f>Cement!DQ13</f>
        <v>351</v>
      </c>
      <c r="AC30" s="2335">
        <f>Cement!DR13</f>
        <v>290</v>
      </c>
    </row>
    <row r="31" spans="1:29" s="2318" customFormat="1" ht="105" customHeight="1">
      <c r="A31" s="2336" t="str">
        <f t="shared" si="0"/>
        <v/>
      </c>
      <c r="B31" s="2337"/>
      <c r="C31" s="2336"/>
      <c r="D31" s="2317"/>
      <c r="E31" s="2338"/>
      <c r="F31" s="2338"/>
      <c r="G31" s="2338"/>
      <c r="H31" s="2339"/>
      <c r="I31" s="2340"/>
      <c r="J31" s="2341"/>
      <c r="K31" s="2342"/>
      <c r="L31" s="2342"/>
      <c r="M31" s="2343"/>
      <c r="N31" s="2343"/>
      <c r="O31" s="2343"/>
      <c r="P31" s="2341"/>
      <c r="Q31" s="2344"/>
      <c r="R31" s="2345"/>
      <c r="S31" s="2343"/>
      <c r="T31" s="2346"/>
      <c r="U31" s="2347"/>
      <c r="V31" s="2348"/>
      <c r="W31" s="2348"/>
      <c r="X31" s="2349"/>
      <c r="Y31" s="2350"/>
      <c r="Z31" s="2350"/>
      <c r="AA31" s="2350"/>
      <c r="AB31" s="2350"/>
      <c r="AC31" s="2351"/>
    </row>
    <row r="32" spans="1:29" s="2318" customFormat="1" ht="70" customHeight="1">
      <c r="A32" s="2321" t="str">
        <f t="shared" si="0"/>
        <v/>
      </c>
      <c r="B32" s="2353" t="s">
        <v>3132</v>
      </c>
      <c r="C32" s="2352"/>
      <c r="D32" s="2319"/>
      <c r="E32" s="2319"/>
      <c r="F32" s="2319"/>
      <c r="G32" s="2319"/>
      <c r="H32" s="2319"/>
      <c r="I32" s="2319"/>
      <c r="J32" s="2354"/>
      <c r="K32" s="2355"/>
      <c r="L32" s="2355"/>
      <c r="M32" s="2356"/>
      <c r="N32" s="2356"/>
      <c r="O32" s="2356"/>
      <c r="P32" s="2354"/>
      <c r="Q32" s="2344"/>
      <c r="R32" s="2345"/>
      <c r="S32" s="2356"/>
      <c r="T32" s="2346"/>
      <c r="U32" s="2347"/>
      <c r="V32" s="2357"/>
      <c r="W32" s="2357"/>
      <c r="X32" s="2349"/>
      <c r="Y32" s="2358"/>
      <c r="Z32" s="2358"/>
      <c r="AA32" s="2358"/>
      <c r="AB32" s="2358"/>
      <c r="AC32" s="2359"/>
    </row>
    <row r="33" spans="1:29" s="2318" customFormat="1" ht="105" customHeight="1">
      <c r="A33" s="2336" t="str">
        <f t="shared" si="0"/>
        <v/>
      </c>
      <c r="B33" s="2337" t="s">
        <v>3133</v>
      </c>
      <c r="C33" s="2336"/>
      <c r="D33" s="2317"/>
      <c r="E33" s="2338"/>
      <c r="F33" s="2338"/>
      <c r="G33" s="2338"/>
      <c r="H33" s="2339"/>
      <c r="I33" s="2340"/>
      <c r="J33" s="2341"/>
      <c r="K33" s="2342"/>
      <c r="L33" s="2342"/>
      <c r="M33" s="2343"/>
      <c r="N33" s="2343"/>
      <c r="O33" s="2343"/>
      <c r="P33" s="2341"/>
      <c r="Q33" s="2344"/>
      <c r="R33" s="2345"/>
      <c r="S33" s="2343"/>
      <c r="T33" s="2346"/>
      <c r="U33" s="2347"/>
      <c r="V33" s="2348"/>
      <c r="W33" s="2348"/>
      <c r="X33" s="2349"/>
      <c r="Y33" s="2350"/>
      <c r="Z33" s="2350"/>
      <c r="AA33" s="2350"/>
      <c r="AB33" s="2350"/>
      <c r="AC33" s="2351"/>
    </row>
    <row r="34" spans="1:29" s="2316" customFormat="1" ht="50" customHeight="1">
      <c r="A34" s="2321">
        <f t="shared" si="0"/>
        <v>8</v>
      </c>
      <c r="B34" s="2322" t="str">
        <f>Cement!P14</f>
        <v>سيمان‌خاش‌</v>
      </c>
      <c r="C34" s="2321" t="str">
        <f>Cement!Q14</f>
        <v>سخاش</v>
      </c>
      <c r="D34" s="2315">
        <f>Cement!R14</f>
        <v>12</v>
      </c>
      <c r="E34" s="2323">
        <f>Cement!BN14</f>
        <v>3</v>
      </c>
      <c r="F34" s="2323">
        <f>Cement!AV14</f>
        <v>747</v>
      </c>
      <c r="G34" s="2323">
        <f>Cement!AW14</f>
        <v>329</v>
      </c>
      <c r="H34" s="2324"/>
      <c r="I34" s="2325"/>
      <c r="J34" s="2326">
        <f>Cement!BR14</f>
        <v>0</v>
      </c>
      <c r="K34" s="2327">
        <f>Cement!CJ14</f>
        <v>530</v>
      </c>
      <c r="L34" s="2327">
        <f>Cement!CM14</f>
        <v>27</v>
      </c>
      <c r="M34" s="2328">
        <f>Cement!CN14</f>
        <v>297</v>
      </c>
      <c r="N34" s="2328">
        <f>Cement!CO14</f>
        <v>0</v>
      </c>
      <c r="O34" s="2328">
        <f>Cement!CR14</f>
        <v>381</v>
      </c>
      <c r="P34" s="2326">
        <f>Cement!CS14</f>
        <v>-420</v>
      </c>
      <c r="Q34" s="2329">
        <f>Cement!CU14</f>
        <v>957</v>
      </c>
      <c r="R34" s="2330">
        <f>Cement!CV14</f>
        <v>1623</v>
      </c>
      <c r="S34" s="2328">
        <f>Cement!CW14</f>
        <v>95</v>
      </c>
      <c r="T34" s="2331">
        <f>Cement!CX14</f>
        <v>62</v>
      </c>
      <c r="U34" s="2332">
        <f>Cement!DD14</f>
        <v>871</v>
      </c>
      <c r="V34" s="2323">
        <f>Cement!DE14</f>
        <v>860</v>
      </c>
      <c r="W34" s="2323">
        <f>Cement!DF14</f>
        <v>1</v>
      </c>
      <c r="X34" s="2333">
        <f>Cement!DG14</f>
        <v>1771</v>
      </c>
      <c r="Y34" s="2334">
        <f>Cement!DJ14</f>
        <v>771</v>
      </c>
      <c r="Z34" s="2334">
        <f>Cement!DK14</f>
        <v>388</v>
      </c>
      <c r="AA34" s="2334">
        <f>Cement!DL14</f>
        <v>27</v>
      </c>
      <c r="AB34" s="2334">
        <f>Cement!DQ14</f>
        <v>320</v>
      </c>
      <c r="AC34" s="2335">
        <f>Cement!DR14</f>
        <v>265</v>
      </c>
    </row>
    <row r="35" spans="1:29" s="2318" customFormat="1" ht="105" customHeight="1">
      <c r="A35" s="2336" t="str">
        <f t="shared" si="0"/>
        <v/>
      </c>
      <c r="B35" s="2337"/>
      <c r="C35" s="2336"/>
      <c r="D35" s="2317"/>
      <c r="E35" s="2338"/>
      <c r="F35" s="2338"/>
      <c r="G35" s="2338"/>
      <c r="H35" s="2339"/>
      <c r="I35" s="2340"/>
      <c r="J35" s="2341"/>
      <c r="K35" s="2342"/>
      <c r="L35" s="2342"/>
      <c r="M35" s="2343"/>
      <c r="N35" s="2343"/>
      <c r="O35" s="2343"/>
      <c r="P35" s="2341"/>
      <c r="Q35" s="2344"/>
      <c r="R35" s="2345"/>
      <c r="S35" s="2343"/>
      <c r="T35" s="2346"/>
      <c r="U35" s="2347"/>
      <c r="V35" s="2348"/>
      <c r="W35" s="2348"/>
      <c r="X35" s="2349"/>
      <c r="Y35" s="2350"/>
      <c r="Z35" s="2350"/>
      <c r="AA35" s="2350"/>
      <c r="AB35" s="2350"/>
      <c r="AC35" s="2351"/>
    </row>
    <row r="36" spans="1:29" s="2318" customFormat="1" ht="70" customHeight="1">
      <c r="A36" s="2321" t="str">
        <f t="shared" si="0"/>
        <v/>
      </c>
      <c r="B36" s="2353" t="s">
        <v>3132</v>
      </c>
      <c r="C36" s="2352"/>
      <c r="D36" s="2319"/>
      <c r="E36" s="2319"/>
      <c r="F36" s="2319"/>
      <c r="G36" s="2319"/>
      <c r="H36" s="2319"/>
      <c r="I36" s="2319"/>
      <c r="J36" s="2354"/>
      <c r="K36" s="2355"/>
      <c r="L36" s="2355"/>
      <c r="M36" s="2356"/>
      <c r="N36" s="2356"/>
      <c r="O36" s="2356"/>
      <c r="P36" s="2354"/>
      <c r="Q36" s="2344"/>
      <c r="R36" s="2345"/>
      <c r="S36" s="2356"/>
      <c r="T36" s="2346"/>
      <c r="U36" s="2347"/>
      <c r="V36" s="2357"/>
      <c r="W36" s="2357"/>
      <c r="X36" s="2349"/>
      <c r="Y36" s="2358"/>
      <c r="Z36" s="2358"/>
      <c r="AA36" s="2358"/>
      <c r="AB36" s="2358"/>
      <c r="AC36" s="2359"/>
    </row>
    <row r="37" spans="1:29" s="2318" customFormat="1" ht="105" customHeight="1">
      <c r="A37" s="2336" t="str">
        <f t="shared" si="0"/>
        <v/>
      </c>
      <c r="B37" s="2337" t="s">
        <v>3133</v>
      </c>
      <c r="C37" s="2336"/>
      <c r="D37" s="2317"/>
      <c r="E37" s="2338"/>
      <c r="F37" s="2338"/>
      <c r="G37" s="2338"/>
      <c r="H37" s="2339"/>
      <c r="I37" s="2340"/>
      <c r="J37" s="2341"/>
      <c r="K37" s="2342"/>
      <c r="L37" s="2342"/>
      <c r="M37" s="2343"/>
      <c r="N37" s="2343"/>
      <c r="O37" s="2343"/>
      <c r="P37" s="2341"/>
      <c r="Q37" s="2344"/>
      <c r="R37" s="2345"/>
      <c r="S37" s="2343"/>
      <c r="T37" s="2346"/>
      <c r="U37" s="2347"/>
      <c r="V37" s="2348"/>
      <c r="W37" s="2348"/>
      <c r="X37" s="2349"/>
      <c r="Y37" s="2350"/>
      <c r="Z37" s="2350"/>
      <c r="AA37" s="2350"/>
      <c r="AB37" s="2350"/>
      <c r="AC37" s="2351"/>
    </row>
    <row r="38" spans="1:29" s="2316" customFormat="1" ht="50" customHeight="1">
      <c r="A38" s="2321">
        <f t="shared" si="0"/>
        <v>9</v>
      </c>
      <c r="B38" s="2322" t="str">
        <f>Cement!P15</f>
        <v>سيمان ‌اروميه‌</v>
      </c>
      <c r="C38" s="2321" t="str">
        <f>Cement!Q15</f>
        <v>ساروم</v>
      </c>
      <c r="D38" s="2315">
        <f>Cement!R15</f>
        <v>12</v>
      </c>
      <c r="E38" s="2323">
        <f>Cement!BN15</f>
        <v>3</v>
      </c>
      <c r="F38" s="2323">
        <f>Cement!AV15</f>
        <v>1740</v>
      </c>
      <c r="G38" s="2323">
        <f>Cement!AW15</f>
        <v>1206</v>
      </c>
      <c r="H38" s="2324"/>
      <c r="I38" s="2325"/>
      <c r="J38" s="2326">
        <f>Cement!BR15</f>
        <v>0</v>
      </c>
      <c r="K38" s="2327">
        <f>Cement!CJ15</f>
        <v>100</v>
      </c>
      <c r="L38" s="2327">
        <f>Cement!CM15</f>
        <v>116</v>
      </c>
      <c r="M38" s="2328">
        <f>Cement!CN15</f>
        <v>1131</v>
      </c>
      <c r="N38" s="2328">
        <f>Cement!CO15</f>
        <v>0</v>
      </c>
      <c r="O38" s="2328">
        <f>Cement!CR15</f>
        <v>1365</v>
      </c>
      <c r="P38" s="2326">
        <f>Cement!CS15</f>
        <v>-17</v>
      </c>
      <c r="Q38" s="2329">
        <f>Cement!CU15</f>
        <v>1487</v>
      </c>
      <c r="R38" s="2330">
        <f>Cement!CV15</f>
        <v>4395</v>
      </c>
      <c r="S38" s="2328">
        <f>Cement!CW15</f>
        <v>274</v>
      </c>
      <c r="T38" s="2331">
        <f>Cement!CX15</f>
        <v>189</v>
      </c>
      <c r="U38" s="2332">
        <f>Cement!DD15</f>
        <v>945</v>
      </c>
      <c r="V38" s="2323">
        <f>Cement!DE15</f>
        <v>806</v>
      </c>
      <c r="W38" s="2323">
        <f>Cement!DF15</f>
        <v>85</v>
      </c>
      <c r="X38" s="2333">
        <f>Cement!DG15</f>
        <v>5126</v>
      </c>
      <c r="Y38" s="2334">
        <f>Cement!DJ15</f>
        <v>1664</v>
      </c>
      <c r="Z38" s="2334">
        <f>Cement!DK15</f>
        <v>1317</v>
      </c>
      <c r="AA38" s="2334">
        <f>Cement!DL15</f>
        <v>88</v>
      </c>
      <c r="AB38" s="2334">
        <f>Cement!DQ15</f>
        <v>1826</v>
      </c>
      <c r="AC38" s="2335">
        <f>Cement!DR15</f>
        <v>231</v>
      </c>
    </row>
    <row r="39" spans="1:29" s="2318" customFormat="1" ht="105" customHeight="1">
      <c r="A39" s="2336" t="str">
        <f t="shared" si="0"/>
        <v/>
      </c>
      <c r="B39" s="2337"/>
      <c r="C39" s="2336"/>
      <c r="D39" s="2317"/>
      <c r="E39" s="2338"/>
      <c r="F39" s="2338"/>
      <c r="G39" s="2338"/>
      <c r="H39" s="2339"/>
      <c r="I39" s="2340"/>
      <c r="J39" s="2341"/>
      <c r="K39" s="2342"/>
      <c r="L39" s="2342"/>
      <c r="M39" s="2343"/>
      <c r="N39" s="2343"/>
      <c r="O39" s="2343"/>
      <c r="P39" s="2341"/>
      <c r="Q39" s="2344"/>
      <c r="R39" s="2345"/>
      <c r="S39" s="2343"/>
      <c r="T39" s="2346"/>
      <c r="U39" s="2347"/>
      <c r="V39" s="2348"/>
      <c r="W39" s="2348"/>
      <c r="X39" s="2349"/>
      <c r="Y39" s="2350"/>
      <c r="Z39" s="2350"/>
      <c r="AA39" s="2350"/>
      <c r="AB39" s="2350"/>
      <c r="AC39" s="2351"/>
    </row>
    <row r="40" spans="1:29" s="2318" customFormat="1" ht="70" customHeight="1">
      <c r="A40" s="2352" t="str">
        <f t="shared" si="0"/>
        <v/>
      </c>
      <c r="B40" s="2353" t="s">
        <v>3132</v>
      </c>
      <c r="C40" s="2352"/>
      <c r="D40" s="2319"/>
      <c r="E40" s="2319"/>
      <c r="F40" s="2319"/>
      <c r="G40" s="2319"/>
      <c r="H40" s="2319"/>
      <c r="I40" s="2319"/>
      <c r="J40" s="2354"/>
      <c r="K40" s="2355"/>
      <c r="L40" s="2355"/>
      <c r="M40" s="2356"/>
      <c r="N40" s="2356"/>
      <c r="O40" s="2356"/>
      <c r="P40" s="2354"/>
      <c r="Q40" s="2344"/>
      <c r="R40" s="2345"/>
      <c r="S40" s="2356"/>
      <c r="T40" s="2346"/>
      <c r="U40" s="2347"/>
      <c r="V40" s="2357"/>
      <c r="W40" s="2357"/>
      <c r="X40" s="2349"/>
      <c r="Y40" s="2358"/>
      <c r="Z40" s="2358"/>
      <c r="AA40" s="2358"/>
      <c r="AB40" s="2358"/>
      <c r="AC40" s="2359"/>
    </row>
    <row r="41" spans="1:29" s="2318" customFormat="1" ht="105" customHeight="1">
      <c r="A41" s="2336" t="str">
        <f t="shared" si="0"/>
        <v/>
      </c>
      <c r="B41" s="2337" t="s">
        <v>3133</v>
      </c>
      <c r="C41" s="2336"/>
      <c r="D41" s="2317"/>
      <c r="E41" s="2338"/>
      <c r="F41" s="2338"/>
      <c r="G41" s="2338"/>
      <c r="H41" s="2339"/>
      <c r="I41" s="2340"/>
      <c r="J41" s="2341"/>
      <c r="K41" s="2342"/>
      <c r="L41" s="2342"/>
      <c r="M41" s="2343"/>
      <c r="N41" s="2343"/>
      <c r="O41" s="2343"/>
      <c r="P41" s="2341"/>
      <c r="Q41" s="2344"/>
      <c r="R41" s="2345"/>
      <c r="S41" s="2343"/>
      <c r="T41" s="2346"/>
      <c r="U41" s="2347"/>
      <c r="V41" s="2348"/>
      <c r="W41" s="2348"/>
      <c r="X41" s="2349"/>
      <c r="Y41" s="2350"/>
      <c r="Z41" s="2350"/>
      <c r="AA41" s="2350"/>
      <c r="AB41" s="2350"/>
      <c r="AC41" s="2351"/>
    </row>
    <row r="42" spans="1:29" s="2316" customFormat="1" ht="50" customHeight="1">
      <c r="A42" s="2321">
        <f t="shared" si="0"/>
        <v>10</v>
      </c>
      <c r="B42" s="2360" t="str">
        <f>Cement!P16</f>
        <v>مجتمع سيمان غرب آسيا</v>
      </c>
      <c r="C42" s="2321" t="str">
        <f>Cement!Q16</f>
        <v>سجام</v>
      </c>
      <c r="D42" s="2315">
        <f>Cement!R16</f>
        <v>9</v>
      </c>
      <c r="E42" s="2323">
        <f>Cement!BN16</f>
        <v>3</v>
      </c>
      <c r="F42" s="2323">
        <f>Cement!AV16</f>
        <v>1140</v>
      </c>
      <c r="G42" s="2323">
        <f>Cement!AW16</f>
        <v>877</v>
      </c>
      <c r="H42" s="2324"/>
      <c r="I42" s="2325"/>
      <c r="J42" s="2326">
        <f>Cement!BR16</f>
        <v>0</v>
      </c>
      <c r="K42" s="2327">
        <f>Cement!CJ16</f>
        <v>1000</v>
      </c>
      <c r="L42" s="2327">
        <f>Cement!CM16</f>
        <v>30</v>
      </c>
      <c r="M42" s="2328">
        <f>Cement!CN16</f>
        <v>898</v>
      </c>
      <c r="N42" s="2328">
        <f>Cement!CO16</f>
        <v>1</v>
      </c>
      <c r="O42" s="2328">
        <f>Cement!CR16</f>
        <v>1179</v>
      </c>
      <c r="P42" s="2326">
        <f>Cement!CS16</f>
        <v>0</v>
      </c>
      <c r="Q42" s="2329">
        <f>Cement!CU16</f>
        <v>2250</v>
      </c>
      <c r="R42" s="2330">
        <f>Cement!CV16</f>
        <v>1188</v>
      </c>
      <c r="S42" s="2328">
        <f>Cement!CW16</f>
        <v>0</v>
      </c>
      <c r="T42" s="2331">
        <f>Cement!CX16</f>
        <v>53</v>
      </c>
      <c r="U42" s="2332">
        <f>Cement!DD16</f>
        <v>1358</v>
      </c>
      <c r="V42" s="2323">
        <f>Cement!DE16</f>
        <v>1311</v>
      </c>
      <c r="W42" s="2323">
        <f>Cement!DF16</f>
        <v>1</v>
      </c>
      <c r="X42" s="2333">
        <f>Cement!DG16</f>
        <v>2133</v>
      </c>
      <c r="Y42" s="2334">
        <f>Cement!DJ16</f>
        <v>940</v>
      </c>
      <c r="Z42" s="2334">
        <f>Cement!DK16</f>
        <v>908</v>
      </c>
      <c r="AA42" s="2334">
        <f>Cement!DL16</f>
        <v>36</v>
      </c>
      <c r="AB42" s="2334">
        <f>Cement!DQ16</f>
        <v>9</v>
      </c>
      <c r="AC42" s="2335">
        <f>Cement!DR16</f>
        <v>240</v>
      </c>
    </row>
    <row r="43" spans="1:29" s="2318" customFormat="1" ht="105" customHeight="1">
      <c r="A43" s="2336" t="str">
        <f t="shared" si="0"/>
        <v/>
      </c>
      <c r="B43" s="2337"/>
      <c r="C43" s="2336"/>
      <c r="D43" s="2317"/>
      <c r="E43" s="2338"/>
      <c r="F43" s="2338"/>
      <c r="G43" s="2338"/>
      <c r="H43" s="2339"/>
      <c r="I43" s="2340"/>
      <c r="J43" s="2341"/>
      <c r="K43" s="2342"/>
      <c r="L43" s="2342"/>
      <c r="M43" s="2343"/>
      <c r="N43" s="2343"/>
      <c r="O43" s="2343"/>
      <c r="P43" s="2341"/>
      <c r="Q43" s="2344"/>
      <c r="R43" s="2345"/>
      <c r="S43" s="2343"/>
      <c r="T43" s="2346"/>
      <c r="U43" s="2347"/>
      <c r="V43" s="2348"/>
      <c r="W43" s="2348"/>
      <c r="X43" s="2349"/>
      <c r="Y43" s="2350"/>
      <c r="Z43" s="2350"/>
      <c r="AA43" s="2350"/>
      <c r="AB43" s="2350"/>
      <c r="AC43" s="2351"/>
    </row>
    <row r="44" spans="1:29" s="2318" customFormat="1" ht="70" customHeight="1">
      <c r="A44" s="2321" t="str">
        <f t="shared" si="0"/>
        <v/>
      </c>
      <c r="B44" s="2353" t="s">
        <v>3132</v>
      </c>
      <c r="C44" s="2352"/>
      <c r="D44" s="2319"/>
      <c r="E44" s="2319"/>
      <c r="F44" s="2319"/>
      <c r="G44" s="2319"/>
      <c r="H44" s="2319"/>
      <c r="I44" s="2319"/>
      <c r="J44" s="2354"/>
      <c r="K44" s="2355"/>
      <c r="L44" s="2355"/>
      <c r="M44" s="2356"/>
      <c r="N44" s="2356"/>
      <c r="O44" s="2356"/>
      <c r="P44" s="2354"/>
      <c r="Q44" s="2344"/>
      <c r="R44" s="2345"/>
      <c r="S44" s="2356"/>
      <c r="T44" s="2346"/>
      <c r="U44" s="2347"/>
      <c r="V44" s="2357"/>
      <c r="W44" s="2357"/>
      <c r="X44" s="2349"/>
      <c r="Y44" s="2358"/>
      <c r="Z44" s="2358"/>
      <c r="AA44" s="2358"/>
      <c r="AB44" s="2358"/>
      <c r="AC44" s="2359"/>
    </row>
    <row r="45" spans="1:29" s="2318" customFormat="1" ht="105" customHeight="1">
      <c r="A45" s="2336" t="str">
        <f t="shared" si="0"/>
        <v/>
      </c>
      <c r="B45" s="2337" t="s">
        <v>3133</v>
      </c>
      <c r="C45" s="2336"/>
      <c r="D45" s="2317"/>
      <c r="E45" s="2338"/>
      <c r="F45" s="2338"/>
      <c r="G45" s="2338"/>
      <c r="H45" s="2339"/>
      <c r="I45" s="2340"/>
      <c r="J45" s="2341"/>
      <c r="K45" s="2342"/>
      <c r="L45" s="2342"/>
      <c r="M45" s="2343"/>
      <c r="N45" s="2343"/>
      <c r="O45" s="2343"/>
      <c r="P45" s="2341"/>
      <c r="Q45" s="2344"/>
      <c r="R45" s="2345"/>
      <c r="S45" s="2343"/>
      <c r="T45" s="2346"/>
      <c r="U45" s="2347"/>
      <c r="V45" s="2348"/>
      <c r="W45" s="2348"/>
      <c r="X45" s="2349"/>
      <c r="Y45" s="2350"/>
      <c r="Z45" s="2350"/>
      <c r="AA45" s="2350"/>
      <c r="AB45" s="2350"/>
      <c r="AC45" s="2351"/>
    </row>
    <row r="46" spans="1:29" s="2316" customFormat="1" ht="50" customHeight="1">
      <c r="A46" s="2321">
        <f t="shared" si="0"/>
        <v>11</v>
      </c>
      <c r="B46" s="2360" t="str">
        <f>Cement!P17</f>
        <v>بين المللي ساروج بوشهر</v>
      </c>
      <c r="C46" s="2321" t="str">
        <f>Cement!Q17</f>
        <v>ساروج</v>
      </c>
      <c r="D46" s="2315">
        <f>Cement!R17</f>
        <v>9</v>
      </c>
      <c r="E46" s="2323">
        <f>Cement!BN17</f>
        <v>3</v>
      </c>
      <c r="F46" s="2323">
        <f>Cement!AV17</f>
        <v>1541</v>
      </c>
      <c r="G46" s="2323">
        <f>Cement!AW17</f>
        <v>862</v>
      </c>
      <c r="H46" s="2324"/>
      <c r="I46" s="2325"/>
      <c r="J46" s="2326">
        <f>Cement!BR17</f>
        <v>0</v>
      </c>
      <c r="K46" s="2327">
        <f>Cement!CJ17</f>
        <v>134</v>
      </c>
      <c r="L46" s="2327">
        <f>Cement!CM17</f>
        <v>25</v>
      </c>
      <c r="M46" s="2328">
        <f>Cement!CN17</f>
        <v>879</v>
      </c>
      <c r="N46" s="2328">
        <f>Cement!CO17</f>
        <v>1</v>
      </c>
      <c r="O46" s="2328">
        <f>Cement!CR17</f>
        <v>1673</v>
      </c>
      <c r="P46" s="2326">
        <f>Cement!CS17</f>
        <v>0</v>
      </c>
      <c r="Q46" s="2329">
        <f>Cement!CU17</f>
        <v>1820</v>
      </c>
      <c r="R46" s="2330">
        <f>Cement!CV17</f>
        <v>1757</v>
      </c>
      <c r="S46" s="2328">
        <f>Cement!CW17</f>
        <v>161</v>
      </c>
      <c r="T46" s="2331">
        <f>Cement!CX17</f>
        <v>167</v>
      </c>
      <c r="U46" s="2332">
        <f>Cement!DD17</f>
        <v>1353</v>
      </c>
      <c r="V46" s="2323">
        <f>Cement!DE17</f>
        <v>1297</v>
      </c>
      <c r="W46" s="2323">
        <f>Cement!DF17</f>
        <v>39</v>
      </c>
      <c r="X46" s="2333">
        <f>Cement!DG17</f>
        <v>2391</v>
      </c>
      <c r="Y46" s="2334">
        <f>Cement!DJ17</f>
        <v>1421</v>
      </c>
      <c r="Z46" s="2334">
        <f>Cement!DK17</f>
        <v>120</v>
      </c>
      <c r="AA46" s="2334">
        <f>Cement!DL17</f>
        <v>499</v>
      </c>
      <c r="AB46" s="2334">
        <f>Cement!DQ17</f>
        <v>203</v>
      </c>
      <c r="AC46" s="2335">
        <f>Cement!DR17</f>
        <v>148</v>
      </c>
    </row>
    <row r="47" spans="1:29" s="2318" customFormat="1" ht="105" customHeight="1">
      <c r="A47" s="2336" t="str">
        <f t="shared" si="0"/>
        <v/>
      </c>
      <c r="B47" s="2337"/>
      <c r="C47" s="2336"/>
      <c r="D47" s="2317"/>
      <c r="E47" s="2338"/>
      <c r="F47" s="2338"/>
      <c r="G47" s="2338"/>
      <c r="H47" s="2339"/>
      <c r="I47" s="2340"/>
      <c r="J47" s="2341"/>
      <c r="K47" s="2342"/>
      <c r="L47" s="2342"/>
      <c r="M47" s="2343"/>
      <c r="N47" s="2343"/>
      <c r="O47" s="2343"/>
      <c r="P47" s="2341"/>
      <c r="Q47" s="2344"/>
      <c r="R47" s="2345"/>
      <c r="S47" s="2343"/>
      <c r="T47" s="2346"/>
      <c r="U47" s="2347"/>
      <c r="V47" s="2348"/>
      <c r="W47" s="2348"/>
      <c r="X47" s="2349"/>
      <c r="Y47" s="2350"/>
      <c r="Z47" s="2350"/>
      <c r="AA47" s="2350"/>
      <c r="AB47" s="2350"/>
      <c r="AC47" s="2351"/>
    </row>
    <row r="48" spans="1:29" s="2318" customFormat="1" ht="70" customHeight="1">
      <c r="A48" s="2321" t="str">
        <f t="shared" si="0"/>
        <v/>
      </c>
      <c r="B48" s="2353" t="s">
        <v>3132</v>
      </c>
      <c r="C48" s="2352"/>
      <c r="D48" s="2319"/>
      <c r="E48" s="2319"/>
      <c r="F48" s="2319"/>
      <c r="G48" s="2319"/>
      <c r="H48" s="2319"/>
      <c r="I48" s="2319"/>
      <c r="J48" s="2354"/>
      <c r="K48" s="2355"/>
      <c r="L48" s="2355"/>
      <c r="M48" s="2356"/>
      <c r="N48" s="2356"/>
      <c r="O48" s="2356"/>
      <c r="P48" s="2354"/>
      <c r="Q48" s="2344"/>
      <c r="R48" s="2345"/>
      <c r="S48" s="2356"/>
      <c r="T48" s="2346"/>
      <c r="U48" s="2347"/>
      <c r="V48" s="2357"/>
      <c r="W48" s="2357"/>
      <c r="X48" s="2349"/>
      <c r="Y48" s="2358"/>
      <c r="Z48" s="2358"/>
      <c r="AA48" s="2358"/>
      <c r="AB48" s="2358"/>
      <c r="AC48" s="2359"/>
    </row>
    <row r="49" spans="1:29" s="2318" customFormat="1" ht="105" customHeight="1">
      <c r="A49" s="2336" t="str">
        <f t="shared" si="0"/>
        <v/>
      </c>
      <c r="B49" s="2337" t="s">
        <v>3133</v>
      </c>
      <c r="C49" s="2336"/>
      <c r="D49" s="2317"/>
      <c r="E49" s="2338"/>
      <c r="F49" s="2338"/>
      <c r="G49" s="2338"/>
      <c r="H49" s="2339"/>
      <c r="I49" s="2340"/>
      <c r="J49" s="2341"/>
      <c r="K49" s="2342"/>
      <c r="L49" s="2342"/>
      <c r="M49" s="2343"/>
      <c r="N49" s="2343"/>
      <c r="O49" s="2343"/>
      <c r="P49" s="2341"/>
      <c r="Q49" s="2344"/>
      <c r="R49" s="2345"/>
      <c r="S49" s="2343"/>
      <c r="T49" s="2346"/>
      <c r="U49" s="2347"/>
      <c r="V49" s="2348"/>
      <c r="W49" s="2348"/>
      <c r="X49" s="2349"/>
      <c r="Y49" s="2350"/>
      <c r="Z49" s="2350"/>
      <c r="AA49" s="2350"/>
      <c r="AB49" s="2350"/>
      <c r="AC49" s="2351"/>
    </row>
    <row r="50" spans="1:29" s="2316" customFormat="1" ht="50" customHeight="1">
      <c r="A50" s="2321">
        <f t="shared" si="0"/>
        <v>12</v>
      </c>
      <c r="B50" s="2322" t="str">
        <f>Cement!P18</f>
        <v>سیمان هگمتان</v>
      </c>
      <c r="C50" s="2321" t="str">
        <f>Cement!Q18</f>
        <v>سهگمت</v>
      </c>
      <c r="D50" s="2315">
        <f>Cement!R18</f>
        <v>10</v>
      </c>
      <c r="E50" s="2323">
        <f>Cement!BN18</f>
        <v>1</v>
      </c>
      <c r="F50" s="2323">
        <f>Cement!AV18</f>
        <v>754</v>
      </c>
      <c r="G50" s="2323">
        <f>Cement!AW18</f>
        <v>301</v>
      </c>
      <c r="H50" s="2324"/>
      <c r="I50" s="2325"/>
      <c r="J50" s="2326">
        <f>Cement!BR18</f>
        <v>0</v>
      </c>
      <c r="K50" s="2327">
        <f>Cement!CJ18</f>
        <v>72.878900000000002</v>
      </c>
      <c r="L50" s="2327">
        <f>Cement!CM18</f>
        <v>83</v>
      </c>
      <c r="M50" s="2328">
        <f>Cement!CN18</f>
        <v>327</v>
      </c>
      <c r="N50" s="2328">
        <f>Cement!CO18</f>
        <v>803</v>
      </c>
      <c r="O50" s="2328">
        <f>Cement!CR18</f>
        <v>2472</v>
      </c>
      <c r="P50" s="2326">
        <f>Cement!CS18</f>
        <v>-80</v>
      </c>
      <c r="Q50" s="2329">
        <f>Cement!CU18</f>
        <v>2588</v>
      </c>
      <c r="R50" s="2330">
        <f>Cement!CV18</f>
        <v>635</v>
      </c>
      <c r="S50" s="2328">
        <f>Cement!CW18</f>
        <v>106</v>
      </c>
      <c r="T50" s="2331">
        <f>Cement!CX18</f>
        <v>193</v>
      </c>
      <c r="U50" s="2332">
        <f>Cement!DD18</f>
        <v>721</v>
      </c>
      <c r="V50" s="2323">
        <f>Cement!DE18</f>
        <v>505</v>
      </c>
      <c r="W50" s="2323">
        <f>Cement!DF18</f>
        <v>160</v>
      </c>
      <c r="X50" s="2333">
        <f>Cement!DG18</f>
        <v>2695</v>
      </c>
      <c r="Y50" s="2334">
        <f>Cement!DJ18</f>
        <v>701</v>
      </c>
      <c r="Z50" s="2334">
        <f>Cement!DK18</f>
        <v>164</v>
      </c>
      <c r="AA50" s="2334">
        <f>Cement!DL18</f>
        <v>232</v>
      </c>
      <c r="AB50" s="2334">
        <f>Cement!DQ18</f>
        <v>1322</v>
      </c>
      <c r="AC50" s="2335">
        <f>Cement!DR18</f>
        <v>276</v>
      </c>
    </row>
    <row r="51" spans="1:29" s="2318" customFormat="1" ht="105" customHeight="1">
      <c r="A51" s="2336" t="str">
        <f t="shared" si="0"/>
        <v/>
      </c>
      <c r="B51" s="2337"/>
      <c r="C51" s="2336"/>
      <c r="D51" s="2317"/>
      <c r="E51" s="2338"/>
      <c r="F51" s="2338"/>
      <c r="G51" s="2338"/>
      <c r="H51" s="2339"/>
      <c r="I51" s="2340"/>
      <c r="J51" s="2341"/>
      <c r="K51" s="2342"/>
      <c r="L51" s="2342"/>
      <c r="M51" s="2343"/>
      <c r="N51" s="2343"/>
      <c r="O51" s="2343"/>
      <c r="P51" s="2341"/>
      <c r="Q51" s="2344"/>
      <c r="R51" s="2345"/>
      <c r="S51" s="2343"/>
      <c r="T51" s="2346"/>
      <c r="U51" s="2347"/>
      <c r="V51" s="2348"/>
      <c r="W51" s="2348"/>
      <c r="X51" s="2349"/>
      <c r="Y51" s="2350"/>
      <c r="Z51" s="2350"/>
      <c r="AA51" s="2350"/>
      <c r="AB51" s="2350"/>
      <c r="AC51" s="2351"/>
    </row>
    <row r="52" spans="1:29" s="2318" customFormat="1" ht="70" customHeight="1">
      <c r="A52" s="2321" t="str">
        <f t="shared" si="0"/>
        <v/>
      </c>
      <c r="B52" s="2353" t="s">
        <v>3132</v>
      </c>
      <c r="C52" s="2352"/>
      <c r="D52" s="2319"/>
      <c r="E52" s="2319"/>
      <c r="F52" s="2319"/>
      <c r="G52" s="2319"/>
      <c r="H52" s="2319"/>
      <c r="I52" s="2319"/>
      <c r="J52" s="2354"/>
      <c r="K52" s="2355"/>
      <c r="L52" s="2355"/>
      <c r="M52" s="2356"/>
      <c r="N52" s="2356"/>
      <c r="O52" s="2356"/>
      <c r="P52" s="2354"/>
      <c r="Q52" s="2344"/>
      <c r="R52" s="2345"/>
      <c r="S52" s="2356"/>
      <c r="T52" s="2346"/>
      <c r="U52" s="2347"/>
      <c r="V52" s="2357"/>
      <c r="W52" s="2357"/>
      <c r="X52" s="2349"/>
      <c r="Y52" s="2358"/>
      <c r="Z52" s="2358"/>
      <c r="AA52" s="2358"/>
      <c r="AB52" s="2358"/>
      <c r="AC52" s="2359"/>
    </row>
    <row r="53" spans="1:29" s="2318" customFormat="1" ht="105" customHeight="1">
      <c r="A53" s="2336" t="str">
        <f t="shared" si="0"/>
        <v/>
      </c>
      <c r="B53" s="2337" t="s">
        <v>3133</v>
      </c>
      <c r="C53" s="2336"/>
      <c r="D53" s="2317"/>
      <c r="E53" s="2338"/>
      <c r="F53" s="2338"/>
      <c r="G53" s="2338"/>
      <c r="H53" s="2339"/>
      <c r="I53" s="2340"/>
      <c r="J53" s="2341"/>
      <c r="K53" s="2342"/>
      <c r="L53" s="2342"/>
      <c r="M53" s="2343"/>
      <c r="N53" s="2343"/>
      <c r="O53" s="2343"/>
      <c r="P53" s="2341"/>
      <c r="Q53" s="2344"/>
      <c r="R53" s="2345"/>
      <c r="S53" s="2343"/>
      <c r="T53" s="2346"/>
      <c r="U53" s="2347"/>
      <c r="V53" s="2348"/>
      <c r="W53" s="2348"/>
      <c r="X53" s="2349"/>
      <c r="Y53" s="2350"/>
      <c r="Z53" s="2350"/>
      <c r="AA53" s="2350"/>
      <c r="AB53" s="2350"/>
      <c r="AC53" s="2351"/>
    </row>
    <row r="54" spans="1:29" s="2316" customFormat="1" ht="50" customHeight="1">
      <c r="A54" s="2321">
        <f t="shared" si="0"/>
        <v>13</v>
      </c>
      <c r="B54" s="2322" t="str">
        <f>Cement!P19</f>
        <v>سيمان‌ صوفيان‌</v>
      </c>
      <c r="C54" s="2321" t="str">
        <f>Cement!Q19</f>
        <v>سصوفي</v>
      </c>
      <c r="D54" s="2315">
        <f>Cement!R19</f>
        <v>12</v>
      </c>
      <c r="E54" s="2323">
        <f>Cement!BN19</f>
        <v>3</v>
      </c>
      <c r="F54" s="2323">
        <f>Cement!AV19</f>
        <v>1775</v>
      </c>
      <c r="G54" s="2323">
        <f>Cement!AW19</f>
        <v>1023</v>
      </c>
      <c r="H54" s="2324"/>
      <c r="I54" s="2325"/>
      <c r="J54" s="2326">
        <f>Cement!BR19</f>
        <v>0</v>
      </c>
      <c r="K54" s="2327">
        <f>Cement!CJ19</f>
        <v>110</v>
      </c>
      <c r="L54" s="2327">
        <f>Cement!CM19</f>
        <v>299</v>
      </c>
      <c r="M54" s="2328">
        <f>Cement!CN19</f>
        <v>1088</v>
      </c>
      <c r="N54" s="2328">
        <f>Cement!CO19</f>
        <v>27</v>
      </c>
      <c r="O54" s="2328">
        <f>Cement!CR19</f>
        <v>1331</v>
      </c>
      <c r="P54" s="2326">
        <f>Cement!CS19</f>
        <v>-7</v>
      </c>
      <c r="Q54" s="2329">
        <f>Cement!CU19</f>
        <v>1513</v>
      </c>
      <c r="R54" s="2330">
        <f>Cement!CV19</f>
        <v>6144</v>
      </c>
      <c r="S54" s="2328">
        <f>Cement!CW19</f>
        <v>1235</v>
      </c>
      <c r="T54" s="2331">
        <f>Cement!CX19</f>
        <v>331</v>
      </c>
      <c r="U54" s="2332">
        <f>Cement!DD19</f>
        <v>1243</v>
      </c>
      <c r="V54" s="2323">
        <f>Cement!DE19</f>
        <v>1154</v>
      </c>
      <c r="W54" s="2323">
        <f>Cement!DF19</f>
        <v>82</v>
      </c>
      <c r="X54" s="2333">
        <f>Cement!DG19</f>
        <v>6745</v>
      </c>
      <c r="Y54" s="2334">
        <f>Cement!DJ19</f>
        <v>1433</v>
      </c>
      <c r="Z54" s="2334">
        <f>Cement!DK19</f>
        <v>528</v>
      </c>
      <c r="AA54" s="2334">
        <f>Cement!DL19</f>
        <v>1027</v>
      </c>
      <c r="AB54" s="2334">
        <f>Cement!DQ19</f>
        <v>3447</v>
      </c>
      <c r="AC54" s="2335">
        <f>Cement!DR19</f>
        <v>310</v>
      </c>
    </row>
    <row r="55" spans="1:29" s="2318" customFormat="1" ht="105" customHeight="1">
      <c r="A55" s="2336" t="str">
        <f t="shared" si="0"/>
        <v/>
      </c>
      <c r="B55" s="2337"/>
      <c r="C55" s="2336"/>
      <c r="D55" s="2317"/>
      <c r="E55" s="2338"/>
      <c r="F55" s="2338"/>
      <c r="G55" s="2338"/>
      <c r="H55" s="2339"/>
      <c r="I55" s="2340"/>
      <c r="J55" s="2341"/>
      <c r="K55" s="2342"/>
      <c r="L55" s="2342"/>
      <c r="M55" s="2343"/>
      <c r="N55" s="2343"/>
      <c r="O55" s="2343"/>
      <c r="P55" s="2341"/>
      <c r="Q55" s="2344"/>
      <c r="R55" s="2345"/>
      <c r="S55" s="2343"/>
      <c r="T55" s="2346"/>
      <c r="U55" s="2347"/>
      <c r="V55" s="2348"/>
      <c r="W55" s="2348"/>
      <c r="X55" s="2349"/>
      <c r="Y55" s="2350"/>
      <c r="Z55" s="2350"/>
      <c r="AA55" s="2350"/>
      <c r="AB55" s="2350"/>
      <c r="AC55" s="2351"/>
    </row>
    <row r="56" spans="1:29" s="2318" customFormat="1" ht="70" customHeight="1">
      <c r="A56" s="2321" t="str">
        <f t="shared" si="0"/>
        <v/>
      </c>
      <c r="B56" s="2353" t="s">
        <v>3132</v>
      </c>
      <c r="C56" s="2352"/>
      <c r="D56" s="2319"/>
      <c r="E56" s="2319"/>
      <c r="F56" s="2319"/>
      <c r="G56" s="2319"/>
      <c r="H56" s="2319"/>
      <c r="I56" s="2319"/>
      <c r="J56" s="2354"/>
      <c r="K56" s="2355"/>
      <c r="L56" s="2355"/>
      <c r="M56" s="2356"/>
      <c r="N56" s="2356"/>
      <c r="O56" s="2356"/>
      <c r="P56" s="2354"/>
      <c r="Q56" s="2344"/>
      <c r="R56" s="2345"/>
      <c r="S56" s="2356"/>
      <c r="T56" s="2346"/>
      <c r="U56" s="2347"/>
      <c r="V56" s="2357"/>
      <c r="W56" s="2357"/>
      <c r="X56" s="2349"/>
      <c r="Y56" s="2358"/>
      <c r="Z56" s="2358"/>
      <c r="AA56" s="2358"/>
      <c r="AB56" s="2358"/>
      <c r="AC56" s="2359"/>
    </row>
    <row r="57" spans="1:29" s="2318" customFormat="1" ht="105" customHeight="1">
      <c r="A57" s="2336" t="str">
        <f t="shared" si="0"/>
        <v/>
      </c>
      <c r="B57" s="2337" t="s">
        <v>3133</v>
      </c>
      <c r="C57" s="2336"/>
      <c r="D57" s="2317"/>
      <c r="E57" s="2338"/>
      <c r="F57" s="2338"/>
      <c r="G57" s="2338"/>
      <c r="H57" s="2339"/>
      <c r="I57" s="2340"/>
      <c r="J57" s="2341"/>
      <c r="K57" s="2342"/>
      <c r="L57" s="2342"/>
      <c r="M57" s="2343"/>
      <c r="N57" s="2343"/>
      <c r="O57" s="2343"/>
      <c r="P57" s="2341"/>
      <c r="Q57" s="2344"/>
      <c r="R57" s="2345"/>
      <c r="S57" s="2343"/>
      <c r="T57" s="2346"/>
      <c r="U57" s="2347"/>
      <c r="V57" s="2348"/>
      <c r="W57" s="2348"/>
      <c r="X57" s="2349"/>
      <c r="Y57" s="2350"/>
      <c r="Z57" s="2350"/>
      <c r="AA57" s="2350"/>
      <c r="AB57" s="2350"/>
      <c r="AC57" s="2351"/>
    </row>
    <row r="58" spans="1:29" s="2316" customFormat="1" ht="50" customHeight="1">
      <c r="A58" s="2321">
        <f t="shared" si="0"/>
        <v>14</v>
      </c>
      <c r="B58" s="2322" t="str">
        <f>Cement!P20</f>
        <v>سيمان ممتازان كرمان</v>
      </c>
      <c r="C58" s="2321" t="str">
        <f>Cement!Q20</f>
        <v>سمتاز</v>
      </c>
      <c r="D58" s="2315">
        <f>Cement!R20</f>
        <v>12</v>
      </c>
      <c r="E58" s="2323">
        <f>Cement!BN20</f>
        <v>3</v>
      </c>
      <c r="F58" s="2323">
        <f>Cement!AV20</f>
        <v>865</v>
      </c>
      <c r="G58" s="2323">
        <f>Cement!AW20</f>
        <v>448</v>
      </c>
      <c r="H58" s="2324"/>
      <c r="I58" s="2325"/>
      <c r="J58" s="2326">
        <f>Cement!BR20</f>
        <v>0</v>
      </c>
      <c r="K58" s="2327">
        <f>Cement!CJ20</f>
        <v>200</v>
      </c>
      <c r="L58" s="2327">
        <f>Cement!CM20</f>
        <v>48</v>
      </c>
      <c r="M58" s="2328">
        <f>Cement!CN20</f>
        <v>401</v>
      </c>
      <c r="N58" s="2328">
        <f>Cement!CO20</f>
        <v>0</v>
      </c>
      <c r="O58" s="2328">
        <f>Cement!CR20</f>
        <v>816</v>
      </c>
      <c r="P58" s="2326">
        <f>Cement!CS20</f>
        <v>-132</v>
      </c>
      <c r="Q58" s="2329">
        <f>Cement!CU20</f>
        <v>933</v>
      </c>
      <c r="R58" s="2330">
        <f>Cement!CV20</f>
        <v>2335</v>
      </c>
      <c r="S58" s="2328">
        <f>Cement!CW20</f>
        <v>41</v>
      </c>
      <c r="T58" s="2331">
        <f>Cement!CX20</f>
        <v>140</v>
      </c>
      <c r="U58" s="2332">
        <f>Cement!DD20</f>
        <v>699</v>
      </c>
      <c r="V58" s="2323">
        <f>Cement!DE20</f>
        <v>461</v>
      </c>
      <c r="W58" s="2323">
        <f>Cement!DF20</f>
        <v>223</v>
      </c>
      <c r="X58" s="2333">
        <f>Cement!DG20</f>
        <v>2709</v>
      </c>
      <c r="Y58" s="2334">
        <f>Cement!DJ20</f>
        <v>880</v>
      </c>
      <c r="Z58" s="2334">
        <f>Cement!DK20</f>
        <v>543</v>
      </c>
      <c r="AA58" s="2334">
        <f>Cement!DL20</f>
        <v>59</v>
      </c>
      <c r="AB58" s="2334">
        <f>Cement!DQ20</f>
        <v>1103</v>
      </c>
      <c r="AC58" s="2335">
        <f>Cement!DR20</f>
        <v>124</v>
      </c>
    </row>
    <row r="59" spans="1:29" s="2318" customFormat="1" ht="105" customHeight="1">
      <c r="A59" s="2336" t="str">
        <f t="shared" si="0"/>
        <v/>
      </c>
      <c r="B59" s="2337"/>
      <c r="C59" s="2336"/>
      <c r="D59" s="2317"/>
      <c r="E59" s="2338"/>
      <c r="F59" s="2338"/>
      <c r="G59" s="2338"/>
      <c r="H59" s="2339"/>
      <c r="I59" s="2340"/>
      <c r="J59" s="2341"/>
      <c r="K59" s="2342"/>
      <c r="L59" s="2342"/>
      <c r="M59" s="2343"/>
      <c r="N59" s="2343"/>
      <c r="O59" s="2343"/>
      <c r="P59" s="2341"/>
      <c r="Q59" s="2344"/>
      <c r="R59" s="2345"/>
      <c r="S59" s="2343"/>
      <c r="T59" s="2346"/>
      <c r="U59" s="2347"/>
      <c r="V59" s="2348"/>
      <c r="W59" s="2348"/>
      <c r="X59" s="2349"/>
      <c r="Y59" s="2350"/>
      <c r="Z59" s="2350"/>
      <c r="AA59" s="2350"/>
      <c r="AB59" s="2350"/>
      <c r="AC59" s="2351"/>
    </row>
    <row r="60" spans="1:29" s="2318" customFormat="1" ht="70" customHeight="1">
      <c r="A60" s="2321" t="str">
        <f t="shared" si="0"/>
        <v/>
      </c>
      <c r="B60" s="2353" t="s">
        <v>3132</v>
      </c>
      <c r="C60" s="2352"/>
      <c r="D60" s="2319"/>
      <c r="E60" s="2319"/>
      <c r="F60" s="2319"/>
      <c r="G60" s="2319"/>
      <c r="H60" s="2319"/>
      <c r="I60" s="2319"/>
      <c r="J60" s="2354"/>
      <c r="K60" s="2355"/>
      <c r="L60" s="2355"/>
      <c r="M60" s="2356"/>
      <c r="N60" s="2356"/>
      <c r="O60" s="2356"/>
      <c r="P60" s="2354"/>
      <c r="Q60" s="2344"/>
      <c r="R60" s="2345"/>
      <c r="S60" s="2356"/>
      <c r="T60" s="2346"/>
      <c r="U60" s="2347"/>
      <c r="V60" s="2357"/>
      <c r="W60" s="2357"/>
      <c r="X60" s="2349"/>
      <c r="Y60" s="2358"/>
      <c r="Z60" s="2358"/>
      <c r="AA60" s="2358"/>
      <c r="AB60" s="2358"/>
      <c r="AC60" s="2359"/>
    </row>
    <row r="61" spans="1:29" s="2318" customFormat="1" ht="105" customHeight="1">
      <c r="A61" s="2336" t="str">
        <f t="shared" si="0"/>
        <v/>
      </c>
      <c r="B61" s="2337" t="s">
        <v>3133</v>
      </c>
      <c r="C61" s="2336"/>
      <c r="D61" s="2317"/>
      <c r="E61" s="2338"/>
      <c r="F61" s="2338"/>
      <c r="G61" s="2338"/>
      <c r="H61" s="2339"/>
      <c r="I61" s="2340"/>
      <c r="J61" s="2341"/>
      <c r="K61" s="2342"/>
      <c r="L61" s="2342"/>
      <c r="M61" s="2343"/>
      <c r="N61" s="2343"/>
      <c r="O61" s="2343"/>
      <c r="P61" s="2341"/>
      <c r="Q61" s="2344"/>
      <c r="R61" s="2345"/>
      <c r="S61" s="2343"/>
      <c r="T61" s="2346"/>
      <c r="U61" s="2347"/>
      <c r="V61" s="2348"/>
      <c r="W61" s="2348"/>
      <c r="X61" s="2349"/>
      <c r="Y61" s="2350"/>
      <c r="Z61" s="2350"/>
      <c r="AA61" s="2350"/>
      <c r="AB61" s="2350"/>
      <c r="AC61" s="2351"/>
    </row>
    <row r="62" spans="1:29" s="2316" customFormat="1" ht="50" customHeight="1">
      <c r="A62" s="2321">
        <f t="shared" si="0"/>
        <v>15</v>
      </c>
      <c r="B62" s="2360" t="str">
        <f>Cement!P21</f>
        <v>سيمان‌ كرمان‌</v>
      </c>
      <c r="C62" s="2321" t="str">
        <f>Cement!Q21</f>
        <v>سكرما</v>
      </c>
      <c r="D62" s="2315">
        <f>Cement!R21</f>
        <v>9</v>
      </c>
      <c r="E62" s="2323">
        <f>Cement!BN21</f>
        <v>3</v>
      </c>
      <c r="F62" s="2323">
        <f>Cement!AV21</f>
        <v>1467</v>
      </c>
      <c r="G62" s="2323">
        <f>Cement!AW21</f>
        <v>583</v>
      </c>
      <c r="H62" s="2324"/>
      <c r="I62" s="2325"/>
      <c r="J62" s="2326">
        <f>Cement!BR21</f>
        <v>0</v>
      </c>
      <c r="K62" s="2327">
        <f>Cement!CJ21</f>
        <v>150</v>
      </c>
      <c r="L62" s="2327">
        <f>Cement!CM21</f>
        <v>575</v>
      </c>
      <c r="M62" s="2328">
        <f>Cement!CN21</f>
        <v>1028</v>
      </c>
      <c r="N62" s="2328">
        <f>Cement!CO21</f>
        <v>45</v>
      </c>
      <c r="O62" s="2328">
        <f>Cement!CR21</f>
        <v>1305</v>
      </c>
      <c r="P62" s="2326">
        <f>Cement!CS21</f>
        <v>0</v>
      </c>
      <c r="Q62" s="2329">
        <f>Cement!CU21</f>
        <v>1470</v>
      </c>
      <c r="R62" s="2330">
        <f>Cement!CV21</f>
        <v>1936</v>
      </c>
      <c r="S62" s="2328">
        <f>Cement!CW21</f>
        <v>0</v>
      </c>
      <c r="T62" s="2331">
        <f>Cement!CX21</f>
        <v>49</v>
      </c>
      <c r="U62" s="2332">
        <f>Cement!DD21</f>
        <v>748</v>
      </c>
      <c r="V62" s="2323">
        <f>Cement!DE21</f>
        <v>267</v>
      </c>
      <c r="W62" s="2323">
        <f>Cement!DF21</f>
        <v>477</v>
      </c>
      <c r="X62" s="2333">
        <f>Cement!DG21</f>
        <v>2707</v>
      </c>
      <c r="Y62" s="2334">
        <f>Cement!DJ21</f>
        <v>1076</v>
      </c>
      <c r="Z62" s="2334">
        <f>Cement!DK21</f>
        <v>827</v>
      </c>
      <c r="AA62" s="2334">
        <f>Cement!DL21</f>
        <v>616</v>
      </c>
      <c r="AB62" s="2334">
        <f>Cement!DQ21</f>
        <v>0</v>
      </c>
      <c r="AC62" s="2335">
        <f>Cement!DR21</f>
        <v>188</v>
      </c>
    </row>
    <row r="63" spans="1:29" s="2318" customFormat="1" ht="105" customHeight="1">
      <c r="A63" s="2336" t="str">
        <f t="shared" si="0"/>
        <v/>
      </c>
      <c r="B63" s="2337"/>
      <c r="C63" s="2336"/>
      <c r="D63" s="2317"/>
      <c r="E63" s="2338"/>
      <c r="F63" s="2338"/>
      <c r="G63" s="2338"/>
      <c r="H63" s="2339"/>
      <c r="I63" s="2340"/>
      <c r="J63" s="2341"/>
      <c r="K63" s="2342"/>
      <c r="L63" s="2342"/>
      <c r="M63" s="2343"/>
      <c r="N63" s="2343"/>
      <c r="O63" s="2343"/>
      <c r="P63" s="2341"/>
      <c r="Q63" s="2344"/>
      <c r="R63" s="2345"/>
      <c r="S63" s="2343"/>
      <c r="T63" s="2346"/>
      <c r="U63" s="2347"/>
      <c r="V63" s="2348"/>
      <c r="W63" s="2348"/>
      <c r="X63" s="2349"/>
      <c r="Y63" s="2350"/>
      <c r="Z63" s="2350"/>
      <c r="AA63" s="2350"/>
      <c r="AB63" s="2350"/>
      <c r="AC63" s="2351"/>
    </row>
    <row r="64" spans="1:29" s="2318" customFormat="1" ht="70" customHeight="1">
      <c r="A64" s="2321" t="str">
        <f t="shared" si="0"/>
        <v/>
      </c>
      <c r="B64" s="2353" t="s">
        <v>3132</v>
      </c>
      <c r="C64" s="2352"/>
      <c r="D64" s="2319"/>
      <c r="E64" s="2319"/>
      <c r="F64" s="2319"/>
      <c r="G64" s="2319"/>
      <c r="H64" s="2319"/>
      <c r="I64" s="2319"/>
      <c r="J64" s="2354"/>
      <c r="K64" s="2355"/>
      <c r="L64" s="2355"/>
      <c r="M64" s="2356"/>
      <c r="N64" s="2356"/>
      <c r="O64" s="2356"/>
      <c r="P64" s="2354"/>
      <c r="Q64" s="2344"/>
      <c r="R64" s="2345"/>
      <c r="S64" s="2356"/>
      <c r="T64" s="2346"/>
      <c r="U64" s="2347"/>
      <c r="V64" s="2357"/>
      <c r="W64" s="2357"/>
      <c r="X64" s="2349"/>
      <c r="Y64" s="2358"/>
      <c r="Z64" s="2358"/>
      <c r="AA64" s="2358"/>
      <c r="AB64" s="2358"/>
      <c r="AC64" s="2359"/>
    </row>
    <row r="65" spans="1:29" s="2318" customFormat="1" ht="105" customHeight="1">
      <c r="A65" s="2336" t="str">
        <f t="shared" si="0"/>
        <v/>
      </c>
      <c r="B65" s="2337" t="s">
        <v>3133</v>
      </c>
      <c r="C65" s="2336"/>
      <c r="D65" s="2317"/>
      <c r="E65" s="2338"/>
      <c r="F65" s="2338"/>
      <c r="G65" s="2338"/>
      <c r="H65" s="2339"/>
      <c r="I65" s="2340"/>
      <c r="J65" s="2341"/>
      <c r="K65" s="2342"/>
      <c r="L65" s="2342"/>
      <c r="M65" s="2343"/>
      <c r="N65" s="2343"/>
      <c r="O65" s="2343"/>
      <c r="P65" s="2341"/>
      <c r="Q65" s="2344"/>
      <c r="R65" s="2345"/>
      <c r="S65" s="2343"/>
      <c r="T65" s="2346"/>
      <c r="U65" s="2347"/>
      <c r="V65" s="2348"/>
      <c r="W65" s="2348"/>
      <c r="X65" s="2349"/>
      <c r="Y65" s="2350"/>
      <c r="Z65" s="2350"/>
      <c r="AA65" s="2350"/>
      <c r="AB65" s="2350"/>
      <c r="AC65" s="2351"/>
    </row>
    <row r="66" spans="1:29" s="2316" customFormat="1" ht="50" customHeight="1">
      <c r="A66" s="2321">
        <f t="shared" si="0"/>
        <v>16</v>
      </c>
      <c r="B66" s="2322" t="str">
        <f>Cement!P22</f>
        <v>سيمان ساوه</v>
      </c>
      <c r="C66" s="2321" t="str">
        <f>Cement!Q22</f>
        <v>ساوه</v>
      </c>
      <c r="D66" s="2315">
        <f>Cement!R22</f>
        <v>12</v>
      </c>
      <c r="E66" s="2323">
        <f>Cement!BN22</f>
        <v>3</v>
      </c>
      <c r="F66" s="2323">
        <f>Cement!AV22</f>
        <v>2011</v>
      </c>
      <c r="G66" s="2323">
        <f>Cement!AW22</f>
        <v>1000</v>
      </c>
      <c r="H66" s="2324"/>
      <c r="I66" s="2325"/>
      <c r="J66" s="2326">
        <f>Cement!BR22</f>
        <v>0</v>
      </c>
      <c r="K66" s="2327">
        <f>Cement!CJ22</f>
        <v>1718.1088</v>
      </c>
      <c r="L66" s="2327">
        <f>Cement!CM22</f>
        <v>44</v>
      </c>
      <c r="M66" s="2328">
        <f>Cement!CN22</f>
        <v>825</v>
      </c>
      <c r="N66" s="2328">
        <f>Cement!CO22</f>
        <v>0</v>
      </c>
      <c r="O66" s="2328">
        <f>Cement!CR22</f>
        <v>991</v>
      </c>
      <c r="P66" s="2326">
        <f>Cement!CS22</f>
        <v>-33</v>
      </c>
      <c r="Q66" s="2329">
        <f>Cement!CU22</f>
        <v>2853</v>
      </c>
      <c r="R66" s="2330">
        <f>Cement!CV22</f>
        <v>4701</v>
      </c>
      <c r="S66" s="2328">
        <f>Cement!CW22</f>
        <v>260</v>
      </c>
      <c r="T66" s="2331">
        <f>Cement!CX22</f>
        <v>248</v>
      </c>
      <c r="U66" s="2332">
        <f>Cement!DD22</f>
        <v>4019</v>
      </c>
      <c r="V66" s="2323">
        <f>Cement!DE22</f>
        <v>3816</v>
      </c>
      <c r="W66" s="2323">
        <f>Cement!DF22</f>
        <v>176</v>
      </c>
      <c r="X66" s="2333">
        <f>Cement!DG22</f>
        <v>3783</v>
      </c>
      <c r="Y66" s="2334">
        <f>Cement!DJ22</f>
        <v>2394</v>
      </c>
      <c r="Z66" s="2334">
        <f>Cement!DK22</f>
        <v>517</v>
      </c>
      <c r="AA66" s="2334">
        <f>Cement!DL22</f>
        <v>165</v>
      </c>
      <c r="AB66" s="2334">
        <f>Cement!DQ22</f>
        <v>175</v>
      </c>
      <c r="AC66" s="2335">
        <f>Cement!DR22</f>
        <v>532</v>
      </c>
    </row>
    <row r="67" spans="1:29" s="2318" customFormat="1" ht="105" customHeight="1">
      <c r="A67" s="2336" t="str">
        <f t="shared" si="0"/>
        <v/>
      </c>
      <c r="B67" s="2337"/>
      <c r="C67" s="2336"/>
      <c r="D67" s="2317"/>
      <c r="E67" s="2338"/>
      <c r="F67" s="2338"/>
      <c r="G67" s="2338"/>
      <c r="H67" s="2339"/>
      <c r="I67" s="2340"/>
      <c r="J67" s="2341"/>
      <c r="K67" s="2342"/>
      <c r="L67" s="2342"/>
      <c r="M67" s="2343"/>
      <c r="N67" s="2343"/>
      <c r="O67" s="2343"/>
      <c r="P67" s="2341"/>
      <c r="Q67" s="2344"/>
      <c r="R67" s="2345"/>
      <c r="S67" s="2343"/>
      <c r="T67" s="2346"/>
      <c r="U67" s="2347"/>
      <c r="V67" s="2348"/>
      <c r="W67" s="2348"/>
      <c r="X67" s="2349"/>
      <c r="Y67" s="2350"/>
      <c r="Z67" s="2350"/>
      <c r="AA67" s="2350"/>
      <c r="AB67" s="2350"/>
      <c r="AC67" s="2351"/>
    </row>
    <row r="68" spans="1:29" s="2318" customFormat="1" ht="70" customHeight="1">
      <c r="A68" s="2321" t="str">
        <f t="shared" si="0"/>
        <v/>
      </c>
      <c r="B68" s="2353" t="s">
        <v>3132</v>
      </c>
      <c r="C68" s="2352"/>
      <c r="D68" s="2319"/>
      <c r="E68" s="2319"/>
      <c r="F68" s="2319"/>
      <c r="G68" s="2319"/>
      <c r="H68" s="2319"/>
      <c r="I68" s="2319"/>
      <c r="J68" s="2354"/>
      <c r="K68" s="2355"/>
      <c r="L68" s="2355"/>
      <c r="M68" s="2356"/>
      <c r="N68" s="2356"/>
      <c r="O68" s="2356"/>
      <c r="P68" s="2354"/>
      <c r="Q68" s="2344"/>
      <c r="R68" s="2345"/>
      <c r="S68" s="2356"/>
      <c r="T68" s="2346"/>
      <c r="U68" s="2347"/>
      <c r="V68" s="2357"/>
      <c r="W68" s="2357"/>
      <c r="X68" s="2349"/>
      <c r="Y68" s="2358"/>
      <c r="Z68" s="2358"/>
      <c r="AA68" s="2358"/>
      <c r="AB68" s="2358"/>
      <c r="AC68" s="2359"/>
    </row>
    <row r="69" spans="1:29" s="2318" customFormat="1" ht="105" customHeight="1">
      <c r="A69" s="2336" t="str">
        <f t="shared" si="0"/>
        <v/>
      </c>
      <c r="B69" s="2337" t="s">
        <v>3133</v>
      </c>
      <c r="C69" s="2336"/>
      <c r="D69" s="2317"/>
      <c r="E69" s="2338"/>
      <c r="F69" s="2338"/>
      <c r="G69" s="2338"/>
      <c r="H69" s="2339"/>
      <c r="I69" s="2340"/>
      <c r="J69" s="2341"/>
      <c r="K69" s="2342"/>
      <c r="L69" s="2342"/>
      <c r="M69" s="2343"/>
      <c r="N69" s="2343"/>
      <c r="O69" s="2343"/>
      <c r="P69" s="2341"/>
      <c r="Q69" s="2344"/>
      <c r="R69" s="2345"/>
      <c r="S69" s="2343"/>
      <c r="T69" s="2346"/>
      <c r="U69" s="2347"/>
      <c r="V69" s="2348"/>
      <c r="W69" s="2348"/>
      <c r="X69" s="2349"/>
      <c r="Y69" s="2350"/>
      <c r="Z69" s="2350"/>
      <c r="AA69" s="2350"/>
      <c r="AB69" s="2350"/>
      <c r="AC69" s="2351"/>
    </row>
    <row r="70" spans="1:29" s="2316" customFormat="1" ht="50" customHeight="1">
      <c r="A70" s="2321">
        <f t="shared" si="0"/>
        <v>17</v>
      </c>
      <c r="B70" s="2322" t="str">
        <f>Cement!P23</f>
        <v>سيمان ‌مازندران‌</v>
      </c>
      <c r="C70" s="2321" t="str">
        <f>Cement!Q23</f>
        <v>سمازن</v>
      </c>
      <c r="D70" s="2315">
        <f>Cement!R23</f>
        <v>9</v>
      </c>
      <c r="E70" s="2323">
        <f>Cement!BN23</f>
        <v>3</v>
      </c>
      <c r="F70" s="2323">
        <f>Cement!AV23</f>
        <v>3269</v>
      </c>
      <c r="G70" s="2323">
        <f>Cement!AW23</f>
        <v>1792</v>
      </c>
      <c r="H70" s="2324"/>
      <c r="I70" s="2325"/>
      <c r="J70" s="2326">
        <f>Cement!BR23</f>
        <v>0</v>
      </c>
      <c r="K70" s="2327">
        <f>Cement!CJ23</f>
        <v>246.6</v>
      </c>
      <c r="L70" s="2327">
        <f>Cement!CM23</f>
        <v>196</v>
      </c>
      <c r="M70" s="2328">
        <f>Cement!CN23</f>
        <v>1700</v>
      </c>
      <c r="N70" s="2328">
        <f>Cement!CO23</f>
        <v>1</v>
      </c>
      <c r="O70" s="2328">
        <f>Cement!CR23</f>
        <v>1998</v>
      </c>
      <c r="P70" s="2326">
        <f>Cement!CS23</f>
        <v>0</v>
      </c>
      <c r="Q70" s="2329">
        <f>Cement!CU23</f>
        <v>2269</v>
      </c>
      <c r="R70" s="2330">
        <f>Cement!CV23</f>
        <v>2136</v>
      </c>
      <c r="S70" s="2328">
        <f>Cement!CW23</f>
        <v>272</v>
      </c>
      <c r="T70" s="2331">
        <f>Cement!CX23</f>
        <v>78</v>
      </c>
      <c r="U70" s="2332">
        <f>Cement!DD23</f>
        <v>2026</v>
      </c>
      <c r="V70" s="2323">
        <f>Cement!DE23</f>
        <v>608</v>
      </c>
      <c r="W70" s="2323">
        <f>Cement!DF23</f>
        <v>1375</v>
      </c>
      <c r="X70" s="2333">
        <f>Cement!DG23</f>
        <v>2457</v>
      </c>
      <c r="Y70" s="2334">
        <f>Cement!DJ23</f>
        <v>1448</v>
      </c>
      <c r="Z70" s="2334">
        <f>Cement!DK23</f>
        <v>493</v>
      </c>
      <c r="AA70" s="2334">
        <f>Cement!DL23</f>
        <v>105</v>
      </c>
      <c r="AB70" s="2334">
        <f>Cement!DQ23</f>
        <v>22</v>
      </c>
      <c r="AC70" s="2335">
        <f>Cement!DR23</f>
        <v>389</v>
      </c>
    </row>
    <row r="71" spans="1:29" s="2318" customFormat="1" ht="105" customHeight="1">
      <c r="A71" s="2336" t="str">
        <f t="shared" si="0"/>
        <v/>
      </c>
      <c r="B71" s="2337"/>
      <c r="C71" s="2336"/>
      <c r="D71" s="2317"/>
      <c r="E71" s="2338"/>
      <c r="F71" s="2338"/>
      <c r="G71" s="2338"/>
      <c r="H71" s="2339"/>
      <c r="I71" s="2340"/>
      <c r="J71" s="2341"/>
      <c r="K71" s="2342"/>
      <c r="L71" s="2342"/>
      <c r="M71" s="2343"/>
      <c r="N71" s="2343"/>
      <c r="O71" s="2343"/>
      <c r="P71" s="2341"/>
      <c r="Q71" s="2344"/>
      <c r="R71" s="2345"/>
      <c r="S71" s="2343"/>
      <c r="T71" s="2346"/>
      <c r="U71" s="2347"/>
      <c r="V71" s="2348"/>
      <c r="W71" s="2348"/>
      <c r="X71" s="2349"/>
      <c r="Y71" s="2350"/>
      <c r="Z71" s="2350"/>
      <c r="AA71" s="2350"/>
      <c r="AB71" s="2350"/>
      <c r="AC71" s="2351"/>
    </row>
    <row r="72" spans="1:29" s="2318" customFormat="1" ht="70" customHeight="1">
      <c r="A72" s="2321" t="str">
        <f t="shared" si="0"/>
        <v/>
      </c>
      <c r="B72" s="2353" t="s">
        <v>3132</v>
      </c>
      <c r="C72" s="2352"/>
      <c r="D72" s="2319"/>
      <c r="E72" s="2319"/>
      <c r="F72" s="2319"/>
      <c r="G72" s="2319"/>
      <c r="H72" s="2319"/>
      <c r="I72" s="2319"/>
      <c r="J72" s="2354"/>
      <c r="K72" s="2355"/>
      <c r="L72" s="2355"/>
      <c r="M72" s="2356"/>
      <c r="N72" s="2356"/>
      <c r="O72" s="2356"/>
      <c r="P72" s="2354"/>
      <c r="Q72" s="2344"/>
      <c r="R72" s="2345"/>
      <c r="S72" s="2356"/>
      <c r="T72" s="2346"/>
      <c r="U72" s="2347"/>
      <c r="V72" s="2357"/>
      <c r="W72" s="2357"/>
      <c r="X72" s="2349"/>
      <c r="Y72" s="2358"/>
      <c r="Z72" s="2358"/>
      <c r="AA72" s="2358"/>
      <c r="AB72" s="2358"/>
      <c r="AC72" s="2359"/>
    </row>
    <row r="73" spans="1:29" s="2318" customFormat="1" ht="105" customHeight="1">
      <c r="A73" s="2336" t="str">
        <f t="shared" si="0"/>
        <v/>
      </c>
      <c r="B73" s="2337" t="s">
        <v>3133</v>
      </c>
      <c r="C73" s="2336"/>
      <c r="D73" s="2317"/>
      <c r="E73" s="2338"/>
      <c r="F73" s="2338"/>
      <c r="G73" s="2338"/>
      <c r="H73" s="2339"/>
      <c r="I73" s="2340"/>
      <c r="J73" s="2341"/>
      <c r="K73" s="2342"/>
      <c r="L73" s="2342"/>
      <c r="M73" s="2343"/>
      <c r="N73" s="2343"/>
      <c r="O73" s="2343"/>
      <c r="P73" s="2341"/>
      <c r="Q73" s="2344"/>
      <c r="R73" s="2345"/>
      <c r="S73" s="2343"/>
      <c r="T73" s="2346"/>
      <c r="U73" s="2347"/>
      <c r="V73" s="2348"/>
      <c r="W73" s="2348"/>
      <c r="X73" s="2349"/>
      <c r="Y73" s="2350"/>
      <c r="Z73" s="2350"/>
      <c r="AA73" s="2350"/>
      <c r="AB73" s="2350"/>
      <c r="AC73" s="2351"/>
    </row>
    <row r="74" spans="1:29" s="2316" customFormat="1" ht="50" customHeight="1">
      <c r="A74" s="2321">
        <f t="shared" si="0"/>
        <v>18</v>
      </c>
      <c r="B74" s="2322" t="str">
        <f>Cement!P24</f>
        <v>سیمان اردستان</v>
      </c>
      <c r="C74" s="2321" t="str">
        <f>Cement!Q24</f>
        <v>اردستان</v>
      </c>
      <c r="D74" s="2315">
        <f>Cement!R24</f>
        <v>12</v>
      </c>
      <c r="E74" s="2323">
        <f>Cement!BN24</f>
        <v>3</v>
      </c>
      <c r="F74" s="2323">
        <f>Cement!AV24</f>
        <v>892</v>
      </c>
      <c r="G74" s="2323">
        <f>Cement!AW24</f>
        <v>494</v>
      </c>
      <c r="H74" s="2324"/>
      <c r="I74" s="2325"/>
      <c r="J74" s="2326">
        <f>Cement!BR24</f>
        <v>0</v>
      </c>
      <c r="K74" s="2327">
        <f>Cement!CJ24</f>
        <v>227</v>
      </c>
      <c r="L74" s="2327">
        <f>Cement!CM24</f>
        <v>30</v>
      </c>
      <c r="M74" s="2328">
        <f>Cement!CN24</f>
        <v>315</v>
      </c>
      <c r="N74" s="2328">
        <f>Cement!CO24</f>
        <v>7</v>
      </c>
      <c r="O74" s="2328">
        <f>Cement!CR24</f>
        <v>498</v>
      </c>
      <c r="P74" s="2326">
        <f>Cement!CS24</f>
        <v>-118</v>
      </c>
      <c r="Q74" s="2329">
        <f>Cement!CU24</f>
        <v>653</v>
      </c>
      <c r="R74" s="2330">
        <f>Cement!CV24</f>
        <v>2085</v>
      </c>
      <c r="S74" s="2328">
        <f>Cement!CW24</f>
        <v>216</v>
      </c>
      <c r="T74" s="2331">
        <f>Cement!CX24</f>
        <v>46</v>
      </c>
      <c r="U74" s="2332">
        <f>Cement!DD24</f>
        <v>540</v>
      </c>
      <c r="V74" s="2323">
        <f>Cement!DE24</f>
        <v>486</v>
      </c>
      <c r="W74" s="2323">
        <f>Cement!DF24</f>
        <v>8</v>
      </c>
      <c r="X74" s="2333">
        <f>Cement!DG24</f>
        <v>2244</v>
      </c>
      <c r="Y74" s="2334">
        <f>Cement!DJ24</f>
        <v>886</v>
      </c>
      <c r="Z74" s="2334">
        <f>Cement!DK24</f>
        <v>323</v>
      </c>
      <c r="AA74" s="2334">
        <f>Cement!DL24</f>
        <v>270</v>
      </c>
      <c r="AB74" s="2334">
        <f>Cement!DQ24</f>
        <v>717</v>
      </c>
      <c r="AC74" s="2335">
        <f>Cement!DR24</f>
        <v>48</v>
      </c>
    </row>
    <row r="75" spans="1:29" s="2318" customFormat="1" ht="105" customHeight="1">
      <c r="A75" s="2336" t="str">
        <f t="shared" si="0"/>
        <v/>
      </c>
      <c r="B75" s="2337"/>
      <c r="C75" s="2336"/>
      <c r="D75" s="2317"/>
      <c r="E75" s="2338"/>
      <c r="F75" s="2338"/>
      <c r="G75" s="2338"/>
      <c r="H75" s="2339"/>
      <c r="I75" s="2340"/>
      <c r="J75" s="2341"/>
      <c r="K75" s="2342"/>
      <c r="L75" s="2342"/>
      <c r="M75" s="2343"/>
      <c r="N75" s="2343"/>
      <c r="O75" s="2343"/>
      <c r="P75" s="2341"/>
      <c r="Q75" s="2344"/>
      <c r="R75" s="2345"/>
      <c r="S75" s="2343"/>
      <c r="T75" s="2346"/>
      <c r="U75" s="2347"/>
      <c r="V75" s="2348"/>
      <c r="W75" s="2348"/>
      <c r="X75" s="2349"/>
      <c r="Y75" s="2350"/>
      <c r="Z75" s="2350"/>
      <c r="AA75" s="2350"/>
      <c r="AB75" s="2350"/>
      <c r="AC75" s="2351"/>
    </row>
    <row r="76" spans="1:29" s="2318" customFormat="1" ht="70" customHeight="1">
      <c r="A76" s="2321" t="str">
        <f t="shared" ref="A76:A139" si="1">IFERROR(IF(A72&gt;0,A72+1,""),"")</f>
        <v/>
      </c>
      <c r="B76" s="2353" t="s">
        <v>3132</v>
      </c>
      <c r="C76" s="2352"/>
      <c r="D76" s="2319"/>
      <c r="E76" s="2319"/>
      <c r="F76" s="2319"/>
      <c r="G76" s="2319"/>
      <c r="H76" s="2319"/>
      <c r="I76" s="2319"/>
      <c r="J76" s="2354"/>
      <c r="K76" s="2355"/>
      <c r="L76" s="2355"/>
      <c r="M76" s="2356"/>
      <c r="N76" s="2356"/>
      <c r="O76" s="2356"/>
      <c r="P76" s="2354"/>
      <c r="Q76" s="2344"/>
      <c r="R76" s="2345"/>
      <c r="S76" s="2356"/>
      <c r="T76" s="2346"/>
      <c r="U76" s="2347"/>
      <c r="V76" s="2357"/>
      <c r="W76" s="2357"/>
      <c r="X76" s="2349"/>
      <c r="Y76" s="2358"/>
      <c r="Z76" s="2358"/>
      <c r="AA76" s="2358"/>
      <c r="AB76" s="2358"/>
      <c r="AC76" s="2359"/>
    </row>
    <row r="77" spans="1:29" s="2318" customFormat="1" ht="105" customHeight="1">
      <c r="A77" s="2336" t="str">
        <f t="shared" si="1"/>
        <v/>
      </c>
      <c r="B77" s="2337" t="s">
        <v>3133</v>
      </c>
      <c r="C77" s="2336"/>
      <c r="D77" s="2317"/>
      <c r="E77" s="2338"/>
      <c r="F77" s="2338"/>
      <c r="G77" s="2338"/>
      <c r="H77" s="2339"/>
      <c r="I77" s="2340"/>
      <c r="J77" s="2341"/>
      <c r="K77" s="2342"/>
      <c r="L77" s="2342"/>
      <c r="M77" s="2343"/>
      <c r="N77" s="2343"/>
      <c r="O77" s="2343"/>
      <c r="P77" s="2341"/>
      <c r="Q77" s="2344"/>
      <c r="R77" s="2345"/>
      <c r="S77" s="2343"/>
      <c r="T77" s="2346"/>
      <c r="U77" s="2347"/>
      <c r="V77" s="2348"/>
      <c r="W77" s="2348"/>
      <c r="X77" s="2349"/>
      <c r="Y77" s="2350"/>
      <c r="Z77" s="2350"/>
      <c r="AA77" s="2350"/>
      <c r="AB77" s="2350"/>
      <c r="AC77" s="2351"/>
    </row>
    <row r="78" spans="1:29" s="2316" customFormat="1" ht="50" customHeight="1">
      <c r="A78" s="2321">
        <f t="shared" si="1"/>
        <v>19</v>
      </c>
      <c r="B78" s="2322" t="str">
        <f>Cement!P25</f>
        <v>سيمان‌ خزر</v>
      </c>
      <c r="C78" s="2321" t="str">
        <f>Cement!Q25</f>
        <v>سخزر</v>
      </c>
      <c r="D78" s="2315">
        <f>Cement!R25</f>
        <v>12</v>
      </c>
      <c r="E78" s="2323">
        <f>Cement!BN25</f>
        <v>3</v>
      </c>
      <c r="F78" s="2323">
        <f>Cement!AV25</f>
        <v>830</v>
      </c>
      <c r="G78" s="2323">
        <f>Cement!AW25</f>
        <v>289</v>
      </c>
      <c r="H78" s="2324"/>
      <c r="I78" s="2325"/>
      <c r="J78" s="2326">
        <f>Cement!BR25</f>
        <v>0</v>
      </c>
      <c r="K78" s="2327">
        <f>Cement!CJ25</f>
        <v>930</v>
      </c>
      <c r="L78" s="2327">
        <f>Cement!CM25</f>
        <v>37</v>
      </c>
      <c r="M78" s="2328">
        <f>Cement!CN25</f>
        <v>276</v>
      </c>
      <c r="N78" s="2328">
        <f>Cement!CO25</f>
        <v>0</v>
      </c>
      <c r="O78" s="2328">
        <f>Cement!CR25</f>
        <v>346</v>
      </c>
      <c r="P78" s="2326">
        <f>Cement!CS25</f>
        <v>-47</v>
      </c>
      <c r="Q78" s="2329">
        <f>Cement!CU25</f>
        <v>1320</v>
      </c>
      <c r="R78" s="2330">
        <f>Cement!CV25</f>
        <v>1349</v>
      </c>
      <c r="S78" s="2328">
        <f>Cement!CW25</f>
        <v>194</v>
      </c>
      <c r="T78" s="2331">
        <f>Cement!CX25</f>
        <v>106</v>
      </c>
      <c r="U78" s="2332">
        <f>Cement!DD25</f>
        <v>1425</v>
      </c>
      <c r="V78" s="2323">
        <f>Cement!DE25</f>
        <v>1418</v>
      </c>
      <c r="W78" s="2323">
        <f>Cement!DF25</f>
        <v>1</v>
      </c>
      <c r="X78" s="2333">
        <f>Cement!DG25</f>
        <v>1350</v>
      </c>
      <c r="Y78" s="2334">
        <f>Cement!DJ25</f>
        <v>769</v>
      </c>
      <c r="Z78" s="2334">
        <f>Cement!DK25</f>
        <v>94</v>
      </c>
      <c r="AA78" s="2334">
        <f>Cement!DL25</f>
        <v>15</v>
      </c>
      <c r="AB78" s="2334">
        <f>Cement!DQ25</f>
        <v>426</v>
      </c>
      <c r="AC78" s="2335">
        <f>Cement!DR25</f>
        <v>46</v>
      </c>
    </row>
    <row r="79" spans="1:29" s="2318" customFormat="1" ht="105" customHeight="1">
      <c r="A79" s="2336" t="str">
        <f t="shared" si="1"/>
        <v/>
      </c>
      <c r="B79" s="2337"/>
      <c r="C79" s="2336"/>
      <c r="D79" s="2317"/>
      <c r="E79" s="2338"/>
      <c r="F79" s="2338"/>
      <c r="G79" s="2338"/>
      <c r="H79" s="2339"/>
      <c r="I79" s="2340"/>
      <c r="J79" s="2341"/>
      <c r="K79" s="2342"/>
      <c r="L79" s="2342"/>
      <c r="M79" s="2343"/>
      <c r="N79" s="2343"/>
      <c r="O79" s="2343"/>
      <c r="P79" s="2341"/>
      <c r="Q79" s="2344"/>
      <c r="R79" s="2345"/>
      <c r="S79" s="2343"/>
      <c r="T79" s="2346"/>
      <c r="U79" s="2347"/>
      <c r="V79" s="2348"/>
      <c r="W79" s="2348"/>
      <c r="X79" s="2349"/>
      <c r="Y79" s="2350"/>
      <c r="Z79" s="2350"/>
      <c r="AA79" s="2350"/>
      <c r="AB79" s="2350"/>
      <c r="AC79" s="2351"/>
    </row>
    <row r="80" spans="1:29" s="2318" customFormat="1" ht="70" customHeight="1">
      <c r="A80" s="2321" t="str">
        <f t="shared" si="1"/>
        <v/>
      </c>
      <c r="B80" s="2353" t="s">
        <v>3132</v>
      </c>
      <c r="C80" s="2352"/>
      <c r="D80" s="2319"/>
      <c r="E80" s="2319"/>
      <c r="F80" s="2319"/>
      <c r="G80" s="2319"/>
      <c r="H80" s="2319"/>
      <c r="I80" s="2319"/>
      <c r="J80" s="2354"/>
      <c r="K80" s="2355"/>
      <c r="L80" s="2355"/>
      <c r="M80" s="2356"/>
      <c r="N80" s="2356"/>
      <c r="O80" s="2356"/>
      <c r="P80" s="2354"/>
      <c r="Q80" s="2344"/>
      <c r="R80" s="2345"/>
      <c r="S80" s="2356"/>
      <c r="T80" s="2346"/>
      <c r="U80" s="2347"/>
      <c r="V80" s="2357"/>
      <c r="W80" s="2357"/>
      <c r="X80" s="2349"/>
      <c r="Y80" s="2358"/>
      <c r="Z80" s="2358"/>
      <c r="AA80" s="2358"/>
      <c r="AB80" s="2358"/>
      <c r="AC80" s="2359"/>
    </row>
    <row r="81" spans="1:29" s="2318" customFormat="1" ht="105" customHeight="1">
      <c r="A81" s="2336" t="str">
        <f t="shared" si="1"/>
        <v/>
      </c>
      <c r="B81" s="2337" t="s">
        <v>3133</v>
      </c>
      <c r="C81" s="2336"/>
      <c r="D81" s="2317"/>
      <c r="E81" s="2338"/>
      <c r="F81" s="2338"/>
      <c r="G81" s="2338"/>
      <c r="H81" s="2339"/>
      <c r="I81" s="2340"/>
      <c r="J81" s="2341"/>
      <c r="K81" s="2342"/>
      <c r="L81" s="2342"/>
      <c r="M81" s="2343"/>
      <c r="N81" s="2343"/>
      <c r="O81" s="2343"/>
      <c r="P81" s="2341"/>
      <c r="Q81" s="2344"/>
      <c r="R81" s="2345"/>
      <c r="S81" s="2343"/>
      <c r="T81" s="2346"/>
      <c r="U81" s="2347"/>
      <c r="V81" s="2348"/>
      <c r="W81" s="2348"/>
      <c r="X81" s="2349"/>
      <c r="Y81" s="2350"/>
      <c r="Z81" s="2350"/>
      <c r="AA81" s="2350"/>
      <c r="AB81" s="2350"/>
      <c r="AC81" s="2351"/>
    </row>
    <row r="82" spans="1:29" s="2316" customFormat="1" ht="50" customHeight="1">
      <c r="A82" s="2321">
        <f t="shared" si="1"/>
        <v>20</v>
      </c>
      <c r="B82" s="2322" t="str">
        <f>Cement!P26</f>
        <v>سيمان‌غرب‌</v>
      </c>
      <c r="C82" s="2321" t="str">
        <f>Cement!Q26</f>
        <v>سغرب</v>
      </c>
      <c r="D82" s="2315">
        <f>Cement!R26</f>
        <v>12</v>
      </c>
      <c r="E82" s="2323">
        <f>Cement!BN26</f>
        <v>3</v>
      </c>
      <c r="F82" s="2323">
        <f>Cement!AV26</f>
        <v>608</v>
      </c>
      <c r="G82" s="2323">
        <f>Cement!AW26</f>
        <v>248</v>
      </c>
      <c r="H82" s="2324"/>
      <c r="I82" s="2325"/>
      <c r="J82" s="2326">
        <f>Cement!BR26</f>
        <v>0</v>
      </c>
      <c r="K82" s="2327">
        <f>Cement!CJ26</f>
        <v>565</v>
      </c>
      <c r="L82" s="2327">
        <f>Cement!CM26</f>
        <v>160</v>
      </c>
      <c r="M82" s="2328">
        <f>Cement!CN26</f>
        <v>354</v>
      </c>
      <c r="N82" s="2328">
        <f>Cement!CO26</f>
        <v>0</v>
      </c>
      <c r="O82" s="2328">
        <f>Cement!CR26</f>
        <v>415</v>
      </c>
      <c r="P82" s="2326">
        <f>Cement!CS26</f>
        <v>-24</v>
      </c>
      <c r="Q82" s="2329">
        <f>Cement!CU26</f>
        <v>1032</v>
      </c>
      <c r="R82" s="2330">
        <f>Cement!CV26</f>
        <v>1356</v>
      </c>
      <c r="S82" s="2328">
        <f>Cement!CW26</f>
        <v>90</v>
      </c>
      <c r="T82" s="2331">
        <f>Cement!CX26</f>
        <v>97</v>
      </c>
      <c r="U82" s="2332">
        <f>Cement!DD26</f>
        <v>955</v>
      </c>
      <c r="V82" s="2323">
        <f>Cement!DE26</f>
        <v>945</v>
      </c>
      <c r="W82" s="2323">
        <f>Cement!DF26</f>
        <v>6</v>
      </c>
      <c r="X82" s="2333">
        <f>Cement!DG26</f>
        <v>1530</v>
      </c>
      <c r="Y82" s="2334">
        <f>Cement!DJ26</f>
        <v>844</v>
      </c>
      <c r="Z82" s="2334">
        <f>Cement!DK26</f>
        <v>232</v>
      </c>
      <c r="AA82" s="2334">
        <f>Cement!DL26</f>
        <v>222</v>
      </c>
      <c r="AB82" s="2334">
        <f>Cement!DQ26</f>
        <v>14</v>
      </c>
      <c r="AC82" s="2335">
        <f>Cement!DR26</f>
        <v>218</v>
      </c>
    </row>
    <row r="83" spans="1:29" s="2318" customFormat="1" ht="105" customHeight="1">
      <c r="A83" s="2336" t="str">
        <f t="shared" si="1"/>
        <v/>
      </c>
      <c r="B83" s="2337"/>
      <c r="C83" s="2336"/>
      <c r="D83" s="2317"/>
      <c r="E83" s="2338"/>
      <c r="F83" s="2338"/>
      <c r="G83" s="2338"/>
      <c r="H83" s="2339"/>
      <c r="I83" s="2340"/>
      <c r="J83" s="2341"/>
      <c r="K83" s="2342"/>
      <c r="L83" s="2342"/>
      <c r="M83" s="2343"/>
      <c r="N83" s="2343"/>
      <c r="O83" s="2343"/>
      <c r="P83" s="2341"/>
      <c r="Q83" s="2344"/>
      <c r="R83" s="2345"/>
      <c r="S83" s="2343"/>
      <c r="T83" s="2346"/>
      <c r="U83" s="2347"/>
      <c r="V83" s="2348"/>
      <c r="W83" s="2348"/>
      <c r="X83" s="2349"/>
      <c r="Y83" s="2350"/>
      <c r="Z83" s="2350"/>
      <c r="AA83" s="2350"/>
      <c r="AB83" s="2350"/>
      <c r="AC83" s="2351"/>
    </row>
    <row r="84" spans="1:29" s="2318" customFormat="1" ht="70" customHeight="1">
      <c r="A84" s="2321" t="str">
        <f t="shared" si="1"/>
        <v/>
      </c>
      <c r="B84" s="2353" t="s">
        <v>3132</v>
      </c>
      <c r="C84" s="2352"/>
      <c r="D84" s="2319"/>
      <c r="E84" s="2319"/>
      <c r="F84" s="2319"/>
      <c r="G84" s="2319"/>
      <c r="H84" s="2319"/>
      <c r="I84" s="2319"/>
      <c r="J84" s="2354"/>
      <c r="K84" s="2355"/>
      <c r="L84" s="2355"/>
      <c r="M84" s="2356"/>
      <c r="N84" s="2356"/>
      <c r="O84" s="2356"/>
      <c r="P84" s="2354"/>
      <c r="Q84" s="2344"/>
      <c r="R84" s="2345"/>
      <c r="S84" s="2356"/>
      <c r="T84" s="2346"/>
      <c r="U84" s="2347"/>
      <c r="V84" s="2357"/>
      <c r="W84" s="2357"/>
      <c r="X84" s="2349"/>
      <c r="Y84" s="2358"/>
      <c r="Z84" s="2358"/>
      <c r="AA84" s="2358"/>
      <c r="AB84" s="2358"/>
      <c r="AC84" s="2359"/>
    </row>
    <row r="85" spans="1:29" s="2318" customFormat="1" ht="105" customHeight="1">
      <c r="A85" s="2336" t="str">
        <f t="shared" si="1"/>
        <v/>
      </c>
      <c r="B85" s="2337" t="s">
        <v>3133</v>
      </c>
      <c r="C85" s="2336"/>
      <c r="D85" s="2317"/>
      <c r="E85" s="2338"/>
      <c r="F85" s="2338"/>
      <c r="G85" s="2338"/>
      <c r="H85" s="2339"/>
      <c r="I85" s="2340"/>
      <c r="J85" s="2341"/>
      <c r="K85" s="2342"/>
      <c r="L85" s="2342"/>
      <c r="M85" s="2343"/>
      <c r="N85" s="2343"/>
      <c r="O85" s="2343"/>
      <c r="P85" s="2341"/>
      <c r="Q85" s="2344"/>
      <c r="R85" s="2345"/>
      <c r="S85" s="2343"/>
      <c r="T85" s="2346"/>
      <c r="U85" s="2347"/>
      <c r="V85" s="2348"/>
      <c r="W85" s="2348"/>
      <c r="X85" s="2349"/>
      <c r="Y85" s="2350"/>
      <c r="Z85" s="2350"/>
      <c r="AA85" s="2350"/>
      <c r="AB85" s="2350"/>
      <c r="AC85" s="2351"/>
    </row>
    <row r="86" spans="1:29" s="2316" customFormat="1" ht="50" customHeight="1">
      <c r="A86" s="2321">
        <f t="shared" si="1"/>
        <v>21</v>
      </c>
      <c r="B86" s="2322" t="str">
        <f>Cement!P27</f>
        <v>سيمان آبيك</v>
      </c>
      <c r="C86" s="2321" t="str">
        <f>Cement!Q27</f>
        <v>سآبيك</v>
      </c>
      <c r="D86" s="2315">
        <f>Cement!R27</f>
        <v>12</v>
      </c>
      <c r="E86" s="2323">
        <f>Cement!BN27</f>
        <v>3</v>
      </c>
      <c r="F86" s="2323">
        <f>Cement!AV27</f>
        <v>2250</v>
      </c>
      <c r="G86" s="2323">
        <f>Cement!AW27</f>
        <v>1114</v>
      </c>
      <c r="H86" s="2324"/>
      <c r="I86" s="2325"/>
      <c r="J86" s="2326">
        <f>Cement!BR27</f>
        <v>0</v>
      </c>
      <c r="K86" s="2327">
        <f>Cement!CJ27</f>
        <v>295.93009999999998</v>
      </c>
      <c r="L86" s="2327">
        <f>Cement!CM27</f>
        <v>159</v>
      </c>
      <c r="M86" s="2328">
        <f>Cement!CN27</f>
        <v>1029</v>
      </c>
      <c r="N86" s="2328">
        <f>Cement!CO27</f>
        <v>5</v>
      </c>
      <c r="O86" s="2328">
        <f>Cement!CR27</f>
        <v>1300</v>
      </c>
      <c r="P86" s="2326">
        <f>Cement!CS27</f>
        <v>0</v>
      </c>
      <c r="Q86" s="2329">
        <f>Cement!CU27</f>
        <v>1625</v>
      </c>
      <c r="R86" s="2330">
        <f>Cement!CV27</f>
        <v>4946</v>
      </c>
      <c r="S86" s="2328">
        <f>Cement!CW27</f>
        <v>412</v>
      </c>
      <c r="T86" s="2331">
        <f>Cement!CX27</f>
        <v>143</v>
      </c>
      <c r="U86" s="2332">
        <f>Cement!DD27</f>
        <v>990</v>
      </c>
      <c r="V86" s="2323">
        <f>Cement!DE27</f>
        <v>975</v>
      </c>
      <c r="W86" s="2323">
        <f>Cement!DF27</f>
        <v>7</v>
      </c>
      <c r="X86" s="2333">
        <f>Cement!DG27</f>
        <v>5724</v>
      </c>
      <c r="Y86" s="2334">
        <f>Cement!DJ27</f>
        <v>2361</v>
      </c>
      <c r="Z86" s="2334">
        <f>Cement!DK27</f>
        <v>348</v>
      </c>
      <c r="AA86" s="2334">
        <f>Cement!DL27</f>
        <v>321</v>
      </c>
      <c r="AB86" s="2334">
        <f>Cement!DQ27</f>
        <v>2300</v>
      </c>
      <c r="AC86" s="2335">
        <f>Cement!DR27</f>
        <v>394</v>
      </c>
    </row>
    <row r="87" spans="1:29" s="2318" customFormat="1" ht="105" customHeight="1">
      <c r="A87" s="2336" t="str">
        <f t="shared" si="1"/>
        <v/>
      </c>
      <c r="B87" s="2337"/>
      <c r="C87" s="2336"/>
      <c r="D87" s="2317"/>
      <c r="E87" s="2338"/>
      <c r="F87" s="2338"/>
      <c r="G87" s="2338"/>
      <c r="H87" s="2339"/>
      <c r="I87" s="2340"/>
      <c r="J87" s="2341"/>
      <c r="K87" s="2342"/>
      <c r="L87" s="2342"/>
      <c r="M87" s="2343"/>
      <c r="N87" s="2343"/>
      <c r="O87" s="2343"/>
      <c r="P87" s="2341"/>
      <c r="Q87" s="2344"/>
      <c r="R87" s="2345"/>
      <c r="S87" s="2343"/>
      <c r="T87" s="2346"/>
      <c r="U87" s="2347"/>
      <c r="V87" s="2348"/>
      <c r="W87" s="2348"/>
      <c r="X87" s="2349"/>
      <c r="Y87" s="2350"/>
      <c r="Z87" s="2350"/>
      <c r="AA87" s="2350"/>
      <c r="AB87" s="2350"/>
      <c r="AC87" s="2351"/>
    </row>
    <row r="88" spans="1:29" s="2318" customFormat="1" ht="70" customHeight="1">
      <c r="A88" s="2321" t="str">
        <f t="shared" si="1"/>
        <v/>
      </c>
      <c r="B88" s="2353" t="s">
        <v>3132</v>
      </c>
      <c r="C88" s="2352"/>
      <c r="D88" s="2319"/>
      <c r="E88" s="2319"/>
      <c r="F88" s="2319"/>
      <c r="G88" s="2319"/>
      <c r="H88" s="2319"/>
      <c r="I88" s="2319"/>
      <c r="J88" s="2354"/>
      <c r="K88" s="2355"/>
      <c r="L88" s="2355"/>
      <c r="M88" s="2356"/>
      <c r="N88" s="2356"/>
      <c r="O88" s="2356"/>
      <c r="P88" s="2354"/>
      <c r="Q88" s="2344"/>
      <c r="R88" s="2345"/>
      <c r="S88" s="2356"/>
      <c r="T88" s="2346"/>
      <c r="U88" s="2347"/>
      <c r="V88" s="2357"/>
      <c r="W88" s="2357"/>
      <c r="X88" s="2349"/>
      <c r="Y88" s="2358"/>
      <c r="Z88" s="2358"/>
      <c r="AA88" s="2358"/>
      <c r="AB88" s="2358"/>
      <c r="AC88" s="2359"/>
    </row>
    <row r="89" spans="1:29" s="2318" customFormat="1" ht="105" customHeight="1">
      <c r="A89" s="2336" t="str">
        <f t="shared" si="1"/>
        <v/>
      </c>
      <c r="B89" s="2337" t="s">
        <v>3133</v>
      </c>
      <c r="C89" s="2336"/>
      <c r="D89" s="2317"/>
      <c r="E89" s="2338"/>
      <c r="F89" s="2338"/>
      <c r="G89" s="2338"/>
      <c r="H89" s="2339"/>
      <c r="I89" s="2340"/>
      <c r="J89" s="2341"/>
      <c r="K89" s="2342"/>
      <c r="L89" s="2342"/>
      <c r="M89" s="2343"/>
      <c r="N89" s="2343"/>
      <c r="O89" s="2343"/>
      <c r="P89" s="2341"/>
      <c r="Q89" s="2344"/>
      <c r="R89" s="2345"/>
      <c r="S89" s="2343"/>
      <c r="T89" s="2346"/>
      <c r="U89" s="2347"/>
      <c r="V89" s="2348"/>
      <c r="W89" s="2348"/>
      <c r="X89" s="2349"/>
      <c r="Y89" s="2350"/>
      <c r="Z89" s="2350"/>
      <c r="AA89" s="2350"/>
      <c r="AB89" s="2350"/>
      <c r="AC89" s="2351"/>
    </row>
    <row r="90" spans="1:29" s="2316" customFormat="1" ht="50" customHeight="1">
      <c r="A90" s="2321">
        <f t="shared" si="1"/>
        <v>22</v>
      </c>
      <c r="B90" s="2322" t="str">
        <f>Cement!P28</f>
        <v>سيمان‌هرمزگان‌</v>
      </c>
      <c r="C90" s="2321" t="str">
        <f>Cement!Q28</f>
        <v>سهرمز</v>
      </c>
      <c r="D90" s="2315">
        <f>Cement!R28</f>
        <v>9</v>
      </c>
      <c r="E90" s="2323">
        <f>Cement!BN28</f>
        <v>3</v>
      </c>
      <c r="F90" s="2323">
        <f>Cement!AV28</f>
        <v>2683</v>
      </c>
      <c r="G90" s="2323">
        <f>Cement!AW28</f>
        <v>1456</v>
      </c>
      <c r="H90" s="2324"/>
      <c r="I90" s="2325"/>
      <c r="J90" s="2326">
        <f>Cement!BR28</f>
        <v>0</v>
      </c>
      <c r="K90" s="2327">
        <f>Cement!CJ28</f>
        <v>729.6</v>
      </c>
      <c r="L90" s="2327">
        <f>Cement!CM28</f>
        <v>256</v>
      </c>
      <c r="M90" s="2328">
        <f>Cement!CN28</f>
        <v>1425</v>
      </c>
      <c r="N90" s="2328">
        <f>Cement!CO28</f>
        <v>0</v>
      </c>
      <c r="O90" s="2328">
        <f>Cement!CR28</f>
        <v>2037</v>
      </c>
      <c r="P90" s="2326">
        <f>Cement!CS28</f>
        <v>-600</v>
      </c>
      <c r="Q90" s="2329">
        <f>Cement!CU28</f>
        <v>2217</v>
      </c>
      <c r="R90" s="2330">
        <f>Cement!CV28</f>
        <v>3135</v>
      </c>
      <c r="S90" s="2328">
        <f>Cement!CW28</f>
        <v>0</v>
      </c>
      <c r="T90" s="2331">
        <f>Cement!CX28</f>
        <v>225</v>
      </c>
      <c r="U90" s="2332">
        <f>Cement!DD28</f>
        <v>622</v>
      </c>
      <c r="V90" s="2323">
        <f>Cement!DE28</f>
        <v>588</v>
      </c>
      <c r="W90" s="2323">
        <f>Cement!DF28</f>
        <v>3</v>
      </c>
      <c r="X90" s="2333">
        <f>Cement!DG28</f>
        <v>4955</v>
      </c>
      <c r="Y90" s="2334">
        <f>Cement!DJ28</f>
        <v>1261</v>
      </c>
      <c r="Z90" s="2334">
        <f>Cement!DK28</f>
        <v>307</v>
      </c>
      <c r="AA90" s="2334">
        <f>Cement!DL28</f>
        <v>1388</v>
      </c>
      <c r="AB90" s="2334">
        <f>Cement!DQ28</f>
        <v>1657</v>
      </c>
      <c r="AC90" s="2335">
        <f>Cement!DR28</f>
        <v>342</v>
      </c>
    </row>
    <row r="91" spans="1:29" s="2318" customFormat="1" ht="105" customHeight="1">
      <c r="A91" s="2336" t="str">
        <f t="shared" si="1"/>
        <v/>
      </c>
      <c r="B91" s="2337"/>
      <c r="C91" s="2336"/>
      <c r="D91" s="2317"/>
      <c r="E91" s="2338"/>
      <c r="F91" s="2338"/>
      <c r="G91" s="2338"/>
      <c r="H91" s="2339"/>
      <c r="I91" s="2340"/>
      <c r="J91" s="2341"/>
      <c r="K91" s="2342"/>
      <c r="L91" s="2342"/>
      <c r="M91" s="2343"/>
      <c r="N91" s="2343"/>
      <c r="O91" s="2343"/>
      <c r="P91" s="2341"/>
      <c r="Q91" s="2344"/>
      <c r="R91" s="2345"/>
      <c r="S91" s="2343"/>
      <c r="T91" s="2346"/>
      <c r="U91" s="2347"/>
      <c r="V91" s="2348"/>
      <c r="W91" s="2348"/>
      <c r="X91" s="2349"/>
      <c r="Y91" s="2350"/>
      <c r="Z91" s="2350"/>
      <c r="AA91" s="2350"/>
      <c r="AB91" s="2350"/>
      <c r="AC91" s="2351"/>
    </row>
    <row r="92" spans="1:29" s="2318" customFormat="1" ht="70" customHeight="1">
      <c r="A92" s="2321" t="str">
        <f t="shared" si="1"/>
        <v/>
      </c>
      <c r="B92" s="2353" t="s">
        <v>3132</v>
      </c>
      <c r="C92" s="2352"/>
      <c r="D92" s="2319"/>
      <c r="E92" s="2319"/>
      <c r="F92" s="2319"/>
      <c r="G92" s="2319"/>
      <c r="H92" s="2319"/>
      <c r="I92" s="2319"/>
      <c r="J92" s="2354"/>
      <c r="K92" s="2355"/>
      <c r="L92" s="2355"/>
      <c r="M92" s="2356"/>
      <c r="N92" s="2356"/>
      <c r="O92" s="2356"/>
      <c r="P92" s="2354"/>
      <c r="Q92" s="2344"/>
      <c r="R92" s="2345"/>
      <c r="S92" s="2356"/>
      <c r="T92" s="2346"/>
      <c r="U92" s="2347"/>
      <c r="V92" s="2357"/>
      <c r="W92" s="2357"/>
      <c r="X92" s="2349"/>
      <c r="Y92" s="2358"/>
      <c r="Z92" s="2358"/>
      <c r="AA92" s="2358"/>
      <c r="AB92" s="2358"/>
      <c r="AC92" s="2359"/>
    </row>
    <row r="93" spans="1:29" s="2318" customFormat="1" ht="105" customHeight="1">
      <c r="A93" s="2336" t="str">
        <f t="shared" si="1"/>
        <v/>
      </c>
      <c r="B93" s="2337" t="s">
        <v>3133</v>
      </c>
      <c r="C93" s="2336"/>
      <c r="D93" s="2317"/>
      <c r="E93" s="2338"/>
      <c r="F93" s="2338"/>
      <c r="G93" s="2338"/>
      <c r="H93" s="2339"/>
      <c r="I93" s="2340"/>
      <c r="J93" s="2341"/>
      <c r="K93" s="2342"/>
      <c r="L93" s="2342"/>
      <c r="M93" s="2343"/>
      <c r="N93" s="2343"/>
      <c r="O93" s="2343"/>
      <c r="P93" s="2341"/>
      <c r="Q93" s="2344"/>
      <c r="R93" s="2345"/>
      <c r="S93" s="2343"/>
      <c r="T93" s="2346"/>
      <c r="U93" s="2347"/>
      <c r="V93" s="2348"/>
      <c r="W93" s="2348"/>
      <c r="X93" s="2349"/>
      <c r="Y93" s="2350"/>
      <c r="Z93" s="2350"/>
      <c r="AA93" s="2350"/>
      <c r="AB93" s="2350"/>
      <c r="AC93" s="2351"/>
    </row>
    <row r="94" spans="1:29" s="2316" customFormat="1" ht="50" customHeight="1">
      <c r="A94" s="2321">
        <f t="shared" si="1"/>
        <v>23</v>
      </c>
      <c r="B94" s="2322" t="str">
        <f>Cement!P29</f>
        <v>سيمان‌ شرق‌</v>
      </c>
      <c r="C94" s="2321" t="str">
        <f>Cement!Q29</f>
        <v>سشرق</v>
      </c>
      <c r="D94" s="2315">
        <f>Cement!R29</f>
        <v>6</v>
      </c>
      <c r="E94" s="2323">
        <f>Cement!BN29</f>
        <v>3</v>
      </c>
      <c r="F94" s="2323">
        <f>Cement!AV29</f>
        <v>2751</v>
      </c>
      <c r="G94" s="2323">
        <f>Cement!AW29</f>
        <v>930</v>
      </c>
      <c r="H94" s="2324"/>
      <c r="I94" s="2325"/>
      <c r="J94" s="2326">
        <f>Cement!BR30</f>
        <v>0</v>
      </c>
      <c r="K94" s="2327">
        <f>Cement!CJ29</f>
        <v>620</v>
      </c>
      <c r="L94" s="2327">
        <f>Cement!CM29</f>
        <v>396</v>
      </c>
      <c r="M94" s="2328">
        <f>Cement!CN29</f>
        <v>1087</v>
      </c>
      <c r="N94" s="2328">
        <f>Cement!CO29</f>
        <v>641</v>
      </c>
      <c r="O94" s="2328">
        <f>Cement!CR29</f>
        <v>1193</v>
      </c>
      <c r="P94" s="2326">
        <f>Cement!CS29</f>
        <v>-73</v>
      </c>
      <c r="Q94" s="2329">
        <f>Cement!CU29</f>
        <v>1826</v>
      </c>
      <c r="R94" s="2330">
        <f>Cement!CV29</f>
        <v>2238</v>
      </c>
      <c r="S94" s="2328">
        <f>Cement!CW29</f>
        <v>583</v>
      </c>
      <c r="T94" s="2331">
        <f>Cement!CX29</f>
        <v>160</v>
      </c>
      <c r="U94" s="2332">
        <f>Cement!DD29</f>
        <v>602</v>
      </c>
      <c r="V94" s="2323">
        <f>Cement!DE29</f>
        <v>300</v>
      </c>
      <c r="W94" s="2323">
        <f>Cement!DF29</f>
        <v>210</v>
      </c>
      <c r="X94" s="2333">
        <f>Cement!DG29</f>
        <v>3622</v>
      </c>
      <c r="Y94" s="2334">
        <f>Cement!DJ29</f>
        <v>1296</v>
      </c>
      <c r="Z94" s="2334">
        <f>Cement!DK29</f>
        <v>669</v>
      </c>
      <c r="AA94" s="2334">
        <f>Cement!DL29</f>
        <v>228</v>
      </c>
      <c r="AB94" s="2334">
        <f>Cement!DQ29</f>
        <v>746</v>
      </c>
      <c r="AC94" s="2335">
        <f>Cement!DR29</f>
        <v>683</v>
      </c>
    </row>
    <row r="95" spans="1:29" s="2318" customFormat="1" ht="105" customHeight="1">
      <c r="A95" s="2336" t="str">
        <f t="shared" si="1"/>
        <v/>
      </c>
      <c r="B95" s="2337"/>
      <c r="C95" s="2336"/>
      <c r="D95" s="2317"/>
      <c r="E95" s="2338"/>
      <c r="F95" s="2338"/>
      <c r="G95" s="2338"/>
      <c r="H95" s="2339"/>
      <c r="I95" s="2340"/>
      <c r="J95" s="2341"/>
      <c r="K95" s="2342"/>
      <c r="L95" s="2342"/>
      <c r="M95" s="2343"/>
      <c r="N95" s="2343"/>
      <c r="O95" s="2343"/>
      <c r="P95" s="2341"/>
      <c r="Q95" s="2344"/>
      <c r="R95" s="2345"/>
      <c r="S95" s="2343"/>
      <c r="T95" s="2346"/>
      <c r="U95" s="2347"/>
      <c r="V95" s="2348"/>
      <c r="W95" s="2348"/>
      <c r="X95" s="2349"/>
      <c r="Y95" s="2350"/>
      <c r="Z95" s="2350"/>
      <c r="AA95" s="2350"/>
      <c r="AB95" s="2350"/>
      <c r="AC95" s="2351"/>
    </row>
    <row r="96" spans="1:29" s="2318" customFormat="1" ht="70" customHeight="1">
      <c r="A96" s="2321" t="str">
        <f t="shared" si="1"/>
        <v/>
      </c>
      <c r="B96" s="2353" t="s">
        <v>3132</v>
      </c>
      <c r="C96" s="2352"/>
      <c r="D96" s="2319"/>
      <c r="E96" s="2319"/>
      <c r="F96" s="2319"/>
      <c r="G96" s="2319"/>
      <c r="H96" s="2319"/>
      <c r="I96" s="2319"/>
      <c r="J96" s="2354"/>
      <c r="K96" s="2355"/>
      <c r="L96" s="2355"/>
      <c r="M96" s="2356"/>
      <c r="N96" s="2356"/>
      <c r="O96" s="2356"/>
      <c r="P96" s="2354"/>
      <c r="Q96" s="2344"/>
      <c r="R96" s="2345"/>
      <c r="S96" s="2356"/>
      <c r="T96" s="2346"/>
      <c r="U96" s="2347"/>
      <c r="V96" s="2357"/>
      <c r="W96" s="2357"/>
      <c r="X96" s="2349"/>
      <c r="Y96" s="2358"/>
      <c r="Z96" s="2358"/>
      <c r="AA96" s="2358"/>
      <c r="AB96" s="2358"/>
      <c r="AC96" s="2359"/>
    </row>
    <row r="97" spans="1:29" s="2318" customFormat="1" ht="105" customHeight="1">
      <c r="A97" s="2336" t="str">
        <f t="shared" si="1"/>
        <v/>
      </c>
      <c r="B97" s="2337" t="s">
        <v>3133</v>
      </c>
      <c r="C97" s="2336"/>
      <c r="D97" s="2317"/>
      <c r="E97" s="2338"/>
      <c r="F97" s="2338"/>
      <c r="G97" s="2338"/>
      <c r="H97" s="2339"/>
      <c r="I97" s="2340"/>
      <c r="J97" s="2341"/>
      <c r="K97" s="2342"/>
      <c r="L97" s="2342"/>
      <c r="M97" s="2343"/>
      <c r="N97" s="2343"/>
      <c r="O97" s="2343"/>
      <c r="P97" s="2341"/>
      <c r="Q97" s="2344"/>
      <c r="R97" s="2345"/>
      <c r="S97" s="2343"/>
      <c r="T97" s="2346"/>
      <c r="U97" s="2347"/>
      <c r="V97" s="2348"/>
      <c r="W97" s="2348"/>
      <c r="X97" s="2349"/>
      <c r="Y97" s="2350"/>
      <c r="Z97" s="2350"/>
      <c r="AA97" s="2350"/>
      <c r="AB97" s="2350"/>
      <c r="AC97" s="2351"/>
    </row>
    <row r="98" spans="1:29" s="2316" customFormat="1" ht="50" customHeight="1">
      <c r="A98" s="2321">
        <f t="shared" si="1"/>
        <v>24</v>
      </c>
      <c r="B98" s="2322" t="str">
        <f>Cement!P30</f>
        <v>سيمان‌ شمال‌</v>
      </c>
      <c r="C98" s="2321" t="str">
        <f>Cement!Q30</f>
        <v>سشمال</v>
      </c>
      <c r="D98" s="2315">
        <f>Cement!R30</f>
        <v>9</v>
      </c>
      <c r="E98" s="2323">
        <f>Cement!BN30</f>
        <v>3</v>
      </c>
      <c r="F98" s="2323">
        <f>Cement!AV30</f>
        <v>1182</v>
      </c>
      <c r="G98" s="2323">
        <f>Cement!AW30</f>
        <v>502</v>
      </c>
      <c r="H98" s="2324"/>
      <c r="I98" s="2325"/>
      <c r="J98" s="2326">
        <f>Cement!BR30</f>
        <v>0</v>
      </c>
      <c r="K98" s="2327">
        <f>Cement!CJ30</f>
        <v>500</v>
      </c>
      <c r="L98" s="2327">
        <f>Cement!CM30</f>
        <v>64</v>
      </c>
      <c r="M98" s="2328">
        <f>Cement!CN30</f>
        <v>493</v>
      </c>
      <c r="N98" s="2328">
        <f>Cement!CO30</f>
        <v>295</v>
      </c>
      <c r="O98" s="2328">
        <f>Cement!CR30</f>
        <v>772</v>
      </c>
      <c r="P98" s="2326">
        <f>Cement!CS30</f>
        <v>-370</v>
      </c>
      <c r="Q98" s="2329">
        <f>Cement!CU30</f>
        <v>1229</v>
      </c>
      <c r="R98" s="2330">
        <f>Cement!CV30</f>
        <v>1154</v>
      </c>
      <c r="S98" s="2328">
        <f>Cement!CW30</f>
        <v>0</v>
      </c>
      <c r="T98" s="2331">
        <f>Cement!CX30</f>
        <v>85</v>
      </c>
      <c r="U98" s="2332">
        <f>Cement!DD30</f>
        <v>573</v>
      </c>
      <c r="V98" s="2323">
        <f>Cement!DE30</f>
        <v>449</v>
      </c>
      <c r="W98" s="2323">
        <f>Cement!DF30</f>
        <v>88</v>
      </c>
      <c r="X98" s="2333">
        <f>Cement!DG30</f>
        <v>1895</v>
      </c>
      <c r="Y98" s="2334">
        <f>Cement!DJ30</f>
        <v>876</v>
      </c>
      <c r="Z98" s="2334">
        <f>Cement!DK30</f>
        <v>305</v>
      </c>
      <c r="AA98" s="2334">
        <f>Cement!DL30</f>
        <v>567</v>
      </c>
      <c r="AB98" s="2334">
        <f>Cement!DQ30</f>
        <v>102</v>
      </c>
      <c r="AC98" s="2335">
        <f>Cement!DR30</f>
        <v>45</v>
      </c>
    </row>
    <row r="99" spans="1:29" s="2318" customFormat="1" ht="105" customHeight="1">
      <c r="A99" s="2336" t="str">
        <f t="shared" si="1"/>
        <v/>
      </c>
      <c r="B99" s="2337"/>
      <c r="C99" s="2336"/>
      <c r="D99" s="2317"/>
      <c r="E99" s="2338"/>
      <c r="F99" s="2338"/>
      <c r="G99" s="2338"/>
      <c r="H99" s="2339"/>
      <c r="I99" s="2340"/>
      <c r="J99" s="2341"/>
      <c r="K99" s="2342"/>
      <c r="L99" s="2342"/>
      <c r="M99" s="2343"/>
      <c r="N99" s="2343"/>
      <c r="O99" s="2343"/>
      <c r="P99" s="2341"/>
      <c r="Q99" s="2344"/>
      <c r="R99" s="2345"/>
      <c r="S99" s="2343"/>
      <c r="T99" s="2346"/>
      <c r="U99" s="2347"/>
      <c r="V99" s="2348"/>
      <c r="W99" s="2348"/>
      <c r="X99" s="2349"/>
      <c r="Y99" s="2350"/>
      <c r="Z99" s="2350"/>
      <c r="AA99" s="2350"/>
      <c r="AB99" s="2350"/>
      <c r="AC99" s="2351"/>
    </row>
    <row r="100" spans="1:29" s="2318" customFormat="1" ht="70" customHeight="1">
      <c r="A100" s="2321" t="str">
        <f t="shared" si="1"/>
        <v/>
      </c>
      <c r="B100" s="2353" t="s">
        <v>3132</v>
      </c>
      <c r="C100" s="2352"/>
      <c r="D100" s="2319"/>
      <c r="E100" s="2319"/>
      <c r="F100" s="2319"/>
      <c r="G100" s="2319"/>
      <c r="H100" s="2319"/>
      <c r="I100" s="2319"/>
      <c r="J100" s="2354"/>
      <c r="K100" s="2355"/>
      <c r="L100" s="2355"/>
      <c r="M100" s="2356"/>
      <c r="N100" s="2356"/>
      <c r="O100" s="2356"/>
      <c r="P100" s="2354"/>
      <c r="Q100" s="2344"/>
      <c r="R100" s="2345"/>
      <c r="S100" s="2356"/>
      <c r="T100" s="2346"/>
      <c r="U100" s="2347"/>
      <c r="V100" s="2357"/>
      <c r="W100" s="2357"/>
      <c r="X100" s="2349"/>
      <c r="Y100" s="2358"/>
      <c r="Z100" s="2358"/>
      <c r="AA100" s="2358"/>
      <c r="AB100" s="2358"/>
      <c r="AC100" s="2359"/>
    </row>
    <row r="101" spans="1:29" s="2318" customFormat="1" ht="105" customHeight="1">
      <c r="A101" s="2336" t="str">
        <f t="shared" si="1"/>
        <v/>
      </c>
      <c r="B101" s="2337" t="s">
        <v>3133</v>
      </c>
      <c r="C101" s="2336"/>
      <c r="D101" s="2317"/>
      <c r="E101" s="2338"/>
      <c r="F101" s="2338"/>
      <c r="G101" s="2338"/>
      <c r="H101" s="2339"/>
      <c r="I101" s="2340"/>
      <c r="J101" s="2341"/>
      <c r="K101" s="2342"/>
      <c r="L101" s="2342"/>
      <c r="M101" s="2343"/>
      <c r="N101" s="2343"/>
      <c r="O101" s="2343"/>
      <c r="P101" s="2341"/>
      <c r="Q101" s="2344"/>
      <c r="R101" s="2345"/>
      <c r="S101" s="2343"/>
      <c r="T101" s="2346"/>
      <c r="U101" s="2347"/>
      <c r="V101" s="2348"/>
      <c r="W101" s="2348"/>
      <c r="X101" s="2349"/>
      <c r="Y101" s="2350"/>
      <c r="Z101" s="2350"/>
      <c r="AA101" s="2350"/>
      <c r="AB101" s="2350"/>
      <c r="AC101" s="2351"/>
    </row>
    <row r="102" spans="1:29" s="2316" customFormat="1" ht="50" customHeight="1">
      <c r="A102" s="2321">
        <f t="shared" si="1"/>
        <v>25</v>
      </c>
      <c r="B102" s="2322" t="str">
        <f>Cement!P31</f>
        <v>سيمان كردستان</v>
      </c>
      <c r="C102" s="2321" t="str">
        <f>Cement!Q31</f>
        <v>سكرد</v>
      </c>
      <c r="D102" s="2315">
        <f>Cement!R31</f>
        <v>6</v>
      </c>
      <c r="E102" s="2323">
        <f>Cement!BN31</f>
        <v>3</v>
      </c>
      <c r="F102" s="2323">
        <f>Cement!AV31</f>
        <v>1315</v>
      </c>
      <c r="G102" s="2323">
        <f>Cement!AW31</f>
        <v>542</v>
      </c>
      <c r="H102" s="2324"/>
      <c r="I102" s="2325"/>
      <c r="J102" s="2326">
        <f>Cement!BR31</f>
        <v>1512</v>
      </c>
      <c r="K102" s="2327">
        <f>Cement!CJ31</f>
        <v>290</v>
      </c>
      <c r="L102" s="2327">
        <f>Cement!CM31</f>
        <v>31</v>
      </c>
      <c r="M102" s="2328">
        <f>Cement!CN31</f>
        <v>439</v>
      </c>
      <c r="N102" s="2328">
        <f>Cement!CO31</f>
        <v>55</v>
      </c>
      <c r="O102" s="2328">
        <f>Cement!CR31</f>
        <v>507</v>
      </c>
      <c r="P102" s="2326">
        <f>Cement!CS31</f>
        <v>-12</v>
      </c>
      <c r="Q102" s="2329">
        <f>Cement!CU31</f>
        <v>816</v>
      </c>
      <c r="R102" s="2330">
        <f>Cement!CV31</f>
        <v>1203</v>
      </c>
      <c r="S102" s="2328">
        <f>Cement!CW31</f>
        <v>115</v>
      </c>
      <c r="T102" s="2331">
        <f>Cement!CX31</f>
        <v>83</v>
      </c>
      <c r="U102" s="2332">
        <f>Cement!DD31</f>
        <v>534</v>
      </c>
      <c r="V102" s="2323">
        <f>Cement!DE31</f>
        <v>372</v>
      </c>
      <c r="W102" s="2323">
        <f>Cement!DF31</f>
        <v>153</v>
      </c>
      <c r="X102" s="2333">
        <f>Cement!DG31</f>
        <v>1568</v>
      </c>
      <c r="Y102" s="2334">
        <f>Cement!DJ31</f>
        <v>700</v>
      </c>
      <c r="Z102" s="2334">
        <f>Cement!DK31</f>
        <v>316</v>
      </c>
      <c r="AA102" s="2334">
        <f>Cement!DL31</f>
        <v>80</v>
      </c>
      <c r="AB102" s="2334">
        <f>Cement!DQ31</f>
        <v>265</v>
      </c>
      <c r="AC102" s="2335">
        <f>Cement!DR31</f>
        <v>207</v>
      </c>
    </row>
    <row r="103" spans="1:29" s="2318" customFormat="1" ht="105" customHeight="1">
      <c r="A103" s="2336" t="str">
        <f t="shared" si="1"/>
        <v/>
      </c>
      <c r="B103" s="2337"/>
      <c r="C103" s="2336"/>
      <c r="D103" s="2317"/>
      <c r="E103" s="2338"/>
      <c r="F103" s="2338"/>
      <c r="G103" s="2338"/>
      <c r="H103" s="2339"/>
      <c r="I103" s="2340"/>
      <c r="J103" s="2341"/>
      <c r="K103" s="2342"/>
      <c r="L103" s="2342"/>
      <c r="M103" s="2343"/>
      <c r="N103" s="2343"/>
      <c r="O103" s="2343"/>
      <c r="P103" s="2341"/>
      <c r="Q103" s="2344"/>
      <c r="R103" s="2345"/>
      <c r="S103" s="2343"/>
      <c r="T103" s="2346"/>
      <c r="U103" s="2347"/>
      <c r="V103" s="2348"/>
      <c r="W103" s="2348"/>
      <c r="X103" s="2349"/>
      <c r="Y103" s="2350"/>
      <c r="Z103" s="2350"/>
      <c r="AA103" s="2350"/>
      <c r="AB103" s="2350"/>
      <c r="AC103" s="2351"/>
    </row>
    <row r="104" spans="1:29" s="2318" customFormat="1" ht="70" customHeight="1">
      <c r="A104" s="2321" t="str">
        <f t="shared" si="1"/>
        <v/>
      </c>
      <c r="B104" s="2353" t="s">
        <v>3132</v>
      </c>
      <c r="C104" s="2352"/>
      <c r="D104" s="2319"/>
      <c r="E104" s="2319"/>
      <c r="F104" s="2319"/>
      <c r="G104" s="2319"/>
      <c r="H104" s="2319"/>
      <c r="I104" s="2319"/>
      <c r="J104" s="2354"/>
      <c r="K104" s="2355"/>
      <c r="L104" s="2355"/>
      <c r="M104" s="2356"/>
      <c r="N104" s="2356"/>
      <c r="O104" s="2356"/>
      <c r="P104" s="2354"/>
      <c r="Q104" s="2344"/>
      <c r="R104" s="2345"/>
      <c r="S104" s="2356"/>
      <c r="T104" s="2346"/>
      <c r="U104" s="2347"/>
      <c r="V104" s="2357"/>
      <c r="W104" s="2357"/>
      <c r="X104" s="2349"/>
      <c r="Y104" s="2358"/>
      <c r="Z104" s="2358"/>
      <c r="AA104" s="2358"/>
      <c r="AB104" s="2358"/>
      <c r="AC104" s="2359"/>
    </row>
    <row r="105" spans="1:29" s="2318" customFormat="1" ht="105" customHeight="1">
      <c r="A105" s="2336" t="str">
        <f t="shared" si="1"/>
        <v/>
      </c>
      <c r="B105" s="2337" t="s">
        <v>3133</v>
      </c>
      <c r="C105" s="2336"/>
      <c r="D105" s="2317"/>
      <c r="E105" s="2338"/>
      <c r="F105" s="2338"/>
      <c r="G105" s="2338"/>
      <c r="H105" s="2339"/>
      <c r="I105" s="2340"/>
      <c r="J105" s="2341"/>
      <c r="K105" s="2342"/>
      <c r="L105" s="2342"/>
      <c r="M105" s="2343"/>
      <c r="N105" s="2343"/>
      <c r="O105" s="2343"/>
      <c r="P105" s="2341"/>
      <c r="Q105" s="2344"/>
      <c r="R105" s="2345"/>
      <c r="S105" s="2343"/>
      <c r="T105" s="2346"/>
      <c r="U105" s="2347"/>
      <c r="V105" s="2348"/>
      <c r="W105" s="2348"/>
      <c r="X105" s="2349"/>
      <c r="Y105" s="2350"/>
      <c r="Z105" s="2350"/>
      <c r="AA105" s="2350"/>
      <c r="AB105" s="2350"/>
      <c r="AC105" s="2351"/>
    </row>
    <row r="106" spans="1:29" s="2316" customFormat="1" ht="50" customHeight="1">
      <c r="A106" s="2321">
        <f t="shared" si="1"/>
        <v>26</v>
      </c>
      <c r="B106" s="2322" t="str">
        <f>Cement!P32</f>
        <v>سيمان آرتا اردبيل</v>
      </c>
      <c r="C106" s="2321" t="str">
        <f>Cement!Q32</f>
        <v>ساربيل</v>
      </c>
      <c r="D106" s="2315">
        <f>Cement!R32</f>
        <v>9</v>
      </c>
      <c r="E106" s="2323">
        <f>Cement!BN32</f>
        <v>3</v>
      </c>
      <c r="F106" s="2323">
        <f>Cement!AV32</f>
        <v>1720</v>
      </c>
      <c r="G106" s="2323">
        <f>Cement!AW32</f>
        <v>873</v>
      </c>
      <c r="H106" s="2324"/>
      <c r="I106" s="2325"/>
      <c r="J106" s="2326">
        <f>Cement!BR32</f>
        <v>0</v>
      </c>
      <c r="K106" s="2327">
        <f>Cement!CJ32</f>
        <v>144</v>
      </c>
      <c r="L106" s="2327">
        <f>Cement!CM32</f>
        <v>70</v>
      </c>
      <c r="M106" s="2328">
        <f>Cement!CN32</f>
        <v>742</v>
      </c>
      <c r="N106" s="2328">
        <f>Cement!CO32</f>
        <v>0</v>
      </c>
      <c r="O106" s="2328">
        <f>Cement!CR32</f>
        <v>1181</v>
      </c>
      <c r="P106" s="2326">
        <f>Cement!CS32</f>
        <v>0</v>
      </c>
      <c r="Q106" s="2329">
        <f>Cement!CU32</f>
        <v>1339</v>
      </c>
      <c r="R106" s="2330">
        <f>Cement!CV32</f>
        <v>1473</v>
      </c>
      <c r="S106" s="2328">
        <f>Cement!CW32</f>
        <v>285</v>
      </c>
      <c r="T106" s="2331">
        <f>Cement!CX32</f>
        <v>114</v>
      </c>
      <c r="U106" s="2332">
        <f>Cement!DD32</f>
        <v>1017</v>
      </c>
      <c r="V106" s="2323">
        <f>Cement!DE32</f>
        <v>972</v>
      </c>
      <c r="W106" s="2323">
        <f>Cement!DF32</f>
        <v>20</v>
      </c>
      <c r="X106" s="2333">
        <f>Cement!DG32</f>
        <v>1909</v>
      </c>
      <c r="Y106" s="2334">
        <f>Cement!DJ32</f>
        <v>1204</v>
      </c>
      <c r="Z106" s="2334">
        <f>Cement!DK32</f>
        <v>214</v>
      </c>
      <c r="AA106" s="2334">
        <f>Cement!DL32</f>
        <v>102</v>
      </c>
      <c r="AB106" s="2334">
        <f>Cement!DQ32</f>
        <v>269</v>
      </c>
      <c r="AC106" s="2335">
        <f>Cement!DR32</f>
        <v>120</v>
      </c>
    </row>
    <row r="107" spans="1:29" s="2318" customFormat="1" ht="105" customHeight="1">
      <c r="A107" s="2336" t="str">
        <f t="shared" si="1"/>
        <v/>
      </c>
      <c r="B107" s="2337"/>
      <c r="C107" s="2336"/>
      <c r="D107" s="2317"/>
      <c r="E107" s="2338"/>
      <c r="F107" s="2338"/>
      <c r="G107" s="2338"/>
      <c r="H107" s="2339"/>
      <c r="I107" s="2340"/>
      <c r="J107" s="2341"/>
      <c r="K107" s="2342"/>
      <c r="L107" s="2342"/>
      <c r="M107" s="2343"/>
      <c r="N107" s="2343"/>
      <c r="O107" s="2343"/>
      <c r="P107" s="2341"/>
      <c r="Q107" s="2344"/>
      <c r="R107" s="2345"/>
      <c r="S107" s="2343"/>
      <c r="T107" s="2346"/>
      <c r="U107" s="2347"/>
      <c r="V107" s="2348"/>
      <c r="W107" s="2348"/>
      <c r="X107" s="2349"/>
      <c r="Y107" s="2350"/>
      <c r="Z107" s="2350"/>
      <c r="AA107" s="2350"/>
      <c r="AB107" s="2350"/>
      <c r="AC107" s="2351"/>
    </row>
    <row r="108" spans="1:29" s="2318" customFormat="1" ht="70" customHeight="1">
      <c r="A108" s="2321" t="str">
        <f t="shared" si="1"/>
        <v/>
      </c>
      <c r="B108" s="2353" t="s">
        <v>3132</v>
      </c>
      <c r="C108" s="2352"/>
      <c r="D108" s="2319"/>
      <c r="E108" s="2319"/>
      <c r="F108" s="2319"/>
      <c r="G108" s="2319"/>
      <c r="H108" s="2319"/>
      <c r="I108" s="2319"/>
      <c r="J108" s="2354"/>
      <c r="K108" s="2355"/>
      <c r="L108" s="2355"/>
      <c r="M108" s="2356"/>
      <c r="N108" s="2356"/>
      <c r="O108" s="2356"/>
      <c r="P108" s="2354"/>
      <c r="Q108" s="2344"/>
      <c r="R108" s="2345"/>
      <c r="S108" s="2356"/>
      <c r="T108" s="2346"/>
      <c r="U108" s="2347"/>
      <c r="V108" s="2357"/>
      <c r="W108" s="2357"/>
      <c r="X108" s="2349"/>
      <c r="Y108" s="2358"/>
      <c r="Z108" s="2358"/>
      <c r="AA108" s="2358"/>
      <c r="AB108" s="2358"/>
      <c r="AC108" s="2359"/>
    </row>
    <row r="109" spans="1:29" s="2318" customFormat="1" ht="105" customHeight="1">
      <c r="A109" s="2336" t="str">
        <f t="shared" si="1"/>
        <v/>
      </c>
      <c r="B109" s="2337" t="s">
        <v>3133</v>
      </c>
      <c r="C109" s="2336"/>
      <c r="D109" s="2317"/>
      <c r="E109" s="2338"/>
      <c r="F109" s="2338"/>
      <c r="G109" s="2338"/>
      <c r="H109" s="2339"/>
      <c r="I109" s="2340"/>
      <c r="J109" s="2341"/>
      <c r="K109" s="2342"/>
      <c r="L109" s="2342"/>
      <c r="M109" s="2343"/>
      <c r="N109" s="2343"/>
      <c r="O109" s="2343"/>
      <c r="P109" s="2341"/>
      <c r="Q109" s="2344"/>
      <c r="R109" s="2345"/>
      <c r="S109" s="2343"/>
      <c r="T109" s="2346"/>
      <c r="U109" s="2347"/>
      <c r="V109" s="2348"/>
      <c r="W109" s="2348"/>
      <c r="X109" s="2349"/>
      <c r="Y109" s="2350"/>
      <c r="Z109" s="2350"/>
      <c r="AA109" s="2350"/>
      <c r="AB109" s="2350"/>
      <c r="AC109" s="2351"/>
    </row>
    <row r="110" spans="1:29" s="2316" customFormat="1" ht="50" customHeight="1">
      <c r="A110" s="2321">
        <f t="shared" si="1"/>
        <v>27</v>
      </c>
      <c r="B110" s="2322" t="str">
        <f>Cement!P33</f>
        <v>سيمان‌ سپاهان‌</v>
      </c>
      <c r="C110" s="2321" t="str">
        <f>Cement!Q33</f>
        <v>سپاها</v>
      </c>
      <c r="D110" s="2315">
        <f>Cement!R33</f>
        <v>6</v>
      </c>
      <c r="E110" s="2323">
        <f>Cement!BN33</f>
        <v>3</v>
      </c>
      <c r="F110" s="2323">
        <f>Cement!AV33</f>
        <v>3301</v>
      </c>
      <c r="G110" s="2323">
        <f>Cement!AW33</f>
        <v>1366</v>
      </c>
      <c r="H110" s="2324"/>
      <c r="I110" s="2325"/>
      <c r="J110" s="2326">
        <f>Cement!BR33</f>
        <v>2345</v>
      </c>
      <c r="K110" s="2327">
        <f>Cement!CJ33</f>
        <v>675</v>
      </c>
      <c r="L110" s="2327">
        <f>Cement!CM33</f>
        <v>400</v>
      </c>
      <c r="M110" s="2328">
        <f>Cement!CN33</f>
        <v>1583</v>
      </c>
      <c r="N110" s="2328">
        <f>Cement!CO33</f>
        <v>11</v>
      </c>
      <c r="O110" s="2328">
        <f>Cement!CR33</f>
        <v>1643</v>
      </c>
      <c r="P110" s="2326">
        <f>Cement!CS33</f>
        <v>-36</v>
      </c>
      <c r="Q110" s="2329">
        <f>Cement!CU33</f>
        <v>2365</v>
      </c>
      <c r="R110" s="2330">
        <f>Cement!CV33</f>
        <v>2609</v>
      </c>
      <c r="S110" s="2328">
        <f>Cement!CW33</f>
        <v>989</v>
      </c>
      <c r="T110" s="2331">
        <f>Cement!CX33</f>
        <v>161</v>
      </c>
      <c r="U110" s="2332">
        <f>Cement!DD33</f>
        <v>1697</v>
      </c>
      <c r="V110" s="2323">
        <f>Cement!DE33</f>
        <v>448</v>
      </c>
      <c r="W110" s="2323">
        <f>Cement!DF33</f>
        <v>227</v>
      </c>
      <c r="X110" s="2333">
        <f>Cement!DG33</f>
        <v>3438</v>
      </c>
      <c r="Y110" s="2334">
        <f>Cement!DJ33</f>
        <v>2162</v>
      </c>
      <c r="Z110" s="2334">
        <f>Cement!DK33</f>
        <v>548</v>
      </c>
      <c r="AA110" s="2334">
        <f>Cement!DL33</f>
        <v>542</v>
      </c>
      <c r="AB110" s="2334">
        <f>Cement!DQ33</f>
        <v>2</v>
      </c>
      <c r="AC110" s="2335">
        <f>Cement!DR33</f>
        <v>184</v>
      </c>
    </row>
    <row r="111" spans="1:29" s="2318" customFormat="1" ht="105" customHeight="1">
      <c r="A111" s="2336" t="str">
        <f t="shared" si="1"/>
        <v/>
      </c>
      <c r="B111" s="2337"/>
      <c r="C111" s="2336"/>
      <c r="D111" s="2317"/>
      <c r="E111" s="2338"/>
      <c r="F111" s="2338"/>
      <c r="G111" s="2338"/>
      <c r="H111" s="2339"/>
      <c r="I111" s="2340"/>
      <c r="J111" s="2341"/>
      <c r="K111" s="2342"/>
      <c r="L111" s="2342"/>
      <c r="M111" s="2343"/>
      <c r="N111" s="2343"/>
      <c r="O111" s="2343"/>
      <c r="P111" s="2341"/>
      <c r="Q111" s="2344"/>
      <c r="R111" s="2345"/>
      <c r="S111" s="2343"/>
      <c r="T111" s="2346"/>
      <c r="U111" s="2347"/>
      <c r="V111" s="2348"/>
      <c r="W111" s="2348"/>
      <c r="X111" s="2349"/>
      <c r="Y111" s="2350"/>
      <c r="Z111" s="2350"/>
      <c r="AA111" s="2350"/>
      <c r="AB111" s="2350"/>
      <c r="AC111" s="2351"/>
    </row>
    <row r="112" spans="1:29" s="2318" customFormat="1" ht="70" customHeight="1">
      <c r="A112" s="2321" t="str">
        <f t="shared" si="1"/>
        <v/>
      </c>
      <c r="B112" s="2353" t="s">
        <v>3132</v>
      </c>
      <c r="C112" s="2352"/>
      <c r="D112" s="2319"/>
      <c r="E112" s="2319"/>
      <c r="F112" s="2319"/>
      <c r="G112" s="2319"/>
      <c r="H112" s="2319"/>
      <c r="I112" s="2319"/>
      <c r="J112" s="2354"/>
      <c r="K112" s="2355"/>
      <c r="L112" s="2355"/>
      <c r="M112" s="2356"/>
      <c r="N112" s="2356"/>
      <c r="O112" s="2356"/>
      <c r="P112" s="2354"/>
      <c r="Q112" s="2344"/>
      <c r="R112" s="2345"/>
      <c r="S112" s="2356"/>
      <c r="T112" s="2346"/>
      <c r="U112" s="2347"/>
      <c r="V112" s="2357"/>
      <c r="W112" s="2357"/>
      <c r="X112" s="2349"/>
      <c r="Y112" s="2358"/>
      <c r="Z112" s="2358"/>
      <c r="AA112" s="2358"/>
      <c r="AB112" s="2358"/>
      <c r="AC112" s="2359"/>
    </row>
    <row r="113" spans="1:29" s="2318" customFormat="1" ht="105" customHeight="1">
      <c r="A113" s="2336" t="str">
        <f t="shared" si="1"/>
        <v/>
      </c>
      <c r="B113" s="2337" t="s">
        <v>3133</v>
      </c>
      <c r="C113" s="2336"/>
      <c r="D113" s="2317"/>
      <c r="E113" s="2338"/>
      <c r="F113" s="2338"/>
      <c r="G113" s="2338"/>
      <c r="H113" s="2339"/>
      <c r="I113" s="2340"/>
      <c r="J113" s="2341"/>
      <c r="K113" s="2342"/>
      <c r="L113" s="2342"/>
      <c r="M113" s="2343"/>
      <c r="N113" s="2343"/>
      <c r="O113" s="2343"/>
      <c r="P113" s="2341"/>
      <c r="Q113" s="2344"/>
      <c r="R113" s="2345"/>
      <c r="S113" s="2343"/>
      <c r="T113" s="2346"/>
      <c r="U113" s="2347"/>
      <c r="V113" s="2348"/>
      <c r="W113" s="2348"/>
      <c r="X113" s="2349"/>
      <c r="Y113" s="2350"/>
      <c r="Z113" s="2350"/>
      <c r="AA113" s="2350"/>
      <c r="AB113" s="2350"/>
      <c r="AC113" s="2351"/>
    </row>
    <row r="114" spans="1:29" s="2316" customFormat="1" ht="50" customHeight="1">
      <c r="A114" s="2321">
        <f t="shared" si="1"/>
        <v>28</v>
      </c>
      <c r="B114" s="2322" t="str">
        <f>Cement!P34</f>
        <v>سيمان‌ تهران‌</v>
      </c>
      <c r="C114" s="2321" t="str">
        <f>Cement!Q34</f>
        <v>ستران</v>
      </c>
      <c r="D114" s="2315">
        <f>Cement!R34</f>
        <v>12</v>
      </c>
      <c r="E114" s="2323">
        <f>Cement!BN34</f>
        <v>3</v>
      </c>
      <c r="F114" s="2323">
        <f>Cement!AV34</f>
        <v>2330</v>
      </c>
      <c r="G114" s="2323">
        <f>Cement!AW34</f>
        <v>606</v>
      </c>
      <c r="H114" s="2324"/>
      <c r="I114" s="2325"/>
      <c r="J114" s="2326">
        <f>Cement!BR34</f>
        <v>0</v>
      </c>
      <c r="K114" s="2327">
        <f>Cement!CJ34</f>
        <v>1700</v>
      </c>
      <c r="L114" s="2327">
        <f>Cement!CM34</f>
        <v>9</v>
      </c>
      <c r="M114" s="2328">
        <f>Cement!CN34</f>
        <v>493</v>
      </c>
      <c r="N114" s="2328">
        <f>Cement!CO34</f>
        <v>1341</v>
      </c>
      <c r="O114" s="2328">
        <f>Cement!CR34</f>
        <v>2208</v>
      </c>
      <c r="P114" s="2326">
        <f>Cement!CS34</f>
        <v>-23</v>
      </c>
      <c r="Q114" s="2329">
        <f>Cement!CU34</f>
        <v>5164</v>
      </c>
      <c r="R114" s="2330">
        <f>Cement!CV34</f>
        <v>5648</v>
      </c>
      <c r="S114" s="2328">
        <f>Cement!CW34</f>
        <v>682</v>
      </c>
      <c r="T114" s="2331">
        <f>Cement!CX34</f>
        <v>378</v>
      </c>
      <c r="U114" s="2332">
        <f>Cement!DD34</f>
        <v>6225</v>
      </c>
      <c r="V114" s="2323">
        <f>Cement!DE34</f>
        <v>5754</v>
      </c>
      <c r="W114" s="2323">
        <f>Cement!DF34</f>
        <v>334</v>
      </c>
      <c r="X114" s="2333">
        <f>Cement!DG34</f>
        <v>4965</v>
      </c>
      <c r="Y114" s="2334">
        <f>Cement!DJ34</f>
        <v>2324</v>
      </c>
      <c r="Z114" s="2334">
        <f>Cement!DK34</f>
        <v>105</v>
      </c>
      <c r="AA114" s="2334">
        <f>Cement!DL34</f>
        <v>1995</v>
      </c>
      <c r="AB114" s="2334">
        <f>Cement!DQ34</f>
        <v>124</v>
      </c>
      <c r="AC114" s="2335">
        <f>Cement!DR34</f>
        <v>417</v>
      </c>
    </row>
    <row r="115" spans="1:29" s="2318" customFormat="1" ht="105" customHeight="1">
      <c r="A115" s="2336" t="str">
        <f t="shared" si="1"/>
        <v/>
      </c>
      <c r="B115" s="2337"/>
      <c r="C115" s="2336"/>
      <c r="D115" s="2317"/>
      <c r="E115" s="2338"/>
      <c r="F115" s="2338"/>
      <c r="G115" s="2338"/>
      <c r="H115" s="2339"/>
      <c r="I115" s="2340"/>
      <c r="J115" s="2341"/>
      <c r="K115" s="2342"/>
      <c r="L115" s="2342"/>
      <c r="M115" s="2343"/>
      <c r="N115" s="2343"/>
      <c r="O115" s="2343"/>
      <c r="P115" s="2341"/>
      <c r="Q115" s="2344"/>
      <c r="R115" s="2345"/>
      <c r="S115" s="2343"/>
      <c r="T115" s="2346"/>
      <c r="U115" s="2347"/>
      <c r="V115" s="2348"/>
      <c r="W115" s="2348"/>
      <c r="X115" s="2349"/>
      <c r="Y115" s="2350"/>
      <c r="Z115" s="2350"/>
      <c r="AA115" s="2350"/>
      <c r="AB115" s="2350"/>
      <c r="AC115" s="2351"/>
    </row>
    <row r="116" spans="1:29" s="2318" customFormat="1" ht="70" customHeight="1">
      <c r="A116" s="2321" t="str">
        <f t="shared" si="1"/>
        <v/>
      </c>
      <c r="B116" s="2353" t="s">
        <v>3132</v>
      </c>
      <c r="C116" s="2352"/>
      <c r="D116" s="2319"/>
      <c r="E116" s="2319"/>
      <c r="F116" s="2319"/>
      <c r="G116" s="2319"/>
      <c r="H116" s="2319"/>
      <c r="I116" s="2319"/>
      <c r="J116" s="2354"/>
      <c r="K116" s="2355"/>
      <c r="L116" s="2355"/>
      <c r="M116" s="2356"/>
      <c r="N116" s="2356"/>
      <c r="O116" s="2356"/>
      <c r="P116" s="2354"/>
      <c r="Q116" s="2344"/>
      <c r="R116" s="2345"/>
      <c r="S116" s="2356"/>
      <c r="T116" s="2346"/>
      <c r="U116" s="2347"/>
      <c r="V116" s="2357"/>
      <c r="W116" s="2357"/>
      <c r="X116" s="2349"/>
      <c r="Y116" s="2358"/>
      <c r="Z116" s="2358"/>
      <c r="AA116" s="2358"/>
      <c r="AB116" s="2358"/>
      <c r="AC116" s="2359"/>
    </row>
    <row r="117" spans="1:29" s="2318" customFormat="1" ht="105" customHeight="1">
      <c r="A117" s="2336" t="str">
        <f t="shared" si="1"/>
        <v/>
      </c>
      <c r="B117" s="2337" t="s">
        <v>3133</v>
      </c>
      <c r="C117" s="2336"/>
      <c r="D117" s="2317"/>
      <c r="E117" s="2338"/>
      <c r="F117" s="2338"/>
      <c r="G117" s="2338"/>
      <c r="H117" s="2339"/>
      <c r="I117" s="2340"/>
      <c r="J117" s="2341"/>
      <c r="K117" s="2342"/>
      <c r="L117" s="2342"/>
      <c r="M117" s="2343"/>
      <c r="N117" s="2343"/>
      <c r="O117" s="2343"/>
      <c r="P117" s="2341"/>
      <c r="Q117" s="2344"/>
      <c r="R117" s="2345"/>
      <c r="S117" s="2343"/>
      <c r="T117" s="2346"/>
      <c r="U117" s="2347"/>
      <c r="V117" s="2348"/>
      <c r="W117" s="2348"/>
      <c r="X117" s="2349"/>
      <c r="Y117" s="2350"/>
      <c r="Z117" s="2350"/>
      <c r="AA117" s="2350"/>
      <c r="AB117" s="2350"/>
      <c r="AC117" s="2351"/>
    </row>
    <row r="118" spans="1:29" s="2316" customFormat="1" ht="50" customHeight="1">
      <c r="A118" s="2321">
        <f t="shared" si="1"/>
        <v>29</v>
      </c>
      <c r="B118" s="2322" t="str">
        <f>Cement!P35</f>
        <v>سيمان خوزستان</v>
      </c>
      <c r="C118" s="2321" t="str">
        <f>Cement!Q35</f>
        <v>سخوز</v>
      </c>
      <c r="D118" s="2315">
        <f>Cement!R35</f>
        <v>12</v>
      </c>
      <c r="E118" s="2323">
        <f>Cement!BN35</f>
        <v>3</v>
      </c>
      <c r="F118" s="2323">
        <f>Cement!AV35</f>
        <v>926</v>
      </c>
      <c r="G118" s="2323">
        <f>Cement!AW35</f>
        <v>335</v>
      </c>
      <c r="H118" s="2324"/>
      <c r="I118" s="2325"/>
      <c r="J118" s="2326">
        <f>Cement!BR35</f>
        <v>0</v>
      </c>
      <c r="K118" s="2327">
        <f>Cement!CJ35</f>
        <v>140</v>
      </c>
      <c r="L118" s="2327">
        <f>Cement!CM35</f>
        <v>18</v>
      </c>
      <c r="M118" s="2328">
        <f>Cement!CN35</f>
        <v>284</v>
      </c>
      <c r="N118" s="2328">
        <f>Cement!CO35</f>
        <v>79</v>
      </c>
      <c r="O118" s="2328">
        <f>Cement!CR35</f>
        <v>1610</v>
      </c>
      <c r="P118" s="2326">
        <f>Cement!CS35</f>
        <v>-1100</v>
      </c>
      <c r="Q118" s="2329">
        <f>Cement!CU35</f>
        <v>781</v>
      </c>
      <c r="R118" s="2330">
        <f>Cement!CV35</f>
        <v>3626</v>
      </c>
      <c r="S118" s="2328">
        <f>Cement!CW35</f>
        <v>129</v>
      </c>
      <c r="T118" s="2331">
        <f>Cement!CX35</f>
        <v>187</v>
      </c>
      <c r="U118" s="2332">
        <f>Cement!DD35</f>
        <v>352</v>
      </c>
      <c r="V118" s="2323">
        <f>Cement!DE35</f>
        <v>236</v>
      </c>
      <c r="W118" s="2323">
        <f>Cement!DF35</f>
        <v>88</v>
      </c>
      <c r="X118" s="2333">
        <f>Cement!DG35</f>
        <v>4242</v>
      </c>
      <c r="Y118" s="2334">
        <f>Cement!DJ35</f>
        <v>1775</v>
      </c>
      <c r="Z118" s="2334">
        <f>Cement!DK35</f>
        <v>128</v>
      </c>
      <c r="AA118" s="2334">
        <f>Cement!DL35</f>
        <v>1840</v>
      </c>
      <c r="AB118" s="2334">
        <f>Cement!DQ35</f>
        <v>334</v>
      </c>
      <c r="AC118" s="2335">
        <f>Cement!DR35</f>
        <v>165</v>
      </c>
    </row>
    <row r="119" spans="1:29" s="2318" customFormat="1" ht="105" customHeight="1">
      <c r="A119" s="2336" t="str">
        <f t="shared" si="1"/>
        <v/>
      </c>
      <c r="B119" s="2337"/>
      <c r="C119" s="2336"/>
      <c r="D119" s="2317"/>
      <c r="E119" s="2338"/>
      <c r="F119" s="2338"/>
      <c r="G119" s="2338"/>
      <c r="H119" s="2339"/>
      <c r="I119" s="2340"/>
      <c r="J119" s="2341"/>
      <c r="K119" s="2342"/>
      <c r="L119" s="2342"/>
      <c r="M119" s="2343"/>
      <c r="N119" s="2343"/>
      <c r="O119" s="2343"/>
      <c r="P119" s="2341"/>
      <c r="Q119" s="2344"/>
      <c r="R119" s="2345"/>
      <c r="S119" s="2343"/>
      <c r="T119" s="2346"/>
      <c r="U119" s="2347"/>
      <c r="V119" s="2348"/>
      <c r="W119" s="2348"/>
      <c r="X119" s="2349"/>
      <c r="Y119" s="2350"/>
      <c r="Z119" s="2350"/>
      <c r="AA119" s="2350"/>
      <c r="AB119" s="2350"/>
      <c r="AC119" s="2351"/>
    </row>
    <row r="120" spans="1:29" s="2318" customFormat="1" ht="70" customHeight="1">
      <c r="A120" s="2321" t="str">
        <f t="shared" si="1"/>
        <v/>
      </c>
      <c r="B120" s="2353" t="s">
        <v>3132</v>
      </c>
      <c r="C120" s="2352"/>
      <c r="D120" s="2319"/>
      <c r="E120" s="2319"/>
      <c r="F120" s="2319"/>
      <c r="G120" s="2319"/>
      <c r="H120" s="2319"/>
      <c r="I120" s="2319"/>
      <c r="J120" s="2354"/>
      <c r="K120" s="2355"/>
      <c r="L120" s="2355"/>
      <c r="M120" s="2356"/>
      <c r="N120" s="2356"/>
      <c r="O120" s="2356"/>
      <c r="P120" s="2354"/>
      <c r="Q120" s="2344"/>
      <c r="R120" s="2345"/>
      <c r="S120" s="2356"/>
      <c r="T120" s="2346"/>
      <c r="U120" s="2347"/>
      <c r="V120" s="2357"/>
      <c r="W120" s="2357"/>
      <c r="X120" s="2349"/>
      <c r="Y120" s="2358"/>
      <c r="Z120" s="2358"/>
      <c r="AA120" s="2358"/>
      <c r="AB120" s="2358"/>
      <c r="AC120" s="2359"/>
    </row>
    <row r="121" spans="1:29" s="2318" customFormat="1" ht="105" customHeight="1">
      <c r="A121" s="2336" t="str">
        <f t="shared" si="1"/>
        <v/>
      </c>
      <c r="B121" s="2337" t="s">
        <v>3133</v>
      </c>
      <c r="C121" s="2336"/>
      <c r="D121" s="2317"/>
      <c r="E121" s="2338"/>
      <c r="F121" s="2338"/>
      <c r="G121" s="2338"/>
      <c r="H121" s="2339"/>
      <c r="I121" s="2340"/>
      <c r="J121" s="2341"/>
      <c r="K121" s="2342"/>
      <c r="L121" s="2342"/>
      <c r="M121" s="2343"/>
      <c r="N121" s="2343"/>
      <c r="O121" s="2343"/>
      <c r="P121" s="2341"/>
      <c r="Q121" s="2344"/>
      <c r="R121" s="2345"/>
      <c r="S121" s="2343"/>
      <c r="T121" s="2346"/>
      <c r="U121" s="2347"/>
      <c r="V121" s="2348"/>
      <c r="W121" s="2348"/>
      <c r="X121" s="2349"/>
      <c r="Y121" s="2350"/>
      <c r="Z121" s="2350"/>
      <c r="AA121" s="2350"/>
      <c r="AB121" s="2350"/>
      <c r="AC121" s="2351"/>
    </row>
    <row r="122" spans="1:29" s="2316" customFormat="1" ht="50" customHeight="1">
      <c r="A122" s="2321">
        <f t="shared" si="1"/>
        <v>30</v>
      </c>
      <c r="B122" s="2360" t="str">
        <f>MOPFRA!Q7</f>
        <v>گروه‌صنعتي‌سپاهان‌</v>
      </c>
      <c r="C122" s="2321" t="str">
        <f>MOPFRA!R7</f>
        <v>فسپا</v>
      </c>
      <c r="D122" s="2315">
        <f>MOPFRA!S7</f>
        <v>12</v>
      </c>
      <c r="E122" s="2323">
        <f>MOPFRA!BO7</f>
        <v>3</v>
      </c>
      <c r="F122" s="2323">
        <f>MOPFRA!AW7</f>
        <v>1366</v>
      </c>
      <c r="G122" s="2323">
        <f>MOPFRA!AX7</f>
        <v>703</v>
      </c>
      <c r="H122" s="2324"/>
      <c r="I122" s="2325"/>
      <c r="J122" s="2326">
        <f>MOPFRA!BS7</f>
        <v>0</v>
      </c>
      <c r="K122" s="2327">
        <f>MOPFRA!CK7</f>
        <v>1250</v>
      </c>
      <c r="L122" s="2327">
        <f>MOPFRA!CN7</f>
        <v>15</v>
      </c>
      <c r="M122" s="2328">
        <f>MOPFRA!CO7</f>
        <v>627</v>
      </c>
      <c r="N122" s="2328">
        <f>MOPFRA!CP7</f>
        <v>20</v>
      </c>
      <c r="O122" s="2328">
        <f>MOPFRA!CS7</f>
        <v>1108</v>
      </c>
      <c r="P122" s="2326">
        <f>MOPFRA!CT7</f>
        <v>-4</v>
      </c>
      <c r="Q122" s="2329">
        <f>MOPFRA!CV7</f>
        <v>2460</v>
      </c>
      <c r="R122" s="2330">
        <f>MOPFRA!CW7</f>
        <v>1378</v>
      </c>
      <c r="S122" s="2328">
        <f>MOPFRA!CX7</f>
        <v>304</v>
      </c>
      <c r="T122" s="2331">
        <f>MOPFRA!CY7</f>
        <v>169</v>
      </c>
      <c r="U122" s="2332">
        <f>MOPFRA!DE7</f>
        <v>221</v>
      </c>
      <c r="V122" s="2323">
        <f>MOPFRA!DF7</f>
        <v>106</v>
      </c>
      <c r="W122" s="2323">
        <f>MOPFRA!DG7</f>
        <v>103</v>
      </c>
      <c r="X122" s="2333">
        <f>MOPFRA!DH7</f>
        <v>3786</v>
      </c>
      <c r="Y122" s="2334">
        <f>MOPFRA!DK7</f>
        <v>2278</v>
      </c>
      <c r="Z122" s="2334">
        <f>MOPFRA!DL7</f>
        <v>158</v>
      </c>
      <c r="AA122" s="2334">
        <f>MOPFRA!DM7</f>
        <v>999</v>
      </c>
      <c r="AB122" s="2334">
        <f>MOPFRA!DP7</f>
        <v>28</v>
      </c>
      <c r="AC122" s="2335">
        <f>MOPFRA!DQ7</f>
        <v>323</v>
      </c>
    </row>
    <row r="123" spans="1:29" s="2318" customFormat="1" ht="105" customHeight="1">
      <c r="A123" s="2336" t="str">
        <f t="shared" si="1"/>
        <v/>
      </c>
      <c r="B123" s="2337"/>
      <c r="C123" s="2336"/>
      <c r="D123" s="2317"/>
      <c r="E123" s="2338"/>
      <c r="F123" s="2338"/>
      <c r="G123" s="2338"/>
      <c r="H123" s="2339"/>
      <c r="I123" s="2340"/>
      <c r="J123" s="2341"/>
      <c r="K123" s="2342"/>
      <c r="L123" s="2342"/>
      <c r="M123" s="2343"/>
      <c r="N123" s="2343"/>
      <c r="O123" s="2343"/>
      <c r="P123" s="2341"/>
      <c r="Q123" s="2344"/>
      <c r="R123" s="2345"/>
      <c r="S123" s="2343"/>
      <c r="T123" s="2346"/>
      <c r="U123" s="2347"/>
      <c r="V123" s="2348"/>
      <c r="W123" s="2348"/>
      <c r="X123" s="2349"/>
      <c r="Y123" s="2350"/>
      <c r="Z123" s="2350"/>
      <c r="AA123" s="2350"/>
      <c r="AB123" s="2350"/>
      <c r="AC123" s="2351"/>
    </row>
    <row r="124" spans="1:29" s="2318" customFormat="1" ht="70" customHeight="1">
      <c r="A124" s="2321" t="str">
        <f t="shared" si="1"/>
        <v/>
      </c>
      <c r="B124" s="2353" t="s">
        <v>3132</v>
      </c>
      <c r="C124" s="2352"/>
      <c r="D124" s="2319"/>
      <c r="E124" s="2319"/>
      <c r="F124" s="2319"/>
      <c r="G124" s="2319"/>
      <c r="H124" s="2319"/>
      <c r="I124" s="2319"/>
      <c r="J124" s="2354"/>
      <c r="K124" s="2355"/>
      <c r="L124" s="2355"/>
      <c r="M124" s="2356"/>
      <c r="N124" s="2356"/>
      <c r="O124" s="2356"/>
      <c r="P124" s="2354"/>
      <c r="Q124" s="2344"/>
      <c r="R124" s="2345"/>
      <c r="S124" s="2356"/>
      <c r="T124" s="2346"/>
      <c r="U124" s="2347"/>
      <c r="V124" s="2357"/>
      <c r="W124" s="2357"/>
      <c r="X124" s="2349"/>
      <c r="Y124" s="2358"/>
      <c r="Z124" s="2358"/>
      <c r="AA124" s="2358"/>
      <c r="AB124" s="2358"/>
      <c r="AC124" s="2359"/>
    </row>
    <row r="125" spans="1:29" s="2318" customFormat="1" ht="105" customHeight="1">
      <c r="A125" s="2336" t="str">
        <f t="shared" si="1"/>
        <v/>
      </c>
      <c r="B125" s="2337" t="s">
        <v>3133</v>
      </c>
      <c r="C125" s="2336"/>
      <c r="D125" s="2317"/>
      <c r="E125" s="2338"/>
      <c r="F125" s="2338"/>
      <c r="G125" s="2338"/>
      <c r="H125" s="2339"/>
      <c r="I125" s="2340"/>
      <c r="J125" s="2341"/>
      <c r="K125" s="2342"/>
      <c r="L125" s="2342"/>
      <c r="M125" s="2343"/>
      <c r="N125" s="2343"/>
      <c r="O125" s="2343"/>
      <c r="P125" s="2341"/>
      <c r="Q125" s="2344"/>
      <c r="R125" s="2345"/>
      <c r="S125" s="2343"/>
      <c r="T125" s="2346"/>
      <c r="U125" s="2347"/>
      <c r="V125" s="2348"/>
      <c r="W125" s="2348"/>
      <c r="X125" s="2349"/>
      <c r="Y125" s="2350"/>
      <c r="Z125" s="2350"/>
      <c r="AA125" s="2350"/>
      <c r="AB125" s="2350"/>
      <c r="AC125" s="2351"/>
    </row>
    <row r="126" spans="1:29" s="2316" customFormat="1" ht="50" customHeight="1">
      <c r="A126" s="2321">
        <f t="shared" si="1"/>
        <v>31</v>
      </c>
      <c r="B126" s="2360" t="str">
        <f>MOPFRA!Q8</f>
        <v>توليدات پتروشيمي قائد بصير</v>
      </c>
      <c r="C126" s="2321" t="str">
        <f>MOPFRA!R8</f>
        <v>شبصير</v>
      </c>
      <c r="D126" s="2315">
        <f>MOPFRA!S8</f>
        <v>12</v>
      </c>
      <c r="E126" s="2323">
        <f>MOPFRA!BO8</f>
        <v>3</v>
      </c>
      <c r="F126" s="2323">
        <f>MOPFRA!AW8</f>
        <v>2426</v>
      </c>
      <c r="G126" s="2323">
        <f>MOPFRA!AX8</f>
        <v>1505</v>
      </c>
      <c r="H126" s="2324"/>
      <c r="I126" s="2325"/>
      <c r="J126" s="2326">
        <f>MOPFRA!BS8</f>
        <v>0</v>
      </c>
      <c r="K126" s="2327">
        <f>MOPFRA!CK8</f>
        <v>1000</v>
      </c>
      <c r="L126" s="2327">
        <f>MOPFRA!CN8</f>
        <v>52</v>
      </c>
      <c r="M126" s="2328">
        <f>MOPFRA!CO8</f>
        <v>1157</v>
      </c>
      <c r="N126" s="2328">
        <f>MOPFRA!CP8</f>
        <v>0</v>
      </c>
      <c r="O126" s="2328">
        <f>MOPFRA!CS8</f>
        <v>1577</v>
      </c>
      <c r="P126" s="2326">
        <f>MOPFRA!CT8</f>
        <v>-39</v>
      </c>
      <c r="Q126" s="2329">
        <f>MOPFRA!CV8</f>
        <v>2656</v>
      </c>
      <c r="R126" s="2330">
        <f>MOPFRA!CW8</f>
        <v>4759</v>
      </c>
      <c r="S126" s="2328">
        <f>MOPFRA!CX8</f>
        <v>1692</v>
      </c>
      <c r="T126" s="2331">
        <f>MOPFRA!CY8</f>
        <v>152</v>
      </c>
      <c r="U126" s="2332">
        <f>MOPFRA!DE8</f>
        <v>817</v>
      </c>
      <c r="V126" s="2323">
        <f>MOPFRA!DF8</f>
        <v>550</v>
      </c>
      <c r="W126" s="2323">
        <f>MOPFRA!DG8</f>
        <v>153</v>
      </c>
      <c r="X126" s="2333">
        <f>MOPFRA!DH8</f>
        <v>6750</v>
      </c>
      <c r="Y126" s="2334">
        <f>MOPFRA!DK8</f>
        <v>2188</v>
      </c>
      <c r="Z126" s="2334">
        <f>MOPFRA!DL8</f>
        <v>2458</v>
      </c>
      <c r="AA126" s="2334">
        <f>MOPFRA!DM8</f>
        <v>1577</v>
      </c>
      <c r="AB126" s="2334">
        <f>MOPFRA!DP8</f>
        <v>20</v>
      </c>
      <c r="AC126" s="2335">
        <f>MOPFRA!DQ8</f>
        <v>507</v>
      </c>
    </row>
    <row r="127" spans="1:29" s="2318" customFormat="1" ht="105" customHeight="1">
      <c r="A127" s="2336" t="str">
        <f t="shared" si="1"/>
        <v/>
      </c>
      <c r="B127" s="2337"/>
      <c r="C127" s="2336"/>
      <c r="D127" s="2317"/>
      <c r="E127" s="2338"/>
      <c r="F127" s="2338"/>
      <c r="G127" s="2338"/>
      <c r="H127" s="2339"/>
      <c r="I127" s="2340"/>
      <c r="J127" s="2341"/>
      <c r="K127" s="2342"/>
      <c r="L127" s="2342"/>
      <c r="M127" s="2343"/>
      <c r="N127" s="2343"/>
      <c r="O127" s="2343"/>
      <c r="P127" s="2341"/>
      <c r="Q127" s="2344"/>
      <c r="R127" s="2345"/>
      <c r="S127" s="2343"/>
      <c r="T127" s="2346"/>
      <c r="U127" s="2347"/>
      <c r="V127" s="2348"/>
      <c r="W127" s="2348"/>
      <c r="X127" s="2349"/>
      <c r="Y127" s="2350"/>
      <c r="Z127" s="2350"/>
      <c r="AA127" s="2350"/>
      <c r="AB127" s="2350"/>
      <c r="AC127" s="2351"/>
    </row>
    <row r="128" spans="1:29" s="2318" customFormat="1" ht="70" customHeight="1">
      <c r="A128" s="2321" t="str">
        <f t="shared" si="1"/>
        <v/>
      </c>
      <c r="B128" s="2353" t="s">
        <v>3132</v>
      </c>
      <c r="C128" s="2352"/>
      <c r="D128" s="2319"/>
      <c r="E128" s="2319"/>
      <c r="F128" s="2319"/>
      <c r="G128" s="2319"/>
      <c r="H128" s="2319"/>
      <c r="I128" s="2319"/>
      <c r="J128" s="2354"/>
      <c r="K128" s="2355"/>
      <c r="L128" s="2355"/>
      <c r="M128" s="2356"/>
      <c r="N128" s="2356"/>
      <c r="O128" s="2356"/>
      <c r="P128" s="2354"/>
      <c r="Q128" s="2344"/>
      <c r="R128" s="2345"/>
      <c r="S128" s="2356"/>
      <c r="T128" s="2346"/>
      <c r="U128" s="2347"/>
      <c r="V128" s="2357"/>
      <c r="W128" s="2357"/>
      <c r="X128" s="2349"/>
      <c r="Y128" s="2358"/>
      <c r="Z128" s="2358"/>
      <c r="AA128" s="2358"/>
      <c r="AB128" s="2358"/>
      <c r="AC128" s="2359"/>
    </row>
    <row r="129" spans="1:29" s="2318" customFormat="1" ht="105" customHeight="1">
      <c r="A129" s="2336" t="str">
        <f t="shared" si="1"/>
        <v/>
      </c>
      <c r="B129" s="2337" t="s">
        <v>3133</v>
      </c>
      <c r="C129" s="2336"/>
      <c r="D129" s="2317"/>
      <c r="E129" s="2338"/>
      <c r="F129" s="2338"/>
      <c r="G129" s="2338"/>
      <c r="H129" s="2339"/>
      <c r="I129" s="2340"/>
      <c r="J129" s="2341"/>
      <c r="K129" s="2342"/>
      <c r="L129" s="2342"/>
      <c r="M129" s="2343"/>
      <c r="N129" s="2343"/>
      <c r="O129" s="2343"/>
      <c r="P129" s="2341"/>
      <c r="Q129" s="2344"/>
      <c r="R129" s="2345"/>
      <c r="S129" s="2343"/>
      <c r="T129" s="2346"/>
      <c r="U129" s="2347"/>
      <c r="V129" s="2348"/>
      <c r="W129" s="2348"/>
      <c r="X129" s="2349"/>
      <c r="Y129" s="2350"/>
      <c r="Z129" s="2350"/>
      <c r="AA129" s="2350"/>
      <c r="AB129" s="2350"/>
      <c r="AC129" s="2351"/>
    </row>
    <row r="130" spans="1:29" s="2316" customFormat="1" ht="50" customHeight="1">
      <c r="A130" s="2321">
        <f t="shared" si="1"/>
        <v>32</v>
      </c>
      <c r="B130" s="2322" t="str">
        <f>MOPFRA!Q9</f>
        <v>پتروشيمي شازند</v>
      </c>
      <c r="C130" s="2321" t="str">
        <f>MOPFRA!R9</f>
        <v>شاراك</v>
      </c>
      <c r="D130" s="2315">
        <f>MOPFRA!S9</f>
        <v>12</v>
      </c>
      <c r="E130" s="2323">
        <f>MOPFRA!BO9</f>
        <v>3</v>
      </c>
      <c r="F130" s="2323">
        <f>MOPFRA!AW9</f>
        <v>48825</v>
      </c>
      <c r="G130" s="2323">
        <f>MOPFRA!AX9</f>
        <v>3036</v>
      </c>
      <c r="H130" s="2324"/>
      <c r="I130" s="2325"/>
      <c r="J130" s="2326">
        <f>MOPFRA!BS9</f>
        <v>0</v>
      </c>
      <c r="K130" s="2327">
        <f>MOPFRA!CK9</f>
        <v>1700</v>
      </c>
      <c r="L130" s="2327">
        <f>MOPFRA!CN9</f>
        <v>-515</v>
      </c>
      <c r="M130" s="2328">
        <f>MOPFRA!CO9</f>
        <v>3557</v>
      </c>
      <c r="N130" s="2328">
        <f>MOPFRA!CP9</f>
        <v>-23</v>
      </c>
      <c r="O130" s="2328">
        <f>MOPFRA!CS9</f>
        <v>5523</v>
      </c>
      <c r="P130" s="2326">
        <f>MOPFRA!CT9</f>
        <v>-500</v>
      </c>
      <c r="Q130" s="2329">
        <f>MOPFRA!CV9</f>
        <v>6873</v>
      </c>
      <c r="R130" s="2330">
        <f>MOPFRA!CW9</f>
        <v>25343</v>
      </c>
      <c r="S130" s="2328">
        <f>MOPFRA!CX9</f>
        <v>152</v>
      </c>
      <c r="T130" s="2331">
        <f>MOPFRA!CY9</f>
        <v>3107</v>
      </c>
      <c r="U130" s="2332">
        <f>MOPFRA!DE9</f>
        <v>4541</v>
      </c>
      <c r="V130" s="2323">
        <f>MOPFRA!DF9</f>
        <v>4042</v>
      </c>
      <c r="W130" s="2323">
        <f>MOPFRA!DG9</f>
        <v>289</v>
      </c>
      <c r="X130" s="2333">
        <f>MOPFRA!DH9</f>
        <v>30782</v>
      </c>
      <c r="Y130" s="2334">
        <f>MOPFRA!DK9</f>
        <v>17967</v>
      </c>
      <c r="Z130" s="2334">
        <f>MOPFRA!DL9</f>
        <v>3968</v>
      </c>
      <c r="AA130" s="2334">
        <f>MOPFRA!DM9</f>
        <v>5435</v>
      </c>
      <c r="AB130" s="2334">
        <f>MOPFRA!DP9</f>
        <v>793</v>
      </c>
      <c r="AC130" s="2335">
        <f>MOPFRA!DQ9</f>
        <v>2619</v>
      </c>
    </row>
    <row r="131" spans="1:29" s="2318" customFormat="1" ht="105" customHeight="1">
      <c r="A131" s="2336" t="str">
        <f t="shared" si="1"/>
        <v/>
      </c>
      <c r="B131" s="2337"/>
      <c r="C131" s="2336"/>
      <c r="D131" s="2317"/>
      <c r="E131" s="2338"/>
      <c r="F131" s="2338"/>
      <c r="G131" s="2338"/>
      <c r="H131" s="2339"/>
      <c r="I131" s="2340"/>
      <c r="J131" s="2341"/>
      <c r="K131" s="2342"/>
      <c r="L131" s="2342"/>
      <c r="M131" s="2343"/>
      <c r="N131" s="2343"/>
      <c r="O131" s="2343"/>
      <c r="P131" s="2341"/>
      <c r="Q131" s="2344"/>
      <c r="R131" s="2345"/>
      <c r="S131" s="2343"/>
      <c r="T131" s="2346"/>
      <c r="U131" s="2347"/>
      <c r="V131" s="2348"/>
      <c r="W131" s="2348"/>
      <c r="X131" s="2349"/>
      <c r="Y131" s="2350"/>
      <c r="Z131" s="2350"/>
      <c r="AA131" s="2350"/>
      <c r="AB131" s="2350"/>
      <c r="AC131" s="2351"/>
    </row>
    <row r="132" spans="1:29" s="2318" customFormat="1" ht="70" customHeight="1">
      <c r="A132" s="2321" t="str">
        <f t="shared" si="1"/>
        <v/>
      </c>
      <c r="B132" s="2353" t="s">
        <v>3132</v>
      </c>
      <c r="C132" s="2352"/>
      <c r="D132" s="2319"/>
      <c r="E132" s="2319"/>
      <c r="F132" s="2319"/>
      <c r="G132" s="2319"/>
      <c r="H132" s="2319"/>
      <c r="I132" s="2319"/>
      <c r="J132" s="2354"/>
      <c r="K132" s="2355"/>
      <c r="L132" s="2355"/>
      <c r="M132" s="2356"/>
      <c r="N132" s="2356"/>
      <c r="O132" s="2356"/>
      <c r="P132" s="2354"/>
      <c r="Q132" s="2344"/>
      <c r="R132" s="2345"/>
      <c r="S132" s="2356"/>
      <c r="T132" s="2346"/>
      <c r="U132" s="2347"/>
      <c r="V132" s="2357"/>
      <c r="W132" s="2357"/>
      <c r="X132" s="2349"/>
      <c r="Y132" s="2358"/>
      <c r="Z132" s="2358"/>
      <c r="AA132" s="2358"/>
      <c r="AB132" s="2358"/>
      <c r="AC132" s="2359"/>
    </row>
    <row r="133" spans="1:29" s="2318" customFormat="1" ht="105" customHeight="1">
      <c r="A133" s="2336" t="str">
        <f t="shared" si="1"/>
        <v/>
      </c>
      <c r="B133" s="2337" t="s">
        <v>3133</v>
      </c>
      <c r="C133" s="2336"/>
      <c r="D133" s="2317"/>
      <c r="E133" s="2338"/>
      <c r="F133" s="2338"/>
      <c r="G133" s="2338"/>
      <c r="H133" s="2339"/>
      <c r="I133" s="2340"/>
      <c r="J133" s="2341"/>
      <c r="K133" s="2342"/>
      <c r="L133" s="2342"/>
      <c r="M133" s="2343"/>
      <c r="N133" s="2343"/>
      <c r="O133" s="2343"/>
      <c r="P133" s="2341"/>
      <c r="Q133" s="2344"/>
      <c r="R133" s="2345"/>
      <c r="S133" s="2343"/>
      <c r="T133" s="2346"/>
      <c r="U133" s="2347"/>
      <c r="V133" s="2348"/>
      <c r="W133" s="2348"/>
      <c r="X133" s="2349"/>
      <c r="Y133" s="2350"/>
      <c r="Z133" s="2350"/>
      <c r="AA133" s="2350"/>
      <c r="AB133" s="2350"/>
      <c r="AC133" s="2351"/>
    </row>
    <row r="134" spans="1:29" s="2316" customFormat="1" ht="50" customHeight="1">
      <c r="A134" s="2321">
        <f t="shared" si="1"/>
        <v>33</v>
      </c>
      <c r="B134" s="2360" t="str">
        <f>MOPFRA!Q10</f>
        <v>صنايع الكترونيك ماديران</v>
      </c>
      <c r="C134" s="2321" t="str">
        <f>MOPFRA!R10</f>
        <v>الكتروماد</v>
      </c>
      <c r="D134" s="2315">
        <f>MOPFRA!S10</f>
        <v>12</v>
      </c>
      <c r="E134" s="2323">
        <f>MOPFRA!BO10</f>
        <v>3</v>
      </c>
      <c r="F134" s="2323">
        <f>MOPFRA!AW10</f>
        <v>1992</v>
      </c>
      <c r="G134" s="2323">
        <f>MOPFRA!AX10</f>
        <v>800</v>
      </c>
      <c r="H134" s="2324"/>
      <c r="I134" s="2325"/>
      <c r="J134" s="2326">
        <f>MOPFRA!BS10</f>
        <v>0</v>
      </c>
      <c r="K134" s="2327">
        <f>MOPFRA!CK10</f>
        <v>900</v>
      </c>
      <c r="L134" s="2327">
        <f>MOPFRA!CN10</f>
        <v>5</v>
      </c>
      <c r="M134" s="2328">
        <f>MOPFRA!CO10</f>
        <v>496</v>
      </c>
      <c r="N134" s="2328">
        <f>MOPFRA!CP10</f>
        <v>0</v>
      </c>
      <c r="O134" s="2328">
        <f>MOPFRA!CS10</f>
        <v>1033</v>
      </c>
      <c r="P134" s="2326">
        <f>MOPFRA!CT10</f>
        <v>0</v>
      </c>
      <c r="Q134" s="2329">
        <f>MOPFRA!CV10</f>
        <v>2024</v>
      </c>
      <c r="R134" s="2330">
        <f>MOPFRA!CW10</f>
        <v>4429</v>
      </c>
      <c r="S134" s="2328">
        <f>MOPFRA!CX10</f>
        <v>2540</v>
      </c>
      <c r="T134" s="2331">
        <f>MOPFRA!CY10</f>
        <v>596</v>
      </c>
      <c r="U134" s="2332">
        <f>MOPFRA!DE10</f>
        <v>248</v>
      </c>
      <c r="V134" s="2323">
        <f>MOPFRA!DF10</f>
        <v>206</v>
      </c>
      <c r="W134" s="2323">
        <f>MOPFRA!DG10</f>
        <v>0</v>
      </c>
      <c r="X134" s="2333">
        <f>MOPFRA!DH10</f>
        <v>6801</v>
      </c>
      <c r="Y134" s="2334">
        <f>MOPFRA!DK10</f>
        <v>1936</v>
      </c>
      <c r="Z134" s="2334">
        <f>MOPFRA!DL10</f>
        <v>1563</v>
      </c>
      <c r="AA134" s="2334">
        <f>MOPFRA!DM10</f>
        <v>1829</v>
      </c>
      <c r="AB134" s="2334">
        <f>MOPFRA!DP10</f>
        <v>0</v>
      </c>
      <c r="AC134" s="2335">
        <f>MOPFRA!DQ10</f>
        <v>1473</v>
      </c>
    </row>
    <row r="135" spans="1:29" s="2318" customFormat="1" ht="105" customHeight="1">
      <c r="A135" s="2336" t="str">
        <f t="shared" si="1"/>
        <v/>
      </c>
      <c r="B135" s="2337"/>
      <c r="C135" s="2336"/>
      <c r="D135" s="2317"/>
      <c r="E135" s="2338"/>
      <c r="F135" s="2338"/>
      <c r="G135" s="2338"/>
      <c r="H135" s="2339"/>
      <c r="I135" s="2340"/>
      <c r="J135" s="2341"/>
      <c r="K135" s="2342"/>
      <c r="L135" s="2342"/>
      <c r="M135" s="2343"/>
      <c r="N135" s="2343"/>
      <c r="O135" s="2343"/>
      <c r="P135" s="2341"/>
      <c r="Q135" s="2344"/>
      <c r="R135" s="2345"/>
      <c r="S135" s="2343"/>
      <c r="T135" s="2346"/>
      <c r="U135" s="2347"/>
      <c r="V135" s="2348"/>
      <c r="W135" s="2348"/>
      <c r="X135" s="2349"/>
      <c r="Y135" s="2350"/>
      <c r="Z135" s="2350"/>
      <c r="AA135" s="2350"/>
      <c r="AB135" s="2350"/>
      <c r="AC135" s="2351"/>
    </row>
    <row r="136" spans="1:29" s="2318" customFormat="1" ht="70" customHeight="1">
      <c r="A136" s="2321" t="str">
        <f t="shared" si="1"/>
        <v/>
      </c>
      <c r="B136" s="2353" t="s">
        <v>3132</v>
      </c>
      <c r="C136" s="2352"/>
      <c r="D136" s="2319"/>
      <c r="E136" s="2319"/>
      <c r="F136" s="2319"/>
      <c r="G136" s="2319"/>
      <c r="H136" s="2319"/>
      <c r="I136" s="2319"/>
      <c r="J136" s="2354"/>
      <c r="K136" s="2355"/>
      <c r="L136" s="2355"/>
      <c r="M136" s="2356"/>
      <c r="N136" s="2356"/>
      <c r="O136" s="2356"/>
      <c r="P136" s="2354"/>
      <c r="Q136" s="2344"/>
      <c r="R136" s="2345"/>
      <c r="S136" s="2356"/>
      <c r="T136" s="2346"/>
      <c r="U136" s="2347"/>
      <c r="V136" s="2357"/>
      <c r="W136" s="2357"/>
      <c r="X136" s="2349"/>
      <c r="Y136" s="2358"/>
      <c r="Z136" s="2358"/>
      <c r="AA136" s="2358"/>
      <c r="AB136" s="2358"/>
      <c r="AC136" s="2359"/>
    </row>
    <row r="137" spans="1:29" s="2318" customFormat="1" ht="105" customHeight="1">
      <c r="A137" s="2336" t="str">
        <f t="shared" si="1"/>
        <v/>
      </c>
      <c r="B137" s="2337" t="s">
        <v>3133</v>
      </c>
      <c r="C137" s="2336"/>
      <c r="D137" s="2317"/>
      <c r="E137" s="2338"/>
      <c r="F137" s="2338"/>
      <c r="G137" s="2338"/>
      <c r="H137" s="2339"/>
      <c r="I137" s="2340"/>
      <c r="J137" s="2341"/>
      <c r="K137" s="2342"/>
      <c r="L137" s="2342"/>
      <c r="M137" s="2343"/>
      <c r="N137" s="2343"/>
      <c r="O137" s="2343"/>
      <c r="P137" s="2341"/>
      <c r="Q137" s="2344"/>
      <c r="R137" s="2345"/>
      <c r="S137" s="2343"/>
      <c r="T137" s="2346"/>
      <c r="U137" s="2347"/>
      <c r="V137" s="2348"/>
      <c r="W137" s="2348"/>
      <c r="X137" s="2349"/>
      <c r="Y137" s="2350"/>
      <c r="Z137" s="2350"/>
      <c r="AA137" s="2350"/>
      <c r="AB137" s="2350"/>
      <c r="AC137" s="2351"/>
    </row>
    <row r="138" spans="1:29" s="2316" customFormat="1" ht="50" customHeight="1">
      <c r="A138" s="2321">
        <f t="shared" si="1"/>
        <v>34</v>
      </c>
      <c r="B138" s="2322" t="str">
        <f>MOPFRA!Q11</f>
        <v>پارس‌ خزر</v>
      </c>
      <c r="C138" s="2321" t="str">
        <f>MOPFRA!R11</f>
        <v>لخزر</v>
      </c>
      <c r="D138" s="2315">
        <f>MOPFRA!S11</f>
        <v>12</v>
      </c>
      <c r="E138" s="2323">
        <f>MOPFRA!BO11</f>
        <v>3</v>
      </c>
      <c r="F138" s="2323">
        <f>MOPFRA!AW11</f>
        <v>1254</v>
      </c>
      <c r="G138" s="2323">
        <f>MOPFRA!AX11</f>
        <v>292</v>
      </c>
      <c r="H138" s="2324"/>
      <c r="I138" s="2325"/>
      <c r="J138" s="2326">
        <f>MOPFRA!BS11</f>
        <v>0</v>
      </c>
      <c r="K138" s="2327">
        <f>MOPFRA!CK11</f>
        <v>1000</v>
      </c>
      <c r="L138" s="2327">
        <f>MOPFRA!CN11</f>
        <v>88</v>
      </c>
      <c r="M138" s="2328">
        <f>MOPFRA!CO11</f>
        <v>312</v>
      </c>
      <c r="N138" s="2328">
        <f>MOPFRA!CP11</f>
        <v>44</v>
      </c>
      <c r="O138" s="2328">
        <f>MOPFRA!CS11</f>
        <v>1467</v>
      </c>
      <c r="P138" s="2326">
        <f>MOPFRA!CT11</f>
        <v>-5</v>
      </c>
      <c r="Q138" s="2329">
        <f>MOPFRA!CV11</f>
        <v>2889</v>
      </c>
      <c r="R138" s="2330">
        <f>MOPFRA!CW11</f>
        <v>2640</v>
      </c>
      <c r="S138" s="2328">
        <f>MOPFRA!CX11</f>
        <v>82</v>
      </c>
      <c r="T138" s="2331">
        <f>MOPFRA!CY11</f>
        <v>114</v>
      </c>
      <c r="U138" s="2332">
        <f>MOPFRA!DE11</f>
        <v>1996</v>
      </c>
      <c r="V138" s="2323">
        <f>MOPFRA!DF11</f>
        <v>109</v>
      </c>
      <c r="W138" s="2323">
        <f>MOPFRA!DG11</f>
        <v>1657</v>
      </c>
      <c r="X138" s="2333">
        <f>MOPFRA!DH11</f>
        <v>3647</v>
      </c>
      <c r="Y138" s="2334">
        <f>MOPFRA!DK11</f>
        <v>2691</v>
      </c>
      <c r="Z138" s="2334">
        <f>MOPFRA!DL11</f>
        <v>211</v>
      </c>
      <c r="AA138" s="2334">
        <f>MOPFRA!DM11</f>
        <v>585</v>
      </c>
      <c r="AB138" s="2334">
        <f>MOPFRA!DP11</f>
        <v>0</v>
      </c>
      <c r="AC138" s="2335">
        <f>MOPFRA!DQ11</f>
        <v>160</v>
      </c>
    </row>
    <row r="139" spans="1:29" s="2318" customFormat="1" ht="105" customHeight="1">
      <c r="A139" s="2336" t="str">
        <f t="shared" si="1"/>
        <v/>
      </c>
      <c r="B139" s="2337"/>
      <c r="C139" s="2336"/>
      <c r="D139" s="2317"/>
      <c r="E139" s="2338"/>
      <c r="F139" s="2338"/>
      <c r="G139" s="2338"/>
      <c r="H139" s="2339"/>
      <c r="I139" s="2340"/>
      <c r="J139" s="2341"/>
      <c r="K139" s="2342"/>
      <c r="L139" s="2342"/>
      <c r="M139" s="2343"/>
      <c r="N139" s="2343"/>
      <c r="O139" s="2343"/>
      <c r="P139" s="2341"/>
      <c r="Q139" s="2344"/>
      <c r="R139" s="2345"/>
      <c r="S139" s="2343"/>
      <c r="T139" s="2346"/>
      <c r="U139" s="2347"/>
      <c r="V139" s="2348"/>
      <c r="W139" s="2348"/>
      <c r="X139" s="2349"/>
      <c r="Y139" s="2350"/>
      <c r="Z139" s="2350"/>
      <c r="AA139" s="2350"/>
      <c r="AB139" s="2350"/>
      <c r="AC139" s="2351"/>
    </row>
    <row r="140" spans="1:29" s="2318" customFormat="1" ht="70" customHeight="1">
      <c r="A140" s="2321" t="str">
        <f t="shared" ref="A140:A174" si="2">IFERROR(IF(A136&gt;0,A136+1,""),"")</f>
        <v/>
      </c>
      <c r="B140" s="2353" t="s">
        <v>3132</v>
      </c>
      <c r="C140" s="2352"/>
      <c r="D140" s="2319"/>
      <c r="E140" s="2319"/>
      <c r="F140" s="2319"/>
      <c r="G140" s="2319"/>
      <c r="H140" s="2319"/>
      <c r="I140" s="2319"/>
      <c r="J140" s="2354"/>
      <c r="K140" s="2355"/>
      <c r="L140" s="2355"/>
      <c r="M140" s="2356"/>
      <c r="N140" s="2356"/>
      <c r="O140" s="2356"/>
      <c r="P140" s="2354"/>
      <c r="Q140" s="2344"/>
      <c r="R140" s="2345"/>
      <c r="S140" s="2356"/>
      <c r="T140" s="2346"/>
      <c r="U140" s="2347"/>
      <c r="V140" s="2357"/>
      <c r="W140" s="2357"/>
      <c r="X140" s="2349"/>
      <c r="Y140" s="2358"/>
      <c r="Z140" s="2358"/>
      <c r="AA140" s="2358"/>
      <c r="AB140" s="2358"/>
      <c r="AC140" s="2359"/>
    </row>
    <row r="141" spans="1:29" s="2318" customFormat="1" ht="105" customHeight="1">
      <c r="A141" s="2336" t="str">
        <f t="shared" si="2"/>
        <v/>
      </c>
      <c r="B141" s="2337" t="s">
        <v>3133</v>
      </c>
      <c r="C141" s="2336"/>
      <c r="D141" s="2317"/>
      <c r="E141" s="2338"/>
      <c r="F141" s="2338"/>
      <c r="G141" s="2338"/>
      <c r="H141" s="2339"/>
      <c r="I141" s="2340"/>
      <c r="J141" s="2341"/>
      <c r="K141" s="2342"/>
      <c r="L141" s="2342"/>
      <c r="M141" s="2343"/>
      <c r="N141" s="2343"/>
      <c r="O141" s="2343"/>
      <c r="P141" s="2341"/>
      <c r="Q141" s="2344"/>
      <c r="R141" s="2345"/>
      <c r="S141" s="2343"/>
      <c r="T141" s="2346"/>
      <c r="U141" s="2347"/>
      <c r="V141" s="2348"/>
      <c r="W141" s="2348"/>
      <c r="X141" s="2349"/>
      <c r="Y141" s="2350"/>
      <c r="Z141" s="2350"/>
      <c r="AA141" s="2350"/>
      <c r="AB141" s="2350"/>
      <c r="AC141" s="2351"/>
    </row>
    <row r="142" spans="1:29" s="2316" customFormat="1" ht="50" customHeight="1">
      <c r="A142" s="2321">
        <f t="shared" si="2"/>
        <v>35</v>
      </c>
      <c r="B142" s="2360" t="str">
        <f>MOPFRA!Q12</f>
        <v>كارخانجات‌داروپخش‌</v>
      </c>
      <c r="C142" s="2321" t="str">
        <f>MOPFRA!R12</f>
        <v>دارو</v>
      </c>
      <c r="D142" s="2315">
        <f>MOPFRA!S12</f>
        <v>12</v>
      </c>
      <c r="E142" s="2323">
        <f>MOPFRA!BO12</f>
        <v>3</v>
      </c>
      <c r="F142" s="2323">
        <f>MOPFRA!AW12</f>
        <v>5310</v>
      </c>
      <c r="G142" s="2323">
        <f>MOPFRA!AX12</f>
        <v>3072</v>
      </c>
      <c r="H142" s="2324"/>
      <c r="I142" s="2325"/>
      <c r="J142" s="2326">
        <f>MOPFRA!BS12</f>
        <v>0</v>
      </c>
      <c r="K142" s="2327">
        <f>MOPFRA!CK12</f>
        <v>5180</v>
      </c>
      <c r="L142" s="2327">
        <f>MOPFRA!CN12</f>
        <v>3</v>
      </c>
      <c r="M142" s="2328">
        <f>MOPFRA!CO12</f>
        <v>2087</v>
      </c>
      <c r="N142" s="2328">
        <f>MOPFRA!CP12</f>
        <v>0</v>
      </c>
      <c r="O142" s="2328">
        <f>MOPFRA!CS12</f>
        <v>3565</v>
      </c>
      <c r="P142" s="2326">
        <f>MOPFRA!CT12</f>
        <v>-150</v>
      </c>
      <c r="Q142" s="2329">
        <f>MOPFRA!CV12</f>
        <v>8903</v>
      </c>
      <c r="R142" s="2330">
        <f>MOPFRA!CW12</f>
        <v>7527</v>
      </c>
      <c r="S142" s="2328">
        <f>MOPFRA!CX12</f>
        <v>2723</v>
      </c>
      <c r="T142" s="2331">
        <f>MOPFRA!CY12</f>
        <v>1515</v>
      </c>
      <c r="U142" s="2332">
        <f>MOPFRA!DE12</f>
        <v>5149</v>
      </c>
      <c r="V142" s="2323">
        <f>MOPFRA!DF12</f>
        <v>5142</v>
      </c>
      <c r="W142" s="2323">
        <f>MOPFRA!DG12</f>
        <v>1</v>
      </c>
      <c r="X142" s="2333">
        <f>MOPFRA!DH12</f>
        <v>12796</v>
      </c>
      <c r="Y142" s="2334">
        <f>MOPFRA!DK12</f>
        <v>2223</v>
      </c>
      <c r="Z142" s="2334">
        <f>MOPFRA!DL12</f>
        <v>269</v>
      </c>
      <c r="AA142" s="2334">
        <f>MOPFRA!DM12</f>
        <v>9505</v>
      </c>
      <c r="AB142" s="2334">
        <f>MOPFRA!DP12</f>
        <v>0</v>
      </c>
      <c r="AC142" s="2335">
        <f>MOPFRA!DQ12</f>
        <v>799</v>
      </c>
    </row>
    <row r="143" spans="1:29" s="2318" customFormat="1" ht="105" customHeight="1">
      <c r="A143" s="2336" t="str">
        <f t="shared" si="2"/>
        <v/>
      </c>
      <c r="B143" s="2337"/>
      <c r="C143" s="2336"/>
      <c r="D143" s="2317"/>
      <c r="E143" s="2338"/>
      <c r="F143" s="2338"/>
      <c r="G143" s="2338"/>
      <c r="H143" s="2339"/>
      <c r="I143" s="2340"/>
      <c r="J143" s="2341"/>
      <c r="K143" s="2342"/>
      <c r="L143" s="2342"/>
      <c r="M143" s="2343"/>
      <c r="N143" s="2343"/>
      <c r="O143" s="2343"/>
      <c r="P143" s="2341"/>
      <c r="Q143" s="2344"/>
      <c r="R143" s="2345"/>
      <c r="S143" s="2343"/>
      <c r="T143" s="2346"/>
      <c r="U143" s="2347"/>
      <c r="V143" s="2348"/>
      <c r="W143" s="2348"/>
      <c r="X143" s="2349"/>
      <c r="Y143" s="2350"/>
      <c r="Z143" s="2350"/>
      <c r="AA143" s="2350"/>
      <c r="AB143" s="2350"/>
      <c r="AC143" s="2351"/>
    </row>
    <row r="144" spans="1:29" s="2318" customFormat="1" ht="70" customHeight="1">
      <c r="A144" s="2321" t="str">
        <f t="shared" si="2"/>
        <v/>
      </c>
      <c r="B144" s="2353" t="s">
        <v>3132</v>
      </c>
      <c r="C144" s="2352"/>
      <c r="D144" s="2319"/>
      <c r="E144" s="2319"/>
      <c r="F144" s="2319"/>
      <c r="G144" s="2319"/>
      <c r="H144" s="2319"/>
      <c r="I144" s="2319"/>
      <c r="J144" s="2354"/>
      <c r="K144" s="2355"/>
      <c r="L144" s="2355"/>
      <c r="M144" s="2356"/>
      <c r="N144" s="2356"/>
      <c r="O144" s="2356"/>
      <c r="P144" s="2354"/>
      <c r="Q144" s="2344"/>
      <c r="R144" s="2345"/>
      <c r="S144" s="2356"/>
      <c r="T144" s="2346"/>
      <c r="U144" s="2347"/>
      <c r="V144" s="2357"/>
      <c r="W144" s="2357"/>
      <c r="X144" s="2349"/>
      <c r="Y144" s="2358"/>
      <c r="Z144" s="2358"/>
      <c r="AA144" s="2358"/>
      <c r="AB144" s="2358"/>
      <c r="AC144" s="2359"/>
    </row>
    <row r="145" spans="1:29" s="2318" customFormat="1" ht="105" customHeight="1">
      <c r="A145" s="2336" t="str">
        <f t="shared" si="2"/>
        <v/>
      </c>
      <c r="B145" s="2337" t="s">
        <v>3133</v>
      </c>
      <c r="C145" s="2336"/>
      <c r="D145" s="2317"/>
      <c r="E145" s="2338"/>
      <c r="F145" s="2338"/>
      <c r="G145" s="2338"/>
      <c r="H145" s="2339"/>
      <c r="I145" s="2340"/>
      <c r="J145" s="2341"/>
      <c r="K145" s="2342"/>
      <c r="L145" s="2342"/>
      <c r="M145" s="2343"/>
      <c r="N145" s="2343"/>
      <c r="O145" s="2343"/>
      <c r="P145" s="2341"/>
      <c r="Q145" s="2344"/>
      <c r="R145" s="2345"/>
      <c r="S145" s="2343"/>
      <c r="T145" s="2346"/>
      <c r="U145" s="2347"/>
      <c r="V145" s="2348"/>
      <c r="W145" s="2348"/>
      <c r="X145" s="2349"/>
      <c r="Y145" s="2350"/>
      <c r="Z145" s="2350"/>
      <c r="AA145" s="2350"/>
      <c r="AB145" s="2350"/>
      <c r="AC145" s="2351"/>
    </row>
    <row r="146" spans="1:29" s="2316" customFormat="1" ht="50" customHeight="1">
      <c r="A146" s="2321">
        <f t="shared" si="2"/>
        <v>36</v>
      </c>
      <c r="B146" s="2322" t="str">
        <f>MOPFRA!Q13</f>
        <v>سالمين‌</v>
      </c>
      <c r="C146" s="2321" t="str">
        <f>MOPFRA!R13</f>
        <v>غسالم</v>
      </c>
      <c r="D146" s="2315">
        <f>MOPFRA!S13</f>
        <v>12</v>
      </c>
      <c r="E146" s="2323">
        <f>MOPFRA!BO13</f>
        <v>3</v>
      </c>
      <c r="F146" s="2323">
        <f>MOPFRA!AW13</f>
        <v>1482</v>
      </c>
      <c r="G146" s="2323">
        <f>MOPFRA!AX13</f>
        <v>350</v>
      </c>
      <c r="H146" s="2324"/>
      <c r="I146" s="2325"/>
      <c r="J146" s="2326">
        <f>MOPFRA!BS13</f>
        <v>0</v>
      </c>
      <c r="K146" s="2327">
        <f>MOPFRA!CK13</f>
        <v>600</v>
      </c>
      <c r="L146" s="2327">
        <f>MOPFRA!CN13</f>
        <v>2</v>
      </c>
      <c r="M146" s="2328">
        <f>MOPFRA!CO13</f>
        <v>276</v>
      </c>
      <c r="N146" s="2328">
        <f>MOPFRA!CP13</f>
        <v>0</v>
      </c>
      <c r="O146" s="2328">
        <f>MOPFRA!CS13</f>
        <v>1202</v>
      </c>
      <c r="P146" s="2326">
        <f>MOPFRA!CT13</f>
        <v>0</v>
      </c>
      <c r="Q146" s="2329">
        <f>MOPFRA!CV13</f>
        <v>1865</v>
      </c>
      <c r="R146" s="2330">
        <f>MOPFRA!CW13</f>
        <v>1149</v>
      </c>
      <c r="S146" s="2328">
        <f>MOPFRA!CX13</f>
        <v>151</v>
      </c>
      <c r="T146" s="2331">
        <f>MOPFRA!CY13</f>
        <v>229</v>
      </c>
      <c r="U146" s="2332">
        <f>MOPFRA!DE13</f>
        <v>445</v>
      </c>
      <c r="V146" s="2323">
        <f>MOPFRA!DF13</f>
        <v>445</v>
      </c>
      <c r="W146" s="2323">
        <f>MOPFRA!DG13</f>
        <v>0</v>
      </c>
      <c r="X146" s="2333">
        <f>MOPFRA!DH13</f>
        <v>2798</v>
      </c>
      <c r="Y146" s="2334">
        <f>MOPFRA!DK13</f>
        <v>334</v>
      </c>
      <c r="Z146" s="2334">
        <f>MOPFRA!DL13</f>
        <v>61</v>
      </c>
      <c r="AA146" s="2334">
        <f>MOPFRA!DM13</f>
        <v>2022</v>
      </c>
      <c r="AB146" s="2334">
        <f>MOPFRA!DP13</f>
        <v>0</v>
      </c>
      <c r="AC146" s="2335">
        <f>MOPFRA!DQ13</f>
        <v>381</v>
      </c>
    </row>
    <row r="147" spans="1:29" s="2318" customFormat="1" ht="105" customHeight="1">
      <c r="A147" s="2336" t="str">
        <f t="shared" si="2"/>
        <v/>
      </c>
      <c r="B147" s="2337"/>
      <c r="C147" s="2336"/>
      <c r="D147" s="2317"/>
      <c r="E147" s="2338"/>
      <c r="F147" s="2338"/>
      <c r="G147" s="2338"/>
      <c r="H147" s="2339"/>
      <c r="I147" s="2340"/>
      <c r="J147" s="2341"/>
      <c r="K147" s="2342"/>
      <c r="L147" s="2342"/>
      <c r="M147" s="2343"/>
      <c r="N147" s="2343"/>
      <c r="O147" s="2343"/>
      <c r="P147" s="2341"/>
      <c r="Q147" s="2344"/>
      <c r="R147" s="2345"/>
      <c r="S147" s="2343"/>
      <c r="T147" s="2346"/>
      <c r="U147" s="2347"/>
      <c r="V147" s="2348"/>
      <c r="W147" s="2348"/>
      <c r="X147" s="2349"/>
      <c r="Y147" s="2350"/>
      <c r="Z147" s="2350"/>
      <c r="AA147" s="2350"/>
      <c r="AB147" s="2350"/>
      <c r="AC147" s="2351"/>
    </row>
    <row r="148" spans="1:29" s="2318" customFormat="1" ht="70" customHeight="1">
      <c r="A148" s="2321" t="str">
        <f t="shared" si="2"/>
        <v/>
      </c>
      <c r="B148" s="2353" t="s">
        <v>3132</v>
      </c>
      <c r="C148" s="2352"/>
      <c r="D148" s="2319"/>
      <c r="E148" s="2319"/>
      <c r="F148" s="2319"/>
      <c r="G148" s="2319"/>
      <c r="H148" s="2319"/>
      <c r="I148" s="2319"/>
      <c r="J148" s="2354"/>
      <c r="K148" s="2355"/>
      <c r="L148" s="2355"/>
      <c r="M148" s="2356"/>
      <c r="N148" s="2356"/>
      <c r="O148" s="2356"/>
      <c r="P148" s="2354"/>
      <c r="Q148" s="2344"/>
      <c r="R148" s="2345"/>
      <c r="S148" s="2356"/>
      <c r="T148" s="2346"/>
      <c r="U148" s="2347"/>
      <c r="V148" s="2357"/>
      <c r="W148" s="2357"/>
      <c r="X148" s="2349"/>
      <c r="Y148" s="2358"/>
      <c r="Z148" s="2358"/>
      <c r="AA148" s="2358"/>
      <c r="AB148" s="2358"/>
      <c r="AC148" s="2359"/>
    </row>
    <row r="149" spans="1:29" s="2318" customFormat="1" ht="105" customHeight="1">
      <c r="A149" s="2336" t="str">
        <f t="shared" si="2"/>
        <v/>
      </c>
      <c r="B149" s="2337" t="s">
        <v>3133</v>
      </c>
      <c r="C149" s="2336"/>
      <c r="D149" s="2317"/>
      <c r="E149" s="2338"/>
      <c r="F149" s="2338"/>
      <c r="G149" s="2338"/>
      <c r="H149" s="2339"/>
      <c r="I149" s="2340"/>
      <c r="J149" s="2341"/>
      <c r="K149" s="2342"/>
      <c r="L149" s="2342"/>
      <c r="M149" s="2343"/>
      <c r="N149" s="2343"/>
      <c r="O149" s="2343"/>
      <c r="P149" s="2341"/>
      <c r="Q149" s="2344"/>
      <c r="R149" s="2345"/>
      <c r="S149" s="2343"/>
      <c r="T149" s="2346"/>
      <c r="U149" s="2347"/>
      <c r="V149" s="2348"/>
      <c r="W149" s="2348"/>
      <c r="X149" s="2349"/>
      <c r="Y149" s="2350"/>
      <c r="Z149" s="2350"/>
      <c r="AA149" s="2350"/>
      <c r="AB149" s="2350"/>
      <c r="AC149" s="2351"/>
    </row>
    <row r="150" spans="1:29" s="2316" customFormat="1" ht="50" customHeight="1">
      <c r="A150" s="2321">
        <f t="shared" si="2"/>
        <v>37</v>
      </c>
      <c r="B150" s="2322" t="str">
        <f>MOPFRA!Q14</f>
        <v>توليدي برنا باطري</v>
      </c>
      <c r="C150" s="2321" t="str">
        <f>MOPFRA!R14</f>
        <v>خبرنا</v>
      </c>
      <c r="D150" s="2315">
        <f>MOPFRA!S14</f>
        <v>12</v>
      </c>
      <c r="E150" s="2323">
        <f>MOPFRA!BO14</f>
        <v>3</v>
      </c>
      <c r="F150" s="2323">
        <f>MOPFRA!AW14</f>
        <v>782</v>
      </c>
      <c r="G150" s="2323">
        <f>MOPFRA!AX14</f>
        <v>280</v>
      </c>
      <c r="H150" s="2324"/>
      <c r="I150" s="2325"/>
      <c r="J150" s="2326">
        <f>MOPFRA!BS14</f>
        <v>0</v>
      </c>
      <c r="K150" s="2327">
        <f>MOPFRA!CK14</f>
        <v>500</v>
      </c>
      <c r="L150" s="2327">
        <f>MOPFRA!CN14</f>
        <v>25</v>
      </c>
      <c r="M150" s="2328">
        <f>MOPFRA!CO14</f>
        <v>231</v>
      </c>
      <c r="N150" s="2328">
        <f>MOPFRA!CP14</f>
        <v>0</v>
      </c>
      <c r="O150" s="2328">
        <f>MOPFRA!CS14</f>
        <v>1024</v>
      </c>
      <c r="P150" s="2326">
        <f>MOPFRA!CT14</f>
        <v>0</v>
      </c>
      <c r="Q150" s="2329">
        <f>MOPFRA!CV14</f>
        <v>1575</v>
      </c>
      <c r="R150" s="2330">
        <f>MOPFRA!CW14</f>
        <v>992</v>
      </c>
      <c r="S150" s="2328">
        <f>MOPFRA!CX14</f>
        <v>140</v>
      </c>
      <c r="T150" s="2331">
        <f>MOPFRA!CY14</f>
        <v>13</v>
      </c>
      <c r="U150" s="2332">
        <f>MOPFRA!DE14</f>
        <v>425</v>
      </c>
      <c r="V150" s="2323">
        <f>MOPFRA!DF14</f>
        <v>376</v>
      </c>
      <c r="W150" s="2323">
        <f>MOPFRA!DG14</f>
        <v>49</v>
      </c>
      <c r="X150" s="2333">
        <f>MOPFRA!DH14</f>
        <v>2155</v>
      </c>
      <c r="Y150" s="2334">
        <f>MOPFRA!DK14</f>
        <v>1630</v>
      </c>
      <c r="Z150" s="2334">
        <f>MOPFRA!DL14</f>
        <v>9</v>
      </c>
      <c r="AA150" s="2334">
        <f>MOPFRA!DM14</f>
        <v>255</v>
      </c>
      <c r="AB150" s="2334">
        <f>MOPFRA!DP14</f>
        <v>241</v>
      </c>
      <c r="AC150" s="2335">
        <f>MOPFRA!DQ14</f>
        <v>20</v>
      </c>
    </row>
    <row r="151" spans="1:29" s="2318" customFormat="1" ht="105" customHeight="1">
      <c r="A151" s="2336" t="str">
        <f t="shared" si="2"/>
        <v/>
      </c>
      <c r="B151" s="2337"/>
      <c r="C151" s="2336"/>
      <c r="D151" s="2317"/>
      <c r="E151" s="2338"/>
      <c r="F151" s="2338"/>
      <c r="G151" s="2338"/>
      <c r="H151" s="2339"/>
      <c r="I151" s="2340"/>
      <c r="J151" s="2341"/>
      <c r="K151" s="2342"/>
      <c r="L151" s="2342"/>
      <c r="M151" s="2343"/>
      <c r="N151" s="2343"/>
      <c r="O151" s="2343"/>
      <c r="P151" s="2341"/>
      <c r="Q151" s="2344"/>
      <c r="R151" s="2345"/>
      <c r="S151" s="2343"/>
      <c r="T151" s="2346"/>
      <c r="U151" s="2347"/>
      <c r="V151" s="2348"/>
      <c r="W151" s="2348"/>
      <c r="X151" s="2349"/>
      <c r="Y151" s="2350"/>
      <c r="Z151" s="2350"/>
      <c r="AA151" s="2350"/>
      <c r="AB151" s="2350"/>
      <c r="AC151" s="2351"/>
    </row>
    <row r="152" spans="1:29" s="2318" customFormat="1" ht="70" customHeight="1">
      <c r="A152" s="2321" t="str">
        <f t="shared" si="2"/>
        <v/>
      </c>
      <c r="B152" s="2353" t="s">
        <v>3132</v>
      </c>
      <c r="C152" s="2352"/>
      <c r="D152" s="2319"/>
      <c r="E152" s="2319"/>
      <c r="F152" s="2319"/>
      <c r="G152" s="2319"/>
      <c r="H152" s="2319"/>
      <c r="I152" s="2319"/>
      <c r="J152" s="2354"/>
      <c r="K152" s="2355"/>
      <c r="L152" s="2355"/>
      <c r="M152" s="2356"/>
      <c r="N152" s="2356"/>
      <c r="O152" s="2356"/>
      <c r="P152" s="2354"/>
      <c r="Q152" s="2344"/>
      <c r="R152" s="2345"/>
      <c r="S152" s="2356"/>
      <c r="T152" s="2346"/>
      <c r="U152" s="2347"/>
      <c r="V152" s="2357"/>
      <c r="W152" s="2357"/>
      <c r="X152" s="2349"/>
      <c r="Y152" s="2358"/>
      <c r="Z152" s="2358"/>
      <c r="AA152" s="2358"/>
      <c r="AB152" s="2358"/>
      <c r="AC152" s="2359"/>
    </row>
    <row r="153" spans="1:29" s="2318" customFormat="1" ht="105" customHeight="1">
      <c r="A153" s="2336" t="str">
        <f t="shared" si="2"/>
        <v/>
      </c>
      <c r="B153" s="2337" t="s">
        <v>3133</v>
      </c>
      <c r="C153" s="2336"/>
      <c r="D153" s="2317"/>
      <c r="E153" s="2338"/>
      <c r="F153" s="2338"/>
      <c r="G153" s="2338"/>
      <c r="H153" s="2339"/>
      <c r="I153" s="2340"/>
      <c r="J153" s="2341"/>
      <c r="K153" s="2342"/>
      <c r="L153" s="2342"/>
      <c r="M153" s="2343"/>
      <c r="N153" s="2343"/>
      <c r="O153" s="2343"/>
      <c r="P153" s="2341"/>
      <c r="Q153" s="2344"/>
      <c r="R153" s="2345"/>
      <c r="S153" s="2343"/>
      <c r="T153" s="2346"/>
      <c r="U153" s="2347"/>
      <c r="V153" s="2348"/>
      <c r="W153" s="2348"/>
      <c r="X153" s="2349"/>
      <c r="Y153" s="2350"/>
      <c r="Z153" s="2350"/>
      <c r="AA153" s="2350"/>
      <c r="AB153" s="2350"/>
      <c r="AC153" s="2351"/>
    </row>
    <row r="154" spans="1:29" s="2316" customFormat="1" ht="50" customHeight="1">
      <c r="A154" s="2321">
        <f t="shared" si="2"/>
        <v>38</v>
      </c>
      <c r="B154" s="2362" t="str">
        <f>MOPFRA!Q15</f>
        <v>دارويي و نهاده هاي زاگرس دارو</v>
      </c>
      <c r="C154" s="2321" t="str">
        <f>MOPFRA!R15</f>
        <v>دزاگرس</v>
      </c>
      <c r="D154" s="2315">
        <f>MOPFRA!S15</f>
        <v>12</v>
      </c>
      <c r="E154" s="2323">
        <f>MOPFRA!BO15</f>
        <v>3</v>
      </c>
      <c r="F154" s="2323">
        <f>MOPFRA!AW15</f>
        <v>2803</v>
      </c>
      <c r="G154" s="2323">
        <f>MOPFRA!AX15</f>
        <v>1406</v>
      </c>
      <c r="H154" s="2324"/>
      <c r="I154" s="2325"/>
      <c r="J154" s="2326">
        <f>MOPFRA!BS15</f>
        <v>0</v>
      </c>
      <c r="K154" s="2327">
        <f>MOPFRA!CK15</f>
        <v>770</v>
      </c>
      <c r="L154" s="2327">
        <f>MOPFRA!CN15</f>
        <v>42</v>
      </c>
      <c r="M154" s="2328">
        <f>MOPFRA!CO15</f>
        <v>1100</v>
      </c>
      <c r="N154" s="2328">
        <f>MOPFRA!CP15</f>
        <v>0</v>
      </c>
      <c r="O154" s="2328">
        <f>MOPFRA!CS15</f>
        <v>2450</v>
      </c>
      <c r="P154" s="2326">
        <f>MOPFRA!CT15</f>
        <v>-60</v>
      </c>
      <c r="Q154" s="2329">
        <f>MOPFRA!CV15</f>
        <v>3296</v>
      </c>
      <c r="R154" s="2330">
        <f>MOPFRA!CW15</f>
        <v>3335</v>
      </c>
      <c r="S154" s="2328">
        <f>MOPFRA!CX15</f>
        <v>1192</v>
      </c>
      <c r="T154" s="2331">
        <f>MOPFRA!CY15</f>
        <v>235</v>
      </c>
      <c r="U154" s="2332">
        <f>MOPFRA!DE15</f>
        <v>470</v>
      </c>
      <c r="V154" s="2323">
        <f>MOPFRA!DF15</f>
        <v>469</v>
      </c>
      <c r="W154" s="2323">
        <f>MOPFRA!DG15</f>
        <v>0</v>
      </c>
      <c r="X154" s="2333">
        <f>MOPFRA!DH15</f>
        <v>6396</v>
      </c>
      <c r="Y154" s="2334">
        <f>MOPFRA!DK15</f>
        <v>1161</v>
      </c>
      <c r="Z154" s="2334">
        <f>MOPFRA!DL15</f>
        <v>263</v>
      </c>
      <c r="AA154" s="2334">
        <f>MOPFRA!DM15</f>
        <v>3938</v>
      </c>
      <c r="AB154" s="2334">
        <f>MOPFRA!DP15</f>
        <v>0</v>
      </c>
      <c r="AC154" s="2335">
        <f>MOPFRA!DQ15</f>
        <v>1034</v>
      </c>
    </row>
    <row r="155" spans="1:29" s="2318" customFormat="1" ht="105" customHeight="1">
      <c r="A155" s="2336" t="str">
        <f t="shared" si="2"/>
        <v/>
      </c>
      <c r="B155" s="2337"/>
      <c r="C155" s="2336"/>
      <c r="D155" s="2317"/>
      <c r="E155" s="2338"/>
      <c r="F155" s="2338"/>
      <c r="G155" s="2338"/>
      <c r="H155" s="2339"/>
      <c r="I155" s="2340"/>
      <c r="J155" s="2341"/>
      <c r="K155" s="2342"/>
      <c r="L155" s="2342"/>
      <c r="M155" s="2343"/>
      <c r="N155" s="2343"/>
      <c r="O155" s="2343"/>
      <c r="P155" s="2341"/>
      <c r="Q155" s="2344"/>
      <c r="R155" s="2345"/>
      <c r="S155" s="2343"/>
      <c r="T155" s="2346"/>
      <c r="U155" s="2347"/>
      <c r="V155" s="2348"/>
      <c r="W155" s="2348"/>
      <c r="X155" s="2349"/>
      <c r="Y155" s="2350"/>
      <c r="Z155" s="2350"/>
      <c r="AA155" s="2350"/>
      <c r="AB155" s="2350"/>
      <c r="AC155" s="2351"/>
    </row>
    <row r="156" spans="1:29" s="2318" customFormat="1" ht="70" customHeight="1">
      <c r="A156" s="2321" t="str">
        <f t="shared" si="2"/>
        <v/>
      </c>
      <c r="B156" s="2353" t="s">
        <v>3132</v>
      </c>
      <c r="C156" s="2352"/>
      <c r="D156" s="2319"/>
      <c r="E156" s="2319"/>
      <c r="F156" s="2319"/>
      <c r="G156" s="2319"/>
      <c r="H156" s="2319"/>
      <c r="I156" s="2319"/>
      <c r="J156" s="2354"/>
      <c r="K156" s="2355"/>
      <c r="L156" s="2355"/>
      <c r="M156" s="2356"/>
      <c r="N156" s="2356"/>
      <c r="O156" s="2356"/>
      <c r="P156" s="2354"/>
      <c r="Q156" s="2344"/>
      <c r="R156" s="2345"/>
      <c r="S156" s="2356"/>
      <c r="T156" s="2346"/>
      <c r="U156" s="2347"/>
      <c r="V156" s="2357"/>
      <c r="W156" s="2357"/>
      <c r="X156" s="2349"/>
      <c r="Y156" s="2358"/>
      <c r="Z156" s="2358"/>
      <c r="AA156" s="2358"/>
      <c r="AB156" s="2358"/>
      <c r="AC156" s="2359"/>
    </row>
    <row r="157" spans="1:29" s="2318" customFormat="1" ht="105" customHeight="1">
      <c r="A157" s="2336" t="str">
        <f t="shared" si="2"/>
        <v/>
      </c>
      <c r="B157" s="2337" t="s">
        <v>3133</v>
      </c>
      <c r="C157" s="2336"/>
      <c r="D157" s="2317"/>
      <c r="E157" s="2338"/>
      <c r="F157" s="2338"/>
      <c r="G157" s="2338"/>
      <c r="H157" s="2339"/>
      <c r="I157" s="2340"/>
      <c r="J157" s="2341"/>
      <c r="K157" s="2342"/>
      <c r="L157" s="2342"/>
      <c r="M157" s="2343"/>
      <c r="N157" s="2343"/>
      <c r="O157" s="2343"/>
      <c r="P157" s="2341"/>
      <c r="Q157" s="2344"/>
      <c r="R157" s="2345"/>
      <c r="S157" s="2343"/>
      <c r="T157" s="2346"/>
      <c r="U157" s="2347"/>
      <c r="V157" s="2348"/>
      <c r="W157" s="2348"/>
      <c r="X157" s="2349"/>
      <c r="Y157" s="2350"/>
      <c r="Z157" s="2350"/>
      <c r="AA157" s="2350"/>
      <c r="AB157" s="2350"/>
      <c r="AC157" s="2351"/>
    </row>
    <row r="158" spans="1:29" s="2316" customFormat="1" ht="50" customHeight="1">
      <c r="A158" s="2321">
        <f t="shared" si="2"/>
        <v>39</v>
      </c>
      <c r="B158" s="2322" t="str">
        <f>MOPFRA!Q16</f>
        <v>فولاد اميركبيركاشان</v>
      </c>
      <c r="C158" s="2321" t="str">
        <f>MOPFRA!R16</f>
        <v>فجر</v>
      </c>
      <c r="D158" s="2315">
        <f>MOPFRA!S16</f>
        <v>12</v>
      </c>
      <c r="E158" s="2323">
        <f>MOPFRA!BO16</f>
        <v>3</v>
      </c>
      <c r="F158" s="2323">
        <f>MOPFRA!AW16</f>
        <v>2753</v>
      </c>
      <c r="G158" s="2323">
        <f>MOPFRA!AX16</f>
        <v>1201</v>
      </c>
      <c r="H158" s="2324"/>
      <c r="I158" s="2325"/>
      <c r="J158" s="2326">
        <f>MOPFRA!BS16</f>
        <v>0</v>
      </c>
      <c r="K158" s="2327">
        <f>MOPFRA!CK16</f>
        <v>2000</v>
      </c>
      <c r="L158" s="2327">
        <f>MOPFRA!CN16</f>
        <v>80</v>
      </c>
      <c r="M158" s="2328">
        <f>MOPFRA!CO16</f>
        <v>971</v>
      </c>
      <c r="N158" s="2328">
        <f>MOPFRA!CP16</f>
        <v>0</v>
      </c>
      <c r="O158" s="2328">
        <f>MOPFRA!CS16</f>
        <v>1755</v>
      </c>
      <c r="P158" s="2326">
        <f>MOPFRA!CT16</f>
        <v>0</v>
      </c>
      <c r="Q158" s="2329">
        <f>MOPFRA!CV16</f>
        <v>3955</v>
      </c>
      <c r="R158" s="2330">
        <f>MOPFRA!CW16</f>
        <v>4204</v>
      </c>
      <c r="S158" s="2328">
        <f>MOPFRA!CX16</f>
        <v>835</v>
      </c>
      <c r="T158" s="2331">
        <f>MOPFRA!CY16</f>
        <v>150</v>
      </c>
      <c r="U158" s="2332">
        <f>MOPFRA!DE16</f>
        <v>604</v>
      </c>
      <c r="V158" s="2323">
        <f>MOPFRA!DF16</f>
        <v>563</v>
      </c>
      <c r="W158" s="2323">
        <f>MOPFRA!DG16</f>
        <v>1</v>
      </c>
      <c r="X158" s="2333">
        <f>MOPFRA!DH16</f>
        <v>7705</v>
      </c>
      <c r="Y158" s="2334">
        <f>MOPFRA!DK16</f>
        <v>4501</v>
      </c>
      <c r="Z158" s="2334">
        <f>MOPFRA!DL16</f>
        <v>825</v>
      </c>
      <c r="AA158" s="2334">
        <f>MOPFRA!DM16</f>
        <v>1151</v>
      </c>
      <c r="AB158" s="2334">
        <f>MOPFRA!DP16</f>
        <v>401</v>
      </c>
      <c r="AC158" s="2335">
        <f>MOPFRA!DQ16</f>
        <v>827</v>
      </c>
    </row>
    <row r="159" spans="1:29" s="2318" customFormat="1" ht="105" customHeight="1">
      <c r="A159" s="2336" t="str">
        <f t="shared" si="2"/>
        <v/>
      </c>
      <c r="B159" s="2337"/>
      <c r="C159" s="2336"/>
      <c r="D159" s="2317"/>
      <c r="E159" s="2338"/>
      <c r="F159" s="2338"/>
      <c r="G159" s="2338"/>
      <c r="H159" s="2339"/>
      <c r="I159" s="2340"/>
      <c r="J159" s="2341"/>
      <c r="K159" s="2342"/>
      <c r="L159" s="2342"/>
      <c r="M159" s="2343"/>
      <c r="N159" s="2343"/>
      <c r="O159" s="2343"/>
      <c r="P159" s="2341"/>
      <c r="Q159" s="2344"/>
      <c r="R159" s="2345"/>
      <c r="S159" s="2343"/>
      <c r="T159" s="2346"/>
      <c r="U159" s="2347"/>
      <c r="V159" s="2348"/>
      <c r="W159" s="2348"/>
      <c r="X159" s="2349"/>
      <c r="Y159" s="2350"/>
      <c r="Z159" s="2350"/>
      <c r="AA159" s="2350"/>
      <c r="AB159" s="2350"/>
      <c r="AC159" s="2351"/>
    </row>
    <row r="160" spans="1:29" s="2318" customFormat="1" ht="70" customHeight="1">
      <c r="A160" s="2321" t="str">
        <f t="shared" si="2"/>
        <v/>
      </c>
      <c r="B160" s="2353" t="s">
        <v>3132</v>
      </c>
      <c r="C160" s="2352"/>
      <c r="D160" s="2319"/>
      <c r="E160" s="2319"/>
      <c r="F160" s="2319"/>
      <c r="G160" s="2319"/>
      <c r="H160" s="2319"/>
      <c r="I160" s="2319"/>
      <c r="J160" s="2354"/>
      <c r="K160" s="2355"/>
      <c r="L160" s="2355"/>
      <c r="M160" s="2356"/>
      <c r="N160" s="2356"/>
      <c r="O160" s="2356"/>
      <c r="P160" s="2354"/>
      <c r="Q160" s="2344"/>
      <c r="R160" s="2345"/>
      <c r="S160" s="2356"/>
      <c r="T160" s="2346"/>
      <c r="U160" s="2347"/>
      <c r="V160" s="2357"/>
      <c r="W160" s="2357"/>
      <c r="X160" s="2349"/>
      <c r="Y160" s="2358"/>
      <c r="Z160" s="2358"/>
      <c r="AA160" s="2358"/>
      <c r="AB160" s="2358"/>
      <c r="AC160" s="2359"/>
    </row>
    <row r="161" spans="1:29" s="2318" customFormat="1" ht="105" customHeight="1">
      <c r="A161" s="2336" t="str">
        <f t="shared" si="2"/>
        <v/>
      </c>
      <c r="B161" s="2337" t="s">
        <v>3133</v>
      </c>
      <c r="C161" s="2336"/>
      <c r="D161" s="2317"/>
      <c r="E161" s="2338"/>
      <c r="F161" s="2338"/>
      <c r="G161" s="2338"/>
      <c r="H161" s="2339"/>
      <c r="I161" s="2340"/>
      <c r="J161" s="2341"/>
      <c r="K161" s="2342"/>
      <c r="L161" s="2342"/>
      <c r="M161" s="2343"/>
      <c r="N161" s="2343"/>
      <c r="O161" s="2343"/>
      <c r="P161" s="2341"/>
      <c r="Q161" s="2344"/>
      <c r="R161" s="2345"/>
      <c r="S161" s="2343"/>
      <c r="T161" s="2346"/>
      <c r="U161" s="2347"/>
      <c r="V161" s="2348"/>
      <c r="W161" s="2348"/>
      <c r="X161" s="2349"/>
      <c r="Y161" s="2350"/>
      <c r="Z161" s="2350"/>
      <c r="AA161" s="2350"/>
      <c r="AB161" s="2350"/>
      <c r="AC161" s="2351"/>
    </row>
    <row r="162" spans="1:29" s="2316" customFormat="1" ht="50" customHeight="1">
      <c r="A162" s="2321">
        <f t="shared" si="2"/>
        <v>40</v>
      </c>
      <c r="B162" s="2322" t="str">
        <f>MOPFRA!Q17</f>
        <v>پالايش نفت تهران</v>
      </c>
      <c r="C162" s="2321" t="str">
        <f>MOPFRA!R17</f>
        <v>شتران</v>
      </c>
      <c r="D162" s="2315">
        <f>MOPFRA!S17</f>
        <v>12</v>
      </c>
      <c r="E162" s="2323">
        <f>MOPFRA!BO17</f>
        <v>3</v>
      </c>
      <c r="F162" s="2323">
        <f>MOPFRA!AW17</f>
        <v>145436</v>
      </c>
      <c r="G162" s="2323">
        <f>MOPFRA!AX17</f>
        <v>24912</v>
      </c>
      <c r="H162" s="2324"/>
      <c r="I162" s="2325"/>
      <c r="J162" s="2326">
        <f>MOPFRA!BS17</f>
        <v>0</v>
      </c>
      <c r="K162" s="2327">
        <f>MOPFRA!CK17</f>
        <v>65250</v>
      </c>
      <c r="L162" s="2327">
        <f>MOPFRA!CN17</f>
        <v>1232</v>
      </c>
      <c r="M162" s="2328">
        <f>MOPFRA!CO17</f>
        <v>21154</v>
      </c>
      <c r="N162" s="2328">
        <f>MOPFRA!CP17</f>
        <v>-2582</v>
      </c>
      <c r="O162" s="2328">
        <f>MOPFRA!CS17</f>
        <v>70110</v>
      </c>
      <c r="P162" s="2326">
        <f>MOPFRA!CT17</f>
        <v>-608</v>
      </c>
      <c r="Q162" s="2329">
        <f>MOPFRA!CV17</f>
        <v>175007</v>
      </c>
      <c r="R162" s="2330">
        <f>MOPFRA!CW17</f>
        <v>41746</v>
      </c>
      <c r="S162" s="2328">
        <f>MOPFRA!CX17</f>
        <v>0</v>
      </c>
      <c r="T162" s="2331">
        <f>MOPFRA!CY17</f>
        <v>6937</v>
      </c>
      <c r="U162" s="2332">
        <f>MOPFRA!DE17</f>
        <v>81824</v>
      </c>
      <c r="V162" s="2323">
        <f>MOPFRA!DF17</f>
        <v>40132</v>
      </c>
      <c r="W162" s="2323">
        <f>MOPFRA!DG17</f>
        <v>31693</v>
      </c>
      <c r="X162" s="2333">
        <f>MOPFRA!DH17</f>
        <v>141866</v>
      </c>
      <c r="Y162" s="2334">
        <f>MOPFRA!DK17</f>
        <v>30723</v>
      </c>
      <c r="Z162" s="2334">
        <f>MOPFRA!DL17</f>
        <v>358</v>
      </c>
      <c r="AA162" s="2334">
        <f>MOPFRA!DM17</f>
        <v>104418</v>
      </c>
      <c r="AB162" s="2334">
        <f>MOPFRA!DP17</f>
        <v>5841</v>
      </c>
      <c r="AC162" s="2335">
        <f>MOPFRA!DQ17</f>
        <v>526</v>
      </c>
    </row>
    <row r="163" spans="1:29" s="2318" customFormat="1" ht="105" customHeight="1">
      <c r="A163" s="2336" t="str">
        <f t="shared" si="2"/>
        <v/>
      </c>
      <c r="B163" s="2337"/>
      <c r="C163" s="2336"/>
      <c r="D163" s="2317"/>
      <c r="E163" s="2338"/>
      <c r="F163" s="2338"/>
      <c r="G163" s="2338"/>
      <c r="H163" s="2339"/>
      <c r="I163" s="2340"/>
      <c r="J163" s="2341"/>
      <c r="K163" s="2342"/>
      <c r="L163" s="2342"/>
      <c r="M163" s="2343"/>
      <c r="N163" s="2343"/>
      <c r="O163" s="2343"/>
      <c r="P163" s="2341"/>
      <c r="Q163" s="2344"/>
      <c r="R163" s="2345"/>
      <c r="S163" s="2343"/>
      <c r="T163" s="2346"/>
      <c r="U163" s="2347"/>
      <c r="V163" s="2348"/>
      <c r="W163" s="2348"/>
      <c r="X163" s="2349"/>
      <c r="Y163" s="2350"/>
      <c r="Z163" s="2350"/>
      <c r="AA163" s="2350"/>
      <c r="AB163" s="2350"/>
      <c r="AC163" s="2351"/>
    </row>
    <row r="164" spans="1:29" s="2318" customFormat="1" ht="70" customHeight="1">
      <c r="A164" s="2321" t="str">
        <f t="shared" si="2"/>
        <v/>
      </c>
      <c r="B164" s="2353" t="s">
        <v>3132</v>
      </c>
      <c r="C164" s="2352"/>
      <c r="D164" s="2319"/>
      <c r="E164" s="2319"/>
      <c r="F164" s="2319"/>
      <c r="G164" s="2319"/>
      <c r="H164" s="2319"/>
      <c r="I164" s="2319"/>
      <c r="J164" s="2354"/>
      <c r="K164" s="2355"/>
      <c r="L164" s="2355"/>
      <c r="M164" s="2356"/>
      <c r="N164" s="2356"/>
      <c r="O164" s="2356"/>
      <c r="P164" s="2354"/>
      <c r="Q164" s="2344"/>
      <c r="R164" s="2345"/>
      <c r="S164" s="2356"/>
      <c r="T164" s="2346"/>
      <c r="U164" s="2347"/>
      <c r="V164" s="2357"/>
      <c r="W164" s="2357"/>
      <c r="X164" s="2349"/>
      <c r="Y164" s="2358"/>
      <c r="Z164" s="2358"/>
      <c r="AA164" s="2358"/>
      <c r="AB164" s="2358"/>
      <c r="AC164" s="2359"/>
    </row>
    <row r="165" spans="1:29" s="2318" customFormat="1" ht="105" customHeight="1">
      <c r="A165" s="2336" t="str">
        <f t="shared" si="2"/>
        <v/>
      </c>
      <c r="B165" s="2337" t="s">
        <v>3133</v>
      </c>
      <c r="C165" s="2336"/>
      <c r="D165" s="2317"/>
      <c r="E165" s="2338"/>
      <c r="F165" s="2338"/>
      <c r="G165" s="2338"/>
      <c r="H165" s="2339"/>
      <c r="I165" s="2340"/>
      <c r="J165" s="2341"/>
      <c r="K165" s="2342"/>
      <c r="L165" s="2342"/>
      <c r="M165" s="2343"/>
      <c r="N165" s="2343"/>
      <c r="O165" s="2343"/>
      <c r="P165" s="2341"/>
      <c r="Q165" s="2344"/>
      <c r="R165" s="2345"/>
      <c r="S165" s="2343"/>
      <c r="T165" s="2346"/>
      <c r="U165" s="2347"/>
      <c r="V165" s="2348"/>
      <c r="W165" s="2348"/>
      <c r="X165" s="2349"/>
      <c r="Y165" s="2350"/>
      <c r="Z165" s="2350"/>
      <c r="AA165" s="2350"/>
      <c r="AB165" s="2350"/>
      <c r="AC165" s="2351"/>
    </row>
    <row r="166" spans="1:29" s="2316" customFormat="1" ht="50" customHeight="1">
      <c r="A166" s="2321">
        <f t="shared" si="2"/>
        <v>41</v>
      </c>
      <c r="B166" s="2322" t="str">
        <f>MOPFRA!Q18</f>
        <v>صنعت غذايي كورش</v>
      </c>
      <c r="C166" s="2321" t="str">
        <f>MOPFRA!R18</f>
        <v>غكورش</v>
      </c>
      <c r="D166" s="2315">
        <f>MOPFRA!S18</f>
        <v>12</v>
      </c>
      <c r="E166" s="2323">
        <f>MOPFRA!BO18</f>
        <v>3</v>
      </c>
      <c r="F166" s="2323">
        <f>MOPFRA!AW18</f>
        <v>28975</v>
      </c>
      <c r="G166" s="2323">
        <f>MOPFRA!AX18</f>
        <v>6047</v>
      </c>
      <c r="H166" s="2324"/>
      <c r="I166" s="2325"/>
      <c r="J166" s="2326">
        <f>MOPFRA!BS18</f>
        <v>0</v>
      </c>
      <c r="K166" s="2327">
        <f>MOPFRA!CK18</f>
        <v>4400</v>
      </c>
      <c r="L166" s="2327">
        <f>MOPFRA!CN18</f>
        <v>378</v>
      </c>
      <c r="M166" s="2328">
        <f>MOPFRA!CO18</f>
        <v>4534</v>
      </c>
      <c r="N166" s="2328">
        <f>MOPFRA!CP18</f>
        <v>1512</v>
      </c>
      <c r="O166" s="2328">
        <f>MOPFRA!CS18</f>
        <v>6814</v>
      </c>
      <c r="P166" s="2326">
        <f>MOPFRA!CT18</f>
        <v>0</v>
      </c>
      <c r="Q166" s="2329">
        <f>MOPFRA!CV18</f>
        <v>11654</v>
      </c>
      <c r="R166" s="2330">
        <f>MOPFRA!CW18</f>
        <v>31646</v>
      </c>
      <c r="S166" s="2328">
        <f>MOPFRA!CX18</f>
        <v>5222</v>
      </c>
      <c r="T166" s="2331">
        <f>MOPFRA!CY18</f>
        <v>478</v>
      </c>
      <c r="U166" s="2332">
        <f>MOPFRA!DE18</f>
        <v>6256</v>
      </c>
      <c r="V166" s="2323">
        <f>MOPFRA!DF18</f>
        <v>954</v>
      </c>
      <c r="W166" s="2323">
        <f>MOPFRA!DG18</f>
        <v>5150</v>
      </c>
      <c r="X166" s="2333">
        <f>MOPFRA!DH18</f>
        <v>37522</v>
      </c>
      <c r="Y166" s="2334">
        <f>MOPFRA!DK18</f>
        <v>3827</v>
      </c>
      <c r="Z166" s="2334">
        <f>MOPFRA!DL18</f>
        <v>1497</v>
      </c>
      <c r="AA166" s="2334">
        <f>MOPFRA!DM18</f>
        <v>17833</v>
      </c>
      <c r="AB166" s="2334">
        <f>MOPFRA!DP18</f>
        <v>4705</v>
      </c>
      <c r="AC166" s="2335">
        <f>MOPFRA!DQ18</f>
        <v>9660</v>
      </c>
    </row>
    <row r="167" spans="1:29" s="2318" customFormat="1" ht="105" customHeight="1">
      <c r="A167" s="2336" t="str">
        <f t="shared" si="2"/>
        <v/>
      </c>
      <c r="B167" s="2337"/>
      <c r="C167" s="2336"/>
      <c r="D167" s="2317"/>
      <c r="E167" s="2338"/>
      <c r="F167" s="2338"/>
      <c r="G167" s="2338"/>
      <c r="H167" s="2339"/>
      <c r="I167" s="2340"/>
      <c r="J167" s="2341"/>
      <c r="K167" s="2342"/>
      <c r="L167" s="2342"/>
      <c r="M167" s="2343"/>
      <c r="N167" s="2343"/>
      <c r="O167" s="2343"/>
      <c r="P167" s="2341"/>
      <c r="Q167" s="2344"/>
      <c r="R167" s="2345"/>
      <c r="S167" s="2343"/>
      <c r="T167" s="2346"/>
      <c r="U167" s="2347"/>
      <c r="V167" s="2348"/>
      <c r="W167" s="2348"/>
      <c r="X167" s="2349"/>
      <c r="Y167" s="2350"/>
      <c r="Z167" s="2350"/>
      <c r="AA167" s="2350"/>
      <c r="AB167" s="2350"/>
      <c r="AC167" s="2351"/>
    </row>
    <row r="168" spans="1:29" s="2318" customFormat="1" ht="70" customHeight="1">
      <c r="A168" s="2321" t="str">
        <f t="shared" si="2"/>
        <v/>
      </c>
      <c r="B168" s="2353" t="s">
        <v>3132</v>
      </c>
      <c r="C168" s="2352"/>
      <c r="D168" s="2319"/>
      <c r="E168" s="2319"/>
      <c r="F168" s="2319"/>
      <c r="G168" s="2319"/>
      <c r="H168" s="2319"/>
      <c r="I168" s="2319"/>
      <c r="J168" s="2354"/>
      <c r="K168" s="2355"/>
      <c r="L168" s="2355"/>
      <c r="M168" s="2356"/>
      <c r="N168" s="2356"/>
      <c r="O168" s="2356"/>
      <c r="P168" s="2354"/>
      <c r="Q168" s="2344"/>
      <c r="R168" s="2345"/>
      <c r="S168" s="2356"/>
      <c r="T168" s="2346"/>
      <c r="U168" s="2347"/>
      <c r="V168" s="2357"/>
      <c r="W168" s="2357"/>
      <c r="X168" s="2349"/>
      <c r="Y168" s="2358"/>
      <c r="Z168" s="2358"/>
      <c r="AA168" s="2358"/>
      <c r="AB168" s="2358"/>
      <c r="AC168" s="2359"/>
    </row>
    <row r="169" spans="1:29" s="2318" customFormat="1" ht="105" customHeight="1">
      <c r="A169" s="2336" t="str">
        <f t="shared" si="2"/>
        <v/>
      </c>
      <c r="B169" s="2337" t="s">
        <v>3133</v>
      </c>
      <c r="C169" s="2336"/>
      <c r="D169" s="2317"/>
      <c r="E169" s="2338"/>
      <c r="F169" s="2338"/>
      <c r="G169" s="2338"/>
      <c r="H169" s="2339"/>
      <c r="I169" s="2340"/>
      <c r="J169" s="2341"/>
      <c r="K169" s="2342"/>
      <c r="L169" s="2342"/>
      <c r="M169" s="2343"/>
      <c r="N169" s="2343"/>
      <c r="O169" s="2343"/>
      <c r="P169" s="2341"/>
      <c r="Q169" s="2344"/>
      <c r="R169" s="2345"/>
      <c r="S169" s="2343"/>
      <c r="T169" s="2346"/>
      <c r="U169" s="2347"/>
      <c r="V169" s="2348"/>
      <c r="W169" s="2348"/>
      <c r="X169" s="2349"/>
      <c r="Y169" s="2350"/>
      <c r="Z169" s="2350"/>
      <c r="AA169" s="2350"/>
      <c r="AB169" s="2350"/>
      <c r="AC169" s="2351"/>
    </row>
    <row r="170" spans="1:29" s="2316" customFormat="1" ht="50" customHeight="1">
      <c r="A170" s="2321">
        <f t="shared" si="2"/>
        <v>42</v>
      </c>
      <c r="B170" s="2322" t="str">
        <f>MOPFRA!Q19</f>
        <v>فرآورده‌هاي‌نسوزآذر</v>
      </c>
      <c r="C170" s="2321" t="str">
        <f>MOPFRA!R19</f>
        <v>كاذر</v>
      </c>
      <c r="D170" s="2315">
        <f>MOPFRA!S19</f>
        <v>12</v>
      </c>
      <c r="E170" s="2323">
        <f>MOPFRA!BO19</f>
        <v>3</v>
      </c>
      <c r="F170" s="2323">
        <f>MOPFRA!AW19</f>
        <v>344</v>
      </c>
      <c r="G170" s="2323">
        <f>MOPFRA!AX19</f>
        <v>111</v>
      </c>
      <c r="H170" s="2324"/>
      <c r="I170" s="2325"/>
      <c r="J170" s="2326">
        <f>MOPFRA!BS19</f>
        <v>0</v>
      </c>
      <c r="K170" s="2327">
        <f>MOPFRA!CK19</f>
        <v>400</v>
      </c>
      <c r="L170" s="2327">
        <f>MOPFRA!CN19</f>
        <v>3</v>
      </c>
      <c r="M170" s="2328">
        <f>MOPFRA!CO19</f>
        <v>91</v>
      </c>
      <c r="N170" s="2328">
        <f>MOPFRA!CP19</f>
        <v>-1</v>
      </c>
      <c r="O170" s="2328">
        <f>MOPFRA!CS19</f>
        <v>276</v>
      </c>
      <c r="P170" s="2326">
        <f>MOPFRA!CT19</f>
        <v>0</v>
      </c>
      <c r="Q170" s="2329">
        <f>MOPFRA!CV19</f>
        <v>710</v>
      </c>
      <c r="R170" s="2330">
        <f>MOPFRA!CW19</f>
        <v>507</v>
      </c>
      <c r="S170" s="2328">
        <f>MOPFRA!CX19</f>
        <v>31</v>
      </c>
      <c r="T170" s="2331">
        <f>MOPFRA!CY19</f>
        <v>106</v>
      </c>
      <c r="U170" s="2332">
        <f>MOPFRA!DE19</f>
        <v>343</v>
      </c>
      <c r="V170" s="2323">
        <f>MOPFRA!DF19</f>
        <v>329</v>
      </c>
      <c r="W170" s="2323">
        <f>MOPFRA!DG19</f>
        <v>8</v>
      </c>
      <c r="X170" s="2333">
        <f>MOPFRA!DH19</f>
        <v>980</v>
      </c>
      <c r="Y170" s="2334">
        <f>MOPFRA!DK19</f>
        <v>190</v>
      </c>
      <c r="Z170" s="2334">
        <f>MOPFRA!DL19</f>
        <v>116</v>
      </c>
      <c r="AA170" s="2334">
        <f>MOPFRA!DM19</f>
        <v>445</v>
      </c>
      <c r="AB170" s="2334">
        <f>MOPFRA!DP19</f>
        <v>67</v>
      </c>
      <c r="AC170" s="2335">
        <f>MOPFRA!DQ19</f>
        <v>162</v>
      </c>
    </row>
    <row r="171" spans="1:29" s="2318" customFormat="1" ht="105" customHeight="1">
      <c r="A171" s="2336" t="str">
        <f t="shared" si="2"/>
        <v/>
      </c>
      <c r="B171" s="2337"/>
      <c r="C171" s="2336"/>
      <c r="D171" s="2317"/>
      <c r="E171" s="2338"/>
      <c r="F171" s="2338"/>
      <c r="G171" s="2338"/>
      <c r="H171" s="2339"/>
      <c r="I171" s="2340"/>
      <c r="J171" s="2341"/>
      <c r="K171" s="2342"/>
      <c r="L171" s="2342"/>
      <c r="M171" s="2343"/>
      <c r="N171" s="2343"/>
      <c r="O171" s="2343"/>
      <c r="P171" s="2341"/>
      <c r="Q171" s="2344"/>
      <c r="R171" s="2345"/>
      <c r="S171" s="2343"/>
      <c r="T171" s="2346"/>
      <c r="U171" s="2347"/>
      <c r="V171" s="2348"/>
      <c r="W171" s="2348"/>
      <c r="X171" s="2349"/>
      <c r="Y171" s="2350"/>
      <c r="Z171" s="2350"/>
      <c r="AA171" s="2350"/>
      <c r="AB171" s="2350"/>
      <c r="AC171" s="2351"/>
    </row>
    <row r="172" spans="1:29" s="2318" customFormat="1" ht="70" customHeight="1">
      <c r="A172" s="2321" t="str">
        <f t="shared" si="2"/>
        <v/>
      </c>
      <c r="B172" s="2353" t="s">
        <v>3132</v>
      </c>
      <c r="C172" s="2352"/>
      <c r="D172" s="2319"/>
      <c r="E172" s="2319"/>
      <c r="F172" s="2319"/>
      <c r="G172" s="2319"/>
      <c r="H172" s="2319"/>
      <c r="I172" s="2319"/>
      <c r="J172" s="2354"/>
      <c r="K172" s="2355"/>
      <c r="L172" s="2355"/>
      <c r="M172" s="2356"/>
      <c r="N172" s="2356"/>
      <c r="O172" s="2356"/>
      <c r="P172" s="2354"/>
      <c r="Q172" s="2344"/>
      <c r="R172" s="2345"/>
      <c r="S172" s="2356"/>
      <c r="T172" s="2346"/>
      <c r="U172" s="2347"/>
      <c r="V172" s="2357"/>
      <c r="W172" s="2357"/>
      <c r="X172" s="2349"/>
      <c r="Y172" s="2358"/>
      <c r="Z172" s="2358"/>
      <c r="AA172" s="2358"/>
      <c r="AB172" s="2358"/>
      <c r="AC172" s="2359"/>
    </row>
    <row r="173" spans="1:29" s="2318" customFormat="1" ht="105" customHeight="1">
      <c r="A173" s="2336" t="str">
        <f t="shared" si="2"/>
        <v/>
      </c>
      <c r="B173" s="2337" t="s">
        <v>3133</v>
      </c>
      <c r="C173" s="2336"/>
      <c r="D173" s="2317"/>
      <c r="E173" s="2338"/>
      <c r="F173" s="2338"/>
      <c r="G173" s="2338"/>
      <c r="H173" s="2339"/>
      <c r="I173" s="2340"/>
      <c r="J173" s="2341"/>
      <c r="K173" s="2342"/>
      <c r="L173" s="2342"/>
      <c r="M173" s="2343"/>
      <c r="N173" s="2343"/>
      <c r="O173" s="2343"/>
      <c r="P173" s="2341"/>
      <c r="Q173" s="2344"/>
      <c r="R173" s="2345"/>
      <c r="S173" s="2343"/>
      <c r="T173" s="2346"/>
      <c r="U173" s="2347"/>
      <c r="V173" s="2348"/>
      <c r="W173" s="2348"/>
      <c r="X173" s="2349"/>
      <c r="Y173" s="2350"/>
      <c r="Z173" s="2350"/>
      <c r="AA173" s="2350"/>
      <c r="AB173" s="2350"/>
      <c r="AC173" s="2351"/>
    </row>
    <row r="174" spans="1:29" s="2316" customFormat="1" ht="50" customHeight="1">
      <c r="A174" s="2321">
        <f t="shared" si="2"/>
        <v>43</v>
      </c>
      <c r="B174" s="2322" t="str">
        <f>MOPFRA!Q20</f>
        <v>ايران‌ياساتايرورابر</v>
      </c>
      <c r="C174" s="2321" t="str">
        <f>MOPFRA!R20</f>
        <v>پاسا</v>
      </c>
      <c r="D174" s="2315">
        <f>MOPFRA!S20</f>
        <v>12</v>
      </c>
      <c r="E174" s="2323">
        <f>MOPFRA!BO20</f>
        <v>3</v>
      </c>
      <c r="F174" s="2323">
        <f>MOPFRA!AW20</f>
        <v>1232</v>
      </c>
      <c r="G174" s="2323">
        <f>MOPFRA!AX20</f>
        <v>445</v>
      </c>
      <c r="H174" s="2324"/>
      <c r="I174" s="2325"/>
      <c r="J174" s="2326">
        <f>MOPFRA!BS20</f>
        <v>0</v>
      </c>
      <c r="K174" s="2327">
        <f>MOPFRA!CK20</f>
        <v>430</v>
      </c>
      <c r="L174" s="2327">
        <f>MOPFRA!CN20</f>
        <v>0</v>
      </c>
      <c r="M174" s="2328">
        <f>MOPFRA!CO20</f>
        <v>336</v>
      </c>
      <c r="N174" s="2328">
        <f>MOPFRA!CP20</f>
        <v>0</v>
      </c>
      <c r="O174" s="2328">
        <f>MOPFRA!CS20</f>
        <v>402</v>
      </c>
      <c r="P174" s="2326">
        <f>MOPFRA!CT20</f>
        <v>-24</v>
      </c>
      <c r="Q174" s="2329">
        <f>MOPFRA!CV20</f>
        <v>854</v>
      </c>
      <c r="R174" s="2330">
        <f>MOPFRA!CW20</f>
        <v>2510</v>
      </c>
      <c r="S174" s="2328">
        <f>MOPFRA!CX20</f>
        <v>347</v>
      </c>
      <c r="T174" s="2331">
        <f>MOPFRA!CY20</f>
        <v>179</v>
      </c>
      <c r="U174" s="2332">
        <f>MOPFRA!DE20</f>
        <v>783</v>
      </c>
      <c r="V174" s="2323">
        <f>MOPFRA!DF20</f>
        <v>740</v>
      </c>
      <c r="W174" s="2323">
        <f>MOPFRA!DG20</f>
        <v>1</v>
      </c>
      <c r="X174" s="2333">
        <f>MOPFRA!DH20</f>
        <v>2760</v>
      </c>
      <c r="Y174" s="2334">
        <f>MOPFRA!DK20</f>
        <v>1218</v>
      </c>
      <c r="Z174" s="2334">
        <f>MOPFRA!DL20</f>
        <v>635</v>
      </c>
      <c r="AA174" s="2334">
        <f>MOPFRA!DM20</f>
        <v>581</v>
      </c>
      <c r="AB174" s="2334">
        <f>MOPFRA!DP20</f>
        <v>0</v>
      </c>
      <c r="AC174" s="2335">
        <f>MOPFRA!DQ20</f>
        <v>326</v>
      </c>
    </row>
    <row r="175" spans="1:29" s="2318" customFormat="1" ht="105" customHeight="1">
      <c r="A175" s="2336" t="str">
        <f>IFERROR(IF(A171&gt;0,A171+1,""),"")</f>
        <v/>
      </c>
      <c r="B175" s="2337"/>
      <c r="C175" s="2336"/>
      <c r="D175" s="2317"/>
      <c r="E175" s="2338"/>
      <c r="F175" s="2338"/>
      <c r="G175" s="2338"/>
      <c r="H175" s="2339"/>
      <c r="I175" s="2340"/>
      <c r="J175" s="2341"/>
      <c r="K175" s="2342"/>
      <c r="L175" s="2342"/>
      <c r="M175" s="2343"/>
      <c r="N175" s="2343"/>
      <c r="O175" s="2343"/>
      <c r="P175" s="2341"/>
      <c r="Q175" s="2344"/>
      <c r="R175" s="2345"/>
      <c r="S175" s="2343"/>
      <c r="T175" s="2346"/>
      <c r="U175" s="2347"/>
      <c r="V175" s="2348"/>
      <c r="W175" s="2348"/>
      <c r="X175" s="2349"/>
      <c r="Y175" s="2350"/>
      <c r="Z175" s="2350"/>
      <c r="AA175" s="2350"/>
      <c r="AB175" s="2350"/>
      <c r="AC175" s="2351"/>
    </row>
    <row r="176" spans="1:29" s="2318" customFormat="1" ht="70" customHeight="1">
      <c r="A176" s="2321" t="str">
        <f>IFERROR(IF(A172&gt;0,A172+1,""),"")</f>
        <v/>
      </c>
      <c r="B176" s="2353" t="s">
        <v>3132</v>
      </c>
      <c r="C176" s="2352"/>
      <c r="D176" s="2319"/>
      <c r="E176" s="2319"/>
      <c r="F176" s="2319"/>
      <c r="G176" s="2319"/>
      <c r="H176" s="2319"/>
      <c r="I176" s="2319"/>
      <c r="J176" s="2354"/>
      <c r="K176" s="2355"/>
      <c r="L176" s="2355"/>
      <c r="M176" s="2356"/>
      <c r="N176" s="2356"/>
      <c r="O176" s="2356"/>
      <c r="P176" s="2354"/>
      <c r="Q176" s="2344"/>
      <c r="R176" s="2345"/>
      <c r="S176" s="2356"/>
      <c r="T176" s="2346"/>
      <c r="U176" s="2347"/>
      <c r="V176" s="2357"/>
      <c r="W176" s="2357"/>
      <c r="X176" s="2349"/>
      <c r="Y176" s="2358"/>
      <c r="Z176" s="2358"/>
      <c r="AA176" s="2358"/>
      <c r="AB176" s="2358"/>
      <c r="AC176" s="2359"/>
    </row>
    <row r="177" spans="1:29" s="2318" customFormat="1" ht="105" customHeight="1">
      <c r="A177" s="2336" t="str">
        <f t="shared" ref="A177:A240" si="3">IFERROR(IF(A173&gt;0,A173+1,""),"")</f>
        <v/>
      </c>
      <c r="B177" s="2337" t="s">
        <v>3133</v>
      </c>
      <c r="C177" s="2336"/>
      <c r="D177" s="2317"/>
      <c r="E177" s="2338"/>
      <c r="F177" s="2338"/>
      <c r="G177" s="2338"/>
      <c r="H177" s="2339"/>
      <c r="I177" s="2340"/>
      <c r="J177" s="2341"/>
      <c r="K177" s="2342"/>
      <c r="L177" s="2342"/>
      <c r="M177" s="2343"/>
      <c r="N177" s="2343"/>
      <c r="O177" s="2343"/>
      <c r="P177" s="2341"/>
      <c r="Q177" s="2344"/>
      <c r="R177" s="2345"/>
      <c r="S177" s="2343"/>
      <c r="T177" s="2346"/>
      <c r="U177" s="2347"/>
      <c r="V177" s="2348"/>
      <c r="W177" s="2348"/>
      <c r="X177" s="2349"/>
      <c r="Y177" s="2350"/>
      <c r="Z177" s="2350"/>
      <c r="AA177" s="2350"/>
      <c r="AB177" s="2350"/>
      <c r="AC177" s="2351"/>
    </row>
    <row r="178" spans="1:29" s="2316" customFormat="1" ht="50" customHeight="1">
      <c r="A178" s="2321">
        <f t="shared" si="3"/>
        <v>44</v>
      </c>
      <c r="B178" s="2322" t="str">
        <f>MOPFRA!Q21</f>
        <v>پالايش نفت اصفهان</v>
      </c>
      <c r="C178" s="2321" t="str">
        <f>MOPFRA!R21</f>
        <v>شپنا</v>
      </c>
      <c r="D178" s="2315">
        <f>MOPFRA!S21</f>
        <v>12</v>
      </c>
      <c r="E178" s="2323">
        <f>MOPFRA!BO21</f>
        <v>3</v>
      </c>
      <c r="F178" s="2323">
        <f>MOPFRA!AW21</f>
        <v>386120</v>
      </c>
      <c r="G178" s="2323">
        <f>MOPFRA!AX21</f>
        <v>48461</v>
      </c>
      <c r="H178" s="2324"/>
      <c r="I178" s="2325"/>
      <c r="J178" s="2326">
        <f>MOPFRA!BS21</f>
        <v>0</v>
      </c>
      <c r="K178" s="2327">
        <f>MOPFRA!CK21</f>
        <v>62723.42</v>
      </c>
      <c r="L178" s="2327">
        <f>MOPFRA!CN21</f>
        <v>940</v>
      </c>
      <c r="M178" s="2328">
        <f>MOPFRA!CO21</f>
        <v>38540</v>
      </c>
      <c r="N178" s="2328">
        <f>MOPFRA!CP21</f>
        <v>-288</v>
      </c>
      <c r="O178" s="2328">
        <f>MOPFRA!CS21</f>
        <v>80574</v>
      </c>
      <c r="P178" s="2326">
        <f>MOPFRA!CT21</f>
        <v>-2430</v>
      </c>
      <c r="Q178" s="2329">
        <f>MOPFRA!CV21</f>
        <v>153315</v>
      </c>
      <c r="R178" s="2330">
        <f>MOPFRA!CW21</f>
        <v>149231</v>
      </c>
      <c r="S178" s="2328">
        <f>MOPFRA!CX21</f>
        <v>20390</v>
      </c>
      <c r="T178" s="2331">
        <f>MOPFRA!CY21</f>
        <v>13432</v>
      </c>
      <c r="U178" s="2332">
        <f>MOPFRA!DE21</f>
        <v>127328</v>
      </c>
      <c r="V178" s="2323">
        <f>MOPFRA!DF21</f>
        <v>110576</v>
      </c>
      <c r="W178" s="2323">
        <f>MOPFRA!DG21</f>
        <v>12834</v>
      </c>
      <c r="X178" s="2333">
        <f>MOPFRA!DH21</f>
        <v>188650</v>
      </c>
      <c r="Y178" s="2334">
        <f>MOPFRA!DK21</f>
        <v>47153</v>
      </c>
      <c r="Z178" s="2334">
        <f>MOPFRA!DL21</f>
        <v>15637</v>
      </c>
      <c r="AA178" s="2334">
        <f>MOPFRA!DM21</f>
        <v>123700</v>
      </c>
      <c r="AB178" s="2334">
        <f>MOPFRA!DP21</f>
        <v>3</v>
      </c>
      <c r="AC178" s="2335">
        <f>MOPFRA!DQ21</f>
        <v>2157</v>
      </c>
    </row>
    <row r="179" spans="1:29" s="2318" customFormat="1" ht="105" customHeight="1">
      <c r="A179" s="2336" t="str">
        <f t="shared" si="3"/>
        <v/>
      </c>
      <c r="B179" s="2337"/>
      <c r="C179" s="2336"/>
      <c r="D179" s="2317"/>
      <c r="E179" s="2338"/>
      <c r="F179" s="2338"/>
      <c r="G179" s="2338"/>
      <c r="H179" s="2339"/>
      <c r="I179" s="2340"/>
      <c r="J179" s="2341"/>
      <c r="K179" s="2342"/>
      <c r="L179" s="2342"/>
      <c r="M179" s="2343"/>
      <c r="N179" s="2343"/>
      <c r="O179" s="2343"/>
      <c r="P179" s="2341"/>
      <c r="Q179" s="2344"/>
      <c r="R179" s="2345"/>
      <c r="S179" s="2343"/>
      <c r="T179" s="2346"/>
      <c r="U179" s="2347"/>
      <c r="V179" s="2348"/>
      <c r="W179" s="2348"/>
      <c r="X179" s="2349"/>
      <c r="Y179" s="2350"/>
      <c r="Z179" s="2350"/>
      <c r="AA179" s="2350"/>
      <c r="AB179" s="2350"/>
      <c r="AC179" s="2351"/>
    </row>
    <row r="180" spans="1:29" s="2318" customFormat="1" ht="70" customHeight="1">
      <c r="A180" s="2321" t="str">
        <f t="shared" si="3"/>
        <v/>
      </c>
      <c r="B180" s="2353" t="s">
        <v>3132</v>
      </c>
      <c r="C180" s="2352"/>
      <c r="D180" s="2319"/>
      <c r="E180" s="2319"/>
      <c r="F180" s="2319"/>
      <c r="G180" s="2319"/>
      <c r="H180" s="2319"/>
      <c r="I180" s="2319"/>
      <c r="J180" s="2354"/>
      <c r="K180" s="2355"/>
      <c r="L180" s="2355"/>
      <c r="M180" s="2356"/>
      <c r="N180" s="2356"/>
      <c r="O180" s="2356"/>
      <c r="P180" s="2354"/>
      <c r="Q180" s="2344"/>
      <c r="R180" s="2345"/>
      <c r="S180" s="2356"/>
      <c r="T180" s="2346"/>
      <c r="U180" s="2347"/>
      <c r="V180" s="2357"/>
      <c r="W180" s="2357"/>
      <c r="X180" s="2349"/>
      <c r="Y180" s="2358"/>
      <c r="Z180" s="2358"/>
      <c r="AA180" s="2358"/>
      <c r="AB180" s="2358"/>
      <c r="AC180" s="2359"/>
    </row>
    <row r="181" spans="1:29" s="2318" customFormat="1" ht="105" customHeight="1">
      <c r="A181" s="2336" t="str">
        <f t="shared" si="3"/>
        <v/>
      </c>
      <c r="B181" s="2337" t="s">
        <v>3133</v>
      </c>
      <c r="C181" s="2336"/>
      <c r="D181" s="2317"/>
      <c r="E181" s="2338"/>
      <c r="F181" s="2338"/>
      <c r="G181" s="2338"/>
      <c r="H181" s="2339"/>
      <c r="I181" s="2340"/>
      <c r="J181" s="2341"/>
      <c r="K181" s="2342"/>
      <c r="L181" s="2342"/>
      <c r="M181" s="2343"/>
      <c r="N181" s="2343"/>
      <c r="O181" s="2343"/>
      <c r="P181" s="2341"/>
      <c r="Q181" s="2344"/>
      <c r="R181" s="2345"/>
      <c r="S181" s="2343"/>
      <c r="T181" s="2346"/>
      <c r="U181" s="2347"/>
      <c r="V181" s="2348"/>
      <c r="W181" s="2348"/>
      <c r="X181" s="2349"/>
      <c r="Y181" s="2350"/>
      <c r="Z181" s="2350"/>
      <c r="AA181" s="2350"/>
      <c r="AB181" s="2350"/>
      <c r="AC181" s="2351"/>
    </row>
    <row r="182" spans="1:29" s="2316" customFormat="1" ht="50" customHeight="1">
      <c r="A182" s="2321">
        <f t="shared" si="3"/>
        <v>45</v>
      </c>
      <c r="B182" s="2322" t="str">
        <f>MOPFRA!Q22</f>
        <v>پتروشيمي‌شيراز</v>
      </c>
      <c r="C182" s="2321" t="str">
        <f>MOPFRA!R22</f>
        <v>شيراز</v>
      </c>
      <c r="D182" s="2315">
        <f>MOPFRA!S22</f>
        <v>12</v>
      </c>
      <c r="E182" s="2323">
        <f>MOPFRA!BO22</f>
        <v>3</v>
      </c>
      <c r="F182" s="2323">
        <f>MOPFRA!AW22</f>
        <v>8407</v>
      </c>
      <c r="G182" s="2323">
        <f>MOPFRA!AX22</f>
        <v>4488</v>
      </c>
      <c r="H182" s="2324"/>
      <c r="I182" s="2325"/>
      <c r="J182" s="2326">
        <f>MOPFRA!BS22</f>
        <v>0</v>
      </c>
      <c r="K182" s="2327">
        <f>MOPFRA!CK22</f>
        <v>1530</v>
      </c>
      <c r="L182" s="2327">
        <f>MOPFRA!CN22</f>
        <v>-643</v>
      </c>
      <c r="M182" s="2328">
        <f>MOPFRA!CO22</f>
        <v>3140</v>
      </c>
      <c r="N182" s="2328">
        <f>MOPFRA!CP22</f>
        <v>6</v>
      </c>
      <c r="O182" s="2328">
        <f>MOPFRA!CS22</f>
        <v>18496</v>
      </c>
      <c r="P182" s="2326">
        <f>MOPFRA!CT22</f>
        <v>-155</v>
      </c>
      <c r="Q182" s="2329">
        <f>MOPFRA!CV22</f>
        <v>20105</v>
      </c>
      <c r="R182" s="2330">
        <f>MOPFRA!CW22</f>
        <v>32924</v>
      </c>
      <c r="S182" s="2328">
        <f>MOPFRA!CX22</f>
        <v>2389</v>
      </c>
      <c r="T182" s="2331">
        <f>MOPFRA!CY22</f>
        <v>7949</v>
      </c>
      <c r="U182" s="2332">
        <f>MOPFRA!DE22</f>
        <v>22461</v>
      </c>
      <c r="V182" s="2323">
        <f>MOPFRA!DF22</f>
        <v>4824</v>
      </c>
      <c r="W182" s="2323">
        <f>MOPFRA!DG22</f>
        <v>17532</v>
      </c>
      <c r="X182" s="2333">
        <f>MOPFRA!DH22</f>
        <v>38517</v>
      </c>
      <c r="Y182" s="2334">
        <f>MOPFRA!DK22</f>
        <v>9801</v>
      </c>
      <c r="Z182" s="2334">
        <f>MOPFRA!DL22</f>
        <v>2825</v>
      </c>
      <c r="AA182" s="2334">
        <f>MOPFRA!DM22</f>
        <v>24021</v>
      </c>
      <c r="AB182" s="2334">
        <f>MOPFRA!DP22</f>
        <v>685</v>
      </c>
      <c r="AC182" s="2335">
        <f>MOPFRA!DQ22</f>
        <v>1185</v>
      </c>
    </row>
    <row r="183" spans="1:29" s="2318" customFormat="1" ht="105" customHeight="1">
      <c r="A183" s="2336" t="str">
        <f t="shared" si="3"/>
        <v/>
      </c>
      <c r="B183" s="2337"/>
      <c r="C183" s="2336"/>
      <c r="D183" s="2317"/>
      <c r="E183" s="2338"/>
      <c r="F183" s="2338"/>
      <c r="G183" s="2338"/>
      <c r="H183" s="2339"/>
      <c r="I183" s="2340"/>
      <c r="J183" s="2341"/>
      <c r="K183" s="2342"/>
      <c r="L183" s="2342"/>
      <c r="M183" s="2343"/>
      <c r="N183" s="2343"/>
      <c r="O183" s="2343"/>
      <c r="P183" s="2341"/>
      <c r="Q183" s="2344"/>
      <c r="R183" s="2345"/>
      <c r="S183" s="2343"/>
      <c r="T183" s="2346"/>
      <c r="U183" s="2347"/>
      <c r="V183" s="2348"/>
      <c r="W183" s="2348"/>
      <c r="X183" s="2349"/>
      <c r="Y183" s="2350"/>
      <c r="Z183" s="2350"/>
      <c r="AA183" s="2350"/>
      <c r="AB183" s="2350"/>
      <c r="AC183" s="2351"/>
    </row>
    <row r="184" spans="1:29" s="2318" customFormat="1" ht="70" customHeight="1">
      <c r="A184" s="2321" t="str">
        <f t="shared" si="3"/>
        <v/>
      </c>
      <c r="B184" s="2353" t="s">
        <v>3132</v>
      </c>
      <c r="C184" s="2352"/>
      <c r="D184" s="2319"/>
      <c r="E184" s="2319"/>
      <c r="F184" s="2319"/>
      <c r="G184" s="2319"/>
      <c r="H184" s="2319"/>
      <c r="I184" s="2319"/>
      <c r="J184" s="2354"/>
      <c r="K184" s="2355"/>
      <c r="L184" s="2355"/>
      <c r="M184" s="2356"/>
      <c r="N184" s="2356"/>
      <c r="O184" s="2356"/>
      <c r="P184" s="2354"/>
      <c r="Q184" s="2344"/>
      <c r="R184" s="2345"/>
      <c r="S184" s="2356"/>
      <c r="T184" s="2346"/>
      <c r="U184" s="2347"/>
      <c r="V184" s="2357"/>
      <c r="W184" s="2357"/>
      <c r="X184" s="2349"/>
      <c r="Y184" s="2358"/>
      <c r="Z184" s="2358"/>
      <c r="AA184" s="2358"/>
      <c r="AB184" s="2358"/>
      <c r="AC184" s="2359"/>
    </row>
    <row r="185" spans="1:29" s="2318" customFormat="1" ht="105" customHeight="1">
      <c r="A185" s="2336" t="str">
        <f t="shared" si="3"/>
        <v/>
      </c>
      <c r="B185" s="2337" t="s">
        <v>3133</v>
      </c>
      <c r="C185" s="2336"/>
      <c r="D185" s="2317"/>
      <c r="E185" s="2338"/>
      <c r="F185" s="2338"/>
      <c r="G185" s="2338"/>
      <c r="H185" s="2339"/>
      <c r="I185" s="2340"/>
      <c r="J185" s="2341"/>
      <c r="K185" s="2342"/>
      <c r="L185" s="2342"/>
      <c r="M185" s="2343"/>
      <c r="N185" s="2343"/>
      <c r="O185" s="2343"/>
      <c r="P185" s="2341"/>
      <c r="Q185" s="2344"/>
      <c r="R185" s="2345"/>
      <c r="S185" s="2343"/>
      <c r="T185" s="2346"/>
      <c r="U185" s="2347"/>
      <c r="V185" s="2348"/>
      <c r="W185" s="2348"/>
      <c r="X185" s="2349"/>
      <c r="Y185" s="2350"/>
      <c r="Z185" s="2350"/>
      <c r="AA185" s="2350"/>
      <c r="AB185" s="2350"/>
      <c r="AC185" s="2351"/>
    </row>
    <row r="186" spans="1:29" s="2316" customFormat="1" ht="50" customHeight="1">
      <c r="A186" s="2321">
        <f t="shared" si="3"/>
        <v>46</v>
      </c>
      <c r="B186" s="2361" t="str">
        <f>MOPFRA!Q23</f>
        <v>شركت صنايع غذايي مينو شرق</v>
      </c>
      <c r="C186" s="2321" t="str">
        <f>MOPFRA!R23</f>
        <v>غمينو</v>
      </c>
      <c r="D186" s="2315">
        <f>MOPFRA!S23</f>
        <v>12</v>
      </c>
      <c r="E186" s="2323">
        <f>MOPFRA!BO23</f>
        <v>3</v>
      </c>
      <c r="F186" s="2323">
        <f>MOPFRA!AW23</f>
        <v>977</v>
      </c>
      <c r="G186" s="2323">
        <f>MOPFRA!AX23</f>
        <v>463</v>
      </c>
      <c r="H186" s="2324"/>
      <c r="I186" s="2325"/>
      <c r="J186" s="2326">
        <f>MOPFRA!BS23</f>
        <v>0</v>
      </c>
      <c r="K186" s="2327">
        <f>MOPFRA!CK23</f>
        <v>700</v>
      </c>
      <c r="L186" s="2327">
        <f>MOPFRA!CN23</f>
        <v>16</v>
      </c>
      <c r="M186" s="2328">
        <f>MOPFRA!CO23</f>
        <v>380</v>
      </c>
      <c r="N186" s="2328">
        <f>MOPFRA!CP23</f>
        <v>0</v>
      </c>
      <c r="O186" s="2328">
        <f>MOPFRA!CS23</f>
        <v>760</v>
      </c>
      <c r="P186" s="2326">
        <f>MOPFRA!CT23</f>
        <v>0</v>
      </c>
      <c r="Q186" s="2329">
        <f>MOPFRA!CV23</f>
        <v>1804</v>
      </c>
      <c r="R186" s="2330">
        <f>MOPFRA!CW23</f>
        <v>655</v>
      </c>
      <c r="S186" s="2328">
        <f>MOPFRA!CX23</f>
        <v>70</v>
      </c>
      <c r="T186" s="2331">
        <f>MOPFRA!CY23</f>
        <v>116</v>
      </c>
      <c r="U186" s="2332">
        <f>MOPFRA!DE23</f>
        <v>795</v>
      </c>
      <c r="V186" s="2323">
        <f>MOPFRA!DF23</f>
        <v>742</v>
      </c>
      <c r="W186" s="2323">
        <f>MOPFRA!DG23</f>
        <v>53</v>
      </c>
      <c r="X186" s="2333">
        <f>MOPFRA!DH23</f>
        <v>1780</v>
      </c>
      <c r="Y186" s="2334">
        <f>MOPFRA!DK23</f>
        <v>739</v>
      </c>
      <c r="Z186" s="2334">
        <f>MOPFRA!DL23</f>
        <v>185</v>
      </c>
      <c r="AA186" s="2334">
        <f>MOPFRA!DM23</f>
        <v>705</v>
      </c>
      <c r="AB186" s="2334">
        <f>MOPFRA!DP23</f>
        <v>12</v>
      </c>
      <c r="AC186" s="2335">
        <f>MOPFRA!DQ23</f>
        <v>139</v>
      </c>
    </row>
    <row r="187" spans="1:29" s="2318" customFormat="1" ht="105" customHeight="1">
      <c r="A187" s="2336" t="str">
        <f t="shared" si="3"/>
        <v/>
      </c>
      <c r="B187" s="2337"/>
      <c r="C187" s="2336"/>
      <c r="D187" s="2317"/>
      <c r="E187" s="2338"/>
      <c r="F187" s="2338"/>
      <c r="G187" s="2338"/>
      <c r="H187" s="2339"/>
      <c r="I187" s="2340"/>
      <c r="J187" s="2341"/>
      <c r="K187" s="2342"/>
      <c r="L187" s="2342"/>
      <c r="M187" s="2343"/>
      <c r="N187" s="2343"/>
      <c r="O187" s="2343"/>
      <c r="P187" s="2341"/>
      <c r="Q187" s="2344"/>
      <c r="R187" s="2345"/>
      <c r="S187" s="2343"/>
      <c r="T187" s="2346"/>
      <c r="U187" s="2347"/>
      <c r="V187" s="2348"/>
      <c r="W187" s="2348"/>
      <c r="X187" s="2349"/>
      <c r="Y187" s="2350"/>
      <c r="Z187" s="2350"/>
      <c r="AA187" s="2350"/>
      <c r="AB187" s="2350"/>
      <c r="AC187" s="2351"/>
    </row>
    <row r="188" spans="1:29" s="2318" customFormat="1" ht="70" customHeight="1">
      <c r="A188" s="2321" t="str">
        <f t="shared" si="3"/>
        <v/>
      </c>
      <c r="B188" s="2353" t="s">
        <v>3132</v>
      </c>
      <c r="C188" s="2352"/>
      <c r="D188" s="2319"/>
      <c r="E188" s="2319"/>
      <c r="F188" s="2319"/>
      <c r="G188" s="2319"/>
      <c r="H188" s="2319"/>
      <c r="I188" s="2319"/>
      <c r="J188" s="2354"/>
      <c r="K188" s="2355"/>
      <c r="L188" s="2355"/>
      <c r="M188" s="2356"/>
      <c r="N188" s="2356"/>
      <c r="O188" s="2356"/>
      <c r="P188" s="2354"/>
      <c r="Q188" s="2344"/>
      <c r="R188" s="2345"/>
      <c r="S188" s="2356"/>
      <c r="T188" s="2346"/>
      <c r="U188" s="2347"/>
      <c r="V188" s="2357"/>
      <c r="W188" s="2357"/>
      <c r="X188" s="2349"/>
      <c r="Y188" s="2358"/>
      <c r="Z188" s="2358"/>
      <c r="AA188" s="2358"/>
      <c r="AB188" s="2358"/>
      <c r="AC188" s="2359"/>
    </row>
    <row r="189" spans="1:29" s="2318" customFormat="1" ht="105" customHeight="1">
      <c r="A189" s="2336" t="str">
        <f t="shared" si="3"/>
        <v/>
      </c>
      <c r="B189" s="2337" t="s">
        <v>3133</v>
      </c>
      <c r="C189" s="2336"/>
      <c r="D189" s="2317"/>
      <c r="E189" s="2338"/>
      <c r="F189" s="2338"/>
      <c r="G189" s="2338"/>
      <c r="H189" s="2339"/>
      <c r="I189" s="2340"/>
      <c r="J189" s="2341"/>
      <c r="K189" s="2342"/>
      <c r="L189" s="2342"/>
      <c r="M189" s="2343"/>
      <c r="N189" s="2343"/>
      <c r="O189" s="2343"/>
      <c r="P189" s="2341"/>
      <c r="Q189" s="2344"/>
      <c r="R189" s="2345"/>
      <c r="S189" s="2343"/>
      <c r="T189" s="2346"/>
      <c r="U189" s="2347"/>
      <c r="V189" s="2348"/>
      <c r="W189" s="2348"/>
      <c r="X189" s="2349"/>
      <c r="Y189" s="2350"/>
      <c r="Z189" s="2350"/>
      <c r="AA189" s="2350"/>
      <c r="AB189" s="2350"/>
      <c r="AC189" s="2351"/>
    </row>
    <row r="190" spans="1:29" s="2316" customFormat="1" ht="50" customHeight="1">
      <c r="A190" s="2321">
        <f t="shared" si="3"/>
        <v>47</v>
      </c>
      <c r="B190" s="2322" t="str">
        <f>MOPFRA!Q24</f>
        <v>پالايش نفت بندرعباس</v>
      </c>
      <c r="C190" s="2321" t="str">
        <f>MOPFRA!R24</f>
        <v>شبندر</v>
      </c>
      <c r="D190" s="2315">
        <f>MOPFRA!S24</f>
        <v>12</v>
      </c>
      <c r="E190" s="2323">
        <f>MOPFRA!BO24</f>
        <v>3</v>
      </c>
      <c r="F190" s="2323">
        <f>MOPFRA!AW24</f>
        <v>266655</v>
      </c>
      <c r="G190" s="2323">
        <f>MOPFRA!AX24</f>
        <v>43253</v>
      </c>
      <c r="H190" s="2324"/>
      <c r="I190" s="2325"/>
      <c r="J190" s="2326">
        <f>MOPFRA!BS24</f>
        <v>0</v>
      </c>
      <c r="K190" s="2327">
        <f>MOPFRA!CK24</f>
        <v>40975.129999999997</v>
      </c>
      <c r="L190" s="2327">
        <f>MOPFRA!CN24</f>
        <v>1520</v>
      </c>
      <c r="M190" s="2328">
        <f>MOPFRA!CO24</f>
        <v>36421</v>
      </c>
      <c r="N190" s="2328">
        <f>MOPFRA!CP24</f>
        <v>-3</v>
      </c>
      <c r="O190" s="2328">
        <f>MOPFRA!CS24</f>
        <v>119267</v>
      </c>
      <c r="P190" s="2326">
        <f>MOPFRA!CT24</f>
        <v>0</v>
      </c>
      <c r="Q190" s="2329">
        <f>MOPFRA!CV24</f>
        <v>173494</v>
      </c>
      <c r="R190" s="2330">
        <f>MOPFRA!CW24</f>
        <v>56024</v>
      </c>
      <c r="S190" s="2328">
        <f>MOPFRA!CX24</f>
        <v>4805</v>
      </c>
      <c r="T190" s="2331">
        <f>MOPFRA!CY24</f>
        <v>1798</v>
      </c>
      <c r="U190" s="2332">
        <f>MOPFRA!DE24</f>
        <v>41060</v>
      </c>
      <c r="V190" s="2323">
        <f>MOPFRA!DF24</f>
        <v>39858</v>
      </c>
      <c r="W190" s="2323">
        <f>MOPFRA!DG24</f>
        <v>1013</v>
      </c>
      <c r="X190" s="2333">
        <f>MOPFRA!DH24</f>
        <v>190256</v>
      </c>
      <c r="Y190" s="2334">
        <f>MOPFRA!DK24</f>
        <v>66111</v>
      </c>
      <c r="Z190" s="2334">
        <f>MOPFRA!DL24</f>
        <v>8869</v>
      </c>
      <c r="AA190" s="2334">
        <f>MOPFRA!DM24</f>
        <v>99364</v>
      </c>
      <c r="AB190" s="2334">
        <f>MOPFRA!DP24</f>
        <v>13373</v>
      </c>
      <c r="AC190" s="2335">
        <f>MOPFRA!DQ24</f>
        <v>2539</v>
      </c>
    </row>
    <row r="191" spans="1:29" s="2318" customFormat="1" ht="105" customHeight="1">
      <c r="A191" s="2336" t="str">
        <f t="shared" si="3"/>
        <v/>
      </c>
      <c r="B191" s="2337"/>
      <c r="C191" s="2336"/>
      <c r="D191" s="2317"/>
      <c r="E191" s="2338"/>
      <c r="F191" s="2338"/>
      <c r="G191" s="2338"/>
      <c r="H191" s="2339"/>
      <c r="I191" s="2340"/>
      <c r="J191" s="2341"/>
      <c r="K191" s="2342"/>
      <c r="L191" s="2342"/>
      <c r="M191" s="2343"/>
      <c r="N191" s="2343"/>
      <c r="O191" s="2343"/>
      <c r="P191" s="2341"/>
      <c r="Q191" s="2344"/>
      <c r="R191" s="2345"/>
      <c r="S191" s="2343"/>
      <c r="T191" s="2346"/>
      <c r="U191" s="2347"/>
      <c r="V191" s="2348"/>
      <c r="W191" s="2348"/>
      <c r="X191" s="2349"/>
      <c r="Y191" s="2350"/>
      <c r="Z191" s="2350"/>
      <c r="AA191" s="2350"/>
      <c r="AB191" s="2350"/>
      <c r="AC191" s="2351"/>
    </row>
    <row r="192" spans="1:29" s="2318" customFormat="1" ht="70" customHeight="1">
      <c r="A192" s="2321" t="str">
        <f t="shared" si="3"/>
        <v/>
      </c>
      <c r="B192" s="2353" t="s">
        <v>3132</v>
      </c>
      <c r="C192" s="2352"/>
      <c r="D192" s="2319"/>
      <c r="E192" s="2319"/>
      <c r="F192" s="2319"/>
      <c r="G192" s="2319"/>
      <c r="H192" s="2319"/>
      <c r="I192" s="2319"/>
      <c r="J192" s="2354"/>
      <c r="K192" s="2355"/>
      <c r="L192" s="2355"/>
      <c r="M192" s="2356"/>
      <c r="N192" s="2356"/>
      <c r="O192" s="2356"/>
      <c r="P192" s="2354"/>
      <c r="Q192" s="2344"/>
      <c r="R192" s="2345"/>
      <c r="S192" s="2356"/>
      <c r="T192" s="2346"/>
      <c r="U192" s="2347"/>
      <c r="V192" s="2357"/>
      <c r="W192" s="2357"/>
      <c r="X192" s="2349"/>
      <c r="Y192" s="2358"/>
      <c r="Z192" s="2358"/>
      <c r="AA192" s="2358"/>
      <c r="AB192" s="2358"/>
      <c r="AC192" s="2359"/>
    </row>
    <row r="193" spans="1:29" s="2318" customFormat="1" ht="105" customHeight="1">
      <c r="A193" s="2336" t="str">
        <f t="shared" si="3"/>
        <v/>
      </c>
      <c r="B193" s="2337" t="s">
        <v>3133</v>
      </c>
      <c r="C193" s="2336"/>
      <c r="D193" s="2317"/>
      <c r="E193" s="2338"/>
      <c r="F193" s="2338"/>
      <c r="G193" s="2338"/>
      <c r="H193" s="2339"/>
      <c r="I193" s="2340"/>
      <c r="J193" s="2341"/>
      <c r="K193" s="2342"/>
      <c r="L193" s="2342"/>
      <c r="M193" s="2343"/>
      <c r="N193" s="2343"/>
      <c r="O193" s="2343"/>
      <c r="P193" s="2341"/>
      <c r="Q193" s="2344"/>
      <c r="R193" s="2345"/>
      <c r="S193" s="2343"/>
      <c r="T193" s="2346"/>
      <c r="U193" s="2347"/>
      <c r="V193" s="2348"/>
      <c r="W193" s="2348"/>
      <c r="X193" s="2349"/>
      <c r="Y193" s="2350"/>
      <c r="Z193" s="2350"/>
      <c r="AA193" s="2350"/>
      <c r="AB193" s="2350"/>
      <c r="AC193" s="2351"/>
    </row>
    <row r="194" spans="1:29" s="2316" customFormat="1" ht="50" customHeight="1">
      <c r="A194" s="2321">
        <f t="shared" si="3"/>
        <v>48</v>
      </c>
      <c r="B194" s="2360" t="str">
        <f>MOPFRA!Q25</f>
        <v>نفت ايرانول</v>
      </c>
      <c r="C194" s="2321" t="str">
        <f>MOPFRA!R25</f>
        <v>شرانل</v>
      </c>
      <c r="D194" s="2315">
        <f>MOPFRA!S25</f>
        <v>12</v>
      </c>
      <c r="E194" s="2323">
        <f>MOPFRA!BO25</f>
        <v>3</v>
      </c>
      <c r="F194" s="2323">
        <f>MOPFRA!AW25</f>
        <v>10601</v>
      </c>
      <c r="G194" s="2323">
        <f>MOPFRA!AX25</f>
        <v>2758</v>
      </c>
      <c r="H194" s="2324"/>
      <c r="I194" s="2325"/>
      <c r="J194" s="2326">
        <f>MOPFRA!BS25</f>
        <v>0</v>
      </c>
      <c r="K194" s="2327">
        <f>MOPFRA!CK25</f>
        <v>600</v>
      </c>
      <c r="L194" s="2327">
        <f>MOPFRA!CN25</f>
        <v>232</v>
      </c>
      <c r="M194" s="2328">
        <f>MOPFRA!CO25</f>
        <v>2322</v>
      </c>
      <c r="N194" s="2328">
        <f>MOPFRA!CP25</f>
        <v>-23</v>
      </c>
      <c r="O194" s="2328">
        <f>MOPFRA!CS25</f>
        <v>2768</v>
      </c>
      <c r="P194" s="2326">
        <f>MOPFRA!CT25</f>
        <v>-8</v>
      </c>
      <c r="Q194" s="2329">
        <f>MOPFRA!CV25</f>
        <v>3435</v>
      </c>
      <c r="R194" s="2330">
        <f>MOPFRA!CW25</f>
        <v>14994</v>
      </c>
      <c r="S194" s="2328">
        <f>MOPFRA!CX25</f>
        <v>1046</v>
      </c>
      <c r="T194" s="2331">
        <f>MOPFRA!CY25</f>
        <v>565</v>
      </c>
      <c r="U194" s="2332">
        <f>MOPFRA!DE25</f>
        <v>1963</v>
      </c>
      <c r="V194" s="2323">
        <f>MOPFRA!DF25</f>
        <v>802</v>
      </c>
      <c r="W194" s="2323">
        <f>MOPFRA!DG25</f>
        <v>843</v>
      </c>
      <c r="X194" s="2333">
        <f>MOPFRA!DH25</f>
        <v>17031</v>
      </c>
      <c r="Y194" s="2334">
        <f>MOPFRA!DK25</f>
        <v>6710</v>
      </c>
      <c r="Z194" s="2334">
        <f>MOPFRA!DL25</f>
        <v>1845</v>
      </c>
      <c r="AA194" s="2334">
        <f>MOPFRA!DM25</f>
        <v>1892</v>
      </c>
      <c r="AB194" s="2334">
        <f>MOPFRA!DP25</f>
        <v>4580</v>
      </c>
      <c r="AC194" s="2335">
        <f>MOPFRA!DQ25</f>
        <v>2004</v>
      </c>
    </row>
    <row r="195" spans="1:29" s="2318" customFormat="1" ht="105" customHeight="1">
      <c r="A195" s="2336" t="str">
        <f t="shared" si="3"/>
        <v/>
      </c>
      <c r="B195" s="2337"/>
      <c r="C195" s="2336"/>
      <c r="D195" s="2317"/>
      <c r="E195" s="2338"/>
      <c r="F195" s="2338"/>
      <c r="G195" s="2338"/>
      <c r="H195" s="2339"/>
      <c r="I195" s="2340"/>
      <c r="J195" s="2341"/>
      <c r="K195" s="2342"/>
      <c r="L195" s="2342"/>
      <c r="M195" s="2343"/>
      <c r="N195" s="2343"/>
      <c r="O195" s="2343"/>
      <c r="P195" s="2341"/>
      <c r="Q195" s="2344"/>
      <c r="R195" s="2345"/>
      <c r="S195" s="2343"/>
      <c r="T195" s="2346"/>
      <c r="U195" s="2347"/>
      <c r="V195" s="2348"/>
      <c r="W195" s="2348"/>
      <c r="X195" s="2349"/>
      <c r="Y195" s="2350"/>
      <c r="Z195" s="2350"/>
      <c r="AA195" s="2350"/>
      <c r="AB195" s="2350"/>
      <c r="AC195" s="2351"/>
    </row>
    <row r="196" spans="1:29" s="2318" customFormat="1" ht="70" customHeight="1">
      <c r="A196" s="2321" t="str">
        <f t="shared" si="3"/>
        <v/>
      </c>
      <c r="B196" s="2353" t="s">
        <v>3132</v>
      </c>
      <c r="C196" s="2352"/>
      <c r="D196" s="2319"/>
      <c r="E196" s="2319"/>
      <c r="F196" s="2319"/>
      <c r="G196" s="2319"/>
      <c r="H196" s="2319"/>
      <c r="I196" s="2319"/>
      <c r="J196" s="2354"/>
      <c r="K196" s="2355"/>
      <c r="L196" s="2355"/>
      <c r="M196" s="2356"/>
      <c r="N196" s="2356"/>
      <c r="O196" s="2356"/>
      <c r="P196" s="2354"/>
      <c r="Q196" s="2344"/>
      <c r="R196" s="2345"/>
      <c r="S196" s="2356"/>
      <c r="T196" s="2346"/>
      <c r="U196" s="2347"/>
      <c r="V196" s="2357"/>
      <c r="W196" s="2357"/>
      <c r="X196" s="2349"/>
      <c r="Y196" s="2358"/>
      <c r="Z196" s="2358"/>
      <c r="AA196" s="2358"/>
      <c r="AB196" s="2358"/>
      <c r="AC196" s="2359"/>
    </row>
    <row r="197" spans="1:29" s="2318" customFormat="1" ht="105" customHeight="1">
      <c r="A197" s="2336" t="str">
        <f t="shared" si="3"/>
        <v/>
      </c>
      <c r="B197" s="2337" t="s">
        <v>3133</v>
      </c>
      <c r="C197" s="2336"/>
      <c r="D197" s="2317"/>
      <c r="E197" s="2338"/>
      <c r="F197" s="2338"/>
      <c r="G197" s="2338"/>
      <c r="H197" s="2339"/>
      <c r="I197" s="2340"/>
      <c r="J197" s="2341"/>
      <c r="K197" s="2342"/>
      <c r="L197" s="2342"/>
      <c r="M197" s="2343"/>
      <c r="N197" s="2343"/>
      <c r="O197" s="2343"/>
      <c r="P197" s="2341"/>
      <c r="Q197" s="2344"/>
      <c r="R197" s="2345"/>
      <c r="S197" s="2343"/>
      <c r="T197" s="2346"/>
      <c r="U197" s="2347"/>
      <c r="V197" s="2348"/>
      <c r="W197" s="2348"/>
      <c r="X197" s="2349"/>
      <c r="Y197" s="2350"/>
      <c r="Z197" s="2350"/>
      <c r="AA197" s="2350"/>
      <c r="AB197" s="2350"/>
      <c r="AC197" s="2351"/>
    </row>
    <row r="198" spans="1:29" s="2316" customFormat="1" ht="50" customHeight="1">
      <c r="A198" s="2321">
        <f t="shared" si="3"/>
        <v>49</v>
      </c>
      <c r="B198" s="2360" t="str">
        <f>MOPFRA!Q26</f>
        <v>داروسازي كاسپين تامين</v>
      </c>
      <c r="C198" s="2321" t="str">
        <f>MOPFRA!R26</f>
        <v>كاسپين</v>
      </c>
      <c r="D198" s="2315">
        <f>MOPFRA!S26</f>
        <v>12</v>
      </c>
      <c r="E198" s="2323">
        <f>MOPFRA!BO26</f>
        <v>3</v>
      </c>
      <c r="F198" s="2323">
        <f>MOPFRA!AW26</f>
        <v>2767</v>
      </c>
      <c r="G198" s="2323">
        <f>MOPFRA!AX26</f>
        <v>1748</v>
      </c>
      <c r="H198" s="2324"/>
      <c r="I198" s="2325"/>
      <c r="J198" s="2326">
        <f>MOPFRA!BS26</f>
        <v>0</v>
      </c>
      <c r="K198" s="2327">
        <f>MOPFRA!CK26</f>
        <v>794</v>
      </c>
      <c r="L198" s="2327">
        <f>MOPFRA!CN26</f>
        <v>11</v>
      </c>
      <c r="M198" s="2328">
        <f>MOPFRA!CO26</f>
        <v>1247</v>
      </c>
      <c r="N198" s="2328">
        <f>MOPFRA!CP26</f>
        <v>0</v>
      </c>
      <c r="O198" s="2328">
        <f>MOPFRA!CS26</f>
        <v>2027</v>
      </c>
      <c r="P198" s="2326">
        <f>MOPFRA!CT26</f>
        <v>-2</v>
      </c>
      <c r="Q198" s="2329">
        <f>MOPFRA!CV26</f>
        <v>2913</v>
      </c>
      <c r="R198" s="2330">
        <f>MOPFRA!CW26</f>
        <v>5031</v>
      </c>
      <c r="S198" s="2328">
        <f>MOPFRA!CX26</f>
        <v>1740</v>
      </c>
      <c r="T198" s="2331">
        <f>MOPFRA!CY26</f>
        <v>372</v>
      </c>
      <c r="U198" s="2332">
        <f>MOPFRA!DE26</f>
        <v>850</v>
      </c>
      <c r="V198" s="2323">
        <f>MOPFRA!DF26</f>
        <v>834</v>
      </c>
      <c r="W198" s="2323">
        <f>MOPFRA!DG26</f>
        <v>0</v>
      </c>
      <c r="X198" s="2333">
        <f>MOPFRA!DH26</f>
        <v>7466</v>
      </c>
      <c r="Y198" s="2334">
        <f>MOPFRA!DK26</f>
        <v>921</v>
      </c>
      <c r="Z198" s="2334">
        <f>MOPFRA!DL26</f>
        <v>724</v>
      </c>
      <c r="AA198" s="2334">
        <f>MOPFRA!DM26</f>
        <v>5172</v>
      </c>
      <c r="AB198" s="2334">
        <f>MOPFRA!DP26</f>
        <v>10</v>
      </c>
      <c r="AC198" s="2335">
        <f>MOPFRA!DQ26</f>
        <v>639</v>
      </c>
    </row>
    <row r="199" spans="1:29" s="2318" customFormat="1" ht="105" customHeight="1">
      <c r="A199" s="2336" t="str">
        <f t="shared" si="3"/>
        <v/>
      </c>
      <c r="B199" s="2337"/>
      <c r="C199" s="2336"/>
      <c r="D199" s="2317"/>
      <c r="E199" s="2338"/>
      <c r="F199" s="2338"/>
      <c r="G199" s="2338"/>
      <c r="H199" s="2339"/>
      <c r="I199" s="2340"/>
      <c r="J199" s="2341"/>
      <c r="K199" s="2342"/>
      <c r="L199" s="2342"/>
      <c r="M199" s="2343"/>
      <c r="N199" s="2343"/>
      <c r="O199" s="2343"/>
      <c r="P199" s="2341"/>
      <c r="Q199" s="2344"/>
      <c r="R199" s="2345"/>
      <c r="S199" s="2343"/>
      <c r="T199" s="2346"/>
      <c r="U199" s="2347"/>
      <c r="V199" s="2348"/>
      <c r="W199" s="2348"/>
      <c r="X199" s="2349"/>
      <c r="Y199" s="2350"/>
      <c r="Z199" s="2350"/>
      <c r="AA199" s="2350"/>
      <c r="AB199" s="2350"/>
      <c r="AC199" s="2351"/>
    </row>
    <row r="200" spans="1:29" s="2318" customFormat="1" ht="70" customHeight="1">
      <c r="A200" s="2321" t="str">
        <f t="shared" si="3"/>
        <v/>
      </c>
      <c r="B200" s="2353" t="s">
        <v>3132</v>
      </c>
      <c r="C200" s="2352"/>
      <c r="D200" s="2319"/>
      <c r="E200" s="2319"/>
      <c r="F200" s="2319"/>
      <c r="G200" s="2319"/>
      <c r="H200" s="2319"/>
      <c r="I200" s="2319"/>
      <c r="J200" s="2354"/>
      <c r="K200" s="2355"/>
      <c r="L200" s="2355"/>
      <c r="M200" s="2356"/>
      <c r="N200" s="2356"/>
      <c r="O200" s="2356"/>
      <c r="P200" s="2354"/>
      <c r="Q200" s="2344"/>
      <c r="R200" s="2345"/>
      <c r="S200" s="2356"/>
      <c r="T200" s="2346"/>
      <c r="U200" s="2347"/>
      <c r="V200" s="2357"/>
      <c r="W200" s="2357"/>
      <c r="X200" s="2349"/>
      <c r="Y200" s="2358"/>
      <c r="Z200" s="2358"/>
      <c r="AA200" s="2358"/>
      <c r="AB200" s="2358"/>
      <c r="AC200" s="2359"/>
    </row>
    <row r="201" spans="1:29" s="2318" customFormat="1" ht="105" customHeight="1">
      <c r="A201" s="2336" t="str">
        <f t="shared" si="3"/>
        <v/>
      </c>
      <c r="B201" s="2337" t="s">
        <v>3133</v>
      </c>
      <c r="C201" s="2336"/>
      <c r="D201" s="2317"/>
      <c r="E201" s="2338"/>
      <c r="F201" s="2338"/>
      <c r="G201" s="2338"/>
      <c r="H201" s="2339"/>
      <c r="I201" s="2340"/>
      <c r="J201" s="2341"/>
      <c r="K201" s="2342"/>
      <c r="L201" s="2342"/>
      <c r="M201" s="2343"/>
      <c r="N201" s="2343"/>
      <c r="O201" s="2343"/>
      <c r="P201" s="2341"/>
      <c r="Q201" s="2344"/>
      <c r="R201" s="2345"/>
      <c r="S201" s="2343"/>
      <c r="T201" s="2346"/>
      <c r="U201" s="2347"/>
      <c r="V201" s="2348"/>
      <c r="W201" s="2348"/>
      <c r="X201" s="2349"/>
      <c r="Y201" s="2350"/>
      <c r="Z201" s="2350"/>
      <c r="AA201" s="2350"/>
      <c r="AB201" s="2350"/>
      <c r="AC201" s="2351"/>
    </row>
    <row r="202" spans="1:29" s="2316" customFormat="1" ht="50" customHeight="1">
      <c r="A202" s="2321">
        <f t="shared" si="3"/>
        <v>50</v>
      </c>
      <c r="B202" s="2322" t="str">
        <f>MOPFRA!Q27</f>
        <v>ايران‌ تاير</v>
      </c>
      <c r="C202" s="2321" t="str">
        <f>MOPFRA!R27</f>
        <v>پتاير</v>
      </c>
      <c r="D202" s="2315">
        <f>MOPFRA!S27</f>
        <v>12</v>
      </c>
      <c r="E202" s="2323">
        <f>MOPFRA!BO27</f>
        <v>3</v>
      </c>
      <c r="F202" s="2323">
        <f>MOPFRA!AW27</f>
        <v>1803</v>
      </c>
      <c r="G202" s="2323">
        <f>MOPFRA!AX27</f>
        <v>426</v>
      </c>
      <c r="H202" s="2324"/>
      <c r="I202" s="2325"/>
      <c r="J202" s="2326">
        <f>MOPFRA!BS27</f>
        <v>0</v>
      </c>
      <c r="K202" s="2327">
        <f>MOPFRA!CK27</f>
        <v>1880</v>
      </c>
      <c r="L202" s="2327">
        <f>MOPFRA!CN27</f>
        <v>72</v>
      </c>
      <c r="M202" s="2328">
        <f>MOPFRA!CO27</f>
        <v>313</v>
      </c>
      <c r="N202" s="2328">
        <f>MOPFRA!CP27</f>
        <v>0</v>
      </c>
      <c r="O202" s="2328">
        <f>MOPFRA!CS27</f>
        <v>1147</v>
      </c>
      <c r="P202" s="2326">
        <f>MOPFRA!CT27</f>
        <v>-51</v>
      </c>
      <c r="Q202" s="2329">
        <f>MOPFRA!CV27</f>
        <v>5026</v>
      </c>
      <c r="R202" s="2330">
        <f>MOPFRA!CW27</f>
        <v>4388</v>
      </c>
      <c r="S202" s="2328">
        <f>MOPFRA!CX27</f>
        <v>2520</v>
      </c>
      <c r="T202" s="2331">
        <f>MOPFRA!CY27</f>
        <v>1178</v>
      </c>
      <c r="U202" s="2332">
        <f>MOPFRA!DE27</f>
        <v>5588</v>
      </c>
      <c r="V202" s="2323">
        <f>MOPFRA!DF27</f>
        <v>5564</v>
      </c>
      <c r="W202" s="2323">
        <f>MOPFRA!DG27</f>
        <v>5</v>
      </c>
      <c r="X202" s="2333">
        <f>MOPFRA!DH27</f>
        <v>5004</v>
      </c>
      <c r="Y202" s="2334">
        <f>MOPFRA!DK27</f>
        <v>1309</v>
      </c>
      <c r="Z202" s="2334">
        <f>MOPFRA!DL27</f>
        <v>870</v>
      </c>
      <c r="AA202" s="2334">
        <f>MOPFRA!DM27</f>
        <v>1791</v>
      </c>
      <c r="AB202" s="2334">
        <f>MOPFRA!DP27</f>
        <v>0</v>
      </c>
      <c r="AC202" s="2335">
        <f>MOPFRA!DQ27</f>
        <v>1034</v>
      </c>
    </row>
    <row r="203" spans="1:29" s="2318" customFormat="1" ht="105" customHeight="1">
      <c r="A203" s="2336" t="str">
        <f t="shared" si="3"/>
        <v/>
      </c>
      <c r="B203" s="2337"/>
      <c r="C203" s="2336"/>
      <c r="D203" s="2317"/>
      <c r="E203" s="2338"/>
      <c r="F203" s="2338"/>
      <c r="G203" s="2338"/>
      <c r="H203" s="2339"/>
      <c r="I203" s="2340"/>
      <c r="J203" s="2341"/>
      <c r="K203" s="2342"/>
      <c r="L203" s="2342"/>
      <c r="M203" s="2343"/>
      <c r="N203" s="2343"/>
      <c r="O203" s="2343"/>
      <c r="P203" s="2341"/>
      <c r="Q203" s="2344"/>
      <c r="R203" s="2345"/>
      <c r="S203" s="2343"/>
      <c r="T203" s="2346"/>
      <c r="U203" s="2347"/>
      <c r="V203" s="2348"/>
      <c r="W203" s="2348"/>
      <c r="X203" s="2349"/>
      <c r="Y203" s="2350"/>
      <c r="Z203" s="2350"/>
      <c r="AA203" s="2350"/>
      <c r="AB203" s="2350"/>
      <c r="AC203" s="2351"/>
    </row>
    <row r="204" spans="1:29" s="2318" customFormat="1" ht="70" customHeight="1">
      <c r="A204" s="2321" t="str">
        <f t="shared" si="3"/>
        <v/>
      </c>
      <c r="B204" s="2353" t="s">
        <v>3132</v>
      </c>
      <c r="C204" s="2352"/>
      <c r="D204" s="2319"/>
      <c r="E204" s="2319"/>
      <c r="F204" s="2319"/>
      <c r="G204" s="2319"/>
      <c r="H204" s="2319"/>
      <c r="I204" s="2319"/>
      <c r="J204" s="2354"/>
      <c r="K204" s="2355"/>
      <c r="L204" s="2355"/>
      <c r="M204" s="2356"/>
      <c r="N204" s="2356"/>
      <c r="O204" s="2356"/>
      <c r="P204" s="2354"/>
      <c r="Q204" s="2344"/>
      <c r="R204" s="2345"/>
      <c r="S204" s="2356"/>
      <c r="T204" s="2346"/>
      <c r="U204" s="2347"/>
      <c r="V204" s="2357"/>
      <c r="W204" s="2357"/>
      <c r="X204" s="2349"/>
      <c r="Y204" s="2358"/>
      <c r="Z204" s="2358"/>
      <c r="AA204" s="2358"/>
      <c r="AB204" s="2358"/>
      <c r="AC204" s="2359"/>
    </row>
    <row r="205" spans="1:29" s="2318" customFormat="1" ht="105" customHeight="1">
      <c r="A205" s="2336" t="str">
        <f t="shared" si="3"/>
        <v/>
      </c>
      <c r="B205" s="2337" t="s">
        <v>3133</v>
      </c>
      <c r="C205" s="2336"/>
      <c r="D205" s="2317"/>
      <c r="E205" s="2338"/>
      <c r="F205" s="2338"/>
      <c r="G205" s="2338"/>
      <c r="H205" s="2339"/>
      <c r="I205" s="2340"/>
      <c r="J205" s="2341"/>
      <c r="K205" s="2342"/>
      <c r="L205" s="2342"/>
      <c r="M205" s="2343"/>
      <c r="N205" s="2343"/>
      <c r="O205" s="2343"/>
      <c r="P205" s="2341"/>
      <c r="Q205" s="2344"/>
      <c r="R205" s="2345"/>
      <c r="S205" s="2343"/>
      <c r="T205" s="2346"/>
      <c r="U205" s="2347"/>
      <c r="V205" s="2348"/>
      <c r="W205" s="2348"/>
      <c r="X205" s="2349"/>
      <c r="Y205" s="2350"/>
      <c r="Z205" s="2350"/>
      <c r="AA205" s="2350"/>
      <c r="AB205" s="2350"/>
      <c r="AC205" s="2351"/>
    </row>
    <row r="206" spans="1:29" s="2316" customFormat="1" ht="50" customHeight="1">
      <c r="A206" s="2321">
        <f t="shared" si="3"/>
        <v>51</v>
      </c>
      <c r="B206" s="2322" t="str">
        <f>MOPFRA!Q28</f>
        <v>داروسازي‌ فارابي‌</v>
      </c>
      <c r="C206" s="2321" t="str">
        <f>MOPFRA!R28</f>
        <v>دفارا</v>
      </c>
      <c r="D206" s="2315">
        <f>MOPFRA!S28</f>
        <v>12</v>
      </c>
      <c r="E206" s="2323">
        <f>MOPFRA!BO28</f>
        <v>3</v>
      </c>
      <c r="F206" s="2323">
        <f>MOPFRA!AW28</f>
        <v>1434</v>
      </c>
      <c r="G206" s="2323">
        <f>MOPFRA!AX28</f>
        <v>479</v>
      </c>
      <c r="H206" s="2324"/>
      <c r="I206" s="2325"/>
      <c r="J206" s="2326">
        <f>MOPFRA!BS28</f>
        <v>0</v>
      </c>
      <c r="K206" s="2327">
        <f>MOPFRA!CK28</f>
        <v>920.6</v>
      </c>
      <c r="L206" s="2327">
        <f>MOPFRA!CN28</f>
        <v>1</v>
      </c>
      <c r="M206" s="2328">
        <f>MOPFRA!CO28</f>
        <v>347</v>
      </c>
      <c r="N206" s="2328">
        <f>MOPFRA!CP28</f>
        <v>149</v>
      </c>
      <c r="O206" s="2328">
        <f>MOPFRA!CS28</f>
        <v>1067</v>
      </c>
      <c r="P206" s="2326">
        <f>MOPFRA!CT28</f>
        <v>-10</v>
      </c>
      <c r="Q206" s="2329">
        <f>MOPFRA!CV28</f>
        <v>2070</v>
      </c>
      <c r="R206" s="2330">
        <f>MOPFRA!CW28</f>
        <v>3508</v>
      </c>
      <c r="S206" s="2328">
        <f>MOPFRA!CX28</f>
        <v>504</v>
      </c>
      <c r="T206" s="2331">
        <f>MOPFRA!CY28</f>
        <v>137</v>
      </c>
      <c r="U206" s="2332">
        <f>MOPFRA!DE28</f>
        <v>704</v>
      </c>
      <c r="V206" s="2323">
        <f>MOPFRA!DF28</f>
        <v>549</v>
      </c>
      <c r="W206" s="2323">
        <f>MOPFRA!DG28</f>
        <v>51</v>
      </c>
      <c r="X206" s="2333">
        <f>MOPFRA!DH28</f>
        <v>5011</v>
      </c>
      <c r="Y206" s="2334">
        <f>MOPFRA!DK28</f>
        <v>576</v>
      </c>
      <c r="Z206" s="2334">
        <f>MOPFRA!DL28</f>
        <v>76</v>
      </c>
      <c r="AA206" s="2334">
        <f>MOPFRA!DM28</f>
        <v>3782</v>
      </c>
      <c r="AB206" s="2334">
        <f>MOPFRA!DP28</f>
        <v>2</v>
      </c>
      <c r="AC206" s="2335">
        <f>MOPFRA!DQ28</f>
        <v>575</v>
      </c>
    </row>
    <row r="207" spans="1:29" s="2318" customFormat="1" ht="105" customHeight="1">
      <c r="A207" s="2336" t="str">
        <f t="shared" si="3"/>
        <v/>
      </c>
      <c r="B207" s="2337"/>
      <c r="C207" s="2336"/>
      <c r="D207" s="2317"/>
      <c r="E207" s="2338"/>
      <c r="F207" s="2338"/>
      <c r="G207" s="2338"/>
      <c r="H207" s="2339"/>
      <c r="I207" s="2340"/>
      <c r="J207" s="2341"/>
      <c r="K207" s="2342"/>
      <c r="L207" s="2342"/>
      <c r="M207" s="2343"/>
      <c r="N207" s="2343"/>
      <c r="O207" s="2343"/>
      <c r="P207" s="2341"/>
      <c r="Q207" s="2344"/>
      <c r="R207" s="2345"/>
      <c r="S207" s="2343"/>
      <c r="T207" s="2346"/>
      <c r="U207" s="2347"/>
      <c r="V207" s="2348"/>
      <c r="W207" s="2348"/>
      <c r="X207" s="2349"/>
      <c r="Y207" s="2350"/>
      <c r="Z207" s="2350"/>
      <c r="AA207" s="2350"/>
      <c r="AB207" s="2350"/>
      <c r="AC207" s="2351"/>
    </row>
    <row r="208" spans="1:29" s="2318" customFormat="1" ht="70" customHeight="1">
      <c r="A208" s="2321" t="str">
        <f t="shared" si="3"/>
        <v/>
      </c>
      <c r="B208" s="2353" t="s">
        <v>3132</v>
      </c>
      <c r="C208" s="2352"/>
      <c r="D208" s="2319"/>
      <c r="E208" s="2319"/>
      <c r="F208" s="2319"/>
      <c r="G208" s="2319"/>
      <c r="H208" s="2319"/>
      <c r="I208" s="2319"/>
      <c r="J208" s="2354"/>
      <c r="K208" s="2355"/>
      <c r="L208" s="2355"/>
      <c r="M208" s="2356"/>
      <c r="N208" s="2356"/>
      <c r="O208" s="2356"/>
      <c r="P208" s="2354"/>
      <c r="Q208" s="2344"/>
      <c r="R208" s="2345"/>
      <c r="S208" s="2356"/>
      <c r="T208" s="2346"/>
      <c r="U208" s="2347"/>
      <c r="V208" s="2357"/>
      <c r="W208" s="2357"/>
      <c r="X208" s="2349"/>
      <c r="Y208" s="2358"/>
      <c r="Z208" s="2358"/>
      <c r="AA208" s="2358"/>
      <c r="AB208" s="2358"/>
      <c r="AC208" s="2359"/>
    </row>
    <row r="209" spans="1:29" s="2318" customFormat="1" ht="105" customHeight="1">
      <c r="A209" s="2336" t="str">
        <f t="shared" si="3"/>
        <v/>
      </c>
      <c r="B209" s="2337" t="s">
        <v>3133</v>
      </c>
      <c r="C209" s="2336"/>
      <c r="D209" s="2317"/>
      <c r="E209" s="2338"/>
      <c r="F209" s="2338"/>
      <c r="G209" s="2338"/>
      <c r="H209" s="2339"/>
      <c r="I209" s="2340"/>
      <c r="J209" s="2341"/>
      <c r="K209" s="2342"/>
      <c r="L209" s="2342"/>
      <c r="M209" s="2343"/>
      <c r="N209" s="2343"/>
      <c r="O209" s="2343"/>
      <c r="P209" s="2341"/>
      <c r="Q209" s="2344"/>
      <c r="R209" s="2345"/>
      <c r="S209" s="2343"/>
      <c r="T209" s="2346"/>
      <c r="U209" s="2347"/>
      <c r="V209" s="2348"/>
      <c r="W209" s="2348"/>
      <c r="X209" s="2349"/>
      <c r="Y209" s="2350"/>
      <c r="Z209" s="2350"/>
      <c r="AA209" s="2350"/>
      <c r="AB209" s="2350"/>
      <c r="AC209" s="2351"/>
    </row>
    <row r="210" spans="1:29" s="2316" customFormat="1" ht="50" customHeight="1">
      <c r="A210" s="2321">
        <f t="shared" si="3"/>
        <v>52</v>
      </c>
      <c r="B210" s="2322" t="str">
        <f>MOPFRA!Q29</f>
        <v>فولاد سيرجان ايرانيان</v>
      </c>
      <c r="C210" s="2321" t="str">
        <f>MOPFRA!R29</f>
        <v>سيسكو</v>
      </c>
      <c r="D210" s="2315">
        <f>MOPFRA!S29</f>
        <v>9</v>
      </c>
      <c r="E210" s="2323">
        <f>MOPFRA!BO29</f>
        <v>3</v>
      </c>
      <c r="F210" s="2323">
        <f>MOPFRA!AW29</f>
        <v>33022</v>
      </c>
      <c r="G210" s="2323">
        <f>MOPFRA!AX29</f>
        <v>9711</v>
      </c>
      <c r="H210" s="2324"/>
      <c r="I210" s="2325"/>
      <c r="J210" s="2326">
        <f>MOPFRA!BS29</f>
        <v>0</v>
      </c>
      <c r="K210" s="2327">
        <f>MOPFRA!CK29</f>
        <v>12500</v>
      </c>
      <c r="L210" s="2327">
        <f>MOPFRA!CN29</f>
        <v>1206</v>
      </c>
      <c r="M210" s="2328">
        <f>MOPFRA!CO29</f>
        <v>7768</v>
      </c>
      <c r="N210" s="2328">
        <f>MOPFRA!CP29</f>
        <v>0</v>
      </c>
      <c r="O210" s="2328">
        <f>MOPFRA!CS29</f>
        <v>11938</v>
      </c>
      <c r="P210" s="2326">
        <f>MOPFRA!CT29</f>
        <v>-600</v>
      </c>
      <c r="Q210" s="2329">
        <f>MOPFRA!CV29</f>
        <v>25121</v>
      </c>
      <c r="R210" s="2330">
        <f>MOPFRA!CW29</f>
        <v>30519</v>
      </c>
      <c r="S210" s="2328">
        <f>MOPFRA!CX29</f>
        <v>17838</v>
      </c>
      <c r="T210" s="2331">
        <f>MOPFRA!CY29</f>
        <v>6264</v>
      </c>
      <c r="U210" s="2332">
        <f>MOPFRA!DE29</f>
        <v>28769</v>
      </c>
      <c r="V210" s="2323">
        <f>MOPFRA!DF29</f>
        <v>23347</v>
      </c>
      <c r="W210" s="2323">
        <f>MOPFRA!DG29</f>
        <v>1065</v>
      </c>
      <c r="X210" s="2333">
        <f>MOPFRA!DH29</f>
        <v>33135</v>
      </c>
      <c r="Y210" s="2334">
        <f>MOPFRA!DK29</f>
        <v>15851</v>
      </c>
      <c r="Z210" s="2334">
        <f>MOPFRA!DL29</f>
        <v>3249</v>
      </c>
      <c r="AA210" s="2334">
        <f>MOPFRA!DM29</f>
        <v>7039</v>
      </c>
      <c r="AB210" s="2334">
        <f>MOPFRA!DP29</f>
        <v>0</v>
      </c>
      <c r="AC210" s="2335">
        <f>MOPFRA!DQ29</f>
        <v>6996</v>
      </c>
    </row>
    <row r="211" spans="1:29" s="2318" customFormat="1" ht="105" customHeight="1">
      <c r="A211" s="2336" t="str">
        <f t="shared" si="3"/>
        <v/>
      </c>
      <c r="B211" s="2337"/>
      <c r="C211" s="2336"/>
      <c r="D211" s="2317"/>
      <c r="E211" s="2338"/>
      <c r="F211" s="2338"/>
      <c r="G211" s="2338"/>
      <c r="H211" s="2339"/>
      <c r="I211" s="2340"/>
      <c r="J211" s="2341"/>
      <c r="K211" s="2342"/>
      <c r="L211" s="2342"/>
      <c r="M211" s="2343"/>
      <c r="N211" s="2343"/>
      <c r="O211" s="2343"/>
      <c r="P211" s="2341"/>
      <c r="Q211" s="2344"/>
      <c r="R211" s="2345"/>
      <c r="S211" s="2343"/>
      <c r="T211" s="2346"/>
      <c r="U211" s="2347"/>
      <c r="V211" s="2348"/>
      <c r="W211" s="2348"/>
      <c r="X211" s="2349"/>
      <c r="Y211" s="2350"/>
      <c r="Z211" s="2350"/>
      <c r="AA211" s="2350"/>
      <c r="AB211" s="2350"/>
      <c r="AC211" s="2351"/>
    </row>
    <row r="212" spans="1:29" s="2318" customFormat="1" ht="70" customHeight="1">
      <c r="A212" s="2321" t="str">
        <f t="shared" si="3"/>
        <v/>
      </c>
      <c r="B212" s="2353" t="s">
        <v>3132</v>
      </c>
      <c r="C212" s="2352"/>
      <c r="D212" s="2319"/>
      <c r="E212" s="2319"/>
      <c r="F212" s="2319"/>
      <c r="G212" s="2319"/>
      <c r="H212" s="2319"/>
      <c r="I212" s="2319"/>
      <c r="J212" s="2354"/>
      <c r="K212" s="2355"/>
      <c r="L212" s="2355"/>
      <c r="M212" s="2356"/>
      <c r="N212" s="2356"/>
      <c r="O212" s="2356"/>
      <c r="P212" s="2354"/>
      <c r="Q212" s="2344"/>
      <c r="R212" s="2345"/>
      <c r="S212" s="2356"/>
      <c r="T212" s="2346"/>
      <c r="U212" s="2347"/>
      <c r="V212" s="2357"/>
      <c r="W212" s="2357"/>
      <c r="X212" s="2349"/>
      <c r="Y212" s="2358"/>
      <c r="Z212" s="2358"/>
      <c r="AA212" s="2358"/>
      <c r="AB212" s="2358"/>
      <c r="AC212" s="2359"/>
    </row>
    <row r="213" spans="1:29" s="2318" customFormat="1" ht="105" customHeight="1">
      <c r="A213" s="2336" t="str">
        <f t="shared" si="3"/>
        <v/>
      </c>
      <c r="B213" s="2337" t="s">
        <v>3133</v>
      </c>
      <c r="C213" s="2336"/>
      <c r="D213" s="2317"/>
      <c r="E213" s="2338"/>
      <c r="F213" s="2338"/>
      <c r="G213" s="2338"/>
      <c r="H213" s="2339"/>
      <c r="I213" s="2340"/>
      <c r="J213" s="2341"/>
      <c r="K213" s="2342"/>
      <c r="L213" s="2342"/>
      <c r="M213" s="2343"/>
      <c r="N213" s="2343"/>
      <c r="O213" s="2343"/>
      <c r="P213" s="2341"/>
      <c r="Q213" s="2344"/>
      <c r="R213" s="2345"/>
      <c r="S213" s="2343"/>
      <c r="T213" s="2346"/>
      <c r="U213" s="2347"/>
      <c r="V213" s="2348"/>
      <c r="W213" s="2348"/>
      <c r="X213" s="2349"/>
      <c r="Y213" s="2350"/>
      <c r="Z213" s="2350"/>
      <c r="AA213" s="2350"/>
      <c r="AB213" s="2350"/>
      <c r="AC213" s="2351"/>
    </row>
    <row r="214" spans="1:29" s="2316" customFormat="1" ht="50" customHeight="1">
      <c r="A214" s="2321">
        <f t="shared" si="3"/>
        <v>53</v>
      </c>
      <c r="B214" s="2322" t="str">
        <f>MOPFRA!Q30</f>
        <v>صنايع بهداشتي ساينا</v>
      </c>
      <c r="C214" s="2321" t="str">
        <f>MOPFRA!R30</f>
        <v>ساينا</v>
      </c>
      <c r="D214" s="2315">
        <f>MOPFRA!S30</f>
        <v>9</v>
      </c>
      <c r="E214" s="2323">
        <f>MOPFRA!BO30</f>
        <v>3</v>
      </c>
      <c r="F214" s="2323">
        <f>MOPFRA!AW30</f>
        <v>1490</v>
      </c>
      <c r="G214" s="2323">
        <f>MOPFRA!AX30</f>
        <v>442</v>
      </c>
      <c r="H214" s="2324"/>
      <c r="I214" s="2325"/>
      <c r="J214" s="2326">
        <f>MOPFRA!BS30</f>
        <v>0</v>
      </c>
      <c r="K214" s="2327">
        <f>MOPFRA!CK30</f>
        <v>210</v>
      </c>
      <c r="L214" s="2327">
        <f>MOPFRA!CN30</f>
        <v>0</v>
      </c>
      <c r="M214" s="2328">
        <f>MOPFRA!CO30</f>
        <v>327</v>
      </c>
      <c r="N214" s="2328">
        <f>MOPFRA!CP30</f>
        <v>0</v>
      </c>
      <c r="O214" s="2328">
        <f>MOPFRA!CS30</f>
        <v>548</v>
      </c>
      <c r="P214" s="2326">
        <f>MOPFRA!CT30</f>
        <v>0</v>
      </c>
      <c r="Q214" s="2329">
        <f>MOPFRA!CV30</f>
        <v>779</v>
      </c>
      <c r="R214" s="2330">
        <f>MOPFRA!CW30</f>
        <v>1068</v>
      </c>
      <c r="S214" s="2328">
        <f>MOPFRA!CX30</f>
        <v>188</v>
      </c>
      <c r="T214" s="2331">
        <f>MOPFRA!CY30</f>
        <v>38</v>
      </c>
      <c r="U214" s="2332">
        <f>MOPFRA!DE30</f>
        <v>212</v>
      </c>
      <c r="V214" s="2323">
        <f>MOPFRA!DF30</f>
        <v>26</v>
      </c>
      <c r="W214" s="2323">
        <f>MOPFRA!DG30</f>
        <v>0</v>
      </c>
      <c r="X214" s="2333">
        <f>MOPFRA!DH30</f>
        <v>1673</v>
      </c>
      <c r="Y214" s="2334">
        <f>MOPFRA!DK30</f>
        <v>368</v>
      </c>
      <c r="Z214" s="2334">
        <f>MOPFRA!DL30</f>
        <v>25</v>
      </c>
      <c r="AA214" s="2334">
        <f>MOPFRA!DM30</f>
        <v>809</v>
      </c>
      <c r="AB214" s="2334">
        <f>MOPFRA!DP30</f>
        <v>0.3</v>
      </c>
      <c r="AC214" s="2335">
        <f>MOPFRA!DQ30</f>
        <v>470.70000000000005</v>
      </c>
    </row>
    <row r="215" spans="1:29" s="2318" customFormat="1" ht="105" customHeight="1">
      <c r="A215" s="2336" t="str">
        <f t="shared" si="3"/>
        <v/>
      </c>
      <c r="B215" s="2337"/>
      <c r="C215" s="2336"/>
      <c r="D215" s="2317"/>
      <c r="E215" s="2338"/>
      <c r="F215" s="2338"/>
      <c r="G215" s="2338"/>
      <c r="H215" s="2339"/>
      <c r="I215" s="2340"/>
      <c r="J215" s="2341"/>
      <c r="K215" s="2342"/>
      <c r="L215" s="2342"/>
      <c r="M215" s="2343"/>
      <c r="N215" s="2343"/>
      <c r="O215" s="2343"/>
      <c r="P215" s="2341"/>
      <c r="Q215" s="2344"/>
      <c r="R215" s="2345"/>
      <c r="S215" s="2343"/>
      <c r="T215" s="2346"/>
      <c r="U215" s="2347"/>
      <c r="V215" s="2348"/>
      <c r="W215" s="2348"/>
      <c r="X215" s="2349"/>
      <c r="Y215" s="2350"/>
      <c r="Z215" s="2350"/>
      <c r="AA215" s="2350"/>
      <c r="AB215" s="2350"/>
      <c r="AC215" s="2351"/>
    </row>
    <row r="216" spans="1:29" s="2318" customFormat="1" ht="70" customHeight="1">
      <c r="A216" s="2321" t="str">
        <f t="shared" si="3"/>
        <v/>
      </c>
      <c r="B216" s="2353" t="s">
        <v>3132</v>
      </c>
      <c r="C216" s="2352"/>
      <c r="D216" s="2319"/>
      <c r="E216" s="2319"/>
      <c r="F216" s="2319"/>
      <c r="G216" s="2319"/>
      <c r="H216" s="2319"/>
      <c r="I216" s="2319"/>
      <c r="J216" s="2354"/>
      <c r="K216" s="2355"/>
      <c r="L216" s="2355"/>
      <c r="M216" s="2356"/>
      <c r="N216" s="2356"/>
      <c r="O216" s="2356"/>
      <c r="P216" s="2354"/>
      <c r="Q216" s="2344"/>
      <c r="R216" s="2345"/>
      <c r="S216" s="2356"/>
      <c r="T216" s="2346"/>
      <c r="U216" s="2347"/>
      <c r="V216" s="2357"/>
      <c r="W216" s="2357"/>
      <c r="X216" s="2349"/>
      <c r="Y216" s="2358"/>
      <c r="Z216" s="2358"/>
      <c r="AA216" s="2358"/>
      <c r="AB216" s="2358"/>
      <c r="AC216" s="2359"/>
    </row>
    <row r="217" spans="1:29" s="2318" customFormat="1" ht="105" customHeight="1">
      <c r="A217" s="2336" t="str">
        <f t="shared" si="3"/>
        <v/>
      </c>
      <c r="B217" s="2337" t="s">
        <v>3133</v>
      </c>
      <c r="C217" s="2336"/>
      <c r="D217" s="2317"/>
      <c r="E217" s="2338"/>
      <c r="F217" s="2338"/>
      <c r="G217" s="2338"/>
      <c r="H217" s="2339"/>
      <c r="I217" s="2340"/>
      <c r="J217" s="2341"/>
      <c r="K217" s="2342"/>
      <c r="L217" s="2342"/>
      <c r="M217" s="2343"/>
      <c r="N217" s="2343"/>
      <c r="O217" s="2343"/>
      <c r="P217" s="2341"/>
      <c r="Q217" s="2344"/>
      <c r="R217" s="2345"/>
      <c r="S217" s="2343"/>
      <c r="T217" s="2346"/>
      <c r="U217" s="2347"/>
      <c r="V217" s="2348"/>
      <c r="W217" s="2348"/>
      <c r="X217" s="2349"/>
      <c r="Y217" s="2350"/>
      <c r="Z217" s="2350"/>
      <c r="AA217" s="2350"/>
      <c r="AB217" s="2350"/>
      <c r="AC217" s="2351"/>
    </row>
    <row r="218" spans="1:29" s="2316" customFormat="1" ht="50" customHeight="1">
      <c r="A218" s="2321">
        <f t="shared" si="3"/>
        <v>54</v>
      </c>
      <c r="B218" s="2322" t="str">
        <f>MOPFRA!Q31</f>
        <v>توليدي‌مهرام‌</v>
      </c>
      <c r="C218" s="2321" t="str">
        <f>MOPFRA!R31</f>
        <v>غمهرا</v>
      </c>
      <c r="D218" s="2315">
        <f>MOPFRA!S31</f>
        <v>12</v>
      </c>
      <c r="E218" s="2323">
        <f>MOPFRA!BO31</f>
        <v>3</v>
      </c>
      <c r="F218" s="2323">
        <f>MOPFRA!AW31</f>
        <v>3675</v>
      </c>
      <c r="G218" s="2323">
        <f>MOPFRA!AX31</f>
        <v>725</v>
      </c>
      <c r="H218" s="2324"/>
      <c r="I218" s="2325"/>
      <c r="J218" s="2326">
        <f>MOPFRA!BS31</f>
        <v>0</v>
      </c>
      <c r="K218" s="2327">
        <f>MOPFRA!CK31</f>
        <v>500</v>
      </c>
      <c r="L218" s="2327">
        <f>MOPFRA!CN31</f>
        <v>-8</v>
      </c>
      <c r="M218" s="2328">
        <f>MOPFRA!CO31</f>
        <v>489</v>
      </c>
      <c r="N218" s="2328">
        <f>MOPFRA!CP31</f>
        <v>3</v>
      </c>
      <c r="O218" s="2328">
        <f>MOPFRA!CS31</f>
        <v>1010</v>
      </c>
      <c r="P218" s="2326">
        <f>MOPFRA!CT31</f>
        <v>0</v>
      </c>
      <c r="Q218" s="2329">
        <f>MOPFRA!CV31</f>
        <v>1561</v>
      </c>
      <c r="R218" s="2330">
        <f>MOPFRA!CW31</f>
        <v>4908</v>
      </c>
      <c r="S218" s="2328">
        <f>MOPFRA!CX31</f>
        <v>1687</v>
      </c>
      <c r="T218" s="2331">
        <f>MOPFRA!CY31</f>
        <v>2</v>
      </c>
      <c r="U218" s="2332">
        <f>MOPFRA!DE31</f>
        <v>1139</v>
      </c>
      <c r="V218" s="2323">
        <f>MOPFRA!DF31</f>
        <v>810</v>
      </c>
      <c r="W218" s="2323">
        <f>MOPFRA!DG31</f>
        <v>321</v>
      </c>
      <c r="X218" s="2333">
        <f>MOPFRA!DH31</f>
        <v>5332</v>
      </c>
      <c r="Y218" s="2334">
        <f>MOPFRA!DK31</f>
        <v>1019</v>
      </c>
      <c r="Z218" s="2334">
        <f>MOPFRA!DL31</f>
        <v>553</v>
      </c>
      <c r="AA218" s="2334">
        <f>MOPFRA!DM31</f>
        <v>3577</v>
      </c>
      <c r="AB218" s="2334">
        <f>MOPFRA!DP31</f>
        <v>22</v>
      </c>
      <c r="AC218" s="2335">
        <f>MOPFRA!DQ31</f>
        <v>161</v>
      </c>
    </row>
    <row r="219" spans="1:29" s="2318" customFormat="1" ht="105" customHeight="1">
      <c r="A219" s="2336" t="str">
        <f t="shared" si="3"/>
        <v/>
      </c>
      <c r="B219" s="2337"/>
      <c r="C219" s="2336"/>
      <c r="D219" s="2317"/>
      <c r="E219" s="2338"/>
      <c r="F219" s="2338"/>
      <c r="G219" s="2338"/>
      <c r="H219" s="2339"/>
      <c r="I219" s="2340"/>
      <c r="J219" s="2341"/>
      <c r="K219" s="2342"/>
      <c r="L219" s="2342"/>
      <c r="M219" s="2343"/>
      <c r="N219" s="2343"/>
      <c r="O219" s="2343"/>
      <c r="P219" s="2341"/>
      <c r="Q219" s="2344"/>
      <c r="R219" s="2345"/>
      <c r="S219" s="2343"/>
      <c r="T219" s="2346"/>
      <c r="U219" s="2347"/>
      <c r="V219" s="2348"/>
      <c r="W219" s="2348"/>
      <c r="X219" s="2349"/>
      <c r="Y219" s="2350"/>
      <c r="Z219" s="2350"/>
      <c r="AA219" s="2350"/>
      <c r="AB219" s="2350"/>
      <c r="AC219" s="2351"/>
    </row>
    <row r="220" spans="1:29" s="2318" customFormat="1" ht="70" customHeight="1">
      <c r="A220" s="2321" t="str">
        <f t="shared" si="3"/>
        <v/>
      </c>
      <c r="B220" s="2353" t="s">
        <v>3132</v>
      </c>
      <c r="C220" s="2352"/>
      <c r="D220" s="2319"/>
      <c r="E220" s="2319"/>
      <c r="F220" s="2319"/>
      <c r="G220" s="2319"/>
      <c r="H220" s="2319"/>
      <c r="I220" s="2319"/>
      <c r="J220" s="2354"/>
      <c r="K220" s="2355"/>
      <c r="L220" s="2355"/>
      <c r="M220" s="2356"/>
      <c r="N220" s="2356"/>
      <c r="O220" s="2356"/>
      <c r="P220" s="2354"/>
      <c r="Q220" s="2344"/>
      <c r="R220" s="2345"/>
      <c r="S220" s="2356"/>
      <c r="T220" s="2346"/>
      <c r="U220" s="2347"/>
      <c r="V220" s="2357"/>
      <c r="W220" s="2357"/>
      <c r="X220" s="2349"/>
      <c r="Y220" s="2358"/>
      <c r="Z220" s="2358"/>
      <c r="AA220" s="2358"/>
      <c r="AB220" s="2358"/>
      <c r="AC220" s="2359"/>
    </row>
    <row r="221" spans="1:29" s="2318" customFormat="1" ht="105" customHeight="1">
      <c r="A221" s="2336" t="str">
        <f t="shared" si="3"/>
        <v/>
      </c>
      <c r="B221" s="2337" t="s">
        <v>3133</v>
      </c>
      <c r="C221" s="2336"/>
      <c r="D221" s="2317"/>
      <c r="E221" s="2338"/>
      <c r="F221" s="2338"/>
      <c r="G221" s="2338"/>
      <c r="H221" s="2339"/>
      <c r="I221" s="2340"/>
      <c r="J221" s="2341"/>
      <c r="K221" s="2342"/>
      <c r="L221" s="2342"/>
      <c r="M221" s="2343"/>
      <c r="N221" s="2343"/>
      <c r="O221" s="2343"/>
      <c r="P221" s="2341"/>
      <c r="Q221" s="2344"/>
      <c r="R221" s="2345"/>
      <c r="S221" s="2343"/>
      <c r="T221" s="2346"/>
      <c r="U221" s="2347"/>
      <c r="V221" s="2348"/>
      <c r="W221" s="2348"/>
      <c r="X221" s="2349"/>
      <c r="Y221" s="2350"/>
      <c r="Z221" s="2350"/>
      <c r="AA221" s="2350"/>
      <c r="AB221" s="2350"/>
      <c r="AC221" s="2351"/>
    </row>
    <row r="222" spans="1:29" s="2316" customFormat="1" ht="50" customHeight="1">
      <c r="A222" s="2321">
        <f t="shared" si="3"/>
        <v>55</v>
      </c>
      <c r="B222" s="2322" t="str">
        <f>MOPFRA!Q32</f>
        <v>نفت‌ بهران‌</v>
      </c>
      <c r="C222" s="2321" t="str">
        <f>MOPFRA!R32</f>
        <v>شبهرن</v>
      </c>
      <c r="D222" s="2315">
        <f>MOPFRA!S32</f>
        <v>12</v>
      </c>
      <c r="E222" s="2323">
        <f>MOPFRA!BO32</f>
        <v>3</v>
      </c>
      <c r="F222" s="2323">
        <f>MOPFRA!AW32</f>
        <v>17253</v>
      </c>
      <c r="G222" s="2323">
        <f>MOPFRA!AX32</f>
        <v>3566</v>
      </c>
      <c r="H222" s="2324"/>
      <c r="I222" s="2325"/>
      <c r="J222" s="2326">
        <f>MOPFRA!BS32</f>
        <v>0</v>
      </c>
      <c r="K222" s="2327">
        <f>MOPFRA!CK32</f>
        <v>1800</v>
      </c>
      <c r="L222" s="2327">
        <f>MOPFRA!CN32</f>
        <v>42</v>
      </c>
      <c r="M222" s="2328">
        <f>MOPFRA!CO32</f>
        <v>2640</v>
      </c>
      <c r="N222" s="2328">
        <f>MOPFRA!CP32</f>
        <v>577</v>
      </c>
      <c r="O222" s="2328">
        <f>MOPFRA!CS32</f>
        <v>5978</v>
      </c>
      <c r="P222" s="2326">
        <f>MOPFRA!CT32</f>
        <v>-64</v>
      </c>
      <c r="Q222" s="2329">
        <f>MOPFRA!CV32</f>
        <v>12233</v>
      </c>
      <c r="R222" s="2330">
        <f>MOPFRA!CW32</f>
        <v>19370</v>
      </c>
      <c r="S222" s="2328">
        <f>MOPFRA!CX32</f>
        <v>5787</v>
      </c>
      <c r="T222" s="2331">
        <f>MOPFRA!CY32</f>
        <v>641</v>
      </c>
      <c r="U222" s="2332">
        <f>MOPFRA!DE32</f>
        <v>7435</v>
      </c>
      <c r="V222" s="2323">
        <f>MOPFRA!DF32</f>
        <v>6607</v>
      </c>
      <c r="W222" s="2323">
        <f>MOPFRA!DG32</f>
        <v>474</v>
      </c>
      <c r="X222" s="2333">
        <f>MOPFRA!DH32</f>
        <v>24809</v>
      </c>
      <c r="Y222" s="2334">
        <f>MOPFRA!DK32</f>
        <v>11369</v>
      </c>
      <c r="Z222" s="2334">
        <f>MOPFRA!DL32</f>
        <v>2736</v>
      </c>
      <c r="AA222" s="2334">
        <f>MOPFRA!DM32</f>
        <v>7186</v>
      </c>
      <c r="AB222" s="2334">
        <f>MOPFRA!DP32</f>
        <v>840</v>
      </c>
      <c r="AC222" s="2335">
        <f>MOPFRA!DQ32</f>
        <v>2678</v>
      </c>
    </row>
    <row r="223" spans="1:29" s="2318" customFormat="1" ht="105" customHeight="1">
      <c r="A223" s="2336" t="str">
        <f t="shared" si="3"/>
        <v/>
      </c>
      <c r="B223" s="2337"/>
      <c r="C223" s="2336"/>
      <c r="D223" s="2317"/>
      <c r="E223" s="2338"/>
      <c r="F223" s="2338"/>
      <c r="G223" s="2338"/>
      <c r="H223" s="2339"/>
      <c r="I223" s="2340"/>
      <c r="J223" s="2341"/>
      <c r="K223" s="2342"/>
      <c r="L223" s="2342"/>
      <c r="M223" s="2343"/>
      <c r="N223" s="2343"/>
      <c r="O223" s="2343"/>
      <c r="P223" s="2341"/>
      <c r="Q223" s="2344"/>
      <c r="R223" s="2345"/>
      <c r="S223" s="2343"/>
      <c r="T223" s="2346"/>
      <c r="U223" s="2347"/>
      <c r="V223" s="2348"/>
      <c r="W223" s="2348"/>
      <c r="X223" s="2349"/>
      <c r="Y223" s="2350"/>
      <c r="Z223" s="2350"/>
      <c r="AA223" s="2350"/>
      <c r="AB223" s="2350"/>
      <c r="AC223" s="2351"/>
    </row>
    <row r="224" spans="1:29" s="2318" customFormat="1" ht="70" customHeight="1">
      <c r="A224" s="2321" t="str">
        <f t="shared" si="3"/>
        <v/>
      </c>
      <c r="B224" s="2353" t="s">
        <v>3132</v>
      </c>
      <c r="C224" s="2352"/>
      <c r="D224" s="2319"/>
      <c r="E224" s="2319"/>
      <c r="F224" s="2319"/>
      <c r="G224" s="2319"/>
      <c r="H224" s="2319"/>
      <c r="I224" s="2319"/>
      <c r="J224" s="2354"/>
      <c r="K224" s="2355"/>
      <c r="L224" s="2355"/>
      <c r="M224" s="2356"/>
      <c r="N224" s="2356"/>
      <c r="O224" s="2356"/>
      <c r="P224" s="2354"/>
      <c r="Q224" s="2344"/>
      <c r="R224" s="2345"/>
      <c r="S224" s="2356"/>
      <c r="T224" s="2346"/>
      <c r="U224" s="2347"/>
      <c r="V224" s="2357"/>
      <c r="W224" s="2357"/>
      <c r="X224" s="2349"/>
      <c r="Y224" s="2358"/>
      <c r="Z224" s="2358"/>
      <c r="AA224" s="2358"/>
      <c r="AB224" s="2358"/>
      <c r="AC224" s="2359"/>
    </row>
    <row r="225" spans="1:29" s="2318" customFormat="1" ht="105" customHeight="1">
      <c r="A225" s="2336" t="str">
        <f t="shared" si="3"/>
        <v/>
      </c>
      <c r="B225" s="2337" t="s">
        <v>3133</v>
      </c>
      <c r="C225" s="2336"/>
      <c r="D225" s="2317"/>
      <c r="E225" s="2338"/>
      <c r="F225" s="2338"/>
      <c r="G225" s="2338"/>
      <c r="H225" s="2339"/>
      <c r="I225" s="2340"/>
      <c r="J225" s="2341"/>
      <c r="K225" s="2342"/>
      <c r="L225" s="2342"/>
      <c r="M225" s="2343"/>
      <c r="N225" s="2343"/>
      <c r="O225" s="2343"/>
      <c r="P225" s="2341"/>
      <c r="Q225" s="2344"/>
      <c r="R225" s="2345"/>
      <c r="S225" s="2343"/>
      <c r="T225" s="2346"/>
      <c r="U225" s="2347"/>
      <c r="V225" s="2348"/>
      <c r="W225" s="2348"/>
      <c r="X225" s="2349"/>
      <c r="Y225" s="2350"/>
      <c r="Z225" s="2350"/>
      <c r="AA225" s="2350"/>
      <c r="AB225" s="2350"/>
      <c r="AC225" s="2351"/>
    </row>
    <row r="226" spans="1:29" s="2316" customFormat="1" ht="50" customHeight="1">
      <c r="A226" s="2321">
        <f t="shared" si="3"/>
        <v>56</v>
      </c>
      <c r="B226" s="2322" t="str">
        <f>MOPFRA!Q33</f>
        <v>پتروشيمي پرديس</v>
      </c>
      <c r="C226" s="2321" t="str">
        <f>MOPFRA!R33</f>
        <v>شپديس</v>
      </c>
      <c r="D226" s="2315">
        <f>MOPFRA!S33</f>
        <v>6</v>
      </c>
      <c r="E226" s="2323">
        <f>MOPFRA!BO33</f>
        <v>3</v>
      </c>
      <c r="F226" s="2323">
        <f>MOPFRA!AW33</f>
        <v>66073</v>
      </c>
      <c r="G226" s="2323">
        <f>MOPFRA!AX33</f>
        <v>31333</v>
      </c>
      <c r="H226" s="2324"/>
      <c r="I226" s="2325"/>
      <c r="J226" s="2326">
        <f>MOPFRA!BS33</f>
        <v>1291</v>
      </c>
      <c r="K226" s="2327">
        <f>MOPFRA!CK33</f>
        <v>23357.279999999999</v>
      </c>
      <c r="L226" s="2327">
        <f>MOPFRA!CN33</f>
        <v>6032</v>
      </c>
      <c r="M226" s="2328">
        <f>MOPFRA!CO33</f>
        <v>30156</v>
      </c>
      <c r="N226" s="2328">
        <f>MOPFRA!CP33</f>
        <v>-34</v>
      </c>
      <c r="O226" s="2328">
        <f>MOPFRA!CS33</f>
        <v>31130</v>
      </c>
      <c r="P226" s="2326">
        <f>MOPFRA!CT33</f>
        <v>-492</v>
      </c>
      <c r="Q226" s="2329">
        <f>MOPFRA!CV33</f>
        <v>55550</v>
      </c>
      <c r="R226" s="2330">
        <f>MOPFRA!CW33</f>
        <v>41955</v>
      </c>
      <c r="S226" s="2328">
        <f>MOPFRA!CX33</f>
        <v>9630</v>
      </c>
      <c r="T226" s="2331">
        <f>MOPFRA!CY33</f>
        <v>2633</v>
      </c>
      <c r="U226" s="2332">
        <f>MOPFRA!DE33</f>
        <v>37069</v>
      </c>
      <c r="V226" s="2323">
        <f>MOPFRA!DF33</f>
        <v>2097</v>
      </c>
      <c r="W226" s="2323">
        <f>MOPFRA!DG33</f>
        <v>33784</v>
      </c>
      <c r="X226" s="2333">
        <f>MOPFRA!DH33</f>
        <v>63069</v>
      </c>
      <c r="Y226" s="2334">
        <f>MOPFRA!DK33</f>
        <v>7034</v>
      </c>
      <c r="Z226" s="2334">
        <f>MOPFRA!DL33</f>
        <v>2502</v>
      </c>
      <c r="AA226" s="2334">
        <f>MOPFRA!DM33</f>
        <v>50798</v>
      </c>
      <c r="AB226" s="2334">
        <f>MOPFRA!DP33</f>
        <v>1249</v>
      </c>
      <c r="AC226" s="2335">
        <f>MOPFRA!DQ33</f>
        <v>1486</v>
      </c>
    </row>
    <row r="227" spans="1:29" s="2318" customFormat="1" ht="105" customHeight="1">
      <c r="A227" s="2336" t="str">
        <f t="shared" si="3"/>
        <v/>
      </c>
      <c r="B227" s="2337"/>
      <c r="C227" s="2336"/>
      <c r="D227" s="2317"/>
      <c r="E227" s="2338"/>
      <c r="F227" s="2338"/>
      <c r="G227" s="2338"/>
      <c r="H227" s="2339"/>
      <c r="I227" s="2340"/>
      <c r="J227" s="2341"/>
      <c r="K227" s="2342"/>
      <c r="L227" s="2342"/>
      <c r="M227" s="2343"/>
      <c r="N227" s="2343"/>
      <c r="O227" s="2343"/>
      <c r="P227" s="2341"/>
      <c r="Q227" s="2344"/>
      <c r="R227" s="2345"/>
      <c r="S227" s="2343"/>
      <c r="T227" s="2346"/>
      <c r="U227" s="2347"/>
      <c r="V227" s="2348"/>
      <c r="W227" s="2348"/>
      <c r="X227" s="2349"/>
      <c r="Y227" s="2350"/>
      <c r="Z227" s="2350"/>
      <c r="AA227" s="2350"/>
      <c r="AB227" s="2350"/>
      <c r="AC227" s="2351"/>
    </row>
    <row r="228" spans="1:29" s="2318" customFormat="1" ht="70" customHeight="1">
      <c r="A228" s="2321" t="str">
        <f t="shared" si="3"/>
        <v/>
      </c>
      <c r="B228" s="2353" t="s">
        <v>3132</v>
      </c>
      <c r="C228" s="2352"/>
      <c r="D228" s="2319"/>
      <c r="E228" s="2319"/>
      <c r="F228" s="2319"/>
      <c r="G228" s="2319"/>
      <c r="H228" s="2319"/>
      <c r="I228" s="2319"/>
      <c r="J228" s="2354"/>
      <c r="K228" s="2355"/>
      <c r="L228" s="2355"/>
      <c r="M228" s="2356"/>
      <c r="N228" s="2356"/>
      <c r="O228" s="2356"/>
      <c r="P228" s="2354"/>
      <c r="Q228" s="2344"/>
      <c r="R228" s="2345"/>
      <c r="S228" s="2356"/>
      <c r="T228" s="2346"/>
      <c r="U228" s="2347"/>
      <c r="V228" s="2357"/>
      <c r="W228" s="2357"/>
      <c r="X228" s="2349"/>
      <c r="Y228" s="2358"/>
      <c r="Z228" s="2358"/>
      <c r="AA228" s="2358"/>
      <c r="AB228" s="2358"/>
      <c r="AC228" s="2359"/>
    </row>
    <row r="229" spans="1:29" s="2318" customFormat="1" ht="105" customHeight="1">
      <c r="A229" s="2336" t="str">
        <f t="shared" si="3"/>
        <v/>
      </c>
      <c r="B229" s="2337" t="s">
        <v>3133</v>
      </c>
      <c r="C229" s="2336"/>
      <c r="D229" s="2317"/>
      <c r="E229" s="2338"/>
      <c r="F229" s="2338"/>
      <c r="G229" s="2338"/>
      <c r="H229" s="2339"/>
      <c r="I229" s="2340"/>
      <c r="J229" s="2341"/>
      <c r="K229" s="2342"/>
      <c r="L229" s="2342"/>
      <c r="M229" s="2343"/>
      <c r="N229" s="2343"/>
      <c r="O229" s="2343"/>
      <c r="P229" s="2341"/>
      <c r="Q229" s="2344"/>
      <c r="R229" s="2345"/>
      <c r="S229" s="2343"/>
      <c r="T229" s="2346"/>
      <c r="U229" s="2347"/>
      <c r="V229" s="2348"/>
      <c r="W229" s="2348"/>
      <c r="X229" s="2349"/>
      <c r="Y229" s="2350"/>
      <c r="Z229" s="2350"/>
      <c r="AA229" s="2350"/>
      <c r="AB229" s="2350"/>
      <c r="AC229" s="2351"/>
    </row>
    <row r="230" spans="1:29" s="2316" customFormat="1" ht="50" customHeight="1">
      <c r="A230" s="2321">
        <f t="shared" si="3"/>
        <v>57</v>
      </c>
      <c r="B230" s="2322" t="str">
        <f>MOPFRA!Q34</f>
        <v>صنعتي زر ماكارون</v>
      </c>
      <c r="C230" s="2321" t="str">
        <f>MOPFRA!R34</f>
        <v>غزر</v>
      </c>
      <c r="D230" s="2315">
        <f>MOPFRA!S34</f>
        <v>12</v>
      </c>
      <c r="E230" s="2323">
        <f>MOPFRA!BO34</f>
        <v>3</v>
      </c>
      <c r="F230" s="2323">
        <f>MOPFRA!AW34</f>
        <v>2763</v>
      </c>
      <c r="G230" s="2323">
        <f>MOPFRA!AX34</f>
        <v>811</v>
      </c>
      <c r="H230" s="2324"/>
      <c r="I230" s="2325"/>
      <c r="J230" s="2326">
        <f>MOPFRA!BS34</f>
        <v>0</v>
      </c>
      <c r="K230" s="2327">
        <f>MOPFRA!CK34</f>
        <v>4300</v>
      </c>
      <c r="L230" s="2327">
        <f>MOPFRA!CN34</f>
        <v>3</v>
      </c>
      <c r="M230" s="2328">
        <f>MOPFRA!CO34</f>
        <v>567</v>
      </c>
      <c r="N230" s="2328">
        <f>MOPFRA!CP34</f>
        <v>0</v>
      </c>
      <c r="O230" s="2328">
        <f>MOPFRA!CS34</f>
        <v>1788</v>
      </c>
      <c r="P230" s="2326">
        <f>MOPFRA!CT34</f>
        <v>-59</v>
      </c>
      <c r="Q230" s="2329">
        <f>MOPFRA!CV34</f>
        <v>6357</v>
      </c>
      <c r="R230" s="2330">
        <f>MOPFRA!CW34</f>
        <v>4415</v>
      </c>
      <c r="S230" s="2328">
        <f>MOPFRA!CX34</f>
        <v>889</v>
      </c>
      <c r="T230" s="2331">
        <f>MOPFRA!CY34</f>
        <v>67</v>
      </c>
      <c r="U230" s="2332">
        <f>MOPFRA!DE34</f>
        <v>1942</v>
      </c>
      <c r="V230" s="2323">
        <f>MOPFRA!DF34</f>
        <v>1475</v>
      </c>
      <c r="W230" s="2323">
        <f>MOPFRA!DG34</f>
        <v>442</v>
      </c>
      <c r="X230" s="2333">
        <f>MOPFRA!DH34</f>
        <v>8897</v>
      </c>
      <c r="Y230" s="2334">
        <f>MOPFRA!DK34</f>
        <v>959</v>
      </c>
      <c r="Z230" s="2334">
        <f>MOPFRA!DL34</f>
        <v>70</v>
      </c>
      <c r="AA230" s="2334">
        <f>MOPFRA!DM34</f>
        <v>5481</v>
      </c>
      <c r="AB230" s="2334">
        <f>MOPFRA!DP34</f>
        <v>177</v>
      </c>
      <c r="AC230" s="2335">
        <f>MOPFRA!DQ34</f>
        <v>2210</v>
      </c>
    </row>
    <row r="231" spans="1:29" s="2318" customFormat="1" ht="105" customHeight="1">
      <c r="A231" s="2336" t="str">
        <f t="shared" si="3"/>
        <v/>
      </c>
      <c r="B231" s="2337"/>
      <c r="C231" s="2336"/>
      <c r="D231" s="2317"/>
      <c r="E231" s="2338"/>
      <c r="F231" s="2338"/>
      <c r="G231" s="2338"/>
      <c r="H231" s="2339"/>
      <c r="I231" s="2340"/>
      <c r="J231" s="2341"/>
      <c r="K231" s="2342"/>
      <c r="L231" s="2342"/>
      <c r="M231" s="2343"/>
      <c r="N231" s="2343"/>
      <c r="O231" s="2343"/>
      <c r="P231" s="2341"/>
      <c r="Q231" s="2344"/>
      <c r="R231" s="2345"/>
      <c r="S231" s="2343"/>
      <c r="T231" s="2346"/>
      <c r="U231" s="2347"/>
      <c r="V231" s="2348"/>
      <c r="W231" s="2348"/>
      <c r="X231" s="2349"/>
      <c r="Y231" s="2350"/>
      <c r="Z231" s="2350"/>
      <c r="AA231" s="2350"/>
      <c r="AB231" s="2350"/>
      <c r="AC231" s="2351"/>
    </row>
    <row r="232" spans="1:29" s="2318" customFormat="1" ht="70" customHeight="1">
      <c r="A232" s="2321" t="str">
        <f t="shared" si="3"/>
        <v/>
      </c>
      <c r="B232" s="2353" t="s">
        <v>3132</v>
      </c>
      <c r="C232" s="2352"/>
      <c r="D232" s="2319"/>
      <c r="E232" s="2319"/>
      <c r="F232" s="2319"/>
      <c r="G232" s="2319"/>
      <c r="H232" s="2319"/>
      <c r="I232" s="2319"/>
      <c r="J232" s="2354"/>
      <c r="K232" s="2355"/>
      <c r="L232" s="2355"/>
      <c r="M232" s="2356"/>
      <c r="N232" s="2356"/>
      <c r="O232" s="2356"/>
      <c r="P232" s="2354"/>
      <c r="Q232" s="2344"/>
      <c r="R232" s="2345"/>
      <c r="S232" s="2356"/>
      <c r="T232" s="2346"/>
      <c r="U232" s="2347"/>
      <c r="V232" s="2357"/>
      <c r="W232" s="2357"/>
      <c r="X232" s="2349"/>
      <c r="Y232" s="2358"/>
      <c r="Z232" s="2358"/>
      <c r="AA232" s="2358"/>
      <c r="AB232" s="2358"/>
      <c r="AC232" s="2359"/>
    </row>
    <row r="233" spans="1:29" s="2318" customFormat="1" ht="105" customHeight="1">
      <c r="A233" s="2336" t="str">
        <f t="shared" si="3"/>
        <v/>
      </c>
      <c r="B233" s="2337" t="s">
        <v>3133</v>
      </c>
      <c r="C233" s="2336"/>
      <c r="D233" s="2317"/>
      <c r="E233" s="2338"/>
      <c r="F233" s="2338"/>
      <c r="G233" s="2338"/>
      <c r="H233" s="2339"/>
      <c r="I233" s="2340"/>
      <c r="J233" s="2341"/>
      <c r="K233" s="2342"/>
      <c r="L233" s="2342"/>
      <c r="M233" s="2343"/>
      <c r="N233" s="2343"/>
      <c r="O233" s="2343"/>
      <c r="P233" s="2341"/>
      <c r="Q233" s="2344"/>
      <c r="R233" s="2345"/>
      <c r="S233" s="2343"/>
      <c r="T233" s="2346"/>
      <c r="U233" s="2347"/>
      <c r="V233" s="2348"/>
      <c r="W233" s="2348"/>
      <c r="X233" s="2349"/>
      <c r="Y233" s="2350"/>
      <c r="Z233" s="2350"/>
      <c r="AA233" s="2350"/>
      <c r="AB233" s="2350"/>
      <c r="AC233" s="2351"/>
    </row>
    <row r="234" spans="1:29" s="2316" customFormat="1" ht="50" customHeight="1">
      <c r="A234" s="2321">
        <f t="shared" si="3"/>
        <v>58</v>
      </c>
      <c r="B234" s="2322" t="str">
        <f>MOPFRA!Q35</f>
        <v>توليدمواداوليه‌داروپخش‌</v>
      </c>
      <c r="C234" s="2321" t="str">
        <f>MOPFRA!R35</f>
        <v>دتماد</v>
      </c>
      <c r="D234" s="2315">
        <f>MOPFRA!S35</f>
        <v>12</v>
      </c>
      <c r="E234" s="2323">
        <f>MOPFRA!BO35</f>
        <v>3</v>
      </c>
      <c r="F234" s="2323">
        <f>MOPFRA!AW35</f>
        <v>1577</v>
      </c>
      <c r="G234" s="2323">
        <f>MOPFRA!AX35</f>
        <v>761</v>
      </c>
      <c r="H234" s="2324"/>
      <c r="I234" s="2325"/>
      <c r="J234" s="2326">
        <f>MOPFRA!BS35</f>
        <v>0</v>
      </c>
      <c r="K234" s="2327">
        <f>MOPFRA!CK35</f>
        <v>280</v>
      </c>
      <c r="L234" s="2327">
        <f>MOPFRA!CN35</f>
        <v>0</v>
      </c>
      <c r="M234" s="2328">
        <f>MOPFRA!CO35</f>
        <v>574</v>
      </c>
      <c r="N234" s="2328">
        <f>MOPFRA!CP35</f>
        <v>0</v>
      </c>
      <c r="O234" s="2328">
        <f>MOPFRA!CS35</f>
        <v>1163</v>
      </c>
      <c r="P234" s="2326">
        <f>MOPFRA!CT35</f>
        <v>-14</v>
      </c>
      <c r="Q234" s="2329">
        <f>MOPFRA!CV35</f>
        <v>1459</v>
      </c>
      <c r="R234" s="2330">
        <f>MOPFRA!CW35</f>
        <v>3832</v>
      </c>
      <c r="S234" s="2328">
        <f>MOPFRA!CX35</f>
        <v>596</v>
      </c>
      <c r="T234" s="2331">
        <f>MOPFRA!CY35</f>
        <v>186</v>
      </c>
      <c r="U234" s="2332">
        <f>MOPFRA!DE35</f>
        <v>358</v>
      </c>
      <c r="V234" s="2323">
        <f>MOPFRA!DF35</f>
        <v>328</v>
      </c>
      <c r="W234" s="2323">
        <f>MOPFRA!DG35</f>
        <v>0</v>
      </c>
      <c r="X234" s="2333">
        <f>MOPFRA!DH35</f>
        <v>5119</v>
      </c>
      <c r="Y234" s="2334">
        <f>MOPFRA!DK35</f>
        <v>970</v>
      </c>
      <c r="Z234" s="2334">
        <f>MOPFRA!DL35</f>
        <v>156</v>
      </c>
      <c r="AA234" s="2334">
        <f>MOPFRA!DM35</f>
        <v>2401</v>
      </c>
      <c r="AB234" s="2334">
        <f>MOPFRA!DP35</f>
        <v>0</v>
      </c>
      <c r="AC234" s="2335">
        <f>MOPFRA!DQ35</f>
        <v>1592</v>
      </c>
    </row>
    <row r="235" spans="1:29" s="2318" customFormat="1" ht="105" customHeight="1">
      <c r="A235" s="2336" t="str">
        <f t="shared" si="3"/>
        <v/>
      </c>
      <c r="B235" s="2337"/>
      <c r="C235" s="2336"/>
      <c r="D235" s="2317"/>
      <c r="E235" s="2338"/>
      <c r="F235" s="2338"/>
      <c r="G235" s="2338"/>
      <c r="H235" s="2339"/>
      <c r="I235" s="2340"/>
      <c r="J235" s="2341"/>
      <c r="K235" s="2342"/>
      <c r="L235" s="2342"/>
      <c r="M235" s="2343"/>
      <c r="N235" s="2343"/>
      <c r="O235" s="2343"/>
      <c r="P235" s="2341"/>
      <c r="Q235" s="2344"/>
      <c r="R235" s="2345"/>
      <c r="S235" s="2343"/>
      <c r="T235" s="2346"/>
      <c r="U235" s="2347"/>
      <c r="V235" s="2348"/>
      <c r="W235" s="2348"/>
      <c r="X235" s="2349"/>
      <c r="Y235" s="2350"/>
      <c r="Z235" s="2350"/>
      <c r="AA235" s="2350"/>
      <c r="AB235" s="2350"/>
      <c r="AC235" s="2351"/>
    </row>
    <row r="236" spans="1:29" s="2318" customFormat="1" ht="70" customHeight="1">
      <c r="A236" s="2321" t="str">
        <f t="shared" si="3"/>
        <v/>
      </c>
      <c r="B236" s="2353" t="s">
        <v>3132</v>
      </c>
      <c r="C236" s="2352"/>
      <c r="D236" s="2319"/>
      <c r="E236" s="2319"/>
      <c r="F236" s="2319"/>
      <c r="G236" s="2319"/>
      <c r="H236" s="2319"/>
      <c r="I236" s="2319"/>
      <c r="J236" s="2354"/>
      <c r="K236" s="2355"/>
      <c r="L236" s="2355"/>
      <c r="M236" s="2356"/>
      <c r="N236" s="2356"/>
      <c r="O236" s="2356"/>
      <c r="P236" s="2354"/>
      <c r="Q236" s="2344"/>
      <c r="R236" s="2345"/>
      <c r="S236" s="2356"/>
      <c r="T236" s="2346"/>
      <c r="U236" s="2347"/>
      <c r="V236" s="2357"/>
      <c r="W236" s="2357"/>
      <c r="X236" s="2349"/>
      <c r="Y236" s="2358"/>
      <c r="Z236" s="2358"/>
      <c r="AA236" s="2358"/>
      <c r="AB236" s="2358"/>
      <c r="AC236" s="2359"/>
    </row>
    <row r="237" spans="1:29" s="2318" customFormat="1" ht="105" customHeight="1">
      <c r="A237" s="2336" t="str">
        <f t="shared" si="3"/>
        <v/>
      </c>
      <c r="B237" s="2337" t="s">
        <v>3133</v>
      </c>
      <c r="C237" s="2336"/>
      <c r="D237" s="2317"/>
      <c r="E237" s="2338"/>
      <c r="F237" s="2338"/>
      <c r="G237" s="2338"/>
      <c r="H237" s="2339"/>
      <c r="I237" s="2340"/>
      <c r="J237" s="2341"/>
      <c r="K237" s="2342"/>
      <c r="L237" s="2342"/>
      <c r="M237" s="2343"/>
      <c r="N237" s="2343"/>
      <c r="O237" s="2343"/>
      <c r="P237" s="2341"/>
      <c r="Q237" s="2344"/>
      <c r="R237" s="2345"/>
      <c r="S237" s="2343"/>
      <c r="T237" s="2346"/>
      <c r="U237" s="2347"/>
      <c r="V237" s="2348"/>
      <c r="W237" s="2348"/>
      <c r="X237" s="2349"/>
      <c r="Y237" s="2350"/>
      <c r="Z237" s="2350"/>
      <c r="AA237" s="2350"/>
      <c r="AB237" s="2350"/>
      <c r="AC237" s="2351"/>
    </row>
    <row r="238" spans="1:29" s="2316" customFormat="1" ht="50" customHeight="1">
      <c r="A238" s="2321">
        <f t="shared" si="3"/>
        <v>59</v>
      </c>
      <c r="B238" s="2322" t="str">
        <f>MOPFRA!Q36</f>
        <v>پارس فولاد سبزوار</v>
      </c>
      <c r="C238" s="2321" t="str">
        <f>MOPFRA!R36</f>
        <v>فسبزوار</v>
      </c>
      <c r="D238" s="2315">
        <f>MOPFRA!S36</f>
        <v>9</v>
      </c>
      <c r="E238" s="2323">
        <f>MOPFRA!BO36</f>
        <v>3</v>
      </c>
      <c r="F238" s="2323">
        <f>MOPFRA!AW36</f>
        <v>12179</v>
      </c>
      <c r="G238" s="2323">
        <f>MOPFRA!AX36</f>
        <v>4813</v>
      </c>
      <c r="H238" s="2324"/>
      <c r="I238" s="2325"/>
      <c r="J238" s="2326">
        <f>MOPFRA!BS36</f>
        <v>0</v>
      </c>
      <c r="K238" s="2327">
        <f>MOPFRA!CK36</f>
        <v>400</v>
      </c>
      <c r="L238" s="2327">
        <f>MOPFRA!CN36</f>
        <v>-15</v>
      </c>
      <c r="M238" s="2328">
        <f>MOPFRA!CO36</f>
        <v>4288</v>
      </c>
      <c r="N238" s="2328">
        <f>MOPFRA!CP36</f>
        <v>0</v>
      </c>
      <c r="O238" s="2328">
        <f>MOPFRA!CS36</f>
        <v>6896</v>
      </c>
      <c r="P238" s="2326">
        <f>MOPFRA!CT36</f>
        <v>-408</v>
      </c>
      <c r="Q238" s="2329">
        <f>MOPFRA!CV36</f>
        <v>6927</v>
      </c>
      <c r="R238" s="2330">
        <f>MOPFRA!CW36</f>
        <v>13332</v>
      </c>
      <c r="S238" s="2328">
        <f>MOPFRA!CX36</f>
        <v>3749</v>
      </c>
      <c r="T238" s="2331">
        <f>MOPFRA!CY36</f>
        <v>98</v>
      </c>
      <c r="U238" s="2332">
        <f>MOPFRA!DE36</f>
        <v>3390</v>
      </c>
      <c r="V238" s="2323">
        <f>MOPFRA!DF36</f>
        <v>1187</v>
      </c>
      <c r="W238" s="2323">
        <f>MOPFRA!DG36</f>
        <v>0</v>
      </c>
      <c r="X238" s="2333">
        <f>MOPFRA!DH36</f>
        <v>16967</v>
      </c>
      <c r="Y238" s="2334">
        <f>MOPFRA!DK36</f>
        <v>3707</v>
      </c>
      <c r="Z238" s="2334">
        <f>MOPFRA!DL36</f>
        <v>619</v>
      </c>
      <c r="AA238" s="2334">
        <f>MOPFRA!DM36</f>
        <v>10035</v>
      </c>
      <c r="AB238" s="2334">
        <f>MOPFRA!DP36</f>
        <v>0</v>
      </c>
      <c r="AC238" s="2335">
        <f>MOPFRA!DQ36</f>
        <v>2606</v>
      </c>
    </row>
    <row r="239" spans="1:29" s="2318" customFormat="1" ht="105" customHeight="1">
      <c r="A239" s="2336" t="str">
        <f t="shared" si="3"/>
        <v/>
      </c>
      <c r="B239" s="2337"/>
      <c r="C239" s="2336"/>
      <c r="D239" s="2317"/>
      <c r="E239" s="2338"/>
      <c r="F239" s="2338"/>
      <c r="G239" s="2338"/>
      <c r="H239" s="2339"/>
      <c r="I239" s="2340"/>
      <c r="J239" s="2341"/>
      <c r="K239" s="2342"/>
      <c r="L239" s="2342"/>
      <c r="M239" s="2343"/>
      <c r="N239" s="2343"/>
      <c r="O239" s="2343"/>
      <c r="P239" s="2341"/>
      <c r="Q239" s="2344"/>
      <c r="R239" s="2345"/>
      <c r="S239" s="2343"/>
      <c r="T239" s="2346"/>
      <c r="U239" s="2347"/>
      <c r="V239" s="2348"/>
      <c r="W239" s="2348"/>
      <c r="X239" s="2349"/>
      <c r="Y239" s="2350"/>
      <c r="Z239" s="2350"/>
      <c r="AA239" s="2350"/>
      <c r="AB239" s="2350"/>
      <c r="AC239" s="2351"/>
    </row>
    <row r="240" spans="1:29" s="2318" customFormat="1" ht="70" customHeight="1">
      <c r="A240" s="2321" t="str">
        <f t="shared" si="3"/>
        <v/>
      </c>
      <c r="B240" s="2353" t="s">
        <v>3132</v>
      </c>
      <c r="C240" s="2352"/>
      <c r="D240" s="2319"/>
      <c r="E240" s="2319"/>
      <c r="F240" s="2319"/>
      <c r="G240" s="2319"/>
      <c r="H240" s="2319"/>
      <c r="I240" s="2319"/>
      <c r="J240" s="2354"/>
      <c r="K240" s="2355"/>
      <c r="L240" s="2355"/>
      <c r="M240" s="2356"/>
      <c r="N240" s="2356"/>
      <c r="O240" s="2356"/>
      <c r="P240" s="2354"/>
      <c r="Q240" s="2344"/>
      <c r="R240" s="2345"/>
      <c r="S240" s="2356"/>
      <c r="T240" s="2346"/>
      <c r="U240" s="2347"/>
      <c r="V240" s="2357"/>
      <c r="W240" s="2357"/>
      <c r="X240" s="2349"/>
      <c r="Y240" s="2358"/>
      <c r="Z240" s="2358"/>
      <c r="AA240" s="2358"/>
      <c r="AB240" s="2358"/>
      <c r="AC240" s="2359"/>
    </row>
    <row r="241" spans="1:29" s="2318" customFormat="1" ht="105" customHeight="1">
      <c r="A241" s="2336" t="str">
        <f t="shared" ref="A241:A304" si="4">IFERROR(IF(A237&gt;0,A237+1,""),"")</f>
        <v/>
      </c>
      <c r="B241" s="2337" t="s">
        <v>3133</v>
      </c>
      <c r="C241" s="2336"/>
      <c r="D241" s="2317"/>
      <c r="E241" s="2338"/>
      <c r="F241" s="2338"/>
      <c r="G241" s="2338"/>
      <c r="H241" s="2339"/>
      <c r="I241" s="2340"/>
      <c r="J241" s="2341"/>
      <c r="K241" s="2342"/>
      <c r="L241" s="2342"/>
      <c r="M241" s="2343"/>
      <c r="N241" s="2343"/>
      <c r="O241" s="2343"/>
      <c r="P241" s="2341"/>
      <c r="Q241" s="2344"/>
      <c r="R241" s="2345"/>
      <c r="S241" s="2343"/>
      <c r="T241" s="2346"/>
      <c r="U241" s="2347"/>
      <c r="V241" s="2348"/>
      <c r="W241" s="2348"/>
      <c r="X241" s="2349"/>
      <c r="Y241" s="2350"/>
      <c r="Z241" s="2350"/>
      <c r="AA241" s="2350"/>
      <c r="AB241" s="2350"/>
      <c r="AC241" s="2351"/>
    </row>
    <row r="242" spans="1:29" s="2316" customFormat="1" ht="50" customHeight="1">
      <c r="A242" s="2321">
        <f t="shared" si="4"/>
        <v>60</v>
      </c>
      <c r="B242" s="2361" t="str">
        <f>MOPFRA!Q37</f>
        <v>پارس‌ دارو</v>
      </c>
      <c r="C242" s="2321" t="str">
        <f>MOPFRA!R37</f>
        <v>دپارس</v>
      </c>
      <c r="D242" s="2315">
        <f>MOPFRA!S37</f>
        <v>12</v>
      </c>
      <c r="E242" s="2323">
        <f>MOPFRA!BO37</f>
        <v>3</v>
      </c>
      <c r="F242" s="2323">
        <f>MOPFRA!AW37</f>
        <v>1364</v>
      </c>
      <c r="G242" s="2323">
        <f>MOPFRA!AX37</f>
        <v>445</v>
      </c>
      <c r="H242" s="2324"/>
      <c r="I242" s="2325"/>
      <c r="J242" s="2326">
        <f>MOPFRA!BS37</f>
        <v>0</v>
      </c>
      <c r="K242" s="2327">
        <f>MOPFRA!CK37</f>
        <v>245</v>
      </c>
      <c r="L242" s="2327">
        <f>MOPFRA!CN37</f>
        <v>1</v>
      </c>
      <c r="M242" s="2328">
        <f>MOPFRA!CO37</f>
        <v>333</v>
      </c>
      <c r="N242" s="2328">
        <f>MOPFRA!CP37</f>
        <v>303</v>
      </c>
      <c r="O242" s="2328">
        <f>MOPFRA!CS37</f>
        <v>1761</v>
      </c>
      <c r="P242" s="2326">
        <f>MOPFRA!CT37</f>
        <v>-6</v>
      </c>
      <c r="Q242" s="2329">
        <f>MOPFRA!CV37</f>
        <v>2026</v>
      </c>
      <c r="R242" s="2330">
        <f>MOPFRA!CW37</f>
        <v>1927</v>
      </c>
      <c r="S242" s="2328">
        <f>MOPFRA!CX37</f>
        <v>253</v>
      </c>
      <c r="T242" s="2331">
        <f>MOPFRA!CY37</f>
        <v>92</v>
      </c>
      <c r="U242" s="2332">
        <f>MOPFRA!DE37</f>
        <v>229</v>
      </c>
      <c r="V242" s="2323">
        <f>MOPFRA!DF37</f>
        <v>139</v>
      </c>
      <c r="W242" s="2323">
        <f>MOPFRA!DG37</f>
        <v>85</v>
      </c>
      <c r="X242" s="2333">
        <f>MOPFRA!DH37</f>
        <v>3816</v>
      </c>
      <c r="Y242" s="2334">
        <f>MOPFRA!DK37</f>
        <v>312</v>
      </c>
      <c r="Z242" s="2334">
        <f>MOPFRA!DL37</f>
        <v>1</v>
      </c>
      <c r="AA242" s="2334">
        <f>MOPFRA!DM37</f>
        <v>3320</v>
      </c>
      <c r="AB242" s="2334">
        <f>MOPFRA!DP37</f>
        <v>0</v>
      </c>
      <c r="AC242" s="2335">
        <f>MOPFRA!DQ37</f>
        <v>183</v>
      </c>
    </row>
    <row r="243" spans="1:29" s="2318" customFormat="1" ht="105" customHeight="1">
      <c r="A243" s="2336" t="str">
        <f t="shared" si="4"/>
        <v/>
      </c>
      <c r="B243" s="2337"/>
      <c r="C243" s="2336"/>
      <c r="D243" s="2317"/>
      <c r="E243" s="2338"/>
      <c r="F243" s="2338"/>
      <c r="G243" s="2338"/>
      <c r="H243" s="2339"/>
      <c r="I243" s="2340"/>
      <c r="J243" s="2341"/>
      <c r="K243" s="2342"/>
      <c r="L243" s="2342"/>
      <c r="M243" s="2343"/>
      <c r="N243" s="2343"/>
      <c r="O243" s="2343"/>
      <c r="P243" s="2341"/>
      <c r="Q243" s="2344"/>
      <c r="R243" s="2345"/>
      <c r="S243" s="2343"/>
      <c r="T243" s="2346"/>
      <c r="U243" s="2347"/>
      <c r="V243" s="2348"/>
      <c r="W243" s="2348"/>
      <c r="X243" s="2349"/>
      <c r="Y243" s="2350"/>
      <c r="Z243" s="2350"/>
      <c r="AA243" s="2350"/>
      <c r="AB243" s="2350"/>
      <c r="AC243" s="2351"/>
    </row>
    <row r="244" spans="1:29" s="2318" customFormat="1" ht="70" customHeight="1">
      <c r="A244" s="2321" t="str">
        <f t="shared" si="4"/>
        <v/>
      </c>
      <c r="B244" s="2353" t="s">
        <v>3132</v>
      </c>
      <c r="C244" s="2352"/>
      <c r="D244" s="2319"/>
      <c r="E244" s="2319"/>
      <c r="F244" s="2319"/>
      <c r="G244" s="2319"/>
      <c r="H244" s="2319"/>
      <c r="I244" s="2319"/>
      <c r="J244" s="2354"/>
      <c r="K244" s="2355"/>
      <c r="L244" s="2355"/>
      <c r="M244" s="2356"/>
      <c r="N244" s="2356"/>
      <c r="O244" s="2356"/>
      <c r="P244" s="2354"/>
      <c r="Q244" s="2344"/>
      <c r="R244" s="2345"/>
      <c r="S244" s="2356"/>
      <c r="T244" s="2346"/>
      <c r="U244" s="2347"/>
      <c r="V244" s="2357"/>
      <c r="W244" s="2357"/>
      <c r="X244" s="2349"/>
      <c r="Y244" s="2358"/>
      <c r="Z244" s="2358"/>
      <c r="AA244" s="2358"/>
      <c r="AB244" s="2358"/>
      <c r="AC244" s="2359"/>
    </row>
    <row r="245" spans="1:29" s="2318" customFormat="1" ht="105" customHeight="1">
      <c r="A245" s="2336" t="str">
        <f t="shared" si="4"/>
        <v/>
      </c>
      <c r="B245" s="2337" t="s">
        <v>3133</v>
      </c>
      <c r="C245" s="2336"/>
      <c r="D245" s="2317"/>
      <c r="E245" s="2338"/>
      <c r="F245" s="2338"/>
      <c r="G245" s="2338"/>
      <c r="H245" s="2339"/>
      <c r="I245" s="2340"/>
      <c r="J245" s="2341"/>
      <c r="K245" s="2342"/>
      <c r="L245" s="2342"/>
      <c r="M245" s="2343"/>
      <c r="N245" s="2343"/>
      <c r="O245" s="2343"/>
      <c r="P245" s="2341"/>
      <c r="Q245" s="2344"/>
      <c r="R245" s="2345"/>
      <c r="S245" s="2343"/>
      <c r="T245" s="2346"/>
      <c r="U245" s="2347"/>
      <c r="V245" s="2348"/>
      <c r="W245" s="2348"/>
      <c r="X245" s="2349"/>
      <c r="Y245" s="2350"/>
      <c r="Z245" s="2350"/>
      <c r="AA245" s="2350"/>
      <c r="AB245" s="2350"/>
      <c r="AC245" s="2351"/>
    </row>
    <row r="246" spans="1:29" s="2316" customFormat="1" ht="50" customHeight="1">
      <c r="A246" s="2321">
        <f t="shared" si="4"/>
        <v>61</v>
      </c>
      <c r="B246" s="2322" t="str">
        <f>MOPFRA!Q38</f>
        <v>كشاورزي و دامپروري فجر اصفهان</v>
      </c>
      <c r="C246" s="2321" t="str">
        <f>MOPFRA!R38</f>
        <v>زفجر</v>
      </c>
      <c r="D246" s="2315">
        <f>MOPFRA!S38</f>
        <v>12</v>
      </c>
      <c r="E246" s="2323">
        <f>MOPFRA!BO38</f>
        <v>3</v>
      </c>
      <c r="F246" s="2323">
        <f>MOPFRA!AW38</f>
        <v>874</v>
      </c>
      <c r="G246" s="2323">
        <f>MOPFRA!AX38</f>
        <v>85</v>
      </c>
      <c r="H246" s="2324"/>
      <c r="I246" s="2325"/>
      <c r="J246" s="2326">
        <f>MOPFRA!BS38</f>
        <v>0</v>
      </c>
      <c r="K246" s="2327">
        <f>MOPFRA!CK38</f>
        <v>90</v>
      </c>
      <c r="L246" s="2327">
        <f>MOPFRA!CN38</f>
        <v>72</v>
      </c>
      <c r="M246" s="2328">
        <f>MOPFRA!CO38</f>
        <v>157</v>
      </c>
      <c r="N246" s="2328">
        <f>MOPFRA!CP38</f>
        <v>0</v>
      </c>
      <c r="O246" s="2328">
        <f>MOPFRA!CS38</f>
        <v>938</v>
      </c>
      <c r="P246" s="2326">
        <f>MOPFRA!CT38</f>
        <v>-400</v>
      </c>
      <c r="Q246" s="2329">
        <f>MOPFRA!CV38</f>
        <v>1237</v>
      </c>
      <c r="R246" s="2330">
        <f>MOPFRA!CW38</f>
        <v>575</v>
      </c>
      <c r="S246" s="2328">
        <f>MOPFRA!CX38</f>
        <v>33</v>
      </c>
      <c r="T246" s="2331">
        <f>MOPFRA!CY38</f>
        <v>476</v>
      </c>
      <c r="U246" s="2332">
        <f>MOPFRA!DE38</f>
        <v>1213</v>
      </c>
      <c r="V246" s="2323">
        <f>MOPFRA!DF38</f>
        <v>520</v>
      </c>
      <c r="W246" s="2323">
        <f>MOPFRA!DG38</f>
        <v>0</v>
      </c>
      <c r="X246" s="2333">
        <f>MOPFRA!DH38</f>
        <v>1075</v>
      </c>
      <c r="Y246" s="2334">
        <f>MOPFRA!DK38</f>
        <v>602</v>
      </c>
      <c r="Z246" s="2334">
        <f>MOPFRA!DL38</f>
        <v>7</v>
      </c>
      <c r="AA246" s="2334">
        <f>MOPFRA!DM38</f>
        <v>245</v>
      </c>
      <c r="AB246" s="2334">
        <f>MOPFRA!DP38</f>
        <v>0</v>
      </c>
      <c r="AC246" s="2335">
        <f>MOPFRA!DQ38</f>
        <v>221</v>
      </c>
    </row>
    <row r="247" spans="1:29" s="2318" customFormat="1" ht="105" customHeight="1">
      <c r="A247" s="2336" t="str">
        <f t="shared" si="4"/>
        <v/>
      </c>
      <c r="B247" s="2337"/>
      <c r="C247" s="2336"/>
      <c r="D247" s="2317"/>
      <c r="E247" s="2338"/>
      <c r="F247" s="2338"/>
      <c r="G247" s="2338"/>
      <c r="H247" s="2339"/>
      <c r="I247" s="2340"/>
      <c r="J247" s="2341"/>
      <c r="K247" s="2342"/>
      <c r="L247" s="2342"/>
      <c r="M247" s="2343"/>
      <c r="N247" s="2343"/>
      <c r="O247" s="2343"/>
      <c r="P247" s="2341"/>
      <c r="Q247" s="2344"/>
      <c r="R247" s="2345"/>
      <c r="S247" s="2343"/>
      <c r="T247" s="2346"/>
      <c r="U247" s="2347"/>
      <c r="V247" s="2348"/>
      <c r="W247" s="2348"/>
      <c r="X247" s="2349"/>
      <c r="Y247" s="2350"/>
      <c r="Z247" s="2350"/>
      <c r="AA247" s="2350"/>
      <c r="AB247" s="2350"/>
      <c r="AC247" s="2351"/>
    </row>
    <row r="248" spans="1:29" s="2318" customFormat="1" ht="70" customHeight="1">
      <c r="A248" s="2321" t="str">
        <f t="shared" si="4"/>
        <v/>
      </c>
      <c r="B248" s="2353" t="s">
        <v>3132</v>
      </c>
      <c r="C248" s="2352"/>
      <c r="D248" s="2319"/>
      <c r="E248" s="2319"/>
      <c r="F248" s="2319"/>
      <c r="G248" s="2319"/>
      <c r="H248" s="2319"/>
      <c r="I248" s="2319"/>
      <c r="J248" s="2354"/>
      <c r="K248" s="2355"/>
      <c r="L248" s="2355"/>
      <c r="M248" s="2356"/>
      <c r="N248" s="2356"/>
      <c r="O248" s="2356"/>
      <c r="P248" s="2354"/>
      <c r="Q248" s="2344"/>
      <c r="R248" s="2345"/>
      <c r="S248" s="2356"/>
      <c r="T248" s="2346"/>
      <c r="U248" s="2347"/>
      <c r="V248" s="2357"/>
      <c r="W248" s="2357"/>
      <c r="X248" s="2349"/>
      <c r="Y248" s="2358"/>
      <c r="Z248" s="2358"/>
      <c r="AA248" s="2358"/>
      <c r="AB248" s="2358"/>
      <c r="AC248" s="2359"/>
    </row>
    <row r="249" spans="1:29" s="2318" customFormat="1" ht="105" customHeight="1">
      <c r="A249" s="2336" t="str">
        <f t="shared" si="4"/>
        <v/>
      </c>
      <c r="B249" s="2337" t="s">
        <v>3133</v>
      </c>
      <c r="C249" s="2336"/>
      <c r="D249" s="2317"/>
      <c r="E249" s="2338"/>
      <c r="F249" s="2338"/>
      <c r="G249" s="2338"/>
      <c r="H249" s="2339"/>
      <c r="I249" s="2340"/>
      <c r="J249" s="2341"/>
      <c r="K249" s="2342"/>
      <c r="L249" s="2342"/>
      <c r="M249" s="2343"/>
      <c r="N249" s="2343"/>
      <c r="O249" s="2343"/>
      <c r="P249" s="2341"/>
      <c r="Q249" s="2344"/>
      <c r="R249" s="2345"/>
      <c r="S249" s="2343"/>
      <c r="T249" s="2346"/>
      <c r="U249" s="2347"/>
      <c r="V249" s="2348"/>
      <c r="W249" s="2348"/>
      <c r="X249" s="2349"/>
      <c r="Y249" s="2350"/>
      <c r="Z249" s="2350"/>
      <c r="AA249" s="2350"/>
      <c r="AB249" s="2350"/>
      <c r="AC249" s="2351"/>
    </row>
    <row r="250" spans="1:29" s="2316" customFormat="1" ht="50" customHeight="1">
      <c r="A250" s="2321">
        <f t="shared" si="4"/>
        <v>62</v>
      </c>
      <c r="B250" s="2322" t="str">
        <f>MOPFRA!Q39</f>
        <v>داروسازي‌ سينا</v>
      </c>
      <c r="C250" s="2321" t="str">
        <f>MOPFRA!R39</f>
        <v>دسينا</v>
      </c>
      <c r="D250" s="2315">
        <f>MOPFRA!S39</f>
        <v>12</v>
      </c>
      <c r="E250" s="2323">
        <f>MOPFRA!BO39</f>
        <v>3</v>
      </c>
      <c r="F250" s="2323">
        <f>MOPFRA!AW39</f>
        <v>1507</v>
      </c>
      <c r="G250" s="2323">
        <f>MOPFRA!AX39</f>
        <v>901</v>
      </c>
      <c r="H250" s="2324"/>
      <c r="I250" s="2325"/>
      <c r="J250" s="2326">
        <f>MOPFRA!BS39</f>
        <v>0</v>
      </c>
      <c r="K250" s="2327">
        <f>MOPFRA!CK39</f>
        <v>240</v>
      </c>
      <c r="L250" s="2327">
        <f>MOPFRA!CN39</f>
        <v>16</v>
      </c>
      <c r="M250" s="2328">
        <f>MOPFRA!CO39</f>
        <v>691</v>
      </c>
      <c r="N250" s="2328">
        <f>MOPFRA!CP39</f>
        <v>-1</v>
      </c>
      <c r="O250" s="2328">
        <f>MOPFRA!CS39</f>
        <v>1977</v>
      </c>
      <c r="P250" s="2326">
        <f>MOPFRA!CT39</f>
        <v>-4</v>
      </c>
      <c r="Q250" s="2329">
        <f>MOPFRA!CV39</f>
        <v>2238</v>
      </c>
      <c r="R250" s="2330">
        <f>MOPFRA!CW39</f>
        <v>2782</v>
      </c>
      <c r="S250" s="2328">
        <f>MOPFRA!CX39</f>
        <v>603</v>
      </c>
      <c r="T250" s="2331">
        <f>MOPFRA!CY39</f>
        <v>283</v>
      </c>
      <c r="U250" s="2332">
        <f>MOPFRA!DE39</f>
        <v>495</v>
      </c>
      <c r="V250" s="2323">
        <f>MOPFRA!DF39</f>
        <v>491</v>
      </c>
      <c r="W250" s="2323">
        <f>MOPFRA!DG39</f>
        <v>1</v>
      </c>
      <c r="X250" s="2333">
        <f>MOPFRA!DH39</f>
        <v>4808</v>
      </c>
      <c r="Y250" s="2334">
        <f>MOPFRA!DK39</f>
        <v>1077</v>
      </c>
      <c r="Z250" s="2334">
        <f>MOPFRA!DL39</f>
        <v>1012</v>
      </c>
      <c r="AA250" s="2334">
        <f>MOPFRA!DM39</f>
        <v>1847</v>
      </c>
      <c r="AB250" s="2334">
        <f>MOPFRA!DP39</f>
        <v>3</v>
      </c>
      <c r="AC250" s="2335">
        <f>MOPFRA!DQ39</f>
        <v>869</v>
      </c>
    </row>
    <row r="251" spans="1:29" s="2318" customFormat="1" ht="105" customHeight="1">
      <c r="A251" s="2336" t="str">
        <f t="shared" si="4"/>
        <v/>
      </c>
      <c r="B251" s="2337"/>
      <c r="C251" s="2336"/>
      <c r="D251" s="2317"/>
      <c r="E251" s="2338"/>
      <c r="F251" s="2338"/>
      <c r="G251" s="2338"/>
      <c r="H251" s="2339"/>
      <c r="I251" s="2340"/>
      <c r="J251" s="2341"/>
      <c r="K251" s="2342"/>
      <c r="L251" s="2342"/>
      <c r="M251" s="2343"/>
      <c r="N251" s="2343"/>
      <c r="O251" s="2343"/>
      <c r="P251" s="2341"/>
      <c r="Q251" s="2344"/>
      <c r="R251" s="2345"/>
      <c r="S251" s="2343"/>
      <c r="T251" s="2346"/>
      <c r="U251" s="2347"/>
      <c r="V251" s="2348"/>
      <c r="W251" s="2348"/>
      <c r="X251" s="2349"/>
      <c r="Y251" s="2350"/>
      <c r="Z251" s="2350"/>
      <c r="AA251" s="2350"/>
      <c r="AB251" s="2350"/>
      <c r="AC251" s="2351"/>
    </row>
    <row r="252" spans="1:29" s="2318" customFormat="1" ht="70" customHeight="1">
      <c r="A252" s="2321" t="str">
        <f t="shared" si="4"/>
        <v/>
      </c>
      <c r="B252" s="2353" t="s">
        <v>3132</v>
      </c>
      <c r="C252" s="2352"/>
      <c r="D252" s="2319"/>
      <c r="E252" s="2319"/>
      <c r="F252" s="2319"/>
      <c r="G252" s="2319"/>
      <c r="H252" s="2319"/>
      <c r="I252" s="2319"/>
      <c r="J252" s="2354"/>
      <c r="K252" s="2355"/>
      <c r="L252" s="2355"/>
      <c r="M252" s="2356"/>
      <c r="N252" s="2356"/>
      <c r="O252" s="2356"/>
      <c r="P252" s="2354"/>
      <c r="Q252" s="2344"/>
      <c r="R252" s="2345"/>
      <c r="S252" s="2356"/>
      <c r="T252" s="2346"/>
      <c r="U252" s="2347"/>
      <c r="V252" s="2357"/>
      <c r="W252" s="2357"/>
      <c r="X252" s="2349"/>
      <c r="Y252" s="2358"/>
      <c r="Z252" s="2358"/>
      <c r="AA252" s="2358"/>
      <c r="AB252" s="2358"/>
      <c r="AC252" s="2359"/>
    </row>
    <row r="253" spans="1:29" s="2318" customFormat="1" ht="105" customHeight="1">
      <c r="A253" s="2336" t="str">
        <f t="shared" si="4"/>
        <v/>
      </c>
      <c r="B253" s="2337" t="s">
        <v>3133</v>
      </c>
      <c r="C253" s="2336"/>
      <c r="D253" s="2317"/>
      <c r="E253" s="2338"/>
      <c r="F253" s="2338"/>
      <c r="G253" s="2338"/>
      <c r="H253" s="2339"/>
      <c r="I253" s="2340"/>
      <c r="J253" s="2341"/>
      <c r="K253" s="2342"/>
      <c r="L253" s="2342"/>
      <c r="M253" s="2343"/>
      <c r="N253" s="2343"/>
      <c r="O253" s="2343"/>
      <c r="P253" s="2341"/>
      <c r="Q253" s="2344"/>
      <c r="R253" s="2345"/>
      <c r="S253" s="2343"/>
      <c r="T253" s="2346"/>
      <c r="U253" s="2347"/>
      <c r="V253" s="2348"/>
      <c r="W253" s="2348"/>
      <c r="X253" s="2349"/>
      <c r="Y253" s="2350"/>
      <c r="Z253" s="2350"/>
      <c r="AA253" s="2350"/>
      <c r="AB253" s="2350"/>
      <c r="AC253" s="2351"/>
    </row>
    <row r="254" spans="1:29" s="2316" customFormat="1" ht="50" customHeight="1">
      <c r="A254" s="2321">
        <f t="shared" si="4"/>
        <v>63</v>
      </c>
      <c r="B254" s="2322" t="str">
        <f>MOPFRA!Q40</f>
        <v>كوير تاير</v>
      </c>
      <c r="C254" s="2321" t="str">
        <f>MOPFRA!R40</f>
        <v>پكوير</v>
      </c>
      <c r="D254" s="2315">
        <f>MOPFRA!S40</f>
        <v>9</v>
      </c>
      <c r="E254" s="2323">
        <f>MOPFRA!BO40</f>
        <v>3</v>
      </c>
      <c r="F254" s="2323">
        <f>MOPFRA!AW40</f>
        <v>5894</v>
      </c>
      <c r="G254" s="2323">
        <f>MOPFRA!AX40</f>
        <v>1544</v>
      </c>
      <c r="H254" s="2324"/>
      <c r="I254" s="2325"/>
      <c r="J254" s="2326">
        <f>MOPFRA!BS40</f>
        <v>0</v>
      </c>
      <c r="K254" s="2327">
        <f>MOPFRA!CK40</f>
        <v>1366.88</v>
      </c>
      <c r="L254" s="2327">
        <f>MOPFRA!CN40</f>
        <v>18</v>
      </c>
      <c r="M254" s="2328">
        <f>MOPFRA!CO40</f>
        <v>1033</v>
      </c>
      <c r="N254" s="2328">
        <f>MOPFRA!CP40</f>
        <v>-3</v>
      </c>
      <c r="O254" s="2328">
        <f>MOPFRA!CS40</f>
        <v>1909</v>
      </c>
      <c r="P254" s="2326">
        <f>MOPFRA!CT40</f>
        <v>-37</v>
      </c>
      <c r="Q254" s="2329">
        <f>MOPFRA!CV40</f>
        <v>3417</v>
      </c>
      <c r="R254" s="2330">
        <f>MOPFRA!CW40</f>
        <v>6484</v>
      </c>
      <c r="S254" s="2328">
        <f>MOPFRA!CX40</f>
        <v>1477</v>
      </c>
      <c r="T254" s="2331">
        <f>MOPFRA!CY40</f>
        <v>677</v>
      </c>
      <c r="U254" s="2332">
        <f>MOPFRA!DE40</f>
        <v>2974</v>
      </c>
      <c r="V254" s="2323">
        <f>MOPFRA!DF40</f>
        <v>2610</v>
      </c>
      <c r="W254" s="2323">
        <f>MOPFRA!DG40</f>
        <v>63</v>
      </c>
      <c r="X254" s="2333">
        <f>MOPFRA!DH40</f>
        <v>7604</v>
      </c>
      <c r="Y254" s="2334">
        <f>MOPFRA!DK40</f>
        <v>2689</v>
      </c>
      <c r="Z254" s="2334">
        <f>MOPFRA!DL40</f>
        <v>427</v>
      </c>
      <c r="AA254" s="2334">
        <f>MOPFRA!DM40</f>
        <v>1597</v>
      </c>
      <c r="AB254" s="2334">
        <f>MOPFRA!DP40</f>
        <v>0</v>
      </c>
      <c r="AC254" s="2335">
        <f>MOPFRA!DQ40</f>
        <v>2891</v>
      </c>
    </row>
    <row r="255" spans="1:29" s="2318" customFormat="1" ht="105" customHeight="1">
      <c r="A255" s="2336" t="str">
        <f t="shared" si="4"/>
        <v/>
      </c>
      <c r="B255" s="2337"/>
      <c r="C255" s="2336"/>
      <c r="D255" s="2317"/>
      <c r="E255" s="2338"/>
      <c r="F255" s="2338"/>
      <c r="G255" s="2338"/>
      <c r="H255" s="2339"/>
      <c r="I255" s="2340"/>
      <c r="J255" s="2341"/>
      <c r="K255" s="2342"/>
      <c r="L255" s="2342"/>
      <c r="M255" s="2343"/>
      <c r="N255" s="2343"/>
      <c r="O255" s="2343"/>
      <c r="P255" s="2341"/>
      <c r="Q255" s="2344"/>
      <c r="R255" s="2345"/>
      <c r="S255" s="2343"/>
      <c r="T255" s="2346"/>
      <c r="U255" s="2347"/>
      <c r="V255" s="2348"/>
      <c r="W255" s="2348"/>
      <c r="X255" s="2349"/>
      <c r="Y255" s="2350"/>
      <c r="Z255" s="2350"/>
      <c r="AA255" s="2350"/>
      <c r="AB255" s="2350"/>
      <c r="AC255" s="2351"/>
    </row>
    <row r="256" spans="1:29" s="2318" customFormat="1" ht="70" customHeight="1">
      <c r="A256" s="2321" t="str">
        <f t="shared" si="4"/>
        <v/>
      </c>
      <c r="B256" s="2353" t="s">
        <v>3132</v>
      </c>
      <c r="C256" s="2352"/>
      <c r="D256" s="2319"/>
      <c r="E256" s="2319"/>
      <c r="F256" s="2319"/>
      <c r="G256" s="2319"/>
      <c r="H256" s="2319"/>
      <c r="I256" s="2319"/>
      <c r="J256" s="2354"/>
      <c r="K256" s="2355"/>
      <c r="L256" s="2355"/>
      <c r="M256" s="2356"/>
      <c r="N256" s="2356"/>
      <c r="O256" s="2356"/>
      <c r="P256" s="2354"/>
      <c r="Q256" s="2344"/>
      <c r="R256" s="2345"/>
      <c r="S256" s="2356"/>
      <c r="T256" s="2346"/>
      <c r="U256" s="2347"/>
      <c r="V256" s="2357"/>
      <c r="W256" s="2357"/>
      <c r="X256" s="2349"/>
      <c r="Y256" s="2358"/>
      <c r="Z256" s="2358"/>
      <c r="AA256" s="2358"/>
      <c r="AB256" s="2358"/>
      <c r="AC256" s="2359"/>
    </row>
    <row r="257" spans="1:29" s="2318" customFormat="1" ht="105" customHeight="1">
      <c r="A257" s="2336" t="str">
        <f t="shared" si="4"/>
        <v/>
      </c>
      <c r="B257" s="2337" t="s">
        <v>3133</v>
      </c>
      <c r="C257" s="2336"/>
      <c r="D257" s="2317"/>
      <c r="E257" s="2338"/>
      <c r="F257" s="2338"/>
      <c r="G257" s="2338"/>
      <c r="H257" s="2339"/>
      <c r="I257" s="2340"/>
      <c r="J257" s="2341"/>
      <c r="K257" s="2342"/>
      <c r="L257" s="2342"/>
      <c r="M257" s="2343"/>
      <c r="N257" s="2343"/>
      <c r="O257" s="2343"/>
      <c r="P257" s="2341"/>
      <c r="Q257" s="2344"/>
      <c r="R257" s="2345"/>
      <c r="S257" s="2343"/>
      <c r="T257" s="2346"/>
      <c r="U257" s="2347"/>
      <c r="V257" s="2348"/>
      <c r="W257" s="2348"/>
      <c r="X257" s="2349"/>
      <c r="Y257" s="2350"/>
      <c r="Z257" s="2350"/>
      <c r="AA257" s="2350"/>
      <c r="AB257" s="2350"/>
      <c r="AC257" s="2351"/>
    </row>
    <row r="258" spans="1:29" s="2316" customFormat="1" ht="50" customHeight="1">
      <c r="A258" s="2321">
        <f t="shared" si="4"/>
        <v>64</v>
      </c>
      <c r="B258" s="2322" t="str">
        <f>MOPFRA!Q41</f>
        <v>ملي‌ صنايع‌ مس‌ ايران‌</v>
      </c>
      <c r="C258" s="2321" t="str">
        <f>MOPFRA!R41</f>
        <v>فملي</v>
      </c>
      <c r="D258" s="2315">
        <f>MOPFRA!S41</f>
        <v>12</v>
      </c>
      <c r="E258" s="2323">
        <f>MOPFRA!BO41</f>
        <v>3</v>
      </c>
      <c r="F258" s="2323">
        <f>MOPFRA!AW41</f>
        <v>129757</v>
      </c>
      <c r="G258" s="2323">
        <f>MOPFRA!AX41</f>
        <v>85635</v>
      </c>
      <c r="H258" s="2324"/>
      <c r="I258" s="2325"/>
      <c r="J258" s="2326">
        <f>MOPFRA!BS41</f>
        <v>0</v>
      </c>
      <c r="K258" s="2327">
        <f>MOPFRA!CK41</f>
        <v>144000</v>
      </c>
      <c r="L258" s="2327">
        <f>MOPFRA!CN41</f>
        <v>308</v>
      </c>
      <c r="M258" s="2328">
        <f>MOPFRA!CO41</f>
        <v>72589</v>
      </c>
      <c r="N258" s="2328">
        <f>MOPFRA!CP41</f>
        <v>-454</v>
      </c>
      <c r="O258" s="2328">
        <f>MOPFRA!CS41</f>
        <v>177537</v>
      </c>
      <c r="P258" s="2326">
        <f>MOPFRA!CT41</f>
        <v>0</v>
      </c>
      <c r="Q258" s="2329">
        <f>MOPFRA!CV41</f>
        <v>371300</v>
      </c>
      <c r="R258" s="2330">
        <f>MOPFRA!CW41</f>
        <v>293160</v>
      </c>
      <c r="S258" s="2328">
        <f>MOPFRA!CX41</f>
        <v>3580</v>
      </c>
      <c r="T258" s="2331">
        <f>MOPFRA!CY41</f>
        <v>7046</v>
      </c>
      <c r="U258" s="2332">
        <f>MOPFRA!DE41</f>
        <v>353829</v>
      </c>
      <c r="V258" s="2323">
        <f>MOPFRA!DF41</f>
        <v>251730</v>
      </c>
      <c r="W258" s="2323">
        <f>MOPFRA!DG41</f>
        <v>50772</v>
      </c>
      <c r="X258" s="2333">
        <f>MOPFRA!DH41</f>
        <v>317677</v>
      </c>
      <c r="Y258" s="2334">
        <f>MOPFRA!DK41</f>
        <v>94993</v>
      </c>
      <c r="Z258" s="2334">
        <f>MOPFRA!DL41</f>
        <v>23204</v>
      </c>
      <c r="AA258" s="2334">
        <f>MOPFRA!DM41</f>
        <v>147892</v>
      </c>
      <c r="AB258" s="2334">
        <f>MOPFRA!DP41</f>
        <v>19751</v>
      </c>
      <c r="AC258" s="2335">
        <f>MOPFRA!DQ41</f>
        <v>31837</v>
      </c>
    </row>
    <row r="259" spans="1:29" s="2318" customFormat="1" ht="105" customHeight="1">
      <c r="A259" s="2336" t="str">
        <f t="shared" si="4"/>
        <v/>
      </c>
      <c r="B259" s="2337"/>
      <c r="C259" s="2336"/>
      <c r="D259" s="2317"/>
      <c r="E259" s="2338"/>
      <c r="F259" s="2338"/>
      <c r="G259" s="2338"/>
      <c r="H259" s="2339"/>
      <c r="I259" s="2340"/>
      <c r="J259" s="2341"/>
      <c r="K259" s="2342"/>
      <c r="L259" s="2342"/>
      <c r="M259" s="2343"/>
      <c r="N259" s="2343"/>
      <c r="O259" s="2343"/>
      <c r="P259" s="2341"/>
      <c r="Q259" s="2344"/>
      <c r="R259" s="2345"/>
      <c r="S259" s="2343"/>
      <c r="T259" s="2346"/>
      <c r="U259" s="2347"/>
      <c r="V259" s="2348"/>
      <c r="W259" s="2348"/>
      <c r="X259" s="2349"/>
      <c r="Y259" s="2350"/>
      <c r="Z259" s="2350"/>
      <c r="AA259" s="2350"/>
      <c r="AB259" s="2350"/>
      <c r="AC259" s="2351"/>
    </row>
    <row r="260" spans="1:29" s="2318" customFormat="1" ht="70" customHeight="1">
      <c r="A260" s="2321" t="str">
        <f t="shared" si="4"/>
        <v/>
      </c>
      <c r="B260" s="2353" t="s">
        <v>3132</v>
      </c>
      <c r="C260" s="2352"/>
      <c r="D260" s="2319"/>
      <c r="E260" s="2319"/>
      <c r="F260" s="2319"/>
      <c r="G260" s="2319"/>
      <c r="H260" s="2319"/>
      <c r="I260" s="2319"/>
      <c r="J260" s="2354"/>
      <c r="K260" s="2355"/>
      <c r="L260" s="2355"/>
      <c r="M260" s="2356"/>
      <c r="N260" s="2356"/>
      <c r="O260" s="2356"/>
      <c r="P260" s="2354"/>
      <c r="Q260" s="2344"/>
      <c r="R260" s="2345"/>
      <c r="S260" s="2356"/>
      <c r="T260" s="2346"/>
      <c r="U260" s="2347"/>
      <c r="V260" s="2357"/>
      <c r="W260" s="2357"/>
      <c r="X260" s="2349"/>
      <c r="Y260" s="2358"/>
      <c r="Z260" s="2358"/>
      <c r="AA260" s="2358"/>
      <c r="AB260" s="2358"/>
      <c r="AC260" s="2359"/>
    </row>
    <row r="261" spans="1:29" s="2318" customFormat="1" ht="105" customHeight="1">
      <c r="A261" s="2336" t="str">
        <f t="shared" si="4"/>
        <v/>
      </c>
      <c r="B261" s="2337" t="s">
        <v>3133</v>
      </c>
      <c r="C261" s="2336"/>
      <c r="D261" s="2317"/>
      <c r="E261" s="2338"/>
      <c r="F261" s="2338"/>
      <c r="G261" s="2338"/>
      <c r="H261" s="2339"/>
      <c r="I261" s="2340"/>
      <c r="J261" s="2341"/>
      <c r="K261" s="2342"/>
      <c r="L261" s="2342"/>
      <c r="M261" s="2343"/>
      <c r="N261" s="2343"/>
      <c r="O261" s="2343"/>
      <c r="P261" s="2341"/>
      <c r="Q261" s="2344"/>
      <c r="R261" s="2345"/>
      <c r="S261" s="2343"/>
      <c r="T261" s="2346"/>
      <c r="U261" s="2347"/>
      <c r="V261" s="2348"/>
      <c r="W261" s="2348"/>
      <c r="X261" s="2349"/>
      <c r="Y261" s="2350"/>
      <c r="Z261" s="2350"/>
      <c r="AA261" s="2350"/>
      <c r="AB261" s="2350"/>
      <c r="AC261" s="2351"/>
    </row>
    <row r="262" spans="1:29" s="2316" customFormat="1" ht="50" customHeight="1">
      <c r="A262" s="2321">
        <f t="shared" si="4"/>
        <v>65</v>
      </c>
      <c r="B262" s="2322" t="str">
        <f>MOPFRA!Q42</f>
        <v>پاكسان‌</v>
      </c>
      <c r="C262" s="2321" t="str">
        <f>MOPFRA!R42</f>
        <v>شپاكسا</v>
      </c>
      <c r="D262" s="2315">
        <f>MOPFRA!S42</f>
        <v>9</v>
      </c>
      <c r="E262" s="2323">
        <f>MOPFRA!BO42</f>
        <v>3</v>
      </c>
      <c r="F262" s="2323">
        <f>MOPFRA!AW42</f>
        <v>5214</v>
      </c>
      <c r="G262" s="2323">
        <f>MOPFRA!AX42</f>
        <v>1194</v>
      </c>
      <c r="H262" s="2324"/>
      <c r="I262" s="2325"/>
      <c r="J262" s="2326">
        <f>MOPFRA!BS42</f>
        <v>0</v>
      </c>
      <c r="K262" s="2327">
        <f>MOPFRA!CK42</f>
        <v>1780</v>
      </c>
      <c r="L262" s="2327">
        <f>MOPFRA!CN42</f>
        <v>25</v>
      </c>
      <c r="M262" s="2328">
        <f>MOPFRA!CO42</f>
        <v>805</v>
      </c>
      <c r="N262" s="2328">
        <f>MOPFRA!CP42</f>
        <v>0</v>
      </c>
      <c r="O262" s="2328">
        <f>MOPFRA!CS42</f>
        <v>1237</v>
      </c>
      <c r="P262" s="2326">
        <f>MOPFRA!CT42</f>
        <v>-50</v>
      </c>
      <c r="Q262" s="2329">
        <f>MOPFRA!CV42</f>
        <v>3104</v>
      </c>
      <c r="R262" s="2330">
        <f>MOPFRA!CW42</f>
        <v>4710</v>
      </c>
      <c r="S262" s="2328">
        <f>MOPFRA!CX42</f>
        <v>1732</v>
      </c>
      <c r="T262" s="2331">
        <f>MOPFRA!CY42</f>
        <v>269</v>
      </c>
      <c r="U262" s="2332">
        <f>MOPFRA!DE42</f>
        <v>2307</v>
      </c>
      <c r="V262" s="2323">
        <f>MOPFRA!DF42</f>
        <v>1270</v>
      </c>
      <c r="W262" s="2323">
        <f>MOPFRA!DG42</f>
        <v>1020</v>
      </c>
      <c r="X262" s="2333">
        <f>MOPFRA!DH42</f>
        <v>5776</v>
      </c>
      <c r="Y262" s="2334">
        <f>MOPFRA!DK42</f>
        <v>1842</v>
      </c>
      <c r="Z262" s="2334">
        <f>MOPFRA!DL42</f>
        <v>142</v>
      </c>
      <c r="AA262" s="2334">
        <f>MOPFRA!DM42</f>
        <v>3021</v>
      </c>
      <c r="AB262" s="2334">
        <f>MOPFRA!DP42</f>
        <v>0</v>
      </c>
      <c r="AC262" s="2335">
        <f>MOPFRA!DQ42</f>
        <v>771</v>
      </c>
    </row>
    <row r="263" spans="1:29" s="2318" customFormat="1" ht="105" customHeight="1">
      <c r="A263" s="2336" t="str">
        <f t="shared" si="4"/>
        <v/>
      </c>
      <c r="B263" s="2337"/>
      <c r="C263" s="2336"/>
      <c r="D263" s="2317"/>
      <c r="E263" s="2338"/>
      <c r="F263" s="2338"/>
      <c r="G263" s="2338"/>
      <c r="H263" s="2339"/>
      <c r="I263" s="2340"/>
      <c r="J263" s="2341"/>
      <c r="K263" s="2342"/>
      <c r="L263" s="2342"/>
      <c r="M263" s="2343"/>
      <c r="N263" s="2343"/>
      <c r="O263" s="2343"/>
      <c r="P263" s="2341"/>
      <c r="Q263" s="2344"/>
      <c r="R263" s="2345"/>
      <c r="S263" s="2343"/>
      <c r="T263" s="2346"/>
      <c r="U263" s="2347"/>
      <c r="V263" s="2348"/>
      <c r="W263" s="2348"/>
      <c r="X263" s="2349"/>
      <c r="Y263" s="2350"/>
      <c r="Z263" s="2350"/>
      <c r="AA263" s="2350"/>
      <c r="AB263" s="2350"/>
      <c r="AC263" s="2351"/>
    </row>
    <row r="264" spans="1:29" s="2318" customFormat="1" ht="70" customHeight="1">
      <c r="A264" s="2321" t="str">
        <f t="shared" si="4"/>
        <v/>
      </c>
      <c r="B264" s="2353" t="s">
        <v>3132</v>
      </c>
      <c r="C264" s="2352"/>
      <c r="D264" s="2319"/>
      <c r="E264" s="2319"/>
      <c r="F264" s="2319"/>
      <c r="G264" s="2319"/>
      <c r="H264" s="2319"/>
      <c r="I264" s="2319"/>
      <c r="J264" s="2354"/>
      <c r="K264" s="2355"/>
      <c r="L264" s="2355"/>
      <c r="M264" s="2356"/>
      <c r="N264" s="2356"/>
      <c r="O264" s="2356"/>
      <c r="P264" s="2354"/>
      <c r="Q264" s="2344"/>
      <c r="R264" s="2345"/>
      <c r="S264" s="2356"/>
      <c r="T264" s="2346"/>
      <c r="U264" s="2347"/>
      <c r="V264" s="2357"/>
      <c r="W264" s="2357"/>
      <c r="X264" s="2349"/>
      <c r="Y264" s="2358"/>
      <c r="Z264" s="2358"/>
      <c r="AA264" s="2358"/>
      <c r="AB264" s="2358"/>
      <c r="AC264" s="2359"/>
    </row>
    <row r="265" spans="1:29" s="2318" customFormat="1" ht="105" customHeight="1">
      <c r="A265" s="2336" t="str">
        <f t="shared" si="4"/>
        <v/>
      </c>
      <c r="B265" s="2337" t="s">
        <v>3133</v>
      </c>
      <c r="C265" s="2336"/>
      <c r="D265" s="2317"/>
      <c r="E265" s="2338"/>
      <c r="F265" s="2338"/>
      <c r="G265" s="2338"/>
      <c r="H265" s="2339"/>
      <c r="I265" s="2340"/>
      <c r="J265" s="2341"/>
      <c r="K265" s="2342"/>
      <c r="L265" s="2342"/>
      <c r="M265" s="2343"/>
      <c r="N265" s="2343"/>
      <c r="O265" s="2343"/>
      <c r="P265" s="2341"/>
      <c r="Q265" s="2344"/>
      <c r="R265" s="2345"/>
      <c r="S265" s="2343"/>
      <c r="T265" s="2346"/>
      <c r="U265" s="2347"/>
      <c r="V265" s="2348"/>
      <c r="W265" s="2348"/>
      <c r="X265" s="2349"/>
      <c r="Y265" s="2350"/>
      <c r="Z265" s="2350"/>
      <c r="AA265" s="2350"/>
      <c r="AB265" s="2350"/>
      <c r="AC265" s="2351"/>
    </row>
    <row r="266" spans="1:29" s="2316" customFormat="1" ht="50" customHeight="1">
      <c r="A266" s="2321">
        <f t="shared" si="4"/>
        <v>66</v>
      </c>
      <c r="B266" s="2322" t="str">
        <f>MOPFRA!Q43</f>
        <v>شيشه‌ همدان‌</v>
      </c>
      <c r="C266" s="2321" t="str">
        <f>MOPFRA!R43</f>
        <v>كهمدا</v>
      </c>
      <c r="D266" s="2315">
        <f>MOPFRA!S43</f>
        <v>3</v>
      </c>
      <c r="E266" s="2323">
        <f>MOPFRA!BO43</f>
        <v>12</v>
      </c>
      <c r="F266" s="2323">
        <f>MOPFRA!AW43</f>
        <v>2204</v>
      </c>
      <c r="G266" s="2323">
        <f>MOPFRA!AX43</f>
        <v>1159</v>
      </c>
      <c r="H266" s="2324"/>
      <c r="I266" s="2325"/>
      <c r="J266" s="2326">
        <f>MOPFRA!BS43</f>
        <v>724</v>
      </c>
      <c r="K266" s="2327">
        <f>MOPFRA!CK43</f>
        <v>1650</v>
      </c>
      <c r="L266" s="2327">
        <f>MOPFRA!CN43</f>
        <v>442</v>
      </c>
      <c r="M266" s="2328">
        <f>MOPFRA!CO43</f>
        <v>1195</v>
      </c>
      <c r="N266" s="2328">
        <f>MOPFRA!CP43</f>
        <v>0</v>
      </c>
      <c r="O266" s="2328">
        <f>MOPFRA!CS43</f>
        <v>1311</v>
      </c>
      <c r="P266" s="2326">
        <f>MOPFRA!CT43</f>
        <v>0</v>
      </c>
      <c r="Q266" s="2329">
        <f>MOPFRA!CV43</f>
        <v>3126</v>
      </c>
      <c r="R266" s="2330">
        <f>MOPFRA!CW43</f>
        <v>1076</v>
      </c>
      <c r="S266" s="2328">
        <f>MOPFRA!CX43</f>
        <v>2101</v>
      </c>
      <c r="T266" s="2331">
        <f>MOPFRA!CY43</f>
        <v>1580</v>
      </c>
      <c r="U266" s="2332">
        <f>MOPFRA!DE43</f>
        <v>2388</v>
      </c>
      <c r="V266" s="2323">
        <f>MOPFRA!DF43</f>
        <v>2095</v>
      </c>
      <c r="W266" s="2323">
        <f>MOPFRA!DG43</f>
        <v>226</v>
      </c>
      <c r="X266" s="2333">
        <f>MOPFRA!DH43</f>
        <v>3394</v>
      </c>
      <c r="Y266" s="2334">
        <f>MOPFRA!DK43</f>
        <v>988</v>
      </c>
      <c r="Z266" s="2334">
        <f>MOPFRA!DL43</f>
        <v>270</v>
      </c>
      <c r="AA266" s="2334">
        <f>MOPFRA!DM43</f>
        <v>1032</v>
      </c>
      <c r="AB266" s="2334">
        <f>MOPFRA!DP43</f>
        <v>1021</v>
      </c>
      <c r="AC266" s="2335">
        <f>MOPFRA!DQ43</f>
        <v>83</v>
      </c>
    </row>
    <row r="267" spans="1:29" s="2318" customFormat="1" ht="105" customHeight="1">
      <c r="A267" s="2336" t="str">
        <f t="shared" si="4"/>
        <v/>
      </c>
      <c r="B267" s="2337"/>
      <c r="C267" s="2336"/>
      <c r="D267" s="2317"/>
      <c r="E267" s="2338"/>
      <c r="F267" s="2338"/>
      <c r="G267" s="2338"/>
      <c r="H267" s="2339"/>
      <c r="I267" s="2340"/>
      <c r="J267" s="2341"/>
      <c r="K267" s="2342"/>
      <c r="L267" s="2342"/>
      <c r="M267" s="2343"/>
      <c r="N267" s="2343"/>
      <c r="O267" s="2343"/>
      <c r="P267" s="2341"/>
      <c r="Q267" s="2344"/>
      <c r="R267" s="2345"/>
      <c r="S267" s="2343"/>
      <c r="T267" s="2346"/>
      <c r="U267" s="2347"/>
      <c r="V267" s="2348"/>
      <c r="W267" s="2348"/>
      <c r="X267" s="2349"/>
      <c r="Y267" s="2350"/>
      <c r="Z267" s="2350"/>
      <c r="AA267" s="2350"/>
      <c r="AB267" s="2350"/>
      <c r="AC267" s="2351"/>
    </row>
    <row r="268" spans="1:29" s="2318" customFormat="1" ht="70" customHeight="1">
      <c r="A268" s="2321" t="str">
        <f t="shared" si="4"/>
        <v/>
      </c>
      <c r="B268" s="2353" t="s">
        <v>3132</v>
      </c>
      <c r="C268" s="2352"/>
      <c r="D268" s="2319"/>
      <c r="E268" s="2319"/>
      <c r="F268" s="2319"/>
      <c r="G268" s="2319"/>
      <c r="H268" s="2319"/>
      <c r="I268" s="2319"/>
      <c r="J268" s="2354"/>
      <c r="K268" s="2355"/>
      <c r="L268" s="2355"/>
      <c r="M268" s="2356"/>
      <c r="N268" s="2356"/>
      <c r="O268" s="2356"/>
      <c r="P268" s="2354"/>
      <c r="Q268" s="2344"/>
      <c r="R268" s="2345"/>
      <c r="S268" s="2356"/>
      <c r="T268" s="2346"/>
      <c r="U268" s="2347"/>
      <c r="V268" s="2357"/>
      <c r="W268" s="2357"/>
      <c r="X268" s="2349"/>
      <c r="Y268" s="2358"/>
      <c r="Z268" s="2358"/>
      <c r="AA268" s="2358"/>
      <c r="AB268" s="2358"/>
      <c r="AC268" s="2359"/>
    </row>
    <row r="269" spans="1:29" s="2318" customFormat="1" ht="105" customHeight="1">
      <c r="A269" s="2336" t="str">
        <f t="shared" si="4"/>
        <v/>
      </c>
      <c r="B269" s="2337" t="s">
        <v>3133</v>
      </c>
      <c r="C269" s="2336"/>
      <c r="D269" s="2317"/>
      <c r="E269" s="2338"/>
      <c r="F269" s="2338"/>
      <c r="G269" s="2338"/>
      <c r="H269" s="2339"/>
      <c r="I269" s="2340"/>
      <c r="J269" s="2341"/>
      <c r="K269" s="2342"/>
      <c r="L269" s="2342"/>
      <c r="M269" s="2343"/>
      <c r="N269" s="2343"/>
      <c r="O269" s="2343"/>
      <c r="P269" s="2341"/>
      <c r="Q269" s="2344"/>
      <c r="R269" s="2345"/>
      <c r="S269" s="2343"/>
      <c r="T269" s="2346"/>
      <c r="U269" s="2347"/>
      <c r="V269" s="2348"/>
      <c r="W269" s="2348"/>
      <c r="X269" s="2349"/>
      <c r="Y269" s="2350"/>
      <c r="Z269" s="2350"/>
      <c r="AA269" s="2350"/>
      <c r="AB269" s="2350"/>
      <c r="AC269" s="2351"/>
    </row>
    <row r="270" spans="1:29" s="2316" customFormat="1" ht="50" customHeight="1">
      <c r="A270" s="2321">
        <f t="shared" si="4"/>
        <v>67</v>
      </c>
      <c r="B270" s="2322" t="str">
        <f>MOPFRA!Q44</f>
        <v>آلوميناي ايران</v>
      </c>
      <c r="C270" s="2321" t="str">
        <f>MOPFRA!R44</f>
        <v>آلومينا</v>
      </c>
      <c r="D270" s="2315">
        <f>MOPFRA!S44</f>
        <v>12</v>
      </c>
      <c r="E270" s="2323">
        <f>MOPFRA!BO44</f>
        <v>3</v>
      </c>
      <c r="F270" s="2323">
        <f>MOPFRA!AW44</f>
        <v>6311</v>
      </c>
      <c r="G270" s="2323">
        <f>MOPFRA!AX44</f>
        <v>1927</v>
      </c>
      <c r="H270" s="2324"/>
      <c r="I270" s="2325"/>
      <c r="J270" s="2326">
        <f>MOPFRA!BS44</f>
        <v>0</v>
      </c>
      <c r="K270" s="2327">
        <f>MOPFRA!CK44</f>
        <v>199.9769</v>
      </c>
      <c r="L270" s="2327">
        <f>MOPFRA!CN44</f>
        <v>325</v>
      </c>
      <c r="M270" s="2328">
        <f>MOPFRA!CO44</f>
        <v>1731</v>
      </c>
      <c r="N270" s="2328">
        <f>MOPFRA!CP44</f>
        <v>0</v>
      </c>
      <c r="O270" s="2328">
        <f>MOPFRA!CS44</f>
        <v>7790</v>
      </c>
      <c r="P270" s="2326">
        <f>MOPFRA!CT44</f>
        <v>0</v>
      </c>
      <c r="Q270" s="2329">
        <f>MOPFRA!CV44</f>
        <v>8009</v>
      </c>
      <c r="R270" s="2330">
        <f>MOPFRA!CW44</f>
        <v>10754</v>
      </c>
      <c r="S270" s="2328">
        <f>MOPFRA!CX44</f>
        <v>1962</v>
      </c>
      <c r="T270" s="2331">
        <f>MOPFRA!CY44</f>
        <v>649</v>
      </c>
      <c r="U270" s="2332">
        <f>MOPFRA!DE44</f>
        <v>3514</v>
      </c>
      <c r="V270" s="2323">
        <f>MOPFRA!DF44</f>
        <v>2899</v>
      </c>
      <c r="W270" s="2323">
        <f>MOPFRA!DG44</f>
        <v>0</v>
      </c>
      <c r="X270" s="2333">
        <f>MOPFRA!DH44</f>
        <v>15898</v>
      </c>
      <c r="Y270" s="2334">
        <f>MOPFRA!DK44</f>
        <v>8381</v>
      </c>
      <c r="Z270" s="2334">
        <f>MOPFRA!DL44</f>
        <v>718</v>
      </c>
      <c r="AA270" s="2334">
        <f>MOPFRA!DM44</f>
        <v>5734</v>
      </c>
      <c r="AB270" s="2334">
        <f>MOPFRA!DP44</f>
        <v>0</v>
      </c>
      <c r="AC270" s="2335">
        <f>MOPFRA!DQ44</f>
        <v>1065</v>
      </c>
    </row>
    <row r="271" spans="1:29" s="2318" customFormat="1" ht="105" customHeight="1">
      <c r="A271" s="2336" t="str">
        <f t="shared" si="4"/>
        <v/>
      </c>
      <c r="B271" s="2337"/>
      <c r="C271" s="2336"/>
      <c r="D271" s="2317"/>
      <c r="E271" s="2338"/>
      <c r="F271" s="2338"/>
      <c r="G271" s="2338"/>
      <c r="H271" s="2339"/>
      <c r="I271" s="2340"/>
      <c r="J271" s="2341"/>
      <c r="K271" s="2342"/>
      <c r="L271" s="2342"/>
      <c r="M271" s="2343"/>
      <c r="N271" s="2343"/>
      <c r="O271" s="2343"/>
      <c r="P271" s="2341"/>
      <c r="Q271" s="2344"/>
      <c r="R271" s="2345"/>
      <c r="S271" s="2343"/>
      <c r="T271" s="2346"/>
      <c r="U271" s="2347"/>
      <c r="V271" s="2348"/>
      <c r="W271" s="2348"/>
      <c r="X271" s="2349"/>
      <c r="Y271" s="2350"/>
      <c r="Z271" s="2350"/>
      <c r="AA271" s="2350"/>
      <c r="AB271" s="2350"/>
      <c r="AC271" s="2351"/>
    </row>
    <row r="272" spans="1:29" s="2318" customFormat="1" ht="70" customHeight="1">
      <c r="A272" s="2321" t="str">
        <f t="shared" si="4"/>
        <v/>
      </c>
      <c r="B272" s="2353" t="s">
        <v>3132</v>
      </c>
      <c r="C272" s="2352"/>
      <c r="D272" s="2319"/>
      <c r="E272" s="2319"/>
      <c r="F272" s="2319"/>
      <c r="G272" s="2319"/>
      <c r="H272" s="2319"/>
      <c r="I272" s="2319"/>
      <c r="J272" s="2354"/>
      <c r="K272" s="2355"/>
      <c r="L272" s="2355"/>
      <c r="M272" s="2356"/>
      <c r="N272" s="2356"/>
      <c r="O272" s="2356"/>
      <c r="P272" s="2354"/>
      <c r="Q272" s="2344"/>
      <c r="R272" s="2345"/>
      <c r="S272" s="2356"/>
      <c r="T272" s="2346"/>
      <c r="U272" s="2347"/>
      <c r="V272" s="2357"/>
      <c r="W272" s="2357"/>
      <c r="X272" s="2349"/>
      <c r="Y272" s="2358"/>
      <c r="Z272" s="2358"/>
      <c r="AA272" s="2358"/>
      <c r="AB272" s="2358"/>
      <c r="AC272" s="2359"/>
    </row>
    <row r="273" spans="1:29" s="2318" customFormat="1" ht="105" customHeight="1">
      <c r="A273" s="2336" t="str">
        <f t="shared" si="4"/>
        <v/>
      </c>
      <c r="B273" s="2337" t="s">
        <v>3133</v>
      </c>
      <c r="C273" s="2336"/>
      <c r="D273" s="2317"/>
      <c r="E273" s="2338"/>
      <c r="F273" s="2338"/>
      <c r="G273" s="2338"/>
      <c r="H273" s="2339"/>
      <c r="I273" s="2340"/>
      <c r="J273" s="2341"/>
      <c r="K273" s="2342"/>
      <c r="L273" s="2342"/>
      <c r="M273" s="2343"/>
      <c r="N273" s="2343"/>
      <c r="O273" s="2343"/>
      <c r="P273" s="2341"/>
      <c r="Q273" s="2344"/>
      <c r="R273" s="2345"/>
      <c r="S273" s="2343"/>
      <c r="T273" s="2346"/>
      <c r="U273" s="2347"/>
      <c r="V273" s="2348"/>
      <c r="W273" s="2348"/>
      <c r="X273" s="2349"/>
      <c r="Y273" s="2350"/>
      <c r="Z273" s="2350"/>
      <c r="AA273" s="2350"/>
      <c r="AB273" s="2350"/>
      <c r="AC273" s="2351"/>
    </row>
    <row r="274" spans="1:29" s="2316" customFormat="1" ht="50" customHeight="1">
      <c r="A274" s="2321">
        <f t="shared" si="4"/>
        <v>68</v>
      </c>
      <c r="B274" s="2322" t="str">
        <f>MOPFRA!Q45</f>
        <v>صبا فولاد خليج فارس</v>
      </c>
      <c r="C274" s="2321" t="str">
        <f>MOPFRA!R45</f>
        <v>فصبا</v>
      </c>
      <c r="D274" s="2315">
        <f>MOPFRA!S45</f>
        <v>9</v>
      </c>
      <c r="E274" s="2323">
        <f>MOPFRA!BO45</f>
        <v>3</v>
      </c>
      <c r="F274" s="2323">
        <f>MOPFRA!AW45</f>
        <v>11063</v>
      </c>
      <c r="G274" s="2323">
        <f>MOPFRA!AX45</f>
        <v>1061</v>
      </c>
      <c r="H274" s="2324"/>
      <c r="I274" s="2325"/>
      <c r="J274" s="2326">
        <f>MOPFRA!BS45</f>
        <v>0</v>
      </c>
      <c r="K274" s="2327">
        <f>MOPFRA!CK45</f>
        <v>5000</v>
      </c>
      <c r="L274" s="2327">
        <f>MOPFRA!CN45</f>
        <v>65</v>
      </c>
      <c r="M274" s="2328">
        <f>MOPFRA!CO45</f>
        <v>1061</v>
      </c>
      <c r="N274" s="2328">
        <f>MOPFRA!CP45</f>
        <v>0</v>
      </c>
      <c r="O274" s="2328">
        <f>MOPFRA!CS45</f>
        <v>2755</v>
      </c>
      <c r="P274" s="2326">
        <f>MOPFRA!CT45</f>
        <v>-1182</v>
      </c>
      <c r="Q274" s="2329">
        <f>MOPFRA!CV45</f>
        <v>7054</v>
      </c>
      <c r="R274" s="2330">
        <f>MOPFRA!CW45</f>
        <v>19228</v>
      </c>
      <c r="S274" s="2328">
        <f>MOPFRA!CX45</f>
        <v>7629</v>
      </c>
      <c r="T274" s="2331">
        <f>MOPFRA!CY45</f>
        <v>162</v>
      </c>
      <c r="U274" s="2332">
        <f>MOPFRA!DE45</f>
        <v>12227</v>
      </c>
      <c r="V274" s="2323">
        <f>MOPFRA!DF45</f>
        <v>11275</v>
      </c>
      <c r="W274" s="2323">
        <f>MOPFRA!DG45</f>
        <v>700</v>
      </c>
      <c r="X274" s="2333">
        <f>MOPFRA!DH45</f>
        <v>14217</v>
      </c>
      <c r="Y274" s="2334">
        <f>MOPFRA!DK45</f>
        <v>7858</v>
      </c>
      <c r="Z274" s="2334">
        <f>MOPFRA!DL45</f>
        <v>537</v>
      </c>
      <c r="AA274" s="2334">
        <f>MOPFRA!DM45</f>
        <v>4891</v>
      </c>
      <c r="AB274" s="2334">
        <f>MOPFRA!DP45</f>
        <v>42</v>
      </c>
      <c r="AC274" s="2335">
        <f>MOPFRA!DQ45</f>
        <v>889</v>
      </c>
    </row>
    <row r="275" spans="1:29" s="2318" customFormat="1" ht="105" customHeight="1">
      <c r="A275" s="2336" t="str">
        <f t="shared" si="4"/>
        <v/>
      </c>
      <c r="B275" s="2337"/>
      <c r="C275" s="2336"/>
      <c r="D275" s="2317"/>
      <c r="E275" s="2338"/>
      <c r="F275" s="2338"/>
      <c r="G275" s="2338"/>
      <c r="H275" s="2339"/>
      <c r="I275" s="2340"/>
      <c r="J275" s="2341"/>
      <c r="K275" s="2342"/>
      <c r="L275" s="2342"/>
      <c r="M275" s="2343"/>
      <c r="N275" s="2343"/>
      <c r="O275" s="2343"/>
      <c r="P275" s="2341"/>
      <c r="Q275" s="2344"/>
      <c r="R275" s="2345"/>
      <c r="S275" s="2343"/>
      <c r="T275" s="2346"/>
      <c r="U275" s="2347"/>
      <c r="V275" s="2348"/>
      <c r="W275" s="2348"/>
      <c r="X275" s="2349"/>
      <c r="Y275" s="2350"/>
      <c r="Z275" s="2350"/>
      <c r="AA275" s="2350"/>
      <c r="AB275" s="2350"/>
      <c r="AC275" s="2351"/>
    </row>
    <row r="276" spans="1:29" s="2318" customFormat="1" ht="70" customHeight="1">
      <c r="A276" s="2321" t="str">
        <f t="shared" si="4"/>
        <v/>
      </c>
      <c r="B276" s="2353" t="s">
        <v>3132</v>
      </c>
      <c r="C276" s="2352"/>
      <c r="D276" s="2319"/>
      <c r="E276" s="2319"/>
      <c r="F276" s="2319"/>
      <c r="G276" s="2319"/>
      <c r="H276" s="2319"/>
      <c r="I276" s="2319"/>
      <c r="J276" s="2354"/>
      <c r="K276" s="2355"/>
      <c r="L276" s="2355"/>
      <c r="M276" s="2356"/>
      <c r="N276" s="2356"/>
      <c r="O276" s="2356"/>
      <c r="P276" s="2354"/>
      <c r="Q276" s="2344"/>
      <c r="R276" s="2345"/>
      <c r="S276" s="2356"/>
      <c r="T276" s="2346"/>
      <c r="U276" s="2347"/>
      <c r="V276" s="2357"/>
      <c r="W276" s="2357"/>
      <c r="X276" s="2349"/>
      <c r="Y276" s="2358"/>
      <c r="Z276" s="2358"/>
      <c r="AA276" s="2358"/>
      <c r="AB276" s="2358"/>
      <c r="AC276" s="2359"/>
    </row>
    <row r="277" spans="1:29" s="2318" customFormat="1" ht="105" customHeight="1">
      <c r="A277" s="2336" t="str">
        <f t="shared" si="4"/>
        <v/>
      </c>
      <c r="B277" s="2337" t="s">
        <v>3133</v>
      </c>
      <c r="C277" s="2336"/>
      <c r="D277" s="2317"/>
      <c r="E277" s="2338"/>
      <c r="F277" s="2338"/>
      <c r="G277" s="2338"/>
      <c r="H277" s="2339"/>
      <c r="I277" s="2340"/>
      <c r="J277" s="2341"/>
      <c r="K277" s="2342"/>
      <c r="L277" s="2342"/>
      <c r="M277" s="2343"/>
      <c r="N277" s="2343"/>
      <c r="O277" s="2343"/>
      <c r="P277" s="2341"/>
      <c r="Q277" s="2344"/>
      <c r="R277" s="2345"/>
      <c r="S277" s="2343"/>
      <c r="T277" s="2346"/>
      <c r="U277" s="2347"/>
      <c r="V277" s="2348"/>
      <c r="W277" s="2348"/>
      <c r="X277" s="2349"/>
      <c r="Y277" s="2350"/>
      <c r="Z277" s="2350"/>
      <c r="AA277" s="2350"/>
      <c r="AB277" s="2350"/>
      <c r="AC277" s="2351"/>
    </row>
    <row r="278" spans="1:29" s="2316" customFormat="1" ht="50" customHeight="1">
      <c r="A278" s="2321">
        <f t="shared" si="4"/>
        <v>69</v>
      </c>
      <c r="B278" s="2360" t="str">
        <f>MOPFRA!Q46</f>
        <v>گروه‌ صنعتي‌ بارز</v>
      </c>
      <c r="C278" s="2321" t="str">
        <f>MOPFRA!R46</f>
        <v>پكرمان</v>
      </c>
      <c r="D278" s="2315">
        <f>MOPFRA!S46</f>
        <v>12</v>
      </c>
      <c r="E278" s="2323">
        <f>MOPFRA!BO46</f>
        <v>3</v>
      </c>
      <c r="F278" s="2323">
        <f>MOPFRA!AW46</f>
        <v>5869</v>
      </c>
      <c r="G278" s="2323">
        <f>MOPFRA!AX46</f>
        <v>1184</v>
      </c>
      <c r="H278" s="2324"/>
      <c r="I278" s="2325"/>
      <c r="J278" s="2326">
        <f>MOPFRA!BS46</f>
        <v>0</v>
      </c>
      <c r="K278" s="2327">
        <f>MOPFRA!CK46</f>
        <v>1969.3</v>
      </c>
      <c r="L278" s="2327">
        <f>MOPFRA!CN46</f>
        <v>17</v>
      </c>
      <c r="M278" s="2328">
        <f>MOPFRA!CO46</f>
        <v>751</v>
      </c>
      <c r="N278" s="2328">
        <f>MOPFRA!CP46</f>
        <v>-1390</v>
      </c>
      <c r="O278" s="2328">
        <f>MOPFRA!CS46</f>
        <v>2141</v>
      </c>
      <c r="P278" s="2326">
        <f>MOPFRA!CT46</f>
        <v>-11</v>
      </c>
      <c r="Q278" s="2329">
        <f>MOPFRA!CV46</f>
        <v>4201</v>
      </c>
      <c r="R278" s="2330">
        <f>MOPFRA!CW46</f>
        <v>14600</v>
      </c>
      <c r="S278" s="2328">
        <f>MOPFRA!CX46</f>
        <v>3838</v>
      </c>
      <c r="T278" s="2331">
        <f>MOPFRA!CY46</f>
        <v>760</v>
      </c>
      <c r="U278" s="2332">
        <f>MOPFRA!DE46</f>
        <v>4790</v>
      </c>
      <c r="V278" s="2323">
        <f>MOPFRA!DF46</f>
        <v>3353</v>
      </c>
      <c r="W278" s="2323">
        <f>MOPFRA!DG46</f>
        <v>1309</v>
      </c>
      <c r="X278" s="2333">
        <f>MOPFRA!DH46</f>
        <v>14771</v>
      </c>
      <c r="Y278" s="2334">
        <f>MOPFRA!DK46</f>
        <v>4918</v>
      </c>
      <c r="Z278" s="2334">
        <f>MOPFRA!DL46</f>
        <v>579</v>
      </c>
      <c r="AA278" s="2334">
        <f>MOPFRA!DM46</f>
        <v>5961</v>
      </c>
      <c r="AB278" s="2334">
        <f>MOPFRA!DP46</f>
        <v>0</v>
      </c>
      <c r="AC278" s="2335">
        <f>MOPFRA!DQ46</f>
        <v>3313</v>
      </c>
    </row>
    <row r="279" spans="1:29" s="2318" customFormat="1" ht="105" customHeight="1">
      <c r="A279" s="2336" t="str">
        <f t="shared" si="4"/>
        <v/>
      </c>
      <c r="B279" s="2337"/>
      <c r="C279" s="2336"/>
      <c r="D279" s="2317"/>
      <c r="E279" s="2338"/>
      <c r="F279" s="2338"/>
      <c r="G279" s="2338"/>
      <c r="H279" s="2339"/>
      <c r="I279" s="2340"/>
      <c r="J279" s="2341"/>
      <c r="K279" s="2342"/>
      <c r="L279" s="2342"/>
      <c r="M279" s="2343"/>
      <c r="N279" s="2343"/>
      <c r="O279" s="2343"/>
      <c r="P279" s="2341"/>
      <c r="Q279" s="2344"/>
      <c r="R279" s="2345"/>
      <c r="S279" s="2343"/>
      <c r="T279" s="2346"/>
      <c r="U279" s="2347"/>
      <c r="V279" s="2348"/>
      <c r="W279" s="2348"/>
      <c r="X279" s="2349"/>
      <c r="Y279" s="2350"/>
      <c r="Z279" s="2350"/>
      <c r="AA279" s="2350"/>
      <c r="AB279" s="2350"/>
      <c r="AC279" s="2351"/>
    </row>
    <row r="280" spans="1:29" s="2318" customFormat="1" ht="70" customHeight="1">
      <c r="A280" s="2321" t="str">
        <f t="shared" si="4"/>
        <v/>
      </c>
      <c r="B280" s="2353" t="s">
        <v>3132</v>
      </c>
      <c r="C280" s="2352"/>
      <c r="D280" s="2319"/>
      <c r="E280" s="2319"/>
      <c r="F280" s="2319"/>
      <c r="G280" s="2319"/>
      <c r="H280" s="2319"/>
      <c r="I280" s="2319"/>
      <c r="J280" s="2354"/>
      <c r="K280" s="2355"/>
      <c r="L280" s="2355"/>
      <c r="M280" s="2356"/>
      <c r="N280" s="2356"/>
      <c r="O280" s="2356"/>
      <c r="P280" s="2354"/>
      <c r="Q280" s="2344"/>
      <c r="R280" s="2345"/>
      <c r="S280" s="2356"/>
      <c r="T280" s="2346"/>
      <c r="U280" s="2347"/>
      <c r="V280" s="2357"/>
      <c r="W280" s="2357"/>
      <c r="X280" s="2349"/>
      <c r="Y280" s="2358"/>
      <c r="Z280" s="2358"/>
      <c r="AA280" s="2358"/>
      <c r="AB280" s="2358"/>
      <c r="AC280" s="2359"/>
    </row>
    <row r="281" spans="1:29" s="2318" customFormat="1" ht="105" customHeight="1">
      <c r="A281" s="2336" t="str">
        <f t="shared" si="4"/>
        <v/>
      </c>
      <c r="B281" s="2337" t="s">
        <v>3133</v>
      </c>
      <c r="C281" s="2336"/>
      <c r="D281" s="2317"/>
      <c r="E281" s="2338"/>
      <c r="F281" s="2338"/>
      <c r="G281" s="2338"/>
      <c r="H281" s="2339"/>
      <c r="I281" s="2340"/>
      <c r="J281" s="2341"/>
      <c r="K281" s="2342"/>
      <c r="L281" s="2342"/>
      <c r="M281" s="2343"/>
      <c r="N281" s="2343"/>
      <c r="O281" s="2343"/>
      <c r="P281" s="2341"/>
      <c r="Q281" s="2344"/>
      <c r="R281" s="2345"/>
      <c r="S281" s="2343"/>
      <c r="T281" s="2346"/>
      <c r="U281" s="2347"/>
      <c r="V281" s="2348"/>
      <c r="W281" s="2348"/>
      <c r="X281" s="2349"/>
      <c r="Y281" s="2350"/>
      <c r="Z281" s="2350"/>
      <c r="AA281" s="2350"/>
      <c r="AB281" s="2350"/>
      <c r="AC281" s="2351"/>
    </row>
    <row r="282" spans="1:29" s="2316" customFormat="1" ht="50" customHeight="1">
      <c r="A282" s="2321">
        <f t="shared" si="4"/>
        <v>70</v>
      </c>
      <c r="B282" s="2322" t="str">
        <f>MOPFRA!Q47</f>
        <v>معدني‌وصنعتي‌چادرملو</v>
      </c>
      <c r="C282" s="2321" t="str">
        <f>MOPFRA!R47</f>
        <v>كچاد</v>
      </c>
      <c r="D282" s="2315">
        <f>MOPFRA!S47</f>
        <v>9</v>
      </c>
      <c r="E282" s="2323">
        <f>MOPFRA!BO47</f>
        <v>3</v>
      </c>
      <c r="F282" s="2323">
        <f>MOPFRA!AW47</f>
        <v>53097</v>
      </c>
      <c r="G282" s="2323">
        <f>MOPFRA!AX47</f>
        <v>8530</v>
      </c>
      <c r="H282" s="2324"/>
      <c r="I282" s="2325"/>
      <c r="J282" s="2326">
        <f>MOPFRA!BS47</f>
        <v>0</v>
      </c>
      <c r="K282" s="2327">
        <f>MOPFRA!CK47</f>
        <v>57150</v>
      </c>
      <c r="L282" s="2327">
        <f>MOPFRA!CN47</f>
        <v>6667</v>
      </c>
      <c r="M282" s="2328">
        <f>MOPFRA!CO47</f>
        <v>13641</v>
      </c>
      <c r="N282" s="2328">
        <f>MOPFRA!CP47</f>
        <v>4100</v>
      </c>
      <c r="O282" s="2328">
        <f>MOPFRA!CS47</f>
        <v>17145</v>
      </c>
      <c r="P282" s="2326">
        <f>MOPFRA!CT47</f>
        <v>-6000</v>
      </c>
      <c r="Q282" s="2329">
        <f>MOPFRA!CV47</f>
        <v>78152</v>
      </c>
      <c r="R282" s="2330">
        <f>MOPFRA!CW47</f>
        <v>71540</v>
      </c>
      <c r="S282" s="2328">
        <f>MOPFRA!CX47</f>
        <v>6772</v>
      </c>
      <c r="T282" s="2331">
        <f>MOPFRA!CY47</f>
        <v>131</v>
      </c>
      <c r="U282" s="2332">
        <f>MOPFRA!DE47</f>
        <v>72620</v>
      </c>
      <c r="V282" s="2323">
        <f>MOPFRA!DF47</f>
        <v>27096</v>
      </c>
      <c r="W282" s="2323">
        <f>MOPFRA!DG47</f>
        <v>40726</v>
      </c>
      <c r="X282" s="2333">
        <f>MOPFRA!DH47</f>
        <v>77203</v>
      </c>
      <c r="Y282" s="2334">
        <f>MOPFRA!DK47</f>
        <v>23463</v>
      </c>
      <c r="Z282" s="2334">
        <f>MOPFRA!DL47</f>
        <v>1762</v>
      </c>
      <c r="AA282" s="2334">
        <f>MOPFRA!DM47</f>
        <v>47028</v>
      </c>
      <c r="AB282" s="2334">
        <f>MOPFRA!DP47</f>
        <v>265</v>
      </c>
      <c r="AC282" s="2335">
        <f>MOPFRA!DQ47</f>
        <v>4685</v>
      </c>
    </row>
    <row r="283" spans="1:29" s="2318" customFormat="1" ht="105" customHeight="1">
      <c r="A283" s="2336" t="str">
        <f t="shared" si="4"/>
        <v/>
      </c>
      <c r="B283" s="2337"/>
      <c r="C283" s="2336"/>
      <c r="D283" s="2317"/>
      <c r="E283" s="2338"/>
      <c r="F283" s="2338"/>
      <c r="G283" s="2338"/>
      <c r="H283" s="2339"/>
      <c r="I283" s="2340"/>
      <c r="J283" s="2341"/>
      <c r="K283" s="2342"/>
      <c r="L283" s="2342"/>
      <c r="M283" s="2343"/>
      <c r="N283" s="2343"/>
      <c r="O283" s="2343"/>
      <c r="P283" s="2341"/>
      <c r="Q283" s="2344"/>
      <c r="R283" s="2345"/>
      <c r="S283" s="2343"/>
      <c r="T283" s="2346"/>
      <c r="U283" s="2347"/>
      <c r="V283" s="2348"/>
      <c r="W283" s="2348"/>
      <c r="X283" s="2349"/>
      <c r="Y283" s="2350"/>
      <c r="Z283" s="2350"/>
      <c r="AA283" s="2350"/>
      <c r="AB283" s="2350"/>
      <c r="AC283" s="2351"/>
    </row>
    <row r="284" spans="1:29" s="2318" customFormat="1" ht="70" customHeight="1">
      <c r="A284" s="2321" t="str">
        <f t="shared" si="4"/>
        <v/>
      </c>
      <c r="B284" s="2353" t="s">
        <v>3132</v>
      </c>
      <c r="C284" s="2352"/>
      <c r="D284" s="2319"/>
      <c r="E284" s="2319"/>
      <c r="F284" s="2319"/>
      <c r="G284" s="2319"/>
      <c r="H284" s="2319"/>
      <c r="I284" s="2319"/>
      <c r="J284" s="2354"/>
      <c r="K284" s="2355"/>
      <c r="L284" s="2355"/>
      <c r="M284" s="2356"/>
      <c r="N284" s="2356"/>
      <c r="O284" s="2356"/>
      <c r="P284" s="2354"/>
      <c r="Q284" s="2344"/>
      <c r="R284" s="2345"/>
      <c r="S284" s="2356"/>
      <c r="T284" s="2346"/>
      <c r="U284" s="2347"/>
      <c r="V284" s="2357"/>
      <c r="W284" s="2357"/>
      <c r="X284" s="2349"/>
      <c r="Y284" s="2358"/>
      <c r="Z284" s="2358"/>
      <c r="AA284" s="2358"/>
      <c r="AB284" s="2358"/>
      <c r="AC284" s="2359"/>
    </row>
    <row r="285" spans="1:29" s="2318" customFormat="1" ht="105" customHeight="1">
      <c r="A285" s="2336" t="str">
        <f t="shared" si="4"/>
        <v/>
      </c>
      <c r="B285" s="2337" t="s">
        <v>3133</v>
      </c>
      <c r="C285" s="2336"/>
      <c r="D285" s="2317"/>
      <c r="E285" s="2338"/>
      <c r="F285" s="2338"/>
      <c r="G285" s="2338"/>
      <c r="H285" s="2339"/>
      <c r="I285" s="2340"/>
      <c r="J285" s="2341"/>
      <c r="K285" s="2342"/>
      <c r="L285" s="2342"/>
      <c r="M285" s="2343"/>
      <c r="N285" s="2343"/>
      <c r="O285" s="2343"/>
      <c r="P285" s="2341"/>
      <c r="Q285" s="2344"/>
      <c r="R285" s="2345"/>
      <c r="S285" s="2343"/>
      <c r="T285" s="2346"/>
      <c r="U285" s="2347"/>
      <c r="V285" s="2348"/>
      <c r="W285" s="2348"/>
      <c r="X285" s="2349"/>
      <c r="Y285" s="2350"/>
      <c r="Z285" s="2350"/>
      <c r="AA285" s="2350"/>
      <c r="AB285" s="2350"/>
      <c r="AC285" s="2351"/>
    </row>
    <row r="286" spans="1:29" s="2316" customFormat="1" ht="50" customHeight="1">
      <c r="A286" s="2321">
        <f t="shared" si="4"/>
        <v>71</v>
      </c>
      <c r="B286" s="2322" t="str">
        <f>MOPFRA!Q48</f>
        <v>گلتاش‌</v>
      </c>
      <c r="C286" s="2321" t="str">
        <f>MOPFRA!R48</f>
        <v>شگل</v>
      </c>
      <c r="D286" s="2315">
        <f>MOPFRA!S48</f>
        <v>9</v>
      </c>
      <c r="E286" s="2323">
        <f>MOPFRA!BO48</f>
        <v>3</v>
      </c>
      <c r="F286" s="2323">
        <f>MOPFRA!AW48</f>
        <v>3048</v>
      </c>
      <c r="G286" s="2323">
        <f>MOPFRA!AX48</f>
        <v>686</v>
      </c>
      <c r="H286" s="2324"/>
      <c r="I286" s="2325"/>
      <c r="J286" s="2326">
        <f>MOPFRA!BS48</f>
        <v>0</v>
      </c>
      <c r="K286" s="2327">
        <f>MOPFRA!CK48</f>
        <v>1700</v>
      </c>
      <c r="L286" s="2327">
        <f>MOPFRA!CN48</f>
        <v>14</v>
      </c>
      <c r="M286" s="2328">
        <f>MOPFRA!CO48</f>
        <v>462</v>
      </c>
      <c r="N286" s="2328">
        <f>MOPFRA!CP48</f>
        <v>0</v>
      </c>
      <c r="O286" s="2328">
        <f>MOPFRA!CS48</f>
        <v>472</v>
      </c>
      <c r="P286" s="2326">
        <f>MOPFRA!CT48</f>
        <v>-100</v>
      </c>
      <c r="Q286" s="2329">
        <f>MOPFRA!CV48</f>
        <v>2234</v>
      </c>
      <c r="R286" s="2330">
        <f>MOPFRA!CW48</f>
        <v>2449</v>
      </c>
      <c r="S286" s="2328">
        <f>MOPFRA!CX48</f>
        <v>1015</v>
      </c>
      <c r="T286" s="2331">
        <f>MOPFRA!CY48</f>
        <v>90</v>
      </c>
      <c r="U286" s="2332">
        <f>MOPFRA!DE48</f>
        <v>1512</v>
      </c>
      <c r="V286" s="2323">
        <f>MOPFRA!DF48</f>
        <v>163</v>
      </c>
      <c r="W286" s="2323">
        <f>MOPFRA!DG48</f>
        <v>719</v>
      </c>
      <c r="X286" s="2333">
        <f>MOPFRA!DH48</f>
        <v>3261</v>
      </c>
      <c r="Y286" s="2334">
        <f>MOPFRA!DK48</f>
        <v>881</v>
      </c>
      <c r="Z286" s="2334">
        <f>MOPFRA!DL48</f>
        <v>76</v>
      </c>
      <c r="AA286" s="2334">
        <f>MOPFRA!DM48</f>
        <v>2073</v>
      </c>
      <c r="AB286" s="2334">
        <f>MOPFRA!DP48</f>
        <v>3</v>
      </c>
      <c r="AC286" s="2335">
        <f>MOPFRA!DQ48</f>
        <v>228</v>
      </c>
    </row>
    <row r="287" spans="1:29" s="2318" customFormat="1" ht="105" customHeight="1">
      <c r="A287" s="2336" t="str">
        <f t="shared" si="4"/>
        <v/>
      </c>
      <c r="B287" s="2337"/>
      <c r="C287" s="2336"/>
      <c r="D287" s="2317"/>
      <c r="E287" s="2338"/>
      <c r="F287" s="2338"/>
      <c r="G287" s="2338"/>
      <c r="H287" s="2339"/>
      <c r="I287" s="2340"/>
      <c r="J287" s="2341"/>
      <c r="K287" s="2342"/>
      <c r="L287" s="2342"/>
      <c r="M287" s="2343"/>
      <c r="N287" s="2343"/>
      <c r="O287" s="2343"/>
      <c r="P287" s="2341"/>
      <c r="Q287" s="2344"/>
      <c r="R287" s="2345"/>
      <c r="S287" s="2343"/>
      <c r="T287" s="2346"/>
      <c r="U287" s="2347"/>
      <c r="V287" s="2348"/>
      <c r="W287" s="2348"/>
      <c r="X287" s="2349"/>
      <c r="Y287" s="2350"/>
      <c r="Z287" s="2350"/>
      <c r="AA287" s="2350"/>
      <c r="AB287" s="2350"/>
      <c r="AC287" s="2351"/>
    </row>
    <row r="288" spans="1:29" s="2318" customFormat="1" ht="70" customHeight="1">
      <c r="A288" s="2321" t="str">
        <f t="shared" si="4"/>
        <v/>
      </c>
      <c r="B288" s="2353" t="s">
        <v>3132</v>
      </c>
      <c r="C288" s="2352"/>
      <c r="D288" s="2319"/>
      <c r="E288" s="2319"/>
      <c r="F288" s="2319"/>
      <c r="G288" s="2319"/>
      <c r="H288" s="2319"/>
      <c r="I288" s="2319"/>
      <c r="J288" s="2354"/>
      <c r="K288" s="2355"/>
      <c r="L288" s="2355"/>
      <c r="M288" s="2356"/>
      <c r="N288" s="2356"/>
      <c r="O288" s="2356"/>
      <c r="P288" s="2354"/>
      <c r="Q288" s="2344"/>
      <c r="R288" s="2345"/>
      <c r="S288" s="2356"/>
      <c r="T288" s="2346"/>
      <c r="U288" s="2347"/>
      <c r="V288" s="2357"/>
      <c r="W288" s="2357"/>
      <c r="X288" s="2349"/>
      <c r="Y288" s="2358"/>
      <c r="Z288" s="2358"/>
      <c r="AA288" s="2358"/>
      <c r="AB288" s="2358"/>
      <c r="AC288" s="2359"/>
    </row>
    <row r="289" spans="1:29" s="2318" customFormat="1" ht="105" customHeight="1">
      <c r="A289" s="2336" t="str">
        <f t="shared" si="4"/>
        <v/>
      </c>
      <c r="B289" s="2337" t="s">
        <v>3133</v>
      </c>
      <c r="C289" s="2336"/>
      <c r="D289" s="2317"/>
      <c r="E289" s="2338"/>
      <c r="F289" s="2338"/>
      <c r="G289" s="2338"/>
      <c r="H289" s="2339"/>
      <c r="I289" s="2340"/>
      <c r="J289" s="2341"/>
      <c r="K289" s="2342"/>
      <c r="L289" s="2342"/>
      <c r="M289" s="2343"/>
      <c r="N289" s="2343"/>
      <c r="O289" s="2343"/>
      <c r="P289" s="2341"/>
      <c r="Q289" s="2344"/>
      <c r="R289" s="2345"/>
      <c r="S289" s="2343"/>
      <c r="T289" s="2346"/>
      <c r="U289" s="2347"/>
      <c r="V289" s="2348"/>
      <c r="W289" s="2348"/>
      <c r="X289" s="2349"/>
      <c r="Y289" s="2350"/>
      <c r="Z289" s="2350"/>
      <c r="AA289" s="2350"/>
      <c r="AB289" s="2350"/>
      <c r="AC289" s="2351"/>
    </row>
    <row r="290" spans="1:29" s="2316" customFormat="1" ht="50" customHeight="1">
      <c r="A290" s="2321">
        <f t="shared" si="4"/>
        <v>72</v>
      </c>
      <c r="B290" s="2322" t="str">
        <f>MOPFRA!Q49</f>
        <v>فولاد مباركه اصفهان</v>
      </c>
      <c r="C290" s="2321" t="str">
        <f>MOPFRA!R49</f>
        <v>فولاد</v>
      </c>
      <c r="D290" s="2315">
        <f>MOPFRA!S49</f>
        <v>12</v>
      </c>
      <c r="E290" s="2323">
        <f>MOPFRA!BO49</f>
        <v>3</v>
      </c>
      <c r="F290" s="2323">
        <f>MOPFRA!AW49</f>
        <v>83417</v>
      </c>
      <c r="G290" s="2323">
        <f>MOPFRA!AX49</f>
        <v>19800</v>
      </c>
      <c r="H290" s="2324"/>
      <c r="I290" s="2325"/>
      <c r="J290" s="2326">
        <f>MOPFRA!BS49</f>
        <v>0</v>
      </c>
      <c r="K290" s="2327">
        <f>MOPFRA!CK49</f>
        <v>193500</v>
      </c>
      <c r="L290" s="2327">
        <f>MOPFRA!CN49</f>
        <v>-581</v>
      </c>
      <c r="M290" s="2328">
        <f>MOPFRA!CO49</f>
        <v>12036</v>
      </c>
      <c r="N290" s="2328">
        <f>MOPFRA!CP49</f>
        <v>23998</v>
      </c>
      <c r="O290" s="2328">
        <f>MOPFRA!CS49</f>
        <v>100048</v>
      </c>
      <c r="P290" s="2326">
        <f>MOPFRA!CT49</f>
        <v>-2984</v>
      </c>
      <c r="Q290" s="2329">
        <f>MOPFRA!CV49</f>
        <v>338162</v>
      </c>
      <c r="R290" s="2330">
        <f>MOPFRA!CW49</f>
        <v>246247</v>
      </c>
      <c r="S290" s="2328">
        <f>MOPFRA!CX49</f>
        <v>81869</v>
      </c>
      <c r="T290" s="2331">
        <f>MOPFRA!CY49</f>
        <v>43420</v>
      </c>
      <c r="U290" s="2332">
        <f>MOPFRA!DE49</f>
        <v>226327</v>
      </c>
      <c r="V290" s="2323">
        <f>MOPFRA!DF49</f>
        <v>112643</v>
      </c>
      <c r="W290" s="2323">
        <f>MOPFRA!DG49</f>
        <v>97784</v>
      </c>
      <c r="X290" s="2333">
        <f>MOPFRA!DH49</f>
        <v>401502</v>
      </c>
      <c r="Y290" s="2334">
        <f>MOPFRA!DK49</f>
        <v>109464</v>
      </c>
      <c r="Z290" s="2334">
        <f>MOPFRA!DL49</f>
        <v>50066</v>
      </c>
      <c r="AA290" s="2334">
        <f>MOPFRA!DM49</f>
        <v>172196</v>
      </c>
      <c r="AB290" s="2334">
        <f>MOPFRA!DP49</f>
        <v>42630</v>
      </c>
      <c r="AC290" s="2335">
        <f>MOPFRA!DQ49</f>
        <v>27146</v>
      </c>
    </row>
    <row r="291" spans="1:29" s="2318" customFormat="1" ht="105" customHeight="1">
      <c r="A291" s="2336" t="str">
        <f t="shared" si="4"/>
        <v/>
      </c>
      <c r="B291" s="2337"/>
      <c r="C291" s="2336"/>
      <c r="D291" s="2317"/>
      <c r="E291" s="2338"/>
      <c r="F291" s="2338"/>
      <c r="G291" s="2338"/>
      <c r="H291" s="2339"/>
      <c r="I291" s="2340"/>
      <c r="J291" s="2341"/>
      <c r="K291" s="2342"/>
      <c r="L291" s="2342"/>
      <c r="M291" s="2343"/>
      <c r="N291" s="2343"/>
      <c r="O291" s="2343"/>
      <c r="P291" s="2341"/>
      <c r="Q291" s="2344"/>
      <c r="R291" s="2345"/>
      <c r="S291" s="2343"/>
      <c r="T291" s="2346"/>
      <c r="U291" s="2347"/>
      <c r="V291" s="2348"/>
      <c r="W291" s="2348"/>
      <c r="X291" s="2349"/>
      <c r="Y291" s="2350"/>
      <c r="Z291" s="2350"/>
      <c r="AA291" s="2350"/>
      <c r="AB291" s="2350"/>
      <c r="AC291" s="2351"/>
    </row>
    <row r="292" spans="1:29" s="2318" customFormat="1" ht="70" customHeight="1">
      <c r="A292" s="2321" t="str">
        <f t="shared" si="4"/>
        <v/>
      </c>
      <c r="B292" s="2353" t="s">
        <v>3132</v>
      </c>
      <c r="C292" s="2352"/>
      <c r="D292" s="2319"/>
      <c r="E292" s="2319"/>
      <c r="F292" s="2319"/>
      <c r="G292" s="2319"/>
      <c r="H292" s="2319"/>
      <c r="I292" s="2319"/>
      <c r="J292" s="2354"/>
      <c r="K292" s="2355"/>
      <c r="L292" s="2355"/>
      <c r="M292" s="2356"/>
      <c r="N292" s="2356"/>
      <c r="O292" s="2356"/>
      <c r="P292" s="2354"/>
      <c r="Q292" s="2344"/>
      <c r="R292" s="2345"/>
      <c r="S292" s="2356"/>
      <c r="T292" s="2346"/>
      <c r="U292" s="2347"/>
      <c r="V292" s="2357"/>
      <c r="W292" s="2357"/>
      <c r="X292" s="2349"/>
      <c r="Y292" s="2358"/>
      <c r="Z292" s="2358"/>
      <c r="AA292" s="2358"/>
      <c r="AB292" s="2358"/>
      <c r="AC292" s="2359"/>
    </row>
    <row r="293" spans="1:29" s="2318" customFormat="1" ht="105" customHeight="1">
      <c r="A293" s="2336" t="str">
        <f t="shared" si="4"/>
        <v/>
      </c>
      <c r="B293" s="2337" t="s">
        <v>3133</v>
      </c>
      <c r="C293" s="2336"/>
      <c r="D293" s="2317"/>
      <c r="E293" s="2338"/>
      <c r="F293" s="2338"/>
      <c r="G293" s="2338"/>
      <c r="H293" s="2339"/>
      <c r="I293" s="2340"/>
      <c r="J293" s="2341"/>
      <c r="K293" s="2342"/>
      <c r="L293" s="2342"/>
      <c r="M293" s="2343"/>
      <c r="N293" s="2343"/>
      <c r="O293" s="2343"/>
      <c r="P293" s="2341"/>
      <c r="Q293" s="2344"/>
      <c r="R293" s="2345"/>
      <c r="S293" s="2343"/>
      <c r="T293" s="2346"/>
      <c r="U293" s="2347"/>
      <c r="V293" s="2348"/>
      <c r="W293" s="2348"/>
      <c r="X293" s="2349"/>
      <c r="Y293" s="2350"/>
      <c r="Z293" s="2350"/>
      <c r="AA293" s="2350"/>
      <c r="AB293" s="2350"/>
      <c r="AC293" s="2351"/>
    </row>
    <row r="294" spans="1:29" s="2316" customFormat="1" ht="50" customHeight="1">
      <c r="A294" s="2321">
        <f t="shared" si="4"/>
        <v>73</v>
      </c>
      <c r="B294" s="2322" t="str">
        <f>MOPFRA!Q50</f>
        <v>مس‌ شهيدباهنر</v>
      </c>
      <c r="C294" s="2321" t="str">
        <f>MOPFRA!R50</f>
        <v>فباهنر</v>
      </c>
      <c r="D294" s="2315">
        <f>MOPFRA!S50</f>
        <v>12</v>
      </c>
      <c r="E294" s="2323">
        <f>MOPFRA!BO50</f>
        <v>3</v>
      </c>
      <c r="F294" s="2323">
        <f>MOPFRA!AW50</f>
        <v>7038</v>
      </c>
      <c r="G294" s="2323">
        <f>MOPFRA!AX50</f>
        <v>1927</v>
      </c>
      <c r="H294" s="2324"/>
      <c r="I294" s="2325"/>
      <c r="J294" s="2326">
        <f>MOPFRA!BS50</f>
        <v>0</v>
      </c>
      <c r="K294" s="2327">
        <f>MOPFRA!CK50</f>
        <v>2458.3332</v>
      </c>
      <c r="L294" s="2327">
        <f>MOPFRA!CN50</f>
        <v>148</v>
      </c>
      <c r="M294" s="2328">
        <f>MOPFRA!CO50</f>
        <v>695</v>
      </c>
      <c r="N294" s="2328">
        <f>MOPFRA!CP50</f>
        <v>0</v>
      </c>
      <c r="O294" s="2328">
        <f>MOPFRA!CS50</f>
        <v>1648</v>
      </c>
      <c r="P294" s="2326">
        <f>MOPFRA!CT50</f>
        <v>0</v>
      </c>
      <c r="Q294" s="2329">
        <f>MOPFRA!CV50</f>
        <v>4352</v>
      </c>
      <c r="R294" s="2330">
        <f>MOPFRA!CW50</f>
        <v>17721</v>
      </c>
      <c r="S294" s="2328">
        <f>MOPFRA!CX50</f>
        <v>3338</v>
      </c>
      <c r="T294" s="2331">
        <f>MOPFRA!CY50</f>
        <v>364</v>
      </c>
      <c r="U294" s="2332">
        <f>MOPFRA!DE50</f>
        <v>2530</v>
      </c>
      <c r="V294" s="2323">
        <f>MOPFRA!DF50</f>
        <v>2492</v>
      </c>
      <c r="W294" s="2323">
        <f>MOPFRA!DG50</f>
        <v>27</v>
      </c>
      <c r="X294" s="2333">
        <f>MOPFRA!DH50</f>
        <v>19907</v>
      </c>
      <c r="Y294" s="2334">
        <f>MOPFRA!DK50</f>
        <v>15139</v>
      </c>
      <c r="Z294" s="2334">
        <f>MOPFRA!DL50</f>
        <v>611</v>
      </c>
      <c r="AA294" s="2334">
        <f>MOPFRA!DM50</f>
        <v>3695</v>
      </c>
      <c r="AB294" s="2334">
        <f>MOPFRA!DP50</f>
        <v>0</v>
      </c>
      <c r="AC294" s="2335">
        <f>MOPFRA!DQ50</f>
        <v>462</v>
      </c>
    </row>
    <row r="295" spans="1:29" s="2318" customFormat="1" ht="105" customHeight="1">
      <c r="A295" s="2336" t="str">
        <f t="shared" si="4"/>
        <v/>
      </c>
      <c r="B295" s="2337"/>
      <c r="C295" s="2336"/>
      <c r="D295" s="2317"/>
      <c r="E295" s="2338"/>
      <c r="F295" s="2338"/>
      <c r="G295" s="2338"/>
      <c r="H295" s="2339"/>
      <c r="I295" s="2340"/>
      <c r="J295" s="2341"/>
      <c r="K295" s="2342"/>
      <c r="L295" s="2342"/>
      <c r="M295" s="2343"/>
      <c r="N295" s="2343"/>
      <c r="O295" s="2343"/>
      <c r="P295" s="2341"/>
      <c r="Q295" s="2344"/>
      <c r="R295" s="2345"/>
      <c r="S295" s="2343"/>
      <c r="T295" s="2346"/>
      <c r="U295" s="2347"/>
      <c r="V295" s="2348"/>
      <c r="W295" s="2348"/>
      <c r="X295" s="2349"/>
      <c r="Y295" s="2350"/>
      <c r="Z295" s="2350"/>
      <c r="AA295" s="2350"/>
      <c r="AB295" s="2350"/>
      <c r="AC295" s="2351"/>
    </row>
    <row r="296" spans="1:29" s="2318" customFormat="1" ht="70" customHeight="1">
      <c r="A296" s="2321" t="str">
        <f t="shared" si="4"/>
        <v/>
      </c>
      <c r="B296" s="2353" t="s">
        <v>3132</v>
      </c>
      <c r="C296" s="2352"/>
      <c r="D296" s="2319"/>
      <c r="E296" s="2319"/>
      <c r="F296" s="2319"/>
      <c r="G296" s="2319"/>
      <c r="H296" s="2319"/>
      <c r="I296" s="2319"/>
      <c r="J296" s="2354"/>
      <c r="K296" s="2355"/>
      <c r="L296" s="2355"/>
      <c r="M296" s="2356"/>
      <c r="N296" s="2356"/>
      <c r="O296" s="2356"/>
      <c r="P296" s="2354"/>
      <c r="Q296" s="2344"/>
      <c r="R296" s="2345"/>
      <c r="S296" s="2356"/>
      <c r="T296" s="2346"/>
      <c r="U296" s="2347"/>
      <c r="V296" s="2357"/>
      <c r="W296" s="2357"/>
      <c r="X296" s="2349"/>
      <c r="Y296" s="2358"/>
      <c r="Z296" s="2358"/>
      <c r="AA296" s="2358"/>
      <c r="AB296" s="2358"/>
      <c r="AC296" s="2359"/>
    </row>
    <row r="297" spans="1:29" s="2318" customFormat="1" ht="105" customHeight="1">
      <c r="A297" s="2336" t="str">
        <f t="shared" si="4"/>
        <v/>
      </c>
      <c r="B297" s="2337" t="s">
        <v>3133</v>
      </c>
      <c r="C297" s="2336"/>
      <c r="D297" s="2317"/>
      <c r="E297" s="2338"/>
      <c r="F297" s="2338"/>
      <c r="G297" s="2338"/>
      <c r="H297" s="2339"/>
      <c r="I297" s="2340"/>
      <c r="J297" s="2341"/>
      <c r="K297" s="2342"/>
      <c r="L297" s="2342"/>
      <c r="M297" s="2343"/>
      <c r="N297" s="2343"/>
      <c r="O297" s="2343"/>
      <c r="P297" s="2341"/>
      <c r="Q297" s="2344"/>
      <c r="R297" s="2345"/>
      <c r="S297" s="2343"/>
      <c r="T297" s="2346"/>
      <c r="U297" s="2347"/>
      <c r="V297" s="2348"/>
      <c r="W297" s="2348"/>
      <c r="X297" s="2349"/>
      <c r="Y297" s="2350"/>
      <c r="Z297" s="2350"/>
      <c r="AA297" s="2350"/>
      <c r="AB297" s="2350"/>
      <c r="AC297" s="2351"/>
    </row>
    <row r="298" spans="1:29" s="2316" customFormat="1" ht="50" customHeight="1">
      <c r="A298" s="2321">
        <f t="shared" si="4"/>
        <v>74</v>
      </c>
      <c r="B298" s="2322" t="str">
        <f>MOPFRA!Q51</f>
        <v>توسعه فن افزار توسن</v>
      </c>
      <c r="C298" s="2321" t="str">
        <f>MOPFRA!R51</f>
        <v>فن‌ افزار</v>
      </c>
      <c r="D298" s="2315">
        <f>MOPFRA!S51</f>
        <v>9</v>
      </c>
      <c r="E298" s="2323">
        <f>MOPFRA!BO51</f>
        <v>3</v>
      </c>
      <c r="F298" s="2323">
        <f>MOPFRA!AW51</f>
        <v>4384</v>
      </c>
      <c r="G298" s="2323">
        <f>MOPFRA!AX51</f>
        <v>699</v>
      </c>
      <c r="H298" s="2324"/>
      <c r="I298" s="2325"/>
      <c r="J298" s="2326">
        <f>MOPFRA!BS51</f>
        <v>0</v>
      </c>
      <c r="K298" s="2327">
        <f>MOPFRA!CK51</f>
        <v>600</v>
      </c>
      <c r="L298" s="2327">
        <f>MOPFRA!CN51</f>
        <v>7</v>
      </c>
      <c r="M298" s="2328">
        <f>MOPFRA!CO51</f>
        <v>477</v>
      </c>
      <c r="N298" s="2328">
        <f>MOPFRA!CP51</f>
        <v>-8</v>
      </c>
      <c r="O298" s="2328">
        <f>MOPFRA!CS51</f>
        <v>726</v>
      </c>
      <c r="P298" s="2326">
        <f>MOPFRA!CT51</f>
        <v>0</v>
      </c>
      <c r="Q298" s="2329">
        <f>MOPFRA!CV51</f>
        <v>1386</v>
      </c>
      <c r="R298" s="2330">
        <f>MOPFRA!CW51</f>
        <v>3738</v>
      </c>
      <c r="S298" s="2328">
        <f>MOPFRA!CX51</f>
        <v>958</v>
      </c>
      <c r="T298" s="2331">
        <f>MOPFRA!CY51</f>
        <v>557</v>
      </c>
      <c r="U298" s="2332">
        <f>MOPFRA!DE51</f>
        <v>1294</v>
      </c>
      <c r="V298" s="2323">
        <f>MOPFRA!DF51</f>
        <v>587</v>
      </c>
      <c r="W298" s="2323">
        <f>MOPFRA!DG51</f>
        <v>119</v>
      </c>
      <c r="X298" s="2333">
        <f>MOPFRA!DH51</f>
        <v>4387</v>
      </c>
      <c r="Y298" s="2334">
        <f>MOPFRA!DK51</f>
        <v>2201</v>
      </c>
      <c r="Z298" s="2334">
        <f>MOPFRA!DL51</f>
        <v>210</v>
      </c>
      <c r="AA298" s="2334">
        <f>MOPFRA!DM51</f>
        <v>1046</v>
      </c>
      <c r="AB298" s="2334">
        <f>MOPFRA!DP51</f>
        <v>354</v>
      </c>
      <c r="AC298" s="2335">
        <f>MOPFRA!DQ51</f>
        <v>576</v>
      </c>
    </row>
    <row r="299" spans="1:29" s="2318" customFormat="1" ht="105" customHeight="1">
      <c r="A299" s="2336" t="str">
        <f t="shared" si="4"/>
        <v/>
      </c>
      <c r="B299" s="2337"/>
      <c r="C299" s="2336"/>
      <c r="D299" s="2317"/>
      <c r="E299" s="2338"/>
      <c r="F299" s="2338"/>
      <c r="G299" s="2338"/>
      <c r="H299" s="2339"/>
      <c r="I299" s="2340"/>
      <c r="J299" s="2341"/>
      <c r="K299" s="2342"/>
      <c r="L299" s="2342"/>
      <c r="M299" s="2343"/>
      <c r="N299" s="2343"/>
      <c r="O299" s="2343"/>
      <c r="P299" s="2341"/>
      <c r="Q299" s="2344"/>
      <c r="R299" s="2345"/>
      <c r="S299" s="2343"/>
      <c r="T299" s="2346"/>
      <c r="U299" s="2347"/>
      <c r="V299" s="2348"/>
      <c r="W299" s="2348"/>
      <c r="X299" s="2349"/>
      <c r="Y299" s="2350"/>
      <c r="Z299" s="2350"/>
      <c r="AA299" s="2350"/>
      <c r="AB299" s="2350"/>
      <c r="AC299" s="2351"/>
    </row>
    <row r="300" spans="1:29" s="2318" customFormat="1" ht="70" customHeight="1">
      <c r="A300" s="2321" t="str">
        <f t="shared" si="4"/>
        <v/>
      </c>
      <c r="B300" s="2353" t="s">
        <v>3132</v>
      </c>
      <c r="C300" s="2352"/>
      <c r="D300" s="2319"/>
      <c r="E300" s="2319"/>
      <c r="F300" s="2319"/>
      <c r="G300" s="2319"/>
      <c r="H300" s="2319"/>
      <c r="I300" s="2319"/>
      <c r="J300" s="2354"/>
      <c r="K300" s="2355"/>
      <c r="L300" s="2355"/>
      <c r="M300" s="2356"/>
      <c r="N300" s="2356"/>
      <c r="O300" s="2356"/>
      <c r="P300" s="2354"/>
      <c r="Q300" s="2344"/>
      <c r="R300" s="2345"/>
      <c r="S300" s="2356"/>
      <c r="T300" s="2346"/>
      <c r="U300" s="2347"/>
      <c r="V300" s="2357"/>
      <c r="W300" s="2357"/>
      <c r="X300" s="2349"/>
      <c r="Y300" s="2358"/>
      <c r="Z300" s="2358"/>
      <c r="AA300" s="2358"/>
      <c r="AB300" s="2358"/>
      <c r="AC300" s="2359"/>
    </row>
    <row r="301" spans="1:29" s="2318" customFormat="1" ht="105" customHeight="1">
      <c r="A301" s="2336" t="str">
        <f t="shared" si="4"/>
        <v/>
      </c>
      <c r="B301" s="2337" t="s">
        <v>3133</v>
      </c>
      <c r="C301" s="2336"/>
      <c r="D301" s="2317"/>
      <c r="E301" s="2338"/>
      <c r="F301" s="2338"/>
      <c r="G301" s="2338"/>
      <c r="H301" s="2339"/>
      <c r="I301" s="2340"/>
      <c r="J301" s="2341"/>
      <c r="K301" s="2342"/>
      <c r="L301" s="2342"/>
      <c r="M301" s="2343"/>
      <c r="N301" s="2343"/>
      <c r="O301" s="2343"/>
      <c r="P301" s="2341"/>
      <c r="Q301" s="2344"/>
      <c r="R301" s="2345"/>
      <c r="S301" s="2343"/>
      <c r="T301" s="2346"/>
      <c r="U301" s="2347"/>
      <c r="V301" s="2348"/>
      <c r="W301" s="2348"/>
      <c r="X301" s="2349"/>
      <c r="Y301" s="2350"/>
      <c r="Z301" s="2350"/>
      <c r="AA301" s="2350"/>
      <c r="AB301" s="2350"/>
      <c r="AC301" s="2351"/>
    </row>
    <row r="302" spans="1:29" s="2316" customFormat="1" ht="50" customHeight="1">
      <c r="A302" s="2321">
        <f t="shared" si="4"/>
        <v>75</v>
      </c>
      <c r="B302" s="2322" t="str">
        <f>MOPFRA!Q52</f>
        <v>پتروشيمي مارون</v>
      </c>
      <c r="C302" s="2321" t="str">
        <f>MOPFRA!R52</f>
        <v>مارون</v>
      </c>
      <c r="D302" s="2315">
        <f>MOPFRA!S52</f>
        <v>12</v>
      </c>
      <c r="E302" s="2323">
        <f>MOPFRA!BO52</f>
        <v>3</v>
      </c>
      <c r="F302" s="2323">
        <f>MOPFRA!AW52</f>
        <v>17638</v>
      </c>
      <c r="G302" s="2323">
        <f>MOPFRA!AX52</f>
        <v>3554</v>
      </c>
      <c r="H302" s="2324"/>
      <c r="I302" s="2325"/>
      <c r="J302" s="2326">
        <f>MOPFRA!BS52</f>
        <v>0</v>
      </c>
      <c r="K302" s="2327">
        <f>MOPFRA!CK52</f>
        <v>2300</v>
      </c>
      <c r="L302" s="2327">
        <f>MOPFRA!CN52</f>
        <v>527</v>
      </c>
      <c r="M302" s="2328">
        <f>MOPFRA!CO52</f>
        <v>1915</v>
      </c>
      <c r="N302" s="2328">
        <f>MOPFRA!CP52</f>
        <v>-1756</v>
      </c>
      <c r="O302" s="2328">
        <f>MOPFRA!CS52</f>
        <v>32152</v>
      </c>
      <c r="P302" s="2326">
        <f>MOPFRA!CT52</f>
        <v>-56</v>
      </c>
      <c r="Q302" s="2329">
        <f>MOPFRA!CV52</f>
        <v>34626</v>
      </c>
      <c r="R302" s="2330">
        <f>MOPFRA!CW52</f>
        <v>86979</v>
      </c>
      <c r="S302" s="2328">
        <f>MOPFRA!CX52</f>
        <v>38863</v>
      </c>
      <c r="T302" s="2331">
        <f>MOPFRA!CY52</f>
        <v>2735</v>
      </c>
      <c r="U302" s="2332">
        <f>MOPFRA!DE52</f>
        <v>65010</v>
      </c>
      <c r="V302" s="2323">
        <f>MOPFRA!DF52</f>
        <v>22824</v>
      </c>
      <c r="W302" s="2323">
        <f>MOPFRA!DG52</f>
        <v>21845</v>
      </c>
      <c r="X302" s="2333">
        <f>MOPFRA!DH52</f>
        <v>59330</v>
      </c>
      <c r="Y302" s="2334">
        <f>MOPFRA!DK52</f>
        <v>13102</v>
      </c>
      <c r="Z302" s="2334">
        <f>MOPFRA!DL52</f>
        <v>9240</v>
      </c>
      <c r="AA302" s="2334">
        <f>MOPFRA!DM52</f>
        <v>24058</v>
      </c>
      <c r="AB302" s="2334">
        <f>MOPFRA!DP52</f>
        <v>7679</v>
      </c>
      <c r="AC302" s="2335">
        <f>MOPFRA!DQ52</f>
        <v>5251</v>
      </c>
    </row>
    <row r="303" spans="1:29" s="2318" customFormat="1" ht="105" customHeight="1">
      <c r="A303" s="2336" t="str">
        <f t="shared" si="4"/>
        <v/>
      </c>
      <c r="B303" s="2337"/>
      <c r="C303" s="2336"/>
      <c r="D303" s="2317"/>
      <c r="E303" s="2338"/>
      <c r="F303" s="2338"/>
      <c r="G303" s="2338"/>
      <c r="H303" s="2339"/>
      <c r="I303" s="2340"/>
      <c r="J303" s="2341"/>
      <c r="K303" s="2342"/>
      <c r="L303" s="2342"/>
      <c r="M303" s="2343"/>
      <c r="N303" s="2343"/>
      <c r="O303" s="2343"/>
      <c r="P303" s="2341"/>
      <c r="Q303" s="2344"/>
      <c r="R303" s="2345"/>
      <c r="S303" s="2343"/>
      <c r="T303" s="2346"/>
      <c r="U303" s="2347"/>
      <c r="V303" s="2348"/>
      <c r="W303" s="2348"/>
      <c r="X303" s="2349"/>
      <c r="Y303" s="2350"/>
      <c r="Z303" s="2350"/>
      <c r="AA303" s="2350"/>
      <c r="AB303" s="2350"/>
      <c r="AC303" s="2351"/>
    </row>
    <row r="304" spans="1:29" s="2318" customFormat="1" ht="70" customHeight="1">
      <c r="A304" s="2321" t="str">
        <f t="shared" si="4"/>
        <v/>
      </c>
      <c r="B304" s="2353" t="s">
        <v>3132</v>
      </c>
      <c r="C304" s="2352"/>
      <c r="D304" s="2319"/>
      <c r="E304" s="2319"/>
      <c r="F304" s="2319"/>
      <c r="G304" s="2319"/>
      <c r="H304" s="2319"/>
      <c r="I304" s="2319"/>
      <c r="J304" s="2354"/>
      <c r="K304" s="2355"/>
      <c r="L304" s="2355"/>
      <c r="M304" s="2356"/>
      <c r="N304" s="2356"/>
      <c r="O304" s="2356"/>
      <c r="P304" s="2354"/>
      <c r="Q304" s="2344"/>
      <c r="R304" s="2345"/>
      <c r="S304" s="2356"/>
      <c r="T304" s="2346"/>
      <c r="U304" s="2347"/>
      <c r="V304" s="2357"/>
      <c r="W304" s="2357"/>
      <c r="X304" s="2349"/>
      <c r="Y304" s="2358"/>
      <c r="Z304" s="2358"/>
      <c r="AA304" s="2358"/>
      <c r="AB304" s="2358"/>
      <c r="AC304" s="2359"/>
    </row>
    <row r="305" spans="1:29" s="2318" customFormat="1" ht="105" customHeight="1">
      <c r="A305" s="2336" t="str">
        <f t="shared" ref="A305:A322" si="5">IFERROR(IF(A301&gt;0,A301+1,""),"")</f>
        <v/>
      </c>
      <c r="B305" s="2337" t="s">
        <v>3133</v>
      </c>
      <c r="C305" s="2336"/>
      <c r="D305" s="2317"/>
      <c r="E305" s="2338"/>
      <c r="F305" s="2338"/>
      <c r="G305" s="2338"/>
      <c r="H305" s="2339"/>
      <c r="I305" s="2340"/>
      <c r="J305" s="2341"/>
      <c r="K305" s="2342"/>
      <c r="L305" s="2342"/>
      <c r="M305" s="2343"/>
      <c r="N305" s="2343"/>
      <c r="O305" s="2343"/>
      <c r="P305" s="2341"/>
      <c r="Q305" s="2344"/>
      <c r="R305" s="2345"/>
      <c r="S305" s="2343"/>
      <c r="T305" s="2346"/>
      <c r="U305" s="2347"/>
      <c r="V305" s="2348"/>
      <c r="W305" s="2348"/>
      <c r="X305" s="2349"/>
      <c r="Y305" s="2350"/>
      <c r="Z305" s="2350"/>
      <c r="AA305" s="2350"/>
      <c r="AB305" s="2350"/>
      <c r="AC305" s="2351"/>
    </row>
    <row r="306" spans="1:29" s="2316" customFormat="1" ht="50" customHeight="1">
      <c r="A306" s="2321">
        <f t="shared" si="5"/>
        <v>76</v>
      </c>
      <c r="B306" s="2322" t="str">
        <f>MOPFRA!Q53</f>
        <v>پتروشيمي تندگويان</v>
      </c>
      <c r="C306" s="2321" t="str">
        <f>MOPFRA!R53</f>
        <v>شگويا</v>
      </c>
      <c r="D306" s="2315">
        <f>MOPFRA!S53</f>
        <v>12</v>
      </c>
      <c r="E306" s="2323">
        <f>MOPFRA!BO53</f>
        <v>3</v>
      </c>
      <c r="F306" s="2323">
        <f>MOPFRA!AW53</f>
        <v>8208</v>
      </c>
      <c r="G306" s="2323">
        <f>MOPFRA!AX53</f>
        <v>10</v>
      </c>
      <c r="H306" s="2324"/>
      <c r="I306" s="2325"/>
      <c r="J306" s="2326">
        <f>MOPFRA!BS53</f>
        <v>0</v>
      </c>
      <c r="K306" s="2327">
        <f>MOPFRA!CK53</f>
        <v>3400</v>
      </c>
      <c r="L306" s="2327">
        <f>MOPFRA!CN53</f>
        <v>45</v>
      </c>
      <c r="M306" s="2328">
        <f>MOPFRA!CO53</f>
        <v>33</v>
      </c>
      <c r="N306" s="2328">
        <f>MOPFRA!CP53</f>
        <v>0</v>
      </c>
      <c r="O306" s="2328">
        <f>MOPFRA!CS53</f>
        <v>1426</v>
      </c>
      <c r="P306" s="2326">
        <f>MOPFRA!CT53</f>
        <v>-393</v>
      </c>
      <c r="Q306" s="2329">
        <f>MOPFRA!CV53</f>
        <v>7410</v>
      </c>
      <c r="R306" s="2330">
        <f>MOPFRA!CW53</f>
        <v>29835</v>
      </c>
      <c r="S306" s="2328">
        <f>MOPFRA!CX53</f>
        <v>0</v>
      </c>
      <c r="T306" s="2331">
        <f>MOPFRA!CY53</f>
        <v>2048</v>
      </c>
      <c r="U306" s="2332">
        <f>MOPFRA!DE53</f>
        <v>14500</v>
      </c>
      <c r="V306" s="2323">
        <f>MOPFRA!DF53</f>
        <v>5627</v>
      </c>
      <c r="W306" s="2323">
        <f>MOPFRA!DG53</f>
        <v>8015</v>
      </c>
      <c r="X306" s="2333">
        <f>MOPFRA!DH53</f>
        <v>24793</v>
      </c>
      <c r="Y306" s="2334">
        <f>MOPFRA!DK53</f>
        <v>6760</v>
      </c>
      <c r="Z306" s="2334">
        <f>MOPFRA!DL53</f>
        <v>6481</v>
      </c>
      <c r="AA306" s="2334">
        <f>MOPFRA!DM53</f>
        <v>8904</v>
      </c>
      <c r="AB306" s="2334">
        <f>MOPFRA!DP53</f>
        <v>456</v>
      </c>
      <c r="AC306" s="2335">
        <f>MOPFRA!DQ53</f>
        <v>2192</v>
      </c>
    </row>
    <row r="307" spans="1:29" s="2318" customFormat="1" ht="105" customHeight="1">
      <c r="A307" s="2336" t="str">
        <f t="shared" si="5"/>
        <v/>
      </c>
      <c r="B307" s="2337"/>
      <c r="C307" s="2336"/>
      <c r="D307" s="2317"/>
      <c r="E307" s="2338"/>
      <c r="F307" s="2338"/>
      <c r="G307" s="2338"/>
      <c r="H307" s="2339"/>
      <c r="I307" s="2340"/>
      <c r="J307" s="2341"/>
      <c r="K307" s="2342"/>
      <c r="L307" s="2342"/>
      <c r="M307" s="2343"/>
      <c r="N307" s="2343"/>
      <c r="O307" s="2343"/>
      <c r="P307" s="2341"/>
      <c r="Q307" s="2344"/>
      <c r="R307" s="2345"/>
      <c r="S307" s="2343"/>
      <c r="T307" s="2346"/>
      <c r="U307" s="2347"/>
      <c r="V307" s="2348"/>
      <c r="W307" s="2348"/>
      <c r="X307" s="2349"/>
      <c r="Y307" s="2350"/>
      <c r="Z307" s="2350"/>
      <c r="AA307" s="2350"/>
      <c r="AB307" s="2350"/>
      <c r="AC307" s="2351"/>
    </row>
    <row r="308" spans="1:29" s="2318" customFormat="1" ht="70" customHeight="1">
      <c r="A308" s="2321" t="str">
        <f t="shared" si="5"/>
        <v/>
      </c>
      <c r="B308" s="2353" t="s">
        <v>3132</v>
      </c>
      <c r="C308" s="2352"/>
      <c r="D308" s="2319"/>
      <c r="E308" s="2319"/>
      <c r="F308" s="2319"/>
      <c r="G308" s="2319"/>
      <c r="H308" s="2319"/>
      <c r="I308" s="2319"/>
      <c r="J308" s="2354"/>
      <c r="K308" s="2355"/>
      <c r="L308" s="2355"/>
      <c r="M308" s="2356"/>
      <c r="N308" s="2356"/>
      <c r="O308" s="2356"/>
      <c r="P308" s="2354"/>
      <c r="Q308" s="2344"/>
      <c r="R308" s="2345"/>
      <c r="S308" s="2356"/>
      <c r="T308" s="2346"/>
      <c r="U308" s="2347"/>
      <c r="V308" s="2357"/>
      <c r="W308" s="2357"/>
      <c r="X308" s="2349"/>
      <c r="Y308" s="2358"/>
      <c r="Z308" s="2358"/>
      <c r="AA308" s="2358"/>
      <c r="AB308" s="2358"/>
      <c r="AC308" s="2359"/>
    </row>
    <row r="309" spans="1:29" s="2318" customFormat="1" ht="105" customHeight="1">
      <c r="A309" s="2336" t="str">
        <f t="shared" si="5"/>
        <v/>
      </c>
      <c r="B309" s="2337" t="s">
        <v>3133</v>
      </c>
      <c r="C309" s="2336"/>
      <c r="D309" s="2317"/>
      <c r="E309" s="2338"/>
      <c r="F309" s="2338"/>
      <c r="G309" s="2338"/>
      <c r="H309" s="2339"/>
      <c r="I309" s="2340"/>
      <c r="J309" s="2341"/>
      <c r="K309" s="2342"/>
      <c r="L309" s="2342"/>
      <c r="M309" s="2343"/>
      <c r="N309" s="2343"/>
      <c r="O309" s="2343"/>
      <c r="P309" s="2341"/>
      <c r="Q309" s="2344"/>
      <c r="R309" s="2345"/>
      <c r="S309" s="2343"/>
      <c r="T309" s="2346"/>
      <c r="U309" s="2347"/>
      <c r="V309" s="2348"/>
      <c r="W309" s="2348"/>
      <c r="X309" s="2349"/>
      <c r="Y309" s="2350"/>
      <c r="Z309" s="2350"/>
      <c r="AA309" s="2350"/>
      <c r="AB309" s="2350"/>
      <c r="AC309" s="2351"/>
    </row>
    <row r="310" spans="1:29" s="2316" customFormat="1" ht="50" customHeight="1">
      <c r="A310" s="2321">
        <f t="shared" si="5"/>
        <v>77</v>
      </c>
      <c r="B310" s="2322" t="str">
        <f>MOPFRA!Q54</f>
        <v>معدنكاران نسوز</v>
      </c>
      <c r="C310" s="2321" t="str">
        <f>MOPFRA!R54</f>
        <v>كانسار</v>
      </c>
      <c r="D310" s="2315">
        <f>MOPFRA!S54</f>
        <v>12</v>
      </c>
      <c r="E310" s="2323">
        <f>MOPFRA!BO54</f>
        <v>3</v>
      </c>
      <c r="F310" s="2323">
        <f>MOPFRA!AW54</f>
        <v>184</v>
      </c>
      <c r="G310" s="2323">
        <f>MOPFRA!AX54</f>
        <v>77</v>
      </c>
      <c r="H310" s="2324"/>
      <c r="I310" s="2325"/>
      <c r="J310" s="2326">
        <f>MOPFRA!BS54</f>
        <v>0</v>
      </c>
      <c r="K310" s="2327">
        <f>MOPFRA!CK54</f>
        <v>560</v>
      </c>
      <c r="L310" s="2327">
        <f>MOPFRA!CN54</f>
        <v>4</v>
      </c>
      <c r="M310" s="2328">
        <f>MOPFRA!CO54</f>
        <v>62</v>
      </c>
      <c r="N310" s="2328">
        <f>MOPFRA!CP54</f>
        <v>97</v>
      </c>
      <c r="O310" s="2328">
        <f>MOPFRA!CS54</f>
        <v>937</v>
      </c>
      <c r="P310" s="2326">
        <f>MOPFRA!CT54</f>
        <v>0</v>
      </c>
      <c r="Q310" s="2329">
        <f>MOPFRA!CV54</f>
        <v>1596</v>
      </c>
      <c r="R310" s="2330">
        <f>MOPFRA!CW54</f>
        <v>420</v>
      </c>
      <c r="S310" s="2328">
        <f>MOPFRA!CX54</f>
        <v>148</v>
      </c>
      <c r="T310" s="2331">
        <f>MOPFRA!CY54</f>
        <v>0</v>
      </c>
      <c r="U310" s="2332">
        <f>MOPFRA!DE54</f>
        <v>667</v>
      </c>
      <c r="V310" s="2323">
        <f>MOPFRA!DF54</f>
        <v>580</v>
      </c>
      <c r="W310" s="2323">
        <f>MOPFRA!DG54</f>
        <v>45</v>
      </c>
      <c r="X310" s="2333">
        <f>MOPFRA!DH54</f>
        <v>1349</v>
      </c>
      <c r="Y310" s="2334">
        <f>MOPFRA!DK54</f>
        <v>90</v>
      </c>
      <c r="Z310" s="2334">
        <f>MOPFRA!DL54</f>
        <v>190</v>
      </c>
      <c r="AA310" s="2334">
        <f>MOPFRA!DM54</f>
        <v>1047</v>
      </c>
      <c r="AB310" s="2334">
        <f>MOPFRA!DP54</f>
        <v>0</v>
      </c>
      <c r="AC310" s="2335">
        <f>MOPFRA!DQ54</f>
        <v>22</v>
      </c>
    </row>
    <row r="311" spans="1:29" s="2318" customFormat="1" ht="105" customHeight="1">
      <c r="A311" s="2336" t="str">
        <f t="shared" si="5"/>
        <v/>
      </c>
      <c r="B311" s="2337"/>
      <c r="C311" s="2336"/>
      <c r="D311" s="2317"/>
      <c r="E311" s="2338"/>
      <c r="F311" s="2338"/>
      <c r="G311" s="2338"/>
      <c r="H311" s="2339"/>
      <c r="I311" s="2340"/>
      <c r="J311" s="2341"/>
      <c r="K311" s="2342"/>
      <c r="L311" s="2342"/>
      <c r="M311" s="2343"/>
      <c r="N311" s="2343"/>
      <c r="O311" s="2343"/>
      <c r="P311" s="2341"/>
      <c r="Q311" s="2344"/>
      <c r="R311" s="2345"/>
      <c r="S311" s="2343"/>
      <c r="T311" s="2346"/>
      <c r="U311" s="2347"/>
      <c r="V311" s="2348"/>
      <c r="W311" s="2348"/>
      <c r="X311" s="2349"/>
      <c r="Y311" s="2350"/>
      <c r="Z311" s="2350"/>
      <c r="AA311" s="2350"/>
      <c r="AB311" s="2350"/>
      <c r="AC311" s="2351"/>
    </row>
    <row r="312" spans="1:29" s="2318" customFormat="1" ht="70" customHeight="1">
      <c r="A312" s="2321" t="str">
        <f t="shared" si="5"/>
        <v/>
      </c>
      <c r="B312" s="2353" t="s">
        <v>3132</v>
      </c>
      <c r="C312" s="2352"/>
      <c r="D312" s="2319"/>
      <c r="E312" s="2319"/>
      <c r="F312" s="2319"/>
      <c r="G312" s="2319"/>
      <c r="H312" s="2319"/>
      <c r="I312" s="2319"/>
      <c r="J312" s="2354"/>
      <c r="K312" s="2355"/>
      <c r="L312" s="2355"/>
      <c r="M312" s="2356"/>
      <c r="N312" s="2356"/>
      <c r="O312" s="2356"/>
      <c r="P312" s="2354"/>
      <c r="Q312" s="2344"/>
      <c r="R312" s="2345"/>
      <c r="S312" s="2356"/>
      <c r="T312" s="2346"/>
      <c r="U312" s="2347"/>
      <c r="V312" s="2357"/>
      <c r="W312" s="2357"/>
      <c r="X312" s="2349"/>
      <c r="Y312" s="2358"/>
      <c r="Z312" s="2358"/>
      <c r="AA312" s="2358"/>
      <c r="AB312" s="2358"/>
      <c r="AC312" s="2359"/>
    </row>
    <row r="313" spans="1:29" s="2318" customFormat="1" ht="105" customHeight="1">
      <c r="A313" s="2336" t="str">
        <f t="shared" si="5"/>
        <v/>
      </c>
      <c r="B313" s="2337" t="s">
        <v>3133</v>
      </c>
      <c r="C313" s="2336"/>
      <c r="D313" s="2317"/>
      <c r="E313" s="2338"/>
      <c r="F313" s="2338"/>
      <c r="G313" s="2338"/>
      <c r="H313" s="2339"/>
      <c r="I313" s="2340"/>
      <c r="J313" s="2341"/>
      <c r="K313" s="2342"/>
      <c r="L313" s="2342"/>
      <c r="M313" s="2343"/>
      <c r="N313" s="2343"/>
      <c r="O313" s="2343"/>
      <c r="P313" s="2341"/>
      <c r="Q313" s="2344"/>
      <c r="R313" s="2345"/>
      <c r="S313" s="2343"/>
      <c r="T313" s="2346"/>
      <c r="U313" s="2347"/>
      <c r="V313" s="2348"/>
      <c r="W313" s="2348"/>
      <c r="X313" s="2349"/>
      <c r="Y313" s="2350"/>
      <c r="Z313" s="2350"/>
      <c r="AA313" s="2350"/>
      <c r="AB313" s="2350"/>
      <c r="AC313" s="2351"/>
    </row>
    <row r="314" spans="1:29" s="2316" customFormat="1" ht="50" customHeight="1">
      <c r="A314" s="2321">
        <f t="shared" si="5"/>
        <v>78</v>
      </c>
      <c r="B314" s="2322" t="str">
        <f>MOPFRA!Q55</f>
        <v>پليمر آريا ساسول</v>
      </c>
      <c r="C314" s="2321" t="str">
        <f>MOPFRA!R55</f>
        <v>آريا</v>
      </c>
      <c r="D314" s="2315">
        <f>MOPFRA!S55</f>
        <v>12</v>
      </c>
      <c r="E314" s="2323">
        <f>MOPFRA!BO55</f>
        <v>3</v>
      </c>
      <c r="F314" s="2323">
        <f>MOPFRA!AW55</f>
        <v>5624</v>
      </c>
      <c r="G314" s="2323">
        <f>MOPFRA!AX55</f>
        <v>1552</v>
      </c>
      <c r="H314" s="2324"/>
      <c r="I314" s="2325"/>
      <c r="J314" s="2326">
        <f>MOPFRA!BS55</f>
        <v>0</v>
      </c>
      <c r="K314" s="2327">
        <f>MOPFRA!CK55</f>
        <v>3437.88</v>
      </c>
      <c r="L314" s="2327">
        <f>MOPFRA!CN55</f>
        <v>260</v>
      </c>
      <c r="M314" s="2328">
        <f>MOPFRA!CO55</f>
        <v>1203</v>
      </c>
      <c r="N314" s="2328">
        <f>MOPFRA!CP55</f>
        <v>0</v>
      </c>
      <c r="O314" s="2328">
        <f>MOPFRA!CS55</f>
        <v>2143</v>
      </c>
      <c r="P314" s="2326">
        <f>MOPFRA!CT55</f>
        <v>0</v>
      </c>
      <c r="Q314" s="2329">
        <f>MOPFRA!CV55</f>
        <v>5925</v>
      </c>
      <c r="R314" s="2330">
        <f>MOPFRA!CW55</f>
        <v>46997</v>
      </c>
      <c r="S314" s="2328" t="e">
        <f>MOPFRA!#REF!</f>
        <v>#REF!</v>
      </c>
      <c r="T314" s="2331">
        <f>MOPFRA!CY55</f>
        <v>3216</v>
      </c>
      <c r="U314" s="2332">
        <f>MOPFRA!DE55</f>
        <v>19367</v>
      </c>
      <c r="V314" s="2323">
        <f>MOPFRA!DF55</f>
        <v>18611</v>
      </c>
      <c r="W314" s="2323">
        <f>MOPFRA!DG55</f>
        <v>77</v>
      </c>
      <c r="X314" s="2333">
        <f>MOPFRA!DH55</f>
        <v>36771</v>
      </c>
      <c r="Y314" s="2334">
        <f>MOPFRA!DK55</f>
        <v>13571</v>
      </c>
      <c r="Z314" s="2334">
        <f>MOPFRA!DL55</f>
        <v>8636</v>
      </c>
      <c r="AA314" s="2334">
        <f>MOPFRA!DM55</f>
        <v>6918</v>
      </c>
      <c r="AB314" s="2334">
        <f>MOPFRA!DP55</f>
        <v>486</v>
      </c>
      <c r="AC314" s="2335">
        <f>MOPFRA!DQ55</f>
        <v>7160</v>
      </c>
    </row>
    <row r="315" spans="1:29" s="2318" customFormat="1" ht="105" customHeight="1">
      <c r="A315" s="2336" t="str">
        <f>IFERROR(IF(#REF!&gt;0,#REF!+1,""),"")</f>
        <v/>
      </c>
      <c r="B315" s="2337"/>
      <c r="C315" s="2336"/>
      <c r="D315" s="2317"/>
      <c r="E315" s="2338"/>
      <c r="F315" s="2338"/>
      <c r="G315" s="2338"/>
      <c r="H315" s="2339"/>
      <c r="I315" s="2340"/>
      <c r="J315" s="2341"/>
      <c r="K315" s="2342"/>
      <c r="L315" s="2342"/>
      <c r="M315" s="2343"/>
      <c r="N315" s="2343"/>
      <c r="O315" s="2343"/>
      <c r="P315" s="2341"/>
      <c r="Q315" s="2344"/>
      <c r="R315" s="2345"/>
      <c r="S315" s="2343"/>
      <c r="T315" s="2346"/>
      <c r="U315" s="2347"/>
      <c r="V315" s="2348"/>
      <c r="W315" s="2348"/>
      <c r="X315" s="2349"/>
      <c r="Y315" s="2350"/>
      <c r="Z315" s="2350"/>
      <c r="AA315" s="2350"/>
      <c r="AB315" s="2350"/>
      <c r="AC315" s="2351"/>
    </row>
    <row r="316" spans="1:29" s="2318" customFormat="1" ht="70" customHeight="1">
      <c r="A316" s="2321" t="str">
        <f>IFERROR(IF(#REF!&gt;0,#REF!+1,""),"")</f>
        <v/>
      </c>
      <c r="B316" s="2353" t="s">
        <v>3132</v>
      </c>
      <c r="C316" s="2352"/>
      <c r="D316" s="2319"/>
      <c r="E316" s="2319"/>
      <c r="F316" s="2319"/>
      <c r="G316" s="2319"/>
      <c r="H316" s="2319"/>
      <c r="I316" s="2319"/>
      <c r="J316" s="2354"/>
      <c r="K316" s="2355"/>
      <c r="L316" s="2355"/>
      <c r="M316" s="2356"/>
      <c r="N316" s="2356"/>
      <c r="O316" s="2356"/>
      <c r="P316" s="2354"/>
      <c r="Q316" s="2344"/>
      <c r="R316" s="2345"/>
      <c r="S316" s="2356"/>
      <c r="T316" s="2346"/>
      <c r="U316" s="2347"/>
      <c r="V316" s="2357"/>
      <c r="W316" s="2357"/>
      <c r="X316" s="2349"/>
      <c r="Y316" s="2358"/>
      <c r="Z316" s="2358"/>
      <c r="AA316" s="2358"/>
      <c r="AB316" s="2358"/>
      <c r="AC316" s="2359"/>
    </row>
    <row r="317" spans="1:29" s="2318" customFormat="1" ht="105" customHeight="1">
      <c r="A317" s="2336" t="str">
        <f>IFERROR(IF(#REF!&gt;0,#REF!+1,""),"")</f>
        <v/>
      </c>
      <c r="B317" s="2337" t="s">
        <v>3133</v>
      </c>
      <c r="C317" s="2336"/>
      <c r="D317" s="2317"/>
      <c r="E317" s="2338"/>
      <c r="F317" s="2338"/>
      <c r="G317" s="2338"/>
      <c r="H317" s="2339"/>
      <c r="I317" s="2340"/>
      <c r="J317" s="2341"/>
      <c r="K317" s="2342"/>
      <c r="L317" s="2342"/>
      <c r="M317" s="2343"/>
      <c r="N317" s="2343"/>
      <c r="O317" s="2343"/>
      <c r="P317" s="2341"/>
      <c r="Q317" s="2344"/>
      <c r="R317" s="2345"/>
      <c r="S317" s="2343"/>
      <c r="T317" s="2346"/>
      <c r="U317" s="2347"/>
      <c r="V317" s="2348"/>
      <c r="W317" s="2348"/>
      <c r="X317" s="2349"/>
      <c r="Y317" s="2350"/>
      <c r="Z317" s="2350"/>
      <c r="AA317" s="2350"/>
      <c r="AB317" s="2350"/>
      <c r="AC317" s="2351"/>
    </row>
    <row r="318" spans="1:29" s="2316" customFormat="1" ht="50" customHeight="1">
      <c r="A318" s="2321">
        <f t="shared" si="5"/>
        <v>79</v>
      </c>
      <c r="B318" s="2322" t="str">
        <f>MOPFRA!Q56</f>
        <v>پتروشيمي اروند</v>
      </c>
      <c r="C318" s="2321" t="str">
        <f>MOPFRA!R56</f>
        <v>اروند</v>
      </c>
      <c r="D318" s="2315">
        <f>MOPFRA!S56</f>
        <v>12</v>
      </c>
      <c r="E318" s="2323">
        <f>MOPFRA!BO56</f>
        <v>3</v>
      </c>
      <c r="F318" s="2323">
        <f>MOPFRA!AW56</f>
        <v>4400</v>
      </c>
      <c r="G318" s="2323">
        <f>MOPFRA!AX56</f>
        <v>227</v>
      </c>
      <c r="H318" s="2324"/>
      <c r="I318" s="2325"/>
      <c r="J318" s="2326">
        <f>MOPFRA!BS56</f>
        <v>0</v>
      </c>
      <c r="K318" s="2327">
        <f>MOPFRA!CK56</f>
        <v>1200</v>
      </c>
      <c r="L318" s="2327">
        <f>MOPFRA!CN56</f>
        <v>469</v>
      </c>
      <c r="M318" s="2328">
        <f>MOPFRA!CO56</f>
        <v>606</v>
      </c>
      <c r="N318" s="2328">
        <f>MOPFRA!CP56</f>
        <v>97</v>
      </c>
      <c r="O318" s="2328">
        <f>MOPFRA!CS56</f>
        <v>2533</v>
      </c>
      <c r="P318" s="2326">
        <f>MOPFRA!CT56</f>
        <v>0</v>
      </c>
      <c r="Q318" s="2329">
        <f>MOPFRA!CV56</f>
        <v>9126</v>
      </c>
      <c r="R318" s="2330">
        <f>MOPFRA!CW56</f>
        <v>23229</v>
      </c>
      <c r="S318" s="2328">
        <f>MOPFRA!CX55</f>
        <v>10163</v>
      </c>
      <c r="T318" s="2331">
        <f>MOPFRA!CY56</f>
        <v>537</v>
      </c>
      <c r="U318" s="2332">
        <f>MOPFRA!DE56</f>
        <v>11888</v>
      </c>
      <c r="V318" s="2323">
        <f>MOPFRA!DF56</f>
        <v>9690</v>
      </c>
      <c r="W318" s="2323">
        <f>MOPFRA!DG56</f>
        <v>1729</v>
      </c>
      <c r="X318" s="2333">
        <f>MOPFRA!DH56</f>
        <v>21004</v>
      </c>
      <c r="Y318" s="2334">
        <f>MOPFRA!DK56</f>
        <v>6100</v>
      </c>
      <c r="Z318" s="2334">
        <f>MOPFRA!DL56</f>
        <v>2998</v>
      </c>
      <c r="AA318" s="2334">
        <f>MOPFRA!DM56</f>
        <v>6015</v>
      </c>
      <c r="AB318" s="2334">
        <f>MOPFRA!DP56</f>
        <v>3661</v>
      </c>
      <c r="AC318" s="2335">
        <f>MOPFRA!DQ56</f>
        <v>2230</v>
      </c>
    </row>
    <row r="319" spans="1:29" s="2318" customFormat="1" ht="105" customHeight="1">
      <c r="A319" s="2336" t="str">
        <f t="shared" si="5"/>
        <v/>
      </c>
      <c r="B319" s="2337"/>
      <c r="C319" s="2336"/>
      <c r="D319" s="2317"/>
      <c r="E319" s="2338"/>
      <c r="F319" s="2338"/>
      <c r="G319" s="2338"/>
      <c r="H319" s="2339"/>
      <c r="I319" s="2340"/>
      <c r="J319" s="2341"/>
      <c r="K319" s="2342"/>
      <c r="L319" s="2342"/>
      <c r="M319" s="2343"/>
      <c r="N319" s="2343"/>
      <c r="O319" s="2343"/>
      <c r="P319" s="2341"/>
      <c r="Q319" s="2344"/>
      <c r="R319" s="2345"/>
      <c r="S319" s="2343"/>
      <c r="T319" s="2346"/>
      <c r="U319" s="2347"/>
      <c r="V319" s="2348"/>
      <c r="W319" s="2348"/>
      <c r="X319" s="2349"/>
      <c r="Y319" s="2350"/>
      <c r="Z319" s="2350"/>
      <c r="AA319" s="2350"/>
      <c r="AB319" s="2350"/>
      <c r="AC319" s="2351"/>
    </row>
    <row r="320" spans="1:29" s="2318" customFormat="1" ht="70" customHeight="1">
      <c r="A320" s="2321" t="str">
        <f t="shared" si="5"/>
        <v/>
      </c>
      <c r="B320" s="2353" t="s">
        <v>3132</v>
      </c>
      <c r="C320" s="2352"/>
      <c r="D320" s="2319"/>
      <c r="E320" s="2319"/>
      <c r="F320" s="2319"/>
      <c r="G320" s="2319"/>
      <c r="H320" s="2319"/>
      <c r="I320" s="2319"/>
      <c r="J320" s="2354"/>
      <c r="K320" s="2355"/>
      <c r="L320" s="2355"/>
      <c r="M320" s="2356"/>
      <c r="N320" s="2356"/>
      <c r="O320" s="2356"/>
      <c r="P320" s="2354"/>
      <c r="Q320" s="2344"/>
      <c r="R320" s="2345"/>
      <c r="S320" s="2356"/>
      <c r="T320" s="2346"/>
      <c r="U320" s="2347"/>
      <c r="V320" s="2357"/>
      <c r="W320" s="2357"/>
      <c r="X320" s="2349"/>
      <c r="Y320" s="2358"/>
      <c r="Z320" s="2358"/>
      <c r="AA320" s="2358"/>
      <c r="AB320" s="2358"/>
      <c r="AC320" s="2359"/>
    </row>
    <row r="321" spans="1:29" s="2318" customFormat="1" ht="105" customHeight="1">
      <c r="A321" s="2336" t="str">
        <f t="shared" si="5"/>
        <v/>
      </c>
      <c r="B321" s="2337" t="s">
        <v>3133</v>
      </c>
      <c r="C321" s="2336"/>
      <c r="D321" s="2317"/>
      <c r="E321" s="2338"/>
      <c r="F321" s="2338"/>
      <c r="G321" s="2338"/>
      <c r="H321" s="2339"/>
      <c r="I321" s="2340"/>
      <c r="J321" s="2341"/>
      <c r="K321" s="2342"/>
      <c r="L321" s="2342"/>
      <c r="M321" s="2343"/>
      <c r="N321" s="2343"/>
      <c r="O321" s="2343"/>
      <c r="P321" s="2341"/>
      <c r="Q321" s="2344"/>
      <c r="R321" s="2345"/>
      <c r="S321" s="2343"/>
      <c r="T321" s="2346"/>
      <c r="U321" s="2347"/>
      <c r="V321" s="2348"/>
      <c r="W321" s="2348"/>
      <c r="X321" s="2349"/>
      <c r="Y321" s="2350"/>
      <c r="Z321" s="2350"/>
      <c r="AA321" s="2350"/>
      <c r="AB321" s="2350"/>
      <c r="AC321" s="2351"/>
    </row>
    <row r="322" spans="1:29" s="2316" customFormat="1" ht="50" customHeight="1">
      <c r="A322" s="2321">
        <f t="shared" si="5"/>
        <v>80</v>
      </c>
      <c r="B322" s="2322"/>
      <c r="C322" s="2321"/>
      <c r="D322" s="2315"/>
      <c r="E322" s="2323"/>
      <c r="F322" s="2323"/>
      <c r="G322" s="2323"/>
      <c r="H322" s="2324"/>
      <c r="I322" s="2325"/>
      <c r="J322" s="2326"/>
      <c r="K322" s="2327"/>
      <c r="L322" s="2327"/>
      <c r="M322" s="2328"/>
      <c r="N322" s="2328"/>
      <c r="O322" s="2328"/>
      <c r="P322" s="2326"/>
      <c r="Q322" s="2329"/>
      <c r="R322" s="2330"/>
      <c r="S322" s="2328"/>
      <c r="T322" s="2331"/>
      <c r="U322" s="2332"/>
      <c r="V322" s="2323"/>
      <c r="W322" s="2323"/>
      <c r="X322" s="2333"/>
      <c r="Y322" s="2334"/>
      <c r="Z322" s="2334"/>
      <c r="AA322" s="2334"/>
      <c r="AB322" s="2334"/>
      <c r="AC322" s="2335"/>
    </row>
    <row r="323" spans="1:29" s="2318" customFormat="1" ht="105" customHeight="1">
      <c r="A323" s="2336" t="str">
        <f>IFERROR(IF(A319&gt;0,A319+1,""),"")</f>
        <v/>
      </c>
      <c r="B323" s="2337"/>
      <c r="C323" s="2336"/>
      <c r="D323" s="2317"/>
      <c r="E323" s="2338"/>
      <c r="F323" s="2338"/>
      <c r="G323" s="2338"/>
      <c r="H323" s="2339"/>
      <c r="I323" s="2340"/>
      <c r="J323" s="2341"/>
      <c r="K323" s="2342"/>
      <c r="L323" s="2342"/>
      <c r="M323" s="2343"/>
      <c r="N323" s="2343"/>
      <c r="O323" s="2343"/>
      <c r="P323" s="2341"/>
      <c r="Q323" s="2344"/>
      <c r="R323" s="2345"/>
      <c r="S323" s="2343"/>
      <c r="T323" s="2346"/>
      <c r="U323" s="2347"/>
      <c r="V323" s="2348"/>
      <c r="W323" s="2348"/>
      <c r="X323" s="2349"/>
      <c r="Y323" s="2350"/>
      <c r="Z323" s="2350"/>
      <c r="AA323" s="2350"/>
      <c r="AB323" s="2350"/>
      <c r="AC323" s="2351"/>
    </row>
    <row r="324" spans="1:29" s="2318" customFormat="1" ht="84" customHeight="1">
      <c r="A324" s="2321" t="str">
        <f>IFERROR(IF(A320&gt;0,A320+1,""),"")</f>
        <v/>
      </c>
      <c r="B324" s="2353" t="s">
        <v>3132</v>
      </c>
      <c r="C324" s="2352"/>
      <c r="D324" s="2319"/>
      <c r="E324" s="2319"/>
      <c r="F324" s="2319"/>
      <c r="G324" s="2319"/>
      <c r="H324" s="2319"/>
      <c r="I324" s="2319"/>
      <c r="J324" s="2354"/>
      <c r="K324" s="2355"/>
      <c r="L324" s="2355"/>
      <c r="M324" s="2356"/>
      <c r="N324" s="2356"/>
      <c r="O324" s="2356"/>
      <c r="P324" s="2354"/>
      <c r="Q324" s="2344"/>
      <c r="R324" s="2345"/>
      <c r="S324" s="2356"/>
      <c r="T324" s="2346"/>
      <c r="U324" s="2347"/>
      <c r="V324" s="2357"/>
      <c r="W324" s="2357"/>
      <c r="X324" s="2349"/>
      <c r="Y324" s="2358"/>
      <c r="Z324" s="2358"/>
      <c r="AA324" s="2358"/>
      <c r="AB324" s="2358"/>
      <c r="AC324" s="2359"/>
    </row>
    <row r="325" spans="1:29" s="2318" customFormat="1" ht="105" customHeight="1">
      <c r="A325" s="2336" t="str">
        <f t="shared" ref="A325:A388" si="6">IFERROR(IF(A321&gt;0,A321+1,""),"")</f>
        <v/>
      </c>
      <c r="B325" s="2337" t="s">
        <v>3133</v>
      </c>
      <c r="C325" s="2336"/>
      <c r="D325" s="2317"/>
      <c r="E325" s="2338"/>
      <c r="F325" s="2338"/>
      <c r="G325" s="2338"/>
      <c r="H325" s="2339"/>
      <c r="I325" s="2340"/>
      <c r="J325" s="2341"/>
      <c r="K325" s="2342"/>
      <c r="L325" s="2342"/>
      <c r="M325" s="2343"/>
      <c r="N325" s="2343"/>
      <c r="O325" s="2343"/>
      <c r="P325" s="2341"/>
      <c r="Q325" s="2344"/>
      <c r="R325" s="2345"/>
      <c r="S325" s="2343"/>
      <c r="T325" s="2346"/>
      <c r="U325" s="2347"/>
      <c r="V325" s="2348"/>
      <c r="W325" s="2348"/>
      <c r="X325" s="2349"/>
      <c r="Y325" s="2350"/>
      <c r="Z325" s="2350"/>
      <c r="AA325" s="2350"/>
      <c r="AB325" s="2350"/>
      <c r="AC325" s="2351"/>
    </row>
    <row r="326" spans="1:29" s="2316" customFormat="1" ht="50" customHeight="1">
      <c r="A326" s="2321">
        <f t="shared" si="6"/>
        <v>81</v>
      </c>
      <c r="B326" s="2322"/>
      <c r="C326" s="2321"/>
      <c r="D326" s="2315"/>
      <c r="E326" s="2323"/>
      <c r="F326" s="2323"/>
      <c r="G326" s="2323"/>
      <c r="H326" s="2324"/>
      <c r="I326" s="2325"/>
      <c r="J326" s="2326"/>
      <c r="K326" s="2327"/>
      <c r="L326" s="2327"/>
      <c r="M326" s="2328"/>
      <c r="N326" s="2328"/>
      <c r="O326" s="2328"/>
      <c r="P326" s="2326"/>
      <c r="Q326" s="2329"/>
      <c r="R326" s="2330"/>
      <c r="S326" s="2328"/>
      <c r="T326" s="2331"/>
      <c r="U326" s="2332"/>
      <c r="V326" s="2323"/>
      <c r="W326" s="2323"/>
      <c r="X326" s="2333"/>
      <c r="Y326" s="2334"/>
      <c r="Z326" s="2334"/>
      <c r="AA326" s="2334"/>
      <c r="AB326" s="2334"/>
      <c r="AC326" s="2335"/>
    </row>
    <row r="327" spans="1:29" s="2318" customFormat="1" ht="105" customHeight="1">
      <c r="A327" s="2336" t="str">
        <f t="shared" si="6"/>
        <v/>
      </c>
      <c r="B327" s="2337"/>
      <c r="C327" s="2336"/>
      <c r="D327" s="2317"/>
      <c r="E327" s="2338"/>
      <c r="F327" s="2338"/>
      <c r="G327" s="2338"/>
      <c r="H327" s="2339"/>
      <c r="I327" s="2340"/>
      <c r="J327" s="2341"/>
      <c r="K327" s="2342"/>
      <c r="L327" s="2342"/>
      <c r="M327" s="2343"/>
      <c r="N327" s="2343"/>
      <c r="O327" s="2343"/>
      <c r="P327" s="2341"/>
      <c r="Q327" s="2344"/>
      <c r="R327" s="2345"/>
      <c r="S327" s="2343"/>
      <c r="T327" s="2346"/>
      <c r="U327" s="2347"/>
      <c r="V327" s="2348"/>
      <c r="W327" s="2348"/>
      <c r="X327" s="2349"/>
      <c r="Y327" s="2350"/>
      <c r="Z327" s="2350"/>
      <c r="AA327" s="2350"/>
      <c r="AB327" s="2350"/>
      <c r="AC327" s="2351"/>
    </row>
    <row r="328" spans="1:29" s="2318" customFormat="1" ht="84" customHeight="1">
      <c r="A328" s="2321" t="str">
        <f t="shared" si="6"/>
        <v/>
      </c>
      <c r="B328" s="2353" t="s">
        <v>3132</v>
      </c>
      <c r="C328" s="2352"/>
      <c r="D328" s="2319"/>
      <c r="E328" s="2319"/>
      <c r="F328" s="2319"/>
      <c r="G328" s="2319"/>
      <c r="H328" s="2319"/>
      <c r="I328" s="2319"/>
      <c r="J328" s="2354"/>
      <c r="K328" s="2355"/>
      <c r="L328" s="2355"/>
      <c r="M328" s="2356"/>
      <c r="N328" s="2356"/>
      <c r="O328" s="2356"/>
      <c r="P328" s="2354"/>
      <c r="Q328" s="2344"/>
      <c r="R328" s="2345"/>
      <c r="S328" s="2356"/>
      <c r="T328" s="2346"/>
      <c r="U328" s="2347"/>
      <c r="V328" s="2357"/>
      <c r="W328" s="2357"/>
      <c r="X328" s="2349"/>
      <c r="Y328" s="2358"/>
      <c r="Z328" s="2358"/>
      <c r="AA328" s="2358"/>
      <c r="AB328" s="2358"/>
      <c r="AC328" s="2359"/>
    </row>
    <row r="329" spans="1:29" s="2318" customFormat="1" ht="105" customHeight="1">
      <c r="A329" s="2336" t="str">
        <f t="shared" si="6"/>
        <v/>
      </c>
      <c r="B329" s="2337" t="s">
        <v>3133</v>
      </c>
      <c r="C329" s="2336"/>
      <c r="D329" s="2317"/>
      <c r="E329" s="2338"/>
      <c r="F329" s="2338"/>
      <c r="G329" s="2338"/>
      <c r="H329" s="2339"/>
      <c r="I329" s="2340"/>
      <c r="J329" s="2341"/>
      <c r="K329" s="2342"/>
      <c r="L329" s="2342"/>
      <c r="M329" s="2343"/>
      <c r="N329" s="2343"/>
      <c r="O329" s="2343"/>
      <c r="P329" s="2341"/>
      <c r="Q329" s="2344"/>
      <c r="R329" s="2345"/>
      <c r="S329" s="2343"/>
      <c r="T329" s="2346"/>
      <c r="U329" s="2347"/>
      <c r="V329" s="2348"/>
      <c r="W329" s="2348"/>
      <c r="X329" s="2349"/>
      <c r="Y329" s="2350"/>
      <c r="Z329" s="2350"/>
      <c r="AA329" s="2350"/>
      <c r="AB329" s="2350"/>
      <c r="AC329" s="2351"/>
    </row>
    <row r="330" spans="1:29" s="2316" customFormat="1" ht="50" customHeight="1">
      <c r="A330" s="2321">
        <f t="shared" si="6"/>
        <v>82</v>
      </c>
      <c r="B330" s="2322"/>
      <c r="C330" s="2321"/>
      <c r="D330" s="2315"/>
      <c r="E330" s="2323"/>
      <c r="F330" s="2323"/>
      <c r="G330" s="2323"/>
      <c r="H330" s="2324"/>
      <c r="I330" s="2325"/>
      <c r="J330" s="2326"/>
      <c r="K330" s="2327"/>
      <c r="L330" s="2327"/>
      <c r="M330" s="2328"/>
      <c r="N330" s="2328"/>
      <c r="O330" s="2328"/>
      <c r="P330" s="2326"/>
      <c r="Q330" s="2329"/>
      <c r="R330" s="2330"/>
      <c r="S330" s="2328"/>
      <c r="T330" s="2331"/>
      <c r="U330" s="2332"/>
      <c r="V330" s="2323"/>
      <c r="W330" s="2323"/>
      <c r="X330" s="2333"/>
      <c r="Y330" s="2334"/>
      <c r="Z330" s="2334"/>
      <c r="AA330" s="2334"/>
      <c r="AB330" s="2334"/>
      <c r="AC330" s="2335"/>
    </row>
    <row r="331" spans="1:29" s="2318" customFormat="1" ht="105" customHeight="1">
      <c r="A331" s="2336" t="str">
        <f t="shared" si="6"/>
        <v/>
      </c>
      <c r="B331" s="2337"/>
      <c r="C331" s="2336"/>
      <c r="D331" s="2317"/>
      <c r="E331" s="2338"/>
      <c r="F331" s="2338"/>
      <c r="G331" s="2338"/>
      <c r="H331" s="2339"/>
      <c r="I331" s="2340"/>
      <c r="J331" s="2341"/>
      <c r="K331" s="2342"/>
      <c r="L331" s="2342"/>
      <c r="M331" s="2343"/>
      <c r="N331" s="2343"/>
      <c r="O331" s="2343"/>
      <c r="P331" s="2341"/>
      <c r="Q331" s="2344"/>
      <c r="R331" s="2345"/>
      <c r="S331" s="2343"/>
      <c r="T331" s="2346"/>
      <c r="U331" s="2347"/>
      <c r="V331" s="2348"/>
      <c r="W331" s="2348"/>
      <c r="X331" s="2349"/>
      <c r="Y331" s="2350"/>
      <c r="Z331" s="2350"/>
      <c r="AA331" s="2350"/>
      <c r="AB331" s="2350"/>
      <c r="AC331" s="2351"/>
    </row>
    <row r="332" spans="1:29" s="2318" customFormat="1" ht="84" customHeight="1">
      <c r="A332" s="2321" t="str">
        <f t="shared" si="6"/>
        <v/>
      </c>
      <c r="B332" s="2353" t="s">
        <v>3132</v>
      </c>
      <c r="C332" s="2352"/>
      <c r="D332" s="2319"/>
      <c r="E332" s="2319"/>
      <c r="F332" s="2319"/>
      <c r="G332" s="2319"/>
      <c r="H332" s="2319"/>
      <c r="I332" s="2319"/>
      <c r="J332" s="2354"/>
      <c r="K332" s="2355"/>
      <c r="L332" s="2355"/>
      <c r="M332" s="2356"/>
      <c r="N332" s="2356"/>
      <c r="O332" s="2356"/>
      <c r="P332" s="2354"/>
      <c r="Q332" s="2344"/>
      <c r="R332" s="2345"/>
      <c r="S332" s="2356"/>
      <c r="T332" s="2346"/>
      <c r="U332" s="2347"/>
      <c r="V332" s="2357"/>
      <c r="W332" s="2357"/>
      <c r="X332" s="2349"/>
      <c r="Y332" s="2358"/>
      <c r="Z332" s="2358"/>
      <c r="AA332" s="2358"/>
      <c r="AB332" s="2358"/>
      <c r="AC332" s="2359"/>
    </row>
    <row r="333" spans="1:29" s="2318" customFormat="1" ht="105" customHeight="1">
      <c r="A333" s="2336" t="str">
        <f t="shared" si="6"/>
        <v/>
      </c>
      <c r="B333" s="2337" t="s">
        <v>3133</v>
      </c>
      <c r="C333" s="2336"/>
      <c r="D333" s="2317"/>
      <c r="E333" s="2338"/>
      <c r="F333" s="2338"/>
      <c r="G333" s="2338"/>
      <c r="H333" s="2339"/>
      <c r="I333" s="2340"/>
      <c r="J333" s="2341"/>
      <c r="K333" s="2342"/>
      <c r="L333" s="2342"/>
      <c r="M333" s="2343"/>
      <c r="N333" s="2343"/>
      <c r="O333" s="2343"/>
      <c r="P333" s="2341"/>
      <c r="Q333" s="2344"/>
      <c r="R333" s="2345"/>
      <c r="S333" s="2343"/>
      <c r="T333" s="2346"/>
      <c r="U333" s="2347"/>
      <c r="V333" s="2348"/>
      <c r="W333" s="2348"/>
      <c r="X333" s="2349"/>
      <c r="Y333" s="2350"/>
      <c r="Z333" s="2350"/>
      <c r="AA333" s="2350"/>
      <c r="AB333" s="2350"/>
      <c r="AC333" s="2351"/>
    </row>
    <row r="334" spans="1:29" s="2316" customFormat="1" ht="50" customHeight="1">
      <c r="A334" s="2321">
        <f t="shared" si="6"/>
        <v>83</v>
      </c>
      <c r="B334" s="2322"/>
      <c r="C334" s="2321"/>
      <c r="D334" s="2315"/>
      <c r="E334" s="2323"/>
      <c r="F334" s="2323"/>
      <c r="G334" s="2323"/>
      <c r="H334" s="2324"/>
      <c r="I334" s="2325"/>
      <c r="J334" s="2326"/>
      <c r="K334" s="2327"/>
      <c r="L334" s="2327"/>
      <c r="M334" s="2328"/>
      <c r="N334" s="2328"/>
      <c r="O334" s="2328"/>
      <c r="P334" s="2326"/>
      <c r="Q334" s="2329"/>
      <c r="R334" s="2330"/>
      <c r="S334" s="2328"/>
      <c r="T334" s="2331"/>
      <c r="U334" s="2332"/>
      <c r="V334" s="2323"/>
      <c r="W334" s="2323"/>
      <c r="X334" s="2333"/>
      <c r="Y334" s="2334"/>
      <c r="Z334" s="2334"/>
      <c r="AA334" s="2334"/>
      <c r="AB334" s="2334"/>
      <c r="AC334" s="2335"/>
    </row>
    <row r="335" spans="1:29" s="2318" customFormat="1" ht="105" customHeight="1">
      <c r="A335" s="2336" t="str">
        <f t="shared" si="6"/>
        <v/>
      </c>
      <c r="B335" s="2337"/>
      <c r="C335" s="2336"/>
      <c r="D335" s="2317"/>
      <c r="E335" s="2338"/>
      <c r="F335" s="2338"/>
      <c r="G335" s="2338"/>
      <c r="H335" s="2339"/>
      <c r="I335" s="2340"/>
      <c r="J335" s="2341"/>
      <c r="K335" s="2342"/>
      <c r="L335" s="2342"/>
      <c r="M335" s="2343"/>
      <c r="N335" s="2343"/>
      <c r="O335" s="2343"/>
      <c r="P335" s="2341"/>
      <c r="Q335" s="2344"/>
      <c r="R335" s="2345"/>
      <c r="S335" s="2343"/>
      <c r="T335" s="2346"/>
      <c r="U335" s="2347"/>
      <c r="V335" s="2348"/>
      <c r="W335" s="2348"/>
      <c r="X335" s="2349"/>
      <c r="Y335" s="2350"/>
      <c r="Z335" s="2350"/>
      <c r="AA335" s="2350"/>
      <c r="AB335" s="2350"/>
      <c r="AC335" s="2351"/>
    </row>
    <row r="336" spans="1:29" s="2318" customFormat="1" ht="84" customHeight="1">
      <c r="A336" s="2321" t="str">
        <f t="shared" si="6"/>
        <v/>
      </c>
      <c r="B336" s="2353" t="s">
        <v>3132</v>
      </c>
      <c r="C336" s="2352"/>
      <c r="D336" s="2319"/>
      <c r="E336" s="2319"/>
      <c r="F336" s="2319"/>
      <c r="G336" s="2319"/>
      <c r="H336" s="2319"/>
      <c r="I336" s="2319"/>
      <c r="J336" s="2354"/>
      <c r="K336" s="2355"/>
      <c r="L336" s="2355"/>
      <c r="M336" s="2356"/>
      <c r="N336" s="2356"/>
      <c r="O336" s="2356"/>
      <c r="P336" s="2354"/>
      <c r="Q336" s="2344"/>
      <c r="R336" s="2345"/>
      <c r="S336" s="2356"/>
      <c r="T336" s="2346"/>
      <c r="U336" s="2347"/>
      <c r="V336" s="2357"/>
      <c r="W336" s="2357"/>
      <c r="X336" s="2349"/>
      <c r="Y336" s="2358"/>
      <c r="Z336" s="2358"/>
      <c r="AA336" s="2358"/>
      <c r="AB336" s="2358"/>
      <c r="AC336" s="2359"/>
    </row>
    <row r="337" spans="1:29" s="2318" customFormat="1" ht="105" customHeight="1">
      <c r="A337" s="2336" t="str">
        <f t="shared" si="6"/>
        <v/>
      </c>
      <c r="B337" s="2337" t="s">
        <v>3133</v>
      </c>
      <c r="C337" s="2336"/>
      <c r="D337" s="2317"/>
      <c r="E337" s="2338"/>
      <c r="F337" s="2338"/>
      <c r="G337" s="2338"/>
      <c r="H337" s="2339"/>
      <c r="I337" s="2340"/>
      <c r="J337" s="2341"/>
      <c r="K337" s="2342"/>
      <c r="L337" s="2342"/>
      <c r="M337" s="2343"/>
      <c r="N337" s="2343"/>
      <c r="O337" s="2343"/>
      <c r="P337" s="2341"/>
      <c r="Q337" s="2344"/>
      <c r="R337" s="2345"/>
      <c r="S337" s="2343"/>
      <c r="T337" s="2346"/>
      <c r="U337" s="2347"/>
      <c r="V337" s="2348"/>
      <c r="W337" s="2348"/>
      <c r="X337" s="2349"/>
      <c r="Y337" s="2350"/>
      <c r="Z337" s="2350"/>
      <c r="AA337" s="2350"/>
      <c r="AB337" s="2350"/>
      <c r="AC337" s="2351"/>
    </row>
    <row r="338" spans="1:29" s="2316" customFormat="1" ht="50" customHeight="1">
      <c r="A338" s="2321">
        <f t="shared" si="6"/>
        <v>84</v>
      </c>
      <c r="B338" s="2322"/>
      <c r="C338" s="2321"/>
      <c r="D338" s="2315"/>
      <c r="E338" s="2323"/>
      <c r="F338" s="2323"/>
      <c r="G338" s="2323"/>
      <c r="H338" s="2324"/>
      <c r="I338" s="2325"/>
      <c r="J338" s="2326"/>
      <c r="K338" s="2327"/>
      <c r="L338" s="2327"/>
      <c r="M338" s="2328"/>
      <c r="N338" s="2328"/>
      <c r="O338" s="2328"/>
      <c r="P338" s="2326"/>
      <c r="Q338" s="2329"/>
      <c r="R338" s="2330"/>
      <c r="S338" s="2328"/>
      <c r="T338" s="2331"/>
      <c r="U338" s="2332"/>
      <c r="V338" s="2323"/>
      <c r="W338" s="2323"/>
      <c r="X338" s="2333"/>
      <c r="Y338" s="2334"/>
      <c r="Z338" s="2334"/>
      <c r="AA338" s="2334"/>
      <c r="AB338" s="2334"/>
      <c r="AC338" s="2335"/>
    </row>
    <row r="339" spans="1:29" s="2318" customFormat="1" ht="105" customHeight="1">
      <c r="A339" s="2336" t="str">
        <f t="shared" si="6"/>
        <v/>
      </c>
      <c r="B339" s="2337"/>
      <c r="C339" s="2336"/>
      <c r="D339" s="2317"/>
      <c r="E339" s="2338"/>
      <c r="F339" s="2338"/>
      <c r="G339" s="2338"/>
      <c r="H339" s="2339"/>
      <c r="I339" s="2340"/>
      <c r="J339" s="2341"/>
      <c r="K339" s="2342"/>
      <c r="L339" s="2342"/>
      <c r="M339" s="2343"/>
      <c r="N339" s="2343"/>
      <c r="O339" s="2343"/>
      <c r="P339" s="2341"/>
      <c r="Q339" s="2344"/>
      <c r="R339" s="2345"/>
      <c r="S339" s="2343"/>
      <c r="T339" s="2346"/>
      <c r="U339" s="2347"/>
      <c r="V339" s="2348"/>
      <c r="W339" s="2348"/>
      <c r="X339" s="2349"/>
      <c r="Y339" s="2350"/>
      <c r="Z339" s="2350"/>
      <c r="AA339" s="2350"/>
      <c r="AB339" s="2350"/>
      <c r="AC339" s="2351"/>
    </row>
    <row r="340" spans="1:29" s="2318" customFormat="1" ht="84" customHeight="1">
      <c r="A340" s="2321" t="str">
        <f t="shared" si="6"/>
        <v/>
      </c>
      <c r="B340" s="2353" t="s">
        <v>3132</v>
      </c>
      <c r="C340" s="2352"/>
      <c r="D340" s="2319"/>
      <c r="E340" s="2319"/>
      <c r="F340" s="2319"/>
      <c r="G340" s="2319"/>
      <c r="H340" s="2319"/>
      <c r="I340" s="2319"/>
      <c r="J340" s="2354"/>
      <c r="K340" s="2355"/>
      <c r="L340" s="2355"/>
      <c r="M340" s="2356"/>
      <c r="N340" s="2356"/>
      <c r="O340" s="2356"/>
      <c r="P340" s="2354"/>
      <c r="Q340" s="2344"/>
      <c r="R340" s="2345"/>
      <c r="S340" s="2356"/>
      <c r="T340" s="2346"/>
      <c r="U340" s="2347"/>
      <c r="V340" s="2357"/>
      <c r="W340" s="2357"/>
      <c r="X340" s="2349"/>
      <c r="Y340" s="2358"/>
      <c r="Z340" s="2358"/>
      <c r="AA340" s="2358"/>
      <c r="AB340" s="2358"/>
      <c r="AC340" s="2359"/>
    </row>
    <row r="341" spans="1:29" s="2318" customFormat="1" ht="105" customHeight="1">
      <c r="A341" s="2336" t="str">
        <f t="shared" si="6"/>
        <v/>
      </c>
      <c r="B341" s="2337" t="s">
        <v>3133</v>
      </c>
      <c r="C341" s="2336"/>
      <c r="D341" s="2317"/>
      <c r="E341" s="2338"/>
      <c r="F341" s="2338"/>
      <c r="G341" s="2338"/>
      <c r="H341" s="2339"/>
      <c r="I341" s="2340"/>
      <c r="J341" s="2341"/>
      <c r="K341" s="2342"/>
      <c r="L341" s="2342"/>
      <c r="M341" s="2343"/>
      <c r="N341" s="2343"/>
      <c r="O341" s="2343"/>
      <c r="P341" s="2341"/>
      <c r="Q341" s="2344"/>
      <c r="R341" s="2345"/>
      <c r="S341" s="2343"/>
      <c r="T341" s="2346"/>
      <c r="U341" s="2347"/>
      <c r="V341" s="2348"/>
      <c r="W341" s="2348"/>
      <c r="X341" s="2349"/>
      <c r="Y341" s="2350"/>
      <c r="Z341" s="2350"/>
      <c r="AA341" s="2350"/>
      <c r="AB341" s="2350"/>
      <c r="AC341" s="2351"/>
    </row>
    <row r="342" spans="1:29" s="2316" customFormat="1" ht="50" customHeight="1">
      <c r="A342" s="2321">
        <f t="shared" si="6"/>
        <v>85</v>
      </c>
      <c r="B342" s="2322"/>
      <c r="C342" s="2321"/>
      <c r="D342" s="2315"/>
      <c r="E342" s="2323"/>
      <c r="F342" s="2323"/>
      <c r="G342" s="2323"/>
      <c r="H342" s="2324"/>
      <c r="I342" s="2325"/>
      <c r="J342" s="2326"/>
      <c r="K342" s="2327"/>
      <c r="L342" s="2327"/>
      <c r="M342" s="2328"/>
      <c r="N342" s="2328"/>
      <c r="O342" s="2328"/>
      <c r="P342" s="2326"/>
      <c r="Q342" s="2329"/>
      <c r="R342" s="2330"/>
      <c r="S342" s="2328"/>
      <c r="T342" s="2331"/>
      <c r="U342" s="2332"/>
      <c r="V342" s="2323"/>
      <c r="W342" s="2323"/>
      <c r="X342" s="2333"/>
      <c r="Y342" s="2334"/>
      <c r="Z342" s="2334"/>
      <c r="AA342" s="2334"/>
      <c r="AB342" s="2334"/>
      <c r="AC342" s="2335"/>
    </row>
    <row r="343" spans="1:29" s="2318" customFormat="1" ht="105" customHeight="1">
      <c r="A343" s="2336" t="str">
        <f t="shared" si="6"/>
        <v/>
      </c>
      <c r="B343" s="2337"/>
      <c r="C343" s="2336"/>
      <c r="D343" s="2317"/>
      <c r="E343" s="2338"/>
      <c r="F343" s="2338"/>
      <c r="G343" s="2338"/>
      <c r="H343" s="2339"/>
      <c r="I343" s="2340"/>
      <c r="J343" s="2341"/>
      <c r="K343" s="2342"/>
      <c r="L343" s="2342"/>
      <c r="M343" s="2343"/>
      <c r="N343" s="2343"/>
      <c r="O343" s="2343"/>
      <c r="P343" s="2341"/>
      <c r="Q343" s="2344"/>
      <c r="R343" s="2345"/>
      <c r="S343" s="2343"/>
      <c r="T343" s="2346"/>
      <c r="U343" s="2347"/>
      <c r="V343" s="2348"/>
      <c r="W343" s="2348"/>
      <c r="X343" s="2349"/>
      <c r="Y343" s="2350"/>
      <c r="Z343" s="2350"/>
      <c r="AA343" s="2350"/>
      <c r="AB343" s="2350"/>
      <c r="AC343" s="2351"/>
    </row>
    <row r="344" spans="1:29" s="2318" customFormat="1" ht="84" customHeight="1">
      <c r="A344" s="2321" t="str">
        <f t="shared" si="6"/>
        <v/>
      </c>
      <c r="B344" s="2353" t="s">
        <v>3132</v>
      </c>
      <c r="C344" s="2352"/>
      <c r="D344" s="2319"/>
      <c r="E344" s="2319"/>
      <c r="F344" s="2319"/>
      <c r="G344" s="2319"/>
      <c r="H344" s="2319"/>
      <c r="I344" s="2319"/>
      <c r="J344" s="2354"/>
      <c r="K344" s="2355"/>
      <c r="L344" s="2355"/>
      <c r="M344" s="2356"/>
      <c r="N344" s="2356"/>
      <c r="O344" s="2356"/>
      <c r="P344" s="2354"/>
      <c r="Q344" s="2344"/>
      <c r="R344" s="2345"/>
      <c r="S344" s="2356"/>
      <c r="T344" s="2346"/>
      <c r="U344" s="2347"/>
      <c r="V344" s="2357"/>
      <c r="W344" s="2357"/>
      <c r="X344" s="2349"/>
      <c r="Y344" s="2358"/>
      <c r="Z344" s="2358"/>
      <c r="AA344" s="2358"/>
      <c r="AB344" s="2358"/>
      <c r="AC344" s="2359"/>
    </row>
    <row r="345" spans="1:29" s="2318" customFormat="1" ht="105" customHeight="1">
      <c r="A345" s="2336" t="str">
        <f t="shared" si="6"/>
        <v/>
      </c>
      <c r="B345" s="2337" t="s">
        <v>3133</v>
      </c>
      <c r="C345" s="2336"/>
      <c r="D345" s="2317"/>
      <c r="E345" s="2338"/>
      <c r="F345" s="2338"/>
      <c r="G345" s="2338"/>
      <c r="H345" s="2339"/>
      <c r="I345" s="2340"/>
      <c r="J345" s="2341"/>
      <c r="K345" s="2342"/>
      <c r="L345" s="2342"/>
      <c r="M345" s="2343"/>
      <c r="N345" s="2343"/>
      <c r="O345" s="2343"/>
      <c r="P345" s="2341"/>
      <c r="Q345" s="2344"/>
      <c r="R345" s="2345"/>
      <c r="S345" s="2343"/>
      <c r="T345" s="2346"/>
      <c r="U345" s="2347"/>
      <c r="V345" s="2348"/>
      <c r="W345" s="2348"/>
      <c r="X345" s="2349"/>
      <c r="Y345" s="2350"/>
      <c r="Z345" s="2350"/>
      <c r="AA345" s="2350"/>
      <c r="AB345" s="2350"/>
      <c r="AC345" s="2351"/>
    </row>
    <row r="346" spans="1:29" s="2316" customFormat="1" ht="50" customHeight="1">
      <c r="A346" s="2321">
        <f t="shared" si="6"/>
        <v>86</v>
      </c>
      <c r="B346" s="2322"/>
      <c r="C346" s="2321"/>
      <c r="D346" s="2315"/>
      <c r="E346" s="2323"/>
      <c r="F346" s="2323"/>
      <c r="G346" s="2323"/>
      <c r="H346" s="2324"/>
      <c r="I346" s="2325"/>
      <c r="J346" s="2326"/>
      <c r="K346" s="2327"/>
      <c r="L346" s="2327"/>
      <c r="M346" s="2328"/>
      <c r="N346" s="2328"/>
      <c r="O346" s="2328"/>
      <c r="P346" s="2326"/>
      <c r="Q346" s="2329"/>
      <c r="R346" s="2330"/>
      <c r="S346" s="2328"/>
      <c r="T346" s="2331"/>
      <c r="U346" s="2332"/>
      <c r="V346" s="2323"/>
      <c r="W346" s="2323"/>
      <c r="X346" s="2333"/>
      <c r="Y346" s="2334"/>
      <c r="Z346" s="2334"/>
      <c r="AA346" s="2334"/>
      <c r="AB346" s="2334"/>
      <c r="AC346" s="2335"/>
    </row>
    <row r="347" spans="1:29" s="2318" customFormat="1" ht="105" customHeight="1">
      <c r="A347" s="2336" t="str">
        <f t="shared" si="6"/>
        <v/>
      </c>
      <c r="B347" s="2337"/>
      <c r="C347" s="2336"/>
      <c r="D347" s="2317"/>
      <c r="E347" s="2338"/>
      <c r="F347" s="2338"/>
      <c r="G347" s="2338"/>
      <c r="H347" s="2339"/>
      <c r="I347" s="2340"/>
      <c r="J347" s="2341"/>
      <c r="K347" s="2342"/>
      <c r="L347" s="2342"/>
      <c r="M347" s="2343"/>
      <c r="N347" s="2343"/>
      <c r="O347" s="2343"/>
      <c r="P347" s="2341"/>
      <c r="Q347" s="2344"/>
      <c r="R347" s="2345"/>
      <c r="S347" s="2343"/>
      <c r="T347" s="2346"/>
      <c r="U347" s="2347"/>
      <c r="V347" s="2348"/>
      <c r="W347" s="2348"/>
      <c r="X347" s="2349"/>
      <c r="Y347" s="2350"/>
      <c r="Z347" s="2350"/>
      <c r="AA347" s="2350"/>
      <c r="AB347" s="2350"/>
      <c r="AC347" s="2351"/>
    </row>
    <row r="348" spans="1:29" s="2318" customFormat="1" ht="84" customHeight="1">
      <c r="A348" s="2321" t="str">
        <f t="shared" si="6"/>
        <v/>
      </c>
      <c r="B348" s="2353" t="s">
        <v>3132</v>
      </c>
      <c r="C348" s="2352"/>
      <c r="D348" s="2319"/>
      <c r="E348" s="2319"/>
      <c r="F348" s="2319"/>
      <c r="G348" s="2319"/>
      <c r="H348" s="2319"/>
      <c r="I348" s="2319"/>
      <c r="J348" s="2354"/>
      <c r="K348" s="2355"/>
      <c r="L348" s="2355"/>
      <c r="M348" s="2356"/>
      <c r="N348" s="2356"/>
      <c r="O348" s="2356"/>
      <c r="P348" s="2354"/>
      <c r="Q348" s="2344"/>
      <c r="R348" s="2345"/>
      <c r="S348" s="2356"/>
      <c r="T348" s="2346"/>
      <c r="U348" s="2347"/>
      <c r="V348" s="2357"/>
      <c r="W348" s="2357"/>
      <c r="X348" s="2349"/>
      <c r="Y348" s="2358"/>
      <c r="Z348" s="2358"/>
      <c r="AA348" s="2358"/>
      <c r="AB348" s="2358"/>
      <c r="AC348" s="2359"/>
    </row>
    <row r="349" spans="1:29" s="2318" customFormat="1" ht="105" customHeight="1">
      <c r="A349" s="2336" t="str">
        <f t="shared" si="6"/>
        <v/>
      </c>
      <c r="B349" s="2337" t="s">
        <v>3133</v>
      </c>
      <c r="C349" s="2336"/>
      <c r="D349" s="2317"/>
      <c r="E349" s="2338"/>
      <c r="F349" s="2338"/>
      <c r="G349" s="2338"/>
      <c r="H349" s="2339"/>
      <c r="I349" s="2340"/>
      <c r="J349" s="2341"/>
      <c r="K349" s="2342"/>
      <c r="L349" s="2342"/>
      <c r="M349" s="2343"/>
      <c r="N349" s="2343"/>
      <c r="O349" s="2343"/>
      <c r="P349" s="2341"/>
      <c r="Q349" s="2344"/>
      <c r="R349" s="2345"/>
      <c r="S349" s="2343"/>
      <c r="T349" s="2346"/>
      <c r="U349" s="2347"/>
      <c r="V349" s="2348"/>
      <c r="W349" s="2348"/>
      <c r="X349" s="2349"/>
      <c r="Y349" s="2350"/>
      <c r="Z349" s="2350"/>
      <c r="AA349" s="2350"/>
      <c r="AB349" s="2350"/>
      <c r="AC349" s="2351"/>
    </row>
    <row r="350" spans="1:29" s="2316" customFormat="1" ht="50" customHeight="1">
      <c r="A350" s="2321">
        <f t="shared" si="6"/>
        <v>87</v>
      </c>
      <c r="B350" s="2322"/>
      <c r="C350" s="2321"/>
      <c r="D350" s="2315"/>
      <c r="E350" s="2323"/>
      <c r="F350" s="2323"/>
      <c r="G350" s="2323"/>
      <c r="H350" s="2324"/>
      <c r="I350" s="2325"/>
      <c r="J350" s="2326"/>
      <c r="K350" s="2327"/>
      <c r="L350" s="2327"/>
      <c r="M350" s="2328"/>
      <c r="N350" s="2328"/>
      <c r="O350" s="2328"/>
      <c r="P350" s="2326"/>
      <c r="Q350" s="2329"/>
      <c r="R350" s="2330"/>
      <c r="S350" s="2328"/>
      <c r="T350" s="2331"/>
      <c r="U350" s="2332"/>
      <c r="V350" s="2323"/>
      <c r="W350" s="2323"/>
      <c r="X350" s="2333"/>
      <c r="Y350" s="2334"/>
      <c r="Z350" s="2334"/>
      <c r="AA350" s="2334"/>
      <c r="AB350" s="2334"/>
      <c r="AC350" s="2335"/>
    </row>
    <row r="351" spans="1:29" s="2318" customFormat="1" ht="89" customHeight="1">
      <c r="A351" s="2321" t="str">
        <f t="shared" si="6"/>
        <v/>
      </c>
      <c r="B351" s="2337"/>
      <c r="C351" s="2336"/>
      <c r="D351" s="2317"/>
      <c r="E351" s="2338"/>
      <c r="F351" s="2338"/>
      <c r="G351" s="2338"/>
      <c r="H351" s="2339"/>
      <c r="I351" s="2340"/>
      <c r="J351" s="2341"/>
      <c r="K351" s="2342"/>
      <c r="L351" s="2342"/>
      <c r="M351" s="2343"/>
      <c r="N351" s="2343"/>
      <c r="O351" s="2343"/>
      <c r="P351" s="2341"/>
      <c r="Q351" s="2344"/>
      <c r="R351" s="2345"/>
      <c r="S351" s="2343"/>
      <c r="T351" s="2346"/>
      <c r="U351" s="2347"/>
      <c r="V351" s="2348"/>
      <c r="W351" s="2348"/>
      <c r="X351" s="2349"/>
      <c r="Y351" s="2350"/>
      <c r="Z351" s="2350"/>
      <c r="AA351" s="2350"/>
      <c r="AB351" s="2350"/>
      <c r="AC351" s="2351"/>
    </row>
    <row r="352" spans="1:29" s="2318" customFormat="1" ht="84" customHeight="1">
      <c r="A352" s="2321" t="str">
        <f t="shared" si="6"/>
        <v/>
      </c>
      <c r="B352" s="2353" t="s">
        <v>3132</v>
      </c>
      <c r="C352" s="2352"/>
      <c r="D352" s="2319"/>
      <c r="E352" s="2319"/>
      <c r="F352" s="2319"/>
      <c r="G352" s="2319"/>
      <c r="H352" s="2319"/>
      <c r="I352" s="2319"/>
      <c r="J352" s="2354"/>
      <c r="K352" s="2355"/>
      <c r="L352" s="2355"/>
      <c r="M352" s="2356"/>
      <c r="N352" s="2356"/>
      <c r="O352" s="2356"/>
      <c r="P352" s="2354"/>
      <c r="Q352" s="2344"/>
      <c r="R352" s="2345"/>
      <c r="S352" s="2356"/>
      <c r="T352" s="2346"/>
      <c r="U352" s="2347"/>
      <c r="V352" s="2357"/>
      <c r="W352" s="2357"/>
      <c r="X352" s="2349"/>
      <c r="Y352" s="2358"/>
      <c r="Z352" s="2358"/>
      <c r="AA352" s="2358"/>
      <c r="AB352" s="2358"/>
      <c r="AC352" s="2359"/>
    </row>
    <row r="353" spans="1:29" s="2318" customFormat="1" ht="85" customHeight="1">
      <c r="A353" s="2321" t="str">
        <f t="shared" si="6"/>
        <v/>
      </c>
      <c r="B353" s="2337" t="s">
        <v>3133</v>
      </c>
      <c r="C353" s="2336"/>
      <c r="D353" s="2317"/>
      <c r="E353" s="2338"/>
      <c r="F353" s="2338"/>
      <c r="G353" s="2338"/>
      <c r="H353" s="2339"/>
      <c r="I353" s="2340"/>
      <c r="J353" s="2341"/>
      <c r="K353" s="2342"/>
      <c r="L353" s="2342"/>
      <c r="M353" s="2343"/>
      <c r="N353" s="2343"/>
      <c r="O353" s="2343"/>
      <c r="P353" s="2341"/>
      <c r="Q353" s="2344"/>
      <c r="R353" s="2345"/>
      <c r="S353" s="2343"/>
      <c r="T353" s="2346"/>
      <c r="U353" s="2347"/>
      <c r="V353" s="2348"/>
      <c r="W353" s="2348"/>
      <c r="X353" s="2349"/>
      <c r="Y353" s="2350"/>
      <c r="Z353" s="2350"/>
      <c r="AA353" s="2350"/>
      <c r="AB353" s="2350"/>
      <c r="AC353" s="2351"/>
    </row>
    <row r="354" spans="1:29" s="2316" customFormat="1" ht="50" customHeight="1">
      <c r="A354" s="2321">
        <f t="shared" si="6"/>
        <v>88</v>
      </c>
      <c r="B354" s="2322"/>
      <c r="C354" s="2321"/>
      <c r="D354" s="2315"/>
      <c r="E354" s="2323"/>
      <c r="F354" s="2323"/>
      <c r="G354" s="2323"/>
      <c r="H354" s="2324"/>
      <c r="I354" s="2325"/>
      <c r="J354" s="2326"/>
      <c r="K354" s="2327"/>
      <c r="L354" s="2327"/>
      <c r="M354" s="2328"/>
      <c r="N354" s="2328"/>
      <c r="O354" s="2328"/>
      <c r="P354" s="2326"/>
      <c r="Q354" s="2329"/>
      <c r="R354" s="2330"/>
      <c r="S354" s="2328"/>
      <c r="T354" s="2331"/>
      <c r="U354" s="2332"/>
      <c r="V354" s="2323"/>
      <c r="W354" s="2323"/>
      <c r="X354" s="2333"/>
      <c r="Y354" s="2334"/>
      <c r="Z354" s="2334"/>
      <c r="AA354" s="2334"/>
      <c r="AB354" s="2334"/>
      <c r="AC354" s="2335"/>
    </row>
    <row r="355" spans="1:29" s="2318" customFormat="1" ht="89" customHeight="1">
      <c r="A355" s="2321" t="str">
        <f t="shared" si="6"/>
        <v/>
      </c>
      <c r="B355" s="2337"/>
      <c r="C355" s="2336"/>
      <c r="D355" s="2317"/>
      <c r="E355" s="2338"/>
      <c r="F355" s="2338"/>
      <c r="G355" s="2338"/>
      <c r="H355" s="2339"/>
      <c r="I355" s="2340"/>
      <c r="J355" s="2341"/>
      <c r="K355" s="2342"/>
      <c r="L355" s="2342"/>
      <c r="M355" s="2343"/>
      <c r="N355" s="2343"/>
      <c r="O355" s="2343"/>
      <c r="P355" s="2341"/>
      <c r="Q355" s="2344"/>
      <c r="R355" s="2345"/>
      <c r="S355" s="2343"/>
      <c r="T355" s="2346"/>
      <c r="U355" s="2347"/>
      <c r="V355" s="2348"/>
      <c r="W355" s="2348"/>
      <c r="X355" s="2349"/>
      <c r="Y355" s="2350"/>
      <c r="Z355" s="2350"/>
      <c r="AA355" s="2350"/>
      <c r="AB355" s="2350"/>
      <c r="AC355" s="2351"/>
    </row>
    <row r="356" spans="1:29" s="2318" customFormat="1" ht="84" customHeight="1">
      <c r="A356" s="2321" t="str">
        <f t="shared" si="6"/>
        <v/>
      </c>
      <c r="B356" s="2353" t="s">
        <v>3132</v>
      </c>
      <c r="C356" s="2352"/>
      <c r="D356" s="2319"/>
      <c r="E356" s="2319"/>
      <c r="F356" s="2319"/>
      <c r="G356" s="2319"/>
      <c r="H356" s="2319"/>
      <c r="I356" s="2319"/>
      <c r="J356" s="2354"/>
      <c r="K356" s="2355"/>
      <c r="L356" s="2355"/>
      <c r="M356" s="2356"/>
      <c r="N356" s="2356"/>
      <c r="O356" s="2356"/>
      <c r="P356" s="2354"/>
      <c r="Q356" s="2344"/>
      <c r="R356" s="2345"/>
      <c r="S356" s="2356"/>
      <c r="T356" s="2346"/>
      <c r="U356" s="2347"/>
      <c r="V356" s="2357"/>
      <c r="W356" s="2357"/>
      <c r="X356" s="2349"/>
      <c r="Y356" s="2358"/>
      <c r="Z356" s="2358"/>
      <c r="AA356" s="2358"/>
      <c r="AB356" s="2358"/>
      <c r="AC356" s="2359"/>
    </row>
    <row r="357" spans="1:29" s="2318" customFormat="1" ht="85" customHeight="1">
      <c r="A357" s="2321" t="str">
        <f t="shared" si="6"/>
        <v/>
      </c>
      <c r="B357" s="2337" t="s">
        <v>3133</v>
      </c>
      <c r="C357" s="2336"/>
      <c r="D357" s="2317"/>
      <c r="E357" s="2338"/>
      <c r="F357" s="2338"/>
      <c r="G357" s="2338"/>
      <c r="H357" s="2339"/>
      <c r="I357" s="2340"/>
      <c r="J357" s="2341"/>
      <c r="K357" s="2342"/>
      <c r="L357" s="2342"/>
      <c r="M357" s="2343"/>
      <c r="N357" s="2343"/>
      <c r="O357" s="2343"/>
      <c r="P357" s="2341"/>
      <c r="Q357" s="2344"/>
      <c r="R357" s="2345"/>
      <c r="S357" s="2343"/>
      <c r="T357" s="2346"/>
      <c r="U357" s="2347"/>
      <c r="V357" s="2348"/>
      <c r="W357" s="2348"/>
      <c r="X357" s="2349"/>
      <c r="Y357" s="2350"/>
      <c r="Z357" s="2350"/>
      <c r="AA357" s="2350"/>
      <c r="AB357" s="2350"/>
      <c r="AC357" s="2351"/>
    </row>
    <row r="358" spans="1:29" s="2316" customFormat="1" ht="50" customHeight="1">
      <c r="A358" s="2321">
        <f t="shared" si="6"/>
        <v>89</v>
      </c>
      <c r="B358" s="2322"/>
      <c r="C358" s="2321"/>
      <c r="D358" s="2315"/>
      <c r="E358" s="2323"/>
      <c r="F358" s="2323"/>
      <c r="G358" s="2323"/>
      <c r="H358" s="2324"/>
      <c r="I358" s="2325"/>
      <c r="J358" s="2326"/>
      <c r="K358" s="2327"/>
      <c r="L358" s="2327"/>
      <c r="M358" s="2328"/>
      <c r="N358" s="2328"/>
      <c r="O358" s="2328"/>
      <c r="P358" s="2326"/>
      <c r="Q358" s="2329"/>
      <c r="R358" s="2330"/>
      <c r="S358" s="2328"/>
      <c r="T358" s="2331"/>
      <c r="U358" s="2332"/>
      <c r="V358" s="2323"/>
      <c r="W358" s="2323"/>
      <c r="X358" s="2333"/>
      <c r="Y358" s="2334"/>
      <c r="Z358" s="2334"/>
      <c r="AA358" s="2334"/>
      <c r="AB358" s="2334"/>
      <c r="AC358" s="2335"/>
    </row>
    <row r="359" spans="1:29" s="2318" customFormat="1" ht="89" customHeight="1">
      <c r="A359" s="2321" t="str">
        <f t="shared" si="6"/>
        <v/>
      </c>
      <c r="B359" s="2337"/>
      <c r="C359" s="2336"/>
      <c r="D359" s="2317"/>
      <c r="E359" s="2338"/>
      <c r="F359" s="2338"/>
      <c r="G359" s="2338"/>
      <c r="H359" s="2339"/>
      <c r="I359" s="2340"/>
      <c r="J359" s="2341"/>
      <c r="K359" s="2342"/>
      <c r="L359" s="2342"/>
      <c r="M359" s="2343"/>
      <c r="N359" s="2343"/>
      <c r="O359" s="2343"/>
      <c r="P359" s="2341"/>
      <c r="Q359" s="2344"/>
      <c r="R359" s="2345"/>
      <c r="S359" s="2343"/>
      <c r="T359" s="2346"/>
      <c r="U359" s="2347"/>
      <c r="V359" s="2348"/>
      <c r="W359" s="2348"/>
      <c r="X359" s="2349"/>
      <c r="Y359" s="2350"/>
      <c r="Z359" s="2350"/>
      <c r="AA359" s="2350"/>
      <c r="AB359" s="2350"/>
      <c r="AC359" s="2351"/>
    </row>
    <row r="360" spans="1:29" s="2318" customFormat="1" ht="84" customHeight="1">
      <c r="A360" s="2321" t="str">
        <f t="shared" si="6"/>
        <v/>
      </c>
      <c r="B360" s="2353" t="s">
        <v>3132</v>
      </c>
      <c r="C360" s="2352"/>
      <c r="D360" s="2319"/>
      <c r="E360" s="2319"/>
      <c r="F360" s="2319"/>
      <c r="G360" s="2319"/>
      <c r="H360" s="2319"/>
      <c r="I360" s="2319"/>
      <c r="J360" s="2354"/>
      <c r="K360" s="2355"/>
      <c r="L360" s="2355"/>
      <c r="M360" s="2356"/>
      <c r="N360" s="2356"/>
      <c r="O360" s="2356"/>
      <c r="P360" s="2354"/>
      <c r="Q360" s="2344"/>
      <c r="R360" s="2345"/>
      <c r="S360" s="2356"/>
      <c r="T360" s="2346"/>
      <c r="U360" s="2347"/>
      <c r="V360" s="2357"/>
      <c r="W360" s="2357"/>
      <c r="X360" s="2349"/>
      <c r="Y360" s="2358"/>
      <c r="Z360" s="2358"/>
      <c r="AA360" s="2358"/>
      <c r="AB360" s="2358"/>
      <c r="AC360" s="2359"/>
    </row>
    <row r="361" spans="1:29" s="2318" customFormat="1" ht="85" customHeight="1">
      <c r="A361" s="2321" t="str">
        <f t="shared" si="6"/>
        <v/>
      </c>
      <c r="B361" s="2337" t="s">
        <v>3133</v>
      </c>
      <c r="C361" s="2336"/>
      <c r="D361" s="2317"/>
      <c r="E361" s="2338"/>
      <c r="F361" s="2338"/>
      <c r="G361" s="2338"/>
      <c r="H361" s="2339"/>
      <c r="I361" s="2340"/>
      <c r="J361" s="2341"/>
      <c r="K361" s="2342"/>
      <c r="L361" s="2342"/>
      <c r="M361" s="2343"/>
      <c r="N361" s="2343"/>
      <c r="O361" s="2343"/>
      <c r="P361" s="2341"/>
      <c r="Q361" s="2344"/>
      <c r="R361" s="2345"/>
      <c r="S361" s="2343"/>
      <c r="T361" s="2346"/>
      <c r="U361" s="2347"/>
      <c r="V361" s="2348"/>
      <c r="W361" s="2348"/>
      <c r="X361" s="2349"/>
      <c r="Y361" s="2350"/>
      <c r="Z361" s="2350"/>
      <c r="AA361" s="2350"/>
      <c r="AB361" s="2350"/>
      <c r="AC361" s="2351"/>
    </row>
    <row r="362" spans="1:29" s="2316" customFormat="1" ht="50" customHeight="1">
      <c r="A362" s="2321">
        <f t="shared" si="6"/>
        <v>90</v>
      </c>
      <c r="B362" s="2322"/>
      <c r="C362" s="2321"/>
      <c r="D362" s="2315"/>
      <c r="E362" s="2323"/>
      <c r="F362" s="2323"/>
      <c r="G362" s="2323"/>
      <c r="H362" s="2324"/>
      <c r="I362" s="2325"/>
      <c r="J362" s="2326"/>
      <c r="K362" s="2327"/>
      <c r="L362" s="2327"/>
      <c r="M362" s="2328"/>
      <c r="N362" s="2328"/>
      <c r="O362" s="2328"/>
      <c r="P362" s="2326"/>
      <c r="Q362" s="2329"/>
      <c r="R362" s="2330"/>
      <c r="S362" s="2328"/>
      <c r="T362" s="2331"/>
      <c r="U362" s="2332"/>
      <c r="V362" s="2323"/>
      <c r="W362" s="2323"/>
      <c r="X362" s="2333"/>
      <c r="Y362" s="2334"/>
      <c r="Z362" s="2334"/>
      <c r="AA362" s="2334"/>
      <c r="AB362" s="2334"/>
      <c r="AC362" s="2335"/>
    </row>
    <row r="363" spans="1:29" s="2318" customFormat="1" ht="89" customHeight="1">
      <c r="A363" s="2321" t="str">
        <f t="shared" si="6"/>
        <v/>
      </c>
      <c r="B363" s="2337"/>
      <c r="C363" s="2336"/>
      <c r="D363" s="2317"/>
      <c r="E363" s="2338"/>
      <c r="F363" s="2338"/>
      <c r="G363" s="2338"/>
      <c r="H363" s="2339"/>
      <c r="I363" s="2340"/>
      <c r="J363" s="2341"/>
      <c r="K363" s="2342"/>
      <c r="L363" s="2342"/>
      <c r="M363" s="2343"/>
      <c r="N363" s="2343"/>
      <c r="O363" s="2343"/>
      <c r="P363" s="2341"/>
      <c r="Q363" s="2344"/>
      <c r="R363" s="2345"/>
      <c r="S363" s="2343"/>
      <c r="T363" s="2346"/>
      <c r="U363" s="2347"/>
      <c r="V363" s="2348"/>
      <c r="W363" s="2348"/>
      <c r="X363" s="2349"/>
      <c r="Y363" s="2350"/>
      <c r="Z363" s="2350"/>
      <c r="AA363" s="2350"/>
      <c r="AB363" s="2350"/>
      <c r="AC363" s="2351"/>
    </row>
    <row r="364" spans="1:29" s="2318" customFormat="1" ht="84" customHeight="1">
      <c r="A364" s="2321" t="str">
        <f t="shared" si="6"/>
        <v/>
      </c>
      <c r="B364" s="2353" t="s">
        <v>3132</v>
      </c>
      <c r="C364" s="2352"/>
      <c r="D364" s="2319"/>
      <c r="E364" s="2319"/>
      <c r="F364" s="2319"/>
      <c r="G364" s="2319"/>
      <c r="H364" s="2319"/>
      <c r="I364" s="2319"/>
      <c r="J364" s="2354"/>
      <c r="K364" s="2355"/>
      <c r="L364" s="2355"/>
      <c r="M364" s="2356"/>
      <c r="N364" s="2356"/>
      <c r="O364" s="2356"/>
      <c r="P364" s="2354"/>
      <c r="Q364" s="2344"/>
      <c r="R364" s="2345"/>
      <c r="S364" s="2356"/>
      <c r="T364" s="2346"/>
      <c r="U364" s="2347"/>
      <c r="V364" s="2357"/>
      <c r="W364" s="2357"/>
      <c r="X364" s="2349"/>
      <c r="Y364" s="2358"/>
      <c r="Z364" s="2358"/>
      <c r="AA364" s="2358"/>
      <c r="AB364" s="2358"/>
      <c r="AC364" s="2359"/>
    </row>
    <row r="365" spans="1:29" s="2318" customFormat="1" ht="85" customHeight="1">
      <c r="A365" s="2321" t="str">
        <f t="shared" si="6"/>
        <v/>
      </c>
      <c r="B365" s="2337" t="s">
        <v>3133</v>
      </c>
      <c r="C365" s="2336"/>
      <c r="D365" s="2317"/>
      <c r="E365" s="2338"/>
      <c r="F365" s="2338"/>
      <c r="G365" s="2338"/>
      <c r="H365" s="2339"/>
      <c r="I365" s="2340"/>
      <c r="J365" s="2341"/>
      <c r="K365" s="2342"/>
      <c r="L365" s="2342"/>
      <c r="M365" s="2343"/>
      <c r="N365" s="2343"/>
      <c r="O365" s="2343"/>
      <c r="P365" s="2341"/>
      <c r="Q365" s="2344"/>
      <c r="R365" s="2345"/>
      <c r="S365" s="2343"/>
      <c r="T365" s="2346"/>
      <c r="U365" s="2347"/>
      <c r="V365" s="2348"/>
      <c r="W365" s="2348"/>
      <c r="X365" s="2349"/>
      <c r="Y365" s="2350"/>
      <c r="Z365" s="2350"/>
      <c r="AA365" s="2350"/>
      <c r="AB365" s="2350"/>
      <c r="AC365" s="2351"/>
    </row>
    <row r="366" spans="1:29" s="2316" customFormat="1" ht="50" customHeight="1">
      <c r="A366" s="2321">
        <f t="shared" si="6"/>
        <v>91</v>
      </c>
      <c r="B366" s="2322"/>
      <c r="C366" s="2321"/>
      <c r="D366" s="2315"/>
      <c r="E366" s="2323"/>
      <c r="F366" s="2323"/>
      <c r="G366" s="2323"/>
      <c r="H366" s="2324"/>
      <c r="I366" s="2325"/>
      <c r="J366" s="2326"/>
      <c r="K366" s="2327"/>
      <c r="L366" s="2327"/>
      <c r="M366" s="2328"/>
      <c r="N366" s="2328"/>
      <c r="O366" s="2328"/>
      <c r="P366" s="2326"/>
      <c r="Q366" s="2329"/>
      <c r="R366" s="2330"/>
      <c r="S366" s="2328"/>
      <c r="T366" s="2331"/>
      <c r="U366" s="2332"/>
      <c r="V366" s="2323"/>
      <c r="W366" s="2323"/>
      <c r="X366" s="2333"/>
      <c r="Y366" s="2334"/>
      <c r="Z366" s="2334"/>
      <c r="AA366" s="2334"/>
      <c r="AB366" s="2334"/>
      <c r="AC366" s="2335"/>
    </row>
    <row r="367" spans="1:29" s="2318" customFormat="1" ht="89" customHeight="1">
      <c r="A367" s="2321" t="str">
        <f t="shared" si="6"/>
        <v/>
      </c>
      <c r="B367" s="2337"/>
      <c r="C367" s="2336"/>
      <c r="D367" s="2317"/>
      <c r="E367" s="2338"/>
      <c r="F367" s="2338"/>
      <c r="G367" s="2338"/>
      <c r="H367" s="2339"/>
      <c r="I367" s="2340"/>
      <c r="J367" s="2341"/>
      <c r="K367" s="2342"/>
      <c r="L367" s="2342"/>
      <c r="M367" s="2343"/>
      <c r="N367" s="2343"/>
      <c r="O367" s="2343"/>
      <c r="P367" s="2341"/>
      <c r="Q367" s="2344"/>
      <c r="R367" s="2345"/>
      <c r="S367" s="2343"/>
      <c r="T367" s="2346"/>
      <c r="U367" s="2347"/>
      <c r="V367" s="2348"/>
      <c r="W367" s="2348"/>
      <c r="X367" s="2349"/>
      <c r="Y367" s="2350"/>
      <c r="Z367" s="2350"/>
      <c r="AA367" s="2350"/>
      <c r="AB367" s="2350"/>
      <c r="AC367" s="2351"/>
    </row>
    <row r="368" spans="1:29" s="2318" customFormat="1" ht="84" customHeight="1">
      <c r="A368" s="2321" t="str">
        <f t="shared" si="6"/>
        <v/>
      </c>
      <c r="B368" s="2353" t="s">
        <v>3132</v>
      </c>
      <c r="C368" s="2352"/>
      <c r="D368" s="2319"/>
      <c r="E368" s="2319"/>
      <c r="F368" s="2319"/>
      <c r="G368" s="2319"/>
      <c r="H368" s="2319"/>
      <c r="I368" s="2319"/>
      <c r="J368" s="2354"/>
      <c r="K368" s="2355"/>
      <c r="L368" s="2355"/>
      <c r="M368" s="2356"/>
      <c r="N368" s="2356"/>
      <c r="O368" s="2356"/>
      <c r="P368" s="2354"/>
      <c r="Q368" s="2344"/>
      <c r="R368" s="2345"/>
      <c r="S368" s="2356"/>
      <c r="T368" s="2346"/>
      <c r="U368" s="2347"/>
      <c r="V368" s="2357"/>
      <c r="W368" s="2357"/>
      <c r="X368" s="2349"/>
      <c r="Y368" s="2358"/>
      <c r="Z368" s="2358"/>
      <c r="AA368" s="2358"/>
      <c r="AB368" s="2358"/>
      <c r="AC368" s="2359"/>
    </row>
    <row r="369" spans="1:29" s="2318" customFormat="1" ht="85" customHeight="1">
      <c r="A369" s="2321" t="str">
        <f t="shared" si="6"/>
        <v/>
      </c>
      <c r="B369" s="2337" t="s">
        <v>3133</v>
      </c>
      <c r="C369" s="2336"/>
      <c r="D369" s="2317"/>
      <c r="E369" s="2338"/>
      <c r="F369" s="2338"/>
      <c r="G369" s="2338"/>
      <c r="H369" s="2339"/>
      <c r="I369" s="2340"/>
      <c r="J369" s="2341"/>
      <c r="K369" s="2342"/>
      <c r="L369" s="2342"/>
      <c r="M369" s="2343"/>
      <c r="N369" s="2343"/>
      <c r="O369" s="2343"/>
      <c r="P369" s="2341"/>
      <c r="Q369" s="2344"/>
      <c r="R369" s="2345"/>
      <c r="S369" s="2343"/>
      <c r="T369" s="2346"/>
      <c r="U369" s="2347"/>
      <c r="V369" s="2348"/>
      <c r="W369" s="2348"/>
      <c r="X369" s="2349"/>
      <c r="Y369" s="2350"/>
      <c r="Z369" s="2350"/>
      <c r="AA369" s="2350"/>
      <c r="AB369" s="2350"/>
      <c r="AC369" s="2351"/>
    </row>
    <row r="370" spans="1:29" s="2316" customFormat="1" ht="50" customHeight="1">
      <c r="A370" s="2321">
        <f t="shared" si="6"/>
        <v>92</v>
      </c>
      <c r="B370" s="2322"/>
      <c r="C370" s="2321"/>
      <c r="D370" s="2315"/>
      <c r="E370" s="2323"/>
      <c r="F370" s="2323"/>
      <c r="G370" s="2323"/>
      <c r="H370" s="2324"/>
      <c r="I370" s="2325"/>
      <c r="J370" s="2326"/>
      <c r="K370" s="2327"/>
      <c r="L370" s="2327"/>
      <c r="M370" s="2328"/>
      <c r="N370" s="2328"/>
      <c r="O370" s="2328"/>
      <c r="P370" s="2326"/>
      <c r="Q370" s="2329"/>
      <c r="R370" s="2330"/>
      <c r="S370" s="2328"/>
      <c r="T370" s="2331"/>
      <c r="U370" s="2332"/>
      <c r="V370" s="2323"/>
      <c r="W370" s="2323"/>
      <c r="X370" s="2333"/>
      <c r="Y370" s="2334"/>
      <c r="Z370" s="2334"/>
      <c r="AA370" s="2334"/>
      <c r="AB370" s="2334"/>
      <c r="AC370" s="2335"/>
    </row>
    <row r="371" spans="1:29" s="2318" customFormat="1" ht="89" customHeight="1">
      <c r="A371" s="2321" t="str">
        <f t="shared" si="6"/>
        <v/>
      </c>
      <c r="B371" s="2337"/>
      <c r="C371" s="2336"/>
      <c r="D371" s="2317"/>
      <c r="E371" s="2338"/>
      <c r="F371" s="2338"/>
      <c r="G371" s="2338"/>
      <c r="H371" s="2339"/>
      <c r="I371" s="2340"/>
      <c r="J371" s="2341"/>
      <c r="K371" s="2342"/>
      <c r="L371" s="2342"/>
      <c r="M371" s="2343"/>
      <c r="N371" s="2343"/>
      <c r="O371" s="2343"/>
      <c r="P371" s="2341"/>
      <c r="Q371" s="2344"/>
      <c r="R371" s="2345"/>
      <c r="S371" s="2343"/>
      <c r="T371" s="2346"/>
      <c r="U371" s="2347"/>
      <c r="V371" s="2348"/>
      <c r="W371" s="2348"/>
      <c r="X371" s="2349"/>
      <c r="Y371" s="2350"/>
      <c r="Z371" s="2350"/>
      <c r="AA371" s="2350"/>
      <c r="AB371" s="2350"/>
      <c r="AC371" s="2351"/>
    </row>
    <row r="372" spans="1:29" s="2318" customFormat="1" ht="84" customHeight="1">
      <c r="A372" s="2321" t="str">
        <f t="shared" si="6"/>
        <v/>
      </c>
      <c r="B372" s="2353" t="s">
        <v>3132</v>
      </c>
      <c r="C372" s="2352"/>
      <c r="D372" s="2319"/>
      <c r="E372" s="2319"/>
      <c r="F372" s="2319"/>
      <c r="G372" s="2319"/>
      <c r="H372" s="2319"/>
      <c r="I372" s="2319"/>
      <c r="J372" s="2354"/>
      <c r="K372" s="2355"/>
      <c r="L372" s="2355"/>
      <c r="M372" s="2356"/>
      <c r="N372" s="2356"/>
      <c r="O372" s="2356"/>
      <c r="P372" s="2354"/>
      <c r="Q372" s="2344"/>
      <c r="R372" s="2345"/>
      <c r="S372" s="2356"/>
      <c r="T372" s="2346"/>
      <c r="U372" s="2347"/>
      <c r="V372" s="2357"/>
      <c r="W372" s="2357"/>
      <c r="X372" s="2349"/>
      <c r="Y372" s="2358"/>
      <c r="Z372" s="2358"/>
      <c r="AA372" s="2358"/>
      <c r="AB372" s="2358"/>
      <c r="AC372" s="2359"/>
    </row>
    <row r="373" spans="1:29" s="2318" customFormat="1" ht="85" customHeight="1">
      <c r="A373" s="2321" t="str">
        <f t="shared" si="6"/>
        <v/>
      </c>
      <c r="B373" s="2337" t="s">
        <v>3133</v>
      </c>
      <c r="C373" s="2336"/>
      <c r="D373" s="2317"/>
      <c r="E373" s="2338"/>
      <c r="F373" s="2338"/>
      <c r="G373" s="2338"/>
      <c r="H373" s="2339"/>
      <c r="I373" s="2340"/>
      <c r="J373" s="2341"/>
      <c r="K373" s="2342"/>
      <c r="L373" s="2342"/>
      <c r="M373" s="2343"/>
      <c r="N373" s="2343"/>
      <c r="O373" s="2343"/>
      <c r="P373" s="2341"/>
      <c r="Q373" s="2344"/>
      <c r="R373" s="2345"/>
      <c r="S373" s="2343"/>
      <c r="T373" s="2346"/>
      <c r="U373" s="2347"/>
      <c r="V373" s="2348"/>
      <c r="W373" s="2348"/>
      <c r="X373" s="2349"/>
      <c r="Y373" s="2350"/>
      <c r="Z373" s="2350"/>
      <c r="AA373" s="2350"/>
      <c r="AB373" s="2350"/>
      <c r="AC373" s="2351"/>
    </row>
    <row r="374" spans="1:29" s="2316" customFormat="1" ht="50" customHeight="1">
      <c r="A374" s="2321">
        <f t="shared" si="6"/>
        <v>93</v>
      </c>
      <c r="B374" s="2322"/>
      <c r="C374" s="2321"/>
      <c r="D374" s="2315"/>
      <c r="E374" s="2323"/>
      <c r="F374" s="2323"/>
      <c r="G374" s="2323"/>
      <c r="H374" s="2324"/>
      <c r="I374" s="2325"/>
      <c r="J374" s="2326"/>
      <c r="K374" s="2327"/>
      <c r="L374" s="2327"/>
      <c r="M374" s="2328"/>
      <c r="N374" s="2328"/>
      <c r="O374" s="2328"/>
      <c r="P374" s="2326"/>
      <c r="Q374" s="2329"/>
      <c r="R374" s="2330"/>
      <c r="S374" s="2328"/>
      <c r="T374" s="2331"/>
      <c r="U374" s="2332"/>
      <c r="V374" s="2323"/>
      <c r="W374" s="2323"/>
      <c r="X374" s="2333"/>
      <c r="Y374" s="2334"/>
      <c r="Z374" s="2334"/>
      <c r="AA374" s="2334"/>
      <c r="AB374" s="2334"/>
      <c r="AC374" s="2335"/>
    </row>
    <row r="375" spans="1:29" s="2318" customFormat="1" ht="89" customHeight="1">
      <c r="A375" s="2321" t="str">
        <f t="shared" si="6"/>
        <v/>
      </c>
      <c r="B375" s="2337"/>
      <c r="C375" s="2336"/>
      <c r="D375" s="2317"/>
      <c r="E375" s="2338"/>
      <c r="F375" s="2338"/>
      <c r="G375" s="2338"/>
      <c r="H375" s="2339"/>
      <c r="I375" s="2340"/>
      <c r="J375" s="2341"/>
      <c r="K375" s="2342"/>
      <c r="L375" s="2342"/>
      <c r="M375" s="2343"/>
      <c r="N375" s="2343"/>
      <c r="O375" s="2343"/>
      <c r="P375" s="2341"/>
      <c r="Q375" s="2344"/>
      <c r="R375" s="2345"/>
      <c r="S375" s="2343"/>
      <c r="T375" s="2346"/>
      <c r="U375" s="2347"/>
      <c r="V375" s="2348"/>
      <c r="W375" s="2348"/>
      <c r="X375" s="2349"/>
      <c r="Y375" s="2350"/>
      <c r="Z375" s="2350"/>
      <c r="AA375" s="2350"/>
      <c r="AB375" s="2350"/>
      <c r="AC375" s="2351"/>
    </row>
    <row r="376" spans="1:29" s="2318" customFormat="1" ht="84" customHeight="1">
      <c r="A376" s="2321" t="str">
        <f t="shared" si="6"/>
        <v/>
      </c>
      <c r="B376" s="2353" t="s">
        <v>3132</v>
      </c>
      <c r="C376" s="2352"/>
      <c r="D376" s="2319"/>
      <c r="E376" s="2319"/>
      <c r="F376" s="2319"/>
      <c r="G376" s="2319"/>
      <c r="H376" s="2319"/>
      <c r="I376" s="2319"/>
      <c r="J376" s="2354"/>
      <c r="K376" s="2355"/>
      <c r="L376" s="2355"/>
      <c r="M376" s="2356"/>
      <c r="N376" s="2356"/>
      <c r="O376" s="2356"/>
      <c r="P376" s="2354"/>
      <c r="Q376" s="2344"/>
      <c r="R376" s="2345"/>
      <c r="S376" s="2356"/>
      <c r="T376" s="2346"/>
      <c r="U376" s="2347"/>
      <c r="V376" s="2357"/>
      <c r="W376" s="2357"/>
      <c r="X376" s="2349"/>
      <c r="Y376" s="2358"/>
      <c r="Z376" s="2358"/>
      <c r="AA376" s="2358"/>
      <c r="AB376" s="2358"/>
      <c r="AC376" s="2359"/>
    </row>
    <row r="377" spans="1:29" s="2318" customFormat="1" ht="85" customHeight="1">
      <c r="A377" s="2321" t="str">
        <f t="shared" si="6"/>
        <v/>
      </c>
      <c r="B377" s="2337" t="s">
        <v>3133</v>
      </c>
      <c r="C377" s="2336"/>
      <c r="D377" s="2317"/>
      <c r="E377" s="2338"/>
      <c r="F377" s="2338"/>
      <c r="G377" s="2338"/>
      <c r="H377" s="2339"/>
      <c r="I377" s="2340"/>
      <c r="J377" s="2341"/>
      <c r="K377" s="2342"/>
      <c r="L377" s="2342"/>
      <c r="M377" s="2343"/>
      <c r="N377" s="2343"/>
      <c r="O377" s="2343"/>
      <c r="P377" s="2341"/>
      <c r="Q377" s="2344"/>
      <c r="R377" s="2345"/>
      <c r="S377" s="2343"/>
      <c r="T377" s="2346"/>
      <c r="U377" s="2347"/>
      <c r="V377" s="2348"/>
      <c r="W377" s="2348"/>
      <c r="X377" s="2349"/>
      <c r="Y377" s="2350"/>
      <c r="Z377" s="2350"/>
      <c r="AA377" s="2350"/>
      <c r="AB377" s="2350"/>
      <c r="AC377" s="2351"/>
    </row>
    <row r="378" spans="1:29" s="2316" customFormat="1" ht="50" customHeight="1">
      <c r="A378" s="2321">
        <f t="shared" si="6"/>
        <v>94</v>
      </c>
      <c r="B378" s="2322"/>
      <c r="C378" s="2321"/>
      <c r="D378" s="2315"/>
      <c r="E378" s="2323"/>
      <c r="F378" s="2323"/>
      <c r="G378" s="2323"/>
      <c r="H378" s="2324"/>
      <c r="I378" s="2325"/>
      <c r="J378" s="2326"/>
      <c r="K378" s="2327"/>
      <c r="L378" s="2327"/>
      <c r="M378" s="2328"/>
      <c r="N378" s="2328"/>
      <c r="O378" s="2328"/>
      <c r="P378" s="2326"/>
      <c r="Q378" s="2329"/>
      <c r="R378" s="2330"/>
      <c r="S378" s="2328"/>
      <c r="T378" s="2331"/>
      <c r="U378" s="2332"/>
      <c r="V378" s="2323"/>
      <c r="W378" s="2323"/>
      <c r="X378" s="2333"/>
      <c r="Y378" s="2334"/>
      <c r="Z378" s="2334"/>
      <c r="AA378" s="2334"/>
      <c r="AB378" s="2334"/>
      <c r="AC378" s="2335"/>
    </row>
    <row r="379" spans="1:29" s="2318" customFormat="1" ht="89" customHeight="1">
      <c r="A379" s="2321" t="str">
        <f t="shared" si="6"/>
        <v/>
      </c>
      <c r="B379" s="2337"/>
      <c r="C379" s="2336"/>
      <c r="D379" s="2317"/>
      <c r="E379" s="2338"/>
      <c r="F379" s="2338"/>
      <c r="G379" s="2338"/>
      <c r="H379" s="2339"/>
      <c r="I379" s="2340"/>
      <c r="J379" s="2341"/>
      <c r="K379" s="2342"/>
      <c r="L379" s="2342"/>
      <c r="M379" s="2343"/>
      <c r="N379" s="2343"/>
      <c r="O379" s="2343"/>
      <c r="P379" s="2341"/>
      <c r="Q379" s="2344"/>
      <c r="R379" s="2345"/>
      <c r="S379" s="2343"/>
      <c r="T379" s="2346"/>
      <c r="U379" s="2347"/>
      <c r="V379" s="2348"/>
      <c r="W379" s="2348"/>
      <c r="X379" s="2349"/>
      <c r="Y379" s="2350"/>
      <c r="Z379" s="2350"/>
      <c r="AA379" s="2350"/>
      <c r="AB379" s="2350"/>
      <c r="AC379" s="2351"/>
    </row>
    <row r="380" spans="1:29" s="2318" customFormat="1" ht="84" customHeight="1">
      <c r="A380" s="2321" t="str">
        <f t="shared" si="6"/>
        <v/>
      </c>
      <c r="B380" s="2353" t="s">
        <v>3132</v>
      </c>
      <c r="C380" s="2352"/>
      <c r="D380" s="2319"/>
      <c r="E380" s="2319"/>
      <c r="F380" s="2319"/>
      <c r="G380" s="2319"/>
      <c r="H380" s="2319"/>
      <c r="I380" s="2319"/>
      <c r="J380" s="2354"/>
      <c r="K380" s="2355"/>
      <c r="L380" s="2355"/>
      <c r="M380" s="2356"/>
      <c r="N380" s="2356"/>
      <c r="O380" s="2356"/>
      <c r="P380" s="2354"/>
      <c r="Q380" s="2344"/>
      <c r="R380" s="2345"/>
      <c r="S380" s="2356"/>
      <c r="T380" s="2346"/>
      <c r="U380" s="2347"/>
      <c r="V380" s="2357"/>
      <c r="W380" s="2357"/>
      <c r="X380" s="2349"/>
      <c r="Y380" s="2358"/>
      <c r="Z380" s="2358"/>
      <c r="AA380" s="2358"/>
      <c r="AB380" s="2358"/>
      <c r="AC380" s="2359"/>
    </row>
    <row r="381" spans="1:29" s="2318" customFormat="1" ht="85" customHeight="1">
      <c r="A381" s="2321" t="str">
        <f t="shared" si="6"/>
        <v/>
      </c>
      <c r="B381" s="2337" t="s">
        <v>3133</v>
      </c>
      <c r="C381" s="2336"/>
      <c r="D381" s="2317"/>
      <c r="E381" s="2338"/>
      <c r="F381" s="2338"/>
      <c r="G381" s="2338"/>
      <c r="H381" s="2339"/>
      <c r="I381" s="2340"/>
      <c r="J381" s="2341"/>
      <c r="K381" s="2342"/>
      <c r="L381" s="2342"/>
      <c r="M381" s="2343"/>
      <c r="N381" s="2343"/>
      <c r="O381" s="2343"/>
      <c r="P381" s="2341"/>
      <c r="Q381" s="2344"/>
      <c r="R381" s="2345"/>
      <c r="S381" s="2343"/>
      <c r="T381" s="2346"/>
      <c r="U381" s="2347"/>
      <c r="V381" s="2348"/>
      <c r="W381" s="2348"/>
      <c r="X381" s="2349"/>
      <c r="Y381" s="2350"/>
      <c r="Z381" s="2350"/>
      <c r="AA381" s="2350"/>
      <c r="AB381" s="2350"/>
      <c r="AC381" s="2351"/>
    </row>
    <row r="382" spans="1:29" s="2316" customFormat="1" ht="50" customHeight="1">
      <c r="A382" s="2321">
        <f t="shared" si="6"/>
        <v>95</v>
      </c>
      <c r="B382" s="2322"/>
      <c r="C382" s="2321"/>
      <c r="D382" s="2315"/>
      <c r="E382" s="2323"/>
      <c r="F382" s="2323"/>
      <c r="G382" s="2323"/>
      <c r="H382" s="2324"/>
      <c r="I382" s="2325"/>
      <c r="J382" s="2326"/>
      <c r="K382" s="2327"/>
      <c r="L382" s="2327"/>
      <c r="M382" s="2328"/>
      <c r="N382" s="2328"/>
      <c r="O382" s="2328"/>
      <c r="P382" s="2326"/>
      <c r="Q382" s="2329"/>
      <c r="R382" s="2330"/>
      <c r="S382" s="2328"/>
      <c r="T382" s="2331"/>
      <c r="U382" s="2332"/>
      <c r="V382" s="2323"/>
      <c r="W382" s="2323"/>
      <c r="X382" s="2333"/>
      <c r="Y382" s="2334"/>
      <c r="Z382" s="2334"/>
      <c r="AA382" s="2334"/>
      <c r="AB382" s="2334"/>
      <c r="AC382" s="2335"/>
    </row>
    <row r="383" spans="1:29" s="2318" customFormat="1" ht="89" customHeight="1">
      <c r="A383" s="2321" t="str">
        <f t="shared" si="6"/>
        <v/>
      </c>
      <c r="B383" s="2337"/>
      <c r="C383" s="2336"/>
      <c r="D383" s="2317"/>
      <c r="E383" s="2338"/>
      <c r="F383" s="2338"/>
      <c r="G383" s="2338"/>
      <c r="H383" s="2339"/>
      <c r="I383" s="2340"/>
      <c r="J383" s="2341"/>
      <c r="K383" s="2342"/>
      <c r="L383" s="2342"/>
      <c r="M383" s="2343"/>
      <c r="N383" s="2343"/>
      <c r="O383" s="2343"/>
      <c r="P383" s="2341"/>
      <c r="Q383" s="2344"/>
      <c r="R383" s="2345"/>
      <c r="S383" s="2343"/>
      <c r="T383" s="2346"/>
      <c r="U383" s="2347"/>
      <c r="V383" s="2348"/>
      <c r="W383" s="2348"/>
      <c r="X383" s="2349"/>
      <c r="Y383" s="2350"/>
      <c r="Z383" s="2350"/>
      <c r="AA383" s="2350"/>
      <c r="AB383" s="2350"/>
      <c r="AC383" s="2351"/>
    </row>
    <row r="384" spans="1:29" s="2318" customFormat="1" ht="84" customHeight="1">
      <c r="A384" s="2321" t="str">
        <f t="shared" si="6"/>
        <v/>
      </c>
      <c r="B384" s="2353" t="s">
        <v>3132</v>
      </c>
      <c r="C384" s="2352"/>
      <c r="D384" s="2319"/>
      <c r="E384" s="2319"/>
      <c r="F384" s="2319"/>
      <c r="G384" s="2319"/>
      <c r="H384" s="2319"/>
      <c r="I384" s="2319"/>
      <c r="J384" s="2354"/>
      <c r="K384" s="2355"/>
      <c r="L384" s="2355"/>
      <c r="M384" s="2356"/>
      <c r="N384" s="2356"/>
      <c r="O384" s="2356"/>
      <c r="P384" s="2354"/>
      <c r="Q384" s="2344"/>
      <c r="R384" s="2345"/>
      <c r="S384" s="2356"/>
      <c r="T384" s="2346"/>
      <c r="U384" s="2347"/>
      <c r="V384" s="2357"/>
      <c r="W384" s="2357"/>
      <c r="X384" s="2349"/>
      <c r="Y384" s="2358"/>
      <c r="Z384" s="2358"/>
      <c r="AA384" s="2358"/>
      <c r="AB384" s="2358"/>
      <c r="AC384" s="2359"/>
    </row>
    <row r="385" spans="1:29" s="2318" customFormat="1" ht="85" customHeight="1">
      <c r="A385" s="2321" t="str">
        <f t="shared" si="6"/>
        <v/>
      </c>
      <c r="B385" s="2337" t="s">
        <v>3133</v>
      </c>
      <c r="C385" s="2336"/>
      <c r="D385" s="2317"/>
      <c r="E385" s="2338"/>
      <c r="F385" s="2338"/>
      <c r="G385" s="2338"/>
      <c r="H385" s="2339"/>
      <c r="I385" s="2340"/>
      <c r="J385" s="2341"/>
      <c r="K385" s="2342"/>
      <c r="L385" s="2342"/>
      <c r="M385" s="2343"/>
      <c r="N385" s="2343"/>
      <c r="O385" s="2343"/>
      <c r="P385" s="2341"/>
      <c r="Q385" s="2344"/>
      <c r="R385" s="2345"/>
      <c r="S385" s="2343"/>
      <c r="T385" s="2346"/>
      <c r="U385" s="2347"/>
      <c r="V385" s="2348"/>
      <c r="W385" s="2348"/>
      <c r="X385" s="2349"/>
      <c r="Y385" s="2350"/>
      <c r="Z385" s="2350"/>
      <c r="AA385" s="2350"/>
      <c r="AB385" s="2350"/>
      <c r="AC385" s="2351"/>
    </row>
    <row r="386" spans="1:29" s="2316" customFormat="1" ht="50" customHeight="1">
      <c r="A386" s="2321">
        <f t="shared" si="6"/>
        <v>96</v>
      </c>
      <c r="B386" s="2322"/>
      <c r="C386" s="2321"/>
      <c r="D386" s="2315"/>
      <c r="E386" s="2323"/>
      <c r="F386" s="2323"/>
      <c r="G386" s="2323"/>
      <c r="H386" s="2324"/>
      <c r="I386" s="2325"/>
      <c r="J386" s="2326"/>
      <c r="K386" s="2327"/>
      <c r="L386" s="2327"/>
      <c r="M386" s="2328"/>
      <c r="N386" s="2328"/>
      <c r="O386" s="2328"/>
      <c r="P386" s="2326"/>
      <c r="Q386" s="2329"/>
      <c r="R386" s="2330"/>
      <c r="S386" s="2328"/>
      <c r="T386" s="2331"/>
      <c r="U386" s="2332"/>
      <c r="V386" s="2323"/>
      <c r="W386" s="2323"/>
      <c r="X386" s="2333"/>
      <c r="Y386" s="2334"/>
      <c r="Z386" s="2334"/>
      <c r="AA386" s="2334"/>
      <c r="AB386" s="2334"/>
      <c r="AC386" s="2335"/>
    </row>
    <row r="387" spans="1:29" s="2318" customFormat="1" ht="89" customHeight="1">
      <c r="A387" s="2321" t="str">
        <f t="shared" si="6"/>
        <v/>
      </c>
      <c r="B387" s="2337"/>
      <c r="C387" s="2336"/>
      <c r="D387" s="2317"/>
      <c r="E387" s="2338"/>
      <c r="F387" s="2338"/>
      <c r="G387" s="2338"/>
      <c r="H387" s="2339"/>
      <c r="I387" s="2340"/>
      <c r="J387" s="2341"/>
      <c r="K387" s="2342"/>
      <c r="L387" s="2342"/>
      <c r="M387" s="2343"/>
      <c r="N387" s="2343"/>
      <c r="O387" s="2343"/>
      <c r="P387" s="2341"/>
      <c r="Q387" s="2344"/>
      <c r="R387" s="2345"/>
      <c r="S387" s="2343"/>
      <c r="T387" s="2346"/>
      <c r="U387" s="2347"/>
      <c r="V387" s="2348"/>
      <c r="W387" s="2348"/>
      <c r="X387" s="2349"/>
      <c r="Y387" s="2350"/>
      <c r="Z387" s="2350"/>
      <c r="AA387" s="2350"/>
      <c r="AB387" s="2350"/>
      <c r="AC387" s="2351"/>
    </row>
    <row r="388" spans="1:29" s="2318" customFormat="1" ht="84" customHeight="1">
      <c r="A388" s="2321" t="str">
        <f t="shared" si="6"/>
        <v/>
      </c>
      <c r="B388" s="2353" t="s">
        <v>3132</v>
      </c>
      <c r="C388" s="2352"/>
      <c r="D388" s="2319"/>
      <c r="E388" s="2319"/>
      <c r="F388" s="2319"/>
      <c r="G388" s="2319"/>
      <c r="H388" s="2319"/>
      <c r="I388" s="2319"/>
      <c r="J388" s="2354"/>
      <c r="K388" s="2355"/>
      <c r="L388" s="2355"/>
      <c r="M388" s="2356"/>
      <c r="N388" s="2356"/>
      <c r="O388" s="2356"/>
      <c r="P388" s="2354"/>
      <c r="Q388" s="2344"/>
      <c r="R388" s="2345"/>
      <c r="S388" s="2356"/>
      <c r="T388" s="2346"/>
      <c r="U388" s="2347"/>
      <c r="V388" s="2357"/>
      <c r="W388" s="2357"/>
      <c r="X388" s="2349"/>
      <c r="Y388" s="2358"/>
      <c r="Z388" s="2358"/>
      <c r="AA388" s="2358"/>
      <c r="AB388" s="2358"/>
      <c r="AC388" s="2359"/>
    </row>
    <row r="389" spans="1:29" s="2318" customFormat="1" ht="85" customHeight="1">
      <c r="A389" s="2321" t="str">
        <f t="shared" ref="A389:A437" si="7">IFERROR(IF(A385&gt;0,A385+1,""),"")</f>
        <v/>
      </c>
      <c r="B389" s="2337" t="s">
        <v>3133</v>
      </c>
      <c r="C389" s="2336"/>
      <c r="D389" s="2317"/>
      <c r="E389" s="2338"/>
      <c r="F389" s="2338"/>
      <c r="G389" s="2338"/>
      <c r="H389" s="2339"/>
      <c r="I389" s="2340"/>
      <c r="J389" s="2341"/>
      <c r="K389" s="2342"/>
      <c r="L389" s="2342"/>
      <c r="M389" s="2343"/>
      <c r="N389" s="2343"/>
      <c r="O389" s="2343"/>
      <c r="P389" s="2341"/>
      <c r="Q389" s="2344"/>
      <c r="R389" s="2345"/>
      <c r="S389" s="2343"/>
      <c r="T389" s="2346"/>
      <c r="U389" s="2347"/>
      <c r="V389" s="2348"/>
      <c r="W389" s="2348"/>
      <c r="X389" s="2349"/>
      <c r="Y389" s="2350"/>
      <c r="Z389" s="2350"/>
      <c r="AA389" s="2350"/>
      <c r="AB389" s="2350"/>
      <c r="AC389" s="2351"/>
    </row>
    <row r="390" spans="1:29" s="2316" customFormat="1" ht="50" customHeight="1">
      <c r="A390" s="2321">
        <f t="shared" si="7"/>
        <v>97</v>
      </c>
      <c r="B390" s="2322"/>
      <c r="C390" s="2321"/>
      <c r="D390" s="2315"/>
      <c r="E390" s="2323"/>
      <c r="F390" s="2323"/>
      <c r="G390" s="2323"/>
      <c r="H390" s="2324"/>
      <c r="I390" s="2325"/>
      <c r="J390" s="2326"/>
      <c r="K390" s="2327"/>
      <c r="L390" s="2327"/>
      <c r="M390" s="2328"/>
      <c r="N390" s="2328"/>
      <c r="O390" s="2328"/>
      <c r="P390" s="2326"/>
      <c r="Q390" s="2329"/>
      <c r="R390" s="2330"/>
      <c r="S390" s="2328"/>
      <c r="T390" s="2331"/>
      <c r="U390" s="2332"/>
      <c r="V390" s="2323"/>
      <c r="W390" s="2323"/>
      <c r="X390" s="2333"/>
      <c r="Y390" s="2334"/>
      <c r="Z390" s="2334"/>
      <c r="AA390" s="2334"/>
      <c r="AB390" s="2334"/>
      <c r="AC390" s="2335"/>
    </row>
    <row r="391" spans="1:29" s="2318" customFormat="1" ht="89" customHeight="1">
      <c r="A391" s="2321" t="str">
        <f t="shared" si="7"/>
        <v/>
      </c>
      <c r="B391" s="2337"/>
      <c r="C391" s="2336"/>
      <c r="D391" s="2317"/>
      <c r="E391" s="2338"/>
      <c r="F391" s="2338"/>
      <c r="G391" s="2338"/>
      <c r="H391" s="2339"/>
      <c r="I391" s="2340"/>
      <c r="J391" s="2341"/>
      <c r="K391" s="2342"/>
      <c r="L391" s="2342"/>
      <c r="M391" s="2343"/>
      <c r="N391" s="2343"/>
      <c r="O391" s="2343"/>
      <c r="P391" s="2341"/>
      <c r="Q391" s="2344"/>
      <c r="R391" s="2345"/>
      <c r="S391" s="2343"/>
      <c r="T391" s="2346"/>
      <c r="U391" s="2347"/>
      <c r="V391" s="2348"/>
      <c r="W391" s="2348"/>
      <c r="X391" s="2349"/>
      <c r="Y391" s="2350"/>
      <c r="Z391" s="2350"/>
      <c r="AA391" s="2350"/>
      <c r="AB391" s="2350"/>
      <c r="AC391" s="2351"/>
    </row>
    <row r="392" spans="1:29" s="2318" customFormat="1" ht="84" customHeight="1">
      <c r="A392" s="2321" t="str">
        <f t="shared" si="7"/>
        <v/>
      </c>
      <c r="B392" s="2353" t="s">
        <v>3132</v>
      </c>
      <c r="C392" s="2352"/>
      <c r="D392" s="2319"/>
      <c r="E392" s="2319"/>
      <c r="F392" s="2319"/>
      <c r="G392" s="2319"/>
      <c r="H392" s="2319"/>
      <c r="I392" s="2319"/>
      <c r="J392" s="2354"/>
      <c r="K392" s="2355"/>
      <c r="L392" s="2355"/>
      <c r="M392" s="2356"/>
      <c r="N392" s="2356"/>
      <c r="O392" s="2356"/>
      <c r="P392" s="2354"/>
      <c r="Q392" s="2344"/>
      <c r="R392" s="2345"/>
      <c r="S392" s="2356"/>
      <c r="T392" s="2346"/>
      <c r="U392" s="2347"/>
      <c r="V392" s="2357"/>
      <c r="W392" s="2357"/>
      <c r="X392" s="2349"/>
      <c r="Y392" s="2358"/>
      <c r="Z392" s="2358"/>
      <c r="AA392" s="2358"/>
      <c r="AB392" s="2358"/>
      <c r="AC392" s="2359"/>
    </row>
    <row r="393" spans="1:29" s="2318" customFormat="1" ht="85" customHeight="1">
      <c r="A393" s="2321" t="str">
        <f t="shared" si="7"/>
        <v/>
      </c>
      <c r="B393" s="2337" t="s">
        <v>3133</v>
      </c>
      <c r="C393" s="2336"/>
      <c r="D393" s="2317"/>
      <c r="E393" s="2338"/>
      <c r="F393" s="2338"/>
      <c r="G393" s="2338"/>
      <c r="H393" s="2339"/>
      <c r="I393" s="2340"/>
      <c r="J393" s="2341"/>
      <c r="K393" s="2342"/>
      <c r="L393" s="2342"/>
      <c r="M393" s="2343"/>
      <c r="N393" s="2343"/>
      <c r="O393" s="2343"/>
      <c r="P393" s="2341"/>
      <c r="Q393" s="2344"/>
      <c r="R393" s="2345"/>
      <c r="S393" s="2343"/>
      <c r="T393" s="2346"/>
      <c r="U393" s="2347"/>
      <c r="V393" s="2348"/>
      <c r="W393" s="2348"/>
      <c r="X393" s="2349"/>
      <c r="Y393" s="2350"/>
      <c r="Z393" s="2350"/>
      <c r="AA393" s="2350"/>
      <c r="AB393" s="2350"/>
      <c r="AC393" s="2351"/>
    </row>
    <row r="394" spans="1:29" s="2316" customFormat="1" ht="50" customHeight="1">
      <c r="A394" s="2321">
        <f t="shared" si="7"/>
        <v>98</v>
      </c>
      <c r="B394" s="2322"/>
      <c r="C394" s="2321"/>
      <c r="D394" s="2315"/>
      <c r="E394" s="2323"/>
      <c r="F394" s="2323"/>
      <c r="G394" s="2323"/>
      <c r="H394" s="2324"/>
      <c r="I394" s="2325"/>
      <c r="J394" s="2326"/>
      <c r="K394" s="2327"/>
      <c r="L394" s="2327"/>
      <c r="M394" s="2328"/>
      <c r="N394" s="2328"/>
      <c r="O394" s="2328"/>
      <c r="P394" s="2326"/>
      <c r="Q394" s="2329"/>
      <c r="R394" s="2330"/>
      <c r="S394" s="2328"/>
      <c r="T394" s="2331"/>
      <c r="U394" s="2332"/>
      <c r="V394" s="2323"/>
      <c r="W394" s="2323"/>
      <c r="X394" s="2333"/>
      <c r="Y394" s="2334"/>
      <c r="Z394" s="2334"/>
      <c r="AA394" s="2334"/>
      <c r="AB394" s="2334"/>
      <c r="AC394" s="2335"/>
    </row>
    <row r="395" spans="1:29" s="2318" customFormat="1" ht="89" customHeight="1">
      <c r="A395" s="2321" t="str">
        <f t="shared" si="7"/>
        <v/>
      </c>
      <c r="B395" s="2337"/>
      <c r="C395" s="2336"/>
      <c r="D395" s="2317"/>
      <c r="E395" s="2338"/>
      <c r="F395" s="2338"/>
      <c r="G395" s="2338"/>
      <c r="H395" s="2339"/>
      <c r="I395" s="2340"/>
      <c r="J395" s="2341"/>
      <c r="K395" s="2342"/>
      <c r="L395" s="2342"/>
      <c r="M395" s="2343"/>
      <c r="N395" s="2343"/>
      <c r="O395" s="2343"/>
      <c r="P395" s="2341"/>
      <c r="Q395" s="2344"/>
      <c r="R395" s="2345"/>
      <c r="S395" s="2343"/>
      <c r="T395" s="2346"/>
      <c r="U395" s="2347"/>
      <c r="V395" s="2348"/>
      <c r="W395" s="2348"/>
      <c r="X395" s="2349"/>
      <c r="Y395" s="2350"/>
      <c r="Z395" s="2350"/>
      <c r="AA395" s="2350"/>
      <c r="AB395" s="2350"/>
      <c r="AC395" s="2351"/>
    </row>
    <row r="396" spans="1:29" s="2318" customFormat="1" ht="84" customHeight="1">
      <c r="A396" s="2321" t="str">
        <f t="shared" si="7"/>
        <v/>
      </c>
      <c r="B396" s="2353" t="s">
        <v>3132</v>
      </c>
      <c r="C396" s="2352"/>
      <c r="D396" s="2319"/>
      <c r="E396" s="2319"/>
      <c r="F396" s="2319"/>
      <c r="G396" s="2319"/>
      <c r="H396" s="2319"/>
      <c r="I396" s="2319"/>
      <c r="J396" s="2354"/>
      <c r="K396" s="2355"/>
      <c r="L396" s="2355"/>
      <c r="M396" s="2356"/>
      <c r="N396" s="2356"/>
      <c r="O396" s="2356"/>
      <c r="P396" s="2354"/>
      <c r="Q396" s="2344"/>
      <c r="R396" s="2345"/>
      <c r="S396" s="2356"/>
      <c r="T396" s="2346"/>
      <c r="U396" s="2347"/>
      <c r="V396" s="2357"/>
      <c r="W396" s="2357"/>
      <c r="X396" s="2349"/>
      <c r="Y396" s="2358"/>
      <c r="Z396" s="2358"/>
      <c r="AA396" s="2358"/>
      <c r="AB396" s="2358"/>
      <c r="AC396" s="2359"/>
    </row>
    <row r="397" spans="1:29" s="2318" customFormat="1" ht="85" customHeight="1">
      <c r="A397" s="2321" t="str">
        <f t="shared" si="7"/>
        <v/>
      </c>
      <c r="B397" s="2337" t="s">
        <v>3133</v>
      </c>
      <c r="C397" s="2336"/>
      <c r="D397" s="2317"/>
      <c r="E397" s="2338"/>
      <c r="F397" s="2338"/>
      <c r="G397" s="2338"/>
      <c r="H397" s="2339"/>
      <c r="I397" s="2340"/>
      <c r="J397" s="2341"/>
      <c r="K397" s="2342"/>
      <c r="L397" s="2342"/>
      <c r="M397" s="2343"/>
      <c r="N397" s="2343"/>
      <c r="O397" s="2343"/>
      <c r="P397" s="2341"/>
      <c r="Q397" s="2344"/>
      <c r="R397" s="2345"/>
      <c r="S397" s="2343"/>
      <c r="T397" s="2346"/>
      <c r="U397" s="2347"/>
      <c r="V397" s="2348"/>
      <c r="W397" s="2348"/>
      <c r="X397" s="2349"/>
      <c r="Y397" s="2350"/>
      <c r="Z397" s="2350"/>
      <c r="AA397" s="2350"/>
      <c r="AB397" s="2350"/>
      <c r="AC397" s="2351"/>
    </row>
    <row r="398" spans="1:29" s="2316" customFormat="1" ht="50" customHeight="1">
      <c r="A398" s="2321">
        <f t="shared" si="7"/>
        <v>99</v>
      </c>
      <c r="B398" s="2322"/>
      <c r="C398" s="2321"/>
      <c r="D398" s="2315"/>
      <c r="E398" s="2323"/>
      <c r="F398" s="2323"/>
      <c r="G398" s="2323"/>
      <c r="H398" s="2324"/>
      <c r="I398" s="2325"/>
      <c r="J398" s="2326"/>
      <c r="K398" s="2327"/>
      <c r="L398" s="2327"/>
      <c r="M398" s="2328"/>
      <c r="N398" s="2328"/>
      <c r="O398" s="2328"/>
      <c r="P398" s="2326"/>
      <c r="Q398" s="2329"/>
      <c r="R398" s="2330"/>
      <c r="S398" s="2328"/>
      <c r="T398" s="2331"/>
      <c r="U398" s="2332"/>
      <c r="V398" s="2323"/>
      <c r="W398" s="2323"/>
      <c r="X398" s="2333"/>
      <c r="Y398" s="2334"/>
      <c r="Z398" s="2334"/>
      <c r="AA398" s="2334"/>
      <c r="AB398" s="2334"/>
      <c r="AC398" s="2335"/>
    </row>
    <row r="399" spans="1:29" s="2318" customFormat="1" ht="89" customHeight="1">
      <c r="A399" s="2321" t="str">
        <f t="shared" si="7"/>
        <v/>
      </c>
      <c r="B399" s="2337"/>
      <c r="C399" s="2336"/>
      <c r="D399" s="2317"/>
      <c r="E399" s="2338"/>
      <c r="F399" s="2338"/>
      <c r="G399" s="2338"/>
      <c r="H399" s="2339"/>
      <c r="I399" s="2340"/>
      <c r="J399" s="2341"/>
      <c r="K399" s="2342"/>
      <c r="L399" s="2342"/>
      <c r="M399" s="2343"/>
      <c r="N399" s="2343"/>
      <c r="O399" s="2343"/>
      <c r="P399" s="2341"/>
      <c r="Q399" s="2344"/>
      <c r="R399" s="2345"/>
      <c r="S399" s="2343"/>
      <c r="T399" s="2346"/>
      <c r="U399" s="2347"/>
      <c r="V399" s="2348"/>
      <c r="W399" s="2348"/>
      <c r="X399" s="2349"/>
      <c r="Y399" s="2350"/>
      <c r="Z399" s="2350"/>
      <c r="AA399" s="2350"/>
      <c r="AB399" s="2350"/>
      <c r="AC399" s="2351"/>
    </row>
    <row r="400" spans="1:29" s="2318" customFormat="1" ht="84" customHeight="1">
      <c r="A400" s="2321" t="str">
        <f t="shared" si="7"/>
        <v/>
      </c>
      <c r="B400" s="2353" t="s">
        <v>3132</v>
      </c>
      <c r="C400" s="2352"/>
      <c r="D400" s="2319"/>
      <c r="E400" s="2319"/>
      <c r="F400" s="2319"/>
      <c r="G400" s="2319"/>
      <c r="H400" s="2319"/>
      <c r="I400" s="2319"/>
      <c r="J400" s="2354"/>
      <c r="K400" s="2355"/>
      <c r="L400" s="2355"/>
      <c r="M400" s="2356"/>
      <c r="N400" s="2356"/>
      <c r="O400" s="2356"/>
      <c r="P400" s="2354"/>
      <c r="Q400" s="2344"/>
      <c r="R400" s="2345"/>
      <c r="S400" s="2356"/>
      <c r="T400" s="2346"/>
      <c r="U400" s="2347"/>
      <c r="V400" s="2357"/>
      <c r="W400" s="2357"/>
      <c r="X400" s="2349"/>
      <c r="Y400" s="2358"/>
      <c r="Z400" s="2358"/>
      <c r="AA400" s="2358"/>
      <c r="AB400" s="2358"/>
      <c r="AC400" s="2359"/>
    </row>
    <row r="401" spans="1:29" s="2318" customFormat="1" ht="85" customHeight="1">
      <c r="A401" s="2321" t="str">
        <f t="shared" si="7"/>
        <v/>
      </c>
      <c r="B401" s="2337" t="s">
        <v>3133</v>
      </c>
      <c r="C401" s="2336"/>
      <c r="D401" s="2317"/>
      <c r="E401" s="2338"/>
      <c r="F401" s="2338"/>
      <c r="G401" s="2338"/>
      <c r="H401" s="2339"/>
      <c r="I401" s="2340"/>
      <c r="J401" s="2341"/>
      <c r="K401" s="2342"/>
      <c r="L401" s="2342"/>
      <c r="M401" s="2343"/>
      <c r="N401" s="2343"/>
      <c r="O401" s="2343"/>
      <c r="P401" s="2341"/>
      <c r="Q401" s="2344"/>
      <c r="R401" s="2345"/>
      <c r="S401" s="2343"/>
      <c r="T401" s="2346"/>
      <c r="U401" s="2347"/>
      <c r="V401" s="2348"/>
      <c r="W401" s="2348"/>
      <c r="X401" s="2349"/>
      <c r="Y401" s="2350"/>
      <c r="Z401" s="2350"/>
      <c r="AA401" s="2350"/>
      <c r="AB401" s="2350"/>
      <c r="AC401" s="2351"/>
    </row>
    <row r="402" spans="1:29" s="2316" customFormat="1" ht="50" customHeight="1">
      <c r="A402" s="2321">
        <f t="shared" si="7"/>
        <v>100</v>
      </c>
      <c r="B402" s="2322"/>
      <c r="C402" s="2321"/>
      <c r="D402" s="2315"/>
      <c r="E402" s="2323"/>
      <c r="F402" s="2323"/>
      <c r="G402" s="2323"/>
      <c r="H402" s="2324"/>
      <c r="I402" s="2325"/>
      <c r="J402" s="2326"/>
      <c r="K402" s="2327"/>
      <c r="L402" s="2327"/>
      <c r="M402" s="2328"/>
      <c r="N402" s="2328"/>
      <c r="O402" s="2328"/>
      <c r="P402" s="2326"/>
      <c r="Q402" s="2329"/>
      <c r="R402" s="2330"/>
      <c r="S402" s="2328"/>
      <c r="T402" s="2331"/>
      <c r="U402" s="2332"/>
      <c r="V402" s="2323"/>
      <c r="W402" s="2323"/>
      <c r="X402" s="2333"/>
      <c r="Y402" s="2334"/>
      <c r="Z402" s="2334"/>
      <c r="AA402" s="2334"/>
      <c r="AB402" s="2334"/>
      <c r="AC402" s="2335"/>
    </row>
    <row r="403" spans="1:29" s="2318" customFormat="1" ht="89" customHeight="1">
      <c r="A403" s="2321" t="str">
        <f t="shared" si="7"/>
        <v/>
      </c>
      <c r="B403" s="2337"/>
      <c r="C403" s="2336"/>
      <c r="D403" s="2317"/>
      <c r="E403" s="2338"/>
      <c r="F403" s="2338"/>
      <c r="G403" s="2338"/>
      <c r="H403" s="2339"/>
      <c r="I403" s="2340"/>
      <c r="J403" s="2341"/>
      <c r="K403" s="2342"/>
      <c r="L403" s="2342"/>
      <c r="M403" s="2343"/>
      <c r="N403" s="2343"/>
      <c r="O403" s="2343"/>
      <c r="P403" s="2341"/>
      <c r="Q403" s="2344"/>
      <c r="R403" s="2345"/>
      <c r="S403" s="2343"/>
      <c r="T403" s="2346"/>
      <c r="U403" s="2347"/>
      <c r="V403" s="2348"/>
      <c r="W403" s="2348"/>
      <c r="X403" s="2349"/>
      <c r="Y403" s="2350"/>
      <c r="Z403" s="2350"/>
      <c r="AA403" s="2350"/>
      <c r="AB403" s="2350"/>
      <c r="AC403" s="2351"/>
    </row>
    <row r="404" spans="1:29" s="2318" customFormat="1" ht="84" customHeight="1">
      <c r="A404" s="2321" t="str">
        <f t="shared" si="7"/>
        <v/>
      </c>
      <c r="B404" s="2353" t="s">
        <v>3132</v>
      </c>
      <c r="C404" s="2352"/>
      <c r="D404" s="2319"/>
      <c r="E404" s="2319"/>
      <c r="F404" s="2319"/>
      <c r="G404" s="2319"/>
      <c r="H404" s="2319"/>
      <c r="I404" s="2319"/>
      <c r="J404" s="2354"/>
      <c r="K404" s="2355"/>
      <c r="L404" s="2355"/>
      <c r="M404" s="2356"/>
      <c r="N404" s="2356"/>
      <c r="O404" s="2356"/>
      <c r="P404" s="2354"/>
      <c r="Q404" s="2344"/>
      <c r="R404" s="2345"/>
      <c r="S404" s="2356"/>
      <c r="T404" s="2346"/>
      <c r="U404" s="2347"/>
      <c r="V404" s="2357"/>
      <c r="W404" s="2357"/>
      <c r="X404" s="2349"/>
      <c r="Y404" s="2358"/>
      <c r="Z404" s="2358"/>
      <c r="AA404" s="2358"/>
      <c r="AB404" s="2358"/>
      <c r="AC404" s="2359"/>
    </row>
    <row r="405" spans="1:29" s="2318" customFormat="1" ht="85" customHeight="1">
      <c r="A405" s="2321" t="str">
        <f t="shared" si="7"/>
        <v/>
      </c>
      <c r="B405" s="2337" t="s">
        <v>3133</v>
      </c>
      <c r="C405" s="2336"/>
      <c r="D405" s="2317"/>
      <c r="E405" s="2338"/>
      <c r="F405" s="2338"/>
      <c r="G405" s="2338"/>
      <c r="H405" s="2339"/>
      <c r="I405" s="2340"/>
      <c r="J405" s="2341"/>
      <c r="K405" s="2342"/>
      <c r="L405" s="2342"/>
      <c r="M405" s="2343"/>
      <c r="N405" s="2343"/>
      <c r="O405" s="2343"/>
      <c r="P405" s="2341"/>
      <c r="Q405" s="2344"/>
      <c r="R405" s="2345"/>
      <c r="S405" s="2343"/>
      <c r="T405" s="2346"/>
      <c r="U405" s="2347"/>
      <c r="V405" s="2348"/>
      <c r="W405" s="2348"/>
      <c r="X405" s="2349"/>
      <c r="Y405" s="2350"/>
      <c r="Z405" s="2350"/>
      <c r="AA405" s="2350"/>
      <c r="AB405" s="2350"/>
      <c r="AC405" s="2351"/>
    </row>
    <row r="406" spans="1:29" s="2316" customFormat="1" ht="50" customHeight="1">
      <c r="A406" s="2321">
        <f t="shared" si="7"/>
        <v>101</v>
      </c>
      <c r="B406" s="2322"/>
      <c r="C406" s="2321"/>
      <c r="D406" s="2315"/>
      <c r="E406" s="2323"/>
      <c r="F406" s="2323"/>
      <c r="G406" s="2323"/>
      <c r="H406" s="2324"/>
      <c r="I406" s="2325"/>
      <c r="J406" s="2326"/>
      <c r="K406" s="2327"/>
      <c r="L406" s="2327"/>
      <c r="M406" s="2328"/>
      <c r="N406" s="2328"/>
      <c r="O406" s="2328"/>
      <c r="P406" s="2326"/>
      <c r="Q406" s="2329"/>
      <c r="R406" s="2330"/>
      <c r="S406" s="2328"/>
      <c r="T406" s="2331"/>
      <c r="U406" s="2332"/>
      <c r="V406" s="2323"/>
      <c r="W406" s="2323"/>
      <c r="X406" s="2333"/>
      <c r="Y406" s="2334"/>
      <c r="Z406" s="2334"/>
      <c r="AA406" s="2334"/>
      <c r="AB406" s="2334"/>
      <c r="AC406" s="2335"/>
    </row>
    <row r="407" spans="1:29" s="2318" customFormat="1" ht="89" customHeight="1">
      <c r="A407" s="2321" t="str">
        <f t="shared" si="7"/>
        <v/>
      </c>
      <c r="B407" s="2337"/>
      <c r="C407" s="2336"/>
      <c r="D407" s="2317"/>
      <c r="E407" s="2338"/>
      <c r="F407" s="2338"/>
      <c r="G407" s="2338"/>
      <c r="H407" s="2339"/>
      <c r="I407" s="2340"/>
      <c r="J407" s="2341"/>
      <c r="K407" s="2342"/>
      <c r="L407" s="2342"/>
      <c r="M407" s="2343"/>
      <c r="N407" s="2343"/>
      <c r="O407" s="2343"/>
      <c r="P407" s="2341"/>
      <c r="Q407" s="2344"/>
      <c r="R407" s="2345"/>
      <c r="S407" s="2343"/>
      <c r="T407" s="2346"/>
      <c r="U407" s="2347"/>
      <c r="V407" s="2348"/>
      <c r="W407" s="2348"/>
      <c r="X407" s="2349"/>
      <c r="Y407" s="2350"/>
      <c r="Z407" s="2350"/>
      <c r="AA407" s="2350"/>
      <c r="AB407" s="2350"/>
      <c r="AC407" s="2351"/>
    </row>
    <row r="408" spans="1:29" s="2318" customFormat="1" ht="84" customHeight="1">
      <c r="A408" s="2321" t="str">
        <f t="shared" si="7"/>
        <v/>
      </c>
      <c r="B408" s="2353" t="s">
        <v>3132</v>
      </c>
      <c r="C408" s="2352"/>
      <c r="D408" s="2319"/>
      <c r="E408" s="2319"/>
      <c r="F408" s="2319"/>
      <c r="G408" s="2319"/>
      <c r="H408" s="2319"/>
      <c r="I408" s="2319"/>
      <c r="J408" s="2354"/>
      <c r="K408" s="2355"/>
      <c r="L408" s="2355"/>
      <c r="M408" s="2356"/>
      <c r="N408" s="2356"/>
      <c r="O408" s="2356"/>
      <c r="P408" s="2354"/>
      <c r="Q408" s="2344"/>
      <c r="R408" s="2345"/>
      <c r="S408" s="2356"/>
      <c r="T408" s="2346"/>
      <c r="U408" s="2347"/>
      <c r="V408" s="2357"/>
      <c r="W408" s="2357"/>
      <c r="X408" s="2349"/>
      <c r="Y408" s="2358"/>
      <c r="Z408" s="2358"/>
      <c r="AA408" s="2358"/>
      <c r="AB408" s="2358"/>
      <c r="AC408" s="2359"/>
    </row>
    <row r="409" spans="1:29" s="2318" customFormat="1" ht="85" customHeight="1">
      <c r="A409" s="2321" t="str">
        <f t="shared" si="7"/>
        <v/>
      </c>
      <c r="B409" s="2337" t="s">
        <v>3133</v>
      </c>
      <c r="C409" s="2336"/>
      <c r="D409" s="2317"/>
      <c r="E409" s="2338"/>
      <c r="F409" s="2338"/>
      <c r="G409" s="2338"/>
      <c r="H409" s="2339"/>
      <c r="I409" s="2340"/>
      <c r="J409" s="2341"/>
      <c r="K409" s="2342"/>
      <c r="L409" s="2342"/>
      <c r="M409" s="2343"/>
      <c r="N409" s="2343"/>
      <c r="O409" s="2343"/>
      <c r="P409" s="2341"/>
      <c r="Q409" s="2344"/>
      <c r="R409" s="2345"/>
      <c r="S409" s="2343"/>
      <c r="T409" s="2346"/>
      <c r="U409" s="2347"/>
      <c r="V409" s="2348"/>
      <c r="W409" s="2348"/>
      <c r="X409" s="2349"/>
      <c r="Y409" s="2350"/>
      <c r="Z409" s="2350"/>
      <c r="AA409" s="2350"/>
      <c r="AB409" s="2350"/>
      <c r="AC409" s="2351"/>
    </row>
    <row r="410" spans="1:29" s="2316" customFormat="1" ht="50" customHeight="1">
      <c r="A410" s="2321">
        <f t="shared" si="7"/>
        <v>102</v>
      </c>
      <c r="B410" s="2322"/>
      <c r="C410" s="2321"/>
      <c r="D410" s="2315"/>
      <c r="E410" s="2323"/>
      <c r="F410" s="2323"/>
      <c r="G410" s="2323"/>
      <c r="H410" s="2324"/>
      <c r="I410" s="2325"/>
      <c r="J410" s="2326"/>
      <c r="K410" s="2327"/>
      <c r="L410" s="2327"/>
      <c r="M410" s="2328"/>
      <c r="N410" s="2328"/>
      <c r="O410" s="2328"/>
      <c r="P410" s="2326"/>
      <c r="Q410" s="2329"/>
      <c r="R410" s="2330"/>
      <c r="S410" s="2328"/>
      <c r="T410" s="2331"/>
      <c r="U410" s="2332"/>
      <c r="V410" s="2323"/>
      <c r="W410" s="2323"/>
      <c r="X410" s="2333"/>
      <c r="Y410" s="2334"/>
      <c r="Z410" s="2334"/>
      <c r="AA410" s="2334"/>
      <c r="AB410" s="2334"/>
      <c r="AC410" s="2335"/>
    </row>
    <row r="411" spans="1:29" s="2318" customFormat="1" ht="89" customHeight="1">
      <c r="A411" s="2321" t="str">
        <f t="shared" si="7"/>
        <v/>
      </c>
      <c r="B411" s="2337"/>
      <c r="C411" s="2336"/>
      <c r="D411" s="2317"/>
      <c r="E411" s="2338"/>
      <c r="F411" s="2338"/>
      <c r="G411" s="2338"/>
      <c r="H411" s="2339"/>
      <c r="I411" s="2340"/>
      <c r="J411" s="2341"/>
      <c r="K411" s="2342"/>
      <c r="L411" s="2342"/>
      <c r="M411" s="2343"/>
      <c r="N411" s="2343"/>
      <c r="O411" s="2343"/>
      <c r="P411" s="2341"/>
      <c r="Q411" s="2344"/>
      <c r="R411" s="2345"/>
      <c r="S411" s="2343"/>
      <c r="T411" s="2346"/>
      <c r="U411" s="2347"/>
      <c r="V411" s="2348"/>
      <c r="W411" s="2348"/>
      <c r="X411" s="2349"/>
      <c r="Y411" s="2350"/>
      <c r="Z411" s="2350"/>
      <c r="AA411" s="2350"/>
      <c r="AB411" s="2350"/>
      <c r="AC411" s="2351"/>
    </row>
    <row r="412" spans="1:29" s="2318" customFormat="1" ht="84" customHeight="1">
      <c r="A412" s="2321" t="str">
        <f t="shared" si="7"/>
        <v/>
      </c>
      <c r="B412" s="2353" t="s">
        <v>3132</v>
      </c>
      <c r="C412" s="2352"/>
      <c r="D412" s="2319"/>
      <c r="E412" s="2319"/>
      <c r="F412" s="2319"/>
      <c r="G412" s="2319"/>
      <c r="H412" s="2319"/>
      <c r="I412" s="2319"/>
      <c r="J412" s="2354"/>
      <c r="K412" s="2355"/>
      <c r="L412" s="2355"/>
      <c r="M412" s="2356"/>
      <c r="N412" s="2356"/>
      <c r="O412" s="2356"/>
      <c r="P412" s="2354"/>
      <c r="Q412" s="2344"/>
      <c r="R412" s="2345"/>
      <c r="S412" s="2356"/>
      <c r="T412" s="2346"/>
      <c r="U412" s="2347"/>
      <c r="V412" s="2357"/>
      <c r="W412" s="2357"/>
      <c r="X412" s="2349"/>
      <c r="Y412" s="2358"/>
      <c r="Z412" s="2358"/>
      <c r="AA412" s="2358"/>
      <c r="AB412" s="2358"/>
      <c r="AC412" s="2359"/>
    </row>
    <row r="413" spans="1:29" s="2318" customFormat="1" ht="85" customHeight="1">
      <c r="A413" s="2321" t="str">
        <f t="shared" si="7"/>
        <v/>
      </c>
      <c r="B413" s="2337" t="s">
        <v>3133</v>
      </c>
      <c r="C413" s="2336"/>
      <c r="D413" s="2317"/>
      <c r="E413" s="2338"/>
      <c r="F413" s="2338"/>
      <c r="G413" s="2338"/>
      <c r="H413" s="2339"/>
      <c r="I413" s="2340"/>
      <c r="J413" s="2341"/>
      <c r="K413" s="2342"/>
      <c r="L413" s="2342"/>
      <c r="M413" s="2343"/>
      <c r="N413" s="2343"/>
      <c r="O413" s="2343"/>
      <c r="P413" s="2341"/>
      <c r="Q413" s="2344"/>
      <c r="R413" s="2345"/>
      <c r="S413" s="2343"/>
      <c r="T413" s="2346"/>
      <c r="U413" s="2347"/>
      <c r="V413" s="2348"/>
      <c r="W413" s="2348"/>
      <c r="X413" s="2349"/>
      <c r="Y413" s="2350"/>
      <c r="Z413" s="2350"/>
      <c r="AA413" s="2350"/>
      <c r="AB413" s="2350"/>
      <c r="AC413" s="2351"/>
    </row>
    <row r="414" spans="1:29" s="2316" customFormat="1" ht="50" customHeight="1">
      <c r="A414" s="2321">
        <f t="shared" si="7"/>
        <v>103</v>
      </c>
      <c r="B414" s="2322"/>
      <c r="C414" s="2321"/>
      <c r="D414" s="2315"/>
      <c r="E414" s="2323"/>
      <c r="F414" s="2323"/>
      <c r="G414" s="2323"/>
      <c r="H414" s="2324"/>
      <c r="I414" s="2325"/>
      <c r="J414" s="2326"/>
      <c r="K414" s="2327"/>
      <c r="L414" s="2327"/>
      <c r="M414" s="2328"/>
      <c r="N414" s="2328"/>
      <c r="O414" s="2328"/>
      <c r="P414" s="2326"/>
      <c r="Q414" s="2329"/>
      <c r="R414" s="2330"/>
      <c r="S414" s="2328"/>
      <c r="T414" s="2331"/>
      <c r="U414" s="2332"/>
      <c r="V414" s="2323"/>
      <c r="W414" s="2323"/>
      <c r="X414" s="2333"/>
      <c r="Y414" s="2334"/>
      <c r="Z414" s="2334"/>
      <c r="AA414" s="2334"/>
      <c r="AB414" s="2334"/>
      <c r="AC414" s="2335"/>
    </row>
    <row r="415" spans="1:29" s="2318" customFormat="1" ht="89" customHeight="1">
      <c r="A415" s="2321" t="str">
        <f t="shared" si="7"/>
        <v/>
      </c>
      <c r="B415" s="2337"/>
      <c r="C415" s="2336"/>
      <c r="D415" s="2317"/>
      <c r="E415" s="2338"/>
      <c r="F415" s="2338"/>
      <c r="G415" s="2338"/>
      <c r="H415" s="2339"/>
      <c r="I415" s="2340"/>
      <c r="J415" s="2341"/>
      <c r="K415" s="2342"/>
      <c r="L415" s="2342"/>
      <c r="M415" s="2343"/>
      <c r="N415" s="2343"/>
      <c r="O415" s="2343"/>
      <c r="P415" s="2341"/>
      <c r="Q415" s="2344"/>
      <c r="R415" s="2345"/>
      <c r="S415" s="2343"/>
      <c r="T415" s="2346"/>
      <c r="U415" s="2347"/>
      <c r="V415" s="2348"/>
      <c r="W415" s="2348"/>
      <c r="X415" s="2349"/>
      <c r="Y415" s="2350"/>
      <c r="Z415" s="2350"/>
      <c r="AA415" s="2350"/>
      <c r="AB415" s="2350"/>
      <c r="AC415" s="2351"/>
    </row>
    <row r="416" spans="1:29" s="2318" customFormat="1" ht="84" customHeight="1">
      <c r="A416" s="2321" t="str">
        <f t="shared" si="7"/>
        <v/>
      </c>
      <c r="B416" s="2353" t="s">
        <v>3132</v>
      </c>
      <c r="C416" s="2352"/>
      <c r="D416" s="2319"/>
      <c r="E416" s="2319"/>
      <c r="F416" s="2319"/>
      <c r="G416" s="2319"/>
      <c r="H416" s="2319"/>
      <c r="I416" s="2319"/>
      <c r="J416" s="2354"/>
      <c r="K416" s="2355"/>
      <c r="L416" s="2355"/>
      <c r="M416" s="2356"/>
      <c r="N416" s="2356"/>
      <c r="O416" s="2356"/>
      <c r="P416" s="2354"/>
      <c r="Q416" s="2344"/>
      <c r="R416" s="2345"/>
      <c r="S416" s="2356"/>
      <c r="T416" s="2346"/>
      <c r="U416" s="2347"/>
      <c r="V416" s="2357"/>
      <c r="W416" s="2357"/>
      <c r="X416" s="2349"/>
      <c r="Y416" s="2358"/>
      <c r="Z416" s="2358"/>
      <c r="AA416" s="2358"/>
      <c r="AB416" s="2358"/>
      <c r="AC416" s="2359"/>
    </row>
    <row r="417" spans="1:29" s="2318" customFormat="1" ht="85" customHeight="1">
      <c r="A417" s="2321" t="str">
        <f t="shared" si="7"/>
        <v/>
      </c>
      <c r="B417" s="2337" t="s">
        <v>3133</v>
      </c>
      <c r="C417" s="2336"/>
      <c r="D417" s="2317"/>
      <c r="E417" s="2338"/>
      <c r="F417" s="2338"/>
      <c r="G417" s="2338"/>
      <c r="H417" s="2339"/>
      <c r="I417" s="2340"/>
      <c r="J417" s="2341"/>
      <c r="K417" s="2342"/>
      <c r="L417" s="2342"/>
      <c r="M417" s="2343"/>
      <c r="N417" s="2343"/>
      <c r="O417" s="2343"/>
      <c r="P417" s="2341"/>
      <c r="Q417" s="2344"/>
      <c r="R417" s="2345"/>
      <c r="S417" s="2343"/>
      <c r="T417" s="2346"/>
      <c r="U417" s="2347"/>
      <c r="V417" s="2348"/>
      <c r="W417" s="2348"/>
      <c r="X417" s="2349"/>
      <c r="Y417" s="2350"/>
      <c r="Z417" s="2350"/>
      <c r="AA417" s="2350"/>
      <c r="AB417" s="2350"/>
      <c r="AC417" s="2351"/>
    </row>
    <row r="418" spans="1:29" s="2316" customFormat="1" ht="50" customHeight="1">
      <c r="A418" s="2321">
        <f t="shared" si="7"/>
        <v>104</v>
      </c>
      <c r="B418" s="2322"/>
      <c r="C418" s="2321"/>
      <c r="D418" s="2315"/>
      <c r="E418" s="2323"/>
      <c r="F418" s="2323"/>
      <c r="G418" s="2323"/>
      <c r="H418" s="2324"/>
      <c r="I418" s="2325"/>
      <c r="J418" s="2326"/>
      <c r="K418" s="2327"/>
      <c r="L418" s="2327"/>
      <c r="M418" s="2328"/>
      <c r="N418" s="2328"/>
      <c r="O418" s="2328"/>
      <c r="P418" s="2326"/>
      <c r="Q418" s="2329"/>
      <c r="R418" s="2330"/>
      <c r="S418" s="2328"/>
      <c r="T418" s="2331"/>
      <c r="U418" s="2332"/>
      <c r="V418" s="2323"/>
      <c r="W418" s="2323"/>
      <c r="X418" s="2333"/>
      <c r="Y418" s="2334"/>
      <c r="Z418" s="2334"/>
      <c r="AA418" s="2334"/>
      <c r="AB418" s="2334"/>
      <c r="AC418" s="2335"/>
    </row>
    <row r="419" spans="1:29" s="2318" customFormat="1" ht="89" customHeight="1">
      <c r="A419" s="2321" t="str">
        <f t="shared" si="7"/>
        <v/>
      </c>
      <c r="B419" s="2337"/>
      <c r="C419" s="2336"/>
      <c r="D419" s="2317"/>
      <c r="E419" s="2338"/>
      <c r="F419" s="2338"/>
      <c r="G419" s="2338"/>
      <c r="H419" s="2339"/>
      <c r="I419" s="2340"/>
      <c r="J419" s="2341"/>
      <c r="K419" s="2342"/>
      <c r="L419" s="2342"/>
      <c r="M419" s="2343"/>
      <c r="N419" s="2343"/>
      <c r="O419" s="2343"/>
      <c r="P419" s="2341"/>
      <c r="Q419" s="2344"/>
      <c r="R419" s="2345"/>
      <c r="S419" s="2343"/>
      <c r="T419" s="2346"/>
      <c r="U419" s="2347"/>
      <c r="V419" s="2348"/>
      <c r="W419" s="2348"/>
      <c r="X419" s="2349"/>
      <c r="Y419" s="2350"/>
      <c r="Z419" s="2350"/>
      <c r="AA419" s="2350"/>
      <c r="AB419" s="2350"/>
      <c r="AC419" s="2351"/>
    </row>
    <row r="420" spans="1:29" s="2318" customFormat="1" ht="84" customHeight="1">
      <c r="A420" s="2321" t="str">
        <f t="shared" si="7"/>
        <v/>
      </c>
      <c r="B420" s="2353" t="s">
        <v>3132</v>
      </c>
      <c r="C420" s="2352"/>
      <c r="D420" s="2319"/>
      <c r="E420" s="2319"/>
      <c r="F420" s="2319"/>
      <c r="G420" s="2319"/>
      <c r="H420" s="2319"/>
      <c r="I420" s="2319"/>
      <c r="J420" s="2354"/>
      <c r="K420" s="2355"/>
      <c r="L420" s="2355"/>
      <c r="M420" s="2356"/>
      <c r="N420" s="2356"/>
      <c r="O420" s="2356"/>
      <c r="P420" s="2354"/>
      <c r="Q420" s="2344"/>
      <c r="R420" s="2345"/>
      <c r="S420" s="2356"/>
      <c r="T420" s="2346"/>
      <c r="U420" s="2347"/>
      <c r="V420" s="2357"/>
      <c r="W420" s="2357"/>
      <c r="X420" s="2349"/>
      <c r="Y420" s="2358"/>
      <c r="Z420" s="2358"/>
      <c r="AA420" s="2358"/>
      <c r="AB420" s="2358"/>
      <c r="AC420" s="2359"/>
    </row>
    <row r="421" spans="1:29" s="2318" customFormat="1" ht="85" customHeight="1">
      <c r="A421" s="2321" t="str">
        <f t="shared" si="7"/>
        <v/>
      </c>
      <c r="B421" s="2337" t="s">
        <v>3133</v>
      </c>
      <c r="C421" s="2336"/>
      <c r="D421" s="2317"/>
      <c r="E421" s="2338"/>
      <c r="F421" s="2338"/>
      <c r="G421" s="2338"/>
      <c r="H421" s="2339"/>
      <c r="I421" s="2340"/>
      <c r="J421" s="2341"/>
      <c r="K421" s="2342"/>
      <c r="L421" s="2342"/>
      <c r="M421" s="2343"/>
      <c r="N421" s="2343"/>
      <c r="O421" s="2343"/>
      <c r="P421" s="2341"/>
      <c r="Q421" s="2344"/>
      <c r="R421" s="2345"/>
      <c r="S421" s="2343"/>
      <c r="T421" s="2346"/>
      <c r="U421" s="2347"/>
      <c r="V421" s="2348"/>
      <c r="W421" s="2348"/>
      <c r="X421" s="2349"/>
      <c r="Y421" s="2350"/>
      <c r="Z421" s="2350"/>
      <c r="AA421" s="2350"/>
      <c r="AB421" s="2350"/>
      <c r="AC421" s="2351"/>
    </row>
    <row r="422" spans="1:29" s="2316" customFormat="1" ht="50" customHeight="1">
      <c r="A422" s="2321">
        <f t="shared" si="7"/>
        <v>105</v>
      </c>
      <c r="B422" s="2322"/>
      <c r="C422" s="2321"/>
      <c r="D422" s="2315"/>
      <c r="E422" s="2323"/>
      <c r="F422" s="2323"/>
      <c r="G422" s="2323"/>
      <c r="H422" s="2324"/>
      <c r="I422" s="2325"/>
      <c r="J422" s="2326"/>
      <c r="K422" s="2327"/>
      <c r="L422" s="2327"/>
      <c r="M422" s="2328"/>
      <c r="N422" s="2328"/>
      <c r="O422" s="2328"/>
      <c r="P422" s="2326"/>
      <c r="Q422" s="2329"/>
      <c r="R422" s="2330"/>
      <c r="S422" s="2328"/>
      <c r="T422" s="2331"/>
      <c r="U422" s="2332"/>
      <c r="V422" s="2323"/>
      <c r="W422" s="2323"/>
      <c r="X422" s="2333"/>
      <c r="Y422" s="2334"/>
      <c r="Z422" s="2334"/>
      <c r="AA422" s="2334"/>
      <c r="AB422" s="2334"/>
      <c r="AC422" s="2335"/>
    </row>
    <row r="423" spans="1:29" s="2318" customFormat="1" ht="89" customHeight="1">
      <c r="A423" s="2321" t="str">
        <f t="shared" si="7"/>
        <v/>
      </c>
      <c r="B423" s="2337"/>
      <c r="C423" s="2336"/>
      <c r="D423" s="2317"/>
      <c r="E423" s="2338"/>
      <c r="F423" s="2338"/>
      <c r="G423" s="2338"/>
      <c r="H423" s="2339"/>
      <c r="I423" s="2340"/>
      <c r="J423" s="2341"/>
      <c r="K423" s="2342"/>
      <c r="L423" s="2342"/>
      <c r="M423" s="2343"/>
      <c r="N423" s="2343"/>
      <c r="O423" s="2343"/>
      <c r="P423" s="2341"/>
      <c r="Q423" s="2344"/>
      <c r="R423" s="2345"/>
      <c r="S423" s="2343"/>
      <c r="T423" s="2346"/>
      <c r="U423" s="2347"/>
      <c r="V423" s="2348"/>
      <c r="W423" s="2348"/>
      <c r="X423" s="2349"/>
      <c r="Y423" s="2350"/>
      <c r="Z423" s="2350"/>
      <c r="AA423" s="2350"/>
      <c r="AB423" s="2350"/>
      <c r="AC423" s="2351"/>
    </row>
    <row r="424" spans="1:29" s="2318" customFormat="1" ht="84" customHeight="1">
      <c r="A424" s="2321" t="str">
        <f t="shared" si="7"/>
        <v/>
      </c>
      <c r="B424" s="2353" t="s">
        <v>3132</v>
      </c>
      <c r="C424" s="2352"/>
      <c r="D424" s="2319"/>
      <c r="E424" s="2319"/>
      <c r="F424" s="2319"/>
      <c r="G424" s="2319"/>
      <c r="H424" s="2319"/>
      <c r="I424" s="2319"/>
      <c r="J424" s="2354"/>
      <c r="K424" s="2355"/>
      <c r="L424" s="2355"/>
      <c r="M424" s="2356"/>
      <c r="N424" s="2356"/>
      <c r="O424" s="2356"/>
      <c r="P424" s="2354"/>
      <c r="Q424" s="2344"/>
      <c r="R424" s="2345"/>
      <c r="S424" s="2356"/>
      <c r="T424" s="2346"/>
      <c r="U424" s="2347"/>
      <c r="V424" s="2357"/>
      <c r="W424" s="2357"/>
      <c r="X424" s="2349"/>
      <c r="Y424" s="2358"/>
      <c r="Z424" s="2358"/>
      <c r="AA424" s="2358"/>
      <c r="AB424" s="2358"/>
      <c r="AC424" s="2359"/>
    </row>
    <row r="425" spans="1:29" s="2318" customFormat="1" ht="85" customHeight="1">
      <c r="A425" s="2321" t="str">
        <f t="shared" si="7"/>
        <v/>
      </c>
      <c r="B425" s="2337" t="s">
        <v>3133</v>
      </c>
      <c r="C425" s="2336"/>
      <c r="D425" s="2317"/>
      <c r="E425" s="2338"/>
      <c r="F425" s="2338"/>
      <c r="G425" s="2338"/>
      <c r="H425" s="2339"/>
      <c r="I425" s="2340"/>
      <c r="J425" s="2341"/>
      <c r="K425" s="2342"/>
      <c r="L425" s="2342"/>
      <c r="M425" s="2343"/>
      <c r="N425" s="2343"/>
      <c r="O425" s="2343"/>
      <c r="P425" s="2341"/>
      <c r="Q425" s="2344"/>
      <c r="R425" s="2345"/>
      <c r="S425" s="2343"/>
      <c r="T425" s="2346"/>
      <c r="U425" s="2347"/>
      <c r="V425" s="2348"/>
      <c r="W425" s="2348"/>
      <c r="X425" s="2349"/>
      <c r="Y425" s="2350"/>
      <c r="Z425" s="2350"/>
      <c r="AA425" s="2350"/>
      <c r="AB425" s="2350"/>
      <c r="AC425" s="2351"/>
    </row>
    <row r="426" spans="1:29" s="2316" customFormat="1" ht="50" customHeight="1">
      <c r="A426" s="2321">
        <f t="shared" si="7"/>
        <v>106</v>
      </c>
      <c r="B426" s="2322"/>
      <c r="C426" s="2321"/>
      <c r="D426" s="2315"/>
      <c r="E426" s="2323"/>
      <c r="F426" s="2323"/>
      <c r="G426" s="2323"/>
      <c r="H426" s="2324"/>
      <c r="I426" s="2325"/>
      <c r="J426" s="2326"/>
      <c r="K426" s="2327"/>
      <c r="L426" s="2327"/>
      <c r="M426" s="2328"/>
      <c r="N426" s="2328"/>
      <c r="O426" s="2328"/>
      <c r="P426" s="2326"/>
      <c r="Q426" s="2329"/>
      <c r="R426" s="2330"/>
      <c r="S426" s="2328"/>
      <c r="T426" s="2331"/>
      <c r="U426" s="2332"/>
      <c r="V426" s="2323"/>
      <c r="W426" s="2323"/>
      <c r="X426" s="2333"/>
      <c r="Y426" s="2334"/>
      <c r="Z426" s="2334"/>
      <c r="AA426" s="2334"/>
      <c r="AB426" s="2334"/>
      <c r="AC426" s="2335"/>
    </row>
    <row r="427" spans="1:29" s="2318" customFormat="1" ht="89" customHeight="1">
      <c r="A427" s="2321" t="str">
        <f t="shared" si="7"/>
        <v/>
      </c>
      <c r="B427" s="2337"/>
      <c r="C427" s="2336"/>
      <c r="D427" s="2317"/>
      <c r="E427" s="2338"/>
      <c r="F427" s="2338"/>
      <c r="G427" s="2338"/>
      <c r="H427" s="2339"/>
      <c r="I427" s="2340"/>
      <c r="J427" s="2341"/>
      <c r="K427" s="2342"/>
      <c r="L427" s="2342"/>
      <c r="M427" s="2343"/>
      <c r="N427" s="2343"/>
      <c r="O427" s="2343"/>
      <c r="P427" s="2341"/>
      <c r="Q427" s="2344"/>
      <c r="R427" s="2345"/>
      <c r="S427" s="2343"/>
      <c r="T427" s="2346"/>
      <c r="U427" s="2347"/>
      <c r="V427" s="2348"/>
      <c r="W427" s="2348"/>
      <c r="X427" s="2349"/>
      <c r="Y427" s="2350"/>
      <c r="Z427" s="2350"/>
      <c r="AA427" s="2350"/>
      <c r="AB427" s="2350"/>
      <c r="AC427" s="2351"/>
    </row>
    <row r="428" spans="1:29" s="2318" customFormat="1" ht="84" customHeight="1">
      <c r="A428" s="2321" t="str">
        <f t="shared" si="7"/>
        <v/>
      </c>
      <c r="B428" s="2353" t="s">
        <v>3132</v>
      </c>
      <c r="C428" s="2352"/>
      <c r="D428" s="2319"/>
      <c r="E428" s="2319"/>
      <c r="F428" s="2319"/>
      <c r="G428" s="2319"/>
      <c r="H428" s="2319"/>
      <c r="I428" s="2319"/>
      <c r="J428" s="2354"/>
      <c r="K428" s="2355"/>
      <c r="L428" s="2355"/>
      <c r="M428" s="2356"/>
      <c r="N428" s="2356"/>
      <c r="O428" s="2356"/>
      <c r="P428" s="2354"/>
      <c r="Q428" s="2344"/>
      <c r="R428" s="2345"/>
      <c r="S428" s="2356"/>
      <c r="T428" s="2346"/>
      <c r="U428" s="2347"/>
      <c r="V428" s="2357"/>
      <c r="W428" s="2357"/>
      <c r="X428" s="2349"/>
      <c r="Y428" s="2358"/>
      <c r="Z428" s="2358"/>
      <c r="AA428" s="2358"/>
      <c r="AB428" s="2358"/>
      <c r="AC428" s="2359"/>
    </row>
    <row r="429" spans="1:29" s="2318" customFormat="1" ht="85" customHeight="1">
      <c r="A429" s="2321" t="str">
        <f t="shared" si="7"/>
        <v/>
      </c>
      <c r="B429" s="2337" t="s">
        <v>3133</v>
      </c>
      <c r="C429" s="2336"/>
      <c r="D429" s="2317"/>
      <c r="E429" s="2338"/>
      <c r="F429" s="2338"/>
      <c r="G429" s="2338"/>
      <c r="H429" s="2339"/>
      <c r="I429" s="2340"/>
      <c r="J429" s="2341"/>
      <c r="K429" s="2342"/>
      <c r="L429" s="2342"/>
      <c r="M429" s="2343"/>
      <c r="N429" s="2343"/>
      <c r="O429" s="2343"/>
      <c r="P429" s="2341"/>
      <c r="Q429" s="2344"/>
      <c r="R429" s="2345"/>
      <c r="S429" s="2343"/>
      <c r="T429" s="2346"/>
      <c r="U429" s="2347"/>
      <c r="V429" s="2348"/>
      <c r="W429" s="2348"/>
      <c r="X429" s="2349"/>
      <c r="Y429" s="2350"/>
      <c r="Z429" s="2350"/>
      <c r="AA429" s="2350"/>
      <c r="AB429" s="2350"/>
      <c r="AC429" s="2351"/>
    </row>
    <row r="430" spans="1:29" s="2316" customFormat="1" ht="50" customHeight="1">
      <c r="A430" s="2321">
        <f t="shared" si="7"/>
        <v>107</v>
      </c>
      <c r="B430" s="2322"/>
      <c r="C430" s="2321"/>
      <c r="D430" s="2315"/>
      <c r="E430" s="2323"/>
      <c r="F430" s="2323"/>
      <c r="G430" s="2323"/>
      <c r="H430" s="2324"/>
      <c r="I430" s="2325"/>
      <c r="J430" s="2326"/>
      <c r="K430" s="2327"/>
      <c r="L430" s="2327"/>
      <c r="M430" s="2328"/>
      <c r="N430" s="2328"/>
      <c r="O430" s="2328"/>
      <c r="P430" s="2326"/>
      <c r="Q430" s="2329"/>
      <c r="R430" s="2330"/>
      <c r="S430" s="2328"/>
      <c r="T430" s="2331"/>
      <c r="U430" s="2332"/>
      <c r="V430" s="2323"/>
      <c r="W430" s="2323"/>
      <c r="X430" s="2333"/>
      <c r="Y430" s="2334"/>
      <c r="Z430" s="2334"/>
      <c r="AA430" s="2334"/>
      <c r="AB430" s="2334"/>
      <c r="AC430" s="2335"/>
    </row>
    <row r="431" spans="1:29" s="2318" customFormat="1" ht="89" customHeight="1">
      <c r="A431" s="2321" t="str">
        <f t="shared" si="7"/>
        <v/>
      </c>
      <c r="B431" s="2337"/>
      <c r="C431" s="2336"/>
      <c r="D431" s="2317"/>
      <c r="E431" s="2338"/>
      <c r="F431" s="2338"/>
      <c r="G431" s="2338"/>
      <c r="H431" s="2339"/>
      <c r="I431" s="2340"/>
      <c r="J431" s="2341"/>
      <c r="K431" s="2342"/>
      <c r="L431" s="2342"/>
      <c r="M431" s="2343"/>
      <c r="N431" s="2343"/>
      <c r="O431" s="2343"/>
      <c r="P431" s="2341"/>
      <c r="Q431" s="2344"/>
      <c r="R431" s="2345"/>
      <c r="S431" s="2343"/>
      <c r="T431" s="2346"/>
      <c r="U431" s="2347"/>
      <c r="V431" s="2348"/>
      <c r="W431" s="2348"/>
      <c r="X431" s="2349"/>
      <c r="Y431" s="2350"/>
      <c r="Z431" s="2350"/>
      <c r="AA431" s="2350"/>
      <c r="AB431" s="2350"/>
      <c r="AC431" s="2351"/>
    </row>
    <row r="432" spans="1:29" s="2318" customFormat="1" ht="84" customHeight="1">
      <c r="A432" s="2321" t="str">
        <f t="shared" si="7"/>
        <v/>
      </c>
      <c r="B432" s="2353" t="s">
        <v>3132</v>
      </c>
      <c r="C432" s="2352"/>
      <c r="D432" s="2319"/>
      <c r="E432" s="2319"/>
      <c r="F432" s="2319"/>
      <c r="G432" s="2319"/>
      <c r="H432" s="2319"/>
      <c r="I432" s="2319"/>
      <c r="J432" s="2354"/>
      <c r="K432" s="2355"/>
      <c r="L432" s="2355"/>
      <c r="M432" s="2356"/>
      <c r="N432" s="2356"/>
      <c r="O432" s="2356"/>
      <c r="P432" s="2354"/>
      <c r="Q432" s="2344"/>
      <c r="R432" s="2345"/>
      <c r="S432" s="2356"/>
      <c r="T432" s="2346"/>
      <c r="U432" s="2347"/>
      <c r="V432" s="2357"/>
      <c r="W432" s="2357"/>
      <c r="X432" s="2349"/>
      <c r="Y432" s="2358"/>
      <c r="Z432" s="2358"/>
      <c r="AA432" s="2358"/>
      <c r="AB432" s="2358"/>
      <c r="AC432" s="2359"/>
    </row>
    <row r="433" spans="1:29" s="2318" customFormat="1" ht="85" customHeight="1">
      <c r="A433" s="2321" t="str">
        <f t="shared" si="7"/>
        <v/>
      </c>
      <c r="B433" s="2337" t="s">
        <v>3133</v>
      </c>
      <c r="C433" s="2336"/>
      <c r="D433" s="2317"/>
      <c r="E433" s="2338"/>
      <c r="F433" s="2338"/>
      <c r="G433" s="2338"/>
      <c r="H433" s="2339"/>
      <c r="I433" s="2340"/>
      <c r="J433" s="2341"/>
      <c r="K433" s="2342"/>
      <c r="L433" s="2342"/>
      <c r="M433" s="2343"/>
      <c r="N433" s="2343"/>
      <c r="O433" s="2343"/>
      <c r="P433" s="2341"/>
      <c r="Q433" s="2344"/>
      <c r="R433" s="2345"/>
      <c r="S433" s="2343"/>
      <c r="T433" s="2346"/>
      <c r="U433" s="2347"/>
      <c r="V433" s="2348"/>
      <c r="W433" s="2348"/>
      <c r="X433" s="2349"/>
      <c r="Y433" s="2350"/>
      <c r="Z433" s="2350"/>
      <c r="AA433" s="2350"/>
      <c r="AB433" s="2350"/>
      <c r="AC433" s="2351"/>
    </row>
    <row r="434" spans="1:29" s="2316" customFormat="1" ht="50" customHeight="1">
      <c r="A434" s="2321">
        <f t="shared" si="7"/>
        <v>108</v>
      </c>
      <c r="B434" s="2322"/>
      <c r="C434" s="2321"/>
      <c r="D434" s="2315"/>
      <c r="E434" s="2323"/>
      <c r="F434" s="2323"/>
      <c r="G434" s="2323"/>
      <c r="H434" s="2324"/>
      <c r="I434" s="2325"/>
      <c r="J434" s="2326"/>
      <c r="K434" s="2327"/>
      <c r="L434" s="2327"/>
      <c r="M434" s="2328"/>
      <c r="N434" s="2328"/>
      <c r="O434" s="2328"/>
      <c r="P434" s="2326"/>
      <c r="Q434" s="2329"/>
      <c r="R434" s="2330"/>
      <c r="S434" s="2328"/>
      <c r="T434" s="2331"/>
      <c r="U434" s="2332"/>
      <c r="V434" s="2323"/>
      <c r="W434" s="2323"/>
      <c r="X434" s="2333"/>
      <c r="Y434" s="2334"/>
      <c r="Z434" s="2334"/>
      <c r="AA434" s="2334"/>
      <c r="AB434" s="2334"/>
      <c r="AC434" s="2335"/>
    </row>
    <row r="435" spans="1:29" s="2318" customFormat="1" ht="89" customHeight="1">
      <c r="A435" s="2321" t="str">
        <f t="shared" si="7"/>
        <v/>
      </c>
      <c r="B435" s="2337"/>
      <c r="C435" s="2336"/>
      <c r="D435" s="2317"/>
      <c r="E435" s="2338"/>
      <c r="F435" s="2338"/>
      <c r="G435" s="2338"/>
      <c r="H435" s="2339"/>
      <c r="I435" s="2340"/>
      <c r="J435" s="2341"/>
      <c r="K435" s="2342"/>
      <c r="L435" s="2342"/>
      <c r="M435" s="2343"/>
      <c r="N435" s="2343"/>
      <c r="O435" s="2343"/>
      <c r="P435" s="2341"/>
      <c r="Q435" s="2344"/>
      <c r="R435" s="2345"/>
      <c r="S435" s="2343"/>
      <c r="T435" s="2346"/>
      <c r="U435" s="2347"/>
      <c r="V435" s="2348"/>
      <c r="W435" s="2348"/>
      <c r="X435" s="2349"/>
      <c r="Y435" s="2350"/>
      <c r="Z435" s="2350"/>
      <c r="AA435" s="2350"/>
      <c r="AB435" s="2350"/>
      <c r="AC435" s="2351"/>
    </row>
    <row r="436" spans="1:29" s="2318" customFormat="1" ht="84" customHeight="1">
      <c r="A436" s="2321" t="str">
        <f t="shared" si="7"/>
        <v/>
      </c>
      <c r="B436" s="2353" t="s">
        <v>3132</v>
      </c>
      <c r="C436" s="2352"/>
      <c r="D436" s="2319"/>
      <c r="E436" s="2319"/>
      <c r="F436" s="2319"/>
      <c r="G436" s="2319"/>
      <c r="H436" s="2319"/>
      <c r="I436" s="2319"/>
      <c r="J436" s="2354"/>
      <c r="K436" s="2355"/>
      <c r="L436" s="2355"/>
      <c r="M436" s="2356"/>
      <c r="N436" s="2356"/>
      <c r="O436" s="2356"/>
      <c r="P436" s="2354"/>
      <c r="Q436" s="2344"/>
      <c r="R436" s="2345"/>
      <c r="S436" s="2356"/>
      <c r="T436" s="2346"/>
      <c r="U436" s="2347"/>
      <c r="V436" s="2357"/>
      <c r="W436" s="2357"/>
      <c r="X436" s="2349"/>
      <c r="Y436" s="2358"/>
      <c r="Z436" s="2358"/>
      <c r="AA436" s="2358"/>
      <c r="AB436" s="2358"/>
      <c r="AC436" s="2359"/>
    </row>
    <row r="437" spans="1:29" s="2318" customFormat="1" ht="85" customHeight="1">
      <c r="A437" s="2321" t="str">
        <f t="shared" si="7"/>
        <v/>
      </c>
      <c r="B437" s="2337" t="s">
        <v>3133</v>
      </c>
      <c r="C437" s="2336"/>
      <c r="D437" s="2317"/>
      <c r="E437" s="2338"/>
      <c r="F437" s="2338"/>
      <c r="G437" s="2338"/>
      <c r="H437" s="2339"/>
      <c r="I437" s="2340"/>
      <c r="J437" s="2341"/>
      <c r="K437" s="2342"/>
      <c r="L437" s="2342"/>
      <c r="M437" s="2343"/>
      <c r="N437" s="2343"/>
      <c r="O437" s="2343"/>
      <c r="P437" s="2341"/>
      <c r="Q437" s="2344"/>
      <c r="R437" s="2345"/>
      <c r="S437" s="2343"/>
      <c r="T437" s="2346"/>
      <c r="U437" s="2347"/>
      <c r="V437" s="2348"/>
      <c r="W437" s="2348"/>
      <c r="X437" s="2349"/>
      <c r="Y437" s="2350"/>
      <c r="Z437" s="2350"/>
      <c r="AA437" s="2350"/>
      <c r="AB437" s="2350"/>
      <c r="AC437" s="2351"/>
    </row>
    <row r="438" spans="1:29" s="2318" customFormat="1" ht="37">
      <c r="B438" s="2320"/>
      <c r="E438" s="2320"/>
      <c r="F438" s="2320"/>
      <c r="G438" s="2320"/>
      <c r="H438" s="2320"/>
      <c r="I438" s="2320"/>
      <c r="J438" s="2320"/>
      <c r="K438" s="2320"/>
      <c r="L438" s="2320"/>
      <c r="M438" s="2320"/>
      <c r="N438" s="2320"/>
      <c r="O438" s="2320"/>
      <c r="P438" s="2320"/>
      <c r="Q438" s="2320"/>
      <c r="R438" s="2320"/>
      <c r="S438" s="2320"/>
      <c r="T438" s="2320"/>
      <c r="U438" s="2320"/>
      <c r="V438" s="2320"/>
      <c r="W438" s="2320"/>
      <c r="X438" s="2320"/>
      <c r="Y438" s="2320"/>
      <c r="Z438" s="2320"/>
      <c r="AA438" s="2320"/>
      <c r="AB438" s="2320"/>
      <c r="AC438" s="2320"/>
    </row>
    <row r="439" spans="1:29" s="2318" customFormat="1" ht="37">
      <c r="B439" s="2320"/>
      <c r="E439" s="2320"/>
      <c r="F439" s="2320"/>
      <c r="G439" s="2320"/>
      <c r="H439" s="2320"/>
      <c r="I439" s="2320"/>
      <c r="J439" s="2320"/>
      <c r="K439" s="2320"/>
      <c r="L439" s="2320"/>
      <c r="M439" s="2320"/>
      <c r="N439" s="2320"/>
      <c r="O439" s="2320"/>
      <c r="P439" s="2320"/>
      <c r="Q439" s="2320"/>
      <c r="R439" s="2320"/>
      <c r="S439" s="2320"/>
      <c r="T439" s="2320"/>
      <c r="U439" s="2320"/>
      <c r="V439" s="2320"/>
      <c r="W439" s="2320"/>
      <c r="X439" s="2320"/>
      <c r="Y439" s="2320"/>
      <c r="Z439" s="2320"/>
      <c r="AA439" s="2320"/>
      <c r="AB439" s="2320"/>
      <c r="AC439" s="2320"/>
    </row>
    <row r="440" spans="1:29" s="2318" customFormat="1" ht="37">
      <c r="B440" s="2320"/>
      <c r="E440" s="2320"/>
      <c r="F440" s="2320"/>
      <c r="G440" s="2320"/>
      <c r="H440" s="2320"/>
      <c r="I440" s="2320"/>
      <c r="J440" s="2320"/>
      <c r="K440" s="2320"/>
      <c r="L440" s="2320"/>
      <c r="M440" s="2320"/>
      <c r="N440" s="2320"/>
      <c r="O440" s="2320"/>
      <c r="P440" s="2320"/>
      <c r="Q440" s="2320"/>
      <c r="R440" s="2320"/>
      <c r="S440" s="2320"/>
      <c r="T440" s="2320"/>
      <c r="U440" s="2320"/>
      <c r="V440" s="2320"/>
      <c r="W440" s="2320"/>
      <c r="X440" s="2320"/>
      <c r="Y440" s="2320"/>
      <c r="Z440" s="2320"/>
      <c r="AA440" s="2320"/>
      <c r="AB440" s="2320"/>
      <c r="AC440" s="2320"/>
    </row>
    <row r="441" spans="1:29" s="2318" customFormat="1" ht="37">
      <c r="B441" s="2320"/>
      <c r="E441" s="2320"/>
      <c r="F441" s="2320"/>
      <c r="G441" s="2320"/>
      <c r="H441" s="2320"/>
      <c r="I441" s="2320"/>
      <c r="J441" s="2320"/>
      <c r="K441" s="2320"/>
      <c r="L441" s="2320"/>
      <c r="M441" s="2320"/>
      <c r="N441" s="2320"/>
      <c r="O441" s="2320"/>
      <c r="P441" s="2320"/>
      <c r="Q441" s="2320"/>
      <c r="R441" s="2320"/>
      <c r="S441" s="2320"/>
      <c r="T441" s="2320"/>
      <c r="U441" s="2320"/>
      <c r="V441" s="2320"/>
      <c r="W441" s="2320"/>
      <c r="X441" s="2320"/>
      <c r="Y441" s="2320"/>
      <c r="Z441" s="2320"/>
      <c r="AA441" s="2320"/>
      <c r="AB441" s="2320"/>
      <c r="AC441" s="2320"/>
    </row>
    <row r="442" spans="1:29" s="2318" customFormat="1" ht="37">
      <c r="B442" s="2320"/>
      <c r="E442" s="2320"/>
      <c r="F442" s="2320"/>
      <c r="G442" s="2320"/>
      <c r="H442" s="2320"/>
      <c r="I442" s="2320"/>
      <c r="J442" s="2320"/>
      <c r="K442" s="2320"/>
      <c r="L442" s="2320"/>
      <c r="M442" s="2320"/>
      <c r="N442" s="2320"/>
      <c r="O442" s="2320"/>
      <c r="P442" s="2320"/>
      <c r="Q442" s="2320"/>
      <c r="R442" s="2320"/>
      <c r="S442" s="2320"/>
      <c r="T442" s="2320"/>
      <c r="U442" s="2320"/>
      <c r="V442" s="2320"/>
      <c r="W442" s="2320"/>
      <c r="X442" s="2320"/>
      <c r="Y442" s="2320"/>
      <c r="Z442" s="2320"/>
      <c r="AA442" s="2320"/>
      <c r="AB442" s="2320"/>
      <c r="AC442" s="2320"/>
    </row>
    <row r="443" spans="1:29" s="2318" customFormat="1" ht="37">
      <c r="B443" s="2320"/>
      <c r="E443" s="2320"/>
      <c r="F443" s="2320"/>
      <c r="G443" s="2320"/>
      <c r="H443" s="2320"/>
      <c r="I443" s="2320"/>
      <c r="J443" s="2320"/>
      <c r="K443" s="2320"/>
      <c r="L443" s="2320"/>
      <c r="M443" s="2320"/>
      <c r="N443" s="2320"/>
      <c r="O443" s="2320"/>
      <c r="P443" s="2320"/>
      <c r="Q443" s="2320"/>
      <c r="R443" s="2320"/>
      <c r="S443" s="2320"/>
      <c r="T443" s="2320"/>
      <c r="U443" s="2320"/>
      <c r="V443" s="2320"/>
      <c r="W443" s="2320"/>
      <c r="X443" s="2320"/>
      <c r="Y443" s="2320"/>
      <c r="Z443" s="2320"/>
      <c r="AA443" s="2320"/>
      <c r="AB443" s="2320"/>
      <c r="AC443" s="2320"/>
    </row>
    <row r="444" spans="1:29" s="2318" customFormat="1" ht="37">
      <c r="B444" s="2320"/>
      <c r="E444" s="2320"/>
      <c r="F444" s="2320"/>
      <c r="G444" s="2320"/>
      <c r="H444" s="2320"/>
      <c r="I444" s="2320"/>
      <c r="J444" s="2320"/>
      <c r="K444" s="2320"/>
      <c r="L444" s="2320"/>
      <c r="M444" s="2320"/>
      <c r="N444" s="2320"/>
      <c r="O444" s="2320"/>
      <c r="P444" s="2320"/>
      <c r="Q444" s="2320"/>
      <c r="R444" s="2320"/>
      <c r="S444" s="2320"/>
      <c r="T444" s="2320"/>
      <c r="U444" s="2320"/>
      <c r="V444" s="2320"/>
      <c r="W444" s="2320"/>
      <c r="X444" s="2320"/>
      <c r="Y444" s="2320"/>
      <c r="Z444" s="2320"/>
      <c r="AA444" s="2320"/>
      <c r="AB444" s="2320"/>
      <c r="AC444" s="2320"/>
    </row>
    <row r="445" spans="1:29" s="2318" customFormat="1" ht="37">
      <c r="B445" s="2320"/>
      <c r="E445" s="2320"/>
      <c r="F445" s="2320"/>
      <c r="G445" s="2320"/>
      <c r="H445" s="2320"/>
      <c r="I445" s="2320"/>
      <c r="J445" s="2320"/>
      <c r="K445" s="2320"/>
      <c r="L445" s="2320"/>
      <c r="M445" s="2320"/>
      <c r="N445" s="2320"/>
      <c r="O445" s="2320"/>
      <c r="P445" s="2320"/>
      <c r="Q445" s="2320"/>
      <c r="R445" s="2320"/>
      <c r="S445" s="2320"/>
      <c r="T445" s="2320"/>
      <c r="U445" s="2320"/>
      <c r="V445" s="2320"/>
      <c r="W445" s="2320"/>
      <c r="X445" s="2320"/>
      <c r="Y445" s="2320"/>
      <c r="Z445" s="2320"/>
      <c r="AA445" s="2320"/>
      <c r="AB445" s="2320"/>
      <c r="AC445" s="2320"/>
    </row>
    <row r="446" spans="1:29" s="2318" customFormat="1" ht="37">
      <c r="B446" s="2320"/>
      <c r="E446" s="2320"/>
      <c r="F446" s="2320"/>
      <c r="G446" s="2320"/>
      <c r="H446" s="2320"/>
      <c r="I446" s="2320"/>
      <c r="J446" s="2320"/>
      <c r="K446" s="2320"/>
      <c r="L446" s="2320"/>
      <c r="M446" s="2320"/>
      <c r="N446" s="2320"/>
      <c r="O446" s="2320"/>
      <c r="P446" s="2320"/>
      <c r="Q446" s="2320"/>
      <c r="R446" s="2320"/>
      <c r="S446" s="2320"/>
      <c r="T446" s="2320"/>
      <c r="U446" s="2320"/>
      <c r="V446" s="2320"/>
      <c r="W446" s="2320"/>
      <c r="X446" s="2320"/>
      <c r="Y446" s="2320"/>
      <c r="Z446" s="2320"/>
      <c r="AA446" s="2320"/>
      <c r="AB446" s="2320"/>
      <c r="AC446" s="2320"/>
    </row>
    <row r="447" spans="1:29" s="2318" customFormat="1" ht="37">
      <c r="B447" s="2320"/>
      <c r="E447" s="2320"/>
      <c r="F447" s="2320"/>
      <c r="G447" s="2320"/>
      <c r="H447" s="2320"/>
      <c r="I447" s="2320"/>
      <c r="J447" s="2320"/>
      <c r="K447" s="2320"/>
      <c r="L447" s="2320"/>
      <c r="M447" s="2320"/>
      <c r="N447" s="2320"/>
      <c r="O447" s="2320"/>
      <c r="P447" s="2320"/>
      <c r="Q447" s="2320"/>
      <c r="R447" s="2320"/>
      <c r="S447" s="2320"/>
      <c r="T447" s="2320"/>
      <c r="U447" s="2320"/>
      <c r="V447" s="2320"/>
      <c r="W447" s="2320"/>
      <c r="X447" s="2320"/>
      <c r="Y447" s="2320"/>
      <c r="Z447" s="2320"/>
      <c r="AA447" s="2320"/>
      <c r="AB447" s="2320"/>
      <c r="AC447" s="2320"/>
    </row>
    <row r="448" spans="1:29" s="2318" customFormat="1" ht="37">
      <c r="B448" s="2320"/>
      <c r="E448" s="2320"/>
      <c r="F448" s="2320"/>
      <c r="G448" s="2320"/>
      <c r="H448" s="2320"/>
      <c r="I448" s="2320"/>
      <c r="J448" s="2320"/>
      <c r="K448" s="2320"/>
      <c r="L448" s="2320"/>
      <c r="M448" s="2320"/>
      <c r="N448" s="2320"/>
      <c r="O448" s="2320"/>
      <c r="P448" s="2320"/>
      <c r="Q448" s="2320"/>
      <c r="R448" s="2320"/>
      <c r="S448" s="2320"/>
      <c r="T448" s="2320"/>
      <c r="U448" s="2320"/>
      <c r="V448" s="2320"/>
      <c r="W448" s="2320"/>
      <c r="X448" s="2320"/>
      <c r="Y448" s="2320"/>
      <c r="Z448" s="2320"/>
      <c r="AA448" s="2320"/>
      <c r="AB448" s="2320"/>
      <c r="AC448" s="2320"/>
    </row>
    <row r="449" spans="2:29" s="2318" customFormat="1" ht="37">
      <c r="B449" s="2320"/>
      <c r="E449" s="2320"/>
      <c r="F449" s="2320"/>
      <c r="G449" s="2320"/>
      <c r="H449" s="2320"/>
      <c r="I449" s="2320"/>
      <c r="J449" s="2320"/>
      <c r="K449" s="2320"/>
      <c r="L449" s="2320"/>
      <c r="M449" s="2320"/>
      <c r="N449" s="2320"/>
      <c r="O449" s="2320"/>
      <c r="P449" s="2320"/>
      <c r="Q449" s="2320"/>
      <c r="R449" s="2320"/>
      <c r="S449" s="2320"/>
      <c r="T449" s="2320"/>
      <c r="U449" s="2320"/>
      <c r="V449" s="2320"/>
      <c r="W449" s="2320"/>
      <c r="X449" s="2320"/>
      <c r="Y449" s="2320"/>
      <c r="Z449" s="2320"/>
      <c r="AA449" s="2320"/>
      <c r="AB449" s="2320"/>
      <c r="AC449" s="2320"/>
    </row>
    <row r="450" spans="2:29" s="2318" customFormat="1" ht="37">
      <c r="B450" s="2320"/>
      <c r="E450" s="2320"/>
      <c r="F450" s="2320"/>
      <c r="G450" s="2320"/>
      <c r="H450" s="2320"/>
      <c r="I450" s="2320"/>
      <c r="J450" s="2320"/>
      <c r="K450" s="2320"/>
      <c r="L450" s="2320"/>
      <c r="M450" s="2320"/>
      <c r="N450" s="2320"/>
      <c r="O450" s="2320"/>
      <c r="P450" s="2320"/>
      <c r="Q450" s="2320"/>
      <c r="R450" s="2320"/>
      <c r="S450" s="2320"/>
      <c r="T450" s="2320"/>
      <c r="U450" s="2320"/>
      <c r="V450" s="2320"/>
      <c r="W450" s="2320"/>
      <c r="X450" s="2320"/>
      <c r="Y450" s="2320"/>
      <c r="Z450" s="2320"/>
      <c r="AA450" s="2320"/>
      <c r="AB450" s="2320"/>
      <c r="AC450" s="2320"/>
    </row>
    <row r="451" spans="2:29" s="2318" customFormat="1" ht="37">
      <c r="B451" s="2320"/>
      <c r="E451" s="2320"/>
      <c r="F451" s="2320"/>
      <c r="G451" s="2320"/>
      <c r="H451" s="2320"/>
      <c r="I451" s="2320"/>
      <c r="J451" s="2320"/>
      <c r="K451" s="2320"/>
      <c r="L451" s="2320"/>
      <c r="M451" s="2320"/>
      <c r="N451" s="2320"/>
      <c r="O451" s="2320"/>
      <c r="P451" s="2320"/>
      <c r="Q451" s="2320"/>
      <c r="R451" s="2320"/>
      <c r="S451" s="2320"/>
      <c r="T451" s="2320"/>
      <c r="U451" s="2320"/>
      <c r="V451" s="2320"/>
      <c r="W451" s="2320"/>
      <c r="X451" s="2320"/>
      <c r="Y451" s="2320"/>
      <c r="Z451" s="2320"/>
      <c r="AA451" s="2320"/>
      <c r="AB451" s="2320"/>
      <c r="AC451" s="2320"/>
    </row>
    <row r="452" spans="2:29" s="2318" customFormat="1" ht="37">
      <c r="B452" s="2320"/>
      <c r="E452" s="2320"/>
      <c r="F452" s="2320"/>
      <c r="G452" s="2320"/>
      <c r="H452" s="2320"/>
      <c r="I452" s="2320"/>
      <c r="J452" s="2320"/>
      <c r="K452" s="2320"/>
      <c r="L452" s="2320"/>
      <c r="M452" s="2320"/>
      <c r="N452" s="2320"/>
      <c r="O452" s="2320"/>
      <c r="P452" s="2320"/>
      <c r="Q452" s="2320"/>
      <c r="R452" s="2320"/>
      <c r="S452" s="2320"/>
      <c r="T452" s="2320"/>
      <c r="U452" s="2320"/>
      <c r="V452" s="2320"/>
      <c r="W452" s="2320"/>
      <c r="X452" s="2320"/>
      <c r="Y452" s="2320"/>
      <c r="Z452" s="2320"/>
      <c r="AA452" s="2320"/>
      <c r="AB452" s="2320"/>
      <c r="AC452" s="2320"/>
    </row>
    <row r="453" spans="2:29" s="2318" customFormat="1" ht="37">
      <c r="B453" s="2320"/>
      <c r="E453" s="2320"/>
      <c r="F453" s="2320"/>
      <c r="G453" s="2320"/>
      <c r="H453" s="2320"/>
      <c r="I453" s="2320"/>
      <c r="J453" s="2320"/>
      <c r="K453" s="2320"/>
      <c r="L453" s="2320"/>
      <c r="M453" s="2320"/>
      <c r="N453" s="2320"/>
      <c r="O453" s="2320"/>
      <c r="P453" s="2320"/>
      <c r="Q453" s="2320"/>
      <c r="R453" s="2320"/>
      <c r="S453" s="2320"/>
      <c r="T453" s="2320"/>
      <c r="U453" s="2320"/>
      <c r="V453" s="2320"/>
      <c r="W453" s="2320"/>
      <c r="X453" s="2320"/>
      <c r="Y453" s="2320"/>
      <c r="Z453" s="2320"/>
      <c r="AA453" s="2320"/>
      <c r="AB453" s="2320"/>
      <c r="AC453" s="2320"/>
    </row>
    <row r="454" spans="2:29" s="2318" customFormat="1" ht="37">
      <c r="B454" s="2320"/>
      <c r="E454" s="2320"/>
      <c r="F454" s="2320"/>
      <c r="G454" s="2320"/>
      <c r="H454" s="2320"/>
      <c r="I454" s="2320"/>
      <c r="J454" s="2320"/>
      <c r="K454" s="2320"/>
      <c r="L454" s="2320"/>
      <c r="M454" s="2320"/>
      <c r="N454" s="2320"/>
      <c r="O454" s="2320"/>
      <c r="P454" s="2320"/>
      <c r="Q454" s="2320"/>
      <c r="R454" s="2320"/>
      <c r="S454" s="2320"/>
      <c r="T454" s="2320"/>
      <c r="U454" s="2320"/>
      <c r="V454" s="2320"/>
      <c r="W454" s="2320"/>
      <c r="X454" s="2320"/>
      <c r="Y454" s="2320"/>
      <c r="Z454" s="2320"/>
      <c r="AA454" s="2320"/>
      <c r="AB454" s="2320"/>
      <c r="AC454" s="2320"/>
    </row>
    <row r="455" spans="2:29" s="2318" customFormat="1" ht="37">
      <c r="B455" s="2320"/>
      <c r="E455" s="2320"/>
      <c r="F455" s="2320"/>
      <c r="G455" s="2320"/>
      <c r="H455" s="2320"/>
      <c r="I455" s="2320"/>
      <c r="J455" s="2320"/>
      <c r="K455" s="2320"/>
      <c r="L455" s="2320"/>
      <c r="M455" s="2320"/>
      <c r="N455" s="2320"/>
      <c r="O455" s="2320"/>
      <c r="P455" s="2320"/>
      <c r="Q455" s="2320"/>
      <c r="R455" s="2320"/>
      <c r="S455" s="2320"/>
      <c r="T455" s="2320"/>
      <c r="U455" s="2320"/>
      <c r="V455" s="2320"/>
      <c r="W455" s="2320"/>
      <c r="X455" s="2320"/>
      <c r="Y455" s="2320"/>
      <c r="Z455" s="2320"/>
      <c r="AA455" s="2320"/>
      <c r="AB455" s="2320"/>
      <c r="AC455" s="2320"/>
    </row>
    <row r="456" spans="2:29" s="2318" customFormat="1" ht="37">
      <c r="B456" s="2320"/>
      <c r="E456" s="2320"/>
      <c r="F456" s="2320"/>
      <c r="G456" s="2320"/>
      <c r="H456" s="2320"/>
      <c r="I456" s="2320"/>
      <c r="J456" s="2320"/>
      <c r="K456" s="2320"/>
      <c r="L456" s="2320"/>
      <c r="M456" s="2320"/>
      <c r="N456" s="2320"/>
      <c r="O456" s="2320"/>
      <c r="P456" s="2320"/>
      <c r="Q456" s="2320"/>
      <c r="R456" s="2320"/>
      <c r="S456" s="2320"/>
      <c r="T456" s="2320"/>
      <c r="U456" s="2320"/>
      <c r="V456" s="2320"/>
      <c r="W456" s="2320"/>
      <c r="X456" s="2320"/>
      <c r="Y456" s="2320"/>
      <c r="Z456" s="2320"/>
      <c r="AA456" s="2320"/>
      <c r="AB456" s="2320"/>
      <c r="AC456" s="2320"/>
    </row>
    <row r="457" spans="2:29" s="2318" customFormat="1" ht="37">
      <c r="B457" s="2320"/>
      <c r="E457" s="2320"/>
      <c r="F457" s="2320"/>
      <c r="G457" s="2320"/>
      <c r="H457" s="2320"/>
      <c r="I457" s="2320"/>
      <c r="J457" s="2320"/>
      <c r="K457" s="2320"/>
      <c r="L457" s="2320"/>
      <c r="M457" s="2320"/>
      <c r="N457" s="2320"/>
      <c r="O457" s="2320"/>
      <c r="P457" s="2320"/>
      <c r="Q457" s="2320"/>
      <c r="R457" s="2320"/>
      <c r="S457" s="2320"/>
      <c r="T457" s="2320"/>
      <c r="U457" s="2320"/>
      <c r="V457" s="2320"/>
      <c r="W457" s="2320"/>
      <c r="X457" s="2320"/>
      <c r="Y457" s="2320"/>
      <c r="Z457" s="2320"/>
      <c r="AA457" s="2320"/>
      <c r="AB457" s="2320"/>
      <c r="AC457" s="2320"/>
    </row>
    <row r="458" spans="2:29" s="2318" customFormat="1" ht="37">
      <c r="B458" s="2320"/>
      <c r="E458" s="2320"/>
      <c r="F458" s="2320"/>
      <c r="G458" s="2320"/>
      <c r="H458" s="2320"/>
      <c r="I458" s="2320"/>
      <c r="J458" s="2320"/>
      <c r="K458" s="2320"/>
      <c r="L458" s="2320"/>
      <c r="M458" s="2320"/>
      <c r="N458" s="2320"/>
      <c r="O458" s="2320"/>
      <c r="P458" s="2320"/>
      <c r="Q458" s="2320"/>
      <c r="R458" s="2320"/>
      <c r="S458" s="2320"/>
      <c r="T458" s="2320"/>
      <c r="U458" s="2320"/>
      <c r="V458" s="2320"/>
      <c r="W458" s="2320"/>
      <c r="X458" s="2320"/>
      <c r="Y458" s="2320"/>
      <c r="Z458" s="2320"/>
      <c r="AA458" s="2320"/>
      <c r="AB458" s="2320"/>
      <c r="AC458" s="2320"/>
    </row>
    <row r="459" spans="2:29" s="2318" customFormat="1" ht="37">
      <c r="B459" s="2320"/>
      <c r="E459" s="2320"/>
      <c r="F459" s="2320"/>
      <c r="G459" s="2320"/>
      <c r="H459" s="2320"/>
      <c r="I459" s="2320"/>
      <c r="J459" s="2320"/>
      <c r="K459" s="2320"/>
      <c r="L459" s="2320"/>
      <c r="M459" s="2320"/>
      <c r="N459" s="2320"/>
      <c r="O459" s="2320"/>
      <c r="P459" s="2320"/>
      <c r="Q459" s="2320"/>
      <c r="R459" s="2320"/>
      <c r="S459" s="2320"/>
      <c r="T459" s="2320"/>
      <c r="U459" s="2320"/>
      <c r="V459" s="2320"/>
      <c r="W459" s="2320"/>
      <c r="X459" s="2320"/>
      <c r="Y459" s="2320"/>
      <c r="Z459" s="2320"/>
      <c r="AA459" s="2320"/>
      <c r="AB459" s="2320"/>
      <c r="AC459" s="2320"/>
    </row>
    <row r="460" spans="2:29" s="2318" customFormat="1" ht="37">
      <c r="B460" s="2320"/>
      <c r="E460" s="2320"/>
      <c r="F460" s="2320"/>
      <c r="G460" s="2320"/>
      <c r="H460" s="2320"/>
      <c r="I460" s="2320"/>
      <c r="J460" s="2320"/>
      <c r="K460" s="2320"/>
      <c r="L460" s="2320"/>
      <c r="M460" s="2320"/>
      <c r="N460" s="2320"/>
      <c r="O460" s="2320"/>
      <c r="P460" s="2320"/>
      <c r="Q460" s="2320"/>
      <c r="R460" s="2320"/>
      <c r="S460" s="2320"/>
      <c r="T460" s="2320"/>
      <c r="U460" s="2320"/>
      <c r="V460" s="2320"/>
      <c r="W460" s="2320"/>
      <c r="X460" s="2320"/>
      <c r="Y460" s="2320"/>
      <c r="Z460" s="2320"/>
      <c r="AA460" s="2320"/>
      <c r="AB460" s="2320"/>
      <c r="AC460" s="2320"/>
    </row>
    <row r="461" spans="2:29" s="2318" customFormat="1" ht="37">
      <c r="B461" s="2320"/>
      <c r="E461" s="2320"/>
      <c r="F461" s="2320"/>
      <c r="G461" s="2320"/>
      <c r="H461" s="2320"/>
      <c r="I461" s="2320"/>
      <c r="J461" s="2320"/>
      <c r="K461" s="2320"/>
      <c r="L461" s="2320"/>
      <c r="M461" s="2320"/>
      <c r="N461" s="2320"/>
      <c r="O461" s="2320"/>
      <c r="P461" s="2320"/>
      <c r="Q461" s="2320"/>
      <c r="R461" s="2320"/>
      <c r="S461" s="2320"/>
      <c r="T461" s="2320"/>
      <c r="U461" s="2320"/>
      <c r="V461" s="2320"/>
      <c r="W461" s="2320"/>
      <c r="X461" s="2320"/>
      <c r="Y461" s="2320"/>
      <c r="Z461" s="2320"/>
      <c r="AA461" s="2320"/>
      <c r="AB461" s="2320"/>
      <c r="AC461" s="2320"/>
    </row>
    <row r="462" spans="2:29" s="2318" customFormat="1" ht="37">
      <c r="B462" s="2320"/>
      <c r="E462" s="2320"/>
      <c r="F462" s="2320"/>
      <c r="G462" s="2320"/>
      <c r="H462" s="2320"/>
      <c r="I462" s="2320"/>
      <c r="J462" s="2320"/>
      <c r="K462" s="2320"/>
      <c r="L462" s="2320"/>
      <c r="M462" s="2320"/>
      <c r="N462" s="2320"/>
      <c r="O462" s="2320"/>
      <c r="P462" s="2320"/>
      <c r="Q462" s="2320"/>
      <c r="R462" s="2320"/>
      <c r="S462" s="2320"/>
      <c r="T462" s="2320"/>
      <c r="U462" s="2320"/>
      <c r="V462" s="2320"/>
      <c r="W462" s="2320"/>
      <c r="X462" s="2320"/>
      <c r="Y462" s="2320"/>
      <c r="Z462" s="2320"/>
      <c r="AA462" s="2320"/>
      <c r="AB462" s="2320"/>
      <c r="AC462" s="2320"/>
    </row>
    <row r="463" spans="2:29" s="2318" customFormat="1" ht="37">
      <c r="B463" s="2320"/>
      <c r="E463" s="2320"/>
      <c r="F463" s="2320"/>
      <c r="G463" s="2320"/>
      <c r="H463" s="2320"/>
      <c r="I463" s="2320"/>
      <c r="J463" s="2320"/>
      <c r="K463" s="2320"/>
      <c r="L463" s="2320"/>
      <c r="M463" s="2320"/>
      <c r="N463" s="2320"/>
      <c r="O463" s="2320"/>
      <c r="P463" s="2320"/>
      <c r="Q463" s="2320"/>
      <c r="R463" s="2320"/>
      <c r="S463" s="2320"/>
      <c r="T463" s="2320"/>
      <c r="U463" s="2320"/>
      <c r="V463" s="2320"/>
      <c r="W463" s="2320"/>
      <c r="X463" s="2320"/>
      <c r="Y463" s="2320"/>
      <c r="Z463" s="2320"/>
      <c r="AA463" s="2320"/>
      <c r="AB463" s="2320"/>
      <c r="AC463" s="2320"/>
    </row>
    <row r="464" spans="2:29" s="2318" customFormat="1" ht="37">
      <c r="B464" s="2320"/>
      <c r="E464" s="2320"/>
      <c r="F464" s="2320"/>
      <c r="G464" s="2320"/>
      <c r="H464" s="2320"/>
      <c r="I464" s="2320"/>
      <c r="J464" s="2320"/>
      <c r="K464" s="2320"/>
      <c r="L464" s="2320"/>
      <c r="M464" s="2320"/>
      <c r="N464" s="2320"/>
      <c r="O464" s="2320"/>
      <c r="P464" s="2320"/>
      <c r="Q464" s="2320"/>
      <c r="R464" s="2320"/>
      <c r="S464" s="2320"/>
      <c r="T464" s="2320"/>
      <c r="U464" s="2320"/>
      <c r="V464" s="2320"/>
      <c r="W464" s="2320"/>
      <c r="X464" s="2320"/>
      <c r="Y464" s="2320"/>
      <c r="Z464" s="2320"/>
      <c r="AA464" s="2320"/>
      <c r="AB464" s="2320"/>
      <c r="AC464" s="2320"/>
    </row>
    <row r="465" spans="2:29" s="2318" customFormat="1" ht="37">
      <c r="B465" s="2320"/>
      <c r="E465" s="2320"/>
      <c r="F465" s="2320"/>
      <c r="G465" s="2320"/>
      <c r="H465" s="2320"/>
      <c r="I465" s="2320"/>
      <c r="J465" s="2320"/>
      <c r="K465" s="2320"/>
      <c r="L465" s="2320"/>
      <c r="M465" s="2320"/>
      <c r="N465" s="2320"/>
      <c r="O465" s="2320"/>
      <c r="P465" s="2320"/>
      <c r="Q465" s="2320"/>
      <c r="R465" s="2320"/>
      <c r="S465" s="2320"/>
      <c r="T465" s="2320"/>
      <c r="U465" s="2320"/>
      <c r="V465" s="2320"/>
      <c r="W465" s="2320"/>
      <c r="X465" s="2320"/>
      <c r="Y465" s="2320"/>
      <c r="Z465" s="2320"/>
      <c r="AA465" s="2320"/>
      <c r="AB465" s="2320"/>
      <c r="AC465" s="2320"/>
    </row>
    <row r="466" spans="2:29" s="2318" customFormat="1" ht="37">
      <c r="B466" s="2320"/>
      <c r="E466" s="2320"/>
      <c r="F466" s="2320"/>
      <c r="G466" s="2320"/>
      <c r="H466" s="2320"/>
      <c r="I466" s="2320"/>
      <c r="J466" s="2320"/>
      <c r="K466" s="2320"/>
      <c r="L466" s="2320"/>
      <c r="M466" s="2320"/>
      <c r="N466" s="2320"/>
      <c r="O466" s="2320"/>
      <c r="P466" s="2320"/>
      <c r="Q466" s="2320"/>
      <c r="R466" s="2320"/>
      <c r="S466" s="2320"/>
      <c r="T466" s="2320"/>
      <c r="U466" s="2320"/>
      <c r="V466" s="2320"/>
      <c r="W466" s="2320"/>
      <c r="X466" s="2320"/>
      <c r="Y466" s="2320"/>
      <c r="Z466" s="2320"/>
      <c r="AA466" s="2320"/>
      <c r="AB466" s="2320"/>
      <c r="AC466" s="2320"/>
    </row>
    <row r="467" spans="2:29" s="2318" customFormat="1" ht="37">
      <c r="B467" s="2320"/>
      <c r="E467" s="2320"/>
      <c r="F467" s="2320"/>
      <c r="G467" s="2320"/>
      <c r="H467" s="2320"/>
      <c r="I467" s="2320"/>
      <c r="J467" s="2320"/>
      <c r="K467" s="2320"/>
      <c r="L467" s="2320"/>
      <c r="M467" s="2320"/>
      <c r="N467" s="2320"/>
      <c r="O467" s="2320"/>
      <c r="P467" s="2320"/>
      <c r="Q467" s="2320"/>
      <c r="R467" s="2320"/>
      <c r="S467" s="2320"/>
      <c r="T467" s="2320"/>
      <c r="U467" s="2320"/>
      <c r="V467" s="2320"/>
      <c r="W467" s="2320"/>
      <c r="X467" s="2320"/>
      <c r="Y467" s="2320"/>
      <c r="Z467" s="2320"/>
      <c r="AA467" s="2320"/>
      <c r="AB467" s="2320"/>
      <c r="AC467" s="2320"/>
    </row>
    <row r="468" spans="2:29" s="2318" customFormat="1" ht="37">
      <c r="B468" s="2320"/>
      <c r="E468" s="2320"/>
      <c r="F468" s="2320"/>
      <c r="G468" s="2320"/>
      <c r="H468" s="2320"/>
      <c r="I468" s="2320"/>
      <c r="J468" s="2320"/>
      <c r="K468" s="2320"/>
      <c r="L468" s="2320"/>
      <c r="M468" s="2320"/>
      <c r="N468" s="2320"/>
      <c r="O468" s="2320"/>
      <c r="P468" s="2320"/>
      <c r="Q468" s="2320"/>
      <c r="R468" s="2320"/>
      <c r="S468" s="2320"/>
      <c r="T468" s="2320"/>
      <c r="U468" s="2320"/>
      <c r="V468" s="2320"/>
      <c r="W468" s="2320"/>
      <c r="X468" s="2320"/>
      <c r="Y468" s="2320"/>
      <c r="Z468" s="2320"/>
      <c r="AA468" s="2320"/>
      <c r="AB468" s="2320"/>
      <c r="AC468" s="2320"/>
    </row>
    <row r="469" spans="2:29" s="2318" customFormat="1" ht="37">
      <c r="B469" s="2320"/>
      <c r="E469" s="2320"/>
      <c r="F469" s="2320"/>
      <c r="G469" s="2320"/>
      <c r="H469" s="2320"/>
      <c r="I469" s="2320"/>
      <c r="J469" s="2320"/>
      <c r="K469" s="2320"/>
      <c r="L469" s="2320"/>
      <c r="M469" s="2320"/>
      <c r="N469" s="2320"/>
      <c r="O469" s="2320"/>
      <c r="P469" s="2320"/>
      <c r="Q469" s="2320"/>
      <c r="R469" s="2320"/>
      <c r="S469" s="2320"/>
      <c r="T469" s="2320"/>
      <c r="U469" s="2320"/>
      <c r="V469" s="2320"/>
      <c r="W469" s="2320"/>
      <c r="X469" s="2320"/>
      <c r="Y469" s="2320"/>
      <c r="Z469" s="2320"/>
      <c r="AA469" s="2320"/>
      <c r="AB469" s="2320"/>
      <c r="AC469" s="2320"/>
    </row>
    <row r="470" spans="2:29" s="2318" customFormat="1" ht="37">
      <c r="B470" s="2320"/>
      <c r="E470" s="2320"/>
      <c r="F470" s="2320"/>
      <c r="G470" s="2320"/>
      <c r="H470" s="2320"/>
      <c r="I470" s="2320"/>
      <c r="J470" s="2320"/>
      <c r="K470" s="2320"/>
      <c r="L470" s="2320"/>
      <c r="M470" s="2320"/>
      <c r="N470" s="2320"/>
      <c r="O470" s="2320"/>
      <c r="P470" s="2320"/>
      <c r="Q470" s="2320"/>
      <c r="R470" s="2320"/>
      <c r="S470" s="2320"/>
      <c r="T470" s="2320"/>
      <c r="U470" s="2320"/>
      <c r="V470" s="2320"/>
      <c r="W470" s="2320"/>
      <c r="X470" s="2320"/>
      <c r="Y470" s="2320"/>
      <c r="Z470" s="2320"/>
      <c r="AA470" s="2320"/>
      <c r="AB470" s="2320"/>
      <c r="AC470" s="2320"/>
    </row>
    <row r="471" spans="2:29" s="2318" customFormat="1" ht="37">
      <c r="B471" s="2320"/>
      <c r="E471" s="2320"/>
      <c r="F471" s="2320"/>
      <c r="G471" s="2320"/>
      <c r="H471" s="2320"/>
      <c r="I471" s="2320"/>
      <c r="J471" s="2320"/>
      <c r="K471" s="2320"/>
      <c r="L471" s="2320"/>
      <c r="M471" s="2320"/>
      <c r="N471" s="2320"/>
      <c r="O471" s="2320"/>
      <c r="P471" s="2320"/>
      <c r="Q471" s="2320"/>
      <c r="R471" s="2320"/>
      <c r="S471" s="2320"/>
      <c r="T471" s="2320"/>
      <c r="U471" s="2320"/>
      <c r="V471" s="2320"/>
      <c r="W471" s="2320"/>
      <c r="X471" s="2320"/>
      <c r="Y471" s="2320"/>
      <c r="Z471" s="2320"/>
      <c r="AA471" s="2320"/>
      <c r="AB471" s="2320"/>
      <c r="AC471" s="2320"/>
    </row>
    <row r="472" spans="2:29" s="2318" customFormat="1" ht="37">
      <c r="B472" s="2320"/>
      <c r="E472" s="2320"/>
      <c r="F472" s="2320"/>
      <c r="G472" s="2320"/>
      <c r="H472" s="2320"/>
      <c r="I472" s="2320"/>
      <c r="J472" s="2320"/>
      <c r="K472" s="2320"/>
      <c r="L472" s="2320"/>
      <c r="M472" s="2320"/>
      <c r="N472" s="2320"/>
      <c r="O472" s="2320"/>
      <c r="P472" s="2320"/>
      <c r="Q472" s="2320"/>
      <c r="R472" s="2320"/>
      <c r="S472" s="2320"/>
      <c r="T472" s="2320"/>
      <c r="U472" s="2320"/>
      <c r="V472" s="2320"/>
      <c r="W472" s="2320"/>
      <c r="X472" s="2320"/>
      <c r="Y472" s="2320"/>
      <c r="Z472" s="2320"/>
      <c r="AA472" s="2320"/>
      <c r="AB472" s="2320"/>
      <c r="AC472" s="2320"/>
    </row>
    <row r="473" spans="2:29" s="2318" customFormat="1" ht="37">
      <c r="B473" s="2320"/>
      <c r="E473" s="2320"/>
      <c r="F473" s="2320"/>
      <c r="G473" s="2320"/>
      <c r="H473" s="2320"/>
      <c r="I473" s="2320"/>
      <c r="J473" s="2320"/>
      <c r="K473" s="2320"/>
      <c r="L473" s="2320"/>
      <c r="M473" s="2320"/>
      <c r="N473" s="2320"/>
      <c r="O473" s="2320"/>
      <c r="P473" s="2320"/>
      <c r="Q473" s="2320"/>
      <c r="R473" s="2320"/>
      <c r="S473" s="2320"/>
      <c r="T473" s="2320"/>
      <c r="U473" s="2320"/>
      <c r="V473" s="2320"/>
      <c r="W473" s="2320"/>
      <c r="X473" s="2320"/>
      <c r="Y473" s="2320"/>
      <c r="Z473" s="2320"/>
      <c r="AA473" s="2320"/>
      <c r="AB473" s="2320"/>
      <c r="AC473" s="2320"/>
    </row>
    <row r="474" spans="2:29" s="2318" customFormat="1" ht="37">
      <c r="B474" s="2320"/>
      <c r="E474" s="2320"/>
      <c r="F474" s="2320"/>
      <c r="G474" s="2320"/>
      <c r="H474" s="2320"/>
      <c r="I474" s="2320"/>
      <c r="J474" s="2320"/>
      <c r="K474" s="2320"/>
      <c r="L474" s="2320"/>
      <c r="M474" s="2320"/>
      <c r="N474" s="2320"/>
      <c r="O474" s="2320"/>
      <c r="P474" s="2320"/>
      <c r="Q474" s="2320"/>
      <c r="R474" s="2320"/>
      <c r="S474" s="2320"/>
      <c r="T474" s="2320"/>
      <c r="U474" s="2320"/>
      <c r="V474" s="2320"/>
      <c r="W474" s="2320"/>
      <c r="X474" s="2320"/>
      <c r="Y474" s="2320"/>
      <c r="Z474" s="2320"/>
      <c r="AA474" s="2320"/>
      <c r="AB474" s="2320"/>
      <c r="AC474" s="2320"/>
    </row>
    <row r="475" spans="2:29" s="2318" customFormat="1" ht="37">
      <c r="B475" s="2320"/>
      <c r="E475" s="2320"/>
      <c r="F475" s="2320"/>
      <c r="G475" s="2320"/>
      <c r="H475" s="2320"/>
      <c r="I475" s="2320"/>
      <c r="J475" s="2320"/>
      <c r="K475" s="2320"/>
      <c r="L475" s="2320"/>
      <c r="M475" s="2320"/>
      <c r="N475" s="2320"/>
      <c r="O475" s="2320"/>
      <c r="P475" s="2320"/>
      <c r="Q475" s="2320"/>
      <c r="R475" s="2320"/>
      <c r="S475" s="2320"/>
      <c r="T475" s="2320"/>
      <c r="U475" s="2320"/>
      <c r="V475" s="2320"/>
      <c r="W475" s="2320"/>
      <c r="X475" s="2320"/>
      <c r="Y475" s="2320"/>
      <c r="Z475" s="2320"/>
      <c r="AA475" s="2320"/>
      <c r="AB475" s="2320"/>
      <c r="AC475" s="2320"/>
    </row>
    <row r="476" spans="2:29" s="2318" customFormat="1" ht="37">
      <c r="B476" s="2320"/>
      <c r="E476" s="2320"/>
      <c r="F476" s="2320"/>
      <c r="G476" s="2320"/>
      <c r="H476" s="2320"/>
      <c r="I476" s="2320"/>
      <c r="J476" s="2320"/>
      <c r="K476" s="2320"/>
      <c r="L476" s="2320"/>
      <c r="M476" s="2320"/>
      <c r="N476" s="2320"/>
      <c r="O476" s="2320"/>
      <c r="P476" s="2320"/>
      <c r="Q476" s="2320"/>
      <c r="R476" s="2320"/>
      <c r="S476" s="2320"/>
      <c r="T476" s="2320"/>
      <c r="U476" s="2320"/>
      <c r="V476" s="2320"/>
      <c r="W476" s="2320"/>
      <c r="X476" s="2320"/>
      <c r="Y476" s="2320"/>
      <c r="Z476" s="2320"/>
      <c r="AA476" s="2320"/>
      <c r="AB476" s="2320"/>
      <c r="AC476" s="2320"/>
    </row>
    <row r="477" spans="2:29" s="2318" customFormat="1" ht="37">
      <c r="B477" s="2320"/>
      <c r="E477" s="2320"/>
      <c r="F477" s="2320"/>
      <c r="G477" s="2320"/>
      <c r="H477" s="2320"/>
      <c r="I477" s="2320"/>
      <c r="J477" s="2320"/>
      <c r="K477" s="2320"/>
      <c r="L477" s="2320"/>
      <c r="M477" s="2320"/>
      <c r="N477" s="2320"/>
      <c r="O477" s="2320"/>
      <c r="P477" s="2320"/>
      <c r="Q477" s="2320"/>
      <c r="R477" s="2320"/>
      <c r="S477" s="2320"/>
      <c r="T477" s="2320"/>
      <c r="U477" s="2320"/>
      <c r="V477" s="2320"/>
      <c r="W477" s="2320"/>
      <c r="X477" s="2320"/>
      <c r="Y477" s="2320"/>
      <c r="Z477" s="2320"/>
      <c r="AA477" s="2320"/>
      <c r="AB477" s="2320"/>
      <c r="AC477" s="2320"/>
    </row>
    <row r="478" spans="2:29" s="2318" customFormat="1" ht="37">
      <c r="B478" s="2320"/>
      <c r="E478" s="2320"/>
      <c r="F478" s="2320"/>
      <c r="G478" s="2320"/>
      <c r="H478" s="2320"/>
      <c r="I478" s="2320"/>
      <c r="J478" s="2320"/>
      <c r="K478" s="2320"/>
      <c r="L478" s="2320"/>
      <c r="M478" s="2320"/>
      <c r="N478" s="2320"/>
      <c r="O478" s="2320"/>
      <c r="P478" s="2320"/>
      <c r="Q478" s="2320"/>
      <c r="R478" s="2320"/>
      <c r="S478" s="2320"/>
      <c r="T478" s="2320"/>
      <c r="U478" s="2320"/>
      <c r="V478" s="2320"/>
      <c r="W478" s="2320"/>
      <c r="X478" s="2320"/>
      <c r="Y478" s="2320"/>
      <c r="Z478" s="2320"/>
      <c r="AA478" s="2320"/>
      <c r="AB478" s="2320"/>
      <c r="AC478" s="2320"/>
    </row>
    <row r="479" spans="2:29" s="2318" customFormat="1" ht="37">
      <c r="B479" s="2320"/>
      <c r="E479" s="2320"/>
      <c r="F479" s="2320"/>
      <c r="G479" s="2320"/>
      <c r="H479" s="2320"/>
      <c r="I479" s="2320"/>
      <c r="J479" s="2320"/>
      <c r="K479" s="2320"/>
      <c r="L479" s="2320"/>
      <c r="M479" s="2320"/>
      <c r="N479" s="2320"/>
      <c r="O479" s="2320"/>
      <c r="P479" s="2320"/>
      <c r="Q479" s="2320"/>
      <c r="R479" s="2320"/>
      <c r="S479" s="2320"/>
      <c r="T479" s="2320"/>
      <c r="U479" s="2320"/>
      <c r="V479" s="2320"/>
      <c r="W479" s="2320"/>
      <c r="X479" s="2320"/>
      <c r="Y479" s="2320"/>
      <c r="Z479" s="2320"/>
      <c r="AA479" s="2320"/>
      <c r="AB479" s="2320"/>
      <c r="AC479" s="2320"/>
    </row>
    <row r="480" spans="2:29" s="2318" customFormat="1" ht="37">
      <c r="B480" s="2320"/>
      <c r="E480" s="2320"/>
      <c r="F480" s="2320"/>
      <c r="G480" s="2320"/>
      <c r="H480" s="2320"/>
      <c r="I480" s="2320"/>
      <c r="J480" s="2320"/>
      <c r="K480" s="2320"/>
      <c r="L480" s="2320"/>
      <c r="M480" s="2320"/>
      <c r="N480" s="2320"/>
      <c r="O480" s="2320"/>
      <c r="P480" s="2320"/>
      <c r="Q480" s="2320"/>
      <c r="R480" s="2320"/>
      <c r="S480" s="2320"/>
      <c r="T480" s="2320"/>
      <c r="U480" s="2320"/>
      <c r="V480" s="2320"/>
      <c r="W480" s="2320"/>
      <c r="X480" s="2320"/>
      <c r="Y480" s="2320"/>
      <c r="Z480" s="2320"/>
      <c r="AA480" s="2320"/>
      <c r="AB480" s="2320"/>
      <c r="AC480" s="2320"/>
    </row>
    <row r="481" spans="2:29" s="2318" customFormat="1" ht="37">
      <c r="B481" s="2320"/>
      <c r="E481" s="2320"/>
      <c r="F481" s="2320"/>
      <c r="G481" s="2320"/>
      <c r="H481" s="2320"/>
      <c r="I481" s="2320"/>
      <c r="J481" s="2320"/>
      <c r="K481" s="2320"/>
      <c r="L481" s="2320"/>
      <c r="M481" s="2320"/>
      <c r="N481" s="2320"/>
      <c r="O481" s="2320"/>
      <c r="P481" s="2320"/>
      <c r="Q481" s="2320"/>
      <c r="R481" s="2320"/>
      <c r="S481" s="2320"/>
      <c r="T481" s="2320"/>
      <c r="U481" s="2320"/>
      <c r="V481" s="2320"/>
      <c r="W481" s="2320"/>
      <c r="X481" s="2320"/>
      <c r="Y481" s="2320"/>
      <c r="Z481" s="2320"/>
      <c r="AA481" s="2320"/>
      <c r="AB481" s="2320"/>
      <c r="AC481" s="2320"/>
    </row>
    <row r="482" spans="2:29" s="2318" customFormat="1" ht="37">
      <c r="B482" s="2320"/>
      <c r="E482" s="2320"/>
      <c r="F482" s="2320"/>
      <c r="G482" s="2320"/>
      <c r="H482" s="2320"/>
      <c r="I482" s="2320"/>
      <c r="J482" s="2320"/>
      <c r="K482" s="2320"/>
      <c r="L482" s="2320"/>
      <c r="M482" s="2320"/>
      <c r="N482" s="2320"/>
      <c r="O482" s="2320"/>
      <c r="P482" s="2320"/>
      <c r="Q482" s="2320"/>
      <c r="R482" s="2320"/>
      <c r="S482" s="2320"/>
      <c r="T482" s="2320"/>
      <c r="U482" s="2320"/>
      <c r="V482" s="2320"/>
      <c r="W482" s="2320"/>
      <c r="X482" s="2320"/>
      <c r="Y482" s="2320"/>
      <c r="Z482" s="2320"/>
      <c r="AA482" s="2320"/>
      <c r="AB482" s="2320"/>
      <c r="AC482" s="2320"/>
    </row>
    <row r="483" spans="2:29" s="2318" customFormat="1" ht="37">
      <c r="B483" s="2320"/>
      <c r="E483" s="2320"/>
      <c r="F483" s="2320"/>
      <c r="G483" s="2320"/>
      <c r="H483" s="2320"/>
      <c r="I483" s="2320"/>
      <c r="J483" s="2320"/>
      <c r="K483" s="2320"/>
      <c r="L483" s="2320"/>
      <c r="M483" s="2320"/>
      <c r="N483" s="2320"/>
      <c r="O483" s="2320"/>
      <c r="P483" s="2320"/>
      <c r="Q483" s="2320"/>
      <c r="R483" s="2320"/>
      <c r="S483" s="2320"/>
      <c r="T483" s="2320"/>
      <c r="U483" s="2320"/>
      <c r="V483" s="2320"/>
      <c r="W483" s="2320"/>
      <c r="X483" s="2320"/>
      <c r="Y483" s="2320"/>
      <c r="Z483" s="2320"/>
      <c r="AA483" s="2320"/>
      <c r="AB483" s="2320"/>
      <c r="AC483" s="2320"/>
    </row>
    <row r="484" spans="2:29" s="2318" customFormat="1" ht="37">
      <c r="B484" s="2320"/>
      <c r="E484" s="2320"/>
      <c r="F484" s="2320"/>
      <c r="G484" s="2320"/>
      <c r="H484" s="2320"/>
      <c r="I484" s="2320"/>
      <c r="J484" s="2320"/>
      <c r="K484" s="2320"/>
      <c r="L484" s="2320"/>
      <c r="M484" s="2320"/>
      <c r="N484" s="2320"/>
      <c r="O484" s="2320"/>
      <c r="P484" s="2320"/>
      <c r="Q484" s="2320"/>
      <c r="R484" s="2320"/>
      <c r="S484" s="2320"/>
      <c r="T484" s="2320"/>
      <c r="U484" s="2320"/>
      <c r="V484" s="2320"/>
      <c r="W484" s="2320"/>
      <c r="X484" s="2320"/>
      <c r="Y484" s="2320"/>
      <c r="Z484" s="2320"/>
      <c r="AA484" s="2320"/>
      <c r="AB484" s="2320"/>
      <c r="AC484" s="2320"/>
    </row>
    <row r="485" spans="2:29" s="2318" customFormat="1" ht="37">
      <c r="B485" s="2320"/>
      <c r="E485" s="2320"/>
      <c r="F485" s="2320"/>
      <c r="G485" s="2320"/>
      <c r="H485" s="2320"/>
      <c r="I485" s="2320"/>
      <c r="J485" s="2320"/>
      <c r="K485" s="2320"/>
      <c r="L485" s="2320"/>
      <c r="M485" s="2320"/>
      <c r="N485" s="2320"/>
      <c r="O485" s="2320"/>
      <c r="P485" s="2320"/>
      <c r="Q485" s="2320"/>
      <c r="R485" s="2320"/>
      <c r="S485" s="2320"/>
      <c r="T485" s="2320"/>
      <c r="U485" s="2320"/>
      <c r="V485" s="2320"/>
      <c r="W485" s="2320"/>
      <c r="X485" s="2320"/>
      <c r="Y485" s="2320"/>
      <c r="Z485" s="2320"/>
      <c r="AA485" s="2320"/>
      <c r="AB485" s="2320"/>
      <c r="AC485" s="2320"/>
    </row>
    <row r="486" spans="2:29" s="2318" customFormat="1" ht="37">
      <c r="B486" s="2320"/>
      <c r="E486" s="2320"/>
      <c r="F486" s="2320"/>
      <c r="G486" s="2320"/>
      <c r="H486" s="2320"/>
      <c r="I486" s="2320"/>
      <c r="J486" s="2320"/>
      <c r="K486" s="2320"/>
      <c r="L486" s="2320"/>
      <c r="M486" s="2320"/>
      <c r="N486" s="2320"/>
      <c r="O486" s="2320"/>
      <c r="P486" s="2320"/>
      <c r="Q486" s="2320"/>
      <c r="R486" s="2320"/>
      <c r="S486" s="2320"/>
      <c r="T486" s="2320"/>
      <c r="U486" s="2320"/>
      <c r="V486" s="2320"/>
      <c r="W486" s="2320"/>
      <c r="X486" s="2320"/>
      <c r="Y486" s="2320"/>
      <c r="Z486" s="2320"/>
      <c r="AA486" s="2320"/>
      <c r="AB486" s="2320"/>
      <c r="AC486" s="2320"/>
    </row>
    <row r="487" spans="2:29" s="2318" customFormat="1" ht="37">
      <c r="B487" s="2320"/>
      <c r="E487" s="2320"/>
      <c r="F487" s="2320"/>
      <c r="G487" s="2320"/>
      <c r="H487" s="2320"/>
      <c r="I487" s="2320"/>
      <c r="J487" s="2320"/>
      <c r="K487" s="2320"/>
      <c r="L487" s="2320"/>
      <c r="M487" s="2320"/>
      <c r="N487" s="2320"/>
      <c r="O487" s="2320"/>
      <c r="P487" s="2320"/>
      <c r="Q487" s="2320"/>
      <c r="R487" s="2320"/>
      <c r="S487" s="2320"/>
      <c r="T487" s="2320"/>
      <c r="U487" s="2320"/>
      <c r="V487" s="2320"/>
      <c r="W487" s="2320"/>
      <c r="X487" s="2320"/>
      <c r="Y487" s="2320"/>
      <c r="Z487" s="2320"/>
      <c r="AA487" s="2320"/>
      <c r="AB487" s="2320"/>
      <c r="AC487" s="2320"/>
    </row>
    <row r="488" spans="2:29" s="2318" customFormat="1" ht="37">
      <c r="B488" s="2320"/>
      <c r="E488" s="2320"/>
      <c r="F488" s="2320"/>
      <c r="G488" s="2320"/>
      <c r="H488" s="2320"/>
      <c r="I488" s="2320"/>
      <c r="J488" s="2320"/>
      <c r="K488" s="2320"/>
      <c r="L488" s="2320"/>
      <c r="M488" s="2320"/>
      <c r="N488" s="2320"/>
      <c r="O488" s="2320"/>
      <c r="P488" s="2320"/>
      <c r="Q488" s="2320"/>
      <c r="R488" s="2320"/>
      <c r="S488" s="2320"/>
      <c r="T488" s="2320"/>
      <c r="U488" s="2320"/>
      <c r="V488" s="2320"/>
      <c r="W488" s="2320"/>
      <c r="X488" s="2320"/>
      <c r="Y488" s="2320"/>
      <c r="Z488" s="2320"/>
      <c r="AA488" s="2320"/>
      <c r="AB488" s="2320"/>
      <c r="AC488" s="2320"/>
    </row>
    <row r="489" spans="2:29" s="2318" customFormat="1" ht="37">
      <c r="B489" s="2320"/>
      <c r="E489" s="2320"/>
      <c r="F489" s="2320"/>
      <c r="G489" s="2320"/>
      <c r="H489" s="2320"/>
      <c r="I489" s="2320"/>
      <c r="J489" s="2320"/>
      <c r="K489" s="2320"/>
      <c r="L489" s="2320"/>
      <c r="M489" s="2320"/>
      <c r="N489" s="2320"/>
      <c r="O489" s="2320"/>
      <c r="P489" s="2320"/>
      <c r="Q489" s="2320"/>
      <c r="R489" s="2320"/>
      <c r="S489" s="2320"/>
      <c r="T489" s="2320"/>
      <c r="U489" s="2320"/>
      <c r="V489" s="2320"/>
      <c r="W489" s="2320"/>
      <c r="X489" s="2320"/>
      <c r="Y489" s="2320"/>
      <c r="Z489" s="2320"/>
      <c r="AA489" s="2320"/>
      <c r="AB489" s="2320"/>
      <c r="AC489" s="2320"/>
    </row>
    <row r="490" spans="2:29" s="2318" customFormat="1" ht="37">
      <c r="B490" s="2320"/>
      <c r="E490" s="2320"/>
      <c r="F490" s="2320"/>
      <c r="G490" s="2320"/>
      <c r="H490" s="2320"/>
      <c r="I490" s="2320"/>
      <c r="J490" s="2320"/>
      <c r="K490" s="2320"/>
      <c r="L490" s="2320"/>
      <c r="M490" s="2320"/>
      <c r="N490" s="2320"/>
      <c r="O490" s="2320"/>
      <c r="P490" s="2320"/>
      <c r="Q490" s="2320"/>
      <c r="R490" s="2320"/>
      <c r="S490" s="2320"/>
      <c r="T490" s="2320"/>
      <c r="U490" s="2320"/>
      <c r="V490" s="2320"/>
      <c r="W490" s="2320"/>
      <c r="X490" s="2320"/>
      <c r="Y490" s="2320"/>
      <c r="Z490" s="2320"/>
      <c r="AA490" s="2320"/>
      <c r="AB490" s="2320"/>
      <c r="AC490" s="2320"/>
    </row>
    <row r="491" spans="2:29" s="2318" customFormat="1" ht="37">
      <c r="B491" s="2320"/>
      <c r="E491" s="2320"/>
      <c r="F491" s="2320"/>
      <c r="G491" s="2320"/>
      <c r="H491" s="2320"/>
      <c r="I491" s="2320"/>
      <c r="J491" s="2320"/>
      <c r="K491" s="2320"/>
      <c r="L491" s="2320"/>
      <c r="M491" s="2320"/>
      <c r="N491" s="2320"/>
      <c r="O491" s="2320"/>
      <c r="P491" s="2320"/>
      <c r="Q491" s="2320"/>
      <c r="R491" s="2320"/>
      <c r="S491" s="2320"/>
      <c r="T491" s="2320"/>
      <c r="U491" s="2320"/>
      <c r="V491" s="2320"/>
      <c r="W491" s="2320"/>
      <c r="X491" s="2320"/>
      <c r="Y491" s="2320"/>
      <c r="Z491" s="2320"/>
      <c r="AA491" s="2320"/>
      <c r="AB491" s="2320"/>
      <c r="AC491" s="2320"/>
    </row>
    <row r="492" spans="2:29" s="2318" customFormat="1" ht="37">
      <c r="B492" s="2320"/>
      <c r="E492" s="2320"/>
      <c r="F492" s="2320"/>
      <c r="G492" s="2320"/>
      <c r="H492" s="2320"/>
      <c r="I492" s="2320"/>
      <c r="J492" s="2320"/>
      <c r="K492" s="2320"/>
      <c r="L492" s="2320"/>
      <c r="M492" s="2320"/>
      <c r="N492" s="2320"/>
      <c r="O492" s="2320"/>
      <c r="P492" s="2320"/>
      <c r="Q492" s="2320"/>
      <c r="R492" s="2320"/>
      <c r="S492" s="2320"/>
      <c r="T492" s="2320"/>
      <c r="U492" s="2320"/>
      <c r="V492" s="2320"/>
      <c r="W492" s="2320"/>
      <c r="X492" s="2320"/>
      <c r="Y492" s="2320"/>
      <c r="Z492" s="2320"/>
      <c r="AA492" s="2320"/>
      <c r="AB492" s="2320"/>
      <c r="AC492" s="2320"/>
    </row>
    <row r="493" spans="2:29" s="2318" customFormat="1" ht="37">
      <c r="B493" s="2320"/>
      <c r="E493" s="2320"/>
      <c r="F493" s="2320"/>
      <c r="G493" s="2320"/>
      <c r="H493" s="2320"/>
      <c r="I493" s="2320"/>
      <c r="J493" s="2320"/>
      <c r="K493" s="2320"/>
      <c r="L493" s="2320"/>
      <c r="M493" s="2320"/>
      <c r="N493" s="2320"/>
      <c r="O493" s="2320"/>
      <c r="P493" s="2320"/>
      <c r="Q493" s="2320"/>
      <c r="R493" s="2320"/>
      <c r="S493" s="2320"/>
      <c r="T493" s="2320"/>
      <c r="U493" s="2320"/>
      <c r="V493" s="2320"/>
      <c r="W493" s="2320"/>
      <c r="X493" s="2320"/>
      <c r="Y493" s="2320"/>
      <c r="Z493" s="2320"/>
      <c r="AA493" s="2320"/>
      <c r="AB493" s="2320"/>
      <c r="AC493" s="2320"/>
    </row>
    <row r="494" spans="2:29" s="2318" customFormat="1" ht="37">
      <c r="B494" s="2320"/>
      <c r="E494" s="2320"/>
      <c r="F494" s="2320"/>
      <c r="G494" s="2320"/>
      <c r="H494" s="2320"/>
      <c r="I494" s="2320"/>
      <c r="J494" s="2320"/>
      <c r="K494" s="2320"/>
      <c r="L494" s="2320"/>
      <c r="M494" s="2320"/>
      <c r="N494" s="2320"/>
      <c r="O494" s="2320"/>
      <c r="P494" s="2320"/>
      <c r="Q494" s="2320"/>
      <c r="R494" s="2320"/>
      <c r="S494" s="2320"/>
      <c r="T494" s="2320"/>
      <c r="U494" s="2320"/>
      <c r="V494" s="2320"/>
      <c r="W494" s="2320"/>
      <c r="X494" s="2320"/>
      <c r="Y494" s="2320"/>
      <c r="Z494" s="2320"/>
      <c r="AA494" s="2320"/>
      <c r="AB494" s="2320"/>
      <c r="AC494" s="2320"/>
    </row>
    <row r="495" spans="2:29" s="2318" customFormat="1" ht="37">
      <c r="B495" s="2320"/>
      <c r="E495" s="2320"/>
      <c r="F495" s="2320"/>
      <c r="G495" s="2320"/>
      <c r="H495" s="2320"/>
      <c r="I495" s="2320"/>
      <c r="J495" s="2320"/>
      <c r="K495" s="2320"/>
      <c r="L495" s="2320"/>
      <c r="M495" s="2320"/>
      <c r="N495" s="2320"/>
      <c r="O495" s="2320"/>
      <c r="P495" s="2320"/>
      <c r="Q495" s="2320"/>
      <c r="R495" s="2320"/>
      <c r="S495" s="2320"/>
      <c r="T495" s="2320"/>
      <c r="U495" s="2320"/>
      <c r="V495" s="2320"/>
      <c r="W495" s="2320"/>
      <c r="X495" s="2320"/>
      <c r="Y495" s="2320"/>
      <c r="Z495" s="2320"/>
      <c r="AA495" s="2320"/>
      <c r="AB495" s="2320"/>
      <c r="AC495" s="2320"/>
    </row>
    <row r="496" spans="2:29" s="2318" customFormat="1" ht="37">
      <c r="B496" s="2320"/>
      <c r="E496" s="2320"/>
      <c r="F496" s="2320"/>
      <c r="G496" s="2320"/>
      <c r="H496" s="2320"/>
      <c r="I496" s="2320"/>
      <c r="J496" s="2320"/>
      <c r="K496" s="2320"/>
      <c r="L496" s="2320"/>
      <c r="M496" s="2320"/>
      <c r="N496" s="2320"/>
      <c r="O496" s="2320"/>
      <c r="P496" s="2320"/>
      <c r="Q496" s="2320"/>
      <c r="R496" s="2320"/>
      <c r="S496" s="2320"/>
      <c r="T496" s="2320"/>
      <c r="U496" s="2320"/>
      <c r="V496" s="2320"/>
      <c r="W496" s="2320"/>
      <c r="X496" s="2320"/>
      <c r="Y496" s="2320"/>
      <c r="Z496" s="2320"/>
      <c r="AA496" s="2320"/>
      <c r="AB496" s="2320"/>
      <c r="AC496" s="2320"/>
    </row>
    <row r="497" spans="2:29" s="2318" customFormat="1" ht="37">
      <c r="B497" s="2320"/>
      <c r="E497" s="2320"/>
      <c r="F497" s="2320"/>
      <c r="G497" s="2320"/>
      <c r="H497" s="2320"/>
      <c r="I497" s="2320"/>
      <c r="J497" s="2320"/>
      <c r="K497" s="2320"/>
      <c r="L497" s="2320"/>
      <c r="M497" s="2320"/>
      <c r="N497" s="2320"/>
      <c r="O497" s="2320"/>
      <c r="P497" s="2320"/>
      <c r="Q497" s="2320"/>
      <c r="R497" s="2320"/>
      <c r="S497" s="2320"/>
      <c r="T497" s="2320"/>
      <c r="U497" s="2320"/>
      <c r="V497" s="2320"/>
      <c r="W497" s="2320"/>
      <c r="X497" s="2320"/>
      <c r="Y497" s="2320"/>
      <c r="Z497" s="2320"/>
      <c r="AA497" s="2320"/>
      <c r="AB497" s="2320"/>
      <c r="AC497" s="2320"/>
    </row>
    <row r="498" spans="2:29" s="2318" customFormat="1" ht="37">
      <c r="B498" s="2320"/>
      <c r="E498" s="2320"/>
      <c r="F498" s="2320"/>
      <c r="G498" s="2320"/>
      <c r="H498" s="2320"/>
      <c r="I498" s="2320"/>
      <c r="J498" s="2320"/>
      <c r="K498" s="2320"/>
      <c r="L498" s="2320"/>
      <c r="M498" s="2320"/>
      <c r="N498" s="2320"/>
      <c r="O498" s="2320"/>
      <c r="P498" s="2320"/>
      <c r="Q498" s="2320"/>
      <c r="R498" s="2320"/>
      <c r="S498" s="2320"/>
      <c r="T498" s="2320"/>
      <c r="U498" s="2320"/>
      <c r="V498" s="2320"/>
      <c r="W498" s="2320"/>
      <c r="X498" s="2320"/>
      <c r="Y498" s="2320"/>
      <c r="Z498" s="2320"/>
      <c r="AA498" s="2320"/>
      <c r="AB498" s="2320"/>
      <c r="AC498" s="2320"/>
    </row>
    <row r="499" spans="2:29" s="2318" customFormat="1" ht="37">
      <c r="B499" s="2320"/>
      <c r="E499" s="2320"/>
      <c r="F499" s="2320"/>
      <c r="G499" s="2320"/>
      <c r="H499" s="2320"/>
      <c r="I499" s="2320"/>
      <c r="J499" s="2320"/>
      <c r="K499" s="2320"/>
      <c r="L499" s="2320"/>
      <c r="M499" s="2320"/>
      <c r="N499" s="2320"/>
      <c r="O499" s="2320"/>
      <c r="P499" s="2320"/>
      <c r="Q499" s="2320"/>
      <c r="R499" s="2320"/>
      <c r="S499" s="2320"/>
      <c r="T499" s="2320"/>
      <c r="U499" s="2320"/>
      <c r="V499" s="2320"/>
      <c r="W499" s="2320"/>
      <c r="X499" s="2320"/>
      <c r="Y499" s="2320"/>
      <c r="Z499" s="2320"/>
      <c r="AA499" s="2320"/>
      <c r="AB499" s="2320"/>
      <c r="AC499" s="2320"/>
    </row>
    <row r="500" spans="2:29" s="2318" customFormat="1" ht="37">
      <c r="B500" s="2320"/>
      <c r="E500" s="2320"/>
      <c r="F500" s="2320"/>
      <c r="G500" s="2320"/>
      <c r="H500" s="2320"/>
      <c r="I500" s="2320"/>
      <c r="J500" s="2320"/>
      <c r="K500" s="2320"/>
      <c r="L500" s="2320"/>
      <c r="M500" s="2320"/>
      <c r="N500" s="2320"/>
      <c r="O500" s="2320"/>
      <c r="P500" s="2320"/>
      <c r="Q500" s="2320"/>
      <c r="R500" s="2320"/>
      <c r="S500" s="2320"/>
      <c r="T500" s="2320"/>
      <c r="U500" s="2320"/>
      <c r="V500" s="2320"/>
      <c r="W500" s="2320"/>
      <c r="X500" s="2320"/>
      <c r="Y500" s="2320"/>
      <c r="Z500" s="2320"/>
      <c r="AA500" s="2320"/>
      <c r="AB500" s="2320"/>
      <c r="AC500" s="2320"/>
    </row>
    <row r="501" spans="2:29" s="2318" customFormat="1" ht="37">
      <c r="B501" s="2320"/>
      <c r="E501" s="2320"/>
      <c r="F501" s="2320"/>
      <c r="G501" s="2320"/>
      <c r="H501" s="2320"/>
      <c r="I501" s="2320"/>
      <c r="J501" s="2320"/>
      <c r="K501" s="2320"/>
      <c r="L501" s="2320"/>
      <c r="M501" s="2320"/>
      <c r="N501" s="2320"/>
      <c r="O501" s="2320"/>
      <c r="P501" s="2320"/>
      <c r="Q501" s="2320"/>
      <c r="R501" s="2320"/>
      <c r="S501" s="2320"/>
      <c r="T501" s="2320"/>
      <c r="U501" s="2320"/>
      <c r="V501" s="2320"/>
      <c r="W501" s="2320"/>
      <c r="X501" s="2320"/>
      <c r="Y501" s="2320"/>
      <c r="Z501" s="2320"/>
      <c r="AA501" s="2320"/>
      <c r="AB501" s="2320"/>
      <c r="AC501" s="2320"/>
    </row>
    <row r="502" spans="2:29" s="2318" customFormat="1" ht="37">
      <c r="B502" s="2320"/>
      <c r="E502" s="2320"/>
      <c r="F502" s="2320"/>
      <c r="G502" s="2320"/>
      <c r="H502" s="2320"/>
      <c r="I502" s="2320"/>
      <c r="J502" s="2320"/>
      <c r="K502" s="2320"/>
      <c r="L502" s="2320"/>
      <c r="M502" s="2320"/>
      <c r="N502" s="2320"/>
      <c r="O502" s="2320"/>
      <c r="P502" s="2320"/>
      <c r="Q502" s="2320"/>
      <c r="R502" s="2320"/>
      <c r="S502" s="2320"/>
      <c r="T502" s="2320"/>
      <c r="U502" s="2320"/>
      <c r="V502" s="2320"/>
      <c r="W502" s="2320"/>
      <c r="X502" s="2320"/>
      <c r="Y502" s="2320"/>
      <c r="Z502" s="2320"/>
      <c r="AA502" s="2320"/>
      <c r="AB502" s="2320"/>
      <c r="AC502" s="2320"/>
    </row>
    <row r="503" spans="2:29" s="2318" customFormat="1" ht="37">
      <c r="B503" s="2320"/>
      <c r="E503" s="2320"/>
      <c r="F503" s="2320"/>
      <c r="G503" s="2320"/>
      <c r="H503" s="2320"/>
      <c r="I503" s="2320"/>
      <c r="J503" s="2320"/>
      <c r="K503" s="2320"/>
      <c r="L503" s="2320"/>
      <c r="M503" s="2320"/>
      <c r="N503" s="2320"/>
      <c r="O503" s="2320"/>
      <c r="P503" s="2320"/>
      <c r="Q503" s="2320"/>
      <c r="R503" s="2320"/>
      <c r="S503" s="2320"/>
      <c r="T503" s="2320"/>
      <c r="U503" s="2320"/>
      <c r="V503" s="2320"/>
      <c r="W503" s="2320"/>
      <c r="X503" s="2320"/>
      <c r="Y503" s="2320"/>
      <c r="Z503" s="2320"/>
      <c r="AA503" s="2320"/>
      <c r="AB503" s="2320"/>
      <c r="AC503" s="2320"/>
    </row>
    <row r="504" spans="2:29" s="2318" customFormat="1" ht="37">
      <c r="B504" s="2320"/>
      <c r="E504" s="2320"/>
      <c r="F504" s="2320"/>
      <c r="G504" s="2320"/>
      <c r="H504" s="2320"/>
      <c r="I504" s="2320"/>
      <c r="J504" s="2320"/>
      <c r="K504" s="2320"/>
      <c r="L504" s="2320"/>
      <c r="M504" s="2320"/>
      <c r="N504" s="2320"/>
      <c r="O504" s="2320"/>
      <c r="P504" s="2320"/>
      <c r="Q504" s="2320"/>
      <c r="R504" s="2320"/>
      <c r="S504" s="2320"/>
      <c r="T504" s="2320"/>
      <c r="U504" s="2320"/>
      <c r="V504" s="2320"/>
      <c r="W504" s="2320"/>
      <c r="X504" s="2320"/>
      <c r="Y504" s="2320"/>
      <c r="Z504" s="2320"/>
      <c r="AA504" s="2320"/>
      <c r="AB504" s="2320"/>
      <c r="AC504" s="2320"/>
    </row>
    <row r="505" spans="2:29" s="2318" customFormat="1" ht="37">
      <c r="B505" s="2320"/>
      <c r="E505" s="2320"/>
      <c r="F505" s="2320"/>
      <c r="G505" s="2320"/>
      <c r="H505" s="2320"/>
      <c r="I505" s="2320"/>
      <c r="J505" s="2320"/>
      <c r="K505" s="2320"/>
      <c r="L505" s="2320"/>
      <c r="M505" s="2320"/>
      <c r="N505" s="2320"/>
      <c r="O505" s="2320"/>
      <c r="P505" s="2320"/>
      <c r="Q505" s="2320"/>
      <c r="R505" s="2320"/>
      <c r="S505" s="2320"/>
      <c r="T505" s="2320"/>
      <c r="U505" s="2320"/>
      <c r="V505" s="2320"/>
      <c r="W505" s="2320"/>
      <c r="X505" s="2320"/>
      <c r="Y505" s="2320"/>
      <c r="Z505" s="2320"/>
      <c r="AA505" s="2320"/>
      <c r="AB505" s="2320"/>
      <c r="AC505" s="2320"/>
    </row>
    <row r="506" spans="2:29" s="2318" customFormat="1" ht="37">
      <c r="B506" s="2320"/>
      <c r="E506" s="2320"/>
      <c r="F506" s="2320"/>
      <c r="G506" s="2320"/>
      <c r="H506" s="2320"/>
      <c r="I506" s="2320"/>
      <c r="J506" s="2320"/>
      <c r="K506" s="2320"/>
      <c r="L506" s="2320"/>
      <c r="M506" s="2320"/>
      <c r="N506" s="2320"/>
      <c r="O506" s="2320"/>
      <c r="P506" s="2320"/>
      <c r="Q506" s="2320"/>
      <c r="R506" s="2320"/>
      <c r="S506" s="2320"/>
      <c r="T506" s="2320"/>
      <c r="U506" s="2320"/>
      <c r="V506" s="2320"/>
      <c r="W506" s="2320"/>
      <c r="X506" s="2320"/>
      <c r="Y506" s="2320"/>
      <c r="Z506" s="2320"/>
      <c r="AA506" s="2320"/>
      <c r="AB506" s="2320"/>
      <c r="AC506" s="2320"/>
    </row>
    <row r="507" spans="2:29" s="2318" customFormat="1" ht="37">
      <c r="B507" s="2320"/>
      <c r="E507" s="2320"/>
      <c r="F507" s="2320"/>
      <c r="G507" s="2320"/>
      <c r="H507" s="2320"/>
      <c r="I507" s="2320"/>
      <c r="J507" s="2320"/>
      <c r="K507" s="2320"/>
      <c r="L507" s="2320"/>
      <c r="M507" s="2320"/>
      <c r="N507" s="2320"/>
      <c r="O507" s="2320"/>
      <c r="P507" s="2320"/>
      <c r="Q507" s="2320"/>
      <c r="R507" s="2320"/>
      <c r="S507" s="2320"/>
      <c r="T507" s="2320"/>
      <c r="U507" s="2320"/>
      <c r="V507" s="2320"/>
      <c r="W507" s="2320"/>
      <c r="X507" s="2320"/>
      <c r="Y507" s="2320"/>
      <c r="Z507" s="2320"/>
      <c r="AA507" s="2320"/>
      <c r="AB507" s="2320"/>
      <c r="AC507" s="2320"/>
    </row>
    <row r="508" spans="2:29" s="2318" customFormat="1" ht="37">
      <c r="B508" s="2320"/>
      <c r="E508" s="2320"/>
      <c r="F508" s="2320"/>
      <c r="G508" s="2320"/>
      <c r="H508" s="2320"/>
      <c r="I508" s="2320"/>
      <c r="J508" s="2320"/>
      <c r="K508" s="2320"/>
      <c r="L508" s="2320"/>
      <c r="M508" s="2320"/>
      <c r="N508" s="2320"/>
      <c r="O508" s="2320"/>
      <c r="P508" s="2320"/>
      <c r="Q508" s="2320"/>
      <c r="R508" s="2320"/>
      <c r="S508" s="2320"/>
      <c r="T508" s="2320"/>
      <c r="U508" s="2320"/>
      <c r="V508" s="2320"/>
      <c r="W508" s="2320"/>
      <c r="X508" s="2320"/>
      <c r="Y508" s="2320"/>
      <c r="Z508" s="2320"/>
      <c r="AA508" s="2320"/>
      <c r="AB508" s="2320"/>
      <c r="AC508" s="2320"/>
    </row>
    <row r="509" spans="2:29" s="2318" customFormat="1" ht="37">
      <c r="B509" s="2320"/>
      <c r="E509" s="2320"/>
      <c r="F509" s="2320"/>
      <c r="G509" s="2320"/>
      <c r="H509" s="2320"/>
      <c r="I509" s="2320"/>
      <c r="J509" s="2320"/>
      <c r="K509" s="2320"/>
      <c r="L509" s="2320"/>
      <c r="M509" s="2320"/>
      <c r="N509" s="2320"/>
      <c r="O509" s="2320"/>
      <c r="P509" s="2320"/>
      <c r="Q509" s="2320"/>
      <c r="R509" s="2320"/>
      <c r="S509" s="2320"/>
      <c r="T509" s="2320"/>
      <c r="U509" s="2320"/>
      <c r="V509" s="2320"/>
      <c r="W509" s="2320"/>
      <c r="X509" s="2320"/>
      <c r="Y509" s="2320"/>
      <c r="Z509" s="2320"/>
      <c r="AA509" s="2320"/>
      <c r="AB509" s="2320"/>
      <c r="AC509" s="2320"/>
    </row>
    <row r="510" spans="2:29" s="2318" customFormat="1" ht="37">
      <c r="B510" s="2320"/>
      <c r="E510" s="2320"/>
      <c r="F510" s="2320"/>
      <c r="G510" s="2320"/>
      <c r="H510" s="2320"/>
      <c r="I510" s="2320"/>
      <c r="J510" s="2320"/>
      <c r="K510" s="2320"/>
      <c r="L510" s="2320"/>
      <c r="M510" s="2320"/>
      <c r="N510" s="2320"/>
      <c r="O510" s="2320"/>
      <c r="P510" s="2320"/>
      <c r="Q510" s="2320"/>
      <c r="R510" s="2320"/>
      <c r="S510" s="2320"/>
      <c r="T510" s="2320"/>
      <c r="U510" s="2320"/>
      <c r="V510" s="2320"/>
      <c r="W510" s="2320"/>
      <c r="X510" s="2320"/>
      <c r="Y510" s="2320"/>
      <c r="Z510" s="2320"/>
      <c r="AA510" s="2320"/>
      <c r="AB510" s="2320"/>
      <c r="AC510" s="2320"/>
    </row>
    <row r="511" spans="2:29" s="2318" customFormat="1" ht="37">
      <c r="B511" s="2320"/>
      <c r="E511" s="2320"/>
      <c r="F511" s="2320"/>
      <c r="G511" s="2320"/>
      <c r="H511" s="2320"/>
      <c r="I511" s="2320"/>
      <c r="J511" s="2320"/>
      <c r="K511" s="2320"/>
      <c r="L511" s="2320"/>
      <c r="M511" s="2320"/>
      <c r="N511" s="2320"/>
      <c r="O511" s="2320"/>
      <c r="P511" s="2320"/>
      <c r="Q511" s="2320"/>
      <c r="R511" s="2320"/>
      <c r="S511" s="2320"/>
      <c r="T511" s="2320"/>
      <c r="U511" s="2320"/>
      <c r="V511" s="2320"/>
      <c r="W511" s="2320"/>
      <c r="X511" s="2320"/>
      <c r="Y511" s="2320"/>
      <c r="Z511" s="2320"/>
      <c r="AA511" s="2320"/>
      <c r="AB511" s="2320"/>
      <c r="AC511" s="2320"/>
    </row>
    <row r="512" spans="2:29" s="2318" customFormat="1" ht="37">
      <c r="B512" s="2320"/>
      <c r="E512" s="2320"/>
      <c r="F512" s="2320"/>
      <c r="G512" s="2320"/>
      <c r="H512" s="2320"/>
      <c r="I512" s="2320"/>
      <c r="J512" s="2320"/>
      <c r="K512" s="2320"/>
      <c r="L512" s="2320"/>
      <c r="M512" s="2320"/>
      <c r="N512" s="2320"/>
      <c r="O512" s="2320"/>
      <c r="P512" s="2320"/>
      <c r="Q512" s="2320"/>
      <c r="R512" s="2320"/>
      <c r="S512" s="2320"/>
      <c r="T512" s="2320"/>
      <c r="U512" s="2320"/>
      <c r="V512" s="2320"/>
      <c r="W512" s="2320"/>
      <c r="X512" s="2320"/>
      <c r="Y512" s="2320"/>
      <c r="Z512" s="2320"/>
      <c r="AA512" s="2320"/>
      <c r="AB512" s="2320"/>
      <c r="AC512" s="2320"/>
    </row>
    <row r="513" spans="2:29" s="2318" customFormat="1" ht="37">
      <c r="B513" s="2320"/>
      <c r="E513" s="2320"/>
      <c r="F513" s="2320"/>
      <c r="G513" s="2320"/>
      <c r="H513" s="2320"/>
      <c r="I513" s="2320"/>
      <c r="J513" s="2320"/>
      <c r="K513" s="2320"/>
      <c r="L513" s="2320"/>
      <c r="M513" s="2320"/>
      <c r="N513" s="2320"/>
      <c r="O513" s="2320"/>
      <c r="P513" s="2320"/>
      <c r="Q513" s="2320"/>
      <c r="R513" s="2320"/>
      <c r="S513" s="2320"/>
      <c r="T513" s="2320"/>
      <c r="U513" s="2320"/>
      <c r="V513" s="2320"/>
      <c r="W513" s="2320"/>
      <c r="X513" s="2320"/>
      <c r="Y513" s="2320"/>
      <c r="Z513" s="2320"/>
      <c r="AA513" s="2320"/>
      <c r="AB513" s="2320"/>
      <c r="AC513" s="2320"/>
    </row>
    <row r="514" spans="2:29" s="2318" customFormat="1" ht="37">
      <c r="B514" s="2320"/>
      <c r="E514" s="2320"/>
      <c r="F514" s="2320"/>
      <c r="G514" s="2320"/>
      <c r="H514" s="2320"/>
      <c r="I514" s="2320"/>
      <c r="J514" s="2320"/>
      <c r="K514" s="2320"/>
      <c r="L514" s="2320"/>
      <c r="M514" s="2320"/>
      <c r="N514" s="2320"/>
      <c r="O514" s="2320"/>
      <c r="P514" s="2320"/>
      <c r="Q514" s="2320"/>
      <c r="R514" s="2320"/>
      <c r="S514" s="2320"/>
      <c r="T514" s="2320"/>
      <c r="U514" s="2320"/>
      <c r="V514" s="2320"/>
      <c r="W514" s="2320"/>
      <c r="X514" s="2320"/>
      <c r="Y514" s="2320"/>
      <c r="Z514" s="2320"/>
      <c r="AA514" s="2320"/>
      <c r="AB514" s="2320"/>
      <c r="AC514" s="2320"/>
    </row>
    <row r="515" spans="2:29" s="2318" customFormat="1" ht="37">
      <c r="B515" s="2320"/>
      <c r="E515" s="2320"/>
      <c r="F515" s="2320"/>
      <c r="G515" s="2320"/>
      <c r="H515" s="2320"/>
      <c r="I515" s="2320"/>
      <c r="J515" s="2320"/>
      <c r="K515" s="2320"/>
      <c r="L515" s="2320"/>
      <c r="M515" s="2320"/>
      <c r="N515" s="2320"/>
      <c r="O515" s="2320"/>
      <c r="P515" s="2320"/>
      <c r="Q515" s="2320"/>
      <c r="R515" s="2320"/>
      <c r="S515" s="2320"/>
      <c r="T515" s="2320"/>
      <c r="U515" s="2320"/>
      <c r="V515" s="2320"/>
      <c r="W515" s="2320"/>
      <c r="X515" s="2320"/>
      <c r="Y515" s="2320"/>
      <c r="Z515" s="2320"/>
      <c r="AA515" s="2320"/>
      <c r="AB515" s="2320"/>
      <c r="AC515" s="2320"/>
    </row>
    <row r="516" spans="2:29" s="2318" customFormat="1" ht="37">
      <c r="B516" s="2320"/>
      <c r="E516" s="2320"/>
      <c r="F516" s="2320"/>
      <c r="G516" s="2320"/>
      <c r="H516" s="2320"/>
      <c r="I516" s="2320"/>
      <c r="J516" s="2320"/>
      <c r="K516" s="2320"/>
      <c r="L516" s="2320"/>
      <c r="M516" s="2320"/>
      <c r="N516" s="2320"/>
      <c r="O516" s="2320"/>
      <c r="P516" s="2320"/>
      <c r="Q516" s="2320"/>
      <c r="R516" s="2320"/>
      <c r="S516" s="2320"/>
      <c r="T516" s="2320"/>
      <c r="U516" s="2320"/>
      <c r="V516" s="2320"/>
      <c r="W516" s="2320"/>
      <c r="X516" s="2320"/>
      <c r="Y516" s="2320"/>
      <c r="Z516" s="2320"/>
      <c r="AA516" s="2320"/>
      <c r="AB516" s="2320"/>
      <c r="AC516" s="2320"/>
    </row>
    <row r="517" spans="2:29" s="2318" customFormat="1" ht="37">
      <c r="B517" s="2320"/>
      <c r="E517" s="2320"/>
      <c r="F517" s="2320"/>
      <c r="G517" s="2320"/>
      <c r="H517" s="2320"/>
      <c r="I517" s="2320"/>
      <c r="J517" s="2320"/>
      <c r="K517" s="2320"/>
      <c r="L517" s="2320"/>
      <c r="M517" s="2320"/>
      <c r="N517" s="2320"/>
      <c r="O517" s="2320"/>
      <c r="P517" s="2320"/>
      <c r="Q517" s="2320"/>
      <c r="R517" s="2320"/>
      <c r="S517" s="2320"/>
      <c r="T517" s="2320"/>
      <c r="U517" s="2320"/>
      <c r="V517" s="2320"/>
      <c r="W517" s="2320"/>
      <c r="X517" s="2320"/>
      <c r="Y517" s="2320"/>
      <c r="Z517" s="2320"/>
      <c r="AA517" s="2320"/>
      <c r="AB517" s="2320"/>
      <c r="AC517" s="2320"/>
    </row>
    <row r="518" spans="2:29" s="2318" customFormat="1" ht="37">
      <c r="B518" s="2320"/>
      <c r="E518" s="2320"/>
      <c r="F518" s="2320"/>
      <c r="G518" s="2320"/>
      <c r="H518" s="2320"/>
      <c r="I518" s="2320"/>
      <c r="J518" s="2320"/>
      <c r="K518" s="2320"/>
      <c r="L518" s="2320"/>
      <c r="M518" s="2320"/>
      <c r="N518" s="2320"/>
      <c r="O518" s="2320"/>
      <c r="P518" s="2320"/>
      <c r="Q518" s="2320"/>
      <c r="R518" s="2320"/>
      <c r="S518" s="2320"/>
      <c r="T518" s="2320"/>
      <c r="U518" s="2320"/>
      <c r="V518" s="2320"/>
      <c r="W518" s="2320"/>
      <c r="X518" s="2320"/>
      <c r="Y518" s="2320"/>
      <c r="Z518" s="2320"/>
      <c r="AA518" s="2320"/>
      <c r="AB518" s="2320"/>
      <c r="AC518" s="2320"/>
    </row>
    <row r="519" spans="2:29" s="2318" customFormat="1" ht="37">
      <c r="B519" s="2320"/>
      <c r="E519" s="2320"/>
      <c r="F519" s="2320"/>
      <c r="G519" s="2320"/>
      <c r="H519" s="2320"/>
      <c r="I519" s="2320"/>
      <c r="J519" s="2320"/>
      <c r="K519" s="2320"/>
      <c r="L519" s="2320"/>
      <c r="M519" s="2320"/>
      <c r="N519" s="2320"/>
      <c r="O519" s="2320"/>
      <c r="P519" s="2320"/>
      <c r="Q519" s="2320"/>
      <c r="R519" s="2320"/>
      <c r="S519" s="2320"/>
      <c r="T519" s="2320"/>
      <c r="U519" s="2320"/>
      <c r="V519" s="2320"/>
      <c r="W519" s="2320"/>
      <c r="X519" s="2320"/>
      <c r="Y519" s="2320"/>
      <c r="Z519" s="2320"/>
      <c r="AA519" s="2320"/>
      <c r="AB519" s="2320"/>
      <c r="AC519" s="2320"/>
    </row>
    <row r="520" spans="2:29" s="2318" customFormat="1" ht="37">
      <c r="B520" s="2320"/>
      <c r="E520" s="2320"/>
      <c r="F520" s="2320"/>
      <c r="G520" s="2320"/>
      <c r="H520" s="2320"/>
      <c r="I520" s="2320"/>
      <c r="J520" s="2320"/>
      <c r="K520" s="2320"/>
      <c r="L520" s="2320"/>
      <c r="M520" s="2320"/>
      <c r="N520" s="2320"/>
      <c r="O520" s="2320"/>
      <c r="P520" s="2320"/>
      <c r="Q520" s="2320"/>
      <c r="R520" s="2320"/>
      <c r="S520" s="2320"/>
      <c r="T520" s="2320"/>
      <c r="U520" s="2320"/>
      <c r="V520" s="2320"/>
      <c r="W520" s="2320"/>
      <c r="X520" s="2320"/>
      <c r="Y520" s="2320"/>
      <c r="Z520" s="2320"/>
      <c r="AA520" s="2320"/>
      <c r="AB520" s="2320"/>
      <c r="AC520" s="2320"/>
    </row>
    <row r="521" spans="2:29" s="2318" customFormat="1" ht="37">
      <c r="B521" s="2320"/>
      <c r="E521" s="2320"/>
      <c r="F521" s="2320"/>
      <c r="G521" s="2320"/>
      <c r="H521" s="2320"/>
      <c r="I521" s="2320"/>
      <c r="J521" s="2320"/>
      <c r="K521" s="2320"/>
      <c r="L521" s="2320"/>
      <c r="M521" s="2320"/>
      <c r="N521" s="2320"/>
      <c r="O521" s="2320"/>
      <c r="P521" s="2320"/>
      <c r="Q521" s="2320"/>
      <c r="R521" s="2320"/>
      <c r="S521" s="2320"/>
      <c r="T521" s="2320"/>
      <c r="U521" s="2320"/>
      <c r="V521" s="2320"/>
      <c r="W521" s="2320"/>
      <c r="X521" s="2320"/>
      <c r="Y521" s="2320"/>
      <c r="Z521" s="2320"/>
      <c r="AA521" s="2320"/>
      <c r="AB521" s="2320"/>
      <c r="AC521" s="2320"/>
    </row>
    <row r="522" spans="2:29" s="2318" customFormat="1" ht="37">
      <c r="B522" s="2320"/>
      <c r="E522" s="2320"/>
      <c r="F522" s="2320"/>
      <c r="G522" s="2320"/>
      <c r="H522" s="2320"/>
      <c r="I522" s="2320"/>
      <c r="J522" s="2320"/>
      <c r="K522" s="2320"/>
      <c r="L522" s="2320"/>
      <c r="M522" s="2320"/>
      <c r="N522" s="2320"/>
      <c r="O522" s="2320"/>
      <c r="P522" s="2320"/>
      <c r="Q522" s="2320"/>
      <c r="R522" s="2320"/>
      <c r="S522" s="2320"/>
      <c r="T522" s="2320"/>
      <c r="U522" s="2320"/>
      <c r="V522" s="2320"/>
      <c r="W522" s="2320"/>
      <c r="X522" s="2320"/>
      <c r="Y522" s="2320"/>
      <c r="Z522" s="2320"/>
      <c r="AA522" s="2320"/>
      <c r="AB522" s="2320"/>
      <c r="AC522" s="2320"/>
    </row>
    <row r="523" spans="2:29" s="2318" customFormat="1" ht="37">
      <c r="B523" s="2320"/>
      <c r="E523" s="2320"/>
      <c r="F523" s="2320"/>
      <c r="G523" s="2320"/>
      <c r="H523" s="2320"/>
      <c r="I523" s="2320"/>
      <c r="J523" s="2320"/>
      <c r="K523" s="2320"/>
      <c r="L523" s="2320"/>
      <c r="M523" s="2320"/>
      <c r="N523" s="2320"/>
      <c r="O523" s="2320"/>
      <c r="P523" s="2320"/>
      <c r="Q523" s="2320"/>
      <c r="R523" s="2320"/>
      <c r="S523" s="2320"/>
      <c r="T523" s="2320"/>
      <c r="U523" s="2320"/>
      <c r="V523" s="2320"/>
      <c r="W523" s="2320"/>
      <c r="X523" s="2320"/>
      <c r="Y523" s="2320"/>
      <c r="Z523" s="2320"/>
      <c r="AA523" s="2320"/>
      <c r="AB523" s="2320"/>
      <c r="AC523" s="2320"/>
    </row>
    <row r="524" spans="2:29" s="2318" customFormat="1" ht="37">
      <c r="B524" s="2320"/>
      <c r="E524" s="2320"/>
      <c r="F524" s="2320"/>
      <c r="G524" s="2320"/>
      <c r="H524" s="2320"/>
      <c r="I524" s="2320"/>
      <c r="J524" s="2320"/>
      <c r="K524" s="2320"/>
      <c r="L524" s="2320"/>
      <c r="M524" s="2320"/>
      <c r="N524" s="2320"/>
      <c r="O524" s="2320"/>
      <c r="P524" s="2320"/>
      <c r="Q524" s="2320"/>
      <c r="R524" s="2320"/>
      <c r="S524" s="2320"/>
      <c r="T524" s="2320"/>
      <c r="U524" s="2320"/>
      <c r="V524" s="2320"/>
      <c r="W524" s="2320"/>
      <c r="X524" s="2320"/>
      <c r="Y524" s="2320"/>
      <c r="Z524" s="2320"/>
      <c r="AA524" s="2320"/>
      <c r="AB524" s="2320"/>
      <c r="AC524" s="2320"/>
    </row>
    <row r="525" spans="2:29" s="2318" customFormat="1" ht="37">
      <c r="B525" s="2320"/>
      <c r="E525" s="2320"/>
      <c r="F525" s="2320"/>
      <c r="G525" s="2320"/>
      <c r="H525" s="2320"/>
      <c r="I525" s="2320"/>
      <c r="J525" s="2320"/>
      <c r="K525" s="2320"/>
      <c r="L525" s="2320"/>
      <c r="M525" s="2320"/>
      <c r="N525" s="2320"/>
      <c r="O525" s="2320"/>
      <c r="P525" s="2320"/>
      <c r="Q525" s="2320"/>
      <c r="R525" s="2320"/>
      <c r="S525" s="2320"/>
      <c r="T525" s="2320"/>
      <c r="U525" s="2320"/>
      <c r="V525" s="2320"/>
      <c r="W525" s="2320"/>
      <c r="X525" s="2320"/>
      <c r="Y525" s="2320"/>
      <c r="Z525" s="2320"/>
      <c r="AA525" s="2320"/>
      <c r="AB525" s="2320"/>
      <c r="AC525" s="2320"/>
    </row>
    <row r="526" spans="2:29" s="2318" customFormat="1" ht="37">
      <c r="B526" s="2320"/>
      <c r="E526" s="2320"/>
      <c r="F526" s="2320"/>
      <c r="G526" s="2320"/>
      <c r="H526" s="2320"/>
      <c r="I526" s="2320"/>
      <c r="J526" s="2320"/>
      <c r="K526" s="2320"/>
      <c r="L526" s="2320"/>
      <c r="M526" s="2320"/>
      <c r="N526" s="2320"/>
      <c r="O526" s="2320"/>
      <c r="P526" s="2320"/>
      <c r="Q526" s="2320"/>
      <c r="R526" s="2320"/>
      <c r="S526" s="2320"/>
      <c r="T526" s="2320"/>
      <c r="U526" s="2320"/>
      <c r="V526" s="2320"/>
      <c r="W526" s="2320"/>
      <c r="X526" s="2320"/>
      <c r="Y526" s="2320"/>
      <c r="Z526" s="2320"/>
      <c r="AA526" s="2320"/>
      <c r="AB526" s="2320"/>
      <c r="AC526" s="2320"/>
    </row>
    <row r="527" spans="2:29" s="2318" customFormat="1" ht="37">
      <c r="B527" s="2320"/>
      <c r="E527" s="2320"/>
      <c r="F527" s="2320"/>
      <c r="G527" s="2320"/>
      <c r="H527" s="2320"/>
      <c r="I527" s="2320"/>
      <c r="J527" s="2320"/>
      <c r="K527" s="2320"/>
      <c r="L527" s="2320"/>
      <c r="M527" s="2320"/>
      <c r="N527" s="2320"/>
      <c r="O527" s="2320"/>
      <c r="P527" s="2320"/>
      <c r="Q527" s="2320"/>
      <c r="R527" s="2320"/>
      <c r="S527" s="2320"/>
      <c r="T527" s="2320"/>
      <c r="U527" s="2320"/>
      <c r="V527" s="2320"/>
      <c r="W527" s="2320"/>
      <c r="X527" s="2320"/>
      <c r="Y527" s="2320"/>
      <c r="Z527" s="2320"/>
      <c r="AA527" s="2320"/>
      <c r="AB527" s="2320"/>
      <c r="AC527" s="2320"/>
    </row>
    <row r="528" spans="2:29" s="2318" customFormat="1" ht="37">
      <c r="B528" s="2320"/>
      <c r="E528" s="2320"/>
      <c r="F528" s="2320"/>
      <c r="G528" s="2320"/>
      <c r="H528" s="2320"/>
      <c r="I528" s="2320"/>
      <c r="J528" s="2320"/>
      <c r="K528" s="2320"/>
      <c r="L528" s="2320"/>
      <c r="M528" s="2320"/>
      <c r="N528" s="2320"/>
      <c r="O528" s="2320"/>
      <c r="P528" s="2320"/>
      <c r="Q528" s="2320"/>
      <c r="R528" s="2320"/>
      <c r="S528" s="2320"/>
      <c r="T528" s="2320"/>
      <c r="U528" s="2320"/>
      <c r="V528" s="2320"/>
      <c r="W528" s="2320"/>
      <c r="X528" s="2320"/>
      <c r="Y528" s="2320"/>
      <c r="Z528" s="2320"/>
      <c r="AA528" s="2320"/>
      <c r="AB528" s="2320"/>
      <c r="AC528" s="2320"/>
    </row>
    <row r="529" spans="2:29" s="2318" customFormat="1" ht="37">
      <c r="B529" s="2320"/>
      <c r="E529" s="2320"/>
      <c r="F529" s="2320"/>
      <c r="G529" s="2320"/>
      <c r="H529" s="2320"/>
      <c r="I529" s="2320"/>
      <c r="J529" s="2320"/>
      <c r="K529" s="2320"/>
      <c r="L529" s="2320"/>
      <c r="M529" s="2320"/>
      <c r="N529" s="2320"/>
      <c r="O529" s="2320"/>
      <c r="P529" s="2320"/>
      <c r="Q529" s="2320"/>
      <c r="R529" s="2320"/>
      <c r="S529" s="2320"/>
      <c r="T529" s="2320"/>
      <c r="U529" s="2320"/>
      <c r="V529" s="2320"/>
      <c r="W529" s="2320"/>
      <c r="X529" s="2320"/>
      <c r="Y529" s="2320"/>
      <c r="Z529" s="2320"/>
      <c r="AA529" s="2320"/>
      <c r="AB529" s="2320"/>
      <c r="AC529" s="2320"/>
    </row>
    <row r="530" spans="2:29" s="2318" customFormat="1" ht="37">
      <c r="B530" s="2320"/>
      <c r="E530" s="2320"/>
      <c r="F530" s="2320"/>
      <c r="G530" s="2320"/>
      <c r="H530" s="2320"/>
      <c r="I530" s="2320"/>
      <c r="J530" s="2320"/>
      <c r="K530" s="2320"/>
      <c r="L530" s="2320"/>
      <c r="M530" s="2320"/>
      <c r="N530" s="2320"/>
      <c r="O530" s="2320"/>
      <c r="P530" s="2320"/>
      <c r="Q530" s="2320"/>
      <c r="R530" s="2320"/>
      <c r="S530" s="2320"/>
      <c r="T530" s="2320"/>
      <c r="U530" s="2320"/>
      <c r="V530" s="2320"/>
      <c r="W530" s="2320"/>
      <c r="X530" s="2320"/>
      <c r="Y530" s="2320"/>
      <c r="Z530" s="2320"/>
      <c r="AA530" s="2320"/>
      <c r="AB530" s="2320"/>
      <c r="AC530" s="2320"/>
    </row>
    <row r="531" spans="2:29" s="2318" customFormat="1" ht="37">
      <c r="B531" s="2320"/>
      <c r="E531" s="2320"/>
      <c r="F531" s="2320"/>
      <c r="G531" s="2320"/>
      <c r="H531" s="2320"/>
      <c r="I531" s="2320"/>
      <c r="J531" s="2320"/>
      <c r="K531" s="2320"/>
      <c r="L531" s="2320"/>
      <c r="M531" s="2320"/>
      <c r="N531" s="2320"/>
      <c r="O531" s="2320"/>
      <c r="P531" s="2320"/>
      <c r="Q531" s="2320"/>
      <c r="R531" s="2320"/>
      <c r="S531" s="2320"/>
      <c r="T531" s="2320"/>
      <c r="U531" s="2320"/>
      <c r="V531" s="2320"/>
      <c r="W531" s="2320"/>
      <c r="X531" s="2320"/>
      <c r="Y531" s="2320"/>
      <c r="Z531" s="2320"/>
      <c r="AA531" s="2320"/>
      <c r="AB531" s="2320"/>
      <c r="AC531" s="2320"/>
    </row>
    <row r="532" spans="2:29" s="2318" customFormat="1" ht="37">
      <c r="B532" s="2320"/>
      <c r="E532" s="2320"/>
      <c r="F532" s="2320"/>
      <c r="G532" s="2320"/>
      <c r="H532" s="2320"/>
      <c r="I532" s="2320"/>
      <c r="J532" s="2320"/>
      <c r="K532" s="2320"/>
      <c r="L532" s="2320"/>
      <c r="M532" s="2320"/>
      <c r="N532" s="2320"/>
      <c r="O532" s="2320"/>
      <c r="P532" s="2320"/>
      <c r="Q532" s="2320"/>
      <c r="R532" s="2320"/>
      <c r="S532" s="2320"/>
      <c r="T532" s="2320"/>
      <c r="U532" s="2320"/>
      <c r="V532" s="2320"/>
      <c r="W532" s="2320"/>
      <c r="X532" s="2320"/>
      <c r="Y532" s="2320"/>
      <c r="Z532" s="2320"/>
      <c r="AA532" s="2320"/>
      <c r="AB532" s="2320"/>
      <c r="AC532" s="2320"/>
    </row>
    <row r="533" spans="2:29" s="2318" customFormat="1" ht="37">
      <c r="B533" s="2320"/>
      <c r="E533" s="2320"/>
      <c r="F533" s="2320"/>
      <c r="G533" s="2320"/>
      <c r="H533" s="2320"/>
      <c r="I533" s="2320"/>
      <c r="J533" s="2320"/>
      <c r="K533" s="2320"/>
      <c r="L533" s="2320"/>
      <c r="M533" s="2320"/>
      <c r="N533" s="2320"/>
      <c r="O533" s="2320"/>
      <c r="P533" s="2320"/>
      <c r="Q533" s="2320"/>
      <c r="R533" s="2320"/>
      <c r="S533" s="2320"/>
      <c r="T533" s="2320"/>
      <c r="U533" s="2320"/>
      <c r="V533" s="2320"/>
      <c r="W533" s="2320"/>
      <c r="X533" s="2320"/>
      <c r="Y533" s="2320"/>
      <c r="Z533" s="2320"/>
      <c r="AA533" s="2320"/>
      <c r="AB533" s="2320"/>
      <c r="AC533" s="2320"/>
    </row>
    <row r="534" spans="2:29" s="2318" customFormat="1" ht="37">
      <c r="B534" s="2320"/>
      <c r="E534" s="2320"/>
      <c r="F534" s="2320"/>
      <c r="G534" s="2320"/>
      <c r="H534" s="2320"/>
      <c r="I534" s="2320"/>
      <c r="J534" s="2320"/>
      <c r="K534" s="2320"/>
      <c r="L534" s="2320"/>
      <c r="M534" s="2320"/>
      <c r="N534" s="2320"/>
      <c r="O534" s="2320"/>
      <c r="P534" s="2320"/>
      <c r="Q534" s="2320"/>
      <c r="R534" s="2320"/>
      <c r="S534" s="2320"/>
      <c r="T534" s="2320"/>
      <c r="U534" s="2320"/>
      <c r="V534" s="2320"/>
      <c r="W534" s="2320"/>
      <c r="X534" s="2320"/>
      <c r="Y534" s="2320"/>
      <c r="Z534" s="2320"/>
      <c r="AA534" s="2320"/>
      <c r="AB534" s="2320"/>
      <c r="AC534" s="2320"/>
    </row>
    <row r="535" spans="2:29" s="2318" customFormat="1" ht="37">
      <c r="B535" s="2320"/>
      <c r="E535" s="2320"/>
      <c r="F535" s="2320"/>
      <c r="G535" s="2320"/>
      <c r="H535" s="2320"/>
      <c r="I535" s="2320"/>
      <c r="J535" s="2320"/>
      <c r="K535" s="2320"/>
      <c r="L535" s="2320"/>
      <c r="M535" s="2320"/>
      <c r="N535" s="2320"/>
      <c r="O535" s="2320"/>
      <c r="P535" s="2320"/>
      <c r="Q535" s="2320"/>
      <c r="R535" s="2320"/>
      <c r="S535" s="2320"/>
      <c r="T535" s="2320"/>
      <c r="U535" s="2320"/>
      <c r="V535" s="2320"/>
      <c r="W535" s="2320"/>
      <c r="X535" s="2320"/>
      <c r="Y535" s="2320"/>
      <c r="Z535" s="2320"/>
      <c r="AA535" s="2320"/>
      <c r="AB535" s="2320"/>
      <c r="AC535" s="2320"/>
    </row>
    <row r="536" spans="2:29" s="2318" customFormat="1" ht="37">
      <c r="B536" s="2320"/>
      <c r="E536" s="2320"/>
      <c r="F536" s="2320"/>
      <c r="G536" s="2320"/>
      <c r="H536" s="2320"/>
      <c r="I536" s="2320"/>
      <c r="J536" s="2320"/>
      <c r="K536" s="2320"/>
      <c r="L536" s="2320"/>
      <c r="M536" s="2320"/>
      <c r="N536" s="2320"/>
      <c r="O536" s="2320"/>
      <c r="P536" s="2320"/>
      <c r="Q536" s="2320"/>
      <c r="R536" s="2320"/>
      <c r="S536" s="2320"/>
      <c r="T536" s="2320"/>
      <c r="U536" s="2320"/>
      <c r="V536" s="2320"/>
      <c r="W536" s="2320"/>
      <c r="X536" s="2320"/>
      <c r="Y536" s="2320"/>
      <c r="Z536" s="2320"/>
      <c r="AA536" s="2320"/>
      <c r="AB536" s="2320"/>
      <c r="AC536" s="2320"/>
    </row>
    <row r="537" spans="2:29" s="2318" customFormat="1" ht="37">
      <c r="B537" s="2320"/>
      <c r="E537" s="2320"/>
      <c r="F537" s="2320"/>
      <c r="G537" s="2320"/>
      <c r="H537" s="2320"/>
      <c r="I537" s="2320"/>
      <c r="J537" s="2320"/>
      <c r="K537" s="2320"/>
      <c r="L537" s="2320"/>
      <c r="M537" s="2320"/>
      <c r="N537" s="2320"/>
      <c r="O537" s="2320"/>
      <c r="P537" s="2320"/>
      <c r="Q537" s="2320"/>
      <c r="R537" s="2320"/>
      <c r="S537" s="2320"/>
      <c r="T537" s="2320"/>
      <c r="U537" s="2320"/>
      <c r="V537" s="2320"/>
      <c r="W537" s="2320"/>
      <c r="X537" s="2320"/>
      <c r="Y537" s="2320"/>
      <c r="Z537" s="2320"/>
      <c r="AA537" s="2320"/>
      <c r="AB537" s="2320"/>
      <c r="AC537" s="2320"/>
    </row>
    <row r="538" spans="2:29" s="2318" customFormat="1" ht="37">
      <c r="B538" s="2320"/>
      <c r="E538" s="2320"/>
      <c r="F538" s="2320"/>
      <c r="G538" s="2320"/>
      <c r="H538" s="2320"/>
      <c r="I538" s="2320"/>
      <c r="J538" s="2320"/>
      <c r="K538" s="2320"/>
      <c r="L538" s="2320"/>
      <c r="M538" s="2320"/>
      <c r="N538" s="2320"/>
      <c r="O538" s="2320"/>
      <c r="P538" s="2320"/>
      <c r="Q538" s="2320"/>
      <c r="R538" s="2320"/>
      <c r="S538" s="2320"/>
      <c r="T538" s="2320"/>
      <c r="U538" s="2320"/>
      <c r="V538" s="2320"/>
      <c r="W538" s="2320"/>
      <c r="X538" s="2320"/>
      <c r="Y538" s="2320"/>
      <c r="Z538" s="2320"/>
      <c r="AA538" s="2320"/>
      <c r="AB538" s="2320"/>
      <c r="AC538" s="2320"/>
    </row>
    <row r="539" spans="2:29" s="2318" customFormat="1" ht="37">
      <c r="B539" s="2320"/>
      <c r="E539" s="2320"/>
      <c r="F539" s="2320"/>
      <c r="G539" s="2320"/>
      <c r="H539" s="2320"/>
      <c r="I539" s="2320"/>
      <c r="J539" s="2320"/>
      <c r="K539" s="2320"/>
      <c r="L539" s="2320"/>
      <c r="M539" s="2320"/>
      <c r="N539" s="2320"/>
      <c r="O539" s="2320"/>
      <c r="P539" s="2320"/>
      <c r="Q539" s="2320"/>
      <c r="R539" s="2320"/>
      <c r="S539" s="2320"/>
      <c r="T539" s="2320"/>
      <c r="U539" s="2320"/>
      <c r="V539" s="2320"/>
      <c r="W539" s="2320"/>
      <c r="X539" s="2320"/>
      <c r="Y539" s="2320"/>
      <c r="Z539" s="2320"/>
      <c r="AA539" s="2320"/>
      <c r="AB539" s="2320"/>
      <c r="AC539" s="2320"/>
    </row>
    <row r="540" spans="2:29" s="2318" customFormat="1" ht="37">
      <c r="B540" s="2320"/>
      <c r="E540" s="2320"/>
      <c r="F540" s="2320"/>
      <c r="G540" s="2320"/>
      <c r="H540" s="2320"/>
      <c r="I540" s="2320"/>
      <c r="J540" s="2320"/>
      <c r="K540" s="2320"/>
      <c r="L540" s="2320"/>
      <c r="M540" s="2320"/>
      <c r="N540" s="2320"/>
      <c r="O540" s="2320"/>
      <c r="P540" s="2320"/>
      <c r="Q540" s="2320"/>
      <c r="R540" s="2320"/>
      <c r="S540" s="2320"/>
      <c r="T540" s="2320"/>
      <c r="U540" s="2320"/>
      <c r="V540" s="2320"/>
      <c r="W540" s="2320"/>
      <c r="X540" s="2320"/>
      <c r="Y540" s="2320"/>
      <c r="Z540" s="2320"/>
      <c r="AA540" s="2320"/>
      <c r="AB540" s="2320"/>
      <c r="AC540" s="2320"/>
    </row>
    <row r="541" spans="2:29" s="2318" customFormat="1" ht="37">
      <c r="B541" s="2320"/>
      <c r="E541" s="2320"/>
      <c r="F541" s="2320"/>
      <c r="G541" s="2320"/>
      <c r="H541" s="2320"/>
      <c r="I541" s="2320"/>
      <c r="J541" s="2320"/>
      <c r="K541" s="2320"/>
      <c r="L541" s="2320"/>
      <c r="M541" s="2320"/>
      <c r="N541" s="2320"/>
      <c r="O541" s="2320"/>
      <c r="P541" s="2320"/>
      <c r="Q541" s="2320"/>
      <c r="R541" s="2320"/>
      <c r="S541" s="2320"/>
      <c r="T541" s="2320"/>
      <c r="U541" s="2320"/>
      <c r="V541" s="2320"/>
      <c r="W541" s="2320"/>
      <c r="X541" s="2320"/>
      <c r="Y541" s="2320"/>
      <c r="Z541" s="2320"/>
      <c r="AA541" s="2320"/>
      <c r="AB541" s="2320"/>
      <c r="AC541" s="2320"/>
    </row>
    <row r="542" spans="2:29" s="2318" customFormat="1" ht="37">
      <c r="B542" s="2320"/>
      <c r="E542" s="2320"/>
      <c r="F542" s="2320"/>
      <c r="G542" s="2320"/>
      <c r="H542" s="2320"/>
      <c r="I542" s="2320"/>
      <c r="J542" s="2320"/>
      <c r="K542" s="2320"/>
      <c r="L542" s="2320"/>
      <c r="M542" s="2320"/>
      <c r="N542" s="2320"/>
      <c r="O542" s="2320"/>
      <c r="P542" s="2320"/>
      <c r="Q542" s="2320"/>
      <c r="R542" s="2320"/>
      <c r="S542" s="2320"/>
      <c r="T542" s="2320"/>
      <c r="U542" s="2320"/>
      <c r="V542" s="2320"/>
      <c r="W542" s="2320"/>
      <c r="X542" s="2320"/>
      <c r="Y542" s="2320"/>
      <c r="Z542" s="2320"/>
      <c r="AA542" s="2320"/>
      <c r="AB542" s="2320"/>
      <c r="AC542" s="2320"/>
    </row>
    <row r="543" spans="2:29" s="2318" customFormat="1" ht="37">
      <c r="B543" s="2320"/>
      <c r="E543" s="2320"/>
      <c r="F543" s="2320"/>
      <c r="G543" s="2320"/>
      <c r="H543" s="2320"/>
      <c r="I543" s="2320"/>
      <c r="J543" s="2320"/>
      <c r="K543" s="2320"/>
      <c r="L543" s="2320"/>
      <c r="M543" s="2320"/>
      <c r="N543" s="2320"/>
      <c r="O543" s="2320"/>
      <c r="P543" s="2320"/>
      <c r="Q543" s="2320"/>
      <c r="R543" s="2320"/>
      <c r="S543" s="2320"/>
      <c r="T543" s="2320"/>
      <c r="U543" s="2320"/>
      <c r="V543" s="2320"/>
      <c r="W543" s="2320"/>
      <c r="X543" s="2320"/>
      <c r="Y543" s="2320"/>
      <c r="Z543" s="2320"/>
      <c r="AA543" s="2320"/>
      <c r="AB543" s="2320"/>
      <c r="AC543" s="2320"/>
    </row>
    <row r="544" spans="2:29" s="2318" customFormat="1" ht="37">
      <c r="B544" s="2320"/>
      <c r="E544" s="2320"/>
      <c r="F544" s="2320"/>
      <c r="G544" s="2320"/>
      <c r="H544" s="2320"/>
      <c r="I544" s="2320"/>
      <c r="J544" s="2320"/>
      <c r="K544" s="2320"/>
      <c r="L544" s="2320"/>
      <c r="M544" s="2320"/>
      <c r="N544" s="2320"/>
      <c r="O544" s="2320"/>
      <c r="P544" s="2320"/>
      <c r="Q544" s="2320"/>
      <c r="R544" s="2320"/>
      <c r="S544" s="2320"/>
      <c r="T544" s="2320"/>
      <c r="U544" s="2320"/>
      <c r="V544" s="2320"/>
      <c r="W544" s="2320"/>
      <c r="X544" s="2320"/>
      <c r="Y544" s="2320"/>
      <c r="Z544" s="2320"/>
      <c r="AA544" s="2320"/>
      <c r="AB544" s="2320"/>
      <c r="AC544" s="2320"/>
    </row>
    <row r="545" spans="2:29" s="2318" customFormat="1" ht="37">
      <c r="B545" s="2320"/>
      <c r="E545" s="2320"/>
      <c r="F545" s="2320"/>
      <c r="G545" s="2320"/>
      <c r="H545" s="2320"/>
      <c r="I545" s="2320"/>
      <c r="J545" s="2320"/>
      <c r="K545" s="2320"/>
      <c r="L545" s="2320"/>
      <c r="M545" s="2320"/>
      <c r="N545" s="2320"/>
      <c r="O545" s="2320"/>
      <c r="P545" s="2320"/>
      <c r="Q545" s="2320"/>
      <c r="R545" s="2320"/>
      <c r="S545" s="2320"/>
      <c r="T545" s="2320"/>
      <c r="U545" s="2320"/>
      <c r="V545" s="2320"/>
      <c r="W545" s="2320"/>
      <c r="X545" s="2320"/>
      <c r="Y545" s="2320"/>
      <c r="Z545" s="2320"/>
      <c r="AA545" s="2320"/>
      <c r="AB545" s="2320"/>
      <c r="AC545" s="2320"/>
    </row>
    <row r="546" spans="2:29" s="2318" customFormat="1" ht="37">
      <c r="B546" s="2320"/>
      <c r="E546" s="2320"/>
      <c r="F546" s="2320"/>
      <c r="G546" s="2320"/>
      <c r="H546" s="2320"/>
      <c r="I546" s="2320"/>
      <c r="J546" s="2320"/>
      <c r="K546" s="2320"/>
      <c r="L546" s="2320"/>
      <c r="M546" s="2320"/>
      <c r="N546" s="2320"/>
      <c r="O546" s="2320"/>
      <c r="P546" s="2320"/>
      <c r="Q546" s="2320"/>
      <c r="R546" s="2320"/>
      <c r="S546" s="2320"/>
      <c r="T546" s="2320"/>
      <c r="U546" s="2320"/>
      <c r="V546" s="2320"/>
      <c r="W546" s="2320"/>
      <c r="X546" s="2320"/>
      <c r="Y546" s="2320"/>
      <c r="Z546" s="2320"/>
      <c r="AA546" s="2320"/>
      <c r="AB546" s="2320"/>
      <c r="AC546" s="2320"/>
    </row>
    <row r="547" spans="2:29" s="2318" customFormat="1" ht="37">
      <c r="B547" s="2320"/>
      <c r="E547" s="2320"/>
      <c r="F547" s="2320"/>
      <c r="G547" s="2320"/>
      <c r="H547" s="2320"/>
      <c r="I547" s="2320"/>
      <c r="J547" s="2320"/>
      <c r="K547" s="2320"/>
      <c r="L547" s="2320"/>
      <c r="M547" s="2320"/>
      <c r="N547" s="2320"/>
      <c r="O547" s="2320"/>
      <c r="P547" s="2320"/>
      <c r="Q547" s="2320"/>
      <c r="R547" s="2320"/>
      <c r="S547" s="2320"/>
      <c r="T547" s="2320"/>
      <c r="U547" s="2320"/>
      <c r="V547" s="2320"/>
      <c r="W547" s="2320"/>
      <c r="X547" s="2320"/>
      <c r="Y547" s="2320"/>
      <c r="Z547" s="2320"/>
      <c r="AA547" s="2320"/>
      <c r="AB547" s="2320"/>
      <c r="AC547" s="2320"/>
    </row>
    <row r="548" spans="2:29" s="2318" customFormat="1" ht="37">
      <c r="B548" s="2320"/>
      <c r="E548" s="2320"/>
      <c r="F548" s="2320"/>
      <c r="G548" s="2320"/>
      <c r="H548" s="2320"/>
      <c r="I548" s="2320"/>
      <c r="J548" s="2320"/>
      <c r="K548" s="2320"/>
      <c r="L548" s="2320"/>
      <c r="M548" s="2320"/>
      <c r="N548" s="2320"/>
      <c r="O548" s="2320"/>
      <c r="P548" s="2320"/>
      <c r="Q548" s="2320"/>
      <c r="R548" s="2320"/>
      <c r="S548" s="2320"/>
      <c r="T548" s="2320"/>
      <c r="U548" s="2320"/>
      <c r="V548" s="2320"/>
      <c r="W548" s="2320"/>
      <c r="X548" s="2320"/>
      <c r="Y548" s="2320"/>
      <c r="Z548" s="2320"/>
      <c r="AA548" s="2320"/>
      <c r="AB548" s="2320"/>
      <c r="AC548" s="2320"/>
    </row>
    <row r="549" spans="2:29" s="2318" customFormat="1" ht="37">
      <c r="B549" s="2320"/>
      <c r="E549" s="2320"/>
      <c r="F549" s="2320"/>
      <c r="G549" s="2320"/>
      <c r="H549" s="2320"/>
      <c r="I549" s="2320"/>
      <c r="J549" s="2320"/>
      <c r="K549" s="2320"/>
      <c r="L549" s="2320"/>
      <c r="M549" s="2320"/>
      <c r="N549" s="2320"/>
      <c r="O549" s="2320"/>
      <c r="P549" s="2320"/>
      <c r="Q549" s="2320"/>
      <c r="R549" s="2320"/>
      <c r="S549" s="2320"/>
      <c r="T549" s="2320"/>
      <c r="U549" s="2320"/>
      <c r="V549" s="2320"/>
      <c r="W549" s="2320"/>
      <c r="X549" s="2320"/>
      <c r="Y549" s="2320"/>
      <c r="Z549" s="2320"/>
      <c r="AA549" s="2320"/>
      <c r="AB549" s="2320"/>
      <c r="AC549" s="2320"/>
    </row>
    <row r="550" spans="2:29" s="2318" customFormat="1" ht="37">
      <c r="B550" s="2320"/>
      <c r="E550" s="2320"/>
      <c r="F550" s="2320"/>
      <c r="G550" s="2320"/>
      <c r="H550" s="2320"/>
      <c r="I550" s="2320"/>
      <c r="J550" s="2320"/>
      <c r="K550" s="2320"/>
      <c r="L550" s="2320"/>
      <c r="M550" s="2320"/>
      <c r="N550" s="2320"/>
      <c r="O550" s="2320"/>
      <c r="P550" s="2320"/>
      <c r="Q550" s="2320"/>
      <c r="R550" s="2320"/>
      <c r="S550" s="2320"/>
      <c r="T550" s="2320"/>
      <c r="U550" s="2320"/>
      <c r="V550" s="2320"/>
      <c r="W550" s="2320"/>
      <c r="X550" s="2320"/>
      <c r="Y550" s="2320"/>
      <c r="Z550" s="2320"/>
      <c r="AA550" s="2320"/>
      <c r="AB550" s="2320"/>
      <c r="AC550" s="2320"/>
    </row>
    <row r="551" spans="2:29" s="2318" customFormat="1" ht="37">
      <c r="B551" s="2320"/>
      <c r="E551" s="2320"/>
      <c r="F551" s="2320"/>
      <c r="G551" s="2320"/>
      <c r="H551" s="2320"/>
      <c r="I551" s="2320"/>
      <c r="J551" s="2320"/>
      <c r="K551" s="2320"/>
      <c r="L551" s="2320"/>
      <c r="M551" s="2320"/>
      <c r="N551" s="2320"/>
      <c r="O551" s="2320"/>
      <c r="P551" s="2320"/>
      <c r="Q551" s="2320"/>
      <c r="R551" s="2320"/>
      <c r="S551" s="2320"/>
      <c r="T551" s="2320"/>
      <c r="U551" s="2320"/>
      <c r="V551" s="2320"/>
      <c r="W551" s="2320"/>
      <c r="X551" s="2320"/>
      <c r="Y551" s="2320"/>
      <c r="Z551" s="2320"/>
      <c r="AA551" s="2320"/>
      <c r="AB551" s="2320"/>
      <c r="AC551" s="2320"/>
    </row>
    <row r="552" spans="2:29" s="2318" customFormat="1" ht="37">
      <c r="B552" s="2320"/>
      <c r="E552" s="2320"/>
      <c r="F552" s="2320"/>
      <c r="G552" s="2320"/>
      <c r="H552" s="2320"/>
      <c r="I552" s="2320"/>
      <c r="J552" s="2320"/>
      <c r="K552" s="2320"/>
      <c r="L552" s="2320"/>
      <c r="M552" s="2320"/>
      <c r="N552" s="2320"/>
      <c r="O552" s="2320"/>
      <c r="P552" s="2320"/>
      <c r="Q552" s="2320"/>
      <c r="R552" s="2320"/>
      <c r="S552" s="2320"/>
      <c r="T552" s="2320"/>
      <c r="U552" s="2320"/>
      <c r="V552" s="2320"/>
      <c r="W552" s="2320"/>
      <c r="X552" s="2320"/>
      <c r="Y552" s="2320"/>
      <c r="Z552" s="2320"/>
      <c r="AA552" s="2320"/>
      <c r="AB552" s="2320"/>
      <c r="AC552" s="2320"/>
    </row>
    <row r="553" spans="2:29" s="2318" customFormat="1" ht="37">
      <c r="B553" s="2320"/>
      <c r="E553" s="2320"/>
      <c r="F553" s="2320"/>
      <c r="G553" s="2320"/>
      <c r="H553" s="2320"/>
      <c r="I553" s="2320"/>
      <c r="J553" s="2320"/>
      <c r="K553" s="2320"/>
      <c r="L553" s="2320"/>
      <c r="M553" s="2320"/>
      <c r="N553" s="2320"/>
      <c r="O553" s="2320"/>
      <c r="P553" s="2320"/>
      <c r="Q553" s="2320"/>
      <c r="R553" s="2320"/>
      <c r="S553" s="2320"/>
      <c r="T553" s="2320"/>
      <c r="U553" s="2320"/>
      <c r="V553" s="2320"/>
      <c r="W553" s="2320"/>
      <c r="X553" s="2320"/>
      <c r="Y553" s="2320"/>
      <c r="Z553" s="2320"/>
      <c r="AA553" s="2320"/>
      <c r="AB553" s="2320"/>
      <c r="AC553" s="2320"/>
    </row>
    <row r="554" spans="2:29" s="2318" customFormat="1" ht="37">
      <c r="B554" s="2320"/>
      <c r="E554" s="2320"/>
      <c r="F554" s="2320"/>
      <c r="G554" s="2320"/>
      <c r="H554" s="2320"/>
      <c r="I554" s="2320"/>
      <c r="J554" s="2320"/>
      <c r="K554" s="2320"/>
      <c r="L554" s="2320"/>
      <c r="M554" s="2320"/>
      <c r="N554" s="2320"/>
      <c r="O554" s="2320"/>
      <c r="P554" s="2320"/>
      <c r="Q554" s="2320"/>
      <c r="R554" s="2320"/>
      <c r="S554" s="2320"/>
      <c r="T554" s="2320"/>
      <c r="U554" s="2320"/>
      <c r="V554" s="2320"/>
      <c r="W554" s="2320"/>
      <c r="X554" s="2320"/>
      <c r="Y554" s="2320"/>
      <c r="Z554" s="2320"/>
      <c r="AA554" s="2320"/>
      <c r="AB554" s="2320"/>
      <c r="AC554" s="2320"/>
    </row>
    <row r="555" spans="2:29" s="2318" customFormat="1" ht="37">
      <c r="B555" s="2320"/>
      <c r="E555" s="2320"/>
      <c r="F555" s="2320"/>
      <c r="G555" s="2320"/>
      <c r="H555" s="2320"/>
      <c r="I555" s="2320"/>
      <c r="J555" s="2320"/>
      <c r="K555" s="2320"/>
      <c r="L555" s="2320"/>
      <c r="M555" s="2320"/>
      <c r="N555" s="2320"/>
      <c r="O555" s="2320"/>
      <c r="P555" s="2320"/>
      <c r="Q555" s="2320"/>
      <c r="R555" s="2320"/>
      <c r="S555" s="2320"/>
      <c r="T555" s="2320"/>
      <c r="U555" s="2320"/>
      <c r="V555" s="2320"/>
      <c r="W555" s="2320"/>
      <c r="X555" s="2320"/>
      <c r="Y555" s="2320"/>
      <c r="Z555" s="2320"/>
      <c r="AA555" s="2320"/>
      <c r="AB555" s="2320"/>
      <c r="AC555" s="2320"/>
    </row>
    <row r="556" spans="2:29" s="2318" customFormat="1" ht="37">
      <c r="B556" s="2320"/>
      <c r="E556" s="2320"/>
      <c r="F556" s="2320"/>
      <c r="G556" s="2320"/>
      <c r="H556" s="2320"/>
      <c r="I556" s="2320"/>
      <c r="J556" s="2320"/>
      <c r="K556" s="2320"/>
      <c r="L556" s="2320"/>
      <c r="M556" s="2320"/>
      <c r="N556" s="2320"/>
      <c r="O556" s="2320"/>
      <c r="P556" s="2320"/>
      <c r="Q556" s="2320"/>
      <c r="R556" s="2320"/>
      <c r="S556" s="2320"/>
      <c r="T556" s="2320"/>
      <c r="U556" s="2320"/>
      <c r="V556" s="2320"/>
      <c r="W556" s="2320"/>
      <c r="X556" s="2320"/>
      <c r="Y556" s="2320"/>
      <c r="Z556" s="2320"/>
      <c r="AA556" s="2320"/>
      <c r="AB556" s="2320"/>
      <c r="AC556" s="2320"/>
    </row>
    <row r="557" spans="2:29" s="2318" customFormat="1" ht="37">
      <c r="B557" s="2320"/>
      <c r="E557" s="2320"/>
      <c r="F557" s="2320"/>
      <c r="G557" s="2320"/>
      <c r="H557" s="2320"/>
      <c r="I557" s="2320"/>
      <c r="J557" s="2320"/>
      <c r="K557" s="2320"/>
      <c r="L557" s="2320"/>
      <c r="M557" s="2320"/>
      <c r="N557" s="2320"/>
      <c r="O557" s="2320"/>
      <c r="P557" s="2320"/>
      <c r="Q557" s="2320"/>
      <c r="R557" s="2320"/>
      <c r="S557" s="2320"/>
      <c r="T557" s="2320"/>
      <c r="U557" s="2320"/>
      <c r="V557" s="2320"/>
      <c r="W557" s="2320"/>
      <c r="X557" s="2320"/>
      <c r="Y557" s="2320"/>
      <c r="Z557" s="2320"/>
      <c r="AA557" s="2320"/>
      <c r="AB557" s="2320"/>
      <c r="AC557" s="2320"/>
    </row>
    <row r="558" spans="2:29" s="2318" customFormat="1" ht="37">
      <c r="B558" s="2320"/>
      <c r="E558" s="2320"/>
      <c r="F558" s="2320"/>
      <c r="G558" s="2320"/>
      <c r="H558" s="2320"/>
      <c r="I558" s="2320"/>
      <c r="J558" s="2320"/>
      <c r="K558" s="2320"/>
      <c r="L558" s="2320"/>
      <c r="M558" s="2320"/>
      <c r="N558" s="2320"/>
      <c r="O558" s="2320"/>
      <c r="P558" s="2320"/>
      <c r="Q558" s="2320"/>
      <c r="R558" s="2320"/>
      <c r="S558" s="2320"/>
      <c r="T558" s="2320"/>
      <c r="U558" s="2320"/>
      <c r="V558" s="2320"/>
      <c r="W558" s="2320"/>
      <c r="X558" s="2320"/>
      <c r="Y558" s="2320"/>
      <c r="Z558" s="2320"/>
      <c r="AA558" s="2320"/>
      <c r="AB558" s="2320"/>
      <c r="AC558" s="2320"/>
    </row>
    <row r="559" spans="2:29" s="2318" customFormat="1" ht="37">
      <c r="B559" s="2320"/>
      <c r="E559" s="2320"/>
      <c r="F559" s="2320"/>
      <c r="G559" s="2320"/>
      <c r="H559" s="2320"/>
      <c r="I559" s="2320"/>
      <c r="J559" s="2320"/>
      <c r="K559" s="2320"/>
      <c r="L559" s="2320"/>
      <c r="M559" s="2320"/>
      <c r="N559" s="2320"/>
      <c r="O559" s="2320"/>
      <c r="P559" s="2320"/>
      <c r="Q559" s="2320"/>
      <c r="R559" s="2320"/>
      <c r="S559" s="2320"/>
      <c r="T559" s="2320"/>
      <c r="U559" s="2320"/>
      <c r="V559" s="2320"/>
      <c r="W559" s="2320"/>
      <c r="X559" s="2320"/>
      <c r="Y559" s="2320"/>
      <c r="Z559" s="2320"/>
      <c r="AA559" s="2320"/>
      <c r="AB559" s="2320"/>
      <c r="AC559" s="2320"/>
    </row>
    <row r="560" spans="2:29" s="2318" customFormat="1" ht="37">
      <c r="B560" s="2320"/>
      <c r="E560" s="2320"/>
      <c r="F560" s="2320"/>
      <c r="G560" s="2320"/>
      <c r="H560" s="2320"/>
      <c r="I560" s="2320"/>
      <c r="J560" s="2320"/>
      <c r="K560" s="2320"/>
      <c r="L560" s="2320"/>
      <c r="M560" s="2320"/>
      <c r="N560" s="2320"/>
      <c r="O560" s="2320"/>
      <c r="P560" s="2320"/>
      <c r="Q560" s="2320"/>
      <c r="R560" s="2320"/>
      <c r="S560" s="2320"/>
      <c r="T560" s="2320"/>
      <c r="U560" s="2320"/>
      <c r="V560" s="2320"/>
      <c r="W560" s="2320"/>
      <c r="X560" s="2320"/>
      <c r="Y560" s="2320"/>
      <c r="Z560" s="2320"/>
      <c r="AA560" s="2320"/>
      <c r="AB560" s="2320"/>
      <c r="AC560" s="2320"/>
    </row>
    <row r="561" spans="2:29" s="2318" customFormat="1" ht="37">
      <c r="B561" s="2320"/>
      <c r="E561" s="2320"/>
      <c r="F561" s="2320"/>
      <c r="G561" s="2320"/>
      <c r="H561" s="2320"/>
      <c r="I561" s="2320"/>
      <c r="J561" s="2320"/>
      <c r="K561" s="2320"/>
      <c r="L561" s="2320"/>
      <c r="M561" s="2320"/>
      <c r="N561" s="2320"/>
      <c r="O561" s="2320"/>
      <c r="P561" s="2320"/>
      <c r="Q561" s="2320"/>
      <c r="R561" s="2320"/>
      <c r="S561" s="2320"/>
      <c r="T561" s="2320"/>
      <c r="U561" s="2320"/>
      <c r="V561" s="2320"/>
      <c r="W561" s="2320"/>
      <c r="X561" s="2320"/>
      <c r="Y561" s="2320"/>
      <c r="Z561" s="2320"/>
      <c r="AA561" s="2320"/>
      <c r="AB561" s="2320"/>
      <c r="AC561" s="2320"/>
    </row>
    <row r="562" spans="2:29" s="2318" customFormat="1" ht="37">
      <c r="B562" s="2320"/>
      <c r="E562" s="2320"/>
      <c r="F562" s="2320"/>
      <c r="G562" s="2320"/>
      <c r="H562" s="2320"/>
      <c r="I562" s="2320"/>
      <c r="J562" s="2320"/>
      <c r="K562" s="2320"/>
      <c r="L562" s="2320"/>
      <c r="M562" s="2320"/>
      <c r="N562" s="2320"/>
      <c r="O562" s="2320"/>
      <c r="P562" s="2320"/>
      <c r="Q562" s="2320"/>
      <c r="R562" s="2320"/>
      <c r="S562" s="2320"/>
      <c r="T562" s="2320"/>
      <c r="U562" s="2320"/>
      <c r="V562" s="2320"/>
      <c r="W562" s="2320"/>
      <c r="X562" s="2320"/>
      <c r="Y562" s="2320"/>
      <c r="Z562" s="2320"/>
      <c r="AA562" s="2320"/>
      <c r="AB562" s="2320"/>
      <c r="AC562" s="2320"/>
    </row>
    <row r="563" spans="2:29" s="2318" customFormat="1" ht="37">
      <c r="B563" s="2320"/>
      <c r="E563" s="2320"/>
      <c r="F563" s="2320"/>
      <c r="G563" s="2320"/>
      <c r="H563" s="2320"/>
      <c r="I563" s="2320"/>
      <c r="J563" s="2320"/>
      <c r="K563" s="2320"/>
      <c r="L563" s="2320"/>
      <c r="M563" s="2320"/>
      <c r="N563" s="2320"/>
      <c r="O563" s="2320"/>
      <c r="P563" s="2320"/>
      <c r="Q563" s="2320"/>
      <c r="R563" s="2320"/>
      <c r="S563" s="2320"/>
      <c r="T563" s="2320"/>
      <c r="U563" s="2320"/>
      <c r="V563" s="2320"/>
      <c r="W563" s="2320"/>
      <c r="X563" s="2320"/>
      <c r="Y563" s="2320"/>
      <c r="Z563" s="2320"/>
      <c r="AA563" s="2320"/>
      <c r="AB563" s="2320"/>
      <c r="AC563" s="2320"/>
    </row>
    <row r="564" spans="2:29" s="2318" customFormat="1" ht="37">
      <c r="B564" s="2320"/>
      <c r="E564" s="2320"/>
      <c r="F564" s="2320"/>
      <c r="G564" s="2320"/>
      <c r="H564" s="2320"/>
      <c r="I564" s="2320"/>
      <c r="J564" s="2320"/>
      <c r="K564" s="2320"/>
      <c r="L564" s="2320"/>
      <c r="M564" s="2320"/>
      <c r="N564" s="2320"/>
      <c r="O564" s="2320"/>
      <c r="P564" s="2320"/>
      <c r="Q564" s="2320"/>
      <c r="R564" s="2320"/>
      <c r="S564" s="2320"/>
      <c r="T564" s="2320"/>
      <c r="U564" s="2320"/>
      <c r="V564" s="2320"/>
      <c r="W564" s="2320"/>
      <c r="X564" s="2320"/>
      <c r="Y564" s="2320"/>
      <c r="Z564" s="2320"/>
      <c r="AA564" s="2320"/>
      <c r="AB564" s="2320"/>
      <c r="AC564" s="2320"/>
    </row>
    <row r="565" spans="2:29" s="2318" customFormat="1" ht="37">
      <c r="B565" s="2320"/>
      <c r="E565" s="2320"/>
      <c r="F565" s="2320"/>
      <c r="G565" s="2320"/>
      <c r="H565" s="2320"/>
      <c r="I565" s="2320"/>
      <c r="J565" s="2320"/>
      <c r="K565" s="2320"/>
      <c r="L565" s="2320"/>
      <c r="M565" s="2320"/>
      <c r="N565" s="2320"/>
      <c r="O565" s="2320"/>
      <c r="P565" s="2320"/>
      <c r="Q565" s="2320"/>
      <c r="R565" s="2320"/>
      <c r="S565" s="2320"/>
      <c r="T565" s="2320"/>
      <c r="U565" s="2320"/>
      <c r="V565" s="2320"/>
      <c r="W565" s="2320"/>
      <c r="X565" s="2320"/>
      <c r="Y565" s="2320"/>
      <c r="Z565" s="2320"/>
      <c r="AA565" s="2320"/>
      <c r="AB565" s="2320"/>
      <c r="AC565" s="2320"/>
    </row>
    <row r="566" spans="2:29" s="2318" customFormat="1" ht="37">
      <c r="B566" s="2320"/>
      <c r="E566" s="2320"/>
      <c r="F566" s="2320"/>
      <c r="G566" s="2320"/>
      <c r="H566" s="2320"/>
      <c r="I566" s="2320"/>
      <c r="J566" s="2320"/>
      <c r="K566" s="2320"/>
      <c r="L566" s="2320"/>
      <c r="M566" s="2320"/>
      <c r="N566" s="2320"/>
      <c r="O566" s="2320"/>
      <c r="P566" s="2320"/>
      <c r="Q566" s="2320"/>
      <c r="R566" s="2320"/>
      <c r="S566" s="2320"/>
      <c r="T566" s="2320"/>
      <c r="U566" s="2320"/>
      <c r="V566" s="2320"/>
      <c r="W566" s="2320"/>
      <c r="X566" s="2320"/>
      <c r="Y566" s="2320"/>
      <c r="Z566" s="2320"/>
      <c r="AA566" s="2320"/>
      <c r="AB566" s="2320"/>
      <c r="AC566" s="2320"/>
    </row>
    <row r="567" spans="2:29" s="2318" customFormat="1" ht="37">
      <c r="B567" s="2320"/>
      <c r="E567" s="2320"/>
      <c r="F567" s="2320"/>
      <c r="G567" s="2320"/>
      <c r="H567" s="2320"/>
      <c r="I567" s="2320"/>
      <c r="J567" s="2320"/>
      <c r="K567" s="2320"/>
      <c r="L567" s="2320"/>
      <c r="M567" s="2320"/>
      <c r="N567" s="2320"/>
      <c r="O567" s="2320"/>
      <c r="P567" s="2320"/>
      <c r="Q567" s="2320"/>
      <c r="R567" s="2320"/>
      <c r="S567" s="2320"/>
      <c r="T567" s="2320"/>
      <c r="U567" s="2320"/>
      <c r="V567" s="2320"/>
      <c r="W567" s="2320"/>
      <c r="X567" s="2320"/>
      <c r="Y567" s="2320"/>
      <c r="Z567" s="2320"/>
      <c r="AA567" s="2320"/>
      <c r="AB567" s="2320"/>
      <c r="AC567" s="2320"/>
    </row>
    <row r="568" spans="2:29" s="2318" customFormat="1" ht="37">
      <c r="B568" s="2320"/>
      <c r="E568" s="2320"/>
      <c r="F568" s="2320"/>
      <c r="G568" s="2320"/>
      <c r="H568" s="2320"/>
      <c r="I568" s="2320"/>
      <c r="J568" s="2320"/>
      <c r="K568" s="2320"/>
      <c r="L568" s="2320"/>
      <c r="M568" s="2320"/>
      <c r="N568" s="2320"/>
      <c r="O568" s="2320"/>
      <c r="P568" s="2320"/>
      <c r="Q568" s="2320"/>
      <c r="R568" s="2320"/>
      <c r="S568" s="2320"/>
      <c r="T568" s="2320"/>
      <c r="U568" s="2320"/>
      <c r="V568" s="2320"/>
      <c r="W568" s="2320"/>
      <c r="X568" s="2320"/>
      <c r="Y568" s="2320"/>
      <c r="Z568" s="2320"/>
      <c r="AA568" s="2320"/>
      <c r="AB568" s="2320"/>
      <c r="AC568" s="2320"/>
    </row>
    <row r="569" spans="2:29" s="2318" customFormat="1" ht="37">
      <c r="B569" s="2320"/>
      <c r="E569" s="2320"/>
      <c r="F569" s="2320"/>
      <c r="G569" s="2320"/>
      <c r="H569" s="2320"/>
      <c r="I569" s="2320"/>
      <c r="J569" s="2320"/>
      <c r="K569" s="2320"/>
      <c r="L569" s="2320"/>
      <c r="M569" s="2320"/>
      <c r="N569" s="2320"/>
      <c r="O569" s="2320"/>
      <c r="P569" s="2320"/>
      <c r="Q569" s="2320"/>
      <c r="R569" s="2320"/>
      <c r="S569" s="2320"/>
      <c r="T569" s="2320"/>
      <c r="U569" s="2320"/>
      <c r="V569" s="2320"/>
      <c r="W569" s="2320"/>
      <c r="X569" s="2320"/>
      <c r="Y569" s="2320"/>
      <c r="Z569" s="2320"/>
      <c r="AA569" s="2320"/>
      <c r="AB569" s="2320"/>
      <c r="AC569" s="2320"/>
    </row>
    <row r="570" spans="2:29" s="2318" customFormat="1" ht="37">
      <c r="B570" s="2320"/>
      <c r="E570" s="2320"/>
      <c r="F570" s="2320"/>
      <c r="G570" s="2320"/>
      <c r="H570" s="2320"/>
      <c r="I570" s="2320"/>
      <c r="J570" s="2320"/>
      <c r="K570" s="2320"/>
      <c r="L570" s="2320"/>
      <c r="M570" s="2320"/>
      <c r="N570" s="2320"/>
      <c r="O570" s="2320"/>
      <c r="P570" s="2320"/>
      <c r="Q570" s="2320"/>
      <c r="R570" s="2320"/>
      <c r="S570" s="2320"/>
      <c r="T570" s="2320"/>
      <c r="U570" s="2320"/>
      <c r="V570" s="2320"/>
      <c r="W570" s="2320"/>
      <c r="X570" s="2320"/>
      <c r="Y570" s="2320"/>
      <c r="Z570" s="2320"/>
      <c r="AA570" s="2320"/>
      <c r="AB570" s="2320"/>
      <c r="AC570" s="2320"/>
    </row>
    <row r="571" spans="2:29" s="2318" customFormat="1" ht="37">
      <c r="B571" s="2320"/>
      <c r="E571" s="2320"/>
      <c r="F571" s="2320"/>
      <c r="G571" s="2320"/>
      <c r="H571" s="2320"/>
      <c r="I571" s="2320"/>
      <c r="J571" s="2320"/>
      <c r="K571" s="2320"/>
      <c r="L571" s="2320"/>
      <c r="M571" s="2320"/>
      <c r="N571" s="2320"/>
      <c r="O571" s="2320"/>
      <c r="P571" s="2320"/>
      <c r="Q571" s="2320"/>
      <c r="R571" s="2320"/>
      <c r="S571" s="2320"/>
      <c r="T571" s="2320"/>
      <c r="U571" s="2320"/>
      <c r="V571" s="2320"/>
      <c r="W571" s="2320"/>
      <c r="X571" s="2320"/>
      <c r="Y571" s="2320"/>
      <c r="Z571" s="2320"/>
      <c r="AA571" s="2320"/>
      <c r="AB571" s="2320"/>
      <c r="AC571" s="2320"/>
    </row>
    <row r="572" spans="2:29" s="2318" customFormat="1" ht="37">
      <c r="B572" s="2320"/>
      <c r="E572" s="2320"/>
      <c r="F572" s="2320"/>
      <c r="G572" s="2320"/>
      <c r="H572" s="2320"/>
      <c r="I572" s="2320"/>
      <c r="J572" s="2320"/>
      <c r="K572" s="2320"/>
      <c r="L572" s="2320"/>
      <c r="M572" s="2320"/>
      <c r="N572" s="2320"/>
      <c r="O572" s="2320"/>
      <c r="P572" s="2320"/>
      <c r="Q572" s="2320"/>
      <c r="R572" s="2320"/>
      <c r="S572" s="2320"/>
      <c r="T572" s="2320"/>
      <c r="U572" s="2320"/>
      <c r="V572" s="2320"/>
      <c r="W572" s="2320"/>
      <c r="X572" s="2320"/>
      <c r="Y572" s="2320"/>
      <c r="Z572" s="2320"/>
      <c r="AA572" s="2320"/>
      <c r="AB572" s="2320"/>
      <c r="AC572" s="2320"/>
    </row>
    <row r="573" spans="2:29" s="2318" customFormat="1" ht="37">
      <c r="B573" s="2320"/>
      <c r="E573" s="2320"/>
      <c r="F573" s="2320"/>
      <c r="G573" s="2320"/>
      <c r="H573" s="2320"/>
      <c r="I573" s="2320"/>
      <c r="J573" s="2320"/>
      <c r="K573" s="2320"/>
      <c r="L573" s="2320"/>
      <c r="M573" s="2320"/>
      <c r="N573" s="2320"/>
      <c r="O573" s="2320"/>
      <c r="P573" s="2320"/>
      <c r="Q573" s="2320"/>
      <c r="R573" s="2320"/>
      <c r="S573" s="2320"/>
      <c r="T573" s="2320"/>
      <c r="U573" s="2320"/>
      <c r="V573" s="2320"/>
      <c r="W573" s="2320"/>
      <c r="X573" s="2320"/>
      <c r="Y573" s="2320"/>
      <c r="Z573" s="2320"/>
      <c r="AA573" s="2320"/>
      <c r="AB573" s="2320"/>
      <c r="AC573" s="2320"/>
    </row>
    <row r="574" spans="2:29" s="2318" customFormat="1" ht="37">
      <c r="B574" s="2320"/>
      <c r="E574" s="2320"/>
      <c r="F574" s="2320"/>
      <c r="G574" s="2320"/>
      <c r="H574" s="2320"/>
      <c r="I574" s="2320"/>
      <c r="J574" s="2320"/>
      <c r="K574" s="2320"/>
      <c r="L574" s="2320"/>
      <c r="M574" s="2320"/>
      <c r="N574" s="2320"/>
      <c r="O574" s="2320"/>
      <c r="P574" s="2320"/>
      <c r="Q574" s="2320"/>
      <c r="R574" s="2320"/>
      <c r="S574" s="2320"/>
      <c r="T574" s="2320"/>
      <c r="U574" s="2320"/>
      <c r="V574" s="2320"/>
      <c r="W574" s="2320"/>
      <c r="X574" s="2320"/>
      <c r="Y574" s="2320"/>
      <c r="Z574" s="2320"/>
      <c r="AA574" s="2320"/>
      <c r="AB574" s="2320"/>
      <c r="AC574" s="2320"/>
    </row>
    <row r="575" spans="2:29" s="2318" customFormat="1" ht="37">
      <c r="B575" s="2320"/>
      <c r="E575" s="2320"/>
      <c r="F575" s="2320"/>
      <c r="G575" s="2320"/>
      <c r="H575" s="2320"/>
      <c r="I575" s="2320"/>
      <c r="J575" s="2320"/>
      <c r="K575" s="2320"/>
      <c r="L575" s="2320"/>
      <c r="M575" s="2320"/>
      <c r="N575" s="2320"/>
      <c r="O575" s="2320"/>
      <c r="P575" s="2320"/>
      <c r="Q575" s="2320"/>
      <c r="R575" s="2320"/>
      <c r="S575" s="2320"/>
      <c r="T575" s="2320"/>
      <c r="U575" s="2320"/>
      <c r="V575" s="2320"/>
      <c r="W575" s="2320"/>
      <c r="X575" s="2320"/>
      <c r="Y575" s="2320"/>
      <c r="Z575" s="2320"/>
      <c r="AA575" s="2320"/>
      <c r="AB575" s="2320"/>
      <c r="AC575" s="2320"/>
    </row>
    <row r="576" spans="2:29" s="2318" customFormat="1" ht="37">
      <c r="B576" s="2320"/>
      <c r="E576" s="2320"/>
      <c r="F576" s="2320"/>
      <c r="G576" s="2320"/>
      <c r="H576" s="2320"/>
      <c r="I576" s="2320"/>
      <c r="J576" s="2320"/>
      <c r="K576" s="2320"/>
      <c r="L576" s="2320"/>
      <c r="M576" s="2320"/>
      <c r="N576" s="2320"/>
      <c r="O576" s="2320"/>
      <c r="P576" s="2320"/>
      <c r="Q576" s="2320"/>
      <c r="R576" s="2320"/>
      <c r="S576" s="2320"/>
      <c r="T576" s="2320"/>
      <c r="U576" s="2320"/>
      <c r="V576" s="2320"/>
      <c r="W576" s="2320"/>
      <c r="X576" s="2320"/>
      <c r="Y576" s="2320"/>
      <c r="Z576" s="2320"/>
      <c r="AA576" s="2320"/>
      <c r="AB576" s="2320"/>
      <c r="AC576" s="2320"/>
    </row>
    <row r="577" spans="2:29" s="2318" customFormat="1" ht="37">
      <c r="B577" s="2320"/>
      <c r="E577" s="2320"/>
      <c r="F577" s="2320"/>
      <c r="G577" s="2320"/>
      <c r="H577" s="2320"/>
      <c r="I577" s="2320"/>
      <c r="J577" s="2320"/>
      <c r="K577" s="2320"/>
      <c r="L577" s="2320"/>
      <c r="M577" s="2320"/>
      <c r="N577" s="2320"/>
      <c r="O577" s="2320"/>
      <c r="P577" s="2320"/>
      <c r="Q577" s="2320"/>
      <c r="R577" s="2320"/>
      <c r="S577" s="2320"/>
      <c r="T577" s="2320"/>
      <c r="U577" s="2320"/>
      <c r="V577" s="2320"/>
      <c r="W577" s="2320"/>
      <c r="X577" s="2320"/>
      <c r="Y577" s="2320"/>
      <c r="Z577" s="2320"/>
      <c r="AA577" s="2320"/>
      <c r="AB577" s="2320"/>
      <c r="AC577" s="2320"/>
    </row>
    <row r="578" spans="2:29" s="2318" customFormat="1" ht="37">
      <c r="B578" s="2320"/>
      <c r="E578" s="2320"/>
      <c r="F578" s="2320"/>
      <c r="G578" s="2320"/>
      <c r="H578" s="2320"/>
      <c r="I578" s="2320"/>
      <c r="J578" s="2320"/>
      <c r="K578" s="2320"/>
      <c r="L578" s="2320"/>
      <c r="M578" s="2320"/>
      <c r="N578" s="2320"/>
      <c r="O578" s="2320"/>
      <c r="P578" s="2320"/>
      <c r="Q578" s="2320"/>
      <c r="R578" s="2320"/>
      <c r="S578" s="2320"/>
      <c r="T578" s="2320"/>
      <c r="U578" s="2320"/>
      <c r="V578" s="2320"/>
      <c r="W578" s="2320"/>
      <c r="X578" s="2320"/>
      <c r="Y578" s="2320"/>
      <c r="Z578" s="2320"/>
      <c r="AA578" s="2320"/>
      <c r="AB578" s="2320"/>
      <c r="AC578" s="2320"/>
    </row>
    <row r="579" spans="2:29" s="2318" customFormat="1" ht="37">
      <c r="B579" s="2320"/>
      <c r="E579" s="2320"/>
      <c r="F579" s="2320"/>
      <c r="G579" s="2320"/>
      <c r="H579" s="2320"/>
      <c r="I579" s="2320"/>
      <c r="J579" s="2320"/>
      <c r="K579" s="2320"/>
      <c r="L579" s="2320"/>
      <c r="M579" s="2320"/>
      <c r="N579" s="2320"/>
      <c r="O579" s="2320"/>
      <c r="P579" s="2320"/>
      <c r="Q579" s="2320"/>
      <c r="R579" s="2320"/>
      <c r="S579" s="2320"/>
      <c r="T579" s="2320"/>
      <c r="U579" s="2320"/>
      <c r="V579" s="2320"/>
      <c r="W579" s="2320"/>
      <c r="X579" s="2320"/>
      <c r="Y579" s="2320"/>
      <c r="Z579" s="2320"/>
      <c r="AA579" s="2320"/>
      <c r="AB579" s="2320"/>
      <c r="AC579" s="2320"/>
    </row>
    <row r="580" spans="2:29" s="2318" customFormat="1" ht="37">
      <c r="B580" s="2320"/>
      <c r="E580" s="2320"/>
      <c r="F580" s="2320"/>
      <c r="G580" s="2320"/>
      <c r="H580" s="2320"/>
      <c r="I580" s="2320"/>
      <c r="J580" s="2320"/>
      <c r="K580" s="2320"/>
      <c r="L580" s="2320"/>
      <c r="M580" s="2320"/>
      <c r="N580" s="2320"/>
      <c r="O580" s="2320"/>
      <c r="P580" s="2320"/>
      <c r="Q580" s="2320"/>
      <c r="R580" s="2320"/>
      <c r="S580" s="2320"/>
      <c r="T580" s="2320"/>
      <c r="U580" s="2320"/>
      <c r="V580" s="2320"/>
      <c r="W580" s="2320"/>
      <c r="X580" s="2320"/>
      <c r="Y580" s="2320"/>
      <c r="Z580" s="2320"/>
      <c r="AA580" s="2320"/>
      <c r="AB580" s="2320"/>
      <c r="AC580" s="2320"/>
    </row>
    <row r="581" spans="2:29" s="2318" customFormat="1" ht="37">
      <c r="B581" s="2320"/>
      <c r="E581" s="2320"/>
      <c r="F581" s="2320"/>
      <c r="G581" s="2320"/>
      <c r="H581" s="2320"/>
      <c r="I581" s="2320"/>
      <c r="J581" s="2320"/>
      <c r="K581" s="2320"/>
      <c r="L581" s="2320"/>
      <c r="M581" s="2320"/>
      <c r="N581" s="2320"/>
      <c r="O581" s="2320"/>
      <c r="P581" s="2320"/>
      <c r="Q581" s="2320"/>
      <c r="R581" s="2320"/>
      <c r="S581" s="2320"/>
      <c r="T581" s="2320"/>
      <c r="U581" s="2320"/>
      <c r="V581" s="2320"/>
      <c r="W581" s="2320"/>
      <c r="X581" s="2320"/>
      <c r="Y581" s="2320"/>
      <c r="Z581" s="2320"/>
      <c r="AA581" s="2320"/>
      <c r="AB581" s="2320"/>
      <c r="AC581" s="2320"/>
    </row>
    <row r="582" spans="2:29" s="2318" customFormat="1" ht="37">
      <c r="B582" s="2320"/>
      <c r="E582" s="2320"/>
      <c r="F582" s="2320"/>
      <c r="G582" s="2320"/>
      <c r="H582" s="2320"/>
      <c r="I582" s="2320"/>
      <c r="J582" s="2320"/>
      <c r="K582" s="2320"/>
      <c r="L582" s="2320"/>
      <c r="M582" s="2320"/>
      <c r="N582" s="2320"/>
      <c r="O582" s="2320"/>
      <c r="P582" s="2320"/>
      <c r="Q582" s="2320"/>
      <c r="R582" s="2320"/>
      <c r="S582" s="2320"/>
      <c r="T582" s="2320"/>
      <c r="U582" s="2320"/>
      <c r="V582" s="2320"/>
      <c r="W582" s="2320"/>
      <c r="X582" s="2320"/>
      <c r="Y582" s="2320"/>
      <c r="Z582" s="2320"/>
      <c r="AA582" s="2320"/>
      <c r="AB582" s="2320"/>
      <c r="AC582" s="2320"/>
    </row>
    <row r="583" spans="2:29" s="2318" customFormat="1" ht="37">
      <c r="B583" s="2320"/>
      <c r="E583" s="2320"/>
      <c r="F583" s="2320"/>
      <c r="G583" s="2320"/>
      <c r="H583" s="2320"/>
      <c r="I583" s="2320"/>
      <c r="J583" s="2320"/>
      <c r="K583" s="2320"/>
      <c r="L583" s="2320"/>
      <c r="M583" s="2320"/>
      <c r="N583" s="2320"/>
      <c r="O583" s="2320"/>
      <c r="P583" s="2320"/>
      <c r="Q583" s="2320"/>
      <c r="R583" s="2320"/>
      <c r="S583" s="2320"/>
      <c r="T583" s="2320"/>
      <c r="U583" s="2320"/>
      <c r="V583" s="2320"/>
      <c r="W583" s="2320"/>
      <c r="X583" s="2320"/>
      <c r="Y583" s="2320"/>
      <c r="Z583" s="2320"/>
      <c r="AA583" s="2320"/>
      <c r="AB583" s="2320"/>
      <c r="AC583" s="2320"/>
    </row>
    <row r="584" spans="2:29" s="2318" customFormat="1" ht="37">
      <c r="B584" s="2320"/>
      <c r="E584" s="2320"/>
      <c r="F584" s="2320"/>
      <c r="G584" s="2320"/>
      <c r="H584" s="2320"/>
      <c r="I584" s="2320"/>
      <c r="J584" s="2320"/>
      <c r="K584" s="2320"/>
      <c r="L584" s="2320"/>
      <c r="M584" s="2320"/>
      <c r="N584" s="2320"/>
      <c r="O584" s="2320"/>
      <c r="P584" s="2320"/>
      <c r="Q584" s="2320"/>
      <c r="R584" s="2320"/>
      <c r="S584" s="2320"/>
      <c r="T584" s="2320"/>
      <c r="U584" s="2320"/>
      <c r="V584" s="2320"/>
      <c r="W584" s="2320"/>
      <c r="X584" s="2320"/>
      <c r="Y584" s="2320"/>
      <c r="Z584" s="2320"/>
      <c r="AA584" s="2320"/>
      <c r="AB584" s="2320"/>
      <c r="AC584" s="2320"/>
    </row>
    <row r="585" spans="2:29" s="2318" customFormat="1" ht="37">
      <c r="B585" s="2320"/>
      <c r="E585" s="2320"/>
      <c r="F585" s="2320"/>
      <c r="G585" s="2320"/>
      <c r="H585" s="2320"/>
      <c r="I585" s="2320"/>
      <c r="J585" s="2320"/>
      <c r="K585" s="2320"/>
      <c r="L585" s="2320"/>
      <c r="M585" s="2320"/>
      <c r="N585" s="2320"/>
      <c r="O585" s="2320"/>
      <c r="P585" s="2320"/>
      <c r="Q585" s="2320"/>
      <c r="R585" s="2320"/>
      <c r="S585" s="2320"/>
      <c r="T585" s="2320"/>
      <c r="U585" s="2320"/>
      <c r="V585" s="2320"/>
      <c r="W585" s="2320"/>
      <c r="X585" s="2320"/>
      <c r="Y585" s="2320"/>
      <c r="Z585" s="2320"/>
      <c r="AA585" s="2320"/>
      <c r="AB585" s="2320"/>
      <c r="AC585" s="2320"/>
    </row>
    <row r="586" spans="2:29" s="2318" customFormat="1" ht="37">
      <c r="B586" s="2320"/>
      <c r="E586" s="2320"/>
      <c r="F586" s="2320"/>
      <c r="G586" s="2320"/>
      <c r="H586" s="2320"/>
      <c r="I586" s="2320"/>
      <c r="J586" s="2320"/>
      <c r="K586" s="2320"/>
      <c r="L586" s="2320"/>
      <c r="M586" s="2320"/>
      <c r="N586" s="2320"/>
      <c r="O586" s="2320"/>
      <c r="P586" s="2320"/>
      <c r="Q586" s="2320"/>
      <c r="R586" s="2320"/>
      <c r="S586" s="2320"/>
      <c r="T586" s="2320"/>
      <c r="U586" s="2320"/>
      <c r="V586" s="2320"/>
      <c r="W586" s="2320"/>
      <c r="X586" s="2320"/>
      <c r="Y586" s="2320"/>
      <c r="Z586" s="2320"/>
      <c r="AA586" s="2320"/>
      <c r="AB586" s="2320"/>
      <c r="AC586" s="2320"/>
    </row>
    <row r="587" spans="2:29" s="2318" customFormat="1" ht="37">
      <c r="B587" s="2320"/>
      <c r="E587" s="2320"/>
      <c r="F587" s="2320"/>
      <c r="G587" s="2320"/>
      <c r="H587" s="2320"/>
      <c r="I587" s="2320"/>
      <c r="J587" s="2320"/>
      <c r="K587" s="2320"/>
      <c r="L587" s="2320"/>
      <c r="M587" s="2320"/>
      <c r="N587" s="2320"/>
      <c r="O587" s="2320"/>
      <c r="P587" s="2320"/>
      <c r="Q587" s="2320"/>
      <c r="R587" s="2320"/>
      <c r="S587" s="2320"/>
      <c r="T587" s="2320"/>
      <c r="U587" s="2320"/>
      <c r="V587" s="2320"/>
      <c r="W587" s="2320"/>
      <c r="X587" s="2320"/>
      <c r="Y587" s="2320"/>
      <c r="Z587" s="2320"/>
      <c r="AA587" s="2320"/>
      <c r="AB587" s="2320"/>
      <c r="AC587" s="2320"/>
    </row>
    <row r="588" spans="2:29" s="2318" customFormat="1" ht="37">
      <c r="B588" s="2320"/>
      <c r="E588" s="2320"/>
      <c r="F588" s="2320"/>
      <c r="G588" s="2320"/>
      <c r="H588" s="2320"/>
      <c r="I588" s="2320"/>
      <c r="J588" s="2320"/>
      <c r="K588" s="2320"/>
      <c r="L588" s="2320"/>
      <c r="M588" s="2320"/>
      <c r="N588" s="2320"/>
      <c r="O588" s="2320"/>
      <c r="P588" s="2320"/>
      <c r="Q588" s="2320"/>
      <c r="R588" s="2320"/>
      <c r="S588" s="2320"/>
      <c r="T588" s="2320"/>
      <c r="U588" s="2320"/>
      <c r="V588" s="2320"/>
      <c r="W588" s="2320"/>
      <c r="X588" s="2320"/>
      <c r="Y588" s="2320"/>
      <c r="Z588" s="2320"/>
      <c r="AA588" s="2320"/>
      <c r="AB588" s="2320"/>
      <c r="AC588" s="2320"/>
    </row>
    <row r="589" spans="2:29" s="2318" customFormat="1" ht="37">
      <c r="B589" s="2320"/>
      <c r="E589" s="2320"/>
      <c r="F589" s="2320"/>
      <c r="G589" s="2320"/>
      <c r="H589" s="2320"/>
      <c r="I589" s="2320"/>
      <c r="J589" s="2320"/>
      <c r="K589" s="2320"/>
      <c r="L589" s="2320"/>
      <c r="M589" s="2320"/>
      <c r="N589" s="2320"/>
      <c r="O589" s="2320"/>
      <c r="P589" s="2320"/>
      <c r="Q589" s="2320"/>
      <c r="R589" s="2320"/>
      <c r="S589" s="2320"/>
      <c r="T589" s="2320"/>
      <c r="U589" s="2320"/>
      <c r="V589" s="2320"/>
      <c r="W589" s="2320"/>
      <c r="X589" s="2320"/>
      <c r="Y589" s="2320"/>
      <c r="Z589" s="2320"/>
      <c r="AA589" s="2320"/>
      <c r="AB589" s="2320"/>
      <c r="AC589" s="2320"/>
    </row>
    <row r="590" spans="2:29" s="2318" customFormat="1" ht="37">
      <c r="B590" s="2320"/>
      <c r="E590" s="2320"/>
      <c r="F590" s="2320"/>
      <c r="G590" s="2320"/>
      <c r="H590" s="2320"/>
      <c r="I590" s="2320"/>
      <c r="J590" s="2320"/>
      <c r="K590" s="2320"/>
      <c r="L590" s="2320"/>
      <c r="M590" s="2320"/>
      <c r="N590" s="2320"/>
      <c r="O590" s="2320"/>
      <c r="P590" s="2320"/>
      <c r="Q590" s="2320"/>
      <c r="R590" s="2320"/>
      <c r="S590" s="2320"/>
      <c r="T590" s="2320"/>
      <c r="U590" s="2320"/>
      <c r="V590" s="2320"/>
      <c r="W590" s="2320"/>
      <c r="X590" s="2320"/>
      <c r="Y590" s="2320"/>
      <c r="Z590" s="2320"/>
      <c r="AA590" s="2320"/>
      <c r="AB590" s="2320"/>
      <c r="AC590" s="2320"/>
    </row>
    <row r="591" spans="2:29" s="2318" customFormat="1" ht="37">
      <c r="B591" s="2320"/>
      <c r="E591" s="2320"/>
      <c r="F591" s="2320"/>
      <c r="G591" s="2320"/>
      <c r="H591" s="2320"/>
      <c r="I591" s="2320"/>
      <c r="J591" s="2320"/>
      <c r="K591" s="2320"/>
      <c r="L591" s="2320"/>
      <c r="M591" s="2320"/>
      <c r="N591" s="2320"/>
      <c r="O591" s="2320"/>
      <c r="P591" s="2320"/>
      <c r="Q591" s="2320"/>
      <c r="R591" s="2320"/>
      <c r="S591" s="2320"/>
      <c r="T591" s="2320"/>
      <c r="U591" s="2320"/>
      <c r="V591" s="2320"/>
      <c r="W591" s="2320"/>
      <c r="X591" s="2320"/>
      <c r="Y591" s="2320"/>
      <c r="Z591" s="2320"/>
      <c r="AA591" s="2320"/>
      <c r="AB591" s="2320"/>
      <c r="AC591" s="2320"/>
    </row>
    <row r="592" spans="2:29" s="2318" customFormat="1" ht="37">
      <c r="B592" s="2320"/>
      <c r="E592" s="2320"/>
      <c r="F592" s="2320"/>
      <c r="G592" s="2320"/>
      <c r="H592" s="2320"/>
      <c r="I592" s="2320"/>
      <c r="J592" s="2320"/>
      <c r="K592" s="2320"/>
      <c r="L592" s="2320"/>
      <c r="M592" s="2320"/>
      <c r="N592" s="2320"/>
      <c r="O592" s="2320"/>
      <c r="P592" s="2320"/>
      <c r="Q592" s="2320"/>
      <c r="R592" s="2320"/>
      <c r="S592" s="2320"/>
      <c r="T592" s="2320"/>
      <c r="U592" s="2320"/>
      <c r="V592" s="2320"/>
      <c r="W592" s="2320"/>
      <c r="X592" s="2320"/>
      <c r="Y592" s="2320"/>
      <c r="Z592" s="2320"/>
      <c r="AA592" s="2320"/>
      <c r="AB592" s="2320"/>
      <c r="AC592" s="2320"/>
    </row>
    <row r="593" spans="2:29" s="2318" customFormat="1" ht="37">
      <c r="B593" s="2320"/>
      <c r="E593" s="2320"/>
      <c r="F593" s="2320"/>
      <c r="G593" s="2320"/>
      <c r="H593" s="2320"/>
      <c r="I593" s="2320"/>
      <c r="J593" s="2320"/>
      <c r="K593" s="2320"/>
      <c r="L593" s="2320"/>
      <c r="M593" s="2320"/>
      <c r="N593" s="2320"/>
      <c r="O593" s="2320"/>
      <c r="P593" s="2320"/>
      <c r="Q593" s="2320"/>
      <c r="R593" s="2320"/>
      <c r="S593" s="2320"/>
      <c r="T593" s="2320"/>
      <c r="U593" s="2320"/>
      <c r="V593" s="2320"/>
      <c r="W593" s="2320"/>
      <c r="X593" s="2320"/>
      <c r="Y593" s="2320"/>
      <c r="Z593" s="2320"/>
      <c r="AA593" s="2320"/>
      <c r="AB593" s="2320"/>
      <c r="AC593" s="2320"/>
    </row>
    <row r="594" spans="2:29" s="2318" customFormat="1" ht="37">
      <c r="B594" s="2320"/>
      <c r="E594" s="2320"/>
      <c r="F594" s="2320"/>
      <c r="G594" s="2320"/>
      <c r="H594" s="2320"/>
      <c r="I594" s="2320"/>
      <c r="J594" s="2320"/>
      <c r="K594" s="2320"/>
      <c r="L594" s="2320"/>
      <c r="M594" s="2320"/>
      <c r="N594" s="2320"/>
      <c r="O594" s="2320"/>
      <c r="P594" s="2320"/>
      <c r="Q594" s="2320"/>
      <c r="R594" s="2320"/>
      <c r="S594" s="2320"/>
      <c r="T594" s="2320"/>
      <c r="U594" s="2320"/>
      <c r="V594" s="2320"/>
      <c r="W594" s="2320"/>
      <c r="X594" s="2320"/>
      <c r="Y594" s="2320"/>
      <c r="Z594" s="2320"/>
      <c r="AA594" s="2320"/>
      <c r="AB594" s="2320"/>
      <c r="AC594" s="2320"/>
    </row>
    <row r="595" spans="2:29" s="2318" customFormat="1" ht="37">
      <c r="B595" s="2320"/>
      <c r="E595" s="2320"/>
      <c r="F595" s="2320"/>
      <c r="G595" s="2320"/>
      <c r="H595" s="2320"/>
      <c r="I595" s="2320"/>
      <c r="J595" s="2320"/>
      <c r="K595" s="2320"/>
      <c r="L595" s="2320"/>
      <c r="M595" s="2320"/>
      <c r="N595" s="2320"/>
      <c r="O595" s="2320"/>
      <c r="P595" s="2320"/>
      <c r="Q595" s="2320"/>
      <c r="R595" s="2320"/>
      <c r="S595" s="2320"/>
      <c r="T595" s="2320"/>
      <c r="U595" s="2320"/>
      <c r="V595" s="2320"/>
      <c r="W595" s="2320"/>
      <c r="X595" s="2320"/>
      <c r="Y595" s="2320"/>
      <c r="Z595" s="2320"/>
      <c r="AA595" s="2320"/>
      <c r="AB595" s="2320"/>
      <c r="AC595" s="2320"/>
    </row>
    <row r="596" spans="2:29" s="2318" customFormat="1" ht="37">
      <c r="B596" s="2320"/>
      <c r="E596" s="2320"/>
      <c r="F596" s="2320"/>
      <c r="G596" s="2320"/>
      <c r="H596" s="2320"/>
      <c r="I596" s="2320"/>
      <c r="J596" s="2320"/>
      <c r="K596" s="2320"/>
      <c r="L596" s="2320"/>
      <c r="M596" s="2320"/>
      <c r="N596" s="2320"/>
      <c r="O596" s="2320"/>
      <c r="P596" s="2320"/>
      <c r="Q596" s="2320"/>
      <c r="R596" s="2320"/>
      <c r="S596" s="2320"/>
      <c r="T596" s="2320"/>
      <c r="U596" s="2320"/>
      <c r="V596" s="2320"/>
      <c r="W596" s="2320"/>
      <c r="X596" s="2320"/>
      <c r="Y596" s="2320"/>
      <c r="Z596" s="2320"/>
      <c r="AA596" s="2320"/>
      <c r="AB596" s="2320"/>
      <c r="AC596" s="2320"/>
    </row>
    <row r="597" spans="2:29" s="2318" customFormat="1" ht="37">
      <c r="B597" s="2320"/>
      <c r="E597" s="2320"/>
      <c r="F597" s="2320"/>
      <c r="G597" s="2320"/>
      <c r="H597" s="2320"/>
      <c r="I597" s="2320"/>
      <c r="J597" s="2320"/>
      <c r="K597" s="2320"/>
      <c r="L597" s="2320"/>
      <c r="M597" s="2320"/>
      <c r="N597" s="2320"/>
      <c r="O597" s="2320"/>
      <c r="P597" s="2320"/>
      <c r="Q597" s="2320"/>
      <c r="R597" s="2320"/>
      <c r="S597" s="2320"/>
      <c r="T597" s="2320"/>
      <c r="U597" s="2320"/>
      <c r="V597" s="2320"/>
      <c r="W597" s="2320"/>
      <c r="X597" s="2320"/>
      <c r="Y597" s="2320"/>
      <c r="Z597" s="2320"/>
      <c r="AA597" s="2320"/>
      <c r="AB597" s="2320"/>
      <c r="AC597" s="2320"/>
    </row>
    <row r="598" spans="2:29" s="2318" customFormat="1" ht="37">
      <c r="B598" s="2320"/>
      <c r="E598" s="2320"/>
      <c r="F598" s="2320"/>
      <c r="G598" s="2320"/>
      <c r="H598" s="2320"/>
      <c r="I598" s="2320"/>
      <c r="J598" s="2320"/>
      <c r="K598" s="2320"/>
      <c r="L598" s="2320"/>
      <c r="M598" s="2320"/>
      <c r="N598" s="2320"/>
      <c r="O598" s="2320"/>
      <c r="P598" s="2320"/>
      <c r="Q598" s="2320"/>
      <c r="R598" s="2320"/>
      <c r="S598" s="2320"/>
      <c r="T598" s="2320"/>
      <c r="U598" s="2320"/>
      <c r="V598" s="2320"/>
      <c r="W598" s="2320"/>
      <c r="X598" s="2320"/>
      <c r="Y598" s="2320"/>
      <c r="Z598" s="2320"/>
      <c r="AA598" s="2320"/>
      <c r="AB598" s="2320"/>
      <c r="AC598" s="2320"/>
    </row>
    <row r="599" spans="2:29" s="2318" customFormat="1" ht="37">
      <c r="B599" s="2320"/>
      <c r="E599" s="2320"/>
      <c r="F599" s="2320"/>
      <c r="G599" s="2320"/>
      <c r="H599" s="2320"/>
      <c r="I599" s="2320"/>
      <c r="J599" s="2320"/>
      <c r="K599" s="2320"/>
      <c r="L599" s="2320"/>
      <c r="M599" s="2320"/>
      <c r="N599" s="2320"/>
      <c r="O599" s="2320"/>
      <c r="P599" s="2320"/>
      <c r="Q599" s="2320"/>
      <c r="R599" s="2320"/>
      <c r="S599" s="2320"/>
      <c r="T599" s="2320"/>
      <c r="U599" s="2320"/>
      <c r="V599" s="2320"/>
      <c r="W599" s="2320"/>
      <c r="X599" s="2320"/>
      <c r="Y599" s="2320"/>
      <c r="Z599" s="2320"/>
      <c r="AA599" s="2320"/>
      <c r="AB599" s="2320"/>
      <c r="AC599" s="2320"/>
    </row>
    <row r="600" spans="2:29" s="2318" customFormat="1" ht="37">
      <c r="B600" s="2320"/>
      <c r="E600" s="2320"/>
      <c r="F600" s="2320"/>
      <c r="G600" s="2320"/>
      <c r="H600" s="2320"/>
      <c r="I600" s="2320"/>
      <c r="J600" s="2320"/>
      <c r="K600" s="2320"/>
      <c r="L600" s="2320"/>
      <c r="M600" s="2320"/>
      <c r="N600" s="2320"/>
      <c r="O600" s="2320"/>
      <c r="P600" s="2320"/>
      <c r="Q600" s="2320"/>
      <c r="R600" s="2320"/>
      <c r="S600" s="2320"/>
      <c r="T600" s="2320"/>
      <c r="U600" s="2320"/>
      <c r="V600" s="2320"/>
      <c r="W600" s="2320"/>
      <c r="X600" s="2320"/>
      <c r="Y600" s="2320"/>
      <c r="Z600" s="2320"/>
      <c r="AA600" s="2320"/>
      <c r="AB600" s="2320"/>
      <c r="AC600" s="2320"/>
    </row>
    <row r="601" spans="2:29" s="2318" customFormat="1" ht="37">
      <c r="B601" s="2320"/>
      <c r="E601" s="2320"/>
      <c r="F601" s="2320"/>
      <c r="G601" s="2320"/>
      <c r="H601" s="2320"/>
      <c r="I601" s="2320"/>
      <c r="J601" s="2320"/>
      <c r="K601" s="2320"/>
      <c r="L601" s="2320"/>
      <c r="M601" s="2320"/>
      <c r="N601" s="2320"/>
      <c r="O601" s="2320"/>
      <c r="P601" s="2320"/>
      <c r="Q601" s="2320"/>
      <c r="R601" s="2320"/>
      <c r="S601" s="2320"/>
      <c r="T601" s="2320"/>
      <c r="U601" s="2320"/>
      <c r="V601" s="2320"/>
      <c r="W601" s="2320"/>
      <c r="X601" s="2320"/>
      <c r="Y601" s="2320"/>
      <c r="Z601" s="2320"/>
      <c r="AA601" s="2320"/>
      <c r="AB601" s="2320"/>
      <c r="AC601" s="2320"/>
    </row>
    <row r="602" spans="2:29" s="2318" customFormat="1" ht="37">
      <c r="B602" s="2320"/>
      <c r="E602" s="2320"/>
      <c r="F602" s="2320"/>
      <c r="G602" s="2320"/>
      <c r="H602" s="2320"/>
      <c r="I602" s="2320"/>
      <c r="J602" s="2320"/>
      <c r="K602" s="2320"/>
      <c r="L602" s="2320"/>
      <c r="M602" s="2320"/>
      <c r="N602" s="2320"/>
      <c r="O602" s="2320"/>
      <c r="P602" s="2320"/>
      <c r="Q602" s="2320"/>
      <c r="R602" s="2320"/>
      <c r="S602" s="2320"/>
      <c r="T602" s="2320"/>
      <c r="U602" s="2320"/>
      <c r="V602" s="2320"/>
      <c r="W602" s="2320"/>
      <c r="X602" s="2320"/>
      <c r="Y602" s="2320"/>
      <c r="Z602" s="2320"/>
      <c r="AA602" s="2320"/>
      <c r="AB602" s="2320"/>
      <c r="AC602" s="2320"/>
    </row>
    <row r="603" spans="2:29" s="2318" customFormat="1" ht="37">
      <c r="B603" s="2320"/>
      <c r="E603" s="2320"/>
      <c r="F603" s="2320"/>
      <c r="G603" s="2320"/>
      <c r="H603" s="2320"/>
      <c r="I603" s="2320"/>
      <c r="J603" s="2320"/>
      <c r="K603" s="2320"/>
      <c r="L603" s="2320"/>
      <c r="M603" s="2320"/>
      <c r="N603" s="2320"/>
      <c r="O603" s="2320"/>
      <c r="P603" s="2320"/>
      <c r="Q603" s="2320"/>
      <c r="R603" s="2320"/>
      <c r="S603" s="2320"/>
      <c r="T603" s="2320"/>
      <c r="U603" s="2320"/>
      <c r="V603" s="2320"/>
      <c r="W603" s="2320"/>
      <c r="X603" s="2320"/>
      <c r="Y603" s="2320"/>
      <c r="Z603" s="2320"/>
      <c r="AA603" s="2320"/>
      <c r="AB603" s="2320"/>
      <c r="AC603" s="2320"/>
    </row>
    <row r="604" spans="2:29" s="2318" customFormat="1" ht="37">
      <c r="B604" s="2320"/>
      <c r="E604" s="2320"/>
      <c r="F604" s="2320"/>
      <c r="G604" s="2320"/>
      <c r="H604" s="2320"/>
      <c r="I604" s="2320"/>
      <c r="J604" s="2320"/>
      <c r="K604" s="2320"/>
      <c r="L604" s="2320"/>
      <c r="M604" s="2320"/>
      <c r="N604" s="2320"/>
      <c r="O604" s="2320"/>
      <c r="P604" s="2320"/>
      <c r="Q604" s="2320"/>
      <c r="R604" s="2320"/>
      <c r="S604" s="2320"/>
      <c r="T604" s="2320"/>
      <c r="U604" s="2320"/>
      <c r="V604" s="2320"/>
      <c r="W604" s="2320"/>
      <c r="X604" s="2320"/>
      <c r="Y604" s="2320"/>
      <c r="Z604" s="2320"/>
      <c r="AA604" s="2320"/>
      <c r="AB604" s="2320"/>
      <c r="AC604" s="2320"/>
    </row>
    <row r="605" spans="2:29" s="2318" customFormat="1" ht="37">
      <c r="B605" s="2320"/>
      <c r="E605" s="2320"/>
      <c r="F605" s="2320"/>
      <c r="G605" s="2320"/>
      <c r="H605" s="2320"/>
      <c r="I605" s="2320"/>
      <c r="J605" s="2320"/>
      <c r="K605" s="2320"/>
      <c r="L605" s="2320"/>
      <c r="M605" s="2320"/>
      <c r="N605" s="2320"/>
      <c r="O605" s="2320"/>
      <c r="P605" s="2320"/>
      <c r="Q605" s="2320"/>
      <c r="R605" s="2320"/>
      <c r="S605" s="2320"/>
      <c r="T605" s="2320"/>
      <c r="U605" s="2320"/>
      <c r="V605" s="2320"/>
      <c r="W605" s="2320"/>
      <c r="X605" s="2320"/>
      <c r="Y605" s="2320"/>
      <c r="Z605" s="2320"/>
      <c r="AA605" s="2320"/>
      <c r="AB605" s="2320"/>
      <c r="AC605" s="2320"/>
    </row>
  </sheetData>
  <autoFilter ref="B4:AC121" xr:uid="{7633CD49-AECD-E040-91E0-588B762B76F7}"/>
  <conditionalFormatting sqref="A6:AC437">
    <cfRule type="expression" dxfId="4" priority="2">
      <formula>ROW()=EVEN(ROW())</formula>
    </cfRule>
  </conditionalFormatting>
  <printOptions horizontalCentered="1" verticalCentered="1"/>
  <pageMargins left="0" right="0" top="0" bottom="0" header="0" footer="0"/>
  <pageSetup paperSize="9" scale="17" fitToHeight="10" orientation="landscape" r:id="rId1"/>
  <rowBreaks count="9" manualBreakCount="9">
    <brk id="41" max="28" man="1"/>
    <brk id="77" max="28" man="1"/>
    <brk id="113" max="28" man="1"/>
    <brk id="149" max="28" man="1"/>
    <brk id="185" max="28" man="1"/>
    <brk id="221" max="28" man="1"/>
    <brk id="257" max="28" man="1"/>
    <brk id="293" max="28" man="1"/>
    <brk id="325" max="2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7546-87B3-4F62-935A-7FA71F1D894E}">
  <sheetPr codeName="Sheet8">
    <tabColor rgb="FFFFFF00"/>
  </sheetPr>
  <dimension ref="A1:DG2989"/>
  <sheetViews>
    <sheetView zoomScaleNormal="100" workbookViewId="0">
      <selection activeCell="G14" sqref="G14"/>
    </sheetView>
  </sheetViews>
  <sheetFormatPr baseColWidth="10" defaultColWidth="8.83203125" defaultRowHeight="16"/>
  <cols>
    <col min="1" max="1" width="44.33203125" bestFit="1" customWidth="1"/>
    <col min="2" max="2" width="29.1640625" bestFit="1" customWidth="1"/>
    <col min="3" max="3" width="8.33203125" bestFit="1" customWidth="1"/>
    <col min="4" max="4" width="10.83203125" bestFit="1" customWidth="1"/>
    <col min="5" max="5" width="11.83203125" bestFit="1" customWidth="1"/>
    <col min="6" max="7" width="8.33203125" bestFit="1" customWidth="1"/>
    <col min="8" max="8" width="15.33203125" bestFit="1" customWidth="1"/>
    <col min="9" max="9" width="14.6640625" bestFit="1" customWidth="1"/>
    <col min="10" max="10" width="15.5" bestFit="1" customWidth="1"/>
    <col min="11" max="11" width="14.33203125" bestFit="1" customWidth="1"/>
    <col min="12" max="12" width="13.6640625" bestFit="1" customWidth="1"/>
    <col min="13" max="13" width="14.5" bestFit="1" customWidth="1"/>
    <col min="14" max="17" width="9.33203125" bestFit="1" customWidth="1"/>
    <col min="18" max="18" width="9.5" bestFit="1" customWidth="1"/>
    <col min="19" max="19" width="11.83203125" bestFit="1" customWidth="1"/>
    <col min="20" max="20" width="9.83203125" bestFit="1" customWidth="1"/>
    <col min="21" max="21" width="10.5" bestFit="1" customWidth="1"/>
    <col min="22" max="22" width="10" bestFit="1" customWidth="1"/>
    <col min="23" max="23" width="10.1640625" bestFit="1" customWidth="1"/>
    <col min="24" max="26" width="9.33203125" bestFit="1" customWidth="1"/>
  </cols>
  <sheetData>
    <row r="1" spans="1:111">
      <c r="A1" t="s">
        <v>0</v>
      </c>
      <c r="B1" t="s">
        <v>1</v>
      </c>
      <c r="C1" t="s">
        <v>3134</v>
      </c>
      <c r="D1" t="s">
        <v>3135</v>
      </c>
      <c r="E1" t="s">
        <v>3136</v>
      </c>
      <c r="F1" t="s">
        <v>2</v>
      </c>
      <c r="G1" t="s">
        <v>3137</v>
      </c>
      <c r="H1" t="s">
        <v>3</v>
      </c>
      <c r="I1" t="s">
        <v>3138</v>
      </c>
      <c r="J1" t="s">
        <v>3139</v>
      </c>
      <c r="K1" t="s">
        <v>4</v>
      </c>
      <c r="L1" t="s">
        <v>3140</v>
      </c>
      <c r="M1" t="s">
        <v>3141</v>
      </c>
      <c r="N1" t="s">
        <v>3142</v>
      </c>
      <c r="O1" t="s">
        <v>3143</v>
      </c>
      <c r="P1" t="s">
        <v>5</v>
      </c>
      <c r="Q1" s="206" t="s">
        <v>6</v>
      </c>
      <c r="R1" s="206" t="s">
        <v>3144</v>
      </c>
      <c r="S1" t="s">
        <v>3145</v>
      </c>
      <c r="T1" t="s">
        <v>3146</v>
      </c>
      <c r="U1" t="s">
        <v>3147</v>
      </c>
      <c r="V1" t="s">
        <v>3148</v>
      </c>
      <c r="W1" t="s">
        <v>3149</v>
      </c>
      <c r="X1" s="366" t="s">
        <v>3150</v>
      </c>
      <c r="Y1" t="s">
        <v>3151</v>
      </c>
      <c r="Z1" t="s">
        <v>3152</v>
      </c>
    </row>
    <row r="2" spans="1:111">
      <c r="A2" t="s">
        <v>192</v>
      </c>
      <c r="B2" t="s">
        <v>192</v>
      </c>
      <c r="C2" t="s">
        <v>192</v>
      </c>
      <c r="D2" t="s">
        <v>192</v>
      </c>
      <c r="E2" t="s">
        <v>192</v>
      </c>
      <c r="F2" t="s">
        <v>192</v>
      </c>
      <c r="G2" t="s">
        <v>192</v>
      </c>
      <c r="H2" t="s">
        <v>192</v>
      </c>
      <c r="I2" t="s">
        <v>192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  <c r="P2" t="s">
        <v>192</v>
      </c>
      <c r="Q2" t="s">
        <v>192</v>
      </c>
      <c r="R2" t="s">
        <v>192</v>
      </c>
      <c r="S2" t="s">
        <v>192</v>
      </c>
      <c r="T2" t="s">
        <v>192</v>
      </c>
      <c r="U2" t="s">
        <v>192</v>
      </c>
      <c r="V2" t="s">
        <v>192</v>
      </c>
      <c r="W2" t="s">
        <v>192</v>
      </c>
      <c r="X2" s="367"/>
    </row>
    <row r="3" spans="1:111" ht="17" thickBot="1">
      <c r="A3" t="s">
        <v>8768</v>
      </c>
      <c r="X3" s="367"/>
      <c r="AC3">
        <f>SUMIF(Z8:Z38,"&gt;0")</f>
        <v>5029</v>
      </c>
    </row>
    <row r="4" spans="1:111" ht="17" thickBot="1">
      <c r="A4" t="s">
        <v>11</v>
      </c>
      <c r="B4" t="s">
        <v>10</v>
      </c>
      <c r="C4" t="s">
        <v>3153</v>
      </c>
      <c r="D4" t="s">
        <v>3154</v>
      </c>
      <c r="E4" t="s">
        <v>3155</v>
      </c>
      <c r="F4" t="s">
        <v>12</v>
      </c>
      <c r="G4" t="s">
        <v>3156</v>
      </c>
      <c r="H4" t="s">
        <v>13</v>
      </c>
      <c r="I4" s="299" t="s">
        <v>3157</v>
      </c>
      <c r="J4" t="s">
        <v>3158</v>
      </c>
      <c r="K4" s="299" t="s">
        <v>14</v>
      </c>
      <c r="L4" t="s">
        <v>3159</v>
      </c>
      <c r="M4" t="s">
        <v>3160</v>
      </c>
      <c r="N4" t="s">
        <v>3161</v>
      </c>
      <c r="O4" t="s">
        <v>3162</v>
      </c>
      <c r="P4" t="s">
        <v>15</v>
      </c>
      <c r="Q4" t="s">
        <v>16</v>
      </c>
      <c r="R4" t="s">
        <v>3163</v>
      </c>
      <c r="S4" t="s">
        <v>3164</v>
      </c>
      <c r="T4" t="s">
        <v>3165</v>
      </c>
      <c r="U4" t="s">
        <v>3166</v>
      </c>
      <c r="V4" t="s">
        <v>3167</v>
      </c>
      <c r="W4" t="s">
        <v>3168</v>
      </c>
      <c r="X4" s="367"/>
      <c r="AO4" t="e" cm="1">
        <f t="array" ref="AO4">a</f>
        <v>#NAME?</v>
      </c>
      <c r="DE4" t="s">
        <v>3169</v>
      </c>
      <c r="DF4" t="s">
        <v>3170</v>
      </c>
    </row>
    <row r="5" spans="1:111">
      <c r="A5" t="s">
        <v>5801</v>
      </c>
      <c r="B5" t="s">
        <v>5802</v>
      </c>
      <c r="C5">
        <v>488</v>
      </c>
      <c r="D5">
        <v>151385671</v>
      </c>
      <c r="E5">
        <v>5817145391686</v>
      </c>
      <c r="F5">
        <v>37307</v>
      </c>
      <c r="G5">
        <v>38426</v>
      </c>
      <c r="H5">
        <v>38426</v>
      </c>
      <c r="I5">
        <v>1119</v>
      </c>
      <c r="J5">
        <v>3</v>
      </c>
      <c r="K5">
        <v>38426</v>
      </c>
      <c r="L5">
        <v>1119</v>
      </c>
      <c r="M5">
        <v>3</v>
      </c>
      <c r="N5">
        <v>38200</v>
      </c>
      <c r="O5">
        <v>38426</v>
      </c>
      <c r="P5" t="s">
        <v>192</v>
      </c>
      <c r="Q5" t="s">
        <v>192</v>
      </c>
      <c r="R5">
        <v>59</v>
      </c>
      <c r="S5">
        <v>4974976</v>
      </c>
      <c r="T5">
        <v>38426</v>
      </c>
      <c r="U5">
        <v>0</v>
      </c>
      <c r="V5">
        <v>0</v>
      </c>
      <c r="W5">
        <v>0</v>
      </c>
      <c r="X5" s="367"/>
    </row>
    <row r="6" spans="1:111">
      <c r="A6" t="s">
        <v>5803</v>
      </c>
      <c r="B6" t="s">
        <v>5804</v>
      </c>
      <c r="C6">
        <v>0</v>
      </c>
      <c r="D6">
        <v>0</v>
      </c>
      <c r="E6">
        <v>0</v>
      </c>
      <c r="F6">
        <v>1000000</v>
      </c>
      <c r="G6">
        <v>0</v>
      </c>
      <c r="H6">
        <v>1000000</v>
      </c>
      <c r="I6">
        <v>0</v>
      </c>
      <c r="J6">
        <v>0</v>
      </c>
      <c r="K6">
        <v>1000000</v>
      </c>
      <c r="L6">
        <v>0</v>
      </c>
      <c r="M6">
        <v>0</v>
      </c>
      <c r="N6">
        <v>0</v>
      </c>
      <c r="O6">
        <v>0</v>
      </c>
      <c r="P6" t="s">
        <v>192</v>
      </c>
      <c r="Q6" t="s">
        <v>192</v>
      </c>
      <c r="R6">
        <v>1</v>
      </c>
      <c r="S6">
        <v>5000</v>
      </c>
      <c r="T6">
        <v>970000</v>
      </c>
      <c r="U6">
        <v>0</v>
      </c>
      <c r="V6">
        <v>0</v>
      </c>
      <c r="W6">
        <v>0</v>
      </c>
      <c r="X6" s="367"/>
    </row>
    <row r="7" spans="1:111">
      <c r="A7" t="s">
        <v>5807</v>
      </c>
      <c r="B7" t="s">
        <v>3342</v>
      </c>
      <c r="C7">
        <v>22</v>
      </c>
      <c r="D7">
        <v>377343</v>
      </c>
      <c r="E7">
        <v>9669037032</v>
      </c>
      <c r="F7">
        <v>24878</v>
      </c>
      <c r="G7">
        <v>25624</v>
      </c>
      <c r="H7">
        <v>25624</v>
      </c>
      <c r="I7">
        <v>746</v>
      </c>
      <c r="J7">
        <v>3</v>
      </c>
      <c r="K7">
        <v>25624</v>
      </c>
      <c r="L7">
        <v>746</v>
      </c>
      <c r="M7">
        <v>3</v>
      </c>
      <c r="N7">
        <v>25624</v>
      </c>
      <c r="O7">
        <v>25624</v>
      </c>
      <c r="P7" t="s">
        <v>192</v>
      </c>
      <c r="Q7" t="s">
        <v>192</v>
      </c>
      <c r="R7">
        <v>1</v>
      </c>
      <c r="S7">
        <v>1000</v>
      </c>
      <c r="T7">
        <v>25535</v>
      </c>
      <c r="U7">
        <v>25624</v>
      </c>
      <c r="V7">
        <v>928362</v>
      </c>
      <c r="W7" s="270">
        <v>1</v>
      </c>
      <c r="X7" s="368"/>
      <c r="Y7" s="270"/>
      <c r="Z7" s="270"/>
      <c r="AA7" s="270"/>
      <c r="AB7" s="270"/>
      <c r="AC7" s="270"/>
      <c r="AD7" s="270"/>
      <c r="AE7" s="270" t="s">
        <v>192</v>
      </c>
      <c r="AM7" s="327"/>
      <c r="DB7" s="993"/>
      <c r="DF7" s="832"/>
      <c r="DG7" s="832"/>
    </row>
    <row r="8" spans="1:111">
      <c r="A8" s="102" t="s">
        <v>5808</v>
      </c>
      <c r="B8" s="646" t="s">
        <v>5809</v>
      </c>
      <c r="C8" s="646">
        <v>500</v>
      </c>
      <c r="D8" s="646">
        <v>7438214</v>
      </c>
      <c r="E8" s="646">
        <v>196465546382</v>
      </c>
      <c r="F8" s="646">
        <v>25644</v>
      </c>
      <c r="G8" s="646">
        <v>26413</v>
      </c>
      <c r="H8" s="646">
        <v>26413</v>
      </c>
      <c r="I8" s="646">
        <v>769</v>
      </c>
      <c r="J8" s="646">
        <v>3</v>
      </c>
      <c r="K8" s="646">
        <v>26413</v>
      </c>
      <c r="L8" s="646">
        <v>769</v>
      </c>
      <c r="M8" s="646">
        <v>3</v>
      </c>
      <c r="N8" s="646">
        <v>26413</v>
      </c>
      <c r="O8" s="646">
        <v>26413</v>
      </c>
      <c r="P8" s="646" t="s">
        <v>192</v>
      </c>
      <c r="Q8" s="646" t="s">
        <v>192</v>
      </c>
      <c r="R8" s="646">
        <v>3</v>
      </c>
      <c r="S8" s="646">
        <v>171902</v>
      </c>
      <c r="T8" s="646">
        <v>26293</v>
      </c>
      <c r="U8" s="646">
        <v>0</v>
      </c>
      <c r="V8" s="646">
        <v>0</v>
      </c>
      <c r="W8" s="646">
        <v>0</v>
      </c>
      <c r="X8" s="647"/>
      <c r="Y8" s="646"/>
      <c r="Z8" s="780">
        <v>5029</v>
      </c>
      <c r="AA8" s="646"/>
      <c r="AB8" s="646"/>
      <c r="DB8" s="993"/>
      <c r="DF8" s="832"/>
      <c r="DG8" s="832"/>
    </row>
    <row r="9" spans="1:111">
      <c r="A9" t="s">
        <v>5810</v>
      </c>
      <c r="B9" t="s">
        <v>5811</v>
      </c>
      <c r="C9">
        <v>120</v>
      </c>
      <c r="D9">
        <v>4960298</v>
      </c>
      <c r="E9">
        <v>60769388529</v>
      </c>
      <c r="F9">
        <v>11911</v>
      </c>
      <c r="G9">
        <v>12008</v>
      </c>
      <c r="H9">
        <v>12268</v>
      </c>
      <c r="I9">
        <v>357</v>
      </c>
      <c r="J9">
        <v>3</v>
      </c>
      <c r="K9">
        <v>12251</v>
      </c>
      <c r="L9">
        <v>340</v>
      </c>
      <c r="M9">
        <v>2.85</v>
      </c>
      <c r="N9">
        <v>12008</v>
      </c>
      <c r="O9">
        <v>12268</v>
      </c>
      <c r="P9" t="s">
        <v>192</v>
      </c>
      <c r="Q9" t="s">
        <v>192</v>
      </c>
      <c r="R9">
        <v>1</v>
      </c>
      <c r="S9">
        <v>500</v>
      </c>
      <c r="T9">
        <v>12176</v>
      </c>
      <c r="U9" s="375">
        <v>12268</v>
      </c>
      <c r="V9">
        <v>1251891</v>
      </c>
      <c r="W9">
        <v>2</v>
      </c>
      <c r="X9" s="367"/>
      <c r="AD9">
        <v>0</v>
      </c>
      <c r="DB9" s="993"/>
      <c r="DF9" s="832"/>
      <c r="DG9" s="832"/>
    </row>
    <row r="10" spans="1:111">
      <c r="A10" t="s">
        <v>5812</v>
      </c>
      <c r="B10" t="s">
        <v>5813</v>
      </c>
      <c r="C10">
        <v>0</v>
      </c>
      <c r="D10">
        <v>0</v>
      </c>
      <c r="E10">
        <v>0</v>
      </c>
      <c r="F10">
        <v>1000000</v>
      </c>
      <c r="G10">
        <v>0</v>
      </c>
      <c r="H10">
        <v>1000000</v>
      </c>
      <c r="I10">
        <v>0</v>
      </c>
      <c r="J10">
        <v>0</v>
      </c>
      <c r="K10">
        <v>1000000</v>
      </c>
      <c r="L10">
        <v>0</v>
      </c>
      <c r="M10">
        <v>0</v>
      </c>
      <c r="N10">
        <v>0</v>
      </c>
      <c r="O10">
        <v>0</v>
      </c>
      <c r="P10" t="s">
        <v>192</v>
      </c>
      <c r="Q10" t="s">
        <v>192</v>
      </c>
      <c r="R10">
        <v>1</v>
      </c>
      <c r="S10">
        <v>5000</v>
      </c>
      <c r="T10">
        <v>1000000</v>
      </c>
      <c r="U10">
        <v>0</v>
      </c>
      <c r="V10">
        <v>0</v>
      </c>
      <c r="W10">
        <v>0</v>
      </c>
      <c r="X10" s="367"/>
      <c r="AH10" s="135"/>
      <c r="DB10" s="993"/>
      <c r="DF10" s="832"/>
      <c r="DG10" s="832"/>
    </row>
    <row r="11" spans="1:111">
      <c r="A11" t="s">
        <v>5814</v>
      </c>
      <c r="B11" t="s">
        <v>5815</v>
      </c>
      <c r="C11">
        <v>0</v>
      </c>
      <c r="D11">
        <v>0</v>
      </c>
      <c r="E11">
        <v>0</v>
      </c>
      <c r="F11">
        <v>971000</v>
      </c>
      <c r="G11">
        <v>0</v>
      </c>
      <c r="H11">
        <v>971000</v>
      </c>
      <c r="I11">
        <v>0</v>
      </c>
      <c r="J11">
        <v>0</v>
      </c>
      <c r="K11">
        <v>971000</v>
      </c>
      <c r="L11">
        <v>0</v>
      </c>
      <c r="M11">
        <v>0</v>
      </c>
      <c r="N11">
        <v>0</v>
      </c>
      <c r="O11">
        <v>0</v>
      </c>
      <c r="P11" t="s">
        <v>192</v>
      </c>
      <c r="Q11" t="s">
        <v>192</v>
      </c>
      <c r="R11">
        <v>1</v>
      </c>
      <c r="S11">
        <v>5000</v>
      </c>
      <c r="T11">
        <v>999990</v>
      </c>
      <c r="U11">
        <v>1000100</v>
      </c>
      <c r="V11">
        <v>5000</v>
      </c>
      <c r="W11">
        <v>1</v>
      </c>
      <c r="X11" s="367"/>
      <c r="AB11" s="206">
        <v>2436</v>
      </c>
      <c r="AC11" s="206">
        <v>2683</v>
      </c>
      <c r="AH11" s="135"/>
      <c r="DB11" s="993"/>
      <c r="DF11" s="832"/>
      <c r="DG11" s="832"/>
    </row>
    <row r="12" spans="1:111">
      <c r="A12" t="s">
        <v>5816</v>
      </c>
      <c r="B12" t="s">
        <v>5817</v>
      </c>
      <c r="C12">
        <v>1048</v>
      </c>
      <c r="D12">
        <v>11453416</v>
      </c>
      <c r="E12">
        <v>515518254160</v>
      </c>
      <c r="F12">
        <v>43279</v>
      </c>
      <c r="G12">
        <v>45010</v>
      </c>
      <c r="H12">
        <v>45010</v>
      </c>
      <c r="I12">
        <v>1731</v>
      </c>
      <c r="J12">
        <v>4</v>
      </c>
      <c r="K12">
        <v>45010</v>
      </c>
      <c r="L12">
        <v>1731</v>
      </c>
      <c r="M12">
        <v>4</v>
      </c>
      <c r="N12">
        <v>45010</v>
      </c>
      <c r="O12">
        <v>45010</v>
      </c>
      <c r="P12" t="s">
        <v>192</v>
      </c>
      <c r="Q12" t="s">
        <v>192</v>
      </c>
      <c r="R12">
        <v>1811</v>
      </c>
      <c r="S12">
        <v>98869735</v>
      </c>
      <c r="T12">
        <v>45010</v>
      </c>
      <c r="U12">
        <v>45826</v>
      </c>
      <c r="V12">
        <v>500</v>
      </c>
      <c r="W12">
        <v>1</v>
      </c>
      <c r="X12" s="367"/>
      <c r="AD12">
        <v>0</v>
      </c>
      <c r="AH12" s="135"/>
      <c r="DB12" s="993"/>
      <c r="DF12" s="832"/>
      <c r="DG12" s="832"/>
    </row>
    <row r="13" spans="1:111">
      <c r="A13" t="s">
        <v>3085</v>
      </c>
      <c r="B13" t="s">
        <v>3084</v>
      </c>
      <c r="C13">
        <v>424</v>
      </c>
      <c r="D13">
        <v>16822741</v>
      </c>
      <c r="E13">
        <v>40003621422</v>
      </c>
      <c r="F13">
        <v>2317</v>
      </c>
      <c r="G13">
        <v>2386</v>
      </c>
      <c r="H13">
        <v>2386</v>
      </c>
      <c r="I13">
        <v>69</v>
      </c>
      <c r="J13">
        <v>2.98</v>
      </c>
      <c r="K13">
        <v>2378</v>
      </c>
      <c r="L13">
        <v>61</v>
      </c>
      <c r="M13">
        <v>2.63</v>
      </c>
      <c r="N13">
        <v>2283</v>
      </c>
      <c r="O13">
        <v>2386</v>
      </c>
      <c r="P13">
        <v>294</v>
      </c>
      <c r="Q13">
        <v>8.09</v>
      </c>
      <c r="R13">
        <v>21</v>
      </c>
      <c r="S13">
        <v>3057646</v>
      </c>
      <c r="T13">
        <v>2386</v>
      </c>
      <c r="U13">
        <v>0</v>
      </c>
      <c r="V13">
        <v>0</v>
      </c>
      <c r="W13">
        <v>0</v>
      </c>
      <c r="X13" s="367"/>
      <c r="AH13" s="135"/>
      <c r="DB13" s="993"/>
      <c r="DF13" s="832"/>
      <c r="DG13" s="832"/>
    </row>
    <row r="14" spans="1:111">
      <c r="A14" t="s">
        <v>2134</v>
      </c>
      <c r="B14" t="s">
        <v>2133</v>
      </c>
      <c r="C14" s="847">
        <v>126</v>
      </c>
      <c r="D14">
        <v>4116285</v>
      </c>
      <c r="E14">
        <v>19552353750</v>
      </c>
      <c r="F14">
        <v>4620</v>
      </c>
      <c r="G14">
        <v>4750</v>
      </c>
      <c r="H14">
        <v>4750</v>
      </c>
      <c r="I14">
        <v>130</v>
      </c>
      <c r="J14">
        <v>2.81</v>
      </c>
      <c r="K14">
        <v>4750</v>
      </c>
      <c r="L14">
        <v>130</v>
      </c>
      <c r="M14">
        <v>2.81</v>
      </c>
      <c r="N14">
        <v>4750</v>
      </c>
      <c r="O14">
        <v>4750</v>
      </c>
      <c r="P14">
        <v>130</v>
      </c>
      <c r="Q14">
        <v>36.54</v>
      </c>
      <c r="R14">
        <v>37</v>
      </c>
      <c r="S14">
        <v>1256828</v>
      </c>
      <c r="T14">
        <v>4750</v>
      </c>
      <c r="U14">
        <v>4900</v>
      </c>
      <c r="V14">
        <v>4262</v>
      </c>
      <c r="W14">
        <v>2</v>
      </c>
      <c r="X14" s="367"/>
      <c r="AH14" s="135"/>
      <c r="DB14" s="993"/>
      <c r="DF14" s="832"/>
      <c r="DG14" s="832"/>
    </row>
    <row r="15" spans="1:111">
      <c r="A15" t="s">
        <v>5818</v>
      </c>
      <c r="B15" t="s">
        <v>5819</v>
      </c>
      <c r="C15">
        <v>0</v>
      </c>
      <c r="D15">
        <v>0</v>
      </c>
      <c r="E15">
        <v>0</v>
      </c>
      <c r="F15">
        <v>1010000</v>
      </c>
      <c r="G15">
        <v>0</v>
      </c>
      <c r="H15">
        <v>1010000</v>
      </c>
      <c r="I15">
        <v>0</v>
      </c>
      <c r="J15">
        <v>0</v>
      </c>
      <c r="K15">
        <v>1010000</v>
      </c>
      <c r="L15">
        <v>0</v>
      </c>
      <c r="M15">
        <v>0</v>
      </c>
      <c r="N15">
        <v>0</v>
      </c>
      <c r="O15">
        <v>0</v>
      </c>
      <c r="P15" t="s">
        <v>192</v>
      </c>
      <c r="Q15" t="s">
        <v>192</v>
      </c>
      <c r="R15">
        <v>1</v>
      </c>
      <c r="S15">
        <v>10000</v>
      </c>
      <c r="T15">
        <v>1003000</v>
      </c>
      <c r="U15">
        <v>1012000</v>
      </c>
      <c r="V15">
        <v>5000</v>
      </c>
      <c r="W15">
        <v>1</v>
      </c>
      <c r="X15" s="367"/>
      <c r="AH15" s="135"/>
      <c r="DB15" s="993"/>
      <c r="DF15" s="832"/>
      <c r="DG15" s="832"/>
    </row>
    <row r="16" spans="1:111">
      <c r="A16" t="s">
        <v>1709</v>
      </c>
      <c r="B16" t="s">
        <v>1707</v>
      </c>
      <c r="C16">
        <v>4</v>
      </c>
      <c r="D16">
        <v>1600</v>
      </c>
      <c r="E16">
        <v>17216000</v>
      </c>
      <c r="F16">
        <v>10470</v>
      </c>
      <c r="G16">
        <v>10760</v>
      </c>
      <c r="H16">
        <v>10760</v>
      </c>
      <c r="I16">
        <v>290</v>
      </c>
      <c r="J16">
        <v>2.77</v>
      </c>
      <c r="K16">
        <v>10760</v>
      </c>
      <c r="L16">
        <v>290</v>
      </c>
      <c r="M16">
        <v>2.77</v>
      </c>
      <c r="N16">
        <v>10760</v>
      </c>
      <c r="O16">
        <v>10760</v>
      </c>
      <c r="P16">
        <v>1542</v>
      </c>
      <c r="Q16">
        <v>6.98</v>
      </c>
      <c r="R16">
        <v>4</v>
      </c>
      <c r="S16" s="993">
        <v>69400</v>
      </c>
      <c r="T16">
        <v>10760</v>
      </c>
      <c r="U16">
        <v>0</v>
      </c>
      <c r="V16">
        <v>0</v>
      </c>
      <c r="W16">
        <v>0</v>
      </c>
      <c r="X16" s="367"/>
      <c r="AH16" s="135"/>
      <c r="CI16" t="s">
        <v>197</v>
      </c>
      <c r="DB16" s="993"/>
      <c r="DC16">
        <f>(COUNTIF(BO16:DB16,"C"))*0.5+(COUNTIF(BO16:DB16,"B"))*1.5+((COUNTIF(BO16:DB16,"A"))*2.5)</f>
        <v>1.5</v>
      </c>
      <c r="DF16" s="832"/>
      <c r="DG16" s="832"/>
    </row>
    <row r="17" spans="1:111">
      <c r="A17" t="s">
        <v>2829</v>
      </c>
      <c r="B17" t="s">
        <v>2828</v>
      </c>
      <c r="C17">
        <v>330</v>
      </c>
      <c r="D17">
        <v>3675807</v>
      </c>
      <c r="E17">
        <v>15029211420</v>
      </c>
      <c r="F17">
        <v>3980</v>
      </c>
      <c r="G17">
        <v>4090</v>
      </c>
      <c r="H17">
        <v>4090</v>
      </c>
      <c r="I17">
        <v>110</v>
      </c>
      <c r="J17">
        <v>2.76</v>
      </c>
      <c r="K17">
        <v>4090</v>
      </c>
      <c r="L17">
        <v>110</v>
      </c>
      <c r="M17">
        <v>2.76</v>
      </c>
      <c r="N17">
        <v>4040</v>
      </c>
      <c r="O17">
        <v>4090</v>
      </c>
      <c r="P17">
        <v>957</v>
      </c>
      <c r="Q17">
        <v>4.2699999999999996</v>
      </c>
      <c r="R17">
        <v>3</v>
      </c>
      <c r="S17">
        <v>93472</v>
      </c>
      <c r="T17">
        <v>4090</v>
      </c>
      <c r="U17">
        <v>0</v>
      </c>
      <c r="V17">
        <v>0</v>
      </c>
      <c r="W17">
        <v>0</v>
      </c>
      <c r="X17" s="367"/>
      <c r="AH17" s="135"/>
      <c r="BN17">
        <v>930</v>
      </c>
      <c r="DB17" s="993"/>
      <c r="DF17" s="832"/>
      <c r="DG17" s="832"/>
    </row>
    <row r="18" spans="1:111">
      <c r="A18" t="s">
        <v>8769</v>
      </c>
      <c r="B18" t="s">
        <v>1756</v>
      </c>
      <c r="C18">
        <v>1</v>
      </c>
      <c r="D18">
        <v>10000</v>
      </c>
      <c r="E18">
        <v>111300000</v>
      </c>
      <c r="F18">
        <v>10920</v>
      </c>
      <c r="G18">
        <v>11130</v>
      </c>
      <c r="H18">
        <v>11130</v>
      </c>
      <c r="I18">
        <v>210</v>
      </c>
      <c r="J18">
        <v>1.92</v>
      </c>
      <c r="K18">
        <v>11130</v>
      </c>
      <c r="L18">
        <v>210</v>
      </c>
      <c r="M18">
        <v>1.92</v>
      </c>
      <c r="N18">
        <v>11130</v>
      </c>
      <c r="O18">
        <v>11130</v>
      </c>
      <c r="P18">
        <v>106</v>
      </c>
      <c r="Q18">
        <v>105</v>
      </c>
      <c r="R18">
        <v>0</v>
      </c>
      <c r="S18">
        <v>0</v>
      </c>
      <c r="T18">
        <v>0</v>
      </c>
      <c r="U18">
        <v>11130</v>
      </c>
      <c r="V18">
        <v>49627</v>
      </c>
      <c r="W18">
        <v>2</v>
      </c>
      <c r="X18" s="367"/>
      <c r="AH18" s="135"/>
      <c r="BV18">
        <v>1019</v>
      </c>
      <c r="BW18">
        <v>965</v>
      </c>
      <c r="BY18">
        <v>1182</v>
      </c>
      <c r="CB18">
        <v>529</v>
      </c>
      <c r="CD18">
        <v>418</v>
      </c>
      <c r="CG18">
        <v>75</v>
      </c>
      <c r="DB18" s="993"/>
      <c r="DF18" s="832"/>
      <c r="DG18" s="832"/>
    </row>
    <row r="19" spans="1:111">
      <c r="A19" t="s">
        <v>2813</v>
      </c>
      <c r="B19" t="s">
        <v>2812</v>
      </c>
      <c r="C19">
        <v>1652</v>
      </c>
      <c r="D19">
        <v>59765039</v>
      </c>
      <c r="E19">
        <v>187854318720</v>
      </c>
      <c r="F19">
        <v>3140</v>
      </c>
      <c r="G19">
        <v>3200</v>
      </c>
      <c r="H19">
        <v>3100</v>
      </c>
      <c r="I19">
        <v>-40</v>
      </c>
      <c r="J19">
        <v>-1.27</v>
      </c>
      <c r="K19">
        <v>3140</v>
      </c>
      <c r="L19">
        <v>0</v>
      </c>
      <c r="M19">
        <v>0</v>
      </c>
      <c r="N19">
        <v>3090</v>
      </c>
      <c r="O19">
        <v>3200</v>
      </c>
      <c r="P19">
        <v>315</v>
      </c>
      <c r="Q19">
        <v>9.9700000000000006</v>
      </c>
      <c r="R19">
        <v>4</v>
      </c>
      <c r="S19">
        <v>35878</v>
      </c>
      <c r="T19">
        <v>3090</v>
      </c>
      <c r="U19">
        <v>3100</v>
      </c>
      <c r="V19">
        <v>560000</v>
      </c>
      <c r="W19">
        <v>2</v>
      </c>
      <c r="X19" s="367"/>
      <c r="AH19" s="135"/>
      <c r="DB19" s="993"/>
      <c r="DF19" s="832"/>
      <c r="DG19" s="832"/>
    </row>
    <row r="20" spans="1:111">
      <c r="A20" t="s">
        <v>1833</v>
      </c>
      <c r="B20" t="s">
        <v>1831</v>
      </c>
      <c r="C20">
        <v>2</v>
      </c>
      <c r="D20">
        <v>1706</v>
      </c>
      <c r="E20">
        <v>12931480</v>
      </c>
      <c r="F20">
        <v>7360</v>
      </c>
      <c r="G20">
        <v>7580</v>
      </c>
      <c r="H20">
        <v>7580</v>
      </c>
      <c r="I20">
        <v>220</v>
      </c>
      <c r="J20">
        <v>2.99</v>
      </c>
      <c r="K20">
        <v>7580</v>
      </c>
      <c r="L20">
        <v>220</v>
      </c>
      <c r="M20">
        <v>2.99</v>
      </c>
      <c r="N20">
        <v>7580</v>
      </c>
      <c r="O20">
        <v>7580</v>
      </c>
      <c r="P20">
        <v>825</v>
      </c>
      <c r="Q20">
        <v>9.19</v>
      </c>
      <c r="R20">
        <v>1</v>
      </c>
      <c r="S20">
        <v>5294</v>
      </c>
      <c r="T20">
        <v>7580</v>
      </c>
      <c r="U20">
        <v>0</v>
      </c>
      <c r="V20">
        <v>0</v>
      </c>
      <c r="W20">
        <v>0</v>
      </c>
      <c r="X20" s="367"/>
      <c r="AH20" s="135"/>
      <c r="BC20">
        <v>135</v>
      </c>
      <c r="BE20">
        <v>198</v>
      </c>
      <c r="DB20" s="993"/>
      <c r="DF20" s="832"/>
      <c r="DG20" s="832"/>
    </row>
    <row r="21" spans="1:111">
      <c r="A21" t="s">
        <v>2673</v>
      </c>
      <c r="B21" t="s">
        <v>2672</v>
      </c>
      <c r="C21">
        <v>742</v>
      </c>
      <c r="D21">
        <v>2562406</v>
      </c>
      <c r="E21">
        <v>91149843970</v>
      </c>
      <c r="F21">
        <v>34600</v>
      </c>
      <c r="G21">
        <v>35630</v>
      </c>
      <c r="H21">
        <v>35630</v>
      </c>
      <c r="I21">
        <v>1030</v>
      </c>
      <c r="J21">
        <v>2.98</v>
      </c>
      <c r="K21">
        <v>35570</v>
      </c>
      <c r="L21">
        <v>970</v>
      </c>
      <c r="M21">
        <v>2.8</v>
      </c>
      <c r="N21">
        <v>34700</v>
      </c>
      <c r="O21">
        <v>35630</v>
      </c>
      <c r="P21">
        <v>1583</v>
      </c>
      <c r="Q21">
        <v>22.47</v>
      </c>
      <c r="R21">
        <v>14</v>
      </c>
      <c r="S21">
        <v>75954</v>
      </c>
      <c r="T21">
        <v>35630</v>
      </c>
      <c r="U21">
        <v>0</v>
      </c>
      <c r="V21">
        <v>0</v>
      </c>
      <c r="W21">
        <v>0</v>
      </c>
      <c r="X21" s="367"/>
      <c r="AH21" s="135"/>
      <c r="DB21" s="993"/>
      <c r="DF21" s="832"/>
      <c r="DG21" s="832"/>
    </row>
    <row r="22" spans="1:111">
      <c r="A22" t="s">
        <v>5822</v>
      </c>
      <c r="B22" t="s">
        <v>5823</v>
      </c>
      <c r="C22">
        <v>0</v>
      </c>
      <c r="D22">
        <v>0</v>
      </c>
      <c r="E22">
        <v>0</v>
      </c>
      <c r="F22">
        <v>770000</v>
      </c>
      <c r="G22">
        <v>0</v>
      </c>
      <c r="H22">
        <v>770000</v>
      </c>
      <c r="I22">
        <v>0</v>
      </c>
      <c r="J22">
        <v>0</v>
      </c>
      <c r="K22">
        <v>770000</v>
      </c>
      <c r="L22">
        <v>0</v>
      </c>
      <c r="M22">
        <v>0</v>
      </c>
      <c r="N22">
        <v>0</v>
      </c>
      <c r="O22">
        <v>0</v>
      </c>
      <c r="P22" t="s">
        <v>192</v>
      </c>
      <c r="Q22" t="s">
        <v>192</v>
      </c>
      <c r="R22">
        <v>1</v>
      </c>
      <c r="S22">
        <v>4000</v>
      </c>
      <c r="T22">
        <v>770000</v>
      </c>
      <c r="U22">
        <v>777000</v>
      </c>
      <c r="V22">
        <v>63</v>
      </c>
      <c r="W22">
        <v>1</v>
      </c>
      <c r="X22" s="367"/>
      <c r="DB22" s="993"/>
      <c r="DF22" s="832"/>
      <c r="DG22" s="832"/>
    </row>
    <row r="23" spans="1:111">
      <c r="A23" t="s">
        <v>5824</v>
      </c>
      <c r="B23" t="s">
        <v>5825</v>
      </c>
      <c r="C23">
        <v>106</v>
      </c>
      <c r="D23">
        <v>4357384</v>
      </c>
      <c r="E23">
        <v>72724738960</v>
      </c>
      <c r="F23">
        <v>16500</v>
      </c>
      <c r="G23">
        <v>16690</v>
      </c>
      <c r="H23">
        <v>16690</v>
      </c>
      <c r="I23">
        <v>190</v>
      </c>
      <c r="J23">
        <v>1.1499999999999999</v>
      </c>
      <c r="K23">
        <v>16690</v>
      </c>
      <c r="L23">
        <v>190</v>
      </c>
      <c r="M23">
        <v>1.1499999999999999</v>
      </c>
      <c r="N23">
        <v>16690</v>
      </c>
      <c r="O23">
        <v>16690</v>
      </c>
      <c r="P23">
        <v>-1549</v>
      </c>
      <c r="Q23">
        <v>-10.77</v>
      </c>
      <c r="R23">
        <v>147</v>
      </c>
      <c r="S23">
        <v>9269243</v>
      </c>
      <c r="T23">
        <v>16690</v>
      </c>
      <c r="U23">
        <v>0</v>
      </c>
      <c r="V23">
        <v>0</v>
      </c>
      <c r="W23" s="269">
        <v>0</v>
      </c>
      <c r="X23" s="369"/>
      <c r="Y23" s="269"/>
      <c r="Z23" s="269"/>
      <c r="AA23" s="269"/>
      <c r="AB23" s="269"/>
      <c r="AC23" s="269"/>
      <c r="DB23" s="993"/>
      <c r="DF23" s="832"/>
      <c r="DG23" s="832"/>
    </row>
    <row r="24" spans="1:111">
      <c r="A24" t="s">
        <v>2021</v>
      </c>
      <c r="B24" t="s">
        <v>2020</v>
      </c>
      <c r="C24">
        <v>80</v>
      </c>
      <c r="D24">
        <v>6994501</v>
      </c>
      <c r="E24">
        <v>20920552491</v>
      </c>
      <c r="F24">
        <v>2904</v>
      </c>
      <c r="G24">
        <v>2991</v>
      </c>
      <c r="H24">
        <v>2991</v>
      </c>
      <c r="I24">
        <v>87</v>
      </c>
      <c r="J24">
        <v>3</v>
      </c>
      <c r="K24">
        <v>2991</v>
      </c>
      <c r="L24">
        <v>87</v>
      </c>
      <c r="M24">
        <v>3</v>
      </c>
      <c r="N24">
        <v>2991</v>
      </c>
      <c r="O24">
        <v>2991</v>
      </c>
      <c r="P24">
        <v>544</v>
      </c>
      <c r="Q24">
        <v>5.5</v>
      </c>
      <c r="R24">
        <v>258</v>
      </c>
      <c r="S24">
        <v>167242315</v>
      </c>
      <c r="T24">
        <v>2991</v>
      </c>
      <c r="U24">
        <v>0</v>
      </c>
      <c r="V24">
        <v>0</v>
      </c>
      <c r="W24">
        <v>0</v>
      </c>
      <c r="X24" s="367"/>
      <c r="DB24" s="993"/>
      <c r="DF24" s="832"/>
      <c r="DG24" s="832"/>
    </row>
    <row r="25" spans="1:111">
      <c r="A25" t="s">
        <v>5826</v>
      </c>
      <c r="B25" t="s">
        <v>5827</v>
      </c>
      <c r="C25">
        <v>466</v>
      </c>
      <c r="D25">
        <v>12578752</v>
      </c>
      <c r="E25">
        <v>202857533504</v>
      </c>
      <c r="F25">
        <v>15658</v>
      </c>
      <c r="G25">
        <v>16127</v>
      </c>
      <c r="H25">
        <v>16127</v>
      </c>
      <c r="I25">
        <v>469</v>
      </c>
      <c r="J25">
        <v>3</v>
      </c>
      <c r="K25">
        <v>16127</v>
      </c>
      <c r="L25">
        <v>469</v>
      </c>
      <c r="M25">
        <v>3</v>
      </c>
      <c r="N25">
        <v>16127</v>
      </c>
      <c r="O25">
        <v>16127</v>
      </c>
      <c r="P25" t="s">
        <v>192</v>
      </c>
      <c r="Q25" t="s">
        <v>192</v>
      </c>
      <c r="R25">
        <v>820</v>
      </c>
      <c r="S25">
        <v>14929016</v>
      </c>
      <c r="T25">
        <v>16127</v>
      </c>
      <c r="U25" s="206">
        <v>0</v>
      </c>
      <c r="V25">
        <v>0</v>
      </c>
      <c r="W25">
        <v>0</v>
      </c>
      <c r="X25" s="367"/>
      <c r="DB25" s="993"/>
      <c r="DF25" s="832"/>
      <c r="DG25" s="832"/>
    </row>
    <row r="26" spans="1:111">
      <c r="A26" t="s">
        <v>7694</v>
      </c>
      <c r="B26" t="s">
        <v>3186</v>
      </c>
      <c r="C26">
        <v>1</v>
      </c>
      <c r="D26">
        <v>55671236</v>
      </c>
      <c r="E26">
        <v>960161807292</v>
      </c>
      <c r="F26">
        <v>17208</v>
      </c>
      <c r="G26">
        <v>17247</v>
      </c>
      <c r="H26">
        <v>17247</v>
      </c>
      <c r="I26">
        <v>39</v>
      </c>
      <c r="J26">
        <v>0.23</v>
      </c>
      <c r="K26">
        <v>17247</v>
      </c>
      <c r="L26">
        <v>39</v>
      </c>
      <c r="M26">
        <v>0.23</v>
      </c>
      <c r="N26">
        <v>17247</v>
      </c>
      <c r="O26">
        <v>17247</v>
      </c>
      <c r="P26" t="s">
        <v>192</v>
      </c>
      <c r="Q26" t="s">
        <v>192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367"/>
      <c r="BQ26">
        <v>795</v>
      </c>
      <c r="BR26">
        <v>82</v>
      </c>
      <c r="DB26" s="993"/>
      <c r="DF26" s="832"/>
      <c r="DG26" s="832"/>
    </row>
    <row r="27" spans="1:111">
      <c r="A27" t="s">
        <v>5828</v>
      </c>
      <c r="B27" t="s">
        <v>5829</v>
      </c>
      <c r="C27">
        <v>86</v>
      </c>
      <c r="D27">
        <v>3534607</v>
      </c>
      <c r="E27">
        <v>223899680415</v>
      </c>
      <c r="F27">
        <v>61500</v>
      </c>
      <c r="G27">
        <v>63345</v>
      </c>
      <c r="H27">
        <v>63345</v>
      </c>
      <c r="I27">
        <v>1845</v>
      </c>
      <c r="J27">
        <v>3</v>
      </c>
      <c r="K27">
        <v>63345</v>
      </c>
      <c r="L27">
        <v>1845</v>
      </c>
      <c r="M27">
        <v>3</v>
      </c>
      <c r="N27">
        <v>63345</v>
      </c>
      <c r="O27">
        <v>63345</v>
      </c>
      <c r="P27" t="s">
        <v>192</v>
      </c>
      <c r="Q27" t="s">
        <v>192</v>
      </c>
      <c r="R27">
        <v>70</v>
      </c>
      <c r="S27">
        <v>1876077</v>
      </c>
      <c r="T27">
        <v>63345</v>
      </c>
      <c r="U27">
        <v>0</v>
      </c>
      <c r="V27">
        <v>0</v>
      </c>
      <c r="W27">
        <v>0</v>
      </c>
      <c r="X27" s="367"/>
      <c r="DB27" s="993"/>
      <c r="DF27" s="832"/>
      <c r="DG27" s="832"/>
    </row>
    <row r="28" spans="1:111">
      <c r="A28" t="s">
        <v>2210</v>
      </c>
      <c r="B28" t="s">
        <v>2209</v>
      </c>
      <c r="C28">
        <v>131</v>
      </c>
      <c r="D28">
        <v>3831442</v>
      </c>
      <c r="E28">
        <v>94751560660</v>
      </c>
      <c r="F28">
        <v>24010</v>
      </c>
      <c r="G28">
        <v>24730</v>
      </c>
      <c r="H28">
        <v>24730</v>
      </c>
      <c r="I28">
        <v>720</v>
      </c>
      <c r="J28">
        <v>3</v>
      </c>
      <c r="K28">
        <v>24730</v>
      </c>
      <c r="L28">
        <v>720</v>
      </c>
      <c r="M28">
        <v>3</v>
      </c>
      <c r="N28">
        <v>24730</v>
      </c>
      <c r="O28">
        <v>24730</v>
      </c>
      <c r="P28">
        <v>2845</v>
      </c>
      <c r="Q28">
        <v>8.69</v>
      </c>
      <c r="R28">
        <v>135</v>
      </c>
      <c r="S28">
        <v>5138798</v>
      </c>
      <c r="T28">
        <v>24730</v>
      </c>
      <c r="U28">
        <v>0</v>
      </c>
      <c r="V28">
        <v>0</v>
      </c>
      <c r="W28">
        <v>0</v>
      </c>
      <c r="X28" s="367"/>
      <c r="DB28" s="993"/>
      <c r="DF28" s="832"/>
      <c r="DG28" s="832"/>
    </row>
    <row r="29" spans="1:111">
      <c r="A29" t="s">
        <v>5830</v>
      </c>
      <c r="B29" t="s">
        <v>5831</v>
      </c>
      <c r="C29">
        <v>639</v>
      </c>
      <c r="D29">
        <v>37610444</v>
      </c>
      <c r="E29">
        <v>798432115676</v>
      </c>
      <c r="F29">
        <v>20611</v>
      </c>
      <c r="G29">
        <v>21229</v>
      </c>
      <c r="H29">
        <v>21229</v>
      </c>
      <c r="I29">
        <v>618</v>
      </c>
      <c r="J29">
        <v>3</v>
      </c>
      <c r="K29">
        <v>21229</v>
      </c>
      <c r="L29">
        <v>618</v>
      </c>
      <c r="M29">
        <v>3</v>
      </c>
      <c r="N29">
        <v>21229</v>
      </c>
      <c r="O29">
        <v>21229</v>
      </c>
      <c r="P29" t="s">
        <v>192</v>
      </c>
      <c r="Q29" t="s">
        <v>192</v>
      </c>
      <c r="R29">
        <v>18</v>
      </c>
      <c r="S29">
        <v>3247891</v>
      </c>
      <c r="T29">
        <v>21229</v>
      </c>
      <c r="U29">
        <v>0</v>
      </c>
      <c r="V29">
        <v>0</v>
      </c>
      <c r="W29" s="270">
        <v>0</v>
      </c>
      <c r="X29" s="368"/>
      <c r="Y29" s="270"/>
      <c r="Z29" s="270"/>
      <c r="AA29" s="270"/>
      <c r="AB29" s="270"/>
      <c r="AC29" s="270"/>
      <c r="DB29" s="993"/>
      <c r="DF29" s="832"/>
      <c r="DG29" s="832"/>
    </row>
    <row r="30" spans="1:111">
      <c r="A30" t="s">
        <v>5832</v>
      </c>
      <c r="B30" t="s">
        <v>5833</v>
      </c>
      <c r="C30">
        <v>4325</v>
      </c>
      <c r="D30">
        <v>134093370</v>
      </c>
      <c r="E30">
        <v>11757503688983</v>
      </c>
      <c r="F30">
        <v>87502</v>
      </c>
      <c r="G30">
        <v>87681</v>
      </c>
      <c r="H30">
        <v>87682</v>
      </c>
      <c r="I30">
        <v>180</v>
      </c>
      <c r="J30">
        <v>0.21</v>
      </c>
      <c r="K30">
        <v>87681</v>
      </c>
      <c r="L30">
        <v>179</v>
      </c>
      <c r="M30">
        <v>0.2</v>
      </c>
      <c r="N30">
        <v>87681</v>
      </c>
      <c r="O30">
        <v>87682</v>
      </c>
      <c r="P30" t="s">
        <v>192</v>
      </c>
      <c r="Q30" t="s">
        <v>192</v>
      </c>
      <c r="R30">
        <v>37</v>
      </c>
      <c r="S30">
        <v>304170919</v>
      </c>
      <c r="T30">
        <v>87681</v>
      </c>
      <c r="U30" s="375">
        <v>87682</v>
      </c>
      <c r="V30">
        <v>23295536</v>
      </c>
      <c r="W30">
        <v>2</v>
      </c>
      <c r="X30" s="367"/>
      <c r="DB30" s="993"/>
      <c r="DF30" s="832"/>
      <c r="DG30" s="832"/>
    </row>
    <row r="31" spans="1:111">
      <c r="A31" t="s">
        <v>2599</v>
      </c>
      <c r="B31" t="s">
        <v>2598</v>
      </c>
      <c r="C31">
        <v>129</v>
      </c>
      <c r="D31">
        <v>13285689</v>
      </c>
      <c r="E31">
        <v>53541326670</v>
      </c>
      <c r="F31">
        <v>3920</v>
      </c>
      <c r="G31">
        <v>4030</v>
      </c>
      <c r="H31">
        <v>4030</v>
      </c>
      <c r="I31">
        <v>110</v>
      </c>
      <c r="J31">
        <v>2.81</v>
      </c>
      <c r="K31">
        <v>4030</v>
      </c>
      <c r="L31">
        <v>110</v>
      </c>
      <c r="M31">
        <v>2.81</v>
      </c>
      <c r="N31">
        <v>4030</v>
      </c>
      <c r="O31">
        <v>4030</v>
      </c>
      <c r="P31">
        <v>817</v>
      </c>
      <c r="Q31">
        <v>4.93</v>
      </c>
      <c r="R31">
        <v>227</v>
      </c>
      <c r="S31">
        <v>44191124</v>
      </c>
      <c r="T31">
        <v>4030</v>
      </c>
      <c r="U31">
        <v>0</v>
      </c>
      <c r="V31">
        <v>0</v>
      </c>
      <c r="W31">
        <v>0</v>
      </c>
      <c r="X31" s="367"/>
      <c r="DB31" s="993"/>
      <c r="DF31" s="832"/>
      <c r="DG31" s="832"/>
    </row>
    <row r="32" spans="1:111">
      <c r="A32" t="s">
        <v>8442</v>
      </c>
      <c r="B32" t="s">
        <v>8443</v>
      </c>
      <c r="C32">
        <v>87</v>
      </c>
      <c r="D32">
        <v>6935019</v>
      </c>
      <c r="E32">
        <v>13703597544</v>
      </c>
      <c r="F32">
        <v>1919</v>
      </c>
      <c r="G32">
        <v>1976</v>
      </c>
      <c r="H32">
        <v>1976</v>
      </c>
      <c r="I32">
        <v>57</v>
      </c>
      <c r="J32">
        <v>2.97</v>
      </c>
      <c r="K32">
        <v>1976</v>
      </c>
      <c r="L32">
        <v>57</v>
      </c>
      <c r="M32">
        <v>2.97</v>
      </c>
      <c r="N32">
        <v>1976</v>
      </c>
      <c r="O32">
        <v>1976</v>
      </c>
      <c r="P32">
        <v>186</v>
      </c>
      <c r="Q32">
        <v>10.62</v>
      </c>
      <c r="R32">
        <v>109</v>
      </c>
      <c r="S32">
        <v>13214606</v>
      </c>
      <c r="T32">
        <v>1976</v>
      </c>
      <c r="U32">
        <v>0</v>
      </c>
      <c r="V32">
        <v>0</v>
      </c>
      <c r="W32">
        <v>0</v>
      </c>
      <c r="X32" s="367"/>
      <c r="DB32" s="993"/>
      <c r="DF32" s="832"/>
      <c r="DG32" s="832"/>
    </row>
    <row r="33" spans="1:111">
      <c r="A33" t="s">
        <v>5834</v>
      </c>
      <c r="B33" t="s">
        <v>5835</v>
      </c>
      <c r="C33">
        <v>13</v>
      </c>
      <c r="D33">
        <v>6360845</v>
      </c>
      <c r="E33">
        <v>75872155560</v>
      </c>
      <c r="F33">
        <v>11925</v>
      </c>
      <c r="G33">
        <v>11928</v>
      </c>
      <c r="H33">
        <v>11928</v>
      </c>
      <c r="I33">
        <v>3</v>
      </c>
      <c r="J33">
        <v>0.03</v>
      </c>
      <c r="K33">
        <v>11928</v>
      </c>
      <c r="L33">
        <v>3</v>
      </c>
      <c r="M33">
        <v>0.03</v>
      </c>
      <c r="N33">
        <v>11927</v>
      </c>
      <c r="O33">
        <v>11928</v>
      </c>
      <c r="P33" t="s">
        <v>192</v>
      </c>
      <c r="Q33" t="s">
        <v>192</v>
      </c>
      <c r="R33">
        <v>5</v>
      </c>
      <c r="S33">
        <v>49996400</v>
      </c>
      <c r="T33">
        <v>11927</v>
      </c>
      <c r="U33">
        <v>11928</v>
      </c>
      <c r="V33">
        <v>3642755</v>
      </c>
      <c r="W33">
        <v>1</v>
      </c>
      <c r="X33" s="367"/>
      <c r="BI33">
        <v>608</v>
      </c>
      <c r="DB33" s="993"/>
      <c r="DF33" s="832"/>
      <c r="DG33" s="832"/>
    </row>
    <row r="34" spans="1:111">
      <c r="A34" t="s">
        <v>5836</v>
      </c>
      <c r="B34" t="s">
        <v>5837</v>
      </c>
      <c r="C34">
        <v>155</v>
      </c>
      <c r="D34">
        <v>332156</v>
      </c>
      <c r="E34">
        <v>11748488799</v>
      </c>
      <c r="F34">
        <v>34500</v>
      </c>
      <c r="G34">
        <v>34898</v>
      </c>
      <c r="H34">
        <v>35532</v>
      </c>
      <c r="I34">
        <v>1032</v>
      </c>
      <c r="J34">
        <v>2.99</v>
      </c>
      <c r="K34">
        <v>35370</v>
      </c>
      <c r="L34">
        <v>870</v>
      </c>
      <c r="M34">
        <v>2.52</v>
      </c>
      <c r="N34">
        <v>34898</v>
      </c>
      <c r="O34">
        <v>35532</v>
      </c>
      <c r="P34" t="s">
        <v>192</v>
      </c>
      <c r="Q34" t="s">
        <v>192</v>
      </c>
      <c r="R34">
        <v>1</v>
      </c>
      <c r="S34">
        <v>100</v>
      </c>
      <c r="T34">
        <v>35515</v>
      </c>
      <c r="U34">
        <v>35532</v>
      </c>
      <c r="V34">
        <v>12457</v>
      </c>
      <c r="W34">
        <v>1</v>
      </c>
      <c r="X34" s="367"/>
      <c r="AJ34">
        <v>6</v>
      </c>
    </row>
    <row r="35" spans="1:111">
      <c r="A35" t="s">
        <v>5838</v>
      </c>
      <c r="B35" t="s">
        <v>4001</v>
      </c>
      <c r="C35">
        <v>72</v>
      </c>
      <c r="D35">
        <v>3315633</v>
      </c>
      <c r="E35">
        <v>62321361336</v>
      </c>
      <c r="F35">
        <v>18769</v>
      </c>
      <c r="G35">
        <v>18796</v>
      </c>
      <c r="H35">
        <v>18797</v>
      </c>
      <c r="I35">
        <v>28</v>
      </c>
      <c r="J35">
        <v>0.15</v>
      </c>
      <c r="K35">
        <v>18796</v>
      </c>
      <c r="L35">
        <v>27</v>
      </c>
      <c r="M35">
        <v>0.14000000000000001</v>
      </c>
      <c r="N35">
        <v>18796</v>
      </c>
      <c r="O35">
        <v>18797</v>
      </c>
      <c r="P35" t="s">
        <v>192</v>
      </c>
      <c r="Q35" t="s">
        <v>192</v>
      </c>
      <c r="R35">
        <v>5</v>
      </c>
      <c r="S35">
        <v>37477558</v>
      </c>
      <c r="T35">
        <v>18796</v>
      </c>
      <c r="U35">
        <v>18797</v>
      </c>
      <c r="V35">
        <v>19564480</v>
      </c>
      <c r="W35">
        <v>1</v>
      </c>
      <c r="X35" s="367"/>
    </row>
    <row r="36" spans="1:111">
      <c r="A36" t="s">
        <v>5839</v>
      </c>
      <c r="B36" t="s">
        <v>5840</v>
      </c>
      <c r="C36">
        <v>0</v>
      </c>
      <c r="D36">
        <v>0</v>
      </c>
      <c r="E36">
        <v>0</v>
      </c>
      <c r="F36">
        <v>902500</v>
      </c>
      <c r="G36">
        <v>0</v>
      </c>
      <c r="H36">
        <v>902500</v>
      </c>
      <c r="I36">
        <v>0</v>
      </c>
      <c r="J36">
        <v>0</v>
      </c>
      <c r="K36">
        <v>902500</v>
      </c>
      <c r="L36">
        <v>0</v>
      </c>
      <c r="M36">
        <v>0</v>
      </c>
      <c r="N36">
        <v>0</v>
      </c>
      <c r="O36">
        <v>0</v>
      </c>
      <c r="P36" t="s">
        <v>192</v>
      </c>
      <c r="Q36" t="s">
        <v>192</v>
      </c>
      <c r="R36">
        <v>1</v>
      </c>
      <c r="S36">
        <v>5000</v>
      </c>
      <c r="T36">
        <v>902500</v>
      </c>
      <c r="U36">
        <v>911500</v>
      </c>
      <c r="V36">
        <v>5000</v>
      </c>
      <c r="W36">
        <v>1</v>
      </c>
      <c r="X36" s="367"/>
    </row>
    <row r="37" spans="1:111">
      <c r="A37" t="s">
        <v>2768</v>
      </c>
      <c r="B37" t="s">
        <v>2767</v>
      </c>
      <c r="C37">
        <v>1570</v>
      </c>
      <c r="D37">
        <v>60542663</v>
      </c>
      <c r="E37">
        <v>400696551990</v>
      </c>
      <c r="F37">
        <v>6450</v>
      </c>
      <c r="G37">
        <v>6620</v>
      </c>
      <c r="H37">
        <v>6640</v>
      </c>
      <c r="I37">
        <v>190</v>
      </c>
      <c r="J37">
        <v>2.95</v>
      </c>
      <c r="K37">
        <v>6620</v>
      </c>
      <c r="L37">
        <v>170</v>
      </c>
      <c r="M37">
        <v>2.64</v>
      </c>
      <c r="N37">
        <v>6540</v>
      </c>
      <c r="O37">
        <v>6640</v>
      </c>
      <c r="P37">
        <v>1043</v>
      </c>
      <c r="Q37">
        <v>6.35</v>
      </c>
      <c r="R37">
        <v>128</v>
      </c>
      <c r="S37">
        <v>6495663</v>
      </c>
      <c r="T37">
        <v>6640</v>
      </c>
      <c r="U37">
        <v>7120</v>
      </c>
      <c r="V37">
        <v>5223</v>
      </c>
      <c r="W37">
        <v>2</v>
      </c>
      <c r="X37" s="367"/>
    </row>
    <row r="38" spans="1:111">
      <c r="A38" t="s">
        <v>3062</v>
      </c>
      <c r="B38" t="s">
        <v>3061</v>
      </c>
      <c r="C38">
        <v>289</v>
      </c>
      <c r="D38">
        <v>12346953</v>
      </c>
      <c r="E38">
        <v>36670450410</v>
      </c>
      <c r="F38">
        <v>2884</v>
      </c>
      <c r="G38">
        <v>2970</v>
      </c>
      <c r="H38">
        <v>2970</v>
      </c>
      <c r="I38">
        <v>86</v>
      </c>
      <c r="J38">
        <v>2.98</v>
      </c>
      <c r="K38">
        <v>2970</v>
      </c>
      <c r="L38">
        <v>86</v>
      </c>
      <c r="M38">
        <v>2.98</v>
      </c>
      <c r="N38">
        <v>2970</v>
      </c>
      <c r="O38">
        <v>2970</v>
      </c>
      <c r="P38">
        <v>266</v>
      </c>
      <c r="Q38">
        <v>11.17</v>
      </c>
      <c r="R38">
        <v>50</v>
      </c>
      <c r="S38">
        <v>16736477</v>
      </c>
      <c r="T38">
        <v>2970</v>
      </c>
      <c r="U38">
        <v>0</v>
      </c>
      <c r="V38">
        <v>0</v>
      </c>
      <c r="W38">
        <v>0</v>
      </c>
      <c r="X38" s="367"/>
    </row>
    <row r="39" spans="1:111">
      <c r="A39" t="s">
        <v>3073</v>
      </c>
      <c r="B39" t="s">
        <v>3072</v>
      </c>
      <c r="C39">
        <v>320</v>
      </c>
      <c r="D39">
        <v>76526735</v>
      </c>
      <c r="E39">
        <v>190929782198</v>
      </c>
      <c r="F39">
        <v>2423</v>
      </c>
      <c r="G39">
        <v>2495</v>
      </c>
      <c r="H39">
        <v>2495</v>
      </c>
      <c r="I39">
        <v>72</v>
      </c>
      <c r="J39">
        <v>2.97</v>
      </c>
      <c r="K39">
        <v>2495</v>
      </c>
      <c r="L39">
        <v>72</v>
      </c>
      <c r="M39">
        <v>2.97</v>
      </c>
      <c r="N39">
        <v>2493</v>
      </c>
      <c r="O39">
        <v>2495</v>
      </c>
      <c r="P39">
        <v>314</v>
      </c>
      <c r="Q39">
        <v>7.95</v>
      </c>
      <c r="R39">
        <v>2</v>
      </c>
      <c r="S39">
        <v>82168</v>
      </c>
      <c r="T39">
        <v>2425</v>
      </c>
      <c r="U39">
        <v>0</v>
      </c>
      <c r="V39">
        <v>0</v>
      </c>
      <c r="W39">
        <v>0</v>
      </c>
      <c r="X39" s="367"/>
    </row>
    <row r="40" spans="1:111">
      <c r="A40" t="s">
        <v>956</v>
      </c>
      <c r="B40" t="s">
        <v>2310</v>
      </c>
      <c r="C40">
        <v>145</v>
      </c>
      <c r="D40">
        <v>2699848</v>
      </c>
      <c r="E40">
        <v>67577195440</v>
      </c>
      <c r="F40">
        <v>24310</v>
      </c>
      <c r="G40">
        <v>25030</v>
      </c>
      <c r="H40">
        <v>25030</v>
      </c>
      <c r="I40">
        <v>720</v>
      </c>
      <c r="J40">
        <v>2.96</v>
      </c>
      <c r="K40">
        <v>25030</v>
      </c>
      <c r="L40">
        <v>720</v>
      </c>
      <c r="M40">
        <v>2.96</v>
      </c>
      <c r="N40">
        <v>25030</v>
      </c>
      <c r="O40">
        <v>25030</v>
      </c>
      <c r="P40">
        <v>2895</v>
      </c>
      <c r="Q40">
        <v>8.65</v>
      </c>
      <c r="R40">
        <v>207</v>
      </c>
      <c r="S40">
        <v>5403458</v>
      </c>
      <c r="T40">
        <v>25030</v>
      </c>
      <c r="U40">
        <v>0</v>
      </c>
      <c r="V40">
        <v>0</v>
      </c>
      <c r="W40">
        <v>0</v>
      </c>
      <c r="X40" s="367"/>
      <c r="AC40">
        <v>5543516</v>
      </c>
      <c r="BH40" s="206">
        <v>151</v>
      </c>
    </row>
    <row r="41" spans="1:111">
      <c r="A41" t="s">
        <v>8267</v>
      </c>
      <c r="B41" t="s">
        <v>8268</v>
      </c>
      <c r="C41">
        <v>1</v>
      </c>
      <c r="D41">
        <v>300</v>
      </c>
      <c r="E41">
        <v>329700</v>
      </c>
      <c r="F41">
        <v>1067</v>
      </c>
      <c r="G41">
        <v>1099</v>
      </c>
      <c r="H41">
        <v>1099</v>
      </c>
      <c r="I41">
        <v>32</v>
      </c>
      <c r="J41">
        <v>3</v>
      </c>
      <c r="K41">
        <v>1099</v>
      </c>
      <c r="L41">
        <v>32</v>
      </c>
      <c r="M41">
        <v>3</v>
      </c>
      <c r="N41">
        <v>1099</v>
      </c>
      <c r="O41">
        <v>1099</v>
      </c>
      <c r="P41" t="s">
        <v>192</v>
      </c>
      <c r="Q41" t="s">
        <v>192</v>
      </c>
      <c r="R41">
        <v>37</v>
      </c>
      <c r="S41">
        <v>12664578</v>
      </c>
      <c r="T41">
        <v>1099</v>
      </c>
      <c r="U41">
        <v>0</v>
      </c>
      <c r="V41">
        <v>0</v>
      </c>
      <c r="W41">
        <v>0</v>
      </c>
      <c r="X41" s="367"/>
      <c r="BC41" s="206">
        <v>39</v>
      </c>
      <c r="BH41" s="206">
        <v>443</v>
      </c>
    </row>
    <row r="42" spans="1:111">
      <c r="A42" t="s">
        <v>2680</v>
      </c>
      <c r="B42" t="s">
        <v>2678</v>
      </c>
      <c r="C42">
        <v>18</v>
      </c>
      <c r="D42">
        <v>704100</v>
      </c>
      <c r="E42">
        <v>5055438000</v>
      </c>
      <c r="F42">
        <v>6980</v>
      </c>
      <c r="G42">
        <v>7180</v>
      </c>
      <c r="H42">
        <v>7180</v>
      </c>
      <c r="I42">
        <v>200</v>
      </c>
      <c r="J42">
        <v>2.87</v>
      </c>
      <c r="K42">
        <v>7180</v>
      </c>
      <c r="L42">
        <v>200</v>
      </c>
      <c r="M42">
        <v>2.87</v>
      </c>
      <c r="N42">
        <v>7180</v>
      </c>
      <c r="O42">
        <v>7180</v>
      </c>
      <c r="P42">
        <v>966</v>
      </c>
      <c r="Q42">
        <v>7.43</v>
      </c>
      <c r="R42">
        <v>20</v>
      </c>
      <c r="S42">
        <v>163371</v>
      </c>
      <c r="T42">
        <v>7180</v>
      </c>
      <c r="U42">
        <v>0</v>
      </c>
      <c r="V42">
        <v>0</v>
      </c>
      <c r="W42">
        <v>0</v>
      </c>
      <c r="X42" s="367"/>
    </row>
    <row r="43" spans="1:111">
      <c r="A43" t="s">
        <v>5841</v>
      </c>
      <c r="B43" t="s">
        <v>5842</v>
      </c>
      <c r="C43">
        <v>40</v>
      </c>
      <c r="D43">
        <v>393482</v>
      </c>
      <c r="E43">
        <v>13951826209</v>
      </c>
      <c r="F43">
        <v>34890</v>
      </c>
      <c r="G43">
        <v>35366</v>
      </c>
      <c r="H43">
        <v>35527</v>
      </c>
      <c r="I43">
        <v>637</v>
      </c>
      <c r="J43">
        <v>1.83</v>
      </c>
      <c r="K43">
        <v>35457</v>
      </c>
      <c r="L43">
        <v>567</v>
      </c>
      <c r="M43">
        <v>1.63</v>
      </c>
      <c r="N43">
        <v>35366</v>
      </c>
      <c r="O43">
        <v>35921</v>
      </c>
      <c r="P43" t="s">
        <v>192</v>
      </c>
      <c r="Q43" t="s">
        <v>192</v>
      </c>
      <c r="R43">
        <v>1</v>
      </c>
      <c r="S43">
        <v>200</v>
      </c>
      <c r="T43">
        <v>35524</v>
      </c>
      <c r="U43">
        <v>35899</v>
      </c>
      <c r="V43">
        <v>12</v>
      </c>
      <c r="W43">
        <v>1</v>
      </c>
      <c r="X43" s="367"/>
      <c r="BL43">
        <v>39550</v>
      </c>
    </row>
    <row r="44" spans="1:111">
      <c r="A44" t="s">
        <v>5843</v>
      </c>
      <c r="B44" t="s">
        <v>5844</v>
      </c>
      <c r="C44">
        <v>56</v>
      </c>
      <c r="D44">
        <v>611165</v>
      </c>
      <c r="E44">
        <v>20278454700</v>
      </c>
      <c r="F44">
        <v>32220</v>
      </c>
      <c r="G44">
        <v>33180</v>
      </c>
      <c r="H44">
        <v>33180</v>
      </c>
      <c r="I44">
        <v>960</v>
      </c>
      <c r="J44">
        <v>2.98</v>
      </c>
      <c r="K44">
        <v>33180</v>
      </c>
      <c r="L44">
        <v>960</v>
      </c>
      <c r="M44">
        <v>2.98</v>
      </c>
      <c r="N44">
        <v>33180</v>
      </c>
      <c r="O44">
        <v>33180</v>
      </c>
      <c r="P44">
        <v>4640</v>
      </c>
      <c r="Q44">
        <v>7.15</v>
      </c>
      <c r="R44">
        <v>116</v>
      </c>
      <c r="S44">
        <v>6031242</v>
      </c>
      <c r="T44">
        <v>33180</v>
      </c>
      <c r="U44">
        <v>0</v>
      </c>
      <c r="V44">
        <v>0</v>
      </c>
      <c r="W44">
        <v>0</v>
      </c>
      <c r="X44" s="367"/>
    </row>
    <row r="45" spans="1:111">
      <c r="A45" t="s">
        <v>5845</v>
      </c>
      <c r="B45" t="s">
        <v>5846</v>
      </c>
      <c r="C45">
        <v>1525</v>
      </c>
      <c r="D45">
        <v>28927416</v>
      </c>
      <c r="E45">
        <v>474570776644</v>
      </c>
      <c r="F45">
        <v>16509</v>
      </c>
      <c r="G45">
        <v>16439</v>
      </c>
      <c r="H45">
        <v>16413</v>
      </c>
      <c r="I45">
        <v>-96</v>
      </c>
      <c r="J45">
        <v>-0.57999999999999996</v>
      </c>
      <c r="K45">
        <v>16406</v>
      </c>
      <c r="L45">
        <v>-103</v>
      </c>
      <c r="M45">
        <v>-0.62</v>
      </c>
      <c r="N45">
        <v>16261</v>
      </c>
      <c r="O45">
        <v>16498</v>
      </c>
      <c r="P45" t="s">
        <v>192</v>
      </c>
      <c r="Q45" t="s">
        <v>192</v>
      </c>
      <c r="R45">
        <v>3</v>
      </c>
      <c r="S45">
        <v>1171</v>
      </c>
      <c r="T45">
        <v>16380</v>
      </c>
      <c r="U45">
        <v>16409</v>
      </c>
      <c r="V45">
        <v>100000</v>
      </c>
      <c r="W45">
        <v>1</v>
      </c>
      <c r="X45" s="367"/>
    </row>
    <row r="46" spans="1:111">
      <c r="A46" t="s">
        <v>5847</v>
      </c>
      <c r="B46" t="s">
        <v>5848</v>
      </c>
      <c r="C46">
        <v>0</v>
      </c>
      <c r="D46">
        <v>0</v>
      </c>
      <c r="E46">
        <v>0</v>
      </c>
      <c r="F46">
        <v>1000000</v>
      </c>
      <c r="G46">
        <v>0</v>
      </c>
      <c r="H46">
        <v>1000000</v>
      </c>
      <c r="I46">
        <v>0</v>
      </c>
      <c r="J46">
        <v>0</v>
      </c>
      <c r="K46">
        <v>1000000</v>
      </c>
      <c r="L46">
        <v>0</v>
      </c>
      <c r="M46">
        <v>0</v>
      </c>
      <c r="N46">
        <v>0</v>
      </c>
      <c r="O46">
        <v>0</v>
      </c>
      <c r="P46" t="s">
        <v>192</v>
      </c>
      <c r="Q46" t="s">
        <v>192</v>
      </c>
      <c r="R46">
        <v>1</v>
      </c>
      <c r="S46">
        <v>5000</v>
      </c>
      <c r="T46">
        <v>1000000</v>
      </c>
      <c r="U46">
        <v>0</v>
      </c>
      <c r="V46">
        <v>0</v>
      </c>
      <c r="W46">
        <v>0</v>
      </c>
      <c r="X46" s="367"/>
    </row>
    <row r="47" spans="1:111">
      <c r="A47" t="s">
        <v>5849</v>
      </c>
      <c r="B47" t="s">
        <v>5850</v>
      </c>
      <c r="C47">
        <v>2</v>
      </c>
      <c r="D47">
        <v>9</v>
      </c>
      <c r="E47">
        <v>10287792</v>
      </c>
      <c r="F47">
        <v>1178441</v>
      </c>
      <c r="G47">
        <v>1143088</v>
      </c>
      <c r="H47">
        <v>1143088</v>
      </c>
      <c r="I47">
        <v>-35353</v>
      </c>
      <c r="J47">
        <v>-3</v>
      </c>
      <c r="K47">
        <v>1143088</v>
      </c>
      <c r="L47">
        <v>-35353</v>
      </c>
      <c r="M47">
        <v>-3</v>
      </c>
      <c r="N47">
        <v>1143088</v>
      </c>
      <c r="O47">
        <v>1143088</v>
      </c>
      <c r="P47" t="s">
        <v>192</v>
      </c>
      <c r="Q47" t="s">
        <v>192</v>
      </c>
      <c r="R47">
        <v>0</v>
      </c>
      <c r="S47">
        <v>0</v>
      </c>
      <c r="T47">
        <v>0</v>
      </c>
      <c r="U47">
        <v>1143088</v>
      </c>
      <c r="V47">
        <v>880</v>
      </c>
      <c r="W47">
        <v>10</v>
      </c>
      <c r="X47" s="367"/>
    </row>
    <row r="48" spans="1:111">
      <c r="A48" t="s">
        <v>8652</v>
      </c>
      <c r="B48" t="s">
        <v>8653</v>
      </c>
      <c r="C48">
        <v>2</v>
      </c>
      <c r="D48">
        <v>48854972</v>
      </c>
      <c r="E48">
        <v>40839068041614</v>
      </c>
      <c r="F48">
        <v>1000000</v>
      </c>
      <c r="G48">
        <v>835689</v>
      </c>
      <c r="H48">
        <v>836160</v>
      </c>
      <c r="I48">
        <v>-163840</v>
      </c>
      <c r="J48">
        <v>-16.38</v>
      </c>
      <c r="K48">
        <v>835924</v>
      </c>
      <c r="L48">
        <v>-164076</v>
      </c>
      <c r="M48">
        <v>-16.41</v>
      </c>
      <c r="N48">
        <v>835689</v>
      </c>
      <c r="O48">
        <v>836160</v>
      </c>
      <c r="P48" t="s">
        <v>192</v>
      </c>
      <c r="Q48" t="s">
        <v>192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367"/>
    </row>
    <row r="49" spans="1:24">
      <c r="A49" t="s">
        <v>5851</v>
      </c>
      <c r="B49" t="s">
        <v>5852</v>
      </c>
      <c r="C49">
        <v>0</v>
      </c>
      <c r="D49">
        <v>0</v>
      </c>
      <c r="E49">
        <v>0</v>
      </c>
      <c r="F49">
        <v>1000000</v>
      </c>
      <c r="G49">
        <v>0</v>
      </c>
      <c r="H49">
        <v>1000000</v>
      </c>
      <c r="I49">
        <v>0</v>
      </c>
      <c r="J49">
        <v>0</v>
      </c>
      <c r="K49">
        <v>1000000</v>
      </c>
      <c r="L49">
        <v>0</v>
      </c>
      <c r="M49">
        <v>0</v>
      </c>
      <c r="N49">
        <v>0</v>
      </c>
      <c r="O49">
        <v>0</v>
      </c>
      <c r="P49" t="s">
        <v>192</v>
      </c>
      <c r="Q49" t="s">
        <v>192</v>
      </c>
      <c r="R49">
        <v>1</v>
      </c>
      <c r="S49">
        <v>100000</v>
      </c>
      <c r="T49">
        <v>1000000</v>
      </c>
      <c r="U49">
        <v>0</v>
      </c>
      <c r="V49">
        <v>0</v>
      </c>
      <c r="W49">
        <v>0</v>
      </c>
      <c r="X49" s="367"/>
    </row>
    <row r="50" spans="1:24">
      <c r="A50" t="s">
        <v>8770</v>
      </c>
      <c r="B50" t="s">
        <v>3070</v>
      </c>
      <c r="C50">
        <v>2</v>
      </c>
      <c r="D50">
        <v>1547</v>
      </c>
      <c r="E50">
        <v>6172530</v>
      </c>
      <c r="F50">
        <v>3980</v>
      </c>
      <c r="G50">
        <v>3990</v>
      </c>
      <c r="H50">
        <v>3990</v>
      </c>
      <c r="I50">
        <v>10</v>
      </c>
      <c r="J50">
        <v>0.25</v>
      </c>
      <c r="K50">
        <v>3990</v>
      </c>
      <c r="L50">
        <v>10</v>
      </c>
      <c r="M50">
        <v>0.25</v>
      </c>
      <c r="N50">
        <v>3990</v>
      </c>
      <c r="O50">
        <v>3990</v>
      </c>
      <c r="P50">
        <v>404</v>
      </c>
      <c r="Q50">
        <v>9.8800000000000008</v>
      </c>
      <c r="R50">
        <v>5</v>
      </c>
      <c r="S50">
        <v>69200</v>
      </c>
      <c r="T50">
        <v>3990</v>
      </c>
      <c r="U50">
        <v>0</v>
      </c>
      <c r="V50">
        <v>0</v>
      </c>
      <c r="W50">
        <v>0</v>
      </c>
      <c r="X50" s="367"/>
    </row>
    <row r="51" spans="1:24">
      <c r="A51" t="s">
        <v>8561</v>
      </c>
      <c r="B51" t="s">
        <v>8562</v>
      </c>
      <c r="C51">
        <v>1</v>
      </c>
      <c r="D51">
        <v>1</v>
      </c>
      <c r="E51">
        <v>50742000</v>
      </c>
      <c r="F51">
        <v>46199</v>
      </c>
      <c r="G51">
        <v>50742</v>
      </c>
      <c r="H51">
        <v>50742</v>
      </c>
      <c r="I51">
        <v>4543</v>
      </c>
      <c r="J51">
        <v>9.83</v>
      </c>
      <c r="K51">
        <v>50742</v>
      </c>
      <c r="L51">
        <v>4543</v>
      </c>
      <c r="M51">
        <v>9.83</v>
      </c>
      <c r="N51">
        <v>50742</v>
      </c>
      <c r="O51">
        <v>50742</v>
      </c>
      <c r="P51" t="s">
        <v>192</v>
      </c>
      <c r="Q51" t="s">
        <v>192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367"/>
    </row>
    <row r="52" spans="1:24">
      <c r="A52" t="s">
        <v>2194</v>
      </c>
      <c r="B52" t="s">
        <v>2193</v>
      </c>
      <c r="C52">
        <v>3704</v>
      </c>
      <c r="D52">
        <v>144256818</v>
      </c>
      <c r="E52">
        <v>543648466340</v>
      </c>
      <c r="F52">
        <v>3730</v>
      </c>
      <c r="G52">
        <v>3760</v>
      </c>
      <c r="H52">
        <v>3820</v>
      </c>
      <c r="I52">
        <v>90</v>
      </c>
      <c r="J52">
        <v>2.41</v>
      </c>
      <c r="K52">
        <v>3770</v>
      </c>
      <c r="L52">
        <v>40</v>
      </c>
      <c r="M52">
        <v>1.07</v>
      </c>
      <c r="N52">
        <v>3690</v>
      </c>
      <c r="O52">
        <v>3830</v>
      </c>
      <c r="P52">
        <v>492</v>
      </c>
      <c r="Q52">
        <v>7.66</v>
      </c>
      <c r="R52">
        <v>2</v>
      </c>
      <c r="S52">
        <v>210000</v>
      </c>
      <c r="T52">
        <v>3810</v>
      </c>
      <c r="U52">
        <v>3830</v>
      </c>
      <c r="V52">
        <v>1479212</v>
      </c>
      <c r="W52">
        <v>24</v>
      </c>
      <c r="X52" s="367"/>
    </row>
    <row r="53" spans="1:24">
      <c r="A53" t="s">
        <v>5853</v>
      </c>
      <c r="B53" t="s">
        <v>5854</v>
      </c>
      <c r="C53">
        <v>0</v>
      </c>
      <c r="D53">
        <v>0</v>
      </c>
      <c r="E53">
        <v>0</v>
      </c>
      <c r="F53">
        <v>1000000</v>
      </c>
      <c r="G53">
        <v>0</v>
      </c>
      <c r="H53">
        <v>1000000</v>
      </c>
      <c r="I53">
        <v>0</v>
      </c>
      <c r="J53">
        <v>0</v>
      </c>
      <c r="K53">
        <v>1000000</v>
      </c>
      <c r="L53">
        <v>0</v>
      </c>
      <c r="M53">
        <v>0</v>
      </c>
      <c r="N53">
        <v>0</v>
      </c>
      <c r="O53">
        <v>0</v>
      </c>
      <c r="P53" t="s">
        <v>192</v>
      </c>
      <c r="Q53" t="s">
        <v>192</v>
      </c>
      <c r="R53">
        <v>1</v>
      </c>
      <c r="S53">
        <v>5000</v>
      </c>
      <c r="T53">
        <v>1000000</v>
      </c>
      <c r="U53">
        <v>0</v>
      </c>
      <c r="V53">
        <v>0</v>
      </c>
      <c r="W53">
        <v>0</v>
      </c>
      <c r="X53" s="367"/>
    </row>
    <row r="54" spans="1:24">
      <c r="A54" t="s">
        <v>5855</v>
      </c>
      <c r="B54" t="s">
        <v>5856</v>
      </c>
      <c r="C54">
        <v>0</v>
      </c>
      <c r="D54">
        <v>0</v>
      </c>
      <c r="E54">
        <v>0</v>
      </c>
      <c r="F54">
        <v>1000000</v>
      </c>
      <c r="G54">
        <v>0</v>
      </c>
      <c r="H54">
        <v>1000000</v>
      </c>
      <c r="I54">
        <v>0</v>
      </c>
      <c r="J54">
        <v>0</v>
      </c>
      <c r="K54">
        <v>1000000</v>
      </c>
      <c r="L54">
        <v>0</v>
      </c>
      <c r="M54">
        <v>0</v>
      </c>
      <c r="N54">
        <v>0</v>
      </c>
      <c r="O54">
        <v>0</v>
      </c>
      <c r="P54" t="s">
        <v>192</v>
      </c>
      <c r="Q54" t="s">
        <v>192</v>
      </c>
      <c r="R54">
        <v>1</v>
      </c>
      <c r="S54">
        <v>9000</v>
      </c>
      <c r="T54">
        <v>990000</v>
      </c>
      <c r="U54">
        <v>0</v>
      </c>
      <c r="V54">
        <v>0</v>
      </c>
      <c r="W54">
        <v>0</v>
      </c>
      <c r="X54" s="367"/>
    </row>
    <row r="55" spans="1:24">
      <c r="A55" t="s">
        <v>2822</v>
      </c>
      <c r="B55" t="s">
        <v>2821</v>
      </c>
      <c r="C55">
        <v>193</v>
      </c>
      <c r="D55">
        <v>17119275</v>
      </c>
      <c r="E55">
        <v>44835381225</v>
      </c>
      <c r="F55">
        <v>2543</v>
      </c>
      <c r="G55">
        <v>2619</v>
      </c>
      <c r="H55">
        <v>2619</v>
      </c>
      <c r="I55">
        <v>76</v>
      </c>
      <c r="J55">
        <v>2.99</v>
      </c>
      <c r="K55">
        <v>2619</v>
      </c>
      <c r="L55">
        <v>76</v>
      </c>
      <c r="M55">
        <v>2.99</v>
      </c>
      <c r="N55">
        <v>2619</v>
      </c>
      <c r="O55">
        <v>2619</v>
      </c>
      <c r="P55">
        <v>274</v>
      </c>
      <c r="Q55">
        <v>9.56</v>
      </c>
      <c r="R55">
        <v>368</v>
      </c>
      <c r="S55">
        <v>96811388</v>
      </c>
      <c r="T55">
        <v>2619</v>
      </c>
      <c r="U55">
        <v>2900</v>
      </c>
      <c r="V55">
        <v>10000</v>
      </c>
      <c r="W55">
        <v>1</v>
      </c>
      <c r="X55" s="367"/>
    </row>
    <row r="56" spans="1:24">
      <c r="A56" t="s">
        <v>2129</v>
      </c>
      <c r="B56" t="s">
        <v>2128</v>
      </c>
      <c r="C56">
        <v>132</v>
      </c>
      <c r="D56">
        <v>4704927</v>
      </c>
      <c r="E56">
        <v>23948078430</v>
      </c>
      <c r="F56">
        <v>4950</v>
      </c>
      <c r="G56">
        <v>5090</v>
      </c>
      <c r="H56">
        <v>5090</v>
      </c>
      <c r="I56">
        <v>140</v>
      </c>
      <c r="J56">
        <v>2.83</v>
      </c>
      <c r="K56">
        <v>5090</v>
      </c>
      <c r="L56">
        <v>140</v>
      </c>
      <c r="M56">
        <v>2.83</v>
      </c>
      <c r="N56">
        <v>5090</v>
      </c>
      <c r="O56">
        <v>5090</v>
      </c>
      <c r="P56">
        <v>1027</v>
      </c>
      <c r="Q56">
        <v>4.96</v>
      </c>
      <c r="R56">
        <v>36</v>
      </c>
      <c r="S56">
        <v>1364646</v>
      </c>
      <c r="T56">
        <v>5090</v>
      </c>
      <c r="U56">
        <v>0</v>
      </c>
      <c r="V56">
        <v>0</v>
      </c>
      <c r="W56">
        <v>0</v>
      </c>
      <c r="X56" s="367"/>
    </row>
    <row r="57" spans="1:24">
      <c r="A57" t="s">
        <v>2415</v>
      </c>
      <c r="B57" t="s">
        <v>2414</v>
      </c>
      <c r="C57">
        <v>78</v>
      </c>
      <c r="D57">
        <v>1469103</v>
      </c>
      <c r="E57">
        <v>12869342280</v>
      </c>
      <c r="F57">
        <v>8510</v>
      </c>
      <c r="G57">
        <v>8760</v>
      </c>
      <c r="H57">
        <v>8760</v>
      </c>
      <c r="I57">
        <v>250</v>
      </c>
      <c r="J57">
        <v>2.94</v>
      </c>
      <c r="K57">
        <v>8760</v>
      </c>
      <c r="L57">
        <v>250</v>
      </c>
      <c r="M57">
        <v>2.94</v>
      </c>
      <c r="N57">
        <v>8760</v>
      </c>
      <c r="O57">
        <v>8760</v>
      </c>
      <c r="P57">
        <v>1835</v>
      </c>
      <c r="Q57">
        <v>4.7699999999999996</v>
      </c>
      <c r="R57">
        <v>201</v>
      </c>
      <c r="S57">
        <v>33298004</v>
      </c>
      <c r="T57">
        <v>8760</v>
      </c>
      <c r="U57">
        <v>8850</v>
      </c>
      <c r="V57">
        <v>400</v>
      </c>
      <c r="W57">
        <v>1</v>
      </c>
      <c r="X57" s="367"/>
    </row>
    <row r="58" spans="1:24">
      <c r="A58" t="s">
        <v>5857</v>
      </c>
      <c r="B58" t="s">
        <v>4943</v>
      </c>
      <c r="C58">
        <v>1230</v>
      </c>
      <c r="D58">
        <v>2540223</v>
      </c>
      <c r="E58">
        <v>172433611058</v>
      </c>
      <c r="F58">
        <v>68299</v>
      </c>
      <c r="G58">
        <v>68400</v>
      </c>
      <c r="H58">
        <v>67809</v>
      </c>
      <c r="I58">
        <v>-490</v>
      </c>
      <c r="J58">
        <v>-0.72</v>
      </c>
      <c r="K58">
        <v>67881</v>
      </c>
      <c r="L58">
        <v>-418</v>
      </c>
      <c r="M58">
        <v>-0.61</v>
      </c>
      <c r="N58">
        <v>67666</v>
      </c>
      <c r="O58">
        <v>68400</v>
      </c>
      <c r="P58" t="s">
        <v>192</v>
      </c>
      <c r="Q58" t="s">
        <v>192</v>
      </c>
      <c r="R58">
        <v>4</v>
      </c>
      <c r="S58">
        <v>21103</v>
      </c>
      <c r="T58">
        <v>67808</v>
      </c>
      <c r="U58">
        <v>67810</v>
      </c>
      <c r="V58">
        <v>81</v>
      </c>
      <c r="W58">
        <v>1</v>
      </c>
      <c r="X58" s="367"/>
    </row>
    <row r="59" spans="1:24">
      <c r="A59" t="s">
        <v>8771</v>
      </c>
      <c r="B59" t="s">
        <v>2388</v>
      </c>
      <c r="C59">
        <v>2</v>
      </c>
      <c r="D59">
        <v>280</v>
      </c>
      <c r="E59">
        <v>677040</v>
      </c>
      <c r="F59">
        <v>2350</v>
      </c>
      <c r="G59">
        <v>2418</v>
      </c>
      <c r="H59">
        <v>2418</v>
      </c>
      <c r="I59">
        <v>68</v>
      </c>
      <c r="J59">
        <v>2.89</v>
      </c>
      <c r="K59">
        <v>2418</v>
      </c>
      <c r="L59">
        <v>68</v>
      </c>
      <c r="M59">
        <v>2.89</v>
      </c>
      <c r="N59">
        <v>2418</v>
      </c>
      <c r="O59">
        <v>2418</v>
      </c>
      <c r="P59">
        <v>282</v>
      </c>
      <c r="Q59">
        <v>8.57</v>
      </c>
      <c r="R59">
        <v>3</v>
      </c>
      <c r="S59">
        <v>22501</v>
      </c>
      <c r="T59">
        <v>2418</v>
      </c>
      <c r="U59">
        <v>0</v>
      </c>
      <c r="V59">
        <v>0</v>
      </c>
      <c r="W59">
        <v>0</v>
      </c>
      <c r="X59" s="367"/>
    </row>
    <row r="60" spans="1:24">
      <c r="A60" t="s">
        <v>5858</v>
      </c>
      <c r="B60" t="s">
        <v>5859</v>
      </c>
      <c r="C60">
        <v>0</v>
      </c>
      <c r="D60">
        <v>0</v>
      </c>
      <c r="E60">
        <v>0</v>
      </c>
      <c r="F60">
        <v>902700</v>
      </c>
      <c r="G60">
        <v>0</v>
      </c>
      <c r="H60">
        <v>902700</v>
      </c>
      <c r="I60">
        <v>0</v>
      </c>
      <c r="J60">
        <v>0</v>
      </c>
      <c r="K60">
        <v>902700</v>
      </c>
      <c r="L60">
        <v>0</v>
      </c>
      <c r="M60">
        <v>0</v>
      </c>
      <c r="N60">
        <v>0</v>
      </c>
      <c r="O60">
        <v>0</v>
      </c>
      <c r="P60" t="s">
        <v>192</v>
      </c>
      <c r="Q60" t="s">
        <v>192</v>
      </c>
      <c r="R60">
        <v>1</v>
      </c>
      <c r="S60">
        <v>10000</v>
      </c>
      <c r="T60">
        <v>902500</v>
      </c>
      <c r="U60">
        <v>0</v>
      </c>
      <c r="V60">
        <v>0</v>
      </c>
      <c r="W60">
        <v>0</v>
      </c>
      <c r="X60" s="367"/>
    </row>
    <row r="61" spans="1:24">
      <c r="A61" t="s">
        <v>1787</v>
      </c>
      <c r="B61" t="s">
        <v>1786</v>
      </c>
      <c r="C61">
        <v>30</v>
      </c>
      <c r="D61">
        <v>140255</v>
      </c>
      <c r="E61">
        <v>2942874480</v>
      </c>
      <c r="F61">
        <v>20730</v>
      </c>
      <c r="G61">
        <v>21350</v>
      </c>
      <c r="H61">
        <v>20930</v>
      </c>
      <c r="I61">
        <v>200</v>
      </c>
      <c r="J61">
        <v>0.96</v>
      </c>
      <c r="K61">
        <v>20920</v>
      </c>
      <c r="L61">
        <v>190</v>
      </c>
      <c r="M61">
        <v>0.92</v>
      </c>
      <c r="N61">
        <v>20150</v>
      </c>
      <c r="O61">
        <v>21350</v>
      </c>
      <c r="P61">
        <v>523</v>
      </c>
      <c r="Q61">
        <v>40</v>
      </c>
      <c r="R61">
        <v>1</v>
      </c>
      <c r="S61">
        <v>2400</v>
      </c>
      <c r="T61">
        <v>20870</v>
      </c>
      <c r="U61">
        <v>21270</v>
      </c>
      <c r="V61">
        <v>500</v>
      </c>
      <c r="W61">
        <v>1</v>
      </c>
      <c r="X61" s="367"/>
    </row>
    <row r="62" spans="1:24">
      <c r="A62" t="s">
        <v>5860</v>
      </c>
      <c r="B62" t="s">
        <v>5861</v>
      </c>
      <c r="C62">
        <v>1758</v>
      </c>
      <c r="D62">
        <v>526525</v>
      </c>
      <c r="E62">
        <v>407468935897</v>
      </c>
      <c r="F62">
        <v>777515</v>
      </c>
      <c r="G62">
        <v>776000</v>
      </c>
      <c r="H62">
        <v>773400</v>
      </c>
      <c r="I62">
        <v>-4115</v>
      </c>
      <c r="J62">
        <v>-0.53</v>
      </c>
      <c r="K62">
        <v>773883</v>
      </c>
      <c r="L62">
        <v>-3632</v>
      </c>
      <c r="M62">
        <v>-0.47</v>
      </c>
      <c r="N62">
        <v>771010</v>
      </c>
      <c r="O62">
        <v>777700</v>
      </c>
      <c r="P62" t="s">
        <v>192</v>
      </c>
      <c r="Q62" t="s">
        <v>192</v>
      </c>
      <c r="R62">
        <v>4</v>
      </c>
      <c r="S62">
        <v>722</v>
      </c>
      <c r="T62">
        <v>773367</v>
      </c>
      <c r="U62">
        <v>773400</v>
      </c>
      <c r="V62">
        <v>4243</v>
      </c>
      <c r="W62">
        <v>2</v>
      </c>
      <c r="X62" s="367"/>
    </row>
    <row r="63" spans="1:24">
      <c r="A63" t="s">
        <v>2139</v>
      </c>
      <c r="B63" t="s">
        <v>2138</v>
      </c>
      <c r="C63">
        <v>70</v>
      </c>
      <c r="D63">
        <v>3502415</v>
      </c>
      <c r="E63">
        <v>8938163080</v>
      </c>
      <c r="F63">
        <v>2478</v>
      </c>
      <c r="G63">
        <v>2552</v>
      </c>
      <c r="H63">
        <v>2552</v>
      </c>
      <c r="I63">
        <v>74</v>
      </c>
      <c r="J63">
        <v>2.99</v>
      </c>
      <c r="K63">
        <v>2552</v>
      </c>
      <c r="L63">
        <v>74</v>
      </c>
      <c r="M63">
        <v>2.99</v>
      </c>
      <c r="N63">
        <v>2552</v>
      </c>
      <c r="O63">
        <v>2552</v>
      </c>
      <c r="P63">
        <v>105</v>
      </c>
      <c r="Q63">
        <v>24.3</v>
      </c>
      <c r="R63">
        <v>27</v>
      </c>
      <c r="S63">
        <v>2008928</v>
      </c>
      <c r="T63">
        <v>2552</v>
      </c>
      <c r="U63">
        <v>0</v>
      </c>
      <c r="V63">
        <v>0</v>
      </c>
      <c r="W63">
        <v>0</v>
      </c>
      <c r="X63" s="367"/>
    </row>
    <row r="64" spans="1:24">
      <c r="A64" t="s">
        <v>5862</v>
      </c>
      <c r="B64" t="s">
        <v>5863</v>
      </c>
      <c r="C64">
        <v>415</v>
      </c>
      <c r="D64">
        <v>24588452</v>
      </c>
      <c r="E64">
        <v>2942504362296</v>
      </c>
      <c r="F64">
        <v>119440</v>
      </c>
      <c r="G64">
        <v>119670</v>
      </c>
      <c r="H64">
        <v>119670</v>
      </c>
      <c r="I64">
        <v>230</v>
      </c>
      <c r="J64">
        <v>0.19</v>
      </c>
      <c r="K64">
        <v>119670</v>
      </c>
      <c r="L64">
        <v>230</v>
      </c>
      <c r="M64">
        <v>0.19</v>
      </c>
      <c r="N64">
        <v>119670</v>
      </c>
      <c r="O64">
        <v>119671</v>
      </c>
      <c r="P64" t="s">
        <v>192</v>
      </c>
      <c r="Q64" t="s">
        <v>192</v>
      </c>
      <c r="R64">
        <v>12</v>
      </c>
      <c r="S64">
        <v>101423076</v>
      </c>
      <c r="T64">
        <v>119670</v>
      </c>
      <c r="U64">
        <v>119671</v>
      </c>
      <c r="V64">
        <v>1785873</v>
      </c>
      <c r="W64">
        <v>2</v>
      </c>
      <c r="X64" s="367"/>
    </row>
    <row r="65" spans="1:24">
      <c r="A65" t="s">
        <v>5864</v>
      </c>
      <c r="B65" t="s">
        <v>5865</v>
      </c>
      <c r="C65">
        <v>0</v>
      </c>
      <c r="D65">
        <v>0</v>
      </c>
      <c r="E65">
        <v>0</v>
      </c>
      <c r="F65">
        <v>1000000</v>
      </c>
      <c r="G65">
        <v>0</v>
      </c>
      <c r="H65">
        <v>1000000</v>
      </c>
      <c r="I65">
        <v>0</v>
      </c>
      <c r="J65">
        <v>0</v>
      </c>
      <c r="K65">
        <v>1000000</v>
      </c>
      <c r="L65">
        <v>0</v>
      </c>
      <c r="M65">
        <v>0</v>
      </c>
      <c r="N65">
        <v>0</v>
      </c>
      <c r="O65">
        <v>0</v>
      </c>
      <c r="P65" t="s">
        <v>192</v>
      </c>
      <c r="Q65" t="s">
        <v>192</v>
      </c>
      <c r="R65">
        <v>1</v>
      </c>
      <c r="S65">
        <v>5000</v>
      </c>
      <c r="T65">
        <v>995000</v>
      </c>
      <c r="U65">
        <v>1005000</v>
      </c>
      <c r="V65">
        <v>5000</v>
      </c>
      <c r="W65">
        <v>1</v>
      </c>
      <c r="X65" s="367"/>
    </row>
    <row r="66" spans="1:24">
      <c r="A66" t="s">
        <v>1826</v>
      </c>
      <c r="B66" t="s">
        <v>1825</v>
      </c>
      <c r="C66">
        <v>125</v>
      </c>
      <c r="D66">
        <v>21699315</v>
      </c>
      <c r="E66">
        <v>20407262810</v>
      </c>
      <c r="F66">
        <v>914</v>
      </c>
      <c r="G66">
        <v>940</v>
      </c>
      <c r="H66">
        <v>941</v>
      </c>
      <c r="I66">
        <v>27</v>
      </c>
      <c r="J66">
        <v>2.95</v>
      </c>
      <c r="K66">
        <v>940</v>
      </c>
      <c r="L66">
        <v>26</v>
      </c>
      <c r="M66">
        <v>2.84</v>
      </c>
      <c r="N66">
        <v>930</v>
      </c>
      <c r="O66">
        <v>941</v>
      </c>
      <c r="P66">
        <v>-702</v>
      </c>
      <c r="Q66">
        <v>-1.34</v>
      </c>
      <c r="R66">
        <v>17</v>
      </c>
      <c r="S66">
        <v>2901608</v>
      </c>
      <c r="T66">
        <v>941</v>
      </c>
      <c r="U66">
        <v>947</v>
      </c>
      <c r="V66">
        <v>10000</v>
      </c>
      <c r="W66">
        <v>1</v>
      </c>
      <c r="X66" s="367"/>
    </row>
    <row r="67" spans="1:24">
      <c r="A67" t="s">
        <v>5866</v>
      </c>
      <c r="B67" t="s">
        <v>5322</v>
      </c>
      <c r="C67">
        <v>74</v>
      </c>
      <c r="D67">
        <v>952086</v>
      </c>
      <c r="E67">
        <v>33326818344</v>
      </c>
      <c r="F67">
        <v>33985</v>
      </c>
      <c r="G67">
        <v>35004</v>
      </c>
      <c r="H67">
        <v>35004</v>
      </c>
      <c r="I67">
        <v>1019</v>
      </c>
      <c r="J67">
        <v>3</v>
      </c>
      <c r="K67">
        <v>35004</v>
      </c>
      <c r="L67">
        <v>1019</v>
      </c>
      <c r="M67">
        <v>3</v>
      </c>
      <c r="N67">
        <v>35004</v>
      </c>
      <c r="O67">
        <v>35004</v>
      </c>
      <c r="P67" t="s">
        <v>192</v>
      </c>
      <c r="Q67" t="s">
        <v>192</v>
      </c>
      <c r="R67">
        <v>51</v>
      </c>
      <c r="S67">
        <v>2692609</v>
      </c>
      <c r="T67">
        <v>35004</v>
      </c>
      <c r="U67">
        <v>0</v>
      </c>
      <c r="V67">
        <v>0</v>
      </c>
      <c r="W67">
        <v>0</v>
      </c>
      <c r="X67" s="367"/>
    </row>
    <row r="68" spans="1:24">
      <c r="A68" t="s">
        <v>2777</v>
      </c>
      <c r="B68" t="s">
        <v>2775</v>
      </c>
      <c r="C68">
        <v>1</v>
      </c>
      <c r="D68">
        <v>7600</v>
      </c>
      <c r="E68">
        <v>11597600</v>
      </c>
      <c r="F68">
        <v>1482</v>
      </c>
      <c r="G68">
        <v>1526</v>
      </c>
      <c r="H68">
        <v>1526</v>
      </c>
      <c r="I68">
        <v>44</v>
      </c>
      <c r="J68">
        <v>2.97</v>
      </c>
      <c r="K68">
        <v>1526</v>
      </c>
      <c r="L68">
        <v>44</v>
      </c>
      <c r="M68">
        <v>2.97</v>
      </c>
      <c r="N68">
        <v>1526</v>
      </c>
      <c r="O68">
        <v>1526</v>
      </c>
      <c r="P68">
        <v>166</v>
      </c>
      <c r="Q68">
        <v>9.19</v>
      </c>
      <c r="R68">
        <v>8</v>
      </c>
      <c r="S68">
        <v>674795</v>
      </c>
      <c r="T68">
        <v>1526</v>
      </c>
      <c r="U68">
        <v>0</v>
      </c>
      <c r="V68">
        <v>0</v>
      </c>
      <c r="W68">
        <v>0</v>
      </c>
      <c r="X68" s="367"/>
    </row>
    <row r="69" spans="1:24">
      <c r="A69" t="s">
        <v>8772</v>
      </c>
      <c r="B69" t="s">
        <v>160</v>
      </c>
      <c r="C69">
        <v>4</v>
      </c>
      <c r="D69">
        <v>51926</v>
      </c>
      <c r="E69">
        <v>1097196380</v>
      </c>
      <c r="F69">
        <v>20580</v>
      </c>
      <c r="G69">
        <v>21130</v>
      </c>
      <c r="H69">
        <v>21130</v>
      </c>
      <c r="I69">
        <v>550</v>
      </c>
      <c r="J69">
        <v>2.67</v>
      </c>
      <c r="K69">
        <v>21130</v>
      </c>
      <c r="L69">
        <v>550</v>
      </c>
      <c r="M69">
        <v>2.67</v>
      </c>
      <c r="N69">
        <v>21130</v>
      </c>
      <c r="O69">
        <v>21130</v>
      </c>
      <c r="P69">
        <v>3000</v>
      </c>
      <c r="Q69">
        <v>7.04</v>
      </c>
      <c r="R69">
        <v>19</v>
      </c>
      <c r="S69">
        <v>120745</v>
      </c>
      <c r="T69">
        <v>21130</v>
      </c>
      <c r="U69">
        <v>0</v>
      </c>
      <c r="V69">
        <v>0</v>
      </c>
      <c r="W69">
        <v>0</v>
      </c>
      <c r="X69" s="367"/>
    </row>
    <row r="70" spans="1:24">
      <c r="A70" t="s">
        <v>2827</v>
      </c>
      <c r="B70" t="s">
        <v>2826</v>
      </c>
      <c r="C70">
        <v>76</v>
      </c>
      <c r="D70">
        <v>1018734</v>
      </c>
      <c r="E70">
        <v>4510351220</v>
      </c>
      <c r="F70">
        <v>4380</v>
      </c>
      <c r="G70">
        <v>4430</v>
      </c>
      <c r="H70">
        <v>4460</v>
      </c>
      <c r="I70">
        <v>80</v>
      </c>
      <c r="J70">
        <v>1.83</v>
      </c>
      <c r="K70">
        <v>4430</v>
      </c>
      <c r="L70">
        <v>50</v>
      </c>
      <c r="M70">
        <v>1.1399999999999999</v>
      </c>
      <c r="N70">
        <v>4420</v>
      </c>
      <c r="O70">
        <v>4490</v>
      </c>
      <c r="P70">
        <v>203</v>
      </c>
      <c r="Q70">
        <v>21.82</v>
      </c>
      <c r="R70">
        <v>1</v>
      </c>
      <c r="S70">
        <v>7980</v>
      </c>
      <c r="T70">
        <v>4460</v>
      </c>
      <c r="U70">
        <v>4470</v>
      </c>
      <c r="V70">
        <v>2379</v>
      </c>
      <c r="W70">
        <v>1</v>
      </c>
      <c r="X70" s="367"/>
    </row>
    <row r="71" spans="1:24">
      <c r="A71" t="s">
        <v>2157</v>
      </c>
      <c r="B71" t="s">
        <v>2156</v>
      </c>
      <c r="C71">
        <v>289</v>
      </c>
      <c r="D71">
        <v>10422067</v>
      </c>
      <c r="E71">
        <v>32197739410</v>
      </c>
      <c r="F71">
        <v>3000</v>
      </c>
      <c r="G71">
        <v>3090</v>
      </c>
      <c r="H71">
        <v>3090</v>
      </c>
      <c r="I71">
        <v>90</v>
      </c>
      <c r="J71">
        <v>3</v>
      </c>
      <c r="K71">
        <v>3090</v>
      </c>
      <c r="L71">
        <v>90</v>
      </c>
      <c r="M71">
        <v>3</v>
      </c>
      <c r="N71">
        <v>3050</v>
      </c>
      <c r="O71">
        <v>3090</v>
      </c>
      <c r="P71">
        <v>1405</v>
      </c>
      <c r="Q71">
        <v>2.2000000000000002</v>
      </c>
      <c r="R71">
        <v>27</v>
      </c>
      <c r="S71">
        <v>1043553</v>
      </c>
      <c r="T71">
        <v>3090</v>
      </c>
      <c r="U71">
        <v>3150</v>
      </c>
      <c r="V71">
        <v>901</v>
      </c>
      <c r="W71">
        <v>1</v>
      </c>
      <c r="X71" s="367"/>
    </row>
    <row r="72" spans="1:24">
      <c r="A72" t="s">
        <v>2538</v>
      </c>
      <c r="B72" t="s">
        <v>2537</v>
      </c>
      <c r="C72">
        <v>311</v>
      </c>
      <c r="D72">
        <v>7487774</v>
      </c>
      <c r="E72">
        <v>41170035630</v>
      </c>
      <c r="F72">
        <v>5340</v>
      </c>
      <c r="G72">
        <v>5500</v>
      </c>
      <c r="H72">
        <v>5500</v>
      </c>
      <c r="I72">
        <v>160</v>
      </c>
      <c r="J72">
        <v>3</v>
      </c>
      <c r="K72">
        <v>5500</v>
      </c>
      <c r="L72">
        <v>160</v>
      </c>
      <c r="M72">
        <v>3</v>
      </c>
      <c r="N72">
        <v>5440</v>
      </c>
      <c r="O72">
        <v>5500</v>
      </c>
      <c r="P72">
        <v>301</v>
      </c>
      <c r="Q72">
        <v>18.27</v>
      </c>
      <c r="R72">
        <v>30</v>
      </c>
      <c r="S72">
        <v>5994933</v>
      </c>
      <c r="T72">
        <v>5500</v>
      </c>
      <c r="U72">
        <v>5880</v>
      </c>
      <c r="V72">
        <v>3900</v>
      </c>
      <c r="W72">
        <v>1</v>
      </c>
      <c r="X72" s="367"/>
    </row>
    <row r="73" spans="1:24">
      <c r="A73" t="s">
        <v>8544</v>
      </c>
      <c r="B73" t="s">
        <v>5831</v>
      </c>
      <c r="C73">
        <v>5</v>
      </c>
      <c r="D73">
        <v>50000000</v>
      </c>
      <c r="E73">
        <v>50000000</v>
      </c>
      <c r="F73">
        <v>20611</v>
      </c>
      <c r="G73">
        <v>1</v>
      </c>
      <c r="H73">
        <v>1</v>
      </c>
      <c r="I73">
        <v>-20610</v>
      </c>
      <c r="J73">
        <v>-100</v>
      </c>
      <c r="K73">
        <v>1</v>
      </c>
      <c r="L73">
        <v>-20610</v>
      </c>
      <c r="M73">
        <v>-100</v>
      </c>
      <c r="N73">
        <v>1</v>
      </c>
      <c r="O73">
        <v>1</v>
      </c>
      <c r="P73" t="s">
        <v>192</v>
      </c>
      <c r="Q73" t="s">
        <v>192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367"/>
    </row>
    <row r="74" spans="1:24">
      <c r="A74" t="s">
        <v>2208</v>
      </c>
      <c r="B74" t="s">
        <v>2207</v>
      </c>
      <c r="C74">
        <v>79</v>
      </c>
      <c r="D74">
        <v>632470</v>
      </c>
      <c r="E74">
        <v>27613640200</v>
      </c>
      <c r="F74">
        <v>42390</v>
      </c>
      <c r="G74">
        <v>43660</v>
      </c>
      <c r="H74">
        <v>43660</v>
      </c>
      <c r="I74">
        <v>1270</v>
      </c>
      <c r="J74">
        <v>3</v>
      </c>
      <c r="K74">
        <v>43660</v>
      </c>
      <c r="L74">
        <v>1270</v>
      </c>
      <c r="M74">
        <v>3</v>
      </c>
      <c r="N74">
        <v>43660</v>
      </c>
      <c r="O74">
        <v>43660</v>
      </c>
      <c r="P74">
        <v>4344</v>
      </c>
      <c r="Q74">
        <v>10.050000000000001</v>
      </c>
      <c r="R74">
        <v>194</v>
      </c>
      <c r="S74">
        <v>5058415</v>
      </c>
      <c r="T74">
        <v>43660</v>
      </c>
      <c r="U74">
        <v>0</v>
      </c>
      <c r="V74">
        <v>0</v>
      </c>
      <c r="W74">
        <v>0</v>
      </c>
      <c r="X74" s="367"/>
    </row>
    <row r="75" spans="1:24">
      <c r="A75" t="s">
        <v>5867</v>
      </c>
      <c r="B75" t="s">
        <v>5868</v>
      </c>
      <c r="C75">
        <v>0</v>
      </c>
      <c r="D75">
        <v>0</v>
      </c>
      <c r="E75">
        <v>0</v>
      </c>
      <c r="F75">
        <v>950000</v>
      </c>
      <c r="G75">
        <v>0</v>
      </c>
      <c r="H75">
        <v>950000</v>
      </c>
      <c r="I75">
        <v>0</v>
      </c>
      <c r="J75">
        <v>0</v>
      </c>
      <c r="K75">
        <v>950000</v>
      </c>
      <c r="L75">
        <v>0</v>
      </c>
      <c r="M75">
        <v>0</v>
      </c>
      <c r="N75">
        <v>0</v>
      </c>
      <c r="O75">
        <v>0</v>
      </c>
      <c r="P75" t="s">
        <v>192</v>
      </c>
      <c r="Q75" t="s">
        <v>192</v>
      </c>
      <c r="R75">
        <v>1</v>
      </c>
      <c r="S75">
        <v>10000</v>
      </c>
      <c r="T75">
        <v>968820</v>
      </c>
      <c r="U75">
        <v>978500</v>
      </c>
      <c r="V75">
        <v>5000</v>
      </c>
      <c r="W75">
        <v>1</v>
      </c>
      <c r="X75" s="367"/>
    </row>
    <row r="76" spans="1:24">
      <c r="A76" t="s">
        <v>2094</v>
      </c>
      <c r="B76" t="s">
        <v>2093</v>
      </c>
      <c r="C76">
        <v>232</v>
      </c>
      <c r="D76">
        <v>1306670</v>
      </c>
      <c r="E76">
        <v>23665437510</v>
      </c>
      <c r="F76">
        <v>17630</v>
      </c>
      <c r="G76">
        <v>17980</v>
      </c>
      <c r="H76">
        <v>18140</v>
      </c>
      <c r="I76">
        <v>510</v>
      </c>
      <c r="J76">
        <v>2.89</v>
      </c>
      <c r="K76">
        <v>18110</v>
      </c>
      <c r="L76">
        <v>480</v>
      </c>
      <c r="M76">
        <v>2.72</v>
      </c>
      <c r="N76">
        <v>17830</v>
      </c>
      <c r="O76">
        <v>18150</v>
      </c>
      <c r="P76">
        <v>2337</v>
      </c>
      <c r="Q76">
        <v>7.75</v>
      </c>
      <c r="R76">
        <v>1</v>
      </c>
      <c r="S76">
        <v>300</v>
      </c>
      <c r="T76">
        <v>18080</v>
      </c>
      <c r="U76">
        <v>18140</v>
      </c>
      <c r="V76">
        <v>83484</v>
      </c>
      <c r="W76">
        <v>1</v>
      </c>
      <c r="X76" s="367"/>
    </row>
    <row r="77" spans="1:24">
      <c r="A77" t="s">
        <v>5869</v>
      </c>
      <c r="B77" t="s">
        <v>1901</v>
      </c>
      <c r="C77">
        <v>2</v>
      </c>
      <c r="D77">
        <v>5300</v>
      </c>
      <c r="E77">
        <v>100541000</v>
      </c>
      <c r="F77">
        <v>18420</v>
      </c>
      <c r="G77">
        <v>18970</v>
      </c>
      <c r="H77">
        <v>18970</v>
      </c>
      <c r="I77">
        <v>550</v>
      </c>
      <c r="J77">
        <v>2.99</v>
      </c>
      <c r="K77">
        <v>18970</v>
      </c>
      <c r="L77">
        <v>550</v>
      </c>
      <c r="M77">
        <v>2.99</v>
      </c>
      <c r="N77">
        <v>18970</v>
      </c>
      <c r="O77">
        <v>18970</v>
      </c>
      <c r="P77">
        <v>783</v>
      </c>
      <c r="Q77">
        <v>24.23</v>
      </c>
      <c r="R77">
        <v>512</v>
      </c>
      <c r="S77">
        <v>38155463</v>
      </c>
      <c r="T77">
        <v>18970</v>
      </c>
      <c r="U77">
        <v>0</v>
      </c>
      <c r="V77">
        <v>0</v>
      </c>
      <c r="W77">
        <v>0</v>
      </c>
      <c r="X77" s="367"/>
    </row>
    <row r="78" spans="1:24">
      <c r="A78" t="s">
        <v>5870</v>
      </c>
      <c r="B78" t="s">
        <v>5871</v>
      </c>
      <c r="C78">
        <v>0</v>
      </c>
      <c r="D78">
        <v>0</v>
      </c>
      <c r="E78">
        <v>0</v>
      </c>
      <c r="F78">
        <v>830000</v>
      </c>
      <c r="G78">
        <v>0</v>
      </c>
      <c r="H78">
        <v>830000</v>
      </c>
      <c r="I78">
        <v>0</v>
      </c>
      <c r="J78">
        <v>0</v>
      </c>
      <c r="K78">
        <v>830000</v>
      </c>
      <c r="L78">
        <v>0</v>
      </c>
      <c r="M78">
        <v>0</v>
      </c>
      <c r="N78">
        <v>0</v>
      </c>
      <c r="O78">
        <v>0</v>
      </c>
      <c r="P78" t="s">
        <v>192</v>
      </c>
      <c r="Q78" t="s">
        <v>192</v>
      </c>
      <c r="R78">
        <v>1</v>
      </c>
      <c r="S78">
        <v>5625</v>
      </c>
      <c r="T78">
        <v>830000</v>
      </c>
      <c r="U78">
        <v>0</v>
      </c>
      <c r="V78">
        <v>0</v>
      </c>
      <c r="W78">
        <v>0</v>
      </c>
      <c r="X78" s="367"/>
    </row>
    <row r="79" spans="1:24">
      <c r="A79" t="s">
        <v>2065</v>
      </c>
      <c r="B79" t="s">
        <v>2064</v>
      </c>
      <c r="C79">
        <v>19</v>
      </c>
      <c r="D79">
        <v>1634395</v>
      </c>
      <c r="E79">
        <v>3178898275</v>
      </c>
      <c r="F79">
        <v>1889</v>
      </c>
      <c r="G79">
        <v>1945</v>
      </c>
      <c r="H79">
        <v>1945</v>
      </c>
      <c r="I79">
        <v>56</v>
      </c>
      <c r="J79">
        <v>2.96</v>
      </c>
      <c r="K79">
        <v>1945</v>
      </c>
      <c r="L79">
        <v>56</v>
      </c>
      <c r="M79">
        <v>2.96</v>
      </c>
      <c r="N79">
        <v>1945</v>
      </c>
      <c r="O79">
        <v>1945</v>
      </c>
      <c r="P79">
        <v>68</v>
      </c>
      <c r="Q79">
        <v>28.6</v>
      </c>
      <c r="R79">
        <v>59</v>
      </c>
      <c r="S79">
        <v>20693975</v>
      </c>
      <c r="T79">
        <v>1945</v>
      </c>
      <c r="U79">
        <v>0</v>
      </c>
      <c r="V79">
        <v>0</v>
      </c>
      <c r="W79">
        <v>0</v>
      </c>
      <c r="X79" s="367"/>
    </row>
    <row r="80" spans="1:24">
      <c r="A80" t="s">
        <v>5872</v>
      </c>
      <c r="B80" t="s">
        <v>5873</v>
      </c>
      <c r="C80">
        <v>0</v>
      </c>
      <c r="D80">
        <v>0</v>
      </c>
      <c r="E80">
        <v>0</v>
      </c>
      <c r="F80">
        <v>1000000</v>
      </c>
      <c r="G80">
        <v>0</v>
      </c>
      <c r="H80">
        <v>1000000</v>
      </c>
      <c r="I80">
        <v>0</v>
      </c>
      <c r="J80">
        <v>0</v>
      </c>
      <c r="K80">
        <v>1000000</v>
      </c>
      <c r="L80">
        <v>0</v>
      </c>
      <c r="M80">
        <v>0</v>
      </c>
      <c r="N80">
        <v>0</v>
      </c>
      <c r="O80">
        <v>0</v>
      </c>
      <c r="P80" t="s">
        <v>192</v>
      </c>
      <c r="Q80" t="s">
        <v>192</v>
      </c>
      <c r="R80">
        <v>1</v>
      </c>
      <c r="S80">
        <v>10000</v>
      </c>
      <c r="T80">
        <v>970000</v>
      </c>
      <c r="U80">
        <v>0</v>
      </c>
      <c r="V80">
        <v>0</v>
      </c>
      <c r="W80">
        <v>0</v>
      </c>
      <c r="X80" s="367"/>
    </row>
    <row r="81" spans="1:26">
      <c r="A81" t="s">
        <v>5874</v>
      </c>
      <c r="B81" t="s">
        <v>5875</v>
      </c>
      <c r="C81">
        <v>0</v>
      </c>
      <c r="D81">
        <v>0</v>
      </c>
      <c r="E81">
        <v>0</v>
      </c>
      <c r="F81">
        <v>1000000</v>
      </c>
      <c r="G81">
        <v>0</v>
      </c>
      <c r="H81">
        <v>1000000</v>
      </c>
      <c r="I81">
        <v>0</v>
      </c>
      <c r="J81">
        <v>0</v>
      </c>
      <c r="K81">
        <v>1000000</v>
      </c>
      <c r="L81">
        <v>0</v>
      </c>
      <c r="M81">
        <v>0</v>
      </c>
      <c r="N81">
        <v>0</v>
      </c>
      <c r="O81">
        <v>0</v>
      </c>
      <c r="P81" t="s">
        <v>192</v>
      </c>
      <c r="Q81" t="s">
        <v>192</v>
      </c>
      <c r="R81">
        <v>1</v>
      </c>
      <c r="S81">
        <v>5000</v>
      </c>
      <c r="T81">
        <v>970000</v>
      </c>
      <c r="U81">
        <v>0</v>
      </c>
      <c r="V81">
        <v>0</v>
      </c>
      <c r="W81">
        <v>0</v>
      </c>
      <c r="X81" s="367"/>
    </row>
    <row r="82" spans="1:26">
      <c r="A82" t="s">
        <v>5876</v>
      </c>
      <c r="B82" t="s">
        <v>5877</v>
      </c>
      <c r="C82">
        <v>0</v>
      </c>
      <c r="D82">
        <v>0</v>
      </c>
      <c r="E82">
        <v>0</v>
      </c>
      <c r="F82">
        <v>1000000</v>
      </c>
      <c r="G82">
        <v>0</v>
      </c>
      <c r="H82">
        <v>1000000</v>
      </c>
      <c r="I82">
        <v>0</v>
      </c>
      <c r="J82">
        <v>0</v>
      </c>
      <c r="K82">
        <v>1000000</v>
      </c>
      <c r="L82">
        <v>0</v>
      </c>
      <c r="M82">
        <v>0</v>
      </c>
      <c r="N82">
        <v>0</v>
      </c>
      <c r="O82">
        <v>0</v>
      </c>
      <c r="P82" t="s">
        <v>192</v>
      </c>
      <c r="Q82" t="s">
        <v>192</v>
      </c>
      <c r="R82">
        <v>1</v>
      </c>
      <c r="S82">
        <v>5000</v>
      </c>
      <c r="T82">
        <v>1000000</v>
      </c>
      <c r="U82">
        <v>0</v>
      </c>
      <c r="V82">
        <v>0</v>
      </c>
      <c r="W82">
        <v>0</v>
      </c>
      <c r="X82" s="367"/>
    </row>
    <row r="83" spans="1:26">
      <c r="A83" t="s">
        <v>5878</v>
      </c>
      <c r="B83" t="s">
        <v>5879</v>
      </c>
      <c r="C83">
        <v>0</v>
      </c>
      <c r="D83">
        <v>0</v>
      </c>
      <c r="E83">
        <v>0</v>
      </c>
      <c r="F83">
        <v>3027949</v>
      </c>
      <c r="G83">
        <v>0</v>
      </c>
      <c r="H83">
        <v>3027949</v>
      </c>
      <c r="I83">
        <v>0</v>
      </c>
      <c r="J83">
        <v>0</v>
      </c>
      <c r="K83">
        <v>3027949</v>
      </c>
      <c r="L83">
        <v>0</v>
      </c>
      <c r="M83">
        <v>0</v>
      </c>
      <c r="N83">
        <v>0</v>
      </c>
      <c r="O83">
        <v>0</v>
      </c>
      <c r="P83" t="s">
        <v>192</v>
      </c>
      <c r="Q83" t="s">
        <v>192</v>
      </c>
      <c r="R83">
        <v>1</v>
      </c>
      <c r="S83">
        <v>5000</v>
      </c>
      <c r="T83">
        <v>3125022</v>
      </c>
      <c r="U83">
        <v>3187520</v>
      </c>
      <c r="V83">
        <v>3923</v>
      </c>
      <c r="W83">
        <v>1</v>
      </c>
      <c r="X83" s="367"/>
    </row>
    <row r="84" spans="1:26">
      <c r="A84" t="s">
        <v>5880</v>
      </c>
      <c r="B84" t="s">
        <v>5881</v>
      </c>
      <c r="C84">
        <v>0</v>
      </c>
      <c r="D84">
        <v>0</v>
      </c>
      <c r="E84">
        <v>0</v>
      </c>
      <c r="F84">
        <v>1000000</v>
      </c>
      <c r="G84">
        <v>0</v>
      </c>
      <c r="H84">
        <v>1000000</v>
      </c>
      <c r="I84">
        <v>0</v>
      </c>
      <c r="J84">
        <v>0</v>
      </c>
      <c r="K84">
        <v>1000000</v>
      </c>
      <c r="L84">
        <v>0</v>
      </c>
      <c r="M84">
        <v>0</v>
      </c>
      <c r="N84">
        <v>0</v>
      </c>
      <c r="O84">
        <v>0</v>
      </c>
      <c r="P84" t="s">
        <v>192</v>
      </c>
      <c r="Q84" t="s">
        <v>192</v>
      </c>
      <c r="R84">
        <v>1</v>
      </c>
      <c r="S84">
        <v>5000</v>
      </c>
      <c r="T84">
        <v>990100</v>
      </c>
      <c r="U84">
        <v>1000000</v>
      </c>
      <c r="V84">
        <v>5000</v>
      </c>
      <c r="W84">
        <v>1</v>
      </c>
      <c r="X84" s="367"/>
    </row>
    <row r="85" spans="1:26">
      <c r="A85" t="s">
        <v>1743</v>
      </c>
      <c r="B85" t="s">
        <v>1742</v>
      </c>
      <c r="C85">
        <v>718</v>
      </c>
      <c r="D85">
        <v>11524122</v>
      </c>
      <c r="E85">
        <v>27848720334</v>
      </c>
      <c r="F85">
        <v>2348</v>
      </c>
      <c r="G85">
        <v>2400</v>
      </c>
      <c r="H85">
        <v>2418</v>
      </c>
      <c r="I85">
        <v>70</v>
      </c>
      <c r="J85">
        <v>2.98</v>
      </c>
      <c r="K85">
        <v>2417</v>
      </c>
      <c r="L85">
        <v>69</v>
      </c>
      <c r="M85">
        <v>2.94</v>
      </c>
      <c r="N85">
        <v>2371</v>
      </c>
      <c r="O85">
        <v>2418</v>
      </c>
      <c r="P85">
        <v>469</v>
      </c>
      <c r="Q85">
        <v>5.15</v>
      </c>
      <c r="R85">
        <v>5</v>
      </c>
      <c r="S85">
        <v>37500</v>
      </c>
      <c r="T85">
        <v>2418</v>
      </c>
      <c r="U85">
        <v>0</v>
      </c>
      <c r="V85">
        <v>0</v>
      </c>
      <c r="W85">
        <v>0</v>
      </c>
      <c r="X85" s="367"/>
      <c r="Z85">
        <v>1776811</v>
      </c>
    </row>
    <row r="86" spans="1:26">
      <c r="A86" t="s">
        <v>5882</v>
      </c>
      <c r="B86" t="s">
        <v>5779</v>
      </c>
      <c r="C86">
        <v>4</v>
      </c>
      <c r="D86">
        <v>20800000</v>
      </c>
      <c r="E86">
        <v>20800000</v>
      </c>
      <c r="F86">
        <v>75936</v>
      </c>
      <c r="G86">
        <v>1</v>
      </c>
      <c r="H86">
        <v>1</v>
      </c>
      <c r="I86">
        <v>-75935</v>
      </c>
      <c r="J86">
        <v>-100</v>
      </c>
      <c r="K86">
        <v>1</v>
      </c>
      <c r="L86">
        <v>-75935</v>
      </c>
      <c r="M86">
        <v>-100</v>
      </c>
      <c r="N86">
        <v>1</v>
      </c>
      <c r="O86">
        <v>1</v>
      </c>
      <c r="P86" t="s">
        <v>192</v>
      </c>
      <c r="Q86" t="s">
        <v>192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367"/>
    </row>
    <row r="87" spans="1:26">
      <c r="A87" t="s">
        <v>6457</v>
      </c>
      <c r="B87" t="s">
        <v>2941</v>
      </c>
      <c r="C87">
        <v>7</v>
      </c>
      <c r="D87">
        <v>92386</v>
      </c>
      <c r="E87">
        <v>120101800</v>
      </c>
      <c r="F87">
        <v>1263</v>
      </c>
      <c r="G87">
        <v>1300</v>
      </c>
      <c r="H87">
        <v>1300</v>
      </c>
      <c r="I87">
        <v>37</v>
      </c>
      <c r="J87">
        <v>2.93</v>
      </c>
      <c r="K87">
        <v>1300</v>
      </c>
      <c r="L87">
        <v>37</v>
      </c>
      <c r="M87">
        <v>2.93</v>
      </c>
      <c r="N87">
        <v>1300</v>
      </c>
      <c r="O87">
        <v>1300</v>
      </c>
      <c r="P87">
        <v>668</v>
      </c>
      <c r="Q87">
        <v>1.95</v>
      </c>
      <c r="R87">
        <v>460</v>
      </c>
      <c r="S87">
        <v>402584220</v>
      </c>
      <c r="T87">
        <v>1300</v>
      </c>
      <c r="U87">
        <v>0</v>
      </c>
      <c r="V87">
        <v>0</v>
      </c>
      <c r="W87">
        <v>0</v>
      </c>
      <c r="X87" s="367"/>
    </row>
    <row r="88" spans="1:26">
      <c r="A88" t="s">
        <v>1751</v>
      </c>
      <c r="B88" t="s">
        <v>1750</v>
      </c>
      <c r="C88">
        <v>561</v>
      </c>
      <c r="D88">
        <v>11727389</v>
      </c>
      <c r="E88">
        <v>203610185940</v>
      </c>
      <c r="F88">
        <v>17310</v>
      </c>
      <c r="G88">
        <v>17820</v>
      </c>
      <c r="H88">
        <v>17380</v>
      </c>
      <c r="I88">
        <v>70</v>
      </c>
      <c r="J88">
        <v>0.4</v>
      </c>
      <c r="K88">
        <v>17360</v>
      </c>
      <c r="L88">
        <v>50</v>
      </c>
      <c r="M88">
        <v>0.28999999999999998</v>
      </c>
      <c r="N88">
        <v>16880</v>
      </c>
      <c r="O88">
        <v>17820</v>
      </c>
      <c r="P88">
        <v>1024</v>
      </c>
      <c r="Q88">
        <v>16.95</v>
      </c>
      <c r="R88">
        <v>1</v>
      </c>
      <c r="S88">
        <v>972</v>
      </c>
      <c r="T88">
        <v>17040</v>
      </c>
      <c r="U88">
        <v>17390</v>
      </c>
      <c r="V88">
        <v>16900</v>
      </c>
      <c r="W88">
        <v>1</v>
      </c>
      <c r="X88" s="367"/>
    </row>
    <row r="89" spans="1:26">
      <c r="A89" t="s">
        <v>1818</v>
      </c>
      <c r="B89" t="s">
        <v>1817</v>
      </c>
      <c r="C89">
        <v>142</v>
      </c>
      <c r="D89">
        <v>2403343</v>
      </c>
      <c r="E89">
        <v>17005052000</v>
      </c>
      <c r="F89">
        <v>6910</v>
      </c>
      <c r="G89">
        <v>7100</v>
      </c>
      <c r="H89">
        <v>7110</v>
      </c>
      <c r="I89">
        <v>200</v>
      </c>
      <c r="J89">
        <v>2.89</v>
      </c>
      <c r="K89">
        <v>7080</v>
      </c>
      <c r="L89">
        <v>170</v>
      </c>
      <c r="M89">
        <v>2.46</v>
      </c>
      <c r="N89">
        <v>6930</v>
      </c>
      <c r="O89">
        <v>7110</v>
      </c>
      <c r="P89">
        <v>1212</v>
      </c>
      <c r="Q89">
        <v>5.84</v>
      </c>
      <c r="R89">
        <v>27</v>
      </c>
      <c r="S89">
        <v>593416</v>
      </c>
      <c r="T89">
        <v>7110</v>
      </c>
      <c r="U89">
        <v>0</v>
      </c>
      <c r="V89">
        <v>0</v>
      </c>
      <c r="W89">
        <v>0</v>
      </c>
      <c r="X89" s="367"/>
    </row>
    <row r="90" spans="1:26">
      <c r="A90" t="s">
        <v>5883</v>
      </c>
      <c r="B90" t="s">
        <v>5884</v>
      </c>
      <c r="C90">
        <v>5</v>
      </c>
      <c r="D90">
        <v>50753</v>
      </c>
      <c r="E90">
        <v>1103773408</v>
      </c>
      <c r="F90">
        <v>21116</v>
      </c>
      <c r="G90">
        <v>21749</v>
      </c>
      <c r="H90">
        <v>21744</v>
      </c>
      <c r="I90">
        <v>628</v>
      </c>
      <c r="J90">
        <v>2.97</v>
      </c>
      <c r="K90">
        <v>21748</v>
      </c>
      <c r="L90">
        <v>632</v>
      </c>
      <c r="M90">
        <v>2.99</v>
      </c>
      <c r="N90">
        <v>21743</v>
      </c>
      <c r="O90">
        <v>21749</v>
      </c>
      <c r="P90" t="s">
        <v>192</v>
      </c>
      <c r="Q90" t="s">
        <v>192</v>
      </c>
      <c r="R90">
        <v>1</v>
      </c>
      <c r="S90">
        <v>50000</v>
      </c>
      <c r="T90">
        <v>21400</v>
      </c>
      <c r="U90">
        <v>21744</v>
      </c>
      <c r="V90">
        <v>6832</v>
      </c>
      <c r="W90">
        <v>1</v>
      </c>
      <c r="X90" s="367"/>
    </row>
    <row r="91" spans="1:26">
      <c r="A91" t="s">
        <v>2330</v>
      </c>
      <c r="B91" t="s">
        <v>2329</v>
      </c>
      <c r="C91">
        <v>149</v>
      </c>
      <c r="D91">
        <v>10057721</v>
      </c>
      <c r="E91">
        <v>69599429320</v>
      </c>
      <c r="F91">
        <v>6720</v>
      </c>
      <c r="G91">
        <v>6920</v>
      </c>
      <c r="H91">
        <v>6920</v>
      </c>
      <c r="I91">
        <v>200</v>
      </c>
      <c r="J91">
        <v>2.98</v>
      </c>
      <c r="K91">
        <v>6920</v>
      </c>
      <c r="L91">
        <v>200</v>
      </c>
      <c r="M91">
        <v>2.98</v>
      </c>
      <c r="N91">
        <v>6920</v>
      </c>
      <c r="O91">
        <v>6920</v>
      </c>
      <c r="P91">
        <v>963</v>
      </c>
      <c r="Q91">
        <v>7.19</v>
      </c>
      <c r="R91">
        <v>307</v>
      </c>
      <c r="S91">
        <v>21359677</v>
      </c>
      <c r="T91">
        <v>6920</v>
      </c>
      <c r="U91">
        <v>7470</v>
      </c>
      <c r="V91">
        <v>13750</v>
      </c>
      <c r="W91">
        <v>2</v>
      </c>
      <c r="X91" s="367"/>
    </row>
    <row r="92" spans="1:26">
      <c r="A92" t="s">
        <v>5885</v>
      </c>
      <c r="B92" t="s">
        <v>5886</v>
      </c>
      <c r="C92">
        <v>0</v>
      </c>
      <c r="D92">
        <v>0</v>
      </c>
      <c r="E92">
        <v>0</v>
      </c>
      <c r="F92">
        <v>1000000</v>
      </c>
      <c r="G92">
        <v>0</v>
      </c>
      <c r="H92">
        <v>1000000</v>
      </c>
      <c r="I92">
        <v>0</v>
      </c>
      <c r="J92">
        <v>0</v>
      </c>
      <c r="K92">
        <v>1000000</v>
      </c>
      <c r="L92">
        <v>0</v>
      </c>
      <c r="M92">
        <v>0</v>
      </c>
      <c r="N92">
        <v>0</v>
      </c>
      <c r="O92">
        <v>0</v>
      </c>
      <c r="P92" t="s">
        <v>192</v>
      </c>
      <c r="Q92" t="s">
        <v>192</v>
      </c>
      <c r="R92">
        <v>1</v>
      </c>
      <c r="S92">
        <v>5000</v>
      </c>
      <c r="T92">
        <v>1000000</v>
      </c>
      <c r="U92">
        <v>0</v>
      </c>
      <c r="V92">
        <v>0</v>
      </c>
      <c r="W92">
        <v>0</v>
      </c>
      <c r="X92" s="367"/>
    </row>
    <row r="93" spans="1:26">
      <c r="A93" t="s">
        <v>5887</v>
      </c>
      <c r="B93" t="s">
        <v>5888</v>
      </c>
      <c r="C93">
        <v>0</v>
      </c>
      <c r="D93">
        <v>0</v>
      </c>
      <c r="E93">
        <v>0</v>
      </c>
      <c r="F93">
        <v>929570</v>
      </c>
      <c r="G93">
        <v>0</v>
      </c>
      <c r="H93">
        <v>929570</v>
      </c>
      <c r="I93">
        <v>0</v>
      </c>
      <c r="J93">
        <v>0</v>
      </c>
      <c r="K93">
        <v>929570</v>
      </c>
      <c r="L93">
        <v>0</v>
      </c>
      <c r="M93">
        <v>0</v>
      </c>
      <c r="N93">
        <v>0</v>
      </c>
      <c r="O93">
        <v>0</v>
      </c>
      <c r="P93" t="s">
        <v>192</v>
      </c>
      <c r="Q93" t="s">
        <v>192</v>
      </c>
      <c r="R93">
        <v>1</v>
      </c>
      <c r="S93">
        <v>40000</v>
      </c>
      <c r="T93">
        <v>902500</v>
      </c>
      <c r="U93">
        <v>0</v>
      </c>
      <c r="V93">
        <v>0</v>
      </c>
      <c r="W93">
        <v>0</v>
      </c>
      <c r="X93" s="367"/>
    </row>
    <row r="94" spans="1:26">
      <c r="A94" t="s">
        <v>5889</v>
      </c>
      <c r="B94" t="s">
        <v>5890</v>
      </c>
      <c r="C94">
        <v>0</v>
      </c>
      <c r="D94">
        <v>0</v>
      </c>
      <c r="E94">
        <v>0</v>
      </c>
      <c r="F94">
        <v>1000000</v>
      </c>
      <c r="G94">
        <v>0</v>
      </c>
      <c r="H94">
        <v>1000000</v>
      </c>
      <c r="I94">
        <v>0</v>
      </c>
      <c r="J94">
        <v>0</v>
      </c>
      <c r="K94">
        <v>1000000</v>
      </c>
      <c r="L94">
        <v>0</v>
      </c>
      <c r="M94">
        <v>0</v>
      </c>
      <c r="N94">
        <v>0</v>
      </c>
      <c r="O94">
        <v>0</v>
      </c>
      <c r="P94" t="s">
        <v>192</v>
      </c>
      <c r="Q94" t="s">
        <v>192</v>
      </c>
      <c r="R94">
        <v>1</v>
      </c>
      <c r="S94">
        <v>5000</v>
      </c>
      <c r="T94">
        <v>995000</v>
      </c>
      <c r="U94">
        <v>1004950</v>
      </c>
      <c r="V94">
        <v>5000</v>
      </c>
      <c r="W94">
        <v>1</v>
      </c>
      <c r="X94" s="367"/>
    </row>
    <row r="95" spans="1:26">
      <c r="A95" t="s">
        <v>5891</v>
      </c>
      <c r="B95" t="s">
        <v>5892</v>
      </c>
      <c r="C95">
        <v>70</v>
      </c>
      <c r="D95">
        <v>2077668</v>
      </c>
      <c r="E95">
        <v>28989701604</v>
      </c>
      <c r="F95">
        <v>13547</v>
      </c>
      <c r="G95">
        <v>13953</v>
      </c>
      <c r="H95">
        <v>13953</v>
      </c>
      <c r="I95">
        <v>406</v>
      </c>
      <c r="J95">
        <v>3</v>
      </c>
      <c r="K95">
        <v>13953</v>
      </c>
      <c r="L95">
        <v>406</v>
      </c>
      <c r="M95">
        <v>3</v>
      </c>
      <c r="N95">
        <v>13953</v>
      </c>
      <c r="O95">
        <v>13953</v>
      </c>
      <c r="P95" t="s">
        <v>192</v>
      </c>
      <c r="Q95" t="s">
        <v>192</v>
      </c>
      <c r="R95">
        <v>27</v>
      </c>
      <c r="S95">
        <v>454866</v>
      </c>
      <c r="T95">
        <v>13953</v>
      </c>
      <c r="U95">
        <v>14300</v>
      </c>
      <c r="V95">
        <v>4500</v>
      </c>
      <c r="W95">
        <v>2</v>
      </c>
      <c r="X95" s="367"/>
    </row>
    <row r="96" spans="1:26">
      <c r="A96" t="s">
        <v>5893</v>
      </c>
      <c r="B96" t="s">
        <v>5894</v>
      </c>
      <c r="C96">
        <v>0</v>
      </c>
      <c r="D96">
        <v>0</v>
      </c>
      <c r="E96">
        <v>0</v>
      </c>
      <c r="F96">
        <v>814720</v>
      </c>
      <c r="G96">
        <v>0</v>
      </c>
      <c r="H96">
        <v>814720</v>
      </c>
      <c r="I96">
        <v>0</v>
      </c>
      <c r="J96">
        <v>0</v>
      </c>
      <c r="K96">
        <v>814720</v>
      </c>
      <c r="L96">
        <v>0</v>
      </c>
      <c r="M96">
        <v>0</v>
      </c>
      <c r="N96">
        <v>0</v>
      </c>
      <c r="O96">
        <v>0</v>
      </c>
      <c r="P96" t="s">
        <v>192</v>
      </c>
      <c r="Q96" t="s">
        <v>192</v>
      </c>
      <c r="R96">
        <v>1</v>
      </c>
      <c r="S96">
        <v>20000</v>
      </c>
      <c r="T96">
        <v>814720</v>
      </c>
      <c r="U96">
        <v>0</v>
      </c>
      <c r="V96">
        <v>0</v>
      </c>
      <c r="W96">
        <v>0</v>
      </c>
      <c r="X96" s="367"/>
    </row>
    <row r="97" spans="1:24">
      <c r="A97" t="s">
        <v>5895</v>
      </c>
      <c r="B97" t="s">
        <v>5896</v>
      </c>
      <c r="C97">
        <v>0</v>
      </c>
      <c r="D97">
        <v>0</v>
      </c>
      <c r="E97">
        <v>0</v>
      </c>
      <c r="F97">
        <v>1000000</v>
      </c>
      <c r="G97">
        <v>0</v>
      </c>
      <c r="H97">
        <v>1000000</v>
      </c>
      <c r="I97">
        <v>0</v>
      </c>
      <c r="J97">
        <v>0</v>
      </c>
      <c r="K97">
        <v>1000000</v>
      </c>
      <c r="L97">
        <v>0</v>
      </c>
      <c r="M97">
        <v>0</v>
      </c>
      <c r="N97">
        <v>0</v>
      </c>
      <c r="O97">
        <v>0</v>
      </c>
      <c r="P97" t="s">
        <v>192</v>
      </c>
      <c r="Q97" t="s">
        <v>192</v>
      </c>
      <c r="R97">
        <v>1</v>
      </c>
      <c r="S97">
        <v>5000</v>
      </c>
      <c r="T97">
        <v>990000</v>
      </c>
      <c r="U97">
        <v>0</v>
      </c>
      <c r="V97">
        <v>0</v>
      </c>
      <c r="W97">
        <v>0</v>
      </c>
      <c r="X97" s="367"/>
    </row>
    <row r="98" spans="1:24">
      <c r="A98" t="s">
        <v>5897</v>
      </c>
      <c r="B98" t="s">
        <v>5898</v>
      </c>
      <c r="C98">
        <v>974</v>
      </c>
      <c r="D98">
        <v>8502025</v>
      </c>
      <c r="E98">
        <v>311391664384</v>
      </c>
      <c r="F98">
        <v>36860</v>
      </c>
      <c r="G98">
        <v>36816</v>
      </c>
      <c r="H98">
        <v>36565</v>
      </c>
      <c r="I98">
        <v>-295</v>
      </c>
      <c r="J98">
        <v>-0.8</v>
      </c>
      <c r="K98">
        <v>36626</v>
      </c>
      <c r="L98">
        <v>-234</v>
      </c>
      <c r="M98">
        <v>-0.63</v>
      </c>
      <c r="N98">
        <v>36560</v>
      </c>
      <c r="O98">
        <v>36816</v>
      </c>
      <c r="P98" t="s">
        <v>192</v>
      </c>
      <c r="Q98" t="s">
        <v>192</v>
      </c>
      <c r="R98">
        <v>3</v>
      </c>
      <c r="S98">
        <v>8203</v>
      </c>
      <c r="T98">
        <v>36565</v>
      </c>
      <c r="U98">
        <v>36580</v>
      </c>
      <c r="V98">
        <v>4810</v>
      </c>
      <c r="W98">
        <v>1</v>
      </c>
      <c r="X98" s="367"/>
    </row>
    <row r="99" spans="1:24">
      <c r="A99" t="s">
        <v>2196</v>
      </c>
      <c r="B99" t="s">
        <v>2195</v>
      </c>
      <c r="C99">
        <v>1262</v>
      </c>
      <c r="D99">
        <v>53612538</v>
      </c>
      <c r="E99">
        <v>147336760642</v>
      </c>
      <c r="F99">
        <v>2719</v>
      </c>
      <c r="G99">
        <v>2755</v>
      </c>
      <c r="H99">
        <v>2748</v>
      </c>
      <c r="I99">
        <v>29</v>
      </c>
      <c r="J99">
        <v>1.07</v>
      </c>
      <c r="K99">
        <v>2748</v>
      </c>
      <c r="L99">
        <v>29</v>
      </c>
      <c r="M99">
        <v>1.07</v>
      </c>
      <c r="N99">
        <v>2682</v>
      </c>
      <c r="O99">
        <v>2799</v>
      </c>
      <c r="P99">
        <v>100</v>
      </c>
      <c r="Q99">
        <v>27.48</v>
      </c>
      <c r="R99">
        <v>2</v>
      </c>
      <c r="S99">
        <v>48484</v>
      </c>
      <c r="T99">
        <v>2743</v>
      </c>
      <c r="U99">
        <v>2774</v>
      </c>
      <c r="V99">
        <v>1582</v>
      </c>
      <c r="W99">
        <v>1</v>
      </c>
      <c r="X99" s="367"/>
    </row>
    <row r="100" spans="1:24">
      <c r="A100" t="s">
        <v>2963</v>
      </c>
      <c r="B100" t="s">
        <v>2962</v>
      </c>
      <c r="C100">
        <v>153</v>
      </c>
      <c r="D100">
        <v>8299162</v>
      </c>
      <c r="E100">
        <v>10431629294</v>
      </c>
      <c r="F100">
        <v>1228</v>
      </c>
      <c r="G100">
        <v>1264</v>
      </c>
      <c r="H100">
        <v>1256</v>
      </c>
      <c r="I100">
        <v>28</v>
      </c>
      <c r="J100">
        <v>2.2799999999999998</v>
      </c>
      <c r="K100">
        <v>1257</v>
      </c>
      <c r="L100">
        <v>29</v>
      </c>
      <c r="M100">
        <v>2.36</v>
      </c>
      <c r="N100">
        <v>1235</v>
      </c>
      <c r="O100">
        <v>1264</v>
      </c>
      <c r="P100">
        <v>100</v>
      </c>
      <c r="Q100">
        <v>12.57</v>
      </c>
      <c r="R100">
        <v>1</v>
      </c>
      <c r="S100">
        <v>980000</v>
      </c>
      <c r="T100">
        <v>1256</v>
      </c>
      <c r="U100">
        <v>1264</v>
      </c>
      <c r="V100">
        <v>81736</v>
      </c>
      <c r="W100">
        <v>1</v>
      </c>
      <c r="X100" s="367"/>
    </row>
    <row r="101" spans="1:24">
      <c r="A101" t="s">
        <v>5899</v>
      </c>
      <c r="B101" t="s">
        <v>5900</v>
      </c>
      <c r="C101">
        <v>0</v>
      </c>
      <c r="D101">
        <v>0</v>
      </c>
      <c r="E101">
        <v>0</v>
      </c>
      <c r="F101">
        <v>900030</v>
      </c>
      <c r="G101">
        <v>0</v>
      </c>
      <c r="H101">
        <v>900030</v>
      </c>
      <c r="I101">
        <v>0</v>
      </c>
      <c r="J101">
        <v>0</v>
      </c>
      <c r="K101">
        <v>900030</v>
      </c>
      <c r="L101">
        <v>0</v>
      </c>
      <c r="M101">
        <v>0</v>
      </c>
      <c r="N101">
        <v>0</v>
      </c>
      <c r="O101">
        <v>0</v>
      </c>
      <c r="P101" t="s">
        <v>192</v>
      </c>
      <c r="Q101" t="s">
        <v>192</v>
      </c>
      <c r="R101">
        <v>1</v>
      </c>
      <c r="S101">
        <v>5000</v>
      </c>
      <c r="T101">
        <v>873030</v>
      </c>
      <c r="U101">
        <v>0</v>
      </c>
      <c r="V101">
        <v>0</v>
      </c>
      <c r="W101">
        <v>0</v>
      </c>
      <c r="X101" s="367"/>
    </row>
    <row r="102" spans="1:24">
      <c r="A102" t="s">
        <v>2471</v>
      </c>
      <c r="B102" t="s">
        <v>2470</v>
      </c>
      <c r="C102">
        <v>639</v>
      </c>
      <c r="D102">
        <v>37786994</v>
      </c>
      <c r="E102">
        <v>214616495620</v>
      </c>
      <c r="F102">
        <v>5520</v>
      </c>
      <c r="G102">
        <v>5680</v>
      </c>
      <c r="H102">
        <v>5680</v>
      </c>
      <c r="I102">
        <v>160</v>
      </c>
      <c r="J102">
        <v>2.9</v>
      </c>
      <c r="K102">
        <v>5680</v>
      </c>
      <c r="L102">
        <v>160</v>
      </c>
      <c r="M102">
        <v>2.9</v>
      </c>
      <c r="N102">
        <v>5550</v>
      </c>
      <c r="O102">
        <v>5680</v>
      </c>
      <c r="P102">
        <v>698</v>
      </c>
      <c r="Q102">
        <v>8.14</v>
      </c>
      <c r="R102">
        <v>25</v>
      </c>
      <c r="S102">
        <v>729504</v>
      </c>
      <c r="T102">
        <v>5680</v>
      </c>
      <c r="U102">
        <v>5700</v>
      </c>
      <c r="V102">
        <v>2500</v>
      </c>
      <c r="W102">
        <v>1</v>
      </c>
      <c r="X102" s="367"/>
    </row>
    <row r="103" spans="1:24">
      <c r="A103" t="s">
        <v>3036</v>
      </c>
      <c r="B103" t="s">
        <v>3035</v>
      </c>
      <c r="C103">
        <v>2103</v>
      </c>
      <c r="D103">
        <v>91884033</v>
      </c>
      <c r="E103">
        <v>1389286578960</v>
      </c>
      <c r="F103">
        <v>14680</v>
      </c>
      <c r="G103">
        <v>15120</v>
      </c>
      <c r="H103">
        <v>15120</v>
      </c>
      <c r="I103">
        <v>440</v>
      </c>
      <c r="J103">
        <v>3</v>
      </c>
      <c r="K103">
        <v>15120</v>
      </c>
      <c r="L103">
        <v>440</v>
      </c>
      <c r="M103">
        <v>3</v>
      </c>
      <c r="N103">
        <v>15120</v>
      </c>
      <c r="O103">
        <v>15120</v>
      </c>
      <c r="P103">
        <v>1936</v>
      </c>
      <c r="Q103">
        <v>7.81</v>
      </c>
      <c r="R103">
        <v>1212</v>
      </c>
      <c r="S103">
        <v>106731236</v>
      </c>
      <c r="T103">
        <v>15120</v>
      </c>
      <c r="U103">
        <v>15470</v>
      </c>
      <c r="V103">
        <v>327</v>
      </c>
      <c r="W103">
        <v>1</v>
      </c>
      <c r="X103" s="367"/>
    </row>
    <row r="104" spans="1:24">
      <c r="A104" t="s">
        <v>5901</v>
      </c>
      <c r="B104" t="s">
        <v>5902</v>
      </c>
      <c r="C104">
        <v>0</v>
      </c>
      <c r="D104">
        <v>0</v>
      </c>
      <c r="E104">
        <v>0</v>
      </c>
      <c r="F104">
        <v>1000000</v>
      </c>
      <c r="G104">
        <v>0</v>
      </c>
      <c r="H104">
        <v>1000000</v>
      </c>
      <c r="I104">
        <v>0</v>
      </c>
      <c r="J104">
        <v>0</v>
      </c>
      <c r="K104">
        <v>1000000</v>
      </c>
      <c r="L104">
        <v>0</v>
      </c>
      <c r="M104">
        <v>0</v>
      </c>
      <c r="N104">
        <v>0</v>
      </c>
      <c r="O104">
        <v>0</v>
      </c>
      <c r="P104" t="s">
        <v>192</v>
      </c>
      <c r="Q104" t="s">
        <v>192</v>
      </c>
      <c r="R104">
        <v>1</v>
      </c>
      <c r="S104">
        <v>6000</v>
      </c>
      <c r="T104">
        <v>970000</v>
      </c>
      <c r="U104">
        <v>0</v>
      </c>
      <c r="V104">
        <v>0</v>
      </c>
      <c r="W104">
        <v>0</v>
      </c>
      <c r="X104" s="367"/>
    </row>
    <row r="105" spans="1:24">
      <c r="A105" t="s">
        <v>5903</v>
      </c>
      <c r="B105" t="s">
        <v>5904</v>
      </c>
      <c r="C105">
        <v>0</v>
      </c>
      <c r="D105">
        <v>0</v>
      </c>
      <c r="E105">
        <v>0</v>
      </c>
      <c r="F105">
        <v>1000000</v>
      </c>
      <c r="G105">
        <v>0</v>
      </c>
      <c r="H105">
        <v>1000000</v>
      </c>
      <c r="I105">
        <v>0</v>
      </c>
      <c r="J105">
        <v>0</v>
      </c>
      <c r="K105">
        <v>1000000</v>
      </c>
      <c r="L105">
        <v>0</v>
      </c>
      <c r="M105">
        <v>0</v>
      </c>
      <c r="N105">
        <v>0</v>
      </c>
      <c r="O105">
        <v>0</v>
      </c>
      <c r="P105" t="s">
        <v>192</v>
      </c>
      <c r="Q105" t="s">
        <v>192</v>
      </c>
      <c r="R105">
        <v>1</v>
      </c>
      <c r="S105">
        <v>5000</v>
      </c>
      <c r="T105">
        <v>990000</v>
      </c>
      <c r="U105">
        <v>0</v>
      </c>
      <c r="V105">
        <v>0</v>
      </c>
      <c r="W105">
        <v>0</v>
      </c>
      <c r="X105" s="367"/>
    </row>
    <row r="106" spans="1:24">
      <c r="A106" t="s">
        <v>5905</v>
      </c>
      <c r="B106" t="s">
        <v>5280</v>
      </c>
      <c r="C106">
        <v>95</v>
      </c>
      <c r="D106">
        <v>8184941</v>
      </c>
      <c r="E106">
        <v>477069689143</v>
      </c>
      <c r="F106">
        <v>58210</v>
      </c>
      <c r="G106">
        <v>58286</v>
      </c>
      <c r="H106">
        <v>58287</v>
      </c>
      <c r="I106">
        <v>77</v>
      </c>
      <c r="J106">
        <v>0.13</v>
      </c>
      <c r="K106">
        <v>58286</v>
      </c>
      <c r="L106">
        <v>76</v>
      </c>
      <c r="M106">
        <v>0.13</v>
      </c>
      <c r="N106">
        <v>58286</v>
      </c>
      <c r="O106">
        <v>58287</v>
      </c>
      <c r="P106" t="s">
        <v>192</v>
      </c>
      <c r="Q106" t="s">
        <v>192</v>
      </c>
      <c r="R106">
        <v>28</v>
      </c>
      <c r="S106">
        <v>25006671</v>
      </c>
      <c r="T106">
        <v>58286</v>
      </c>
      <c r="U106">
        <v>58287</v>
      </c>
      <c r="V106">
        <v>4075835</v>
      </c>
      <c r="W106">
        <v>6</v>
      </c>
      <c r="X106" s="367"/>
    </row>
    <row r="107" spans="1:24">
      <c r="A107" t="s">
        <v>5906</v>
      </c>
      <c r="B107" t="s">
        <v>5907</v>
      </c>
      <c r="C107">
        <v>435</v>
      </c>
      <c r="D107">
        <v>184229325</v>
      </c>
      <c r="E107">
        <v>4107719839058</v>
      </c>
      <c r="F107">
        <v>22160</v>
      </c>
      <c r="G107">
        <v>22822</v>
      </c>
      <c r="H107">
        <v>22300</v>
      </c>
      <c r="I107">
        <v>140</v>
      </c>
      <c r="J107">
        <v>0.63</v>
      </c>
      <c r="K107">
        <v>22297</v>
      </c>
      <c r="L107">
        <v>137</v>
      </c>
      <c r="M107">
        <v>0.62</v>
      </c>
      <c r="N107">
        <v>22275</v>
      </c>
      <c r="O107">
        <v>22824</v>
      </c>
      <c r="P107" t="s">
        <v>192</v>
      </c>
      <c r="Q107" t="s">
        <v>192</v>
      </c>
      <c r="R107">
        <v>4</v>
      </c>
      <c r="S107">
        <v>2079769</v>
      </c>
      <c r="T107">
        <v>22300</v>
      </c>
      <c r="U107">
        <v>22402</v>
      </c>
      <c r="V107">
        <v>2000</v>
      </c>
      <c r="W107">
        <v>1</v>
      </c>
      <c r="X107" s="367"/>
    </row>
    <row r="108" spans="1:24">
      <c r="A108" t="s">
        <v>5908</v>
      </c>
      <c r="B108" t="s">
        <v>5909</v>
      </c>
      <c r="C108">
        <v>0</v>
      </c>
      <c r="D108">
        <v>0</v>
      </c>
      <c r="E108">
        <v>0</v>
      </c>
      <c r="F108">
        <v>1000000</v>
      </c>
      <c r="G108">
        <v>0</v>
      </c>
      <c r="H108">
        <v>1000000</v>
      </c>
      <c r="I108">
        <v>0</v>
      </c>
      <c r="J108">
        <v>0</v>
      </c>
      <c r="K108">
        <v>1000000</v>
      </c>
      <c r="L108">
        <v>0</v>
      </c>
      <c r="M108">
        <v>0</v>
      </c>
      <c r="N108">
        <v>0</v>
      </c>
      <c r="O108">
        <v>0</v>
      </c>
      <c r="P108" t="s">
        <v>192</v>
      </c>
      <c r="Q108" t="s">
        <v>192</v>
      </c>
      <c r="R108">
        <v>1</v>
      </c>
      <c r="S108">
        <v>7000</v>
      </c>
      <c r="T108">
        <v>950000</v>
      </c>
      <c r="U108">
        <v>0</v>
      </c>
      <c r="V108">
        <v>0</v>
      </c>
      <c r="W108">
        <v>0</v>
      </c>
      <c r="X108" s="367"/>
    </row>
    <row r="109" spans="1:24">
      <c r="A109" t="s">
        <v>5910</v>
      </c>
      <c r="B109" t="s">
        <v>5911</v>
      </c>
      <c r="C109">
        <v>291</v>
      </c>
      <c r="D109">
        <v>111024778</v>
      </c>
      <c r="E109">
        <v>3399134656328</v>
      </c>
      <c r="F109">
        <v>30556</v>
      </c>
      <c r="G109">
        <v>30616</v>
      </c>
      <c r="H109">
        <v>30616</v>
      </c>
      <c r="I109">
        <v>60</v>
      </c>
      <c r="J109">
        <v>0.2</v>
      </c>
      <c r="K109">
        <v>30616</v>
      </c>
      <c r="L109">
        <v>60</v>
      </c>
      <c r="M109">
        <v>0.2</v>
      </c>
      <c r="N109">
        <v>30616</v>
      </c>
      <c r="O109">
        <v>30617</v>
      </c>
      <c r="P109" t="s">
        <v>192</v>
      </c>
      <c r="Q109" t="s">
        <v>192</v>
      </c>
      <c r="R109">
        <v>104</v>
      </c>
      <c r="S109">
        <v>110340801</v>
      </c>
      <c r="T109">
        <v>30616</v>
      </c>
      <c r="U109">
        <v>30617</v>
      </c>
      <c r="V109">
        <v>19949150</v>
      </c>
      <c r="W109">
        <v>16</v>
      </c>
      <c r="X109" s="367"/>
    </row>
    <row r="110" spans="1:24">
      <c r="A110" t="s">
        <v>5912</v>
      </c>
      <c r="B110" t="s">
        <v>4947</v>
      </c>
      <c r="C110">
        <v>223</v>
      </c>
      <c r="D110">
        <v>91297818</v>
      </c>
      <c r="E110">
        <v>1903157704719</v>
      </c>
      <c r="F110">
        <v>20788</v>
      </c>
      <c r="G110">
        <v>20846</v>
      </c>
      <c r="H110">
        <v>20846</v>
      </c>
      <c r="I110">
        <v>58</v>
      </c>
      <c r="J110">
        <v>0.28000000000000003</v>
      </c>
      <c r="K110">
        <v>20846</v>
      </c>
      <c r="L110">
        <v>58</v>
      </c>
      <c r="M110">
        <v>0.28000000000000003</v>
      </c>
      <c r="N110">
        <v>20844</v>
      </c>
      <c r="O110">
        <v>20847</v>
      </c>
      <c r="P110" t="s">
        <v>192</v>
      </c>
      <c r="Q110" t="s">
        <v>192</v>
      </c>
      <c r="R110">
        <v>1</v>
      </c>
      <c r="S110">
        <v>150000000</v>
      </c>
      <c r="T110">
        <v>20846</v>
      </c>
      <c r="U110">
        <v>20847</v>
      </c>
      <c r="V110">
        <v>20000000</v>
      </c>
      <c r="W110">
        <v>1</v>
      </c>
      <c r="X110" s="367"/>
    </row>
    <row r="111" spans="1:24">
      <c r="A111" t="s">
        <v>5913</v>
      </c>
      <c r="B111" t="s">
        <v>5914</v>
      </c>
      <c r="C111">
        <v>0</v>
      </c>
      <c r="D111">
        <v>0</v>
      </c>
      <c r="E111">
        <v>0</v>
      </c>
      <c r="F111">
        <v>1010000</v>
      </c>
      <c r="G111">
        <v>0</v>
      </c>
      <c r="H111">
        <v>1010000</v>
      </c>
      <c r="I111">
        <v>0</v>
      </c>
      <c r="J111">
        <v>0</v>
      </c>
      <c r="K111">
        <v>1010000</v>
      </c>
      <c r="L111">
        <v>0</v>
      </c>
      <c r="M111">
        <v>0</v>
      </c>
      <c r="N111">
        <v>0</v>
      </c>
      <c r="O111">
        <v>0</v>
      </c>
      <c r="P111" t="s">
        <v>192</v>
      </c>
      <c r="Q111" t="s">
        <v>192</v>
      </c>
      <c r="R111">
        <v>1</v>
      </c>
      <c r="S111">
        <v>8000</v>
      </c>
      <c r="T111">
        <v>1000000</v>
      </c>
      <c r="U111">
        <v>1010000</v>
      </c>
      <c r="V111">
        <v>8000</v>
      </c>
      <c r="W111">
        <v>1</v>
      </c>
      <c r="X111" s="367"/>
    </row>
    <row r="112" spans="1:24">
      <c r="A112" t="s">
        <v>2447</v>
      </c>
      <c r="B112" t="s">
        <v>2446</v>
      </c>
      <c r="C112">
        <v>169</v>
      </c>
      <c r="D112">
        <v>11557008</v>
      </c>
      <c r="E112">
        <v>42529789440</v>
      </c>
      <c r="F112">
        <v>3580</v>
      </c>
      <c r="G112">
        <v>3680</v>
      </c>
      <c r="H112">
        <v>3680</v>
      </c>
      <c r="I112">
        <v>100</v>
      </c>
      <c r="J112">
        <v>2.79</v>
      </c>
      <c r="K112">
        <v>3680</v>
      </c>
      <c r="L112">
        <v>100</v>
      </c>
      <c r="M112">
        <v>2.79</v>
      </c>
      <c r="N112">
        <v>3680</v>
      </c>
      <c r="O112">
        <v>3680</v>
      </c>
      <c r="P112">
        <v>424</v>
      </c>
      <c r="Q112">
        <v>8.68</v>
      </c>
      <c r="R112">
        <v>10</v>
      </c>
      <c r="S112">
        <v>2320000</v>
      </c>
      <c r="T112">
        <v>3680</v>
      </c>
      <c r="U112">
        <v>0</v>
      </c>
      <c r="V112">
        <v>0</v>
      </c>
      <c r="W112">
        <v>0</v>
      </c>
      <c r="X112" s="367"/>
    </row>
    <row r="113" spans="1:24">
      <c r="A113" t="s">
        <v>5915</v>
      </c>
      <c r="B113" t="s">
        <v>3300</v>
      </c>
      <c r="C113">
        <v>223</v>
      </c>
      <c r="D113">
        <v>10095412</v>
      </c>
      <c r="E113">
        <v>102381833410</v>
      </c>
      <c r="F113">
        <v>10127</v>
      </c>
      <c r="G113">
        <v>10141</v>
      </c>
      <c r="H113">
        <v>10142</v>
      </c>
      <c r="I113">
        <v>15</v>
      </c>
      <c r="J113">
        <v>0.15</v>
      </c>
      <c r="K113">
        <v>10141</v>
      </c>
      <c r="L113">
        <v>14</v>
      </c>
      <c r="M113">
        <v>0.14000000000000001</v>
      </c>
      <c r="N113">
        <v>10141</v>
      </c>
      <c r="O113">
        <v>10143</v>
      </c>
      <c r="P113" t="s">
        <v>192</v>
      </c>
      <c r="Q113" t="s">
        <v>192</v>
      </c>
      <c r="R113">
        <v>15</v>
      </c>
      <c r="S113">
        <v>97897042</v>
      </c>
      <c r="T113">
        <v>10141</v>
      </c>
      <c r="U113">
        <v>10142</v>
      </c>
      <c r="V113">
        <v>336495</v>
      </c>
      <c r="W113">
        <v>1</v>
      </c>
      <c r="X113" s="367"/>
    </row>
    <row r="114" spans="1:24">
      <c r="A114" t="s">
        <v>1789</v>
      </c>
      <c r="B114" t="s">
        <v>1788</v>
      </c>
      <c r="C114">
        <v>120</v>
      </c>
      <c r="D114">
        <v>2788120</v>
      </c>
      <c r="E114">
        <v>29777121600</v>
      </c>
      <c r="F114">
        <v>10370</v>
      </c>
      <c r="G114">
        <v>10680</v>
      </c>
      <c r="H114">
        <v>10680</v>
      </c>
      <c r="I114">
        <v>310</v>
      </c>
      <c r="J114">
        <v>2.99</v>
      </c>
      <c r="K114">
        <v>10680</v>
      </c>
      <c r="L114">
        <v>310</v>
      </c>
      <c r="M114">
        <v>2.99</v>
      </c>
      <c r="N114">
        <v>10680</v>
      </c>
      <c r="O114">
        <v>10680</v>
      </c>
      <c r="P114">
        <v>484</v>
      </c>
      <c r="Q114">
        <v>22.07</v>
      </c>
      <c r="R114">
        <v>46</v>
      </c>
      <c r="S114">
        <v>2464356</v>
      </c>
      <c r="T114">
        <v>10680</v>
      </c>
      <c r="U114">
        <v>0</v>
      </c>
      <c r="V114">
        <v>0</v>
      </c>
      <c r="W114">
        <v>0</v>
      </c>
      <c r="X114" s="367"/>
    </row>
    <row r="115" spans="1:24">
      <c r="A115" t="s">
        <v>5916</v>
      </c>
      <c r="B115" t="s">
        <v>5917</v>
      </c>
      <c r="C115">
        <v>0</v>
      </c>
      <c r="D115">
        <v>0</v>
      </c>
      <c r="E115">
        <v>0</v>
      </c>
      <c r="F115">
        <v>1000000</v>
      </c>
      <c r="G115">
        <v>0</v>
      </c>
      <c r="H115">
        <v>1000000</v>
      </c>
      <c r="I115">
        <v>0</v>
      </c>
      <c r="J115">
        <v>0</v>
      </c>
      <c r="K115">
        <v>1000000</v>
      </c>
      <c r="L115">
        <v>0</v>
      </c>
      <c r="M115">
        <v>0</v>
      </c>
      <c r="N115">
        <v>0</v>
      </c>
      <c r="O115">
        <v>0</v>
      </c>
      <c r="P115" t="s">
        <v>192</v>
      </c>
      <c r="Q115" t="s">
        <v>192</v>
      </c>
      <c r="R115">
        <v>1</v>
      </c>
      <c r="S115">
        <v>6000</v>
      </c>
      <c r="T115">
        <v>1000000</v>
      </c>
      <c r="U115">
        <v>0</v>
      </c>
      <c r="V115">
        <v>0</v>
      </c>
      <c r="W115">
        <v>0</v>
      </c>
      <c r="X115" s="367"/>
    </row>
    <row r="116" spans="1:24">
      <c r="A116" t="s">
        <v>5918</v>
      </c>
      <c r="B116" t="s">
        <v>5919</v>
      </c>
      <c r="C116">
        <v>0</v>
      </c>
      <c r="D116">
        <v>0</v>
      </c>
      <c r="E116">
        <v>0</v>
      </c>
      <c r="F116">
        <v>837660</v>
      </c>
      <c r="G116">
        <v>0</v>
      </c>
      <c r="H116">
        <v>837660</v>
      </c>
      <c r="I116">
        <v>0</v>
      </c>
      <c r="J116">
        <v>0</v>
      </c>
      <c r="K116">
        <v>837660</v>
      </c>
      <c r="L116">
        <v>0</v>
      </c>
      <c r="M116">
        <v>0</v>
      </c>
      <c r="N116">
        <v>0</v>
      </c>
      <c r="O116">
        <v>0</v>
      </c>
      <c r="P116" t="s">
        <v>192</v>
      </c>
      <c r="Q116" t="s">
        <v>192</v>
      </c>
      <c r="R116">
        <v>1</v>
      </c>
      <c r="S116">
        <v>100000</v>
      </c>
      <c r="T116">
        <v>831660</v>
      </c>
      <c r="U116">
        <v>0</v>
      </c>
      <c r="V116">
        <v>0</v>
      </c>
      <c r="W116">
        <v>0</v>
      </c>
      <c r="X116" s="367"/>
    </row>
    <row r="117" spans="1:24">
      <c r="A117" t="s">
        <v>5920</v>
      </c>
      <c r="B117" t="s">
        <v>5921</v>
      </c>
      <c r="C117">
        <v>861</v>
      </c>
      <c r="D117">
        <v>9751370</v>
      </c>
      <c r="E117">
        <v>455271962560</v>
      </c>
      <c r="F117">
        <v>44893</v>
      </c>
      <c r="G117">
        <v>46688</v>
      </c>
      <c r="H117">
        <v>46688</v>
      </c>
      <c r="I117">
        <v>1795</v>
      </c>
      <c r="J117">
        <v>4</v>
      </c>
      <c r="K117">
        <v>46688</v>
      </c>
      <c r="L117">
        <v>1795</v>
      </c>
      <c r="M117">
        <v>4</v>
      </c>
      <c r="N117">
        <v>46688</v>
      </c>
      <c r="O117">
        <v>46688</v>
      </c>
      <c r="P117" t="s">
        <v>192</v>
      </c>
      <c r="Q117" t="s">
        <v>192</v>
      </c>
      <c r="R117">
        <v>1555</v>
      </c>
      <c r="S117">
        <v>34719757</v>
      </c>
      <c r="T117">
        <v>46688</v>
      </c>
      <c r="U117">
        <v>47515</v>
      </c>
      <c r="V117">
        <v>1653</v>
      </c>
      <c r="W117">
        <v>1</v>
      </c>
      <c r="X117" s="367"/>
    </row>
    <row r="118" spans="1:24">
      <c r="A118" t="s">
        <v>5922</v>
      </c>
      <c r="B118" t="s">
        <v>5923</v>
      </c>
      <c r="C118">
        <v>0</v>
      </c>
      <c r="D118">
        <v>0</v>
      </c>
      <c r="E118">
        <v>0</v>
      </c>
      <c r="F118">
        <v>902502</v>
      </c>
      <c r="G118">
        <v>0</v>
      </c>
      <c r="H118">
        <v>902502</v>
      </c>
      <c r="I118">
        <v>0</v>
      </c>
      <c r="J118">
        <v>0</v>
      </c>
      <c r="K118">
        <v>902502</v>
      </c>
      <c r="L118">
        <v>0</v>
      </c>
      <c r="M118">
        <v>0</v>
      </c>
      <c r="N118">
        <v>0</v>
      </c>
      <c r="O118">
        <v>0</v>
      </c>
      <c r="P118" t="s">
        <v>192</v>
      </c>
      <c r="Q118" t="s">
        <v>192</v>
      </c>
      <c r="R118">
        <v>1</v>
      </c>
      <c r="S118">
        <v>10000</v>
      </c>
      <c r="T118">
        <v>902501</v>
      </c>
      <c r="U118">
        <v>0</v>
      </c>
      <c r="V118">
        <v>0</v>
      </c>
      <c r="W118">
        <v>0</v>
      </c>
      <c r="X118" s="367"/>
    </row>
    <row r="119" spans="1:24">
      <c r="A119" t="s">
        <v>5924</v>
      </c>
      <c r="B119" t="s">
        <v>5925</v>
      </c>
      <c r="C119">
        <v>1</v>
      </c>
      <c r="D119">
        <v>2200000</v>
      </c>
      <c r="E119">
        <v>2200000</v>
      </c>
      <c r="F119">
        <v>55016</v>
      </c>
      <c r="G119">
        <v>1</v>
      </c>
      <c r="H119">
        <v>1</v>
      </c>
      <c r="I119">
        <v>-55015</v>
      </c>
      <c r="J119">
        <v>-100</v>
      </c>
      <c r="K119">
        <v>1</v>
      </c>
      <c r="L119">
        <v>-55015</v>
      </c>
      <c r="M119">
        <v>-100</v>
      </c>
      <c r="N119">
        <v>1</v>
      </c>
      <c r="O119">
        <v>1</v>
      </c>
      <c r="P119" t="s">
        <v>192</v>
      </c>
      <c r="Q119" t="s">
        <v>192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s="367"/>
    </row>
    <row r="120" spans="1:24">
      <c r="A120" t="s">
        <v>5926</v>
      </c>
      <c r="B120" t="s">
        <v>5927</v>
      </c>
      <c r="C120">
        <v>0</v>
      </c>
      <c r="D120">
        <v>0</v>
      </c>
      <c r="E120">
        <v>0</v>
      </c>
      <c r="F120">
        <v>1010000</v>
      </c>
      <c r="G120">
        <v>0</v>
      </c>
      <c r="H120">
        <v>1010000</v>
      </c>
      <c r="I120">
        <v>0</v>
      </c>
      <c r="J120">
        <v>0</v>
      </c>
      <c r="K120">
        <v>1010000</v>
      </c>
      <c r="L120">
        <v>0</v>
      </c>
      <c r="M120">
        <v>0</v>
      </c>
      <c r="N120">
        <v>0</v>
      </c>
      <c r="O120">
        <v>0</v>
      </c>
      <c r="P120" t="s">
        <v>192</v>
      </c>
      <c r="Q120" t="s">
        <v>192</v>
      </c>
      <c r="R120">
        <v>1</v>
      </c>
      <c r="S120">
        <v>5000</v>
      </c>
      <c r="T120">
        <v>1000000</v>
      </c>
      <c r="U120">
        <v>1010000</v>
      </c>
      <c r="V120">
        <v>1990</v>
      </c>
      <c r="W120">
        <v>1</v>
      </c>
      <c r="X120" s="367"/>
    </row>
    <row r="121" spans="1:24">
      <c r="A121" t="s">
        <v>5928</v>
      </c>
      <c r="B121" t="s">
        <v>5929</v>
      </c>
      <c r="C121">
        <v>19</v>
      </c>
      <c r="D121">
        <v>39338</v>
      </c>
      <c r="E121">
        <v>868898628</v>
      </c>
      <c r="F121">
        <v>21447</v>
      </c>
      <c r="G121">
        <v>22079</v>
      </c>
      <c r="H121">
        <v>22090</v>
      </c>
      <c r="I121">
        <v>643</v>
      </c>
      <c r="J121">
        <v>3</v>
      </c>
      <c r="K121">
        <v>22088</v>
      </c>
      <c r="L121">
        <v>641</v>
      </c>
      <c r="M121">
        <v>2.99</v>
      </c>
      <c r="N121">
        <v>22079</v>
      </c>
      <c r="O121">
        <v>22090</v>
      </c>
      <c r="P121" t="s">
        <v>192</v>
      </c>
      <c r="Q121" t="s">
        <v>192</v>
      </c>
      <c r="R121">
        <v>1</v>
      </c>
      <c r="S121">
        <v>500</v>
      </c>
      <c r="T121">
        <v>21680</v>
      </c>
      <c r="U121">
        <v>22090</v>
      </c>
      <c r="V121">
        <v>910</v>
      </c>
      <c r="W121">
        <v>2</v>
      </c>
      <c r="X121" s="367"/>
    </row>
    <row r="122" spans="1:24">
      <c r="A122" t="s">
        <v>5930</v>
      </c>
      <c r="B122" t="s">
        <v>5931</v>
      </c>
      <c r="C122">
        <v>0</v>
      </c>
      <c r="D122">
        <v>0</v>
      </c>
      <c r="E122">
        <v>0</v>
      </c>
      <c r="F122">
        <v>1000000</v>
      </c>
      <c r="G122">
        <v>0</v>
      </c>
      <c r="H122">
        <v>1000000</v>
      </c>
      <c r="I122">
        <v>0</v>
      </c>
      <c r="J122">
        <v>0</v>
      </c>
      <c r="K122">
        <v>1000000</v>
      </c>
      <c r="L122">
        <v>0</v>
      </c>
      <c r="M122">
        <v>0</v>
      </c>
      <c r="N122">
        <v>0</v>
      </c>
      <c r="O122">
        <v>0</v>
      </c>
      <c r="P122" t="s">
        <v>192</v>
      </c>
      <c r="Q122" t="s">
        <v>192</v>
      </c>
      <c r="R122">
        <v>1</v>
      </c>
      <c r="S122">
        <v>1500</v>
      </c>
      <c r="T122">
        <v>1000000</v>
      </c>
      <c r="U122">
        <v>0</v>
      </c>
      <c r="V122">
        <v>0</v>
      </c>
      <c r="W122">
        <v>0</v>
      </c>
      <c r="X122" s="367"/>
    </row>
    <row r="123" spans="1:24">
      <c r="A123" t="s">
        <v>5932</v>
      </c>
      <c r="B123" t="s">
        <v>5933</v>
      </c>
      <c r="C123">
        <v>77</v>
      </c>
      <c r="D123">
        <v>1912360</v>
      </c>
      <c r="E123">
        <v>86398026498</v>
      </c>
      <c r="F123">
        <v>43864</v>
      </c>
      <c r="G123">
        <v>45179</v>
      </c>
      <c r="H123">
        <v>45179</v>
      </c>
      <c r="I123">
        <v>1315</v>
      </c>
      <c r="J123">
        <v>3</v>
      </c>
      <c r="K123">
        <v>45179</v>
      </c>
      <c r="L123">
        <v>1315</v>
      </c>
      <c r="M123">
        <v>3</v>
      </c>
      <c r="N123">
        <v>45170</v>
      </c>
      <c r="O123">
        <v>45179</v>
      </c>
      <c r="P123" t="s">
        <v>192</v>
      </c>
      <c r="Q123" t="s">
        <v>192</v>
      </c>
      <c r="R123">
        <v>11</v>
      </c>
      <c r="S123">
        <v>461134</v>
      </c>
      <c r="T123">
        <v>45179</v>
      </c>
      <c r="U123">
        <v>0</v>
      </c>
      <c r="V123">
        <v>0</v>
      </c>
      <c r="W123">
        <v>0</v>
      </c>
      <c r="X123" s="367"/>
    </row>
    <row r="124" spans="1:24">
      <c r="A124" t="s">
        <v>5934</v>
      </c>
      <c r="B124" t="s">
        <v>5935</v>
      </c>
      <c r="C124">
        <v>0</v>
      </c>
      <c r="D124">
        <v>0</v>
      </c>
      <c r="E124">
        <v>0</v>
      </c>
      <c r="F124">
        <v>1000000</v>
      </c>
      <c r="G124">
        <v>0</v>
      </c>
      <c r="H124">
        <v>1000000</v>
      </c>
      <c r="I124">
        <v>0</v>
      </c>
      <c r="J124">
        <v>0</v>
      </c>
      <c r="K124">
        <v>1000000</v>
      </c>
      <c r="L124">
        <v>0</v>
      </c>
      <c r="M124">
        <v>0</v>
      </c>
      <c r="N124">
        <v>0</v>
      </c>
      <c r="O124">
        <v>0</v>
      </c>
      <c r="P124" t="s">
        <v>192</v>
      </c>
      <c r="Q124" t="s">
        <v>192</v>
      </c>
      <c r="R124">
        <v>1</v>
      </c>
      <c r="S124">
        <v>5000</v>
      </c>
      <c r="T124">
        <v>1000000</v>
      </c>
      <c r="U124">
        <v>0</v>
      </c>
      <c r="V124">
        <v>0</v>
      </c>
      <c r="W124">
        <v>0</v>
      </c>
      <c r="X124" s="367"/>
    </row>
    <row r="125" spans="1:24">
      <c r="A125" t="s">
        <v>5936</v>
      </c>
      <c r="B125" t="s">
        <v>5937</v>
      </c>
      <c r="C125">
        <v>0</v>
      </c>
      <c r="D125">
        <v>0</v>
      </c>
      <c r="E125">
        <v>0</v>
      </c>
      <c r="F125">
        <v>1000000</v>
      </c>
      <c r="G125">
        <v>0</v>
      </c>
      <c r="H125">
        <v>1000000</v>
      </c>
      <c r="I125">
        <v>0</v>
      </c>
      <c r="J125">
        <v>0</v>
      </c>
      <c r="K125">
        <v>1000000</v>
      </c>
      <c r="L125">
        <v>0</v>
      </c>
      <c r="M125">
        <v>0</v>
      </c>
      <c r="N125">
        <v>0</v>
      </c>
      <c r="O125">
        <v>0</v>
      </c>
      <c r="P125" t="s">
        <v>192</v>
      </c>
      <c r="Q125" t="s">
        <v>192</v>
      </c>
      <c r="R125">
        <v>1</v>
      </c>
      <c r="S125">
        <v>5000</v>
      </c>
      <c r="T125">
        <v>970000</v>
      </c>
      <c r="U125">
        <v>0</v>
      </c>
      <c r="V125">
        <v>0</v>
      </c>
      <c r="W125">
        <v>0</v>
      </c>
      <c r="X125" s="367"/>
    </row>
    <row r="126" spans="1:24">
      <c r="A126" t="s">
        <v>8773</v>
      </c>
      <c r="B126" t="s">
        <v>2193</v>
      </c>
      <c r="C126">
        <v>2</v>
      </c>
      <c r="D126">
        <v>120000</v>
      </c>
      <c r="E126">
        <v>452400000</v>
      </c>
      <c r="F126">
        <v>3730</v>
      </c>
      <c r="G126">
        <v>3770</v>
      </c>
      <c r="H126">
        <v>3770</v>
      </c>
      <c r="I126">
        <v>40</v>
      </c>
      <c r="J126">
        <v>1.07</v>
      </c>
      <c r="K126">
        <v>3770</v>
      </c>
      <c r="L126">
        <v>40</v>
      </c>
      <c r="M126">
        <v>1.07</v>
      </c>
      <c r="N126">
        <v>3770</v>
      </c>
      <c r="O126">
        <v>3770</v>
      </c>
      <c r="P126">
        <v>492</v>
      </c>
      <c r="Q126">
        <v>7.66</v>
      </c>
      <c r="R126">
        <v>71</v>
      </c>
      <c r="S126">
        <v>12753927</v>
      </c>
      <c r="T126">
        <v>3770</v>
      </c>
      <c r="U126">
        <v>0</v>
      </c>
      <c r="V126">
        <v>0</v>
      </c>
      <c r="W126">
        <v>0</v>
      </c>
      <c r="X126" s="367"/>
    </row>
    <row r="127" spans="1:24">
      <c r="A127" t="s">
        <v>1953</v>
      </c>
      <c r="B127" t="s">
        <v>1952</v>
      </c>
      <c r="C127">
        <v>109</v>
      </c>
      <c r="D127">
        <v>5610890</v>
      </c>
      <c r="E127">
        <v>30411023800</v>
      </c>
      <c r="F127">
        <v>5270</v>
      </c>
      <c r="G127">
        <v>5420</v>
      </c>
      <c r="H127">
        <v>5420</v>
      </c>
      <c r="I127">
        <v>150</v>
      </c>
      <c r="J127">
        <v>2.85</v>
      </c>
      <c r="K127">
        <v>5420</v>
      </c>
      <c r="L127">
        <v>150</v>
      </c>
      <c r="M127">
        <v>2.85</v>
      </c>
      <c r="N127">
        <v>5420</v>
      </c>
      <c r="O127">
        <v>5420</v>
      </c>
      <c r="P127">
        <v>230</v>
      </c>
      <c r="Q127">
        <v>23.57</v>
      </c>
      <c r="R127">
        <v>31</v>
      </c>
      <c r="S127">
        <v>1142449</v>
      </c>
      <c r="T127">
        <v>5420</v>
      </c>
      <c r="U127">
        <v>0</v>
      </c>
      <c r="V127">
        <v>0</v>
      </c>
      <c r="W127">
        <v>0</v>
      </c>
      <c r="X127" s="367"/>
    </row>
    <row r="128" spans="1:24">
      <c r="A128" t="s">
        <v>2933</v>
      </c>
      <c r="B128" t="s">
        <v>2932</v>
      </c>
      <c r="C128">
        <v>1975</v>
      </c>
      <c r="D128">
        <v>1782789171</v>
      </c>
      <c r="E128">
        <v>1226558949648</v>
      </c>
      <c r="F128">
        <v>668</v>
      </c>
      <c r="G128">
        <v>688</v>
      </c>
      <c r="H128">
        <v>688</v>
      </c>
      <c r="I128">
        <v>20</v>
      </c>
      <c r="J128">
        <v>2.99</v>
      </c>
      <c r="K128">
        <v>688</v>
      </c>
      <c r="L128">
        <v>20</v>
      </c>
      <c r="M128">
        <v>2.99</v>
      </c>
      <c r="N128">
        <v>688</v>
      </c>
      <c r="O128">
        <v>688</v>
      </c>
      <c r="P128">
        <v>5</v>
      </c>
      <c r="Q128">
        <v>137.6</v>
      </c>
      <c r="R128">
        <v>841</v>
      </c>
      <c r="S128">
        <v>1546796106</v>
      </c>
      <c r="T128">
        <v>688</v>
      </c>
      <c r="U128">
        <v>779</v>
      </c>
      <c r="V128">
        <v>20093</v>
      </c>
      <c r="W128">
        <v>1</v>
      </c>
      <c r="X128" s="367"/>
    </row>
    <row r="129" spans="1:24">
      <c r="A129" t="s">
        <v>2104</v>
      </c>
      <c r="B129" t="s">
        <v>2103</v>
      </c>
      <c r="C129">
        <v>604</v>
      </c>
      <c r="D129">
        <v>109755799</v>
      </c>
      <c r="E129">
        <v>196496640921</v>
      </c>
      <c r="F129">
        <v>1740</v>
      </c>
      <c r="G129">
        <v>1780</v>
      </c>
      <c r="H129">
        <v>1792</v>
      </c>
      <c r="I129">
        <v>52</v>
      </c>
      <c r="J129">
        <v>2.99</v>
      </c>
      <c r="K129">
        <v>1790</v>
      </c>
      <c r="L129">
        <v>50</v>
      </c>
      <c r="M129">
        <v>2.87</v>
      </c>
      <c r="N129">
        <v>1780</v>
      </c>
      <c r="O129">
        <v>1792</v>
      </c>
      <c r="P129">
        <v>394</v>
      </c>
      <c r="Q129">
        <v>4.54</v>
      </c>
      <c r="R129">
        <v>19</v>
      </c>
      <c r="S129">
        <v>2480125</v>
      </c>
      <c r="T129">
        <v>1792</v>
      </c>
      <c r="U129">
        <v>0</v>
      </c>
      <c r="V129">
        <v>0</v>
      </c>
      <c r="W129">
        <v>0</v>
      </c>
      <c r="X129" s="367"/>
    </row>
    <row r="130" spans="1:24">
      <c r="A130" t="s">
        <v>3096</v>
      </c>
      <c r="B130" t="s">
        <v>3095</v>
      </c>
      <c r="C130">
        <v>324</v>
      </c>
      <c r="D130">
        <v>10089562</v>
      </c>
      <c r="E130">
        <v>220385805720</v>
      </c>
      <c r="F130">
        <v>22080</v>
      </c>
      <c r="G130">
        <v>21420</v>
      </c>
      <c r="H130">
        <v>22740</v>
      </c>
      <c r="I130">
        <v>660</v>
      </c>
      <c r="J130">
        <v>2.99</v>
      </c>
      <c r="K130">
        <v>21840</v>
      </c>
      <c r="L130">
        <v>-240</v>
      </c>
      <c r="M130">
        <v>-1.0900000000000001</v>
      </c>
      <c r="N130">
        <v>21420</v>
      </c>
      <c r="O130">
        <v>22740</v>
      </c>
      <c r="P130">
        <v>143</v>
      </c>
      <c r="Q130">
        <v>152.72999999999999</v>
      </c>
      <c r="R130">
        <v>2</v>
      </c>
      <c r="S130">
        <v>101948</v>
      </c>
      <c r="T130">
        <v>22740</v>
      </c>
      <c r="U130">
        <v>0</v>
      </c>
      <c r="V130">
        <v>0</v>
      </c>
      <c r="W130">
        <v>0</v>
      </c>
      <c r="X130" s="367"/>
    </row>
    <row r="131" spans="1:24">
      <c r="A131" t="s">
        <v>2679</v>
      </c>
      <c r="B131" t="s">
        <v>2678</v>
      </c>
      <c r="C131">
        <v>2900</v>
      </c>
      <c r="D131">
        <v>21122411</v>
      </c>
      <c r="E131">
        <v>151579193920</v>
      </c>
      <c r="F131">
        <v>6980</v>
      </c>
      <c r="G131">
        <v>7180</v>
      </c>
      <c r="H131">
        <v>7180</v>
      </c>
      <c r="I131">
        <v>200</v>
      </c>
      <c r="J131">
        <v>2.87</v>
      </c>
      <c r="K131">
        <v>7180</v>
      </c>
      <c r="L131">
        <v>200</v>
      </c>
      <c r="M131">
        <v>2.87</v>
      </c>
      <c r="N131">
        <v>7080</v>
      </c>
      <c r="O131">
        <v>7180</v>
      </c>
      <c r="P131">
        <v>966</v>
      </c>
      <c r="Q131">
        <v>7.43</v>
      </c>
      <c r="R131">
        <v>18</v>
      </c>
      <c r="S131">
        <v>4364192</v>
      </c>
      <c r="T131">
        <v>7180</v>
      </c>
      <c r="U131">
        <v>0</v>
      </c>
      <c r="V131">
        <v>0</v>
      </c>
      <c r="W131">
        <v>0</v>
      </c>
      <c r="X131" s="367"/>
    </row>
    <row r="132" spans="1:24">
      <c r="A132" t="s">
        <v>1854</v>
      </c>
      <c r="B132" t="s">
        <v>1853</v>
      </c>
      <c r="C132">
        <v>36</v>
      </c>
      <c r="D132">
        <v>305482</v>
      </c>
      <c r="E132">
        <v>3919334060</v>
      </c>
      <c r="F132">
        <v>12460</v>
      </c>
      <c r="G132">
        <v>12830</v>
      </c>
      <c r="H132">
        <v>12830</v>
      </c>
      <c r="I132">
        <v>370</v>
      </c>
      <c r="J132">
        <v>2.97</v>
      </c>
      <c r="K132">
        <v>12830</v>
      </c>
      <c r="L132">
        <v>370</v>
      </c>
      <c r="M132">
        <v>2.97</v>
      </c>
      <c r="N132">
        <v>12830</v>
      </c>
      <c r="O132">
        <v>12830</v>
      </c>
      <c r="P132">
        <v>985</v>
      </c>
      <c r="Q132">
        <v>13.03</v>
      </c>
      <c r="R132">
        <v>29</v>
      </c>
      <c r="S132">
        <v>700927</v>
      </c>
      <c r="T132">
        <v>12830</v>
      </c>
      <c r="U132">
        <v>13020</v>
      </c>
      <c r="V132">
        <v>1000</v>
      </c>
      <c r="W132">
        <v>1</v>
      </c>
      <c r="X132" s="367"/>
    </row>
    <row r="133" spans="1:24">
      <c r="A133" t="s">
        <v>8311</v>
      </c>
      <c r="B133" t="s">
        <v>8312</v>
      </c>
      <c r="C133">
        <v>0</v>
      </c>
      <c r="D133">
        <v>0</v>
      </c>
      <c r="E133">
        <v>0</v>
      </c>
      <c r="F133">
        <v>2735200</v>
      </c>
      <c r="G133">
        <v>0</v>
      </c>
      <c r="H133">
        <v>2735200</v>
      </c>
      <c r="I133">
        <v>0</v>
      </c>
      <c r="J133">
        <v>0</v>
      </c>
      <c r="K133">
        <v>2735200</v>
      </c>
      <c r="L133">
        <v>0</v>
      </c>
      <c r="M133">
        <v>0</v>
      </c>
      <c r="N133">
        <v>0</v>
      </c>
      <c r="O133">
        <v>0</v>
      </c>
      <c r="P133" t="s">
        <v>192</v>
      </c>
      <c r="Q133" t="s">
        <v>192</v>
      </c>
      <c r="R133">
        <v>1</v>
      </c>
      <c r="S133">
        <v>50</v>
      </c>
      <c r="T133">
        <v>2461680</v>
      </c>
      <c r="U133">
        <v>0</v>
      </c>
      <c r="V133">
        <v>0</v>
      </c>
      <c r="W133">
        <v>0</v>
      </c>
      <c r="X133" s="367"/>
    </row>
    <row r="134" spans="1:24">
      <c r="A134" t="s">
        <v>5938</v>
      </c>
      <c r="B134" t="s">
        <v>5939</v>
      </c>
      <c r="C134">
        <v>314</v>
      </c>
      <c r="D134">
        <v>5277495</v>
      </c>
      <c r="E134">
        <v>91636789343</v>
      </c>
      <c r="F134">
        <v>16861</v>
      </c>
      <c r="G134">
        <v>17366</v>
      </c>
      <c r="H134">
        <v>17366</v>
      </c>
      <c r="I134">
        <v>505</v>
      </c>
      <c r="J134">
        <v>3</v>
      </c>
      <c r="K134">
        <v>17364</v>
      </c>
      <c r="L134">
        <v>503</v>
      </c>
      <c r="M134">
        <v>2.98</v>
      </c>
      <c r="N134">
        <v>17251</v>
      </c>
      <c r="O134">
        <v>17366</v>
      </c>
      <c r="P134" t="s">
        <v>192</v>
      </c>
      <c r="Q134" t="s">
        <v>192</v>
      </c>
      <c r="R134">
        <v>1</v>
      </c>
      <c r="S134">
        <v>49990</v>
      </c>
      <c r="T134">
        <v>17365</v>
      </c>
      <c r="U134">
        <v>0</v>
      </c>
      <c r="V134">
        <v>0</v>
      </c>
      <c r="W134">
        <v>0</v>
      </c>
      <c r="X134" s="367"/>
    </row>
    <row r="135" spans="1:24">
      <c r="A135" t="s">
        <v>5940</v>
      </c>
      <c r="B135" t="s">
        <v>5941</v>
      </c>
      <c r="C135">
        <v>976</v>
      </c>
      <c r="D135">
        <v>189241529</v>
      </c>
      <c r="E135">
        <v>4515000445873</v>
      </c>
      <c r="F135">
        <v>23820</v>
      </c>
      <c r="G135">
        <v>23858</v>
      </c>
      <c r="H135">
        <v>23858</v>
      </c>
      <c r="I135">
        <v>38</v>
      </c>
      <c r="J135">
        <v>0.16</v>
      </c>
      <c r="K135">
        <v>23858</v>
      </c>
      <c r="L135">
        <v>38</v>
      </c>
      <c r="M135">
        <v>0.16</v>
      </c>
      <c r="N135">
        <v>23858</v>
      </c>
      <c r="O135">
        <v>23859</v>
      </c>
      <c r="P135" t="s">
        <v>192</v>
      </c>
      <c r="Q135" t="s">
        <v>192</v>
      </c>
      <c r="R135">
        <v>56</v>
      </c>
      <c r="S135">
        <v>277476333</v>
      </c>
      <c r="T135">
        <v>23858</v>
      </c>
      <c r="U135">
        <v>23859</v>
      </c>
      <c r="V135">
        <v>49166965</v>
      </c>
      <c r="W135">
        <v>2</v>
      </c>
      <c r="X135" s="367"/>
    </row>
    <row r="136" spans="1:24">
      <c r="A136" t="s">
        <v>1841</v>
      </c>
      <c r="B136" t="s">
        <v>1840</v>
      </c>
      <c r="C136">
        <v>23</v>
      </c>
      <c r="D136">
        <v>1314921</v>
      </c>
      <c r="E136">
        <v>4960786630</v>
      </c>
      <c r="F136">
        <v>3680</v>
      </c>
      <c r="G136">
        <v>3680</v>
      </c>
      <c r="H136">
        <v>3790</v>
      </c>
      <c r="I136">
        <v>110</v>
      </c>
      <c r="J136">
        <v>2.99</v>
      </c>
      <c r="K136">
        <v>3770</v>
      </c>
      <c r="L136">
        <v>90</v>
      </c>
      <c r="M136">
        <v>2.4500000000000002</v>
      </c>
      <c r="N136">
        <v>3680</v>
      </c>
      <c r="O136">
        <v>3790</v>
      </c>
      <c r="P136">
        <v>253</v>
      </c>
      <c r="Q136">
        <v>14.9</v>
      </c>
      <c r="R136">
        <v>10</v>
      </c>
      <c r="S136">
        <v>2156531</v>
      </c>
      <c r="T136">
        <v>3790</v>
      </c>
      <c r="U136">
        <v>0</v>
      </c>
      <c r="V136">
        <v>0</v>
      </c>
      <c r="W136">
        <v>0</v>
      </c>
      <c r="X136" s="367"/>
    </row>
    <row r="137" spans="1:24">
      <c r="A137" t="s">
        <v>1871</v>
      </c>
      <c r="B137" t="s">
        <v>1870</v>
      </c>
      <c r="C137">
        <v>1878</v>
      </c>
      <c r="D137">
        <v>33738178</v>
      </c>
      <c r="E137">
        <v>382978133420</v>
      </c>
      <c r="F137">
        <v>11080</v>
      </c>
      <c r="G137">
        <v>11400</v>
      </c>
      <c r="H137">
        <v>11410</v>
      </c>
      <c r="I137">
        <v>330</v>
      </c>
      <c r="J137">
        <v>2.98</v>
      </c>
      <c r="K137">
        <v>11350</v>
      </c>
      <c r="L137">
        <v>270</v>
      </c>
      <c r="M137">
        <v>2.44</v>
      </c>
      <c r="N137">
        <v>11200</v>
      </c>
      <c r="O137">
        <v>11410</v>
      </c>
      <c r="P137">
        <v>2029</v>
      </c>
      <c r="Q137">
        <v>5.59</v>
      </c>
      <c r="R137">
        <v>30</v>
      </c>
      <c r="S137">
        <v>1444619</v>
      </c>
      <c r="T137">
        <v>11410</v>
      </c>
      <c r="U137">
        <v>11510</v>
      </c>
      <c r="V137">
        <v>10000</v>
      </c>
      <c r="W137">
        <v>1</v>
      </c>
      <c r="X137" s="367"/>
    </row>
    <row r="138" spans="1:24">
      <c r="A138" t="s">
        <v>8774</v>
      </c>
      <c r="B138" t="s">
        <v>2325</v>
      </c>
      <c r="C138">
        <v>2</v>
      </c>
      <c r="D138">
        <v>34240</v>
      </c>
      <c r="E138">
        <v>100905280</v>
      </c>
      <c r="F138">
        <v>2862</v>
      </c>
      <c r="G138">
        <v>2947</v>
      </c>
      <c r="H138">
        <v>2947</v>
      </c>
      <c r="I138">
        <v>85</v>
      </c>
      <c r="J138">
        <v>2.97</v>
      </c>
      <c r="K138">
        <v>2947</v>
      </c>
      <c r="L138">
        <v>85</v>
      </c>
      <c r="M138">
        <v>2.97</v>
      </c>
      <c r="N138">
        <v>2947</v>
      </c>
      <c r="O138">
        <v>2947</v>
      </c>
      <c r="P138">
        <v>1002</v>
      </c>
      <c r="Q138">
        <v>2.94</v>
      </c>
      <c r="R138">
        <v>4</v>
      </c>
      <c r="S138">
        <v>2201016</v>
      </c>
      <c r="T138">
        <v>2947</v>
      </c>
      <c r="U138">
        <v>0</v>
      </c>
      <c r="V138">
        <v>0</v>
      </c>
      <c r="W138">
        <v>0</v>
      </c>
      <c r="X138" s="367"/>
    </row>
    <row r="139" spans="1:24">
      <c r="A139" t="s">
        <v>5942</v>
      </c>
      <c r="B139" t="s">
        <v>5943</v>
      </c>
      <c r="C139">
        <v>0</v>
      </c>
      <c r="D139">
        <v>0</v>
      </c>
      <c r="E139">
        <v>0</v>
      </c>
      <c r="F139">
        <v>2325845</v>
      </c>
      <c r="G139">
        <v>0</v>
      </c>
      <c r="H139">
        <v>2325845</v>
      </c>
      <c r="I139">
        <v>0</v>
      </c>
      <c r="J139">
        <v>0</v>
      </c>
      <c r="K139">
        <v>2325845</v>
      </c>
      <c r="L139">
        <v>0</v>
      </c>
      <c r="M139">
        <v>0</v>
      </c>
      <c r="N139">
        <v>0</v>
      </c>
      <c r="O139">
        <v>0</v>
      </c>
      <c r="P139" t="s">
        <v>192</v>
      </c>
      <c r="Q139" t="s">
        <v>192</v>
      </c>
      <c r="R139">
        <v>1</v>
      </c>
      <c r="S139">
        <v>33565</v>
      </c>
      <c r="T139">
        <v>2325845</v>
      </c>
      <c r="U139">
        <v>2372360</v>
      </c>
      <c r="V139">
        <v>10625</v>
      </c>
      <c r="W139">
        <v>1</v>
      </c>
      <c r="X139" s="367"/>
    </row>
    <row r="140" spans="1:24">
      <c r="A140" t="s">
        <v>8702</v>
      </c>
      <c r="B140" t="s">
        <v>8619</v>
      </c>
      <c r="C140">
        <v>0</v>
      </c>
      <c r="D140">
        <v>0</v>
      </c>
      <c r="E140">
        <v>0</v>
      </c>
      <c r="F140">
        <v>806330</v>
      </c>
      <c r="G140">
        <v>0</v>
      </c>
      <c r="H140">
        <v>806330</v>
      </c>
      <c r="I140">
        <v>0</v>
      </c>
      <c r="J140">
        <v>0</v>
      </c>
      <c r="K140">
        <v>806330</v>
      </c>
      <c r="L140">
        <v>0</v>
      </c>
      <c r="M140">
        <v>0</v>
      </c>
      <c r="N140">
        <v>0</v>
      </c>
      <c r="O140">
        <v>0</v>
      </c>
      <c r="P140" t="s">
        <v>192</v>
      </c>
      <c r="Q140" t="s">
        <v>192</v>
      </c>
      <c r="R140">
        <v>0</v>
      </c>
      <c r="S140">
        <v>0</v>
      </c>
      <c r="T140">
        <v>0</v>
      </c>
      <c r="U140">
        <v>830510</v>
      </c>
      <c r="V140">
        <v>120000</v>
      </c>
      <c r="W140">
        <v>1</v>
      </c>
      <c r="X140" s="367"/>
    </row>
    <row r="141" spans="1:24">
      <c r="A141" t="s">
        <v>2030</v>
      </c>
      <c r="B141" t="s">
        <v>2029</v>
      </c>
      <c r="C141">
        <v>437</v>
      </c>
      <c r="D141">
        <v>4429438</v>
      </c>
      <c r="E141">
        <v>66473576120</v>
      </c>
      <c r="F141">
        <v>14670</v>
      </c>
      <c r="G141">
        <v>15000</v>
      </c>
      <c r="H141">
        <v>14930</v>
      </c>
      <c r="I141">
        <v>260</v>
      </c>
      <c r="J141">
        <v>1.77</v>
      </c>
      <c r="K141">
        <v>15010</v>
      </c>
      <c r="L141">
        <v>340</v>
      </c>
      <c r="M141">
        <v>2.3199999999999998</v>
      </c>
      <c r="N141">
        <v>14650</v>
      </c>
      <c r="O141">
        <v>15110</v>
      </c>
      <c r="P141">
        <v>620</v>
      </c>
      <c r="Q141">
        <v>24.21</v>
      </c>
      <c r="R141">
        <v>1</v>
      </c>
      <c r="S141">
        <v>13307</v>
      </c>
      <c r="T141">
        <v>14910</v>
      </c>
      <c r="U141">
        <v>14930</v>
      </c>
      <c r="V141">
        <v>2653</v>
      </c>
      <c r="W141">
        <v>1</v>
      </c>
      <c r="X141" s="367"/>
    </row>
    <row r="142" spans="1:24">
      <c r="A142" t="s">
        <v>5944</v>
      </c>
      <c r="B142" t="s">
        <v>5945</v>
      </c>
      <c r="C142">
        <v>0</v>
      </c>
      <c r="D142">
        <v>0</v>
      </c>
      <c r="E142">
        <v>0</v>
      </c>
      <c r="F142">
        <v>1000000</v>
      </c>
      <c r="G142">
        <v>0</v>
      </c>
      <c r="H142">
        <v>1000000</v>
      </c>
      <c r="I142">
        <v>0</v>
      </c>
      <c r="J142">
        <v>0</v>
      </c>
      <c r="K142">
        <v>1000000</v>
      </c>
      <c r="L142">
        <v>0</v>
      </c>
      <c r="M142">
        <v>0</v>
      </c>
      <c r="N142">
        <v>0</v>
      </c>
      <c r="O142">
        <v>0</v>
      </c>
      <c r="P142" t="s">
        <v>192</v>
      </c>
      <c r="Q142" t="s">
        <v>192</v>
      </c>
      <c r="R142">
        <v>1</v>
      </c>
      <c r="S142">
        <v>7500</v>
      </c>
      <c r="T142">
        <v>1000000</v>
      </c>
      <c r="U142">
        <v>1009999</v>
      </c>
      <c r="V142">
        <v>7500</v>
      </c>
      <c r="W142">
        <v>1</v>
      </c>
      <c r="X142" s="367"/>
    </row>
    <row r="143" spans="1:24">
      <c r="A143" t="s">
        <v>2172</v>
      </c>
      <c r="B143" t="s">
        <v>2171</v>
      </c>
      <c r="C143">
        <v>38</v>
      </c>
      <c r="D143">
        <v>713358</v>
      </c>
      <c r="E143">
        <v>6969507660</v>
      </c>
      <c r="F143">
        <v>9490</v>
      </c>
      <c r="G143">
        <v>9770</v>
      </c>
      <c r="H143">
        <v>9770</v>
      </c>
      <c r="I143">
        <v>280</v>
      </c>
      <c r="J143">
        <v>2.95</v>
      </c>
      <c r="K143">
        <v>9770</v>
      </c>
      <c r="L143">
        <v>280</v>
      </c>
      <c r="M143">
        <v>2.95</v>
      </c>
      <c r="N143">
        <v>9770</v>
      </c>
      <c r="O143">
        <v>9770</v>
      </c>
      <c r="P143">
        <v>1083</v>
      </c>
      <c r="Q143">
        <v>9.02</v>
      </c>
      <c r="R143">
        <v>224</v>
      </c>
      <c r="S143">
        <v>46668453</v>
      </c>
      <c r="T143">
        <v>9770</v>
      </c>
      <c r="U143">
        <v>0</v>
      </c>
      <c r="V143">
        <v>0</v>
      </c>
      <c r="W143">
        <v>0</v>
      </c>
      <c r="X143" s="367"/>
    </row>
    <row r="144" spans="1:24">
      <c r="A144" t="s">
        <v>2485</v>
      </c>
      <c r="B144" t="s">
        <v>2484</v>
      </c>
      <c r="C144">
        <v>391</v>
      </c>
      <c r="D144">
        <v>3934287</v>
      </c>
      <c r="E144">
        <v>88028535730</v>
      </c>
      <c r="F144">
        <v>21730</v>
      </c>
      <c r="G144">
        <v>22380</v>
      </c>
      <c r="H144">
        <v>22380</v>
      </c>
      <c r="I144">
        <v>650</v>
      </c>
      <c r="J144">
        <v>2.99</v>
      </c>
      <c r="K144">
        <v>22370</v>
      </c>
      <c r="L144">
        <v>640</v>
      </c>
      <c r="M144">
        <v>2.95</v>
      </c>
      <c r="N144">
        <v>22090</v>
      </c>
      <c r="O144">
        <v>22380</v>
      </c>
      <c r="P144">
        <v>1287</v>
      </c>
      <c r="Q144">
        <v>17.38</v>
      </c>
      <c r="R144">
        <v>18</v>
      </c>
      <c r="S144">
        <v>166049</v>
      </c>
      <c r="T144">
        <v>22380</v>
      </c>
      <c r="U144">
        <v>0</v>
      </c>
      <c r="V144">
        <v>0</v>
      </c>
      <c r="W144">
        <v>0</v>
      </c>
      <c r="X144" s="367"/>
    </row>
    <row r="145" spans="1:24">
      <c r="A145" t="s">
        <v>5946</v>
      </c>
      <c r="B145" t="s">
        <v>5947</v>
      </c>
      <c r="C145">
        <v>218</v>
      </c>
      <c r="D145">
        <v>15460852</v>
      </c>
      <c r="E145">
        <v>50634290300</v>
      </c>
      <c r="F145">
        <v>3180</v>
      </c>
      <c r="G145">
        <v>3275</v>
      </c>
      <c r="H145">
        <v>3275</v>
      </c>
      <c r="I145">
        <v>95</v>
      </c>
      <c r="J145">
        <v>2.99</v>
      </c>
      <c r="K145">
        <v>3275</v>
      </c>
      <c r="L145">
        <v>95</v>
      </c>
      <c r="M145">
        <v>2.99</v>
      </c>
      <c r="N145">
        <v>3275</v>
      </c>
      <c r="O145">
        <v>3275</v>
      </c>
      <c r="P145">
        <v>393</v>
      </c>
      <c r="Q145">
        <v>8.33</v>
      </c>
      <c r="R145">
        <v>78</v>
      </c>
      <c r="S145">
        <v>16985892</v>
      </c>
      <c r="T145">
        <v>3275</v>
      </c>
      <c r="U145">
        <v>3430</v>
      </c>
      <c r="V145">
        <v>100000</v>
      </c>
      <c r="W145">
        <v>1</v>
      </c>
      <c r="X145" s="367"/>
    </row>
    <row r="146" spans="1:24">
      <c r="A146" t="s">
        <v>2407</v>
      </c>
      <c r="B146" t="s">
        <v>2406</v>
      </c>
      <c r="C146">
        <v>100</v>
      </c>
      <c r="D146">
        <v>22668128</v>
      </c>
      <c r="E146">
        <v>25252294592</v>
      </c>
      <c r="F146">
        <v>1082</v>
      </c>
      <c r="G146">
        <v>1114</v>
      </c>
      <c r="H146">
        <v>1114</v>
      </c>
      <c r="I146">
        <v>32</v>
      </c>
      <c r="J146">
        <v>2.96</v>
      </c>
      <c r="K146">
        <v>1114</v>
      </c>
      <c r="L146">
        <v>32</v>
      </c>
      <c r="M146">
        <v>2.96</v>
      </c>
      <c r="N146">
        <v>1114</v>
      </c>
      <c r="O146">
        <v>1114</v>
      </c>
      <c r="P146">
        <v>70</v>
      </c>
      <c r="Q146">
        <v>15.91</v>
      </c>
      <c r="R146">
        <v>56</v>
      </c>
      <c r="S146">
        <v>9641371</v>
      </c>
      <c r="T146">
        <v>1114</v>
      </c>
      <c r="U146">
        <v>0</v>
      </c>
      <c r="V146">
        <v>0</v>
      </c>
      <c r="W146">
        <v>0</v>
      </c>
      <c r="X146" s="367"/>
    </row>
    <row r="147" spans="1:24">
      <c r="A147" t="s">
        <v>1910</v>
      </c>
      <c r="B147" t="s">
        <v>1909</v>
      </c>
      <c r="C147">
        <v>225</v>
      </c>
      <c r="D147">
        <v>9826830</v>
      </c>
      <c r="E147">
        <v>52834857290</v>
      </c>
      <c r="F147">
        <v>5240</v>
      </c>
      <c r="G147">
        <v>5320</v>
      </c>
      <c r="H147">
        <v>5390</v>
      </c>
      <c r="I147">
        <v>150</v>
      </c>
      <c r="J147">
        <v>2.86</v>
      </c>
      <c r="K147">
        <v>5380</v>
      </c>
      <c r="L147">
        <v>140</v>
      </c>
      <c r="M147">
        <v>2.67</v>
      </c>
      <c r="N147">
        <v>5240</v>
      </c>
      <c r="O147">
        <v>5390</v>
      </c>
      <c r="P147">
        <v>454</v>
      </c>
      <c r="Q147">
        <v>11.85</v>
      </c>
      <c r="R147">
        <v>5</v>
      </c>
      <c r="S147">
        <v>302230</v>
      </c>
      <c r="T147">
        <v>5390</v>
      </c>
      <c r="U147">
        <v>0</v>
      </c>
      <c r="V147">
        <v>0</v>
      </c>
      <c r="W147">
        <v>0</v>
      </c>
      <c r="X147" s="367"/>
    </row>
    <row r="148" spans="1:24">
      <c r="A148" t="s">
        <v>6479</v>
      </c>
      <c r="B148" t="s">
        <v>5554</v>
      </c>
      <c r="C148">
        <v>10</v>
      </c>
      <c r="D148">
        <v>6850000</v>
      </c>
      <c r="E148">
        <v>6850000</v>
      </c>
      <c r="F148">
        <v>21758</v>
      </c>
      <c r="G148">
        <v>1</v>
      </c>
      <c r="H148">
        <v>1</v>
      </c>
      <c r="I148">
        <v>-21757</v>
      </c>
      <c r="J148">
        <v>-100</v>
      </c>
      <c r="K148">
        <v>1</v>
      </c>
      <c r="L148">
        <v>-21757</v>
      </c>
      <c r="M148">
        <v>-100</v>
      </c>
      <c r="N148">
        <v>1</v>
      </c>
      <c r="O148">
        <v>1</v>
      </c>
      <c r="P148" t="s">
        <v>192</v>
      </c>
      <c r="Q148" t="s">
        <v>192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367"/>
    </row>
    <row r="149" spans="1:24">
      <c r="A149" t="s">
        <v>8519</v>
      </c>
      <c r="B149" t="s">
        <v>5368</v>
      </c>
      <c r="C149">
        <v>12</v>
      </c>
      <c r="D149">
        <v>88000000</v>
      </c>
      <c r="E149">
        <v>88000000</v>
      </c>
      <c r="F149">
        <v>35990</v>
      </c>
      <c r="G149">
        <v>1</v>
      </c>
      <c r="H149">
        <v>1</v>
      </c>
      <c r="I149">
        <v>-35989</v>
      </c>
      <c r="J149">
        <v>-100</v>
      </c>
      <c r="K149">
        <v>1</v>
      </c>
      <c r="L149">
        <v>-35989</v>
      </c>
      <c r="M149">
        <v>-100</v>
      </c>
      <c r="N149">
        <v>1</v>
      </c>
      <c r="O149">
        <v>1</v>
      </c>
      <c r="P149" t="s">
        <v>192</v>
      </c>
      <c r="Q149" t="s">
        <v>192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367"/>
    </row>
    <row r="150" spans="1:24">
      <c r="A150" t="s">
        <v>2582</v>
      </c>
      <c r="B150" t="s">
        <v>2581</v>
      </c>
      <c r="C150">
        <v>84</v>
      </c>
      <c r="D150">
        <v>1196754</v>
      </c>
      <c r="E150">
        <v>3629754882</v>
      </c>
      <c r="F150">
        <v>2945</v>
      </c>
      <c r="G150">
        <v>3033</v>
      </c>
      <c r="H150">
        <v>3033</v>
      </c>
      <c r="I150">
        <v>88</v>
      </c>
      <c r="J150">
        <v>2.99</v>
      </c>
      <c r="K150">
        <v>3033</v>
      </c>
      <c r="L150">
        <v>88</v>
      </c>
      <c r="M150">
        <v>2.99</v>
      </c>
      <c r="N150">
        <v>3033</v>
      </c>
      <c r="O150">
        <v>3033</v>
      </c>
      <c r="P150">
        <v>-11</v>
      </c>
      <c r="Q150">
        <v>-275.73</v>
      </c>
      <c r="R150">
        <v>48</v>
      </c>
      <c r="S150">
        <v>2699184</v>
      </c>
      <c r="T150">
        <v>3033</v>
      </c>
      <c r="U150">
        <v>0</v>
      </c>
      <c r="V150">
        <v>0</v>
      </c>
      <c r="W150">
        <v>0</v>
      </c>
      <c r="X150" s="367"/>
    </row>
    <row r="151" spans="1:24">
      <c r="A151" t="s">
        <v>2682</v>
      </c>
      <c r="B151" t="s">
        <v>2681</v>
      </c>
      <c r="C151">
        <v>75</v>
      </c>
      <c r="D151">
        <v>1171969</v>
      </c>
      <c r="E151">
        <v>16665399180</v>
      </c>
      <c r="F151">
        <v>13810</v>
      </c>
      <c r="G151">
        <v>14220</v>
      </c>
      <c r="H151">
        <v>14220</v>
      </c>
      <c r="I151">
        <v>410</v>
      </c>
      <c r="J151">
        <v>2.97</v>
      </c>
      <c r="K151">
        <v>14220</v>
      </c>
      <c r="L151">
        <v>410</v>
      </c>
      <c r="M151">
        <v>2.97</v>
      </c>
      <c r="N151">
        <v>14220</v>
      </c>
      <c r="O151">
        <v>14220</v>
      </c>
      <c r="P151">
        <v>2597</v>
      </c>
      <c r="Q151">
        <v>5.48</v>
      </c>
      <c r="R151">
        <v>188</v>
      </c>
      <c r="S151">
        <v>13523515</v>
      </c>
      <c r="T151">
        <v>14220</v>
      </c>
      <c r="U151">
        <v>0</v>
      </c>
      <c r="V151">
        <v>0</v>
      </c>
      <c r="W151">
        <v>0</v>
      </c>
      <c r="X151" s="367"/>
    </row>
    <row r="152" spans="1:24">
      <c r="A152" t="s">
        <v>8671</v>
      </c>
      <c r="B152" t="s">
        <v>8672</v>
      </c>
      <c r="C152">
        <v>93</v>
      </c>
      <c r="D152">
        <v>180697</v>
      </c>
      <c r="E152">
        <v>19930879100</v>
      </c>
      <c r="F152">
        <v>113700</v>
      </c>
      <c r="G152">
        <v>110300</v>
      </c>
      <c r="H152">
        <v>110300</v>
      </c>
      <c r="I152">
        <v>-3400</v>
      </c>
      <c r="J152">
        <v>-2.99</v>
      </c>
      <c r="K152">
        <v>110300</v>
      </c>
      <c r="L152">
        <v>-3400</v>
      </c>
      <c r="M152">
        <v>-2.99</v>
      </c>
      <c r="N152">
        <v>110300</v>
      </c>
      <c r="O152">
        <v>110300</v>
      </c>
      <c r="P152">
        <v>123</v>
      </c>
      <c r="Q152">
        <v>896.75</v>
      </c>
      <c r="R152">
        <v>0</v>
      </c>
      <c r="S152">
        <v>0</v>
      </c>
      <c r="T152">
        <v>0</v>
      </c>
      <c r="U152">
        <v>110300</v>
      </c>
      <c r="V152">
        <v>1009349</v>
      </c>
      <c r="W152">
        <v>144</v>
      </c>
      <c r="X152" s="367"/>
    </row>
    <row r="153" spans="1:24">
      <c r="A153" t="s">
        <v>2540</v>
      </c>
      <c r="B153" t="s">
        <v>2539</v>
      </c>
      <c r="C153">
        <v>366</v>
      </c>
      <c r="D153">
        <v>18380597</v>
      </c>
      <c r="E153">
        <v>107488752400</v>
      </c>
      <c r="F153">
        <v>5680</v>
      </c>
      <c r="G153">
        <v>5850</v>
      </c>
      <c r="H153">
        <v>5850</v>
      </c>
      <c r="I153">
        <v>170</v>
      </c>
      <c r="J153">
        <v>2.99</v>
      </c>
      <c r="K153">
        <v>5850</v>
      </c>
      <c r="L153">
        <v>170</v>
      </c>
      <c r="M153">
        <v>2.99</v>
      </c>
      <c r="N153">
        <v>5790</v>
      </c>
      <c r="O153">
        <v>5850</v>
      </c>
      <c r="P153">
        <v>910</v>
      </c>
      <c r="Q153">
        <v>6.43</v>
      </c>
      <c r="R153">
        <v>40</v>
      </c>
      <c r="S153">
        <v>9559002</v>
      </c>
      <c r="T153">
        <v>5850</v>
      </c>
      <c r="U153">
        <v>0</v>
      </c>
      <c r="V153">
        <v>0</v>
      </c>
      <c r="W153">
        <v>0</v>
      </c>
      <c r="X153" s="367"/>
    </row>
    <row r="154" spans="1:24">
      <c r="A154" t="s">
        <v>1858</v>
      </c>
      <c r="B154" t="s">
        <v>1857</v>
      </c>
      <c r="C154">
        <v>259</v>
      </c>
      <c r="D154">
        <v>11175427</v>
      </c>
      <c r="E154">
        <v>289443559300</v>
      </c>
      <c r="F154">
        <v>25150</v>
      </c>
      <c r="G154">
        <v>25900</v>
      </c>
      <c r="H154">
        <v>25900</v>
      </c>
      <c r="I154">
        <v>750</v>
      </c>
      <c r="J154">
        <v>2.98</v>
      </c>
      <c r="K154">
        <v>25900</v>
      </c>
      <c r="L154">
        <v>750</v>
      </c>
      <c r="M154">
        <v>2.98</v>
      </c>
      <c r="N154">
        <v>25900</v>
      </c>
      <c r="O154">
        <v>25900</v>
      </c>
      <c r="P154">
        <v>3483</v>
      </c>
      <c r="Q154">
        <v>7.44</v>
      </c>
      <c r="R154">
        <v>1292</v>
      </c>
      <c r="S154">
        <v>109937647</v>
      </c>
      <c r="T154">
        <v>25900</v>
      </c>
      <c r="U154">
        <v>26600</v>
      </c>
      <c r="V154">
        <v>1305</v>
      </c>
      <c r="W154">
        <v>1</v>
      </c>
      <c r="X154" s="367"/>
    </row>
    <row r="155" spans="1:24">
      <c r="A155" t="s">
        <v>5948</v>
      </c>
      <c r="B155" t="s">
        <v>5949</v>
      </c>
      <c r="C155">
        <v>0</v>
      </c>
      <c r="D155">
        <v>0</v>
      </c>
      <c r="E155">
        <v>0</v>
      </c>
      <c r="F155">
        <v>600000</v>
      </c>
      <c r="G155">
        <v>0</v>
      </c>
      <c r="H155">
        <v>600000</v>
      </c>
      <c r="I155">
        <v>0</v>
      </c>
      <c r="J155">
        <v>0</v>
      </c>
      <c r="K155">
        <v>600000</v>
      </c>
      <c r="L155">
        <v>0</v>
      </c>
      <c r="M155">
        <v>0</v>
      </c>
      <c r="N155">
        <v>0</v>
      </c>
      <c r="O155">
        <v>0</v>
      </c>
      <c r="P155" t="s">
        <v>192</v>
      </c>
      <c r="Q155" t="s">
        <v>192</v>
      </c>
      <c r="R155">
        <v>1</v>
      </c>
      <c r="S155">
        <v>4000</v>
      </c>
      <c r="T155">
        <v>600000</v>
      </c>
      <c r="U155">
        <v>0</v>
      </c>
      <c r="V155">
        <v>0</v>
      </c>
      <c r="W155">
        <v>0</v>
      </c>
      <c r="X155" s="367"/>
    </row>
    <row r="156" spans="1:24">
      <c r="A156" t="s">
        <v>1966</v>
      </c>
      <c r="B156" t="s">
        <v>1965</v>
      </c>
      <c r="C156">
        <v>2332</v>
      </c>
      <c r="D156">
        <v>13234506</v>
      </c>
      <c r="E156">
        <v>48855140340</v>
      </c>
      <c r="F156">
        <v>3610</v>
      </c>
      <c r="G156">
        <v>3610</v>
      </c>
      <c r="H156">
        <v>3690</v>
      </c>
      <c r="I156">
        <v>80</v>
      </c>
      <c r="J156">
        <v>2.2200000000000002</v>
      </c>
      <c r="K156">
        <v>3690</v>
      </c>
      <c r="L156">
        <v>80</v>
      </c>
      <c r="M156">
        <v>2.2200000000000002</v>
      </c>
      <c r="N156">
        <v>3580</v>
      </c>
      <c r="O156">
        <v>3710</v>
      </c>
      <c r="P156">
        <v>754</v>
      </c>
      <c r="Q156">
        <v>4.8899999999999997</v>
      </c>
      <c r="R156">
        <v>12</v>
      </c>
      <c r="S156">
        <v>657113</v>
      </c>
      <c r="T156">
        <v>3680</v>
      </c>
      <c r="U156">
        <v>3690</v>
      </c>
      <c r="V156">
        <v>66465</v>
      </c>
      <c r="W156">
        <v>28</v>
      </c>
      <c r="X156" s="367"/>
    </row>
    <row r="157" spans="1:24">
      <c r="A157" t="s">
        <v>5950</v>
      </c>
      <c r="B157" t="s">
        <v>5951</v>
      </c>
      <c r="C157">
        <v>0</v>
      </c>
      <c r="D157">
        <v>0</v>
      </c>
      <c r="E157">
        <v>0</v>
      </c>
      <c r="F157">
        <v>981000</v>
      </c>
      <c r="G157">
        <v>0</v>
      </c>
      <c r="H157">
        <v>981000</v>
      </c>
      <c r="I157">
        <v>0</v>
      </c>
      <c r="J157">
        <v>0</v>
      </c>
      <c r="K157">
        <v>981000</v>
      </c>
      <c r="L157">
        <v>0</v>
      </c>
      <c r="M157">
        <v>0</v>
      </c>
      <c r="N157">
        <v>0</v>
      </c>
      <c r="O157">
        <v>0</v>
      </c>
      <c r="P157" t="s">
        <v>192</v>
      </c>
      <c r="Q157" t="s">
        <v>192</v>
      </c>
      <c r="R157">
        <v>1</v>
      </c>
      <c r="S157">
        <v>15000</v>
      </c>
      <c r="T157">
        <v>992000</v>
      </c>
      <c r="U157">
        <v>1001000</v>
      </c>
      <c r="V157">
        <v>15000</v>
      </c>
      <c r="W157">
        <v>1</v>
      </c>
      <c r="X157" s="367"/>
    </row>
    <row r="158" spans="1:24">
      <c r="A158" t="s">
        <v>1739</v>
      </c>
      <c r="B158" t="s">
        <v>1738</v>
      </c>
      <c r="C158">
        <v>152</v>
      </c>
      <c r="D158">
        <v>26362140</v>
      </c>
      <c r="E158">
        <v>50799743780</v>
      </c>
      <c r="F158">
        <v>1871</v>
      </c>
      <c r="G158">
        <v>1927</v>
      </c>
      <c r="H158">
        <v>1927</v>
      </c>
      <c r="I158">
        <v>56</v>
      </c>
      <c r="J158">
        <v>2.99</v>
      </c>
      <c r="K158">
        <v>1927</v>
      </c>
      <c r="L158">
        <v>56</v>
      </c>
      <c r="M158">
        <v>2.99</v>
      </c>
      <c r="N158">
        <v>1926</v>
      </c>
      <c r="O158">
        <v>1927</v>
      </c>
      <c r="P158">
        <v>758</v>
      </c>
      <c r="Q158">
        <v>2.54</v>
      </c>
      <c r="R158">
        <v>58</v>
      </c>
      <c r="S158">
        <v>13030268</v>
      </c>
      <c r="T158">
        <v>1927</v>
      </c>
      <c r="U158">
        <v>0</v>
      </c>
      <c r="V158">
        <v>0</v>
      </c>
      <c r="W158">
        <v>0</v>
      </c>
      <c r="X158" s="367"/>
    </row>
    <row r="159" spans="1:24">
      <c r="A159" t="s">
        <v>159</v>
      </c>
      <c r="B159" t="s">
        <v>158</v>
      </c>
      <c r="C159">
        <v>188</v>
      </c>
      <c r="D159">
        <v>1714791</v>
      </c>
      <c r="E159">
        <v>84796414950</v>
      </c>
      <c r="F159">
        <v>48010</v>
      </c>
      <c r="G159">
        <v>49450</v>
      </c>
      <c r="H159">
        <v>49450</v>
      </c>
      <c r="I159">
        <v>1440</v>
      </c>
      <c r="J159">
        <v>3</v>
      </c>
      <c r="K159">
        <v>49450</v>
      </c>
      <c r="L159">
        <v>1440</v>
      </c>
      <c r="M159">
        <v>3</v>
      </c>
      <c r="N159">
        <v>49450</v>
      </c>
      <c r="O159">
        <v>49450</v>
      </c>
      <c r="P159">
        <v>5324</v>
      </c>
      <c r="Q159">
        <v>9.2899999999999991</v>
      </c>
      <c r="R159">
        <v>121</v>
      </c>
      <c r="S159">
        <v>727278</v>
      </c>
      <c r="T159">
        <v>49450</v>
      </c>
      <c r="U159">
        <v>49850</v>
      </c>
      <c r="V159">
        <v>364</v>
      </c>
      <c r="W159">
        <v>1</v>
      </c>
      <c r="X159" s="367"/>
    </row>
    <row r="160" spans="1:24">
      <c r="A160" t="s">
        <v>5952</v>
      </c>
      <c r="B160" t="s">
        <v>5953</v>
      </c>
      <c r="C160">
        <v>0</v>
      </c>
      <c r="D160">
        <v>0</v>
      </c>
      <c r="E160">
        <v>0</v>
      </c>
      <c r="F160">
        <v>1000000</v>
      </c>
      <c r="G160">
        <v>0</v>
      </c>
      <c r="H160">
        <v>1000000</v>
      </c>
      <c r="I160">
        <v>0</v>
      </c>
      <c r="J160">
        <v>0</v>
      </c>
      <c r="K160">
        <v>1000000</v>
      </c>
      <c r="L160">
        <v>0</v>
      </c>
      <c r="M160">
        <v>0</v>
      </c>
      <c r="N160">
        <v>0</v>
      </c>
      <c r="O160">
        <v>0</v>
      </c>
      <c r="P160" t="s">
        <v>192</v>
      </c>
      <c r="Q160" t="s">
        <v>192</v>
      </c>
      <c r="R160">
        <v>1</v>
      </c>
      <c r="S160">
        <v>5000</v>
      </c>
      <c r="T160">
        <v>1000000</v>
      </c>
      <c r="U160">
        <v>1010000</v>
      </c>
      <c r="V160">
        <v>5000</v>
      </c>
      <c r="W160">
        <v>1</v>
      </c>
      <c r="X160" s="367"/>
    </row>
    <row r="161" spans="1:24">
      <c r="A161" t="s">
        <v>2927</v>
      </c>
      <c r="B161" t="s">
        <v>2925</v>
      </c>
      <c r="C161">
        <v>1</v>
      </c>
      <c r="D161">
        <v>2366</v>
      </c>
      <c r="E161">
        <v>20181980</v>
      </c>
      <c r="F161">
        <v>8290</v>
      </c>
      <c r="G161">
        <v>8530</v>
      </c>
      <c r="H161">
        <v>8530</v>
      </c>
      <c r="I161">
        <v>240</v>
      </c>
      <c r="J161">
        <v>2.9</v>
      </c>
      <c r="K161">
        <v>8530</v>
      </c>
      <c r="L161">
        <v>240</v>
      </c>
      <c r="M161">
        <v>2.9</v>
      </c>
      <c r="N161">
        <v>8530</v>
      </c>
      <c r="O161">
        <v>8530</v>
      </c>
      <c r="P161">
        <v>2109</v>
      </c>
      <c r="Q161">
        <v>4.04</v>
      </c>
      <c r="R161">
        <v>39</v>
      </c>
      <c r="S161">
        <v>6263903</v>
      </c>
      <c r="T161">
        <v>8530</v>
      </c>
      <c r="U161">
        <v>0</v>
      </c>
      <c r="V161">
        <v>0</v>
      </c>
      <c r="W161">
        <v>0</v>
      </c>
      <c r="X161" s="367"/>
    </row>
    <row r="162" spans="1:24">
      <c r="A162" t="s">
        <v>5954</v>
      </c>
      <c r="B162" t="s">
        <v>5955</v>
      </c>
      <c r="C162">
        <v>0</v>
      </c>
      <c r="D162">
        <v>0</v>
      </c>
      <c r="E162">
        <v>0</v>
      </c>
      <c r="F162">
        <v>1000000</v>
      </c>
      <c r="G162">
        <v>0</v>
      </c>
      <c r="H162">
        <v>1000000</v>
      </c>
      <c r="I162">
        <v>0</v>
      </c>
      <c r="J162">
        <v>0</v>
      </c>
      <c r="K162">
        <v>1000000</v>
      </c>
      <c r="L162">
        <v>0</v>
      </c>
      <c r="M162">
        <v>0</v>
      </c>
      <c r="N162">
        <v>0</v>
      </c>
      <c r="O162">
        <v>0</v>
      </c>
      <c r="P162" t="s">
        <v>192</v>
      </c>
      <c r="Q162" t="s">
        <v>192</v>
      </c>
      <c r="R162">
        <v>1</v>
      </c>
      <c r="S162">
        <v>5000</v>
      </c>
      <c r="T162">
        <v>1000000</v>
      </c>
      <c r="U162">
        <v>0</v>
      </c>
      <c r="V162">
        <v>0</v>
      </c>
      <c r="W162">
        <v>0</v>
      </c>
      <c r="X162" s="367"/>
    </row>
    <row r="163" spans="1:24">
      <c r="A163" s="270" t="s">
        <v>143</v>
      </c>
      <c r="B163" t="s">
        <v>142</v>
      </c>
      <c r="C163">
        <v>3547</v>
      </c>
      <c r="D163">
        <v>114291570</v>
      </c>
      <c r="E163">
        <v>1249205730100</v>
      </c>
      <c r="F163">
        <v>10620</v>
      </c>
      <c r="G163">
        <v>10930</v>
      </c>
      <c r="H163">
        <v>10930</v>
      </c>
      <c r="I163">
        <v>310</v>
      </c>
      <c r="J163">
        <v>2.92</v>
      </c>
      <c r="K163">
        <v>10930</v>
      </c>
      <c r="L163">
        <v>310</v>
      </c>
      <c r="M163">
        <v>2.92</v>
      </c>
      <c r="N163">
        <v>10920</v>
      </c>
      <c r="O163">
        <v>10930</v>
      </c>
      <c r="P163">
        <v>1879</v>
      </c>
      <c r="Q163">
        <v>5.82</v>
      </c>
      <c r="R163">
        <v>640</v>
      </c>
      <c r="S163">
        <v>38973102</v>
      </c>
      <c r="T163">
        <v>10930</v>
      </c>
      <c r="U163">
        <v>11100</v>
      </c>
      <c r="V163">
        <v>3000</v>
      </c>
      <c r="W163">
        <v>1</v>
      </c>
      <c r="X163" s="367"/>
    </row>
    <row r="164" spans="1:24">
      <c r="A164" t="s">
        <v>5957</v>
      </c>
      <c r="B164" t="s">
        <v>5958</v>
      </c>
      <c r="C164">
        <v>432</v>
      </c>
      <c r="D164">
        <v>4348827</v>
      </c>
      <c r="E164">
        <v>69998577578</v>
      </c>
      <c r="F164">
        <v>16106</v>
      </c>
      <c r="G164">
        <v>16136</v>
      </c>
      <c r="H164">
        <v>15993</v>
      </c>
      <c r="I164">
        <v>-113</v>
      </c>
      <c r="J164">
        <v>-0.7</v>
      </c>
      <c r="K164">
        <v>16096</v>
      </c>
      <c r="L164">
        <v>-10</v>
      </c>
      <c r="M164">
        <v>-0.06</v>
      </c>
      <c r="N164">
        <v>15976</v>
      </c>
      <c r="O164">
        <v>16348</v>
      </c>
      <c r="P164" t="s">
        <v>192</v>
      </c>
      <c r="Q164" t="s">
        <v>192</v>
      </c>
      <c r="R164">
        <v>2</v>
      </c>
      <c r="S164">
        <v>39384</v>
      </c>
      <c r="T164">
        <v>15992</v>
      </c>
      <c r="U164">
        <v>15993</v>
      </c>
      <c r="V164">
        <v>1660</v>
      </c>
      <c r="W164">
        <v>1</v>
      </c>
      <c r="X164" s="367"/>
    </row>
    <row r="165" spans="1:24">
      <c r="A165" t="s">
        <v>5959</v>
      </c>
      <c r="B165" t="s">
        <v>5960</v>
      </c>
      <c r="C165">
        <v>3629</v>
      </c>
      <c r="D165">
        <v>567010</v>
      </c>
      <c r="E165">
        <v>492373487311</v>
      </c>
      <c r="F165">
        <v>843108</v>
      </c>
      <c r="G165">
        <v>868401</v>
      </c>
      <c r="H165">
        <v>868401</v>
      </c>
      <c r="I165">
        <v>25293</v>
      </c>
      <c r="J165">
        <v>3</v>
      </c>
      <c r="K165">
        <v>868368</v>
      </c>
      <c r="L165">
        <v>25260</v>
      </c>
      <c r="M165">
        <v>3</v>
      </c>
      <c r="N165">
        <v>862694</v>
      </c>
      <c r="O165">
        <v>868401</v>
      </c>
      <c r="P165" t="s">
        <v>192</v>
      </c>
      <c r="Q165" t="s">
        <v>192</v>
      </c>
      <c r="R165">
        <v>117</v>
      </c>
      <c r="S165">
        <v>77891</v>
      </c>
      <c r="T165">
        <v>868401</v>
      </c>
      <c r="U165">
        <v>889375</v>
      </c>
      <c r="V165">
        <v>12</v>
      </c>
      <c r="W165">
        <v>1</v>
      </c>
      <c r="X165" s="367"/>
    </row>
    <row r="166" spans="1:24">
      <c r="A166" t="s">
        <v>5961</v>
      </c>
      <c r="B166" t="s">
        <v>5962</v>
      </c>
      <c r="C166">
        <v>0</v>
      </c>
      <c r="D166">
        <v>0</v>
      </c>
      <c r="E166">
        <v>0</v>
      </c>
      <c r="F166">
        <v>1000000</v>
      </c>
      <c r="G166">
        <v>0</v>
      </c>
      <c r="H166">
        <v>1000000</v>
      </c>
      <c r="I166">
        <v>0</v>
      </c>
      <c r="J166">
        <v>0</v>
      </c>
      <c r="K166">
        <v>1000000</v>
      </c>
      <c r="L166">
        <v>0</v>
      </c>
      <c r="M166">
        <v>0</v>
      </c>
      <c r="N166">
        <v>0</v>
      </c>
      <c r="O166">
        <v>0</v>
      </c>
      <c r="P166" t="s">
        <v>192</v>
      </c>
      <c r="Q166" t="s">
        <v>192</v>
      </c>
      <c r="R166">
        <v>1</v>
      </c>
      <c r="S166">
        <v>15000</v>
      </c>
      <c r="T166">
        <v>1000000</v>
      </c>
      <c r="U166">
        <v>1010000</v>
      </c>
      <c r="V166">
        <v>15000</v>
      </c>
      <c r="W166">
        <v>1</v>
      </c>
      <c r="X166" s="367"/>
    </row>
    <row r="167" spans="1:24">
      <c r="A167" t="s">
        <v>33</v>
      </c>
      <c r="B167" t="s">
        <v>32</v>
      </c>
      <c r="C167">
        <v>1294</v>
      </c>
      <c r="D167">
        <v>15225916</v>
      </c>
      <c r="E167">
        <v>175375235490</v>
      </c>
      <c r="F167">
        <v>11230</v>
      </c>
      <c r="G167">
        <v>11560</v>
      </c>
      <c r="H167">
        <v>11560</v>
      </c>
      <c r="I167">
        <v>330</v>
      </c>
      <c r="J167">
        <v>2.94</v>
      </c>
      <c r="K167">
        <v>11520</v>
      </c>
      <c r="L167">
        <v>290</v>
      </c>
      <c r="M167">
        <v>2.58</v>
      </c>
      <c r="N167">
        <v>11370</v>
      </c>
      <c r="O167">
        <v>11560</v>
      </c>
      <c r="P167">
        <v>1929</v>
      </c>
      <c r="Q167">
        <v>5.97</v>
      </c>
      <c r="R167">
        <v>7</v>
      </c>
      <c r="S167">
        <v>194521</v>
      </c>
      <c r="T167">
        <v>11560</v>
      </c>
      <c r="U167">
        <v>11800</v>
      </c>
      <c r="V167">
        <v>5000</v>
      </c>
      <c r="W167">
        <v>1</v>
      </c>
      <c r="X167" s="367"/>
    </row>
    <row r="168" spans="1:24">
      <c r="A168" t="s">
        <v>5963</v>
      </c>
      <c r="B168" t="s">
        <v>5964</v>
      </c>
      <c r="C168">
        <v>217</v>
      </c>
      <c r="D168">
        <v>6856745</v>
      </c>
      <c r="E168">
        <v>245711457075</v>
      </c>
      <c r="F168">
        <v>34792</v>
      </c>
      <c r="G168">
        <v>35835</v>
      </c>
      <c r="H168">
        <v>35835</v>
      </c>
      <c r="I168">
        <v>1043</v>
      </c>
      <c r="J168">
        <v>3</v>
      </c>
      <c r="K168">
        <v>35835</v>
      </c>
      <c r="L168">
        <v>1043</v>
      </c>
      <c r="M168">
        <v>3</v>
      </c>
      <c r="N168">
        <v>35835</v>
      </c>
      <c r="O168">
        <v>35835</v>
      </c>
      <c r="P168" t="s">
        <v>192</v>
      </c>
      <c r="Q168" t="s">
        <v>192</v>
      </c>
      <c r="R168">
        <v>147</v>
      </c>
      <c r="S168">
        <v>1755741</v>
      </c>
      <c r="T168">
        <v>35835</v>
      </c>
      <c r="U168">
        <v>36035</v>
      </c>
      <c r="V168">
        <v>140</v>
      </c>
      <c r="W168">
        <v>1</v>
      </c>
      <c r="X168" s="367"/>
    </row>
    <row r="169" spans="1:24">
      <c r="A169" t="s">
        <v>2521</v>
      </c>
      <c r="B169" t="s">
        <v>2520</v>
      </c>
      <c r="C169">
        <v>94</v>
      </c>
      <c r="D169">
        <v>11290620</v>
      </c>
      <c r="E169">
        <v>19717790839</v>
      </c>
      <c r="F169">
        <v>1697</v>
      </c>
      <c r="G169">
        <v>1747</v>
      </c>
      <c r="H169">
        <v>1747</v>
      </c>
      <c r="I169">
        <v>50</v>
      </c>
      <c r="J169">
        <v>2.95</v>
      </c>
      <c r="K169">
        <v>1746</v>
      </c>
      <c r="L169">
        <v>49</v>
      </c>
      <c r="M169">
        <v>2.89</v>
      </c>
      <c r="N169">
        <v>1720</v>
      </c>
      <c r="O169">
        <v>1747</v>
      </c>
      <c r="P169">
        <v>163</v>
      </c>
      <c r="Q169">
        <v>10.71</v>
      </c>
      <c r="R169">
        <v>13</v>
      </c>
      <c r="S169">
        <v>5555413</v>
      </c>
      <c r="T169">
        <v>1747</v>
      </c>
      <c r="U169">
        <v>0</v>
      </c>
      <c r="V169">
        <v>0</v>
      </c>
      <c r="W169">
        <v>0</v>
      </c>
      <c r="X169" s="367"/>
    </row>
    <row r="170" spans="1:24">
      <c r="A170" t="s">
        <v>5965</v>
      </c>
      <c r="B170" t="s">
        <v>5966</v>
      </c>
      <c r="C170">
        <v>128</v>
      </c>
      <c r="D170">
        <v>1199988</v>
      </c>
      <c r="E170">
        <v>14678306814</v>
      </c>
      <c r="F170">
        <v>12188</v>
      </c>
      <c r="G170">
        <v>12244</v>
      </c>
      <c r="H170">
        <v>12245</v>
      </c>
      <c r="I170">
        <v>57</v>
      </c>
      <c r="J170">
        <v>0.47</v>
      </c>
      <c r="K170">
        <v>12232</v>
      </c>
      <c r="L170">
        <v>44</v>
      </c>
      <c r="M170">
        <v>0.36</v>
      </c>
      <c r="N170">
        <v>12150</v>
      </c>
      <c r="O170">
        <v>12349</v>
      </c>
      <c r="P170" t="s">
        <v>192</v>
      </c>
      <c r="Q170" t="s">
        <v>192</v>
      </c>
      <c r="R170">
        <v>2</v>
      </c>
      <c r="S170">
        <v>1083</v>
      </c>
      <c r="T170">
        <v>12231</v>
      </c>
      <c r="U170">
        <v>12245</v>
      </c>
      <c r="V170">
        <v>364581</v>
      </c>
      <c r="W170">
        <v>18</v>
      </c>
      <c r="X170" s="367"/>
    </row>
    <row r="171" spans="1:24">
      <c r="A171" t="s">
        <v>2676</v>
      </c>
      <c r="B171" t="s">
        <v>2675</v>
      </c>
      <c r="C171">
        <v>286</v>
      </c>
      <c r="D171">
        <v>5797579</v>
      </c>
      <c r="E171">
        <v>66428445260</v>
      </c>
      <c r="F171">
        <v>11130</v>
      </c>
      <c r="G171">
        <v>11460</v>
      </c>
      <c r="H171">
        <v>11460</v>
      </c>
      <c r="I171">
        <v>330</v>
      </c>
      <c r="J171">
        <v>2.96</v>
      </c>
      <c r="K171">
        <v>11460</v>
      </c>
      <c r="L171">
        <v>330</v>
      </c>
      <c r="M171">
        <v>2.96</v>
      </c>
      <c r="N171">
        <v>11370</v>
      </c>
      <c r="O171">
        <v>11460</v>
      </c>
      <c r="P171">
        <v>1655</v>
      </c>
      <c r="Q171">
        <v>6.92</v>
      </c>
      <c r="R171">
        <v>24</v>
      </c>
      <c r="S171">
        <v>1428296</v>
      </c>
      <c r="T171">
        <v>11460</v>
      </c>
      <c r="U171">
        <v>0</v>
      </c>
      <c r="V171">
        <v>0</v>
      </c>
      <c r="W171">
        <v>0</v>
      </c>
      <c r="X171" s="367"/>
    </row>
    <row r="172" spans="1:24">
      <c r="A172" t="s">
        <v>1759</v>
      </c>
      <c r="B172" t="s">
        <v>1758</v>
      </c>
      <c r="C172">
        <v>832</v>
      </c>
      <c r="D172">
        <v>8789156</v>
      </c>
      <c r="E172">
        <v>264320837780</v>
      </c>
      <c r="F172">
        <v>29240</v>
      </c>
      <c r="G172">
        <v>30110</v>
      </c>
      <c r="H172">
        <v>30110</v>
      </c>
      <c r="I172">
        <v>870</v>
      </c>
      <c r="J172">
        <v>2.98</v>
      </c>
      <c r="K172">
        <v>30070</v>
      </c>
      <c r="L172">
        <v>830</v>
      </c>
      <c r="M172">
        <v>2.84</v>
      </c>
      <c r="N172">
        <v>29700</v>
      </c>
      <c r="O172">
        <v>30110</v>
      </c>
      <c r="P172">
        <v>4668</v>
      </c>
      <c r="Q172">
        <v>6.44</v>
      </c>
      <c r="R172">
        <v>27</v>
      </c>
      <c r="S172">
        <v>1078420</v>
      </c>
      <c r="T172">
        <v>30110</v>
      </c>
      <c r="U172">
        <v>0</v>
      </c>
      <c r="V172">
        <v>0</v>
      </c>
      <c r="W172">
        <v>0</v>
      </c>
      <c r="X172" s="367"/>
    </row>
    <row r="173" spans="1:24">
      <c r="A173" t="s">
        <v>2667</v>
      </c>
      <c r="B173" t="s">
        <v>2666</v>
      </c>
      <c r="C173">
        <v>162</v>
      </c>
      <c r="D173">
        <v>2561148</v>
      </c>
      <c r="E173">
        <v>37188665480</v>
      </c>
      <c r="F173">
        <v>14110</v>
      </c>
      <c r="G173">
        <v>14530</v>
      </c>
      <c r="H173">
        <v>14530</v>
      </c>
      <c r="I173">
        <v>420</v>
      </c>
      <c r="J173">
        <v>2.98</v>
      </c>
      <c r="K173">
        <v>14520</v>
      </c>
      <c r="L173">
        <v>410</v>
      </c>
      <c r="M173">
        <v>2.91</v>
      </c>
      <c r="N173">
        <v>14250</v>
      </c>
      <c r="O173">
        <v>14530</v>
      </c>
      <c r="P173">
        <v>-120</v>
      </c>
      <c r="Q173">
        <v>-121</v>
      </c>
      <c r="R173">
        <v>5</v>
      </c>
      <c r="S173">
        <v>39971</v>
      </c>
      <c r="T173">
        <v>14530</v>
      </c>
      <c r="U173">
        <v>15610</v>
      </c>
      <c r="V173">
        <v>6900</v>
      </c>
      <c r="W173">
        <v>1</v>
      </c>
      <c r="X173" s="367"/>
    </row>
    <row r="174" spans="1:24">
      <c r="A174" t="s">
        <v>1784</v>
      </c>
      <c r="B174" t="s">
        <v>1783</v>
      </c>
      <c r="C174">
        <v>1140</v>
      </c>
      <c r="D174">
        <v>5203884</v>
      </c>
      <c r="E174">
        <v>75340999730</v>
      </c>
      <c r="F174">
        <v>14100</v>
      </c>
      <c r="G174">
        <v>14240</v>
      </c>
      <c r="H174">
        <v>14480</v>
      </c>
      <c r="I174">
        <v>380</v>
      </c>
      <c r="J174">
        <v>2.7</v>
      </c>
      <c r="K174">
        <v>14480</v>
      </c>
      <c r="L174">
        <v>380</v>
      </c>
      <c r="M174">
        <v>2.7</v>
      </c>
      <c r="N174">
        <v>14240</v>
      </c>
      <c r="O174">
        <v>14520</v>
      </c>
      <c r="P174">
        <v>1652</v>
      </c>
      <c r="Q174">
        <v>8.77</v>
      </c>
      <c r="R174">
        <v>1</v>
      </c>
      <c r="S174">
        <v>7950</v>
      </c>
      <c r="T174">
        <v>14480</v>
      </c>
      <c r="U174">
        <v>14490</v>
      </c>
      <c r="V174">
        <v>25723</v>
      </c>
      <c r="W174">
        <v>2</v>
      </c>
      <c r="X174" s="367"/>
    </row>
    <row r="175" spans="1:24">
      <c r="A175" t="s">
        <v>8775</v>
      </c>
      <c r="B175" t="s">
        <v>2817</v>
      </c>
      <c r="C175">
        <v>1</v>
      </c>
      <c r="D175">
        <v>3000</v>
      </c>
      <c r="E175">
        <v>8559000</v>
      </c>
      <c r="F175">
        <v>2854</v>
      </c>
      <c r="G175">
        <v>2853</v>
      </c>
      <c r="H175">
        <v>2853</v>
      </c>
      <c r="I175">
        <v>-1</v>
      </c>
      <c r="J175">
        <v>-0.04</v>
      </c>
      <c r="K175">
        <v>2853</v>
      </c>
      <c r="L175">
        <v>-1</v>
      </c>
      <c r="M175">
        <v>-0.04</v>
      </c>
      <c r="N175">
        <v>2853</v>
      </c>
      <c r="O175">
        <v>2853</v>
      </c>
      <c r="P175">
        <v>535</v>
      </c>
      <c r="Q175">
        <v>5.33</v>
      </c>
      <c r="R175">
        <v>2</v>
      </c>
      <c r="S175">
        <v>417000</v>
      </c>
      <c r="T175">
        <v>2853</v>
      </c>
      <c r="U175">
        <v>0</v>
      </c>
      <c r="V175">
        <v>0</v>
      </c>
      <c r="W175">
        <v>0</v>
      </c>
      <c r="X175" s="367"/>
    </row>
    <row r="176" spans="1:24">
      <c r="A176" t="s">
        <v>2650</v>
      </c>
      <c r="B176" t="s">
        <v>2649</v>
      </c>
      <c r="C176">
        <v>53</v>
      </c>
      <c r="D176">
        <v>1104033</v>
      </c>
      <c r="E176">
        <v>36101879100</v>
      </c>
      <c r="F176">
        <v>31750</v>
      </c>
      <c r="G176">
        <v>32700</v>
      </c>
      <c r="H176">
        <v>32700</v>
      </c>
      <c r="I176">
        <v>950</v>
      </c>
      <c r="J176">
        <v>2.99</v>
      </c>
      <c r="K176">
        <v>32550</v>
      </c>
      <c r="L176">
        <v>800</v>
      </c>
      <c r="M176">
        <v>2.52</v>
      </c>
      <c r="N176">
        <v>32700</v>
      </c>
      <c r="O176">
        <v>32700</v>
      </c>
      <c r="P176">
        <v>2437</v>
      </c>
      <c r="Q176">
        <v>13.36</v>
      </c>
      <c r="R176">
        <v>9</v>
      </c>
      <c r="S176">
        <v>324121</v>
      </c>
      <c r="T176">
        <v>32700</v>
      </c>
      <c r="U176">
        <v>0</v>
      </c>
      <c r="V176">
        <v>0</v>
      </c>
      <c r="W176">
        <v>0</v>
      </c>
      <c r="X176" s="367"/>
    </row>
    <row r="177" spans="1:24">
      <c r="A177" t="s">
        <v>2702</v>
      </c>
      <c r="B177" t="s">
        <v>2701</v>
      </c>
      <c r="C177">
        <v>830</v>
      </c>
      <c r="D177">
        <v>48260670</v>
      </c>
      <c r="E177">
        <v>332995808090</v>
      </c>
      <c r="F177">
        <v>6700</v>
      </c>
      <c r="G177">
        <v>6900</v>
      </c>
      <c r="H177">
        <v>6900</v>
      </c>
      <c r="I177">
        <v>200</v>
      </c>
      <c r="J177">
        <v>2.99</v>
      </c>
      <c r="K177">
        <v>6900</v>
      </c>
      <c r="L177">
        <v>200</v>
      </c>
      <c r="M177">
        <v>2.99</v>
      </c>
      <c r="N177">
        <v>6840</v>
      </c>
      <c r="O177">
        <v>6900</v>
      </c>
      <c r="P177">
        <v>1449</v>
      </c>
      <c r="Q177">
        <v>4.76</v>
      </c>
      <c r="R177">
        <v>82</v>
      </c>
      <c r="S177">
        <v>14365924</v>
      </c>
      <c r="T177">
        <v>6900</v>
      </c>
      <c r="U177">
        <v>6990</v>
      </c>
      <c r="V177">
        <v>100382</v>
      </c>
      <c r="W177">
        <v>4</v>
      </c>
      <c r="X177" s="367"/>
    </row>
    <row r="178" spans="1:24">
      <c r="A178" t="s">
        <v>2711</v>
      </c>
      <c r="B178" t="s">
        <v>2710</v>
      </c>
      <c r="C178">
        <v>326</v>
      </c>
      <c r="D178">
        <v>11882135</v>
      </c>
      <c r="E178">
        <v>322599532490</v>
      </c>
      <c r="F178">
        <v>26360</v>
      </c>
      <c r="G178">
        <v>27150</v>
      </c>
      <c r="H178">
        <v>27150</v>
      </c>
      <c r="I178">
        <v>790</v>
      </c>
      <c r="J178">
        <v>3</v>
      </c>
      <c r="K178">
        <v>27150</v>
      </c>
      <c r="L178">
        <v>790</v>
      </c>
      <c r="M178">
        <v>3</v>
      </c>
      <c r="N178">
        <v>27140</v>
      </c>
      <c r="O178">
        <v>27150</v>
      </c>
      <c r="P178">
        <v>5136</v>
      </c>
      <c r="Q178">
        <v>5.29</v>
      </c>
      <c r="R178">
        <v>43</v>
      </c>
      <c r="S178">
        <v>3015820</v>
      </c>
      <c r="T178">
        <v>27150</v>
      </c>
      <c r="U178">
        <v>0</v>
      </c>
      <c r="V178">
        <v>0</v>
      </c>
      <c r="W178">
        <v>0</v>
      </c>
      <c r="X178" s="367"/>
    </row>
    <row r="179" spans="1:24">
      <c r="A179" t="s">
        <v>2469</v>
      </c>
      <c r="B179" t="s">
        <v>2468</v>
      </c>
      <c r="C179">
        <v>95</v>
      </c>
      <c r="D179">
        <v>2368860</v>
      </c>
      <c r="E179">
        <v>30534605400</v>
      </c>
      <c r="F179">
        <v>12520</v>
      </c>
      <c r="G179">
        <v>12890</v>
      </c>
      <c r="H179">
        <v>12890</v>
      </c>
      <c r="I179">
        <v>370</v>
      </c>
      <c r="J179">
        <v>2.96</v>
      </c>
      <c r="K179">
        <v>12890</v>
      </c>
      <c r="L179">
        <v>370</v>
      </c>
      <c r="M179">
        <v>2.96</v>
      </c>
      <c r="N179">
        <v>12890</v>
      </c>
      <c r="O179">
        <v>12890</v>
      </c>
      <c r="P179">
        <v>1478</v>
      </c>
      <c r="Q179">
        <v>8.7200000000000006</v>
      </c>
      <c r="R179">
        <v>44</v>
      </c>
      <c r="S179">
        <v>1487921</v>
      </c>
      <c r="T179">
        <v>12890</v>
      </c>
      <c r="U179">
        <v>0</v>
      </c>
      <c r="V179">
        <v>0</v>
      </c>
      <c r="W179">
        <v>0</v>
      </c>
      <c r="X179" s="367"/>
    </row>
    <row r="180" spans="1:24">
      <c r="A180" t="s">
        <v>5967</v>
      </c>
      <c r="B180" t="s">
        <v>5968</v>
      </c>
      <c r="C180">
        <v>0</v>
      </c>
      <c r="D180">
        <v>0</v>
      </c>
      <c r="E180">
        <v>0</v>
      </c>
      <c r="F180">
        <v>999000</v>
      </c>
      <c r="G180">
        <v>0</v>
      </c>
      <c r="H180">
        <v>999000</v>
      </c>
      <c r="I180">
        <v>0</v>
      </c>
      <c r="J180">
        <v>0</v>
      </c>
      <c r="K180">
        <v>999000</v>
      </c>
      <c r="L180">
        <v>0</v>
      </c>
      <c r="M180">
        <v>0</v>
      </c>
      <c r="N180">
        <v>0</v>
      </c>
      <c r="O180">
        <v>0</v>
      </c>
      <c r="P180" t="s">
        <v>192</v>
      </c>
      <c r="Q180" t="s">
        <v>192</v>
      </c>
      <c r="R180">
        <v>1</v>
      </c>
      <c r="S180">
        <v>4000</v>
      </c>
      <c r="T180">
        <v>999000</v>
      </c>
      <c r="U180">
        <v>0</v>
      </c>
      <c r="V180">
        <v>0</v>
      </c>
      <c r="W180">
        <v>0</v>
      </c>
      <c r="X180" s="367"/>
    </row>
    <row r="181" spans="1:24">
      <c r="A181" t="s">
        <v>5969</v>
      </c>
      <c r="B181" t="s">
        <v>5970</v>
      </c>
      <c r="C181">
        <v>1122</v>
      </c>
      <c r="D181">
        <v>38571789</v>
      </c>
      <c r="E181">
        <v>256416005020</v>
      </c>
      <c r="F181">
        <v>6460</v>
      </c>
      <c r="G181">
        <v>6650</v>
      </c>
      <c r="H181">
        <v>6640</v>
      </c>
      <c r="I181">
        <v>180</v>
      </c>
      <c r="J181">
        <v>2.79</v>
      </c>
      <c r="K181">
        <v>6650</v>
      </c>
      <c r="L181">
        <v>190</v>
      </c>
      <c r="M181">
        <v>2.94</v>
      </c>
      <c r="N181">
        <v>6590</v>
      </c>
      <c r="O181">
        <v>6650</v>
      </c>
      <c r="P181">
        <v>888</v>
      </c>
      <c r="Q181">
        <v>7.49</v>
      </c>
      <c r="R181">
        <v>4</v>
      </c>
      <c r="S181">
        <v>56090</v>
      </c>
      <c r="T181">
        <v>6630</v>
      </c>
      <c r="U181">
        <v>6640</v>
      </c>
      <c r="V181">
        <v>503735</v>
      </c>
      <c r="W181">
        <v>4</v>
      </c>
      <c r="X181" s="367"/>
    </row>
    <row r="182" spans="1:24">
      <c r="A182" t="s">
        <v>8776</v>
      </c>
      <c r="B182" t="s">
        <v>1899</v>
      </c>
      <c r="C182">
        <v>35</v>
      </c>
      <c r="D182">
        <v>21134</v>
      </c>
      <c r="E182">
        <v>164633860</v>
      </c>
      <c r="F182">
        <v>7580</v>
      </c>
      <c r="G182">
        <v>7790</v>
      </c>
      <c r="H182">
        <v>7790</v>
      </c>
      <c r="I182">
        <v>210</v>
      </c>
      <c r="J182">
        <v>2.77</v>
      </c>
      <c r="K182">
        <v>7790</v>
      </c>
      <c r="L182">
        <v>210</v>
      </c>
      <c r="M182">
        <v>2.77</v>
      </c>
      <c r="N182">
        <v>7790</v>
      </c>
      <c r="O182">
        <v>7790</v>
      </c>
      <c r="P182">
        <v>316</v>
      </c>
      <c r="Q182">
        <v>24.65</v>
      </c>
      <c r="R182">
        <v>25</v>
      </c>
      <c r="S182">
        <v>807614</v>
      </c>
      <c r="T182">
        <v>7790</v>
      </c>
      <c r="U182">
        <v>0</v>
      </c>
      <c r="V182">
        <v>0</v>
      </c>
      <c r="W182">
        <v>0</v>
      </c>
      <c r="X182" s="367"/>
    </row>
    <row r="183" spans="1:24">
      <c r="A183" t="s">
        <v>8777</v>
      </c>
      <c r="B183" t="s">
        <v>1734</v>
      </c>
      <c r="C183">
        <v>3</v>
      </c>
      <c r="D183">
        <v>230000</v>
      </c>
      <c r="E183">
        <v>2394300000</v>
      </c>
      <c r="F183">
        <v>10330</v>
      </c>
      <c r="G183">
        <v>10410</v>
      </c>
      <c r="H183">
        <v>10410</v>
      </c>
      <c r="I183">
        <v>80</v>
      </c>
      <c r="J183">
        <v>0.77</v>
      </c>
      <c r="K183">
        <v>10410</v>
      </c>
      <c r="L183">
        <v>80</v>
      </c>
      <c r="M183">
        <v>0.77</v>
      </c>
      <c r="N183">
        <v>10410</v>
      </c>
      <c r="O183">
        <v>10410</v>
      </c>
      <c r="P183">
        <v>605</v>
      </c>
      <c r="Q183">
        <v>17.21</v>
      </c>
      <c r="R183">
        <v>29</v>
      </c>
      <c r="S183">
        <v>1832661</v>
      </c>
      <c r="T183">
        <v>10410</v>
      </c>
      <c r="U183">
        <v>0</v>
      </c>
      <c r="V183">
        <v>0</v>
      </c>
      <c r="W183">
        <v>0</v>
      </c>
      <c r="X183" s="367"/>
    </row>
    <row r="184" spans="1:24">
      <c r="A184" t="s">
        <v>5971</v>
      </c>
      <c r="B184" t="s">
        <v>5972</v>
      </c>
      <c r="C184">
        <v>0</v>
      </c>
      <c r="D184">
        <v>0</v>
      </c>
      <c r="E184">
        <v>0</v>
      </c>
      <c r="F184">
        <v>1029897</v>
      </c>
      <c r="G184">
        <v>0</v>
      </c>
      <c r="H184">
        <v>1029897</v>
      </c>
      <c r="I184">
        <v>0</v>
      </c>
      <c r="J184">
        <v>0</v>
      </c>
      <c r="K184">
        <v>1029897</v>
      </c>
      <c r="L184">
        <v>0</v>
      </c>
      <c r="M184">
        <v>0</v>
      </c>
      <c r="N184">
        <v>0</v>
      </c>
      <c r="O184">
        <v>0</v>
      </c>
      <c r="P184" t="s">
        <v>192</v>
      </c>
      <c r="Q184" t="s">
        <v>192</v>
      </c>
      <c r="R184">
        <v>1</v>
      </c>
      <c r="S184">
        <v>3000</v>
      </c>
      <c r="T184">
        <v>1019700</v>
      </c>
      <c r="U184">
        <v>1029897</v>
      </c>
      <c r="V184">
        <v>3000</v>
      </c>
      <c r="W184">
        <v>1</v>
      </c>
      <c r="X184" s="367"/>
    </row>
    <row r="185" spans="1:24">
      <c r="A185" t="s">
        <v>5973</v>
      </c>
      <c r="B185" t="s">
        <v>5974</v>
      </c>
      <c r="C185">
        <v>0</v>
      </c>
      <c r="D185">
        <v>0</v>
      </c>
      <c r="E185">
        <v>0</v>
      </c>
      <c r="F185">
        <v>1094410</v>
      </c>
      <c r="G185">
        <v>0</v>
      </c>
      <c r="H185">
        <v>1074400</v>
      </c>
      <c r="I185">
        <v>-20010</v>
      </c>
      <c r="J185">
        <v>-1.83</v>
      </c>
      <c r="K185">
        <v>1094410</v>
      </c>
      <c r="L185">
        <v>0</v>
      </c>
      <c r="M185">
        <v>0</v>
      </c>
      <c r="N185">
        <v>0</v>
      </c>
      <c r="O185">
        <v>0</v>
      </c>
      <c r="P185" t="s">
        <v>192</v>
      </c>
      <c r="Q185" t="s">
        <v>192</v>
      </c>
      <c r="R185">
        <v>1</v>
      </c>
      <c r="S185">
        <v>10000</v>
      </c>
      <c r="T185">
        <v>1088930</v>
      </c>
      <c r="U185">
        <v>1099810</v>
      </c>
      <c r="V185">
        <v>5000</v>
      </c>
      <c r="W185">
        <v>1</v>
      </c>
      <c r="X185" s="367"/>
    </row>
    <row r="186" spans="1:24">
      <c r="A186" t="s">
        <v>5975</v>
      </c>
      <c r="B186" t="s">
        <v>5976</v>
      </c>
      <c r="C186">
        <v>0</v>
      </c>
      <c r="D186">
        <v>0</v>
      </c>
      <c r="E186">
        <v>0</v>
      </c>
      <c r="F186">
        <v>1000000</v>
      </c>
      <c r="G186">
        <v>0</v>
      </c>
      <c r="H186">
        <v>1000000</v>
      </c>
      <c r="I186">
        <v>0</v>
      </c>
      <c r="J186">
        <v>0</v>
      </c>
      <c r="K186">
        <v>1000000</v>
      </c>
      <c r="L186">
        <v>0</v>
      </c>
      <c r="M186">
        <v>0</v>
      </c>
      <c r="N186">
        <v>0</v>
      </c>
      <c r="O186">
        <v>0</v>
      </c>
      <c r="P186" t="s">
        <v>192</v>
      </c>
      <c r="Q186" t="s">
        <v>192</v>
      </c>
      <c r="R186">
        <v>1</v>
      </c>
      <c r="S186">
        <v>5000</v>
      </c>
      <c r="T186">
        <v>1000000</v>
      </c>
      <c r="U186">
        <v>0</v>
      </c>
      <c r="V186">
        <v>0</v>
      </c>
      <c r="W186">
        <v>0</v>
      </c>
      <c r="X186" s="367"/>
    </row>
    <row r="187" spans="1:24">
      <c r="A187" t="s">
        <v>5977</v>
      </c>
      <c r="B187" t="s">
        <v>5978</v>
      </c>
      <c r="C187">
        <v>0</v>
      </c>
      <c r="D187">
        <v>0</v>
      </c>
      <c r="E187">
        <v>0</v>
      </c>
      <c r="F187">
        <v>1000000</v>
      </c>
      <c r="G187">
        <v>0</v>
      </c>
      <c r="H187">
        <v>1000000</v>
      </c>
      <c r="I187">
        <v>0</v>
      </c>
      <c r="J187">
        <v>0</v>
      </c>
      <c r="K187">
        <v>1000000</v>
      </c>
      <c r="L187">
        <v>0</v>
      </c>
      <c r="M187">
        <v>0</v>
      </c>
      <c r="N187">
        <v>0</v>
      </c>
      <c r="O187">
        <v>0</v>
      </c>
      <c r="P187" t="s">
        <v>192</v>
      </c>
      <c r="Q187" t="s">
        <v>192</v>
      </c>
      <c r="R187">
        <v>1</v>
      </c>
      <c r="S187">
        <v>5000</v>
      </c>
      <c r="T187">
        <v>990000</v>
      </c>
      <c r="U187">
        <v>1000000</v>
      </c>
      <c r="V187">
        <v>5000</v>
      </c>
      <c r="W187">
        <v>1</v>
      </c>
      <c r="X187" s="367"/>
    </row>
    <row r="188" spans="1:24">
      <c r="A188" t="s">
        <v>1964</v>
      </c>
      <c r="B188" t="s">
        <v>1963</v>
      </c>
      <c r="C188">
        <v>618</v>
      </c>
      <c r="D188">
        <v>29534202</v>
      </c>
      <c r="E188">
        <v>107913326600</v>
      </c>
      <c r="F188">
        <v>3570</v>
      </c>
      <c r="G188">
        <v>3620</v>
      </c>
      <c r="H188">
        <v>3670</v>
      </c>
      <c r="I188">
        <v>100</v>
      </c>
      <c r="J188">
        <v>2.8</v>
      </c>
      <c r="K188">
        <v>3650</v>
      </c>
      <c r="L188">
        <v>80</v>
      </c>
      <c r="M188">
        <v>2.2400000000000002</v>
      </c>
      <c r="N188">
        <v>3560</v>
      </c>
      <c r="O188">
        <v>3670</v>
      </c>
      <c r="P188">
        <v>117</v>
      </c>
      <c r="Q188">
        <v>31.2</v>
      </c>
      <c r="R188">
        <v>7</v>
      </c>
      <c r="S188">
        <v>829321</v>
      </c>
      <c r="T188">
        <v>3670</v>
      </c>
      <c r="U188">
        <v>3680</v>
      </c>
      <c r="V188">
        <v>25000</v>
      </c>
      <c r="W188">
        <v>3</v>
      </c>
      <c r="X188" s="367"/>
    </row>
    <row r="189" spans="1:24">
      <c r="A189" t="s">
        <v>2224</v>
      </c>
      <c r="B189" t="s">
        <v>2223</v>
      </c>
      <c r="C189">
        <v>10465</v>
      </c>
      <c r="D189">
        <v>5413118033</v>
      </c>
      <c r="E189">
        <v>2435045724696</v>
      </c>
      <c r="F189">
        <v>388</v>
      </c>
      <c r="G189">
        <v>450</v>
      </c>
      <c r="H189">
        <v>452</v>
      </c>
      <c r="I189">
        <v>64</v>
      </c>
      <c r="J189">
        <v>16.489999999999998</v>
      </c>
      <c r="K189">
        <v>450</v>
      </c>
      <c r="L189">
        <v>62</v>
      </c>
      <c r="M189">
        <v>15.98</v>
      </c>
      <c r="N189">
        <v>440</v>
      </c>
      <c r="O189">
        <v>460</v>
      </c>
      <c r="P189">
        <v>36</v>
      </c>
      <c r="Q189">
        <v>12.5</v>
      </c>
      <c r="R189">
        <v>7</v>
      </c>
      <c r="S189">
        <v>492334</v>
      </c>
      <c r="T189">
        <v>451</v>
      </c>
      <c r="U189">
        <v>451</v>
      </c>
      <c r="V189">
        <v>1000000</v>
      </c>
      <c r="W189">
        <v>1</v>
      </c>
      <c r="X189" s="367"/>
    </row>
    <row r="190" spans="1:24">
      <c r="A190" t="s">
        <v>8778</v>
      </c>
      <c r="B190" t="s">
        <v>2097</v>
      </c>
      <c r="C190">
        <v>2</v>
      </c>
      <c r="D190">
        <v>10000</v>
      </c>
      <c r="E190">
        <v>12070000</v>
      </c>
      <c r="F190">
        <v>1172</v>
      </c>
      <c r="G190">
        <v>1207</v>
      </c>
      <c r="H190">
        <v>1207</v>
      </c>
      <c r="I190">
        <v>35</v>
      </c>
      <c r="J190">
        <v>2.99</v>
      </c>
      <c r="K190">
        <v>1207</v>
      </c>
      <c r="L190">
        <v>35</v>
      </c>
      <c r="M190">
        <v>2.99</v>
      </c>
      <c r="N190">
        <v>1207</v>
      </c>
      <c r="O190">
        <v>1207</v>
      </c>
      <c r="P190">
        <v>212</v>
      </c>
      <c r="Q190">
        <v>5.69</v>
      </c>
      <c r="R190">
        <v>1</v>
      </c>
      <c r="S190">
        <v>190000</v>
      </c>
      <c r="T190">
        <v>1207</v>
      </c>
      <c r="U190">
        <v>0</v>
      </c>
      <c r="V190">
        <v>0</v>
      </c>
      <c r="W190">
        <v>0</v>
      </c>
      <c r="X190" s="367"/>
    </row>
    <row r="191" spans="1:24">
      <c r="A191" t="s">
        <v>2002</v>
      </c>
      <c r="B191" t="s">
        <v>2001</v>
      </c>
      <c r="C191">
        <v>184</v>
      </c>
      <c r="D191">
        <v>6131480</v>
      </c>
      <c r="E191">
        <v>48003525220</v>
      </c>
      <c r="F191">
        <v>7610</v>
      </c>
      <c r="G191">
        <v>7830</v>
      </c>
      <c r="H191">
        <v>7830</v>
      </c>
      <c r="I191">
        <v>220</v>
      </c>
      <c r="J191">
        <v>2.89</v>
      </c>
      <c r="K191">
        <v>7830</v>
      </c>
      <c r="L191">
        <v>220</v>
      </c>
      <c r="M191">
        <v>2.89</v>
      </c>
      <c r="N191">
        <v>7800</v>
      </c>
      <c r="O191">
        <v>7830</v>
      </c>
      <c r="P191">
        <v>62</v>
      </c>
      <c r="Q191">
        <v>126.29</v>
      </c>
      <c r="R191">
        <v>53</v>
      </c>
      <c r="S191">
        <v>13000862</v>
      </c>
      <c r="T191">
        <v>7830</v>
      </c>
      <c r="U191">
        <v>0</v>
      </c>
      <c r="V191">
        <v>0</v>
      </c>
      <c r="W191">
        <v>0</v>
      </c>
      <c r="X191" s="367"/>
    </row>
    <row r="192" spans="1:24">
      <c r="A192" t="s">
        <v>5979</v>
      </c>
      <c r="B192" t="s">
        <v>5980</v>
      </c>
      <c r="C192">
        <v>403</v>
      </c>
      <c r="D192">
        <v>89223725</v>
      </c>
      <c r="E192">
        <v>915189944341</v>
      </c>
      <c r="F192">
        <v>10244</v>
      </c>
      <c r="G192">
        <v>10257</v>
      </c>
      <c r="H192">
        <v>10258</v>
      </c>
      <c r="I192">
        <v>14</v>
      </c>
      <c r="J192">
        <v>0.14000000000000001</v>
      </c>
      <c r="K192">
        <v>10257</v>
      </c>
      <c r="L192">
        <v>13</v>
      </c>
      <c r="M192">
        <v>0.13</v>
      </c>
      <c r="N192">
        <v>10257</v>
      </c>
      <c r="O192">
        <v>10258</v>
      </c>
      <c r="P192" t="s">
        <v>192</v>
      </c>
      <c r="Q192" t="s">
        <v>192</v>
      </c>
      <c r="R192">
        <v>3</v>
      </c>
      <c r="S192">
        <v>200116653</v>
      </c>
      <c r="T192">
        <v>10257</v>
      </c>
      <c r="U192">
        <v>10258</v>
      </c>
      <c r="V192">
        <v>155272083</v>
      </c>
      <c r="W192">
        <v>1</v>
      </c>
      <c r="X192" s="367"/>
    </row>
    <row r="193" spans="1:24">
      <c r="A193" t="s">
        <v>3107</v>
      </c>
      <c r="B193" t="s">
        <v>3105</v>
      </c>
      <c r="C193">
        <v>2</v>
      </c>
      <c r="D193">
        <v>12417</v>
      </c>
      <c r="E193">
        <v>84187260</v>
      </c>
      <c r="F193">
        <v>6590</v>
      </c>
      <c r="G193">
        <v>6780</v>
      </c>
      <c r="H193">
        <v>6780</v>
      </c>
      <c r="I193">
        <v>190</v>
      </c>
      <c r="J193">
        <v>2.88</v>
      </c>
      <c r="K193">
        <v>6780</v>
      </c>
      <c r="L193">
        <v>190</v>
      </c>
      <c r="M193">
        <v>2.88</v>
      </c>
      <c r="N193">
        <v>6780</v>
      </c>
      <c r="O193">
        <v>6780</v>
      </c>
      <c r="P193">
        <v>798</v>
      </c>
      <c r="Q193">
        <v>8.5</v>
      </c>
      <c r="R193">
        <v>17</v>
      </c>
      <c r="S193">
        <v>711515</v>
      </c>
      <c r="T193">
        <v>6780</v>
      </c>
      <c r="U193">
        <v>0</v>
      </c>
      <c r="V193">
        <v>0</v>
      </c>
      <c r="W193">
        <v>0</v>
      </c>
      <c r="X193" s="367"/>
    </row>
    <row r="194" spans="1:24">
      <c r="A194" t="s">
        <v>5981</v>
      </c>
      <c r="B194" t="s">
        <v>5982</v>
      </c>
      <c r="C194">
        <v>0</v>
      </c>
      <c r="D194">
        <v>0</v>
      </c>
      <c r="E194">
        <v>0</v>
      </c>
      <c r="F194">
        <v>1000000</v>
      </c>
      <c r="G194">
        <v>0</v>
      </c>
      <c r="H194">
        <v>1000000</v>
      </c>
      <c r="I194">
        <v>0</v>
      </c>
      <c r="J194">
        <v>0</v>
      </c>
      <c r="K194">
        <v>1000000</v>
      </c>
      <c r="L194">
        <v>0</v>
      </c>
      <c r="M194">
        <v>0</v>
      </c>
      <c r="N194">
        <v>0</v>
      </c>
      <c r="O194">
        <v>0</v>
      </c>
      <c r="P194" t="s">
        <v>192</v>
      </c>
      <c r="Q194" t="s">
        <v>192</v>
      </c>
      <c r="R194">
        <v>1</v>
      </c>
      <c r="S194">
        <v>5000</v>
      </c>
      <c r="T194">
        <v>950000</v>
      </c>
      <c r="U194">
        <v>0</v>
      </c>
      <c r="V194">
        <v>0</v>
      </c>
      <c r="W194">
        <v>0</v>
      </c>
      <c r="X194" s="367"/>
    </row>
    <row r="195" spans="1:24">
      <c r="A195" t="s">
        <v>5983</v>
      </c>
      <c r="B195" t="s">
        <v>2165</v>
      </c>
      <c r="C195">
        <v>2</v>
      </c>
      <c r="D195">
        <v>5350</v>
      </c>
      <c r="E195">
        <v>81908500</v>
      </c>
      <c r="F195">
        <v>14870</v>
      </c>
      <c r="G195">
        <v>15310</v>
      </c>
      <c r="H195">
        <v>15310</v>
      </c>
      <c r="I195">
        <v>440</v>
      </c>
      <c r="J195">
        <v>2.96</v>
      </c>
      <c r="K195">
        <v>15310</v>
      </c>
      <c r="L195">
        <v>440</v>
      </c>
      <c r="M195">
        <v>2.96</v>
      </c>
      <c r="N195">
        <v>15310</v>
      </c>
      <c r="O195">
        <v>15310</v>
      </c>
      <c r="P195">
        <v>341</v>
      </c>
      <c r="Q195">
        <v>44.9</v>
      </c>
      <c r="R195">
        <v>11</v>
      </c>
      <c r="S195">
        <v>197194</v>
      </c>
      <c r="T195">
        <v>15310</v>
      </c>
      <c r="U195">
        <v>0</v>
      </c>
      <c r="V195">
        <v>0</v>
      </c>
      <c r="W195">
        <v>0</v>
      </c>
      <c r="X195" s="367"/>
    </row>
    <row r="196" spans="1:24">
      <c r="A196" t="s">
        <v>5985</v>
      </c>
      <c r="B196" t="s">
        <v>5986</v>
      </c>
      <c r="C196">
        <v>0</v>
      </c>
      <c r="D196">
        <v>0</v>
      </c>
      <c r="E196">
        <v>0</v>
      </c>
      <c r="F196">
        <v>902500</v>
      </c>
      <c r="G196">
        <v>0</v>
      </c>
      <c r="H196">
        <v>902500</v>
      </c>
      <c r="I196">
        <v>0</v>
      </c>
      <c r="J196">
        <v>0</v>
      </c>
      <c r="K196">
        <v>902500</v>
      </c>
      <c r="L196">
        <v>0</v>
      </c>
      <c r="M196">
        <v>0</v>
      </c>
      <c r="N196">
        <v>0</v>
      </c>
      <c r="O196">
        <v>0</v>
      </c>
      <c r="P196" t="s">
        <v>192</v>
      </c>
      <c r="Q196" t="s">
        <v>192</v>
      </c>
      <c r="R196">
        <v>1</v>
      </c>
      <c r="S196">
        <v>5000</v>
      </c>
      <c r="T196">
        <v>902500</v>
      </c>
      <c r="U196">
        <v>911000</v>
      </c>
      <c r="V196">
        <v>5000</v>
      </c>
      <c r="W196">
        <v>1</v>
      </c>
      <c r="X196" s="367"/>
    </row>
    <row r="197" spans="1:24">
      <c r="A197" t="s">
        <v>43</v>
      </c>
      <c r="B197" t="s">
        <v>2284</v>
      </c>
      <c r="C197">
        <v>339</v>
      </c>
      <c r="D197">
        <v>528320</v>
      </c>
      <c r="E197">
        <v>108464096000</v>
      </c>
      <c r="F197">
        <v>199400</v>
      </c>
      <c r="G197">
        <v>205300</v>
      </c>
      <c r="H197">
        <v>205300</v>
      </c>
      <c r="I197">
        <v>5900</v>
      </c>
      <c r="J197">
        <v>2.96</v>
      </c>
      <c r="K197">
        <v>205300</v>
      </c>
      <c r="L197">
        <v>5900</v>
      </c>
      <c r="M197">
        <v>2.96</v>
      </c>
      <c r="N197">
        <v>205300</v>
      </c>
      <c r="O197">
        <v>205300</v>
      </c>
      <c r="P197">
        <v>34336</v>
      </c>
      <c r="Q197">
        <v>5.98</v>
      </c>
      <c r="R197">
        <v>164</v>
      </c>
      <c r="S197">
        <v>174610</v>
      </c>
      <c r="T197">
        <v>205300</v>
      </c>
      <c r="U197">
        <v>0</v>
      </c>
      <c r="V197">
        <v>0</v>
      </c>
      <c r="W197">
        <v>0</v>
      </c>
      <c r="X197" s="367"/>
    </row>
    <row r="198" spans="1:24">
      <c r="A198" t="s">
        <v>5987</v>
      </c>
      <c r="B198" t="s">
        <v>5988</v>
      </c>
      <c r="C198">
        <v>1079</v>
      </c>
      <c r="D198">
        <v>7844095</v>
      </c>
      <c r="E198">
        <v>173269591238</v>
      </c>
      <c r="F198">
        <v>21448</v>
      </c>
      <c r="G198">
        <v>22091</v>
      </c>
      <c r="H198">
        <v>22091</v>
      </c>
      <c r="I198">
        <v>643</v>
      </c>
      <c r="J198">
        <v>3</v>
      </c>
      <c r="K198">
        <v>22089</v>
      </c>
      <c r="L198">
        <v>641</v>
      </c>
      <c r="M198">
        <v>2.99</v>
      </c>
      <c r="N198">
        <v>21810</v>
      </c>
      <c r="O198">
        <v>22091</v>
      </c>
      <c r="P198" t="s">
        <v>192</v>
      </c>
      <c r="Q198" t="s">
        <v>192</v>
      </c>
      <c r="R198">
        <v>8</v>
      </c>
      <c r="S198">
        <v>1023901</v>
      </c>
      <c r="T198">
        <v>22091</v>
      </c>
      <c r="U198">
        <v>22173</v>
      </c>
      <c r="V198">
        <v>250</v>
      </c>
      <c r="W198">
        <v>1</v>
      </c>
      <c r="X198" s="367"/>
    </row>
    <row r="199" spans="1:24">
      <c r="A199" t="s">
        <v>1932</v>
      </c>
      <c r="B199" t="s">
        <v>1931</v>
      </c>
      <c r="C199">
        <v>222</v>
      </c>
      <c r="D199">
        <v>13401515</v>
      </c>
      <c r="E199">
        <v>103325680650</v>
      </c>
      <c r="F199">
        <v>7490</v>
      </c>
      <c r="G199">
        <v>7710</v>
      </c>
      <c r="H199">
        <v>7710</v>
      </c>
      <c r="I199">
        <v>220</v>
      </c>
      <c r="J199">
        <v>2.94</v>
      </c>
      <c r="K199">
        <v>7710</v>
      </c>
      <c r="L199">
        <v>220</v>
      </c>
      <c r="M199">
        <v>2.94</v>
      </c>
      <c r="N199">
        <v>7710</v>
      </c>
      <c r="O199">
        <v>7710</v>
      </c>
      <c r="P199">
        <v>1266</v>
      </c>
      <c r="Q199">
        <v>6.09</v>
      </c>
      <c r="R199">
        <v>138</v>
      </c>
      <c r="S199">
        <v>24022143</v>
      </c>
      <c r="T199">
        <v>7710</v>
      </c>
      <c r="U199">
        <v>0</v>
      </c>
      <c r="V199">
        <v>0</v>
      </c>
      <c r="W199">
        <v>0</v>
      </c>
      <c r="X199" s="367"/>
    </row>
    <row r="200" spans="1:24">
      <c r="A200" t="s">
        <v>2747</v>
      </c>
      <c r="B200" t="s">
        <v>2746</v>
      </c>
      <c r="C200">
        <v>1034</v>
      </c>
      <c r="D200">
        <v>34410612</v>
      </c>
      <c r="E200">
        <v>140245254000</v>
      </c>
      <c r="F200">
        <v>3980</v>
      </c>
      <c r="G200">
        <v>4020</v>
      </c>
      <c r="H200">
        <v>4090</v>
      </c>
      <c r="I200">
        <v>110</v>
      </c>
      <c r="J200">
        <v>2.76</v>
      </c>
      <c r="K200">
        <v>4080</v>
      </c>
      <c r="L200">
        <v>100</v>
      </c>
      <c r="M200">
        <v>2.5099999999999998</v>
      </c>
      <c r="N200">
        <v>4010</v>
      </c>
      <c r="O200">
        <v>4090</v>
      </c>
      <c r="P200">
        <v>310</v>
      </c>
      <c r="Q200">
        <v>13.16</v>
      </c>
      <c r="R200">
        <v>3</v>
      </c>
      <c r="S200">
        <v>33793</v>
      </c>
      <c r="T200">
        <v>4060</v>
      </c>
      <c r="U200">
        <v>4090</v>
      </c>
      <c r="V200">
        <v>204311</v>
      </c>
      <c r="W200">
        <v>1</v>
      </c>
      <c r="X200" s="367"/>
    </row>
    <row r="201" spans="1:24">
      <c r="A201" t="s">
        <v>5989</v>
      </c>
      <c r="B201" t="s">
        <v>5990</v>
      </c>
      <c r="C201">
        <v>0</v>
      </c>
      <c r="D201">
        <v>0</v>
      </c>
      <c r="E201">
        <v>0</v>
      </c>
      <c r="F201">
        <v>1000000</v>
      </c>
      <c r="G201">
        <v>0</v>
      </c>
      <c r="H201">
        <v>1000000</v>
      </c>
      <c r="I201">
        <v>0</v>
      </c>
      <c r="J201">
        <v>0</v>
      </c>
      <c r="K201">
        <v>1000000</v>
      </c>
      <c r="L201">
        <v>0</v>
      </c>
      <c r="M201">
        <v>0</v>
      </c>
      <c r="N201">
        <v>0</v>
      </c>
      <c r="O201">
        <v>0</v>
      </c>
      <c r="P201" t="s">
        <v>192</v>
      </c>
      <c r="Q201" t="s">
        <v>192</v>
      </c>
      <c r="R201">
        <v>1</v>
      </c>
      <c r="S201">
        <v>5000</v>
      </c>
      <c r="T201">
        <v>1000000</v>
      </c>
      <c r="U201">
        <v>1010000</v>
      </c>
      <c r="V201">
        <v>5000</v>
      </c>
      <c r="W201">
        <v>1</v>
      </c>
      <c r="X201" s="367"/>
    </row>
    <row r="202" spans="1:24">
      <c r="A202" t="s">
        <v>2789</v>
      </c>
      <c r="B202" t="s">
        <v>2788</v>
      </c>
      <c r="C202">
        <v>64</v>
      </c>
      <c r="D202">
        <v>4137922</v>
      </c>
      <c r="E202">
        <v>12616515578</v>
      </c>
      <c r="F202">
        <v>2961</v>
      </c>
      <c r="G202">
        <v>3047</v>
      </c>
      <c r="H202">
        <v>3049</v>
      </c>
      <c r="I202">
        <v>88</v>
      </c>
      <c r="J202">
        <v>2.97</v>
      </c>
      <c r="K202">
        <v>3049</v>
      </c>
      <c r="L202">
        <v>88</v>
      </c>
      <c r="M202">
        <v>2.97</v>
      </c>
      <c r="N202">
        <v>3047</v>
      </c>
      <c r="O202">
        <v>3049</v>
      </c>
      <c r="P202">
        <v>257</v>
      </c>
      <c r="Q202">
        <v>11.86</v>
      </c>
      <c r="R202">
        <v>6</v>
      </c>
      <c r="S202">
        <v>1822840</v>
      </c>
      <c r="T202">
        <v>3049</v>
      </c>
      <c r="U202">
        <v>0</v>
      </c>
      <c r="V202">
        <v>0</v>
      </c>
      <c r="W202">
        <v>0</v>
      </c>
      <c r="X202" s="367"/>
    </row>
    <row r="203" spans="1:24">
      <c r="A203" t="s">
        <v>5991</v>
      </c>
      <c r="B203" t="s">
        <v>5992</v>
      </c>
      <c r="C203">
        <v>0</v>
      </c>
      <c r="D203">
        <v>0</v>
      </c>
      <c r="E203">
        <v>0</v>
      </c>
      <c r="F203">
        <v>766371</v>
      </c>
      <c r="G203">
        <v>0</v>
      </c>
      <c r="H203">
        <v>766371</v>
      </c>
      <c r="I203">
        <v>0</v>
      </c>
      <c r="J203">
        <v>0</v>
      </c>
      <c r="K203">
        <v>766371</v>
      </c>
      <c r="L203">
        <v>0</v>
      </c>
      <c r="M203">
        <v>0</v>
      </c>
      <c r="N203">
        <v>0</v>
      </c>
      <c r="O203">
        <v>0</v>
      </c>
      <c r="P203" t="s">
        <v>192</v>
      </c>
      <c r="Q203" t="s">
        <v>192</v>
      </c>
      <c r="R203">
        <v>1</v>
      </c>
      <c r="S203">
        <v>12500</v>
      </c>
      <c r="T203">
        <v>766371</v>
      </c>
      <c r="U203">
        <v>0</v>
      </c>
      <c r="V203">
        <v>0</v>
      </c>
      <c r="W203">
        <v>0</v>
      </c>
      <c r="X203" s="367"/>
    </row>
    <row r="204" spans="1:24">
      <c r="A204" t="s">
        <v>8579</v>
      </c>
      <c r="B204" t="s">
        <v>8580</v>
      </c>
      <c r="C204">
        <v>1</v>
      </c>
      <c r="D204">
        <v>457000</v>
      </c>
      <c r="E204">
        <v>419642078000</v>
      </c>
      <c r="F204">
        <v>918860</v>
      </c>
      <c r="G204">
        <v>918254</v>
      </c>
      <c r="H204">
        <v>918254</v>
      </c>
      <c r="I204">
        <v>-606</v>
      </c>
      <c r="J204">
        <v>-7.0000000000000007E-2</v>
      </c>
      <c r="K204">
        <v>918254</v>
      </c>
      <c r="L204">
        <v>-606</v>
      </c>
      <c r="M204">
        <v>-7.0000000000000007E-2</v>
      </c>
      <c r="N204">
        <v>918254</v>
      </c>
      <c r="O204">
        <v>918254</v>
      </c>
      <c r="P204" t="s">
        <v>192</v>
      </c>
      <c r="Q204" t="s">
        <v>192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s="367"/>
    </row>
    <row r="205" spans="1:24">
      <c r="A205" t="s">
        <v>5993</v>
      </c>
      <c r="B205" t="s">
        <v>5994</v>
      </c>
      <c r="C205">
        <v>0</v>
      </c>
      <c r="D205">
        <v>0</v>
      </c>
      <c r="E205">
        <v>0</v>
      </c>
      <c r="F205">
        <v>848000</v>
      </c>
      <c r="G205">
        <v>0</v>
      </c>
      <c r="H205">
        <v>848000</v>
      </c>
      <c r="I205">
        <v>0</v>
      </c>
      <c r="J205">
        <v>0</v>
      </c>
      <c r="K205">
        <v>848000</v>
      </c>
      <c r="L205">
        <v>0</v>
      </c>
      <c r="M205">
        <v>0</v>
      </c>
      <c r="N205">
        <v>0</v>
      </c>
      <c r="O205">
        <v>0</v>
      </c>
      <c r="P205" t="s">
        <v>192</v>
      </c>
      <c r="Q205" t="s">
        <v>192</v>
      </c>
      <c r="R205">
        <v>1</v>
      </c>
      <c r="S205">
        <v>20000</v>
      </c>
      <c r="T205">
        <v>847000</v>
      </c>
      <c r="U205">
        <v>855000</v>
      </c>
      <c r="V205">
        <v>20000</v>
      </c>
      <c r="W205">
        <v>1</v>
      </c>
      <c r="X205" s="367"/>
    </row>
    <row r="206" spans="1:24">
      <c r="A206" t="s">
        <v>5995</v>
      </c>
      <c r="B206" t="s">
        <v>5996</v>
      </c>
      <c r="C206">
        <v>0</v>
      </c>
      <c r="D206">
        <v>0</v>
      </c>
      <c r="E206">
        <v>0</v>
      </c>
      <c r="F206">
        <v>1000000</v>
      </c>
      <c r="G206">
        <v>0</v>
      </c>
      <c r="H206">
        <v>1000000</v>
      </c>
      <c r="I206">
        <v>0</v>
      </c>
      <c r="J206">
        <v>0</v>
      </c>
      <c r="K206">
        <v>1000000</v>
      </c>
      <c r="L206">
        <v>0</v>
      </c>
      <c r="M206">
        <v>0</v>
      </c>
      <c r="N206">
        <v>0</v>
      </c>
      <c r="O206">
        <v>0</v>
      </c>
      <c r="P206" t="s">
        <v>192</v>
      </c>
      <c r="Q206" t="s">
        <v>192</v>
      </c>
      <c r="R206">
        <v>1</v>
      </c>
      <c r="S206">
        <v>7500</v>
      </c>
      <c r="T206">
        <v>1000000</v>
      </c>
      <c r="U206">
        <v>1000010</v>
      </c>
      <c r="V206">
        <v>7500</v>
      </c>
      <c r="W206">
        <v>1</v>
      </c>
      <c r="X206" s="367"/>
    </row>
    <row r="207" spans="1:24">
      <c r="A207" t="s">
        <v>2401</v>
      </c>
      <c r="B207" t="s">
        <v>2400</v>
      </c>
      <c r="C207">
        <v>43</v>
      </c>
      <c r="D207">
        <v>87488</v>
      </c>
      <c r="E207">
        <v>1827612390</v>
      </c>
      <c r="F207">
        <v>20390</v>
      </c>
      <c r="G207">
        <v>21000</v>
      </c>
      <c r="H207">
        <v>21000</v>
      </c>
      <c r="I207">
        <v>610</v>
      </c>
      <c r="J207">
        <v>2.99</v>
      </c>
      <c r="K207">
        <v>20890</v>
      </c>
      <c r="L207">
        <v>500</v>
      </c>
      <c r="M207">
        <v>2.4500000000000002</v>
      </c>
      <c r="N207">
        <v>20750</v>
      </c>
      <c r="O207">
        <v>21000</v>
      </c>
      <c r="P207">
        <v>288</v>
      </c>
      <c r="Q207">
        <v>72.53</v>
      </c>
      <c r="R207">
        <v>1</v>
      </c>
      <c r="S207">
        <v>800</v>
      </c>
      <c r="T207">
        <v>20770</v>
      </c>
      <c r="U207">
        <v>21000</v>
      </c>
      <c r="V207">
        <v>23513</v>
      </c>
      <c r="W207">
        <v>1</v>
      </c>
      <c r="X207" s="367"/>
    </row>
    <row r="208" spans="1:24">
      <c r="A208" t="s">
        <v>2555</v>
      </c>
      <c r="B208" t="s">
        <v>2554</v>
      </c>
      <c r="C208">
        <v>1341</v>
      </c>
      <c r="D208">
        <v>39637273</v>
      </c>
      <c r="E208">
        <v>433948190530</v>
      </c>
      <c r="F208">
        <v>10640</v>
      </c>
      <c r="G208">
        <v>10950</v>
      </c>
      <c r="H208">
        <v>10950</v>
      </c>
      <c r="I208">
        <v>310</v>
      </c>
      <c r="J208">
        <v>2.91</v>
      </c>
      <c r="K208">
        <v>10950</v>
      </c>
      <c r="L208">
        <v>310</v>
      </c>
      <c r="M208">
        <v>2.91</v>
      </c>
      <c r="N208">
        <v>10790</v>
      </c>
      <c r="O208">
        <v>10950</v>
      </c>
      <c r="P208">
        <v>2578</v>
      </c>
      <c r="Q208">
        <v>4.25</v>
      </c>
      <c r="R208">
        <v>93</v>
      </c>
      <c r="S208">
        <v>4502215</v>
      </c>
      <c r="T208">
        <v>10950</v>
      </c>
      <c r="U208">
        <v>0</v>
      </c>
      <c r="V208">
        <v>0</v>
      </c>
      <c r="W208">
        <v>0</v>
      </c>
      <c r="X208" s="367"/>
    </row>
    <row r="209" spans="1:24">
      <c r="A209" t="s">
        <v>5997</v>
      </c>
      <c r="B209" t="s">
        <v>5998</v>
      </c>
      <c r="C209">
        <v>0</v>
      </c>
      <c r="D209">
        <v>0</v>
      </c>
      <c r="E209">
        <v>0</v>
      </c>
      <c r="F209">
        <v>994840</v>
      </c>
      <c r="G209">
        <v>0</v>
      </c>
      <c r="H209">
        <v>1000000</v>
      </c>
      <c r="I209">
        <v>5160</v>
      </c>
      <c r="J209">
        <v>0.52</v>
      </c>
      <c r="K209">
        <v>994840</v>
      </c>
      <c r="L209">
        <v>0</v>
      </c>
      <c r="M209">
        <v>0</v>
      </c>
      <c r="N209">
        <v>0</v>
      </c>
      <c r="O209">
        <v>0</v>
      </c>
      <c r="P209" t="s">
        <v>192</v>
      </c>
      <c r="Q209" t="s">
        <v>192</v>
      </c>
      <c r="R209">
        <v>1</v>
      </c>
      <c r="S209">
        <v>40000</v>
      </c>
      <c r="T209">
        <v>995000</v>
      </c>
      <c r="U209">
        <v>1004950</v>
      </c>
      <c r="V209">
        <v>20000</v>
      </c>
      <c r="W209">
        <v>1</v>
      </c>
      <c r="X209" s="367"/>
    </row>
    <row r="210" spans="1:24">
      <c r="A210" t="s">
        <v>5999</v>
      </c>
      <c r="B210" t="s">
        <v>6000</v>
      </c>
      <c r="C210">
        <v>0</v>
      </c>
      <c r="D210">
        <v>0</v>
      </c>
      <c r="E210">
        <v>0</v>
      </c>
      <c r="F210">
        <v>1029900</v>
      </c>
      <c r="G210">
        <v>0</v>
      </c>
      <c r="H210">
        <v>1029900</v>
      </c>
      <c r="I210">
        <v>0</v>
      </c>
      <c r="J210">
        <v>0</v>
      </c>
      <c r="K210">
        <v>1029900</v>
      </c>
      <c r="L210">
        <v>0</v>
      </c>
      <c r="M210">
        <v>0</v>
      </c>
      <c r="N210">
        <v>0</v>
      </c>
      <c r="O210">
        <v>0</v>
      </c>
      <c r="P210" t="s">
        <v>192</v>
      </c>
      <c r="Q210" t="s">
        <v>192</v>
      </c>
      <c r="R210">
        <v>1</v>
      </c>
      <c r="S210">
        <v>5000</v>
      </c>
      <c r="T210">
        <v>1024750</v>
      </c>
      <c r="U210">
        <v>1035050</v>
      </c>
      <c r="V210">
        <v>5000</v>
      </c>
      <c r="W210">
        <v>1</v>
      </c>
      <c r="X210" s="367"/>
    </row>
    <row r="211" spans="1:24">
      <c r="A211" t="s">
        <v>117</v>
      </c>
      <c r="B211" t="s">
        <v>116</v>
      </c>
      <c r="C211">
        <v>1263</v>
      </c>
      <c r="D211">
        <v>99183550</v>
      </c>
      <c r="E211">
        <v>493911105240</v>
      </c>
      <c r="F211">
        <v>4840</v>
      </c>
      <c r="G211">
        <v>4980</v>
      </c>
      <c r="H211">
        <v>4980</v>
      </c>
      <c r="I211">
        <v>140</v>
      </c>
      <c r="J211">
        <v>2.89</v>
      </c>
      <c r="K211">
        <v>4980</v>
      </c>
      <c r="L211">
        <v>140</v>
      </c>
      <c r="M211">
        <v>2.89</v>
      </c>
      <c r="N211">
        <v>4960</v>
      </c>
      <c r="O211">
        <v>4980</v>
      </c>
      <c r="P211">
        <v>1065</v>
      </c>
      <c r="Q211">
        <v>4.68</v>
      </c>
      <c r="R211">
        <v>132</v>
      </c>
      <c r="S211">
        <v>16157832</v>
      </c>
      <c r="T211">
        <v>4980</v>
      </c>
      <c r="U211">
        <v>0</v>
      </c>
      <c r="V211">
        <v>0</v>
      </c>
      <c r="W211">
        <v>0</v>
      </c>
      <c r="X211" s="367"/>
    </row>
    <row r="212" spans="1:24">
      <c r="A212" t="s">
        <v>6001</v>
      </c>
      <c r="B212" t="s">
        <v>6002</v>
      </c>
      <c r="C212">
        <v>39</v>
      </c>
      <c r="D212">
        <v>23126577</v>
      </c>
      <c r="E212">
        <v>422882917935</v>
      </c>
      <c r="F212">
        <v>18251</v>
      </c>
      <c r="G212">
        <v>18288</v>
      </c>
      <c r="H212">
        <v>18287</v>
      </c>
      <c r="I212">
        <v>36</v>
      </c>
      <c r="J212">
        <v>0.2</v>
      </c>
      <c r="K212">
        <v>18286</v>
      </c>
      <c r="L212">
        <v>35</v>
      </c>
      <c r="M212">
        <v>0.19</v>
      </c>
      <c r="N212">
        <v>18285</v>
      </c>
      <c r="O212">
        <v>18288</v>
      </c>
      <c r="P212" t="s">
        <v>192</v>
      </c>
      <c r="Q212" t="s">
        <v>192</v>
      </c>
      <c r="R212">
        <v>1</v>
      </c>
      <c r="S212">
        <v>150000000</v>
      </c>
      <c r="T212">
        <v>18287</v>
      </c>
      <c r="U212">
        <v>18288</v>
      </c>
      <c r="V212">
        <v>60148509</v>
      </c>
      <c r="W212">
        <v>3</v>
      </c>
      <c r="X212" s="367"/>
    </row>
    <row r="213" spans="1:24">
      <c r="A213" t="s">
        <v>6003</v>
      </c>
      <c r="B213" t="s">
        <v>6004</v>
      </c>
      <c r="C213">
        <v>102</v>
      </c>
      <c r="D213">
        <v>6262046</v>
      </c>
      <c r="E213">
        <v>132692622033</v>
      </c>
      <c r="F213">
        <v>20642</v>
      </c>
      <c r="G213">
        <v>21261</v>
      </c>
      <c r="H213">
        <v>21261</v>
      </c>
      <c r="I213">
        <v>619</v>
      </c>
      <c r="J213">
        <v>3</v>
      </c>
      <c r="K213">
        <v>21190</v>
      </c>
      <c r="L213">
        <v>548</v>
      </c>
      <c r="M213">
        <v>2.65</v>
      </c>
      <c r="N213">
        <v>21139</v>
      </c>
      <c r="O213">
        <v>21261</v>
      </c>
      <c r="P213" t="s">
        <v>192</v>
      </c>
      <c r="Q213" t="s">
        <v>192</v>
      </c>
      <c r="R213">
        <v>1</v>
      </c>
      <c r="S213">
        <v>18898</v>
      </c>
      <c r="T213">
        <v>21156</v>
      </c>
      <c r="U213">
        <v>21261</v>
      </c>
      <c r="V213">
        <v>900187</v>
      </c>
      <c r="W213">
        <v>1</v>
      </c>
      <c r="X213" s="367"/>
    </row>
    <row r="214" spans="1:24">
      <c r="A214" t="s">
        <v>2290</v>
      </c>
      <c r="B214" t="s">
        <v>2289</v>
      </c>
      <c r="C214">
        <v>1</v>
      </c>
      <c r="D214">
        <v>574</v>
      </c>
      <c r="E214">
        <v>11072460</v>
      </c>
      <c r="F214">
        <v>18740</v>
      </c>
      <c r="G214">
        <v>19290</v>
      </c>
      <c r="H214">
        <v>19290</v>
      </c>
      <c r="I214">
        <v>550</v>
      </c>
      <c r="J214">
        <v>2.93</v>
      </c>
      <c r="K214">
        <v>19290</v>
      </c>
      <c r="L214">
        <v>550</v>
      </c>
      <c r="M214">
        <v>2.93</v>
      </c>
      <c r="N214">
        <v>19290</v>
      </c>
      <c r="O214">
        <v>19290</v>
      </c>
      <c r="P214">
        <v>2433</v>
      </c>
      <c r="Q214">
        <v>7.93</v>
      </c>
      <c r="R214">
        <v>10</v>
      </c>
      <c r="S214">
        <v>192211</v>
      </c>
      <c r="T214">
        <v>19290</v>
      </c>
      <c r="U214">
        <v>0</v>
      </c>
      <c r="V214">
        <v>0</v>
      </c>
      <c r="W214">
        <v>0</v>
      </c>
      <c r="X214" s="367"/>
    </row>
    <row r="215" spans="1:24">
      <c r="A215" t="s">
        <v>6005</v>
      </c>
      <c r="B215" t="s">
        <v>6006</v>
      </c>
      <c r="C215">
        <v>0</v>
      </c>
      <c r="D215">
        <v>0</v>
      </c>
      <c r="E215">
        <v>0</v>
      </c>
      <c r="F215">
        <v>1000000</v>
      </c>
      <c r="G215">
        <v>0</v>
      </c>
      <c r="H215">
        <v>1000000</v>
      </c>
      <c r="I215">
        <v>0</v>
      </c>
      <c r="J215">
        <v>0</v>
      </c>
      <c r="K215">
        <v>1000000</v>
      </c>
      <c r="L215">
        <v>0</v>
      </c>
      <c r="M215">
        <v>0</v>
      </c>
      <c r="N215">
        <v>0</v>
      </c>
      <c r="O215">
        <v>0</v>
      </c>
      <c r="P215" t="s">
        <v>192</v>
      </c>
      <c r="Q215" t="s">
        <v>192</v>
      </c>
      <c r="R215">
        <v>1</v>
      </c>
      <c r="S215">
        <v>8000</v>
      </c>
      <c r="T215">
        <v>995000</v>
      </c>
      <c r="U215">
        <v>1004950</v>
      </c>
      <c r="V215">
        <v>4000</v>
      </c>
      <c r="W215">
        <v>1</v>
      </c>
      <c r="X215" s="367"/>
    </row>
    <row r="216" spans="1:24">
      <c r="A216" t="s">
        <v>2313</v>
      </c>
      <c r="B216" t="s">
        <v>2312</v>
      </c>
      <c r="C216">
        <v>224</v>
      </c>
      <c r="D216">
        <v>8803659</v>
      </c>
      <c r="E216">
        <v>169998655290</v>
      </c>
      <c r="F216">
        <v>18750</v>
      </c>
      <c r="G216">
        <v>19310</v>
      </c>
      <c r="H216">
        <v>19310</v>
      </c>
      <c r="I216">
        <v>560</v>
      </c>
      <c r="J216">
        <v>2.99</v>
      </c>
      <c r="K216">
        <v>19310</v>
      </c>
      <c r="L216">
        <v>560</v>
      </c>
      <c r="M216">
        <v>2.99</v>
      </c>
      <c r="N216">
        <v>19310</v>
      </c>
      <c r="O216">
        <v>19310</v>
      </c>
      <c r="P216">
        <v>2624</v>
      </c>
      <c r="Q216">
        <v>7.36</v>
      </c>
      <c r="R216">
        <v>64</v>
      </c>
      <c r="S216">
        <v>4286096</v>
      </c>
      <c r="T216">
        <v>19310</v>
      </c>
      <c r="U216">
        <v>0</v>
      </c>
      <c r="V216">
        <v>0</v>
      </c>
      <c r="W216">
        <v>0</v>
      </c>
      <c r="X216" s="367"/>
    </row>
    <row r="217" spans="1:24">
      <c r="A217" t="s">
        <v>6007</v>
      </c>
      <c r="B217" t="s">
        <v>6008</v>
      </c>
      <c r="C217">
        <v>0</v>
      </c>
      <c r="D217">
        <v>0</v>
      </c>
      <c r="E217">
        <v>0</v>
      </c>
      <c r="F217">
        <v>1000000</v>
      </c>
      <c r="G217">
        <v>0</v>
      </c>
      <c r="H217">
        <v>1000000</v>
      </c>
      <c r="I217">
        <v>0</v>
      </c>
      <c r="J217">
        <v>0</v>
      </c>
      <c r="K217">
        <v>1000000</v>
      </c>
      <c r="L217">
        <v>0</v>
      </c>
      <c r="M217">
        <v>0</v>
      </c>
      <c r="N217">
        <v>0</v>
      </c>
      <c r="O217">
        <v>0</v>
      </c>
      <c r="P217" t="s">
        <v>192</v>
      </c>
      <c r="Q217" t="s">
        <v>192</v>
      </c>
      <c r="R217">
        <v>1</v>
      </c>
      <c r="S217">
        <v>4500</v>
      </c>
      <c r="T217">
        <v>1000000</v>
      </c>
      <c r="U217">
        <v>0</v>
      </c>
      <c r="V217">
        <v>0</v>
      </c>
      <c r="W217">
        <v>0</v>
      </c>
      <c r="X217" s="367"/>
    </row>
    <row r="218" spans="1:24">
      <c r="A218" t="s">
        <v>6009</v>
      </c>
      <c r="B218" t="s">
        <v>6010</v>
      </c>
      <c r="C218">
        <v>823</v>
      </c>
      <c r="D218">
        <v>362692061</v>
      </c>
      <c r="E218">
        <v>7572248017007</v>
      </c>
      <c r="F218">
        <v>20846</v>
      </c>
      <c r="G218">
        <v>20877</v>
      </c>
      <c r="H218">
        <v>20877</v>
      </c>
      <c r="I218">
        <v>31</v>
      </c>
      <c r="J218">
        <v>0.15</v>
      </c>
      <c r="K218">
        <v>20878</v>
      </c>
      <c r="L218">
        <v>32</v>
      </c>
      <c r="M218">
        <v>0.15</v>
      </c>
      <c r="N218">
        <v>20877</v>
      </c>
      <c r="O218">
        <v>20879</v>
      </c>
      <c r="P218" t="s">
        <v>192</v>
      </c>
      <c r="Q218" t="s">
        <v>192</v>
      </c>
      <c r="R218">
        <v>7</v>
      </c>
      <c r="S218">
        <v>297626842</v>
      </c>
      <c r="T218">
        <v>20877</v>
      </c>
      <c r="U218">
        <v>20878</v>
      </c>
      <c r="V218">
        <v>4635317</v>
      </c>
      <c r="W218">
        <v>5</v>
      </c>
      <c r="X218" s="367"/>
    </row>
    <row r="219" spans="1:24">
      <c r="A219" t="s">
        <v>6011</v>
      </c>
      <c r="B219" t="s">
        <v>6012</v>
      </c>
      <c r="C219">
        <v>15</v>
      </c>
      <c r="D219">
        <v>375485</v>
      </c>
      <c r="E219">
        <v>3668488450</v>
      </c>
      <c r="F219">
        <v>9580</v>
      </c>
      <c r="G219">
        <v>9770</v>
      </c>
      <c r="H219">
        <v>9770</v>
      </c>
      <c r="I219">
        <v>190</v>
      </c>
      <c r="J219">
        <v>1.98</v>
      </c>
      <c r="K219">
        <v>9770</v>
      </c>
      <c r="L219">
        <v>190</v>
      </c>
      <c r="M219">
        <v>1.98</v>
      </c>
      <c r="N219">
        <v>9770</v>
      </c>
      <c r="O219">
        <v>9770</v>
      </c>
      <c r="P219">
        <v>369</v>
      </c>
      <c r="Q219">
        <v>26.48</v>
      </c>
      <c r="R219">
        <v>8</v>
      </c>
      <c r="S219">
        <v>757133</v>
      </c>
      <c r="T219">
        <v>9770</v>
      </c>
      <c r="U219">
        <v>9810</v>
      </c>
      <c r="V219">
        <v>10000</v>
      </c>
      <c r="W219">
        <v>1</v>
      </c>
      <c r="X219" s="367"/>
    </row>
    <row r="220" spans="1:24">
      <c r="A220" t="s">
        <v>2595</v>
      </c>
      <c r="B220" t="s">
        <v>2594</v>
      </c>
      <c r="C220">
        <v>113</v>
      </c>
      <c r="D220">
        <v>6232715</v>
      </c>
      <c r="E220">
        <v>48864485600</v>
      </c>
      <c r="F220">
        <v>7620</v>
      </c>
      <c r="G220">
        <v>7840</v>
      </c>
      <c r="H220">
        <v>7840</v>
      </c>
      <c r="I220">
        <v>220</v>
      </c>
      <c r="J220">
        <v>2.89</v>
      </c>
      <c r="K220">
        <v>7840</v>
      </c>
      <c r="L220">
        <v>220</v>
      </c>
      <c r="M220">
        <v>2.89</v>
      </c>
      <c r="N220">
        <v>7840</v>
      </c>
      <c r="O220">
        <v>7840</v>
      </c>
      <c r="P220">
        <v>1550</v>
      </c>
      <c r="Q220">
        <v>5.0599999999999996</v>
      </c>
      <c r="R220">
        <v>49</v>
      </c>
      <c r="S220">
        <v>3793906</v>
      </c>
      <c r="T220">
        <v>7840</v>
      </c>
      <c r="U220">
        <v>0</v>
      </c>
      <c r="V220">
        <v>0</v>
      </c>
      <c r="W220">
        <v>0</v>
      </c>
      <c r="X220" s="367"/>
    </row>
    <row r="221" spans="1:24">
      <c r="A221" t="s">
        <v>6013</v>
      </c>
      <c r="B221" t="s">
        <v>6014</v>
      </c>
      <c r="C221">
        <v>0</v>
      </c>
      <c r="D221">
        <v>0</v>
      </c>
      <c r="E221">
        <v>0</v>
      </c>
      <c r="F221">
        <v>1000000</v>
      </c>
      <c r="G221">
        <v>0</v>
      </c>
      <c r="H221">
        <v>1000000</v>
      </c>
      <c r="I221">
        <v>0</v>
      </c>
      <c r="J221">
        <v>0</v>
      </c>
      <c r="K221">
        <v>1000000</v>
      </c>
      <c r="L221">
        <v>0</v>
      </c>
      <c r="M221">
        <v>0</v>
      </c>
      <c r="N221">
        <v>0</v>
      </c>
      <c r="O221">
        <v>0</v>
      </c>
      <c r="P221" t="s">
        <v>192</v>
      </c>
      <c r="Q221" t="s">
        <v>192</v>
      </c>
      <c r="R221">
        <v>1</v>
      </c>
      <c r="S221">
        <v>5000</v>
      </c>
      <c r="T221">
        <v>950000</v>
      </c>
      <c r="U221">
        <v>1050000</v>
      </c>
      <c r="V221">
        <v>5000</v>
      </c>
      <c r="W221">
        <v>1</v>
      </c>
      <c r="X221" s="367"/>
    </row>
    <row r="222" spans="1:24">
      <c r="A222" t="s">
        <v>6015</v>
      </c>
      <c r="B222" t="s">
        <v>6016</v>
      </c>
      <c r="C222">
        <v>1391</v>
      </c>
      <c r="D222">
        <v>10052020</v>
      </c>
      <c r="E222">
        <v>245474287892</v>
      </c>
      <c r="F222">
        <v>24507</v>
      </c>
      <c r="G222">
        <v>24486</v>
      </c>
      <c r="H222">
        <v>24415</v>
      </c>
      <c r="I222">
        <v>-92</v>
      </c>
      <c r="J222">
        <v>-0.38</v>
      </c>
      <c r="K222">
        <v>24420</v>
      </c>
      <c r="L222">
        <v>-87</v>
      </c>
      <c r="M222">
        <v>-0.36</v>
      </c>
      <c r="N222">
        <v>24357</v>
      </c>
      <c r="O222">
        <v>24486</v>
      </c>
      <c r="P222" t="s">
        <v>192</v>
      </c>
      <c r="Q222" t="s">
        <v>192</v>
      </c>
      <c r="R222">
        <v>3</v>
      </c>
      <c r="S222">
        <v>24405</v>
      </c>
      <c r="T222">
        <v>24400</v>
      </c>
      <c r="U222">
        <v>24423</v>
      </c>
      <c r="V222">
        <v>122142</v>
      </c>
      <c r="W222">
        <v>2</v>
      </c>
      <c r="X222" s="367"/>
    </row>
    <row r="223" spans="1:24">
      <c r="A223" t="s">
        <v>6017</v>
      </c>
      <c r="B223" t="s">
        <v>6018</v>
      </c>
      <c r="C223">
        <v>0</v>
      </c>
      <c r="D223">
        <v>0</v>
      </c>
      <c r="E223">
        <v>0</v>
      </c>
      <c r="F223">
        <v>835500</v>
      </c>
      <c r="G223">
        <v>0</v>
      </c>
      <c r="H223">
        <v>835500</v>
      </c>
      <c r="I223">
        <v>0</v>
      </c>
      <c r="J223">
        <v>0</v>
      </c>
      <c r="K223">
        <v>835500</v>
      </c>
      <c r="L223">
        <v>0</v>
      </c>
      <c r="M223">
        <v>0</v>
      </c>
      <c r="N223">
        <v>0</v>
      </c>
      <c r="O223">
        <v>0</v>
      </c>
      <c r="P223" t="s">
        <v>192</v>
      </c>
      <c r="Q223" t="s">
        <v>192</v>
      </c>
      <c r="R223">
        <v>1</v>
      </c>
      <c r="S223">
        <v>10000</v>
      </c>
      <c r="T223">
        <v>835700</v>
      </c>
      <c r="U223">
        <v>844000</v>
      </c>
      <c r="V223">
        <v>10000</v>
      </c>
      <c r="W223">
        <v>1</v>
      </c>
      <c r="X223" s="367"/>
    </row>
    <row r="224" spans="1:24">
      <c r="A224" t="s">
        <v>2474</v>
      </c>
      <c r="B224" t="s">
        <v>2473</v>
      </c>
      <c r="C224">
        <v>169</v>
      </c>
      <c r="D224">
        <v>6020896</v>
      </c>
      <c r="E224">
        <v>98080395840</v>
      </c>
      <c r="F224">
        <v>15820</v>
      </c>
      <c r="G224">
        <v>16290</v>
      </c>
      <c r="H224">
        <v>16290</v>
      </c>
      <c r="I224">
        <v>470</v>
      </c>
      <c r="J224">
        <v>2.97</v>
      </c>
      <c r="K224">
        <v>16290</v>
      </c>
      <c r="L224">
        <v>470</v>
      </c>
      <c r="M224">
        <v>2.97</v>
      </c>
      <c r="N224">
        <v>16290</v>
      </c>
      <c r="O224">
        <v>16290</v>
      </c>
      <c r="P224">
        <v>2029</v>
      </c>
      <c r="Q224">
        <v>8.0299999999999994</v>
      </c>
      <c r="R224">
        <v>114</v>
      </c>
      <c r="S224">
        <v>8319294</v>
      </c>
      <c r="T224">
        <v>16290</v>
      </c>
      <c r="U224">
        <v>0</v>
      </c>
      <c r="V224">
        <v>0</v>
      </c>
      <c r="W224">
        <v>0</v>
      </c>
      <c r="X224" s="367"/>
    </row>
    <row r="225" spans="1:24">
      <c r="A225" t="s">
        <v>3081</v>
      </c>
      <c r="B225" t="s">
        <v>3079</v>
      </c>
      <c r="C225">
        <v>5</v>
      </c>
      <c r="D225">
        <v>4143</v>
      </c>
      <c r="E225">
        <v>18519210</v>
      </c>
      <c r="F225">
        <v>4350</v>
      </c>
      <c r="G225">
        <v>4470</v>
      </c>
      <c r="H225">
        <v>4470</v>
      </c>
      <c r="I225">
        <v>120</v>
      </c>
      <c r="J225">
        <v>2.76</v>
      </c>
      <c r="K225">
        <v>4470</v>
      </c>
      <c r="L225">
        <v>120</v>
      </c>
      <c r="M225">
        <v>2.76</v>
      </c>
      <c r="N225">
        <v>4470</v>
      </c>
      <c r="O225">
        <v>4470</v>
      </c>
      <c r="P225">
        <v>641</v>
      </c>
      <c r="Q225">
        <v>6.97</v>
      </c>
      <c r="R225">
        <v>2</v>
      </c>
      <c r="S225">
        <v>307301</v>
      </c>
      <c r="T225">
        <v>4470</v>
      </c>
      <c r="U225">
        <v>0</v>
      </c>
      <c r="V225">
        <v>0</v>
      </c>
      <c r="W225">
        <v>0</v>
      </c>
      <c r="X225" s="367"/>
    </row>
    <row r="226" spans="1:24">
      <c r="A226" t="s">
        <v>8755</v>
      </c>
      <c r="B226" t="s">
        <v>154</v>
      </c>
      <c r="C226">
        <v>1</v>
      </c>
      <c r="D226">
        <v>41000000</v>
      </c>
      <c r="E226">
        <v>2221790000000</v>
      </c>
      <c r="F226">
        <v>52620</v>
      </c>
      <c r="G226">
        <v>54190</v>
      </c>
      <c r="H226">
        <v>54190</v>
      </c>
      <c r="I226">
        <v>1570</v>
      </c>
      <c r="J226">
        <v>2.98</v>
      </c>
      <c r="K226">
        <v>54190</v>
      </c>
      <c r="L226">
        <v>1570</v>
      </c>
      <c r="M226">
        <v>2.98</v>
      </c>
      <c r="N226">
        <v>54190</v>
      </c>
      <c r="O226">
        <v>54190</v>
      </c>
      <c r="P226">
        <v>5991</v>
      </c>
      <c r="Q226">
        <v>9.0500000000000007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s="367"/>
    </row>
    <row r="227" spans="1:24">
      <c r="A227" t="s">
        <v>8779</v>
      </c>
      <c r="B227" t="s">
        <v>102</v>
      </c>
      <c r="C227">
        <v>1</v>
      </c>
      <c r="D227">
        <v>908</v>
      </c>
      <c r="E227">
        <v>17406360</v>
      </c>
      <c r="F227">
        <v>18640</v>
      </c>
      <c r="G227">
        <v>19170</v>
      </c>
      <c r="H227">
        <v>19170</v>
      </c>
      <c r="I227">
        <v>530</v>
      </c>
      <c r="J227">
        <v>2.84</v>
      </c>
      <c r="K227">
        <v>19170</v>
      </c>
      <c r="L227">
        <v>530</v>
      </c>
      <c r="M227">
        <v>2.84</v>
      </c>
      <c r="N227">
        <v>19170</v>
      </c>
      <c r="O227">
        <v>19170</v>
      </c>
      <c r="P227">
        <v>2993</v>
      </c>
      <c r="Q227">
        <v>6.4</v>
      </c>
      <c r="R227">
        <v>33</v>
      </c>
      <c r="S227">
        <v>661394</v>
      </c>
      <c r="T227">
        <v>19170</v>
      </c>
      <c r="U227">
        <v>0</v>
      </c>
      <c r="V227">
        <v>0</v>
      </c>
      <c r="W227">
        <v>0</v>
      </c>
      <c r="X227" s="367"/>
    </row>
    <row r="228" spans="1:24">
      <c r="A228" t="s">
        <v>2707</v>
      </c>
      <c r="B228" t="s">
        <v>2706</v>
      </c>
      <c r="C228">
        <v>1749</v>
      </c>
      <c r="D228">
        <v>55798068</v>
      </c>
      <c r="E228">
        <v>271993174760</v>
      </c>
      <c r="F228">
        <v>4820</v>
      </c>
      <c r="G228">
        <v>4850</v>
      </c>
      <c r="H228">
        <v>4860</v>
      </c>
      <c r="I228">
        <v>40</v>
      </c>
      <c r="J228">
        <v>0.83</v>
      </c>
      <c r="K228">
        <v>4870</v>
      </c>
      <c r="L228">
        <v>50</v>
      </c>
      <c r="M228">
        <v>1.04</v>
      </c>
      <c r="N228">
        <v>4760</v>
      </c>
      <c r="O228">
        <v>4960</v>
      </c>
      <c r="P228">
        <v>154</v>
      </c>
      <c r="Q228">
        <v>31.62</v>
      </c>
      <c r="R228">
        <v>4</v>
      </c>
      <c r="S228">
        <v>201739</v>
      </c>
      <c r="T228">
        <v>4850</v>
      </c>
      <c r="U228">
        <v>4900</v>
      </c>
      <c r="V228">
        <v>2034</v>
      </c>
      <c r="W228">
        <v>1</v>
      </c>
      <c r="X228" s="367"/>
    </row>
    <row r="229" spans="1:24">
      <c r="A229" t="s">
        <v>6019</v>
      </c>
      <c r="B229" t="s">
        <v>6020</v>
      </c>
      <c r="C229">
        <v>0</v>
      </c>
      <c r="D229">
        <v>0</v>
      </c>
      <c r="E229">
        <v>0</v>
      </c>
      <c r="F229">
        <v>1000000</v>
      </c>
      <c r="G229">
        <v>0</v>
      </c>
      <c r="H229">
        <v>1000000</v>
      </c>
      <c r="I229">
        <v>0</v>
      </c>
      <c r="J229">
        <v>0</v>
      </c>
      <c r="K229">
        <v>1000000</v>
      </c>
      <c r="L229">
        <v>0</v>
      </c>
      <c r="M229">
        <v>0</v>
      </c>
      <c r="N229">
        <v>0</v>
      </c>
      <c r="O229">
        <v>0</v>
      </c>
      <c r="P229" t="s">
        <v>192</v>
      </c>
      <c r="Q229" t="s">
        <v>192</v>
      </c>
      <c r="R229">
        <v>1</v>
      </c>
      <c r="S229">
        <v>5000</v>
      </c>
      <c r="T229">
        <v>950000</v>
      </c>
      <c r="U229">
        <v>0</v>
      </c>
      <c r="V229">
        <v>0</v>
      </c>
      <c r="W229">
        <v>0</v>
      </c>
      <c r="X229" s="367"/>
    </row>
    <row r="230" spans="1:24">
      <c r="A230" t="s">
        <v>7732</v>
      </c>
      <c r="B230" t="s">
        <v>1870</v>
      </c>
      <c r="C230">
        <v>12</v>
      </c>
      <c r="D230">
        <v>410000</v>
      </c>
      <c r="E230">
        <v>4653500000</v>
      </c>
      <c r="F230">
        <v>11080</v>
      </c>
      <c r="G230">
        <v>11350</v>
      </c>
      <c r="H230">
        <v>11350</v>
      </c>
      <c r="I230">
        <v>270</v>
      </c>
      <c r="J230">
        <v>2.44</v>
      </c>
      <c r="K230">
        <v>11350</v>
      </c>
      <c r="L230">
        <v>270</v>
      </c>
      <c r="M230">
        <v>2.44</v>
      </c>
      <c r="N230">
        <v>11350</v>
      </c>
      <c r="O230">
        <v>11350</v>
      </c>
      <c r="P230">
        <v>2029</v>
      </c>
      <c r="Q230">
        <v>5.59</v>
      </c>
      <c r="R230">
        <v>8</v>
      </c>
      <c r="S230">
        <v>460135</v>
      </c>
      <c r="T230">
        <v>11350</v>
      </c>
      <c r="U230">
        <v>0</v>
      </c>
      <c r="V230">
        <v>0</v>
      </c>
      <c r="W230">
        <v>0</v>
      </c>
      <c r="X230" s="367"/>
    </row>
    <row r="231" spans="1:24">
      <c r="A231" t="s">
        <v>6021</v>
      </c>
      <c r="B231" t="s">
        <v>6022</v>
      </c>
      <c r="C231">
        <v>42</v>
      </c>
      <c r="D231">
        <v>14500410</v>
      </c>
      <c r="E231">
        <v>148073701710</v>
      </c>
      <c r="F231">
        <v>10194</v>
      </c>
      <c r="G231">
        <v>10211</v>
      </c>
      <c r="H231">
        <v>10212</v>
      </c>
      <c r="I231">
        <v>18</v>
      </c>
      <c r="J231">
        <v>0.18</v>
      </c>
      <c r="K231">
        <v>10212</v>
      </c>
      <c r="L231">
        <v>18</v>
      </c>
      <c r="M231">
        <v>0.18</v>
      </c>
      <c r="N231">
        <v>10211</v>
      </c>
      <c r="O231">
        <v>10212</v>
      </c>
      <c r="P231" t="s">
        <v>192</v>
      </c>
      <c r="Q231" t="s">
        <v>192</v>
      </c>
      <c r="R231">
        <v>1</v>
      </c>
      <c r="S231">
        <v>100000000</v>
      </c>
      <c r="T231">
        <v>10211</v>
      </c>
      <c r="U231">
        <v>10212</v>
      </c>
      <c r="V231">
        <v>499900</v>
      </c>
      <c r="W231">
        <v>1</v>
      </c>
      <c r="X231" s="367"/>
    </row>
    <row r="232" spans="1:24">
      <c r="A232" t="s">
        <v>6023</v>
      </c>
      <c r="B232" t="s">
        <v>6024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 t="s">
        <v>192</v>
      </c>
      <c r="Q232" t="s">
        <v>192</v>
      </c>
      <c r="R232">
        <v>1</v>
      </c>
      <c r="S232">
        <v>1</v>
      </c>
      <c r="T232">
        <v>39600</v>
      </c>
      <c r="U232">
        <v>0</v>
      </c>
      <c r="V232">
        <v>0</v>
      </c>
      <c r="W232">
        <v>0</v>
      </c>
      <c r="X232" s="367"/>
    </row>
    <row r="233" spans="1:24">
      <c r="A233" t="s">
        <v>6619</v>
      </c>
      <c r="B233" t="s">
        <v>8255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 t="s">
        <v>192</v>
      </c>
      <c r="Q233" t="s">
        <v>192</v>
      </c>
      <c r="R233">
        <v>1</v>
      </c>
      <c r="S233">
        <v>44</v>
      </c>
      <c r="T233">
        <v>44</v>
      </c>
      <c r="U233">
        <v>0</v>
      </c>
      <c r="V233">
        <v>0</v>
      </c>
      <c r="W233">
        <v>0</v>
      </c>
      <c r="X233" s="367"/>
    </row>
    <row r="234" spans="1:24">
      <c r="A234" t="s">
        <v>6026</v>
      </c>
      <c r="B234" t="s">
        <v>6027</v>
      </c>
      <c r="C234">
        <v>0</v>
      </c>
      <c r="D234">
        <v>0</v>
      </c>
      <c r="E234">
        <v>0</v>
      </c>
      <c r="F234">
        <v>931690</v>
      </c>
      <c r="G234">
        <v>0</v>
      </c>
      <c r="H234">
        <v>931690</v>
      </c>
      <c r="I234">
        <v>0</v>
      </c>
      <c r="J234">
        <v>0</v>
      </c>
      <c r="K234">
        <v>931690</v>
      </c>
      <c r="L234">
        <v>0</v>
      </c>
      <c r="M234">
        <v>0</v>
      </c>
      <c r="N234">
        <v>0</v>
      </c>
      <c r="O234">
        <v>0</v>
      </c>
      <c r="P234" t="s">
        <v>192</v>
      </c>
      <c r="Q234" t="s">
        <v>192</v>
      </c>
      <c r="R234">
        <v>1</v>
      </c>
      <c r="S234">
        <v>5000</v>
      </c>
      <c r="T234">
        <v>931690</v>
      </c>
      <c r="U234">
        <v>941000</v>
      </c>
      <c r="V234">
        <v>5000</v>
      </c>
      <c r="W234">
        <v>1</v>
      </c>
      <c r="X234" s="367"/>
    </row>
    <row r="235" spans="1:24">
      <c r="A235" t="s">
        <v>8765</v>
      </c>
      <c r="B235" t="s">
        <v>8766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 t="s">
        <v>192</v>
      </c>
      <c r="Q235" t="s">
        <v>192</v>
      </c>
      <c r="R235">
        <v>1</v>
      </c>
      <c r="S235">
        <v>443</v>
      </c>
      <c r="T235">
        <v>45</v>
      </c>
      <c r="U235">
        <v>199</v>
      </c>
      <c r="V235">
        <v>50</v>
      </c>
      <c r="W235">
        <v>1</v>
      </c>
      <c r="X235" s="367"/>
    </row>
    <row r="236" spans="1:24">
      <c r="A236" t="s">
        <v>7377</v>
      </c>
      <c r="B236" t="s">
        <v>7880</v>
      </c>
      <c r="C236">
        <v>0</v>
      </c>
      <c r="D236">
        <v>0</v>
      </c>
      <c r="E236">
        <v>0</v>
      </c>
      <c r="F236">
        <v>5224</v>
      </c>
      <c r="G236">
        <v>0</v>
      </c>
      <c r="H236">
        <v>5224</v>
      </c>
      <c r="I236">
        <v>0</v>
      </c>
      <c r="J236">
        <v>0</v>
      </c>
      <c r="K236">
        <v>5224</v>
      </c>
      <c r="L236">
        <v>0</v>
      </c>
      <c r="M236">
        <v>0</v>
      </c>
      <c r="N236">
        <v>0</v>
      </c>
      <c r="O236">
        <v>0</v>
      </c>
      <c r="P236" t="s">
        <v>192</v>
      </c>
      <c r="Q236" t="s">
        <v>192</v>
      </c>
      <c r="R236">
        <v>2</v>
      </c>
      <c r="S236">
        <v>300</v>
      </c>
      <c r="T236">
        <v>1</v>
      </c>
      <c r="U236">
        <v>9391</v>
      </c>
      <c r="V236">
        <v>4</v>
      </c>
      <c r="W236">
        <v>1</v>
      </c>
      <c r="X236" s="367"/>
    </row>
    <row r="237" spans="1:24">
      <c r="A237" t="s">
        <v>6028</v>
      </c>
      <c r="B237" t="s">
        <v>6029</v>
      </c>
      <c r="C237">
        <v>99</v>
      </c>
      <c r="D237">
        <v>779</v>
      </c>
      <c r="E237">
        <v>25324684000</v>
      </c>
      <c r="F237">
        <v>29315</v>
      </c>
      <c r="G237">
        <v>32500</v>
      </c>
      <c r="H237">
        <v>30001</v>
      </c>
      <c r="I237">
        <v>686</v>
      </c>
      <c r="J237">
        <v>2.34</v>
      </c>
      <c r="K237">
        <v>32509</v>
      </c>
      <c r="L237">
        <v>3194</v>
      </c>
      <c r="M237">
        <v>10.9</v>
      </c>
      <c r="N237">
        <v>30001</v>
      </c>
      <c r="O237">
        <v>34590</v>
      </c>
      <c r="P237" t="s">
        <v>192</v>
      </c>
      <c r="Q237" t="s">
        <v>192</v>
      </c>
      <c r="R237">
        <v>1</v>
      </c>
      <c r="S237">
        <v>1</v>
      </c>
      <c r="T237">
        <v>15112</v>
      </c>
      <c r="U237">
        <v>32555</v>
      </c>
      <c r="V237">
        <v>10</v>
      </c>
      <c r="W237">
        <v>1</v>
      </c>
      <c r="X237" s="367"/>
    </row>
    <row r="238" spans="1:24">
      <c r="A238" t="s">
        <v>6030</v>
      </c>
      <c r="B238" t="s">
        <v>6031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 t="s">
        <v>192</v>
      </c>
      <c r="Q238" t="s">
        <v>192</v>
      </c>
      <c r="R238">
        <v>1</v>
      </c>
      <c r="S238">
        <v>2</v>
      </c>
      <c r="T238">
        <v>10001</v>
      </c>
      <c r="U238">
        <v>50000</v>
      </c>
      <c r="V238">
        <v>1</v>
      </c>
      <c r="W238">
        <v>1</v>
      </c>
      <c r="X238" s="367"/>
    </row>
    <row r="239" spans="1:24">
      <c r="A239" t="s">
        <v>6032</v>
      </c>
      <c r="B239" t="s">
        <v>8591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 t="s">
        <v>192</v>
      </c>
      <c r="Q239" t="s">
        <v>192</v>
      </c>
      <c r="R239">
        <v>1</v>
      </c>
      <c r="S239">
        <v>100</v>
      </c>
      <c r="T239">
        <v>1</v>
      </c>
      <c r="U239">
        <v>0</v>
      </c>
      <c r="V239">
        <v>0</v>
      </c>
      <c r="W239">
        <v>0</v>
      </c>
      <c r="X239" s="367"/>
    </row>
    <row r="240" spans="1:24">
      <c r="A240" t="s">
        <v>2454</v>
      </c>
      <c r="B240" t="s">
        <v>2453</v>
      </c>
      <c r="C240">
        <v>82</v>
      </c>
      <c r="D240">
        <v>14988480</v>
      </c>
      <c r="E240">
        <v>47078815680</v>
      </c>
      <c r="F240">
        <v>3050</v>
      </c>
      <c r="G240">
        <v>3141</v>
      </c>
      <c r="H240">
        <v>3141</v>
      </c>
      <c r="I240">
        <v>91</v>
      </c>
      <c r="J240">
        <v>2.98</v>
      </c>
      <c r="K240">
        <v>3141</v>
      </c>
      <c r="L240">
        <v>91</v>
      </c>
      <c r="M240">
        <v>2.98</v>
      </c>
      <c r="N240">
        <v>3141</v>
      </c>
      <c r="O240">
        <v>3141</v>
      </c>
      <c r="P240">
        <v>357</v>
      </c>
      <c r="Q240">
        <v>8.8000000000000007</v>
      </c>
      <c r="R240">
        <v>89</v>
      </c>
      <c r="S240">
        <v>15171517</v>
      </c>
      <c r="T240">
        <v>3141</v>
      </c>
      <c r="U240">
        <v>0</v>
      </c>
      <c r="V240">
        <v>0</v>
      </c>
      <c r="W240">
        <v>0</v>
      </c>
      <c r="X240" s="367"/>
    </row>
    <row r="241" spans="1:24">
      <c r="A241" t="s">
        <v>8494</v>
      </c>
      <c r="B241" t="s">
        <v>8495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 t="s">
        <v>192</v>
      </c>
      <c r="Q241" t="s">
        <v>192</v>
      </c>
      <c r="R241">
        <v>1</v>
      </c>
      <c r="S241">
        <v>100</v>
      </c>
      <c r="T241">
        <v>1</v>
      </c>
      <c r="U241">
        <v>0</v>
      </c>
      <c r="V241">
        <v>0</v>
      </c>
      <c r="W241">
        <v>0</v>
      </c>
      <c r="X241" s="367"/>
    </row>
    <row r="242" spans="1:24">
      <c r="A242" t="s">
        <v>6033</v>
      </c>
      <c r="B242" t="s">
        <v>8592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 t="s">
        <v>192</v>
      </c>
      <c r="Q242" t="s">
        <v>192</v>
      </c>
      <c r="R242">
        <v>2</v>
      </c>
      <c r="S242">
        <v>1100</v>
      </c>
      <c r="T242">
        <v>1</v>
      </c>
      <c r="U242">
        <v>0</v>
      </c>
      <c r="V242">
        <v>0</v>
      </c>
      <c r="W242">
        <v>0</v>
      </c>
      <c r="X242" s="367"/>
    </row>
    <row r="243" spans="1:24">
      <c r="A243" t="s">
        <v>6034</v>
      </c>
      <c r="B243" t="s">
        <v>6035</v>
      </c>
      <c r="C243">
        <v>616</v>
      </c>
      <c r="D243">
        <v>34966</v>
      </c>
      <c r="E243">
        <v>7696807000</v>
      </c>
      <c r="F243">
        <v>293</v>
      </c>
      <c r="G243">
        <v>289</v>
      </c>
      <c r="H243">
        <v>200</v>
      </c>
      <c r="I243">
        <v>-93</v>
      </c>
      <c r="J243">
        <v>-31.74</v>
      </c>
      <c r="K243">
        <v>220</v>
      </c>
      <c r="L243">
        <v>-73</v>
      </c>
      <c r="M243">
        <v>-24.91</v>
      </c>
      <c r="N243">
        <v>190</v>
      </c>
      <c r="O243">
        <v>289</v>
      </c>
      <c r="P243" t="s">
        <v>192</v>
      </c>
      <c r="Q243" t="s">
        <v>192</v>
      </c>
      <c r="R243">
        <v>1</v>
      </c>
      <c r="S243">
        <v>226</v>
      </c>
      <c r="T243">
        <v>190</v>
      </c>
      <c r="U243">
        <v>209</v>
      </c>
      <c r="V243">
        <v>14</v>
      </c>
      <c r="W243">
        <v>1</v>
      </c>
      <c r="X243" s="367"/>
    </row>
    <row r="244" spans="1:24">
      <c r="A244" t="s">
        <v>6036</v>
      </c>
      <c r="B244" t="s">
        <v>6037</v>
      </c>
      <c r="C244">
        <v>1</v>
      </c>
      <c r="D244">
        <v>7</v>
      </c>
      <c r="E244">
        <v>1400000</v>
      </c>
      <c r="F244">
        <v>207</v>
      </c>
      <c r="G244">
        <v>200</v>
      </c>
      <c r="H244">
        <v>200</v>
      </c>
      <c r="I244">
        <v>-7</v>
      </c>
      <c r="J244">
        <v>-3.38</v>
      </c>
      <c r="K244">
        <v>200</v>
      </c>
      <c r="L244">
        <v>-7</v>
      </c>
      <c r="M244">
        <v>-3.38</v>
      </c>
      <c r="N244">
        <v>200</v>
      </c>
      <c r="O244">
        <v>200</v>
      </c>
      <c r="P244" t="s">
        <v>192</v>
      </c>
      <c r="Q244" t="s">
        <v>192</v>
      </c>
      <c r="R244">
        <v>1</v>
      </c>
      <c r="S244">
        <v>60</v>
      </c>
      <c r="T244">
        <v>10</v>
      </c>
      <c r="U244">
        <v>300</v>
      </c>
      <c r="V244">
        <v>57</v>
      </c>
      <c r="W244">
        <v>1</v>
      </c>
      <c r="X244" s="367"/>
    </row>
    <row r="245" spans="1:24">
      <c r="A245" t="s">
        <v>2644</v>
      </c>
      <c r="B245" t="s">
        <v>2643</v>
      </c>
      <c r="C245">
        <v>303</v>
      </c>
      <c r="D245">
        <v>27284048</v>
      </c>
      <c r="E245">
        <v>47838286782</v>
      </c>
      <c r="F245">
        <v>1724</v>
      </c>
      <c r="G245">
        <v>1773</v>
      </c>
      <c r="H245">
        <v>1774</v>
      </c>
      <c r="I245">
        <v>50</v>
      </c>
      <c r="J245">
        <v>2.9</v>
      </c>
      <c r="K245">
        <v>1753</v>
      </c>
      <c r="L245">
        <v>29</v>
      </c>
      <c r="M245">
        <v>1.68</v>
      </c>
      <c r="N245">
        <v>1711</v>
      </c>
      <c r="O245">
        <v>1775</v>
      </c>
      <c r="P245">
        <v>-31</v>
      </c>
      <c r="Q245">
        <v>-56.55</v>
      </c>
      <c r="R245">
        <v>2</v>
      </c>
      <c r="S245">
        <v>260001</v>
      </c>
      <c r="T245">
        <v>1760</v>
      </c>
      <c r="U245">
        <v>1775</v>
      </c>
      <c r="V245">
        <v>3627215</v>
      </c>
      <c r="W245">
        <v>13</v>
      </c>
      <c r="X245" s="367"/>
    </row>
    <row r="246" spans="1:24">
      <c r="A246" t="s">
        <v>6038</v>
      </c>
      <c r="B246" t="s">
        <v>6039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 t="s">
        <v>192</v>
      </c>
      <c r="Q246" t="s">
        <v>192</v>
      </c>
      <c r="R246">
        <v>1</v>
      </c>
      <c r="S246">
        <v>1</v>
      </c>
      <c r="T246">
        <v>10600</v>
      </c>
      <c r="U246">
        <v>0</v>
      </c>
      <c r="V246">
        <v>0</v>
      </c>
      <c r="W246">
        <v>0</v>
      </c>
      <c r="X246" s="367"/>
    </row>
    <row r="247" spans="1:24">
      <c r="A247" t="s">
        <v>6040</v>
      </c>
      <c r="B247" t="s">
        <v>6041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 t="s">
        <v>192</v>
      </c>
      <c r="Q247" t="s">
        <v>192</v>
      </c>
      <c r="R247">
        <v>1</v>
      </c>
      <c r="S247">
        <v>44</v>
      </c>
      <c r="T247">
        <v>44</v>
      </c>
      <c r="U247">
        <v>0</v>
      </c>
      <c r="V247">
        <v>0</v>
      </c>
      <c r="W247">
        <v>0</v>
      </c>
      <c r="X247" s="367"/>
    </row>
    <row r="248" spans="1:24">
      <c r="A248" t="s">
        <v>6042</v>
      </c>
      <c r="B248" t="s">
        <v>6043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 t="s">
        <v>192</v>
      </c>
      <c r="Q248" t="s">
        <v>192</v>
      </c>
      <c r="R248">
        <v>1</v>
      </c>
      <c r="S248">
        <v>1</v>
      </c>
      <c r="T248">
        <v>2</v>
      </c>
      <c r="U248">
        <v>0</v>
      </c>
      <c r="V248">
        <v>0</v>
      </c>
      <c r="W248">
        <v>0</v>
      </c>
      <c r="X248" s="367"/>
    </row>
    <row r="249" spans="1:24">
      <c r="A249" t="s">
        <v>6044</v>
      </c>
      <c r="B249" t="s">
        <v>5806</v>
      </c>
      <c r="C249">
        <v>9060</v>
      </c>
      <c r="D249">
        <v>165864004</v>
      </c>
      <c r="E249">
        <v>8577693711674</v>
      </c>
      <c r="F249">
        <v>51646</v>
      </c>
      <c r="G249">
        <v>51711</v>
      </c>
      <c r="H249">
        <v>51748</v>
      </c>
      <c r="I249">
        <v>102</v>
      </c>
      <c r="J249">
        <v>0.2</v>
      </c>
      <c r="K249">
        <v>51715</v>
      </c>
      <c r="L249">
        <v>69</v>
      </c>
      <c r="M249">
        <v>0.13</v>
      </c>
      <c r="N249">
        <v>51711</v>
      </c>
      <c r="O249">
        <v>51751</v>
      </c>
      <c r="P249" t="s">
        <v>192</v>
      </c>
      <c r="Q249" t="s">
        <v>192</v>
      </c>
      <c r="R249">
        <v>3</v>
      </c>
      <c r="S249">
        <v>288220</v>
      </c>
      <c r="T249">
        <v>51748</v>
      </c>
      <c r="U249">
        <v>51749</v>
      </c>
      <c r="V249">
        <v>78232</v>
      </c>
      <c r="W249">
        <v>2</v>
      </c>
      <c r="X249" s="367"/>
    </row>
    <row r="250" spans="1:24">
      <c r="A250" t="s">
        <v>6045</v>
      </c>
      <c r="B250" t="s">
        <v>6046</v>
      </c>
      <c r="C250">
        <v>0</v>
      </c>
      <c r="D250">
        <v>0</v>
      </c>
      <c r="E250">
        <v>0</v>
      </c>
      <c r="F250">
        <v>1000000</v>
      </c>
      <c r="G250">
        <v>0</v>
      </c>
      <c r="H250">
        <v>1000000</v>
      </c>
      <c r="I250">
        <v>0</v>
      </c>
      <c r="J250">
        <v>0</v>
      </c>
      <c r="K250">
        <v>1000000</v>
      </c>
      <c r="L250">
        <v>0</v>
      </c>
      <c r="M250">
        <v>0</v>
      </c>
      <c r="N250">
        <v>0</v>
      </c>
      <c r="O250">
        <v>0</v>
      </c>
      <c r="P250" t="s">
        <v>192</v>
      </c>
      <c r="Q250" t="s">
        <v>192</v>
      </c>
      <c r="R250">
        <v>1</v>
      </c>
      <c r="S250">
        <v>5000</v>
      </c>
      <c r="T250">
        <v>990000</v>
      </c>
      <c r="U250">
        <v>1000000</v>
      </c>
      <c r="V250">
        <v>5000</v>
      </c>
      <c r="W250">
        <v>1</v>
      </c>
      <c r="X250" s="367"/>
    </row>
    <row r="251" spans="1:24">
      <c r="A251" t="s">
        <v>6047</v>
      </c>
      <c r="B251" t="s">
        <v>6048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 t="s">
        <v>192</v>
      </c>
      <c r="Q251" t="s">
        <v>192</v>
      </c>
      <c r="R251">
        <v>1</v>
      </c>
      <c r="S251">
        <v>444</v>
      </c>
      <c r="T251">
        <v>4</v>
      </c>
      <c r="U251">
        <v>0</v>
      </c>
      <c r="V251">
        <v>0</v>
      </c>
      <c r="W251">
        <v>0</v>
      </c>
      <c r="X251" s="367"/>
    </row>
    <row r="252" spans="1:24">
      <c r="A252" t="s">
        <v>6049</v>
      </c>
      <c r="B252" t="s">
        <v>8593</v>
      </c>
      <c r="C252">
        <v>1</v>
      </c>
      <c r="D252">
        <v>1</v>
      </c>
      <c r="E252">
        <v>12000</v>
      </c>
      <c r="F252">
        <v>242</v>
      </c>
      <c r="G252">
        <v>12</v>
      </c>
      <c r="H252">
        <v>12</v>
      </c>
      <c r="I252">
        <v>-230</v>
      </c>
      <c r="J252">
        <v>-95.04</v>
      </c>
      <c r="K252">
        <v>12</v>
      </c>
      <c r="L252">
        <v>-230</v>
      </c>
      <c r="M252">
        <v>-95.04</v>
      </c>
      <c r="N252">
        <v>12</v>
      </c>
      <c r="O252">
        <v>12</v>
      </c>
      <c r="P252" t="s">
        <v>192</v>
      </c>
      <c r="Q252" t="s">
        <v>192</v>
      </c>
      <c r="R252">
        <v>1</v>
      </c>
      <c r="S252">
        <v>10</v>
      </c>
      <c r="T252">
        <v>100</v>
      </c>
      <c r="U252">
        <v>0</v>
      </c>
      <c r="V252">
        <v>0</v>
      </c>
      <c r="W252">
        <v>0</v>
      </c>
      <c r="X252" s="367"/>
    </row>
    <row r="253" spans="1:24">
      <c r="A253" t="s">
        <v>1812</v>
      </c>
      <c r="B253" t="s">
        <v>1811</v>
      </c>
      <c r="C253">
        <v>140</v>
      </c>
      <c r="D253">
        <v>5735791</v>
      </c>
      <c r="E253">
        <v>21342300200</v>
      </c>
      <c r="F253">
        <v>3690</v>
      </c>
      <c r="G253">
        <v>3780</v>
      </c>
      <c r="H253">
        <v>3790</v>
      </c>
      <c r="I253">
        <v>100</v>
      </c>
      <c r="J253">
        <v>2.71</v>
      </c>
      <c r="K253">
        <v>3720</v>
      </c>
      <c r="L253">
        <v>30</v>
      </c>
      <c r="M253">
        <v>0.81</v>
      </c>
      <c r="N253">
        <v>3690</v>
      </c>
      <c r="O253">
        <v>3790</v>
      </c>
      <c r="P253">
        <v>328</v>
      </c>
      <c r="Q253">
        <v>11.34</v>
      </c>
      <c r="R253">
        <v>21</v>
      </c>
      <c r="S253">
        <v>5038309</v>
      </c>
      <c r="T253">
        <v>3730</v>
      </c>
      <c r="U253">
        <v>3790</v>
      </c>
      <c r="V253">
        <v>67137</v>
      </c>
      <c r="W253">
        <v>5</v>
      </c>
      <c r="X253" s="367"/>
    </row>
    <row r="254" spans="1:24">
      <c r="A254" t="s">
        <v>105</v>
      </c>
      <c r="B254" t="s">
        <v>104</v>
      </c>
      <c r="C254">
        <v>559</v>
      </c>
      <c r="D254">
        <v>42499325</v>
      </c>
      <c r="E254">
        <v>142840231325</v>
      </c>
      <c r="F254">
        <v>3264</v>
      </c>
      <c r="G254">
        <v>3361</v>
      </c>
      <c r="H254">
        <v>3361</v>
      </c>
      <c r="I254">
        <v>97</v>
      </c>
      <c r="J254">
        <v>2.97</v>
      </c>
      <c r="K254">
        <v>3361</v>
      </c>
      <c r="L254">
        <v>97</v>
      </c>
      <c r="M254">
        <v>2.97</v>
      </c>
      <c r="N254">
        <v>3361</v>
      </c>
      <c r="O254">
        <v>3361</v>
      </c>
      <c r="P254">
        <v>620</v>
      </c>
      <c r="Q254">
        <v>5.42</v>
      </c>
      <c r="R254">
        <v>945</v>
      </c>
      <c r="S254">
        <v>612712615</v>
      </c>
      <c r="T254">
        <v>3361</v>
      </c>
      <c r="U254">
        <v>0</v>
      </c>
      <c r="V254">
        <v>0</v>
      </c>
      <c r="W254">
        <v>0</v>
      </c>
      <c r="X254" s="367"/>
    </row>
    <row r="255" spans="1:24">
      <c r="A255" t="s">
        <v>2533</v>
      </c>
      <c r="B255" t="s">
        <v>2532</v>
      </c>
      <c r="C255">
        <v>150</v>
      </c>
      <c r="D255">
        <v>33512941</v>
      </c>
      <c r="E255">
        <v>79894851344</v>
      </c>
      <c r="F255">
        <v>2315</v>
      </c>
      <c r="G255">
        <v>2384</v>
      </c>
      <c r="H255">
        <v>2384</v>
      </c>
      <c r="I255">
        <v>69</v>
      </c>
      <c r="J255">
        <v>2.98</v>
      </c>
      <c r="K255">
        <v>2384</v>
      </c>
      <c r="L255">
        <v>69</v>
      </c>
      <c r="M255">
        <v>2.98</v>
      </c>
      <c r="N255">
        <v>2384</v>
      </c>
      <c r="O255">
        <v>2384</v>
      </c>
      <c r="P255">
        <v>363</v>
      </c>
      <c r="Q255">
        <v>6.57</v>
      </c>
      <c r="R255">
        <v>65</v>
      </c>
      <c r="S255">
        <v>27242504</v>
      </c>
      <c r="T255">
        <v>2384</v>
      </c>
      <c r="U255">
        <v>2400</v>
      </c>
      <c r="V255">
        <v>6224</v>
      </c>
      <c r="W255">
        <v>1</v>
      </c>
      <c r="X255" s="367"/>
    </row>
    <row r="256" spans="1:24">
      <c r="A256" t="s">
        <v>3438</v>
      </c>
      <c r="B256" t="s">
        <v>3439</v>
      </c>
      <c r="C256">
        <v>108</v>
      </c>
      <c r="D256">
        <v>2108</v>
      </c>
      <c r="E256">
        <v>52520576000</v>
      </c>
      <c r="F256">
        <v>19697</v>
      </c>
      <c r="G256">
        <v>24946</v>
      </c>
      <c r="H256">
        <v>25301</v>
      </c>
      <c r="I256">
        <v>5604</v>
      </c>
      <c r="J256">
        <v>28.45</v>
      </c>
      <c r="K256">
        <v>24915</v>
      </c>
      <c r="L256">
        <v>5218</v>
      </c>
      <c r="M256">
        <v>26.49</v>
      </c>
      <c r="N256">
        <v>23990</v>
      </c>
      <c r="O256">
        <v>25700</v>
      </c>
      <c r="P256" t="s">
        <v>192</v>
      </c>
      <c r="Q256" t="s">
        <v>192</v>
      </c>
      <c r="R256">
        <v>1</v>
      </c>
      <c r="S256">
        <v>193</v>
      </c>
      <c r="T256">
        <v>25300</v>
      </c>
      <c r="U256">
        <v>0</v>
      </c>
      <c r="V256">
        <v>0</v>
      </c>
      <c r="W256">
        <v>0</v>
      </c>
      <c r="X256" s="367"/>
    </row>
    <row r="257" spans="1:24">
      <c r="A257" t="s">
        <v>3440</v>
      </c>
      <c r="B257" t="s">
        <v>3441</v>
      </c>
      <c r="C257">
        <v>43</v>
      </c>
      <c r="D257">
        <v>329</v>
      </c>
      <c r="E257">
        <v>7580950000</v>
      </c>
      <c r="F257">
        <v>18866</v>
      </c>
      <c r="G257">
        <v>23472</v>
      </c>
      <c r="H257">
        <v>23302</v>
      </c>
      <c r="I257">
        <v>4436</v>
      </c>
      <c r="J257">
        <v>23.51</v>
      </c>
      <c r="K257">
        <v>23042</v>
      </c>
      <c r="L257">
        <v>4176</v>
      </c>
      <c r="M257">
        <v>22.14</v>
      </c>
      <c r="N257">
        <v>21530</v>
      </c>
      <c r="O257">
        <v>23696</v>
      </c>
      <c r="P257" t="s">
        <v>192</v>
      </c>
      <c r="Q257" t="s">
        <v>192</v>
      </c>
      <c r="R257">
        <v>1</v>
      </c>
      <c r="S257">
        <v>1</v>
      </c>
      <c r="T257">
        <v>21931</v>
      </c>
      <c r="U257">
        <v>23449</v>
      </c>
      <c r="V257">
        <v>2</v>
      </c>
      <c r="W257">
        <v>1</v>
      </c>
      <c r="X257" s="367"/>
    </row>
    <row r="258" spans="1:24">
      <c r="A258" t="s">
        <v>3444</v>
      </c>
      <c r="B258" t="s">
        <v>3445</v>
      </c>
      <c r="C258">
        <v>1329</v>
      </c>
      <c r="D258">
        <v>32602</v>
      </c>
      <c r="E258">
        <v>499683368000</v>
      </c>
      <c r="F258">
        <v>11282</v>
      </c>
      <c r="G258">
        <v>13011</v>
      </c>
      <c r="H258">
        <v>15750</v>
      </c>
      <c r="I258">
        <v>4468</v>
      </c>
      <c r="J258">
        <v>39.6</v>
      </c>
      <c r="K258">
        <v>15327</v>
      </c>
      <c r="L258">
        <v>4045</v>
      </c>
      <c r="M258">
        <v>35.85</v>
      </c>
      <c r="N258">
        <v>13011</v>
      </c>
      <c r="O258">
        <v>16000</v>
      </c>
      <c r="P258" t="s">
        <v>192</v>
      </c>
      <c r="Q258" t="s">
        <v>192</v>
      </c>
      <c r="R258">
        <v>1</v>
      </c>
      <c r="S258">
        <v>200</v>
      </c>
      <c r="T258">
        <v>15548</v>
      </c>
      <c r="U258">
        <v>15949</v>
      </c>
      <c r="V258">
        <v>1</v>
      </c>
      <c r="W258">
        <v>1</v>
      </c>
      <c r="X258" s="367"/>
    </row>
    <row r="259" spans="1:24">
      <c r="A259" t="s">
        <v>3446</v>
      </c>
      <c r="B259" t="s">
        <v>3447</v>
      </c>
      <c r="C259">
        <v>4400</v>
      </c>
      <c r="D259">
        <v>149469</v>
      </c>
      <c r="E259">
        <v>1256031834000</v>
      </c>
      <c r="F259">
        <v>4144</v>
      </c>
      <c r="G259">
        <v>7001</v>
      </c>
      <c r="H259">
        <v>8708</v>
      </c>
      <c r="I259">
        <v>4564</v>
      </c>
      <c r="J259">
        <v>110.14</v>
      </c>
      <c r="K259">
        <v>8403</v>
      </c>
      <c r="L259">
        <v>4259</v>
      </c>
      <c r="M259">
        <v>102.78</v>
      </c>
      <c r="N259">
        <v>7001</v>
      </c>
      <c r="O259">
        <v>9000</v>
      </c>
      <c r="P259" t="s">
        <v>192</v>
      </c>
      <c r="Q259" t="s">
        <v>192</v>
      </c>
      <c r="R259">
        <v>1</v>
      </c>
      <c r="S259">
        <v>50</v>
      </c>
      <c r="T259">
        <v>8698</v>
      </c>
      <c r="U259">
        <v>8716</v>
      </c>
      <c r="V259">
        <v>20</v>
      </c>
      <c r="W259">
        <v>1</v>
      </c>
      <c r="X259" s="367"/>
    </row>
    <row r="260" spans="1:24">
      <c r="A260" t="s">
        <v>3448</v>
      </c>
      <c r="B260" t="s">
        <v>3449</v>
      </c>
      <c r="C260">
        <v>264</v>
      </c>
      <c r="D260">
        <v>3235</v>
      </c>
      <c r="E260">
        <v>75029865000</v>
      </c>
      <c r="F260">
        <v>19497</v>
      </c>
      <c r="G260">
        <v>21003</v>
      </c>
      <c r="H260">
        <v>23779</v>
      </c>
      <c r="I260">
        <v>4282</v>
      </c>
      <c r="J260">
        <v>21.96</v>
      </c>
      <c r="K260">
        <v>23193</v>
      </c>
      <c r="L260">
        <v>3696</v>
      </c>
      <c r="M260">
        <v>18.96</v>
      </c>
      <c r="N260">
        <v>21003</v>
      </c>
      <c r="O260">
        <v>23798</v>
      </c>
      <c r="P260" t="s">
        <v>192</v>
      </c>
      <c r="Q260" t="s">
        <v>192</v>
      </c>
      <c r="R260">
        <v>2</v>
      </c>
      <c r="S260">
        <v>3</v>
      </c>
      <c r="T260">
        <v>23286</v>
      </c>
      <c r="U260">
        <v>24995</v>
      </c>
      <c r="V260">
        <v>3</v>
      </c>
      <c r="W260">
        <v>1</v>
      </c>
      <c r="X260" s="367"/>
    </row>
    <row r="261" spans="1:24">
      <c r="A261" t="s">
        <v>3452</v>
      </c>
      <c r="B261" t="s">
        <v>3453</v>
      </c>
      <c r="C261">
        <v>2273</v>
      </c>
      <c r="D261">
        <v>36791</v>
      </c>
      <c r="E261">
        <v>581746082000</v>
      </c>
      <c r="F261">
        <v>12394</v>
      </c>
      <c r="G261">
        <v>14000</v>
      </c>
      <c r="H261">
        <v>16178</v>
      </c>
      <c r="I261">
        <v>3784</v>
      </c>
      <c r="J261">
        <v>30.53</v>
      </c>
      <c r="K261">
        <v>15812</v>
      </c>
      <c r="L261">
        <v>3418</v>
      </c>
      <c r="M261">
        <v>27.58</v>
      </c>
      <c r="N261">
        <v>14000</v>
      </c>
      <c r="O261">
        <v>16196</v>
      </c>
      <c r="P261" t="s">
        <v>192</v>
      </c>
      <c r="Q261" t="s">
        <v>192</v>
      </c>
      <c r="R261">
        <v>1</v>
      </c>
      <c r="S261">
        <v>50</v>
      </c>
      <c r="T261">
        <v>16120</v>
      </c>
      <c r="U261">
        <v>16178</v>
      </c>
      <c r="V261">
        <v>1</v>
      </c>
      <c r="W261">
        <v>1</v>
      </c>
      <c r="X261" s="367"/>
    </row>
    <row r="262" spans="1:24">
      <c r="A262" t="s">
        <v>3456</v>
      </c>
      <c r="B262" t="s">
        <v>3457</v>
      </c>
      <c r="C262">
        <v>4505</v>
      </c>
      <c r="D262">
        <v>134445</v>
      </c>
      <c r="E262">
        <v>1269722955000</v>
      </c>
      <c r="F262">
        <v>6795</v>
      </c>
      <c r="G262">
        <v>9000</v>
      </c>
      <c r="H262">
        <v>9879</v>
      </c>
      <c r="I262">
        <v>3084</v>
      </c>
      <c r="J262">
        <v>45.39</v>
      </c>
      <c r="K262">
        <v>9444</v>
      </c>
      <c r="L262">
        <v>2649</v>
      </c>
      <c r="M262">
        <v>38.979999999999997</v>
      </c>
      <c r="N262">
        <v>8810</v>
      </c>
      <c r="O262">
        <v>9880</v>
      </c>
      <c r="P262" t="s">
        <v>192</v>
      </c>
      <c r="Q262" t="s">
        <v>192</v>
      </c>
      <c r="R262">
        <v>3</v>
      </c>
      <c r="S262">
        <v>533</v>
      </c>
      <c r="T262">
        <v>9814</v>
      </c>
      <c r="U262">
        <v>9814</v>
      </c>
      <c r="V262">
        <v>45</v>
      </c>
      <c r="W262">
        <v>2</v>
      </c>
      <c r="X262" s="367"/>
    </row>
    <row r="263" spans="1:24">
      <c r="A263" t="s">
        <v>3458</v>
      </c>
      <c r="B263" t="s">
        <v>3459</v>
      </c>
      <c r="C263">
        <v>679</v>
      </c>
      <c r="D263">
        <v>30227</v>
      </c>
      <c r="E263">
        <v>45091874000</v>
      </c>
      <c r="F263">
        <v>1019</v>
      </c>
      <c r="G263">
        <v>1200</v>
      </c>
      <c r="H263">
        <v>1455</v>
      </c>
      <c r="I263">
        <v>436</v>
      </c>
      <c r="J263">
        <v>42.79</v>
      </c>
      <c r="K263">
        <v>1492</v>
      </c>
      <c r="L263">
        <v>473</v>
      </c>
      <c r="M263">
        <v>46.42</v>
      </c>
      <c r="N263">
        <v>1200</v>
      </c>
      <c r="O263">
        <v>1647</v>
      </c>
      <c r="P263" t="s">
        <v>192</v>
      </c>
      <c r="Q263" t="s">
        <v>192</v>
      </c>
      <c r="R263">
        <v>1</v>
      </c>
      <c r="S263">
        <v>1</v>
      </c>
      <c r="T263">
        <v>1452</v>
      </c>
      <c r="U263">
        <v>1520</v>
      </c>
      <c r="V263">
        <v>386</v>
      </c>
      <c r="W263">
        <v>1</v>
      </c>
      <c r="X263" s="367"/>
    </row>
    <row r="264" spans="1:24">
      <c r="A264" t="s">
        <v>3460</v>
      </c>
      <c r="B264" t="s">
        <v>3461</v>
      </c>
      <c r="C264">
        <v>585</v>
      </c>
      <c r="D264">
        <v>31192</v>
      </c>
      <c r="E264">
        <v>19246175000</v>
      </c>
      <c r="F264">
        <v>453</v>
      </c>
      <c r="G264">
        <v>500</v>
      </c>
      <c r="H264">
        <v>699</v>
      </c>
      <c r="I264">
        <v>246</v>
      </c>
      <c r="J264">
        <v>54.3</v>
      </c>
      <c r="K264">
        <v>617</v>
      </c>
      <c r="L264">
        <v>164</v>
      </c>
      <c r="M264">
        <v>36.200000000000003</v>
      </c>
      <c r="N264">
        <v>500</v>
      </c>
      <c r="O264">
        <v>794</v>
      </c>
      <c r="P264" t="s">
        <v>192</v>
      </c>
      <c r="Q264" t="s">
        <v>192</v>
      </c>
      <c r="R264">
        <v>1</v>
      </c>
      <c r="S264">
        <v>52</v>
      </c>
      <c r="T264">
        <v>652</v>
      </c>
      <c r="U264">
        <v>700</v>
      </c>
      <c r="V264">
        <v>33</v>
      </c>
      <c r="W264">
        <v>1</v>
      </c>
      <c r="X264" s="367"/>
    </row>
    <row r="265" spans="1:24">
      <c r="A265" t="s">
        <v>3462</v>
      </c>
      <c r="B265" t="s">
        <v>3463</v>
      </c>
      <c r="C265">
        <v>3093</v>
      </c>
      <c r="D265">
        <v>511531</v>
      </c>
      <c r="E265">
        <v>80396783000</v>
      </c>
      <c r="F265">
        <v>59</v>
      </c>
      <c r="G265">
        <v>100</v>
      </c>
      <c r="H265">
        <v>204</v>
      </c>
      <c r="I265">
        <v>145</v>
      </c>
      <c r="J265">
        <v>245.76</v>
      </c>
      <c r="K265">
        <v>157</v>
      </c>
      <c r="L265">
        <v>98</v>
      </c>
      <c r="M265">
        <v>166.1</v>
      </c>
      <c r="N265">
        <v>100</v>
      </c>
      <c r="O265">
        <v>296</v>
      </c>
      <c r="P265" t="s">
        <v>192</v>
      </c>
      <c r="Q265" t="s">
        <v>192</v>
      </c>
      <c r="R265">
        <v>4</v>
      </c>
      <c r="S265">
        <v>2815</v>
      </c>
      <c r="T265">
        <v>204</v>
      </c>
      <c r="U265">
        <v>208</v>
      </c>
      <c r="V265">
        <v>1</v>
      </c>
      <c r="W265">
        <v>1</v>
      </c>
      <c r="X265" s="367"/>
    </row>
    <row r="266" spans="1:24">
      <c r="A266" t="s">
        <v>7822</v>
      </c>
      <c r="B266" t="s">
        <v>7823</v>
      </c>
      <c r="C266">
        <v>100</v>
      </c>
      <c r="D266">
        <v>1095</v>
      </c>
      <c r="E266">
        <v>33094091000</v>
      </c>
      <c r="F266">
        <v>26178</v>
      </c>
      <c r="G266">
        <v>27000</v>
      </c>
      <c r="H266">
        <v>30000</v>
      </c>
      <c r="I266">
        <v>3822</v>
      </c>
      <c r="J266">
        <v>14.6</v>
      </c>
      <c r="K266">
        <v>30223</v>
      </c>
      <c r="L266">
        <v>4045</v>
      </c>
      <c r="M266">
        <v>15.45</v>
      </c>
      <c r="N266">
        <v>27000</v>
      </c>
      <c r="O266">
        <v>31000</v>
      </c>
      <c r="P266" t="s">
        <v>192</v>
      </c>
      <c r="Q266" t="s">
        <v>192</v>
      </c>
      <c r="R266">
        <v>1</v>
      </c>
      <c r="S266">
        <v>6</v>
      </c>
      <c r="T266">
        <v>29901</v>
      </c>
      <c r="U266">
        <v>30000</v>
      </c>
      <c r="V266">
        <v>16</v>
      </c>
      <c r="W266">
        <v>1</v>
      </c>
      <c r="X266" s="367"/>
    </row>
    <row r="267" spans="1:24">
      <c r="A267" t="s">
        <v>7824</v>
      </c>
      <c r="B267" t="s">
        <v>7825</v>
      </c>
      <c r="C267">
        <v>60</v>
      </c>
      <c r="D267">
        <v>285</v>
      </c>
      <c r="E267">
        <v>8052065000</v>
      </c>
      <c r="F267">
        <v>25051</v>
      </c>
      <c r="G267">
        <v>29999</v>
      </c>
      <c r="H267">
        <v>28600</v>
      </c>
      <c r="I267">
        <v>3549</v>
      </c>
      <c r="J267">
        <v>14.17</v>
      </c>
      <c r="K267">
        <v>28253</v>
      </c>
      <c r="L267">
        <v>3202</v>
      </c>
      <c r="M267">
        <v>12.78</v>
      </c>
      <c r="N267">
        <v>25000</v>
      </c>
      <c r="O267">
        <v>44000</v>
      </c>
      <c r="P267" t="s">
        <v>192</v>
      </c>
      <c r="Q267" t="s">
        <v>192</v>
      </c>
      <c r="R267">
        <v>1</v>
      </c>
      <c r="S267">
        <v>7</v>
      </c>
      <c r="T267">
        <v>28100</v>
      </c>
      <c r="U267">
        <v>34984</v>
      </c>
      <c r="V267">
        <v>20</v>
      </c>
      <c r="W267">
        <v>1</v>
      </c>
      <c r="X267" s="367"/>
    </row>
    <row r="268" spans="1:24">
      <c r="A268" t="s">
        <v>7826</v>
      </c>
      <c r="B268" t="s">
        <v>7827</v>
      </c>
      <c r="C268">
        <v>7</v>
      </c>
      <c r="D268">
        <v>45</v>
      </c>
      <c r="E268">
        <v>1220210000</v>
      </c>
      <c r="F268">
        <v>23200</v>
      </c>
      <c r="G268">
        <v>25875</v>
      </c>
      <c r="H268">
        <v>26829</v>
      </c>
      <c r="I268">
        <v>3629</v>
      </c>
      <c r="J268">
        <v>15.64</v>
      </c>
      <c r="K268">
        <v>27116</v>
      </c>
      <c r="L268">
        <v>3916</v>
      </c>
      <c r="M268">
        <v>16.88</v>
      </c>
      <c r="N268">
        <v>25875</v>
      </c>
      <c r="O268">
        <v>31205</v>
      </c>
      <c r="P268" t="s">
        <v>192</v>
      </c>
      <c r="Q268" t="s">
        <v>192</v>
      </c>
      <c r="R268">
        <v>1</v>
      </c>
      <c r="S268">
        <v>1</v>
      </c>
      <c r="T268">
        <v>21014</v>
      </c>
      <c r="U268">
        <v>32985</v>
      </c>
      <c r="V268">
        <v>2</v>
      </c>
      <c r="W268">
        <v>1</v>
      </c>
      <c r="X268" s="367"/>
    </row>
    <row r="269" spans="1:24">
      <c r="A269" t="s">
        <v>7828</v>
      </c>
      <c r="B269" t="s">
        <v>7829</v>
      </c>
      <c r="C269">
        <v>6</v>
      </c>
      <c r="D269">
        <v>41</v>
      </c>
      <c r="E269">
        <v>1023786000</v>
      </c>
      <c r="F269">
        <v>20986</v>
      </c>
      <c r="G269">
        <v>22000</v>
      </c>
      <c r="H269">
        <v>25094</v>
      </c>
      <c r="I269">
        <v>4108</v>
      </c>
      <c r="J269">
        <v>19.57</v>
      </c>
      <c r="K269">
        <v>24970</v>
      </c>
      <c r="L269">
        <v>3984</v>
      </c>
      <c r="M269">
        <v>18.98</v>
      </c>
      <c r="N269">
        <v>22000</v>
      </c>
      <c r="O269">
        <v>26000</v>
      </c>
      <c r="P269" t="s">
        <v>192</v>
      </c>
      <c r="Q269" t="s">
        <v>192</v>
      </c>
      <c r="R269">
        <v>1</v>
      </c>
      <c r="S269">
        <v>50</v>
      </c>
      <c r="T269">
        <v>20300</v>
      </c>
      <c r="U269">
        <v>25000</v>
      </c>
      <c r="V269">
        <v>40</v>
      </c>
      <c r="W269">
        <v>1</v>
      </c>
      <c r="X269" s="367"/>
    </row>
    <row r="270" spans="1:24">
      <c r="A270" t="s">
        <v>7834</v>
      </c>
      <c r="B270" t="s">
        <v>7835</v>
      </c>
      <c r="C270">
        <v>22</v>
      </c>
      <c r="D270">
        <v>192</v>
      </c>
      <c r="E270">
        <v>3213085000</v>
      </c>
      <c r="F270">
        <v>13526</v>
      </c>
      <c r="G270">
        <v>15102</v>
      </c>
      <c r="H270">
        <v>17500</v>
      </c>
      <c r="I270">
        <v>3974</v>
      </c>
      <c r="J270">
        <v>29.38</v>
      </c>
      <c r="K270">
        <v>16735</v>
      </c>
      <c r="L270">
        <v>3209</v>
      </c>
      <c r="M270">
        <v>23.72</v>
      </c>
      <c r="N270">
        <v>15102</v>
      </c>
      <c r="O270">
        <v>17500</v>
      </c>
      <c r="P270" t="s">
        <v>192</v>
      </c>
      <c r="Q270" t="s">
        <v>192</v>
      </c>
      <c r="R270">
        <v>1</v>
      </c>
      <c r="S270">
        <v>10</v>
      </c>
      <c r="T270">
        <v>16860</v>
      </c>
      <c r="U270">
        <v>18490</v>
      </c>
      <c r="V270">
        <v>3</v>
      </c>
      <c r="W270">
        <v>1</v>
      </c>
      <c r="X270" s="367"/>
    </row>
    <row r="271" spans="1:24">
      <c r="A271" t="s">
        <v>7836</v>
      </c>
      <c r="B271" t="s">
        <v>7837</v>
      </c>
      <c r="C271">
        <v>74</v>
      </c>
      <c r="D271">
        <v>1102</v>
      </c>
      <c r="E271">
        <v>15172515000</v>
      </c>
      <c r="F271">
        <v>10681</v>
      </c>
      <c r="G271">
        <v>13899</v>
      </c>
      <c r="H271">
        <v>14495</v>
      </c>
      <c r="I271">
        <v>3814</v>
      </c>
      <c r="J271">
        <v>35.71</v>
      </c>
      <c r="K271">
        <v>13768</v>
      </c>
      <c r="L271">
        <v>3087</v>
      </c>
      <c r="M271">
        <v>28.9</v>
      </c>
      <c r="N271">
        <v>13650</v>
      </c>
      <c r="O271">
        <v>14495</v>
      </c>
      <c r="P271" t="s">
        <v>192</v>
      </c>
      <c r="Q271" t="s">
        <v>192</v>
      </c>
      <c r="R271">
        <v>1</v>
      </c>
      <c r="S271">
        <v>10</v>
      </c>
      <c r="T271">
        <v>14140</v>
      </c>
      <c r="U271">
        <v>16000</v>
      </c>
      <c r="V271">
        <v>90</v>
      </c>
      <c r="W271">
        <v>1</v>
      </c>
      <c r="X271" s="367"/>
    </row>
    <row r="272" spans="1:24">
      <c r="A272" t="s">
        <v>7840</v>
      </c>
      <c r="B272" t="s">
        <v>7841</v>
      </c>
      <c r="C272">
        <v>69</v>
      </c>
      <c r="D272">
        <v>1245</v>
      </c>
      <c r="E272">
        <v>11819278000</v>
      </c>
      <c r="F272">
        <v>7571</v>
      </c>
      <c r="G272">
        <v>9700</v>
      </c>
      <c r="H272">
        <v>10000</v>
      </c>
      <c r="I272">
        <v>2429</v>
      </c>
      <c r="J272">
        <v>32.08</v>
      </c>
      <c r="K272">
        <v>9493</v>
      </c>
      <c r="L272">
        <v>1922</v>
      </c>
      <c r="M272">
        <v>25.39</v>
      </c>
      <c r="N272">
        <v>9200</v>
      </c>
      <c r="O272">
        <v>10021</v>
      </c>
      <c r="P272" t="s">
        <v>192</v>
      </c>
      <c r="Q272" t="s">
        <v>192</v>
      </c>
      <c r="R272">
        <v>1</v>
      </c>
      <c r="S272">
        <v>10</v>
      </c>
      <c r="T272">
        <v>8701</v>
      </c>
      <c r="U272">
        <v>10021</v>
      </c>
      <c r="V272">
        <v>1</v>
      </c>
      <c r="W272">
        <v>1</v>
      </c>
      <c r="X272" s="367"/>
    </row>
    <row r="273" spans="1:24">
      <c r="A273" t="s">
        <v>7844</v>
      </c>
      <c r="B273" t="s">
        <v>7845</v>
      </c>
      <c r="C273">
        <v>21</v>
      </c>
      <c r="D273">
        <v>270</v>
      </c>
      <c r="E273">
        <v>1441134000</v>
      </c>
      <c r="F273">
        <v>4042</v>
      </c>
      <c r="G273">
        <v>4110</v>
      </c>
      <c r="H273">
        <v>5390</v>
      </c>
      <c r="I273">
        <v>1348</v>
      </c>
      <c r="J273">
        <v>33.35</v>
      </c>
      <c r="K273">
        <v>5338</v>
      </c>
      <c r="L273">
        <v>1296</v>
      </c>
      <c r="M273">
        <v>32.06</v>
      </c>
      <c r="N273">
        <v>4110</v>
      </c>
      <c r="O273">
        <v>5415</v>
      </c>
      <c r="P273" t="s">
        <v>192</v>
      </c>
      <c r="Q273" t="s">
        <v>192</v>
      </c>
      <c r="R273">
        <v>1</v>
      </c>
      <c r="S273">
        <v>204</v>
      </c>
      <c r="T273">
        <v>5100</v>
      </c>
      <c r="U273">
        <v>5790</v>
      </c>
      <c r="V273">
        <v>300</v>
      </c>
      <c r="W273">
        <v>1</v>
      </c>
      <c r="X273" s="367"/>
    </row>
    <row r="274" spans="1:24">
      <c r="A274" t="s">
        <v>7189</v>
      </c>
      <c r="B274" t="s">
        <v>8068</v>
      </c>
      <c r="C274">
        <v>0</v>
      </c>
      <c r="D274">
        <v>0</v>
      </c>
      <c r="E274">
        <v>0</v>
      </c>
      <c r="F274">
        <v>1400</v>
      </c>
      <c r="G274">
        <v>0</v>
      </c>
      <c r="H274">
        <v>1400</v>
      </c>
      <c r="I274">
        <v>0</v>
      </c>
      <c r="J274">
        <v>0</v>
      </c>
      <c r="K274">
        <v>1400</v>
      </c>
      <c r="L274">
        <v>0</v>
      </c>
      <c r="M274">
        <v>0</v>
      </c>
      <c r="N274">
        <v>0</v>
      </c>
      <c r="O274">
        <v>0</v>
      </c>
      <c r="P274" t="s">
        <v>192</v>
      </c>
      <c r="Q274" t="s">
        <v>192</v>
      </c>
      <c r="R274">
        <v>2</v>
      </c>
      <c r="S274">
        <v>101</v>
      </c>
      <c r="T274">
        <v>1</v>
      </c>
      <c r="U274">
        <v>1390</v>
      </c>
      <c r="V274">
        <v>10</v>
      </c>
      <c r="W274">
        <v>1</v>
      </c>
      <c r="X274" s="367"/>
    </row>
    <row r="275" spans="1:24">
      <c r="A275" t="s">
        <v>7187</v>
      </c>
      <c r="B275" t="s">
        <v>8069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 t="s">
        <v>192</v>
      </c>
      <c r="Q275" t="s">
        <v>192</v>
      </c>
      <c r="R275">
        <v>1</v>
      </c>
      <c r="S275">
        <v>100</v>
      </c>
      <c r="T275">
        <v>1</v>
      </c>
      <c r="U275">
        <v>0</v>
      </c>
      <c r="V275">
        <v>0</v>
      </c>
      <c r="W275">
        <v>0</v>
      </c>
      <c r="X275" s="367"/>
    </row>
    <row r="276" spans="1:24">
      <c r="A276" t="s">
        <v>3464</v>
      </c>
      <c r="B276" t="s">
        <v>8070</v>
      </c>
      <c r="C276">
        <v>16</v>
      </c>
      <c r="D276">
        <v>342</v>
      </c>
      <c r="E276">
        <v>328060000</v>
      </c>
      <c r="F276">
        <v>990</v>
      </c>
      <c r="G276">
        <v>1000</v>
      </c>
      <c r="H276">
        <v>1090</v>
      </c>
      <c r="I276">
        <v>100</v>
      </c>
      <c r="J276">
        <v>10.1</v>
      </c>
      <c r="K276">
        <v>959</v>
      </c>
      <c r="L276">
        <v>-31</v>
      </c>
      <c r="M276">
        <v>-3.13</v>
      </c>
      <c r="N276">
        <v>812</v>
      </c>
      <c r="O276">
        <v>1200</v>
      </c>
      <c r="P276" t="s">
        <v>192</v>
      </c>
      <c r="Q276" t="s">
        <v>192</v>
      </c>
      <c r="R276">
        <v>1</v>
      </c>
      <c r="S276">
        <v>600</v>
      </c>
      <c r="T276">
        <v>881</v>
      </c>
      <c r="U276">
        <v>1090</v>
      </c>
      <c r="V276">
        <v>20</v>
      </c>
      <c r="W276">
        <v>1</v>
      </c>
      <c r="X276" s="367"/>
    </row>
    <row r="277" spans="1:24">
      <c r="A277" t="s">
        <v>7183</v>
      </c>
      <c r="B277" t="s">
        <v>8071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 t="s">
        <v>192</v>
      </c>
      <c r="Q277" t="s">
        <v>192</v>
      </c>
      <c r="R277">
        <v>1</v>
      </c>
      <c r="S277">
        <v>100</v>
      </c>
      <c r="T277">
        <v>1</v>
      </c>
      <c r="U277">
        <v>0</v>
      </c>
      <c r="V277">
        <v>0</v>
      </c>
      <c r="W277">
        <v>0</v>
      </c>
      <c r="X277" s="367"/>
    </row>
    <row r="278" spans="1:24">
      <c r="A278" t="s">
        <v>3466</v>
      </c>
      <c r="B278" t="s">
        <v>8072</v>
      </c>
      <c r="C278">
        <v>1</v>
      </c>
      <c r="D278">
        <v>2</v>
      </c>
      <c r="E278">
        <v>1400000</v>
      </c>
      <c r="F278">
        <v>666</v>
      </c>
      <c r="G278">
        <v>700</v>
      </c>
      <c r="H278">
        <v>700</v>
      </c>
      <c r="I278">
        <v>34</v>
      </c>
      <c r="J278">
        <v>5.1100000000000003</v>
      </c>
      <c r="K278">
        <v>700</v>
      </c>
      <c r="L278">
        <v>34</v>
      </c>
      <c r="M278">
        <v>5.1100000000000003</v>
      </c>
      <c r="N278">
        <v>700</v>
      </c>
      <c r="O278">
        <v>700</v>
      </c>
      <c r="P278" t="s">
        <v>192</v>
      </c>
      <c r="Q278" t="s">
        <v>192</v>
      </c>
      <c r="R278">
        <v>1</v>
      </c>
      <c r="S278">
        <v>100</v>
      </c>
      <c r="T278">
        <v>1</v>
      </c>
      <c r="U278">
        <v>0</v>
      </c>
      <c r="V278">
        <v>0</v>
      </c>
      <c r="W278">
        <v>0</v>
      </c>
      <c r="X278" s="367"/>
    </row>
    <row r="279" spans="1:24">
      <c r="A279" t="s">
        <v>7177</v>
      </c>
      <c r="B279" t="s">
        <v>8073</v>
      </c>
      <c r="C279">
        <v>26</v>
      </c>
      <c r="D279">
        <v>2552</v>
      </c>
      <c r="E279">
        <v>1076248000</v>
      </c>
      <c r="F279">
        <v>323</v>
      </c>
      <c r="G279">
        <v>500</v>
      </c>
      <c r="H279">
        <v>400</v>
      </c>
      <c r="I279">
        <v>77</v>
      </c>
      <c r="J279">
        <v>23.84</v>
      </c>
      <c r="K279">
        <v>422</v>
      </c>
      <c r="L279">
        <v>99</v>
      </c>
      <c r="M279">
        <v>30.65</v>
      </c>
      <c r="N279">
        <v>400</v>
      </c>
      <c r="O279">
        <v>500</v>
      </c>
      <c r="P279" t="s">
        <v>192</v>
      </c>
      <c r="Q279" t="s">
        <v>192</v>
      </c>
      <c r="R279">
        <v>1</v>
      </c>
      <c r="S279">
        <v>5</v>
      </c>
      <c r="T279">
        <v>384</v>
      </c>
      <c r="U279">
        <v>410</v>
      </c>
      <c r="V279">
        <v>780</v>
      </c>
      <c r="W279">
        <v>1</v>
      </c>
      <c r="X279" s="367"/>
    </row>
    <row r="280" spans="1:24">
      <c r="A280" t="s">
        <v>7171</v>
      </c>
      <c r="B280" t="s">
        <v>8074</v>
      </c>
      <c r="C280">
        <v>34</v>
      </c>
      <c r="D280">
        <v>14530</v>
      </c>
      <c r="E280">
        <v>461180000</v>
      </c>
      <c r="F280">
        <v>1</v>
      </c>
      <c r="G280">
        <v>30</v>
      </c>
      <c r="H280">
        <v>29</v>
      </c>
      <c r="I280">
        <v>28</v>
      </c>
      <c r="J280">
        <v>2800</v>
      </c>
      <c r="K280">
        <v>32</v>
      </c>
      <c r="L280">
        <v>31</v>
      </c>
      <c r="M280">
        <v>3100</v>
      </c>
      <c r="N280">
        <v>29</v>
      </c>
      <c r="O280">
        <v>36</v>
      </c>
      <c r="P280" t="s">
        <v>192</v>
      </c>
      <c r="Q280" t="s">
        <v>192</v>
      </c>
      <c r="R280">
        <v>1</v>
      </c>
      <c r="S280">
        <v>1000</v>
      </c>
      <c r="T280">
        <v>10</v>
      </c>
      <c r="U280">
        <v>34</v>
      </c>
      <c r="V280">
        <v>1000</v>
      </c>
      <c r="W280">
        <v>2</v>
      </c>
      <c r="X280" s="367"/>
    </row>
    <row r="281" spans="1:24">
      <c r="A281" t="s">
        <v>7169</v>
      </c>
      <c r="B281" t="s">
        <v>8075</v>
      </c>
      <c r="C281">
        <v>1</v>
      </c>
      <c r="D281">
        <v>1</v>
      </c>
      <c r="E281">
        <v>1000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1</v>
      </c>
      <c r="P281" t="s">
        <v>192</v>
      </c>
      <c r="Q281" t="s">
        <v>192</v>
      </c>
      <c r="R281">
        <v>3</v>
      </c>
      <c r="S281">
        <v>2100</v>
      </c>
      <c r="T281">
        <v>1</v>
      </c>
      <c r="U281">
        <v>20</v>
      </c>
      <c r="V281">
        <v>1000</v>
      </c>
      <c r="W281">
        <v>1</v>
      </c>
      <c r="X281" s="367"/>
    </row>
    <row r="282" spans="1:24">
      <c r="A282" t="s">
        <v>3468</v>
      </c>
      <c r="B282" t="s">
        <v>8076</v>
      </c>
      <c r="C282">
        <v>117</v>
      </c>
      <c r="D282">
        <v>9065</v>
      </c>
      <c r="E282">
        <v>5620846000</v>
      </c>
      <c r="F282">
        <v>568</v>
      </c>
      <c r="G282">
        <v>585</v>
      </c>
      <c r="H282">
        <v>615</v>
      </c>
      <c r="I282">
        <v>47</v>
      </c>
      <c r="J282">
        <v>8.27</v>
      </c>
      <c r="K282">
        <v>620</v>
      </c>
      <c r="L282">
        <v>52</v>
      </c>
      <c r="M282">
        <v>9.15</v>
      </c>
      <c r="N282">
        <v>585</v>
      </c>
      <c r="O282">
        <v>630</v>
      </c>
      <c r="P282" t="s">
        <v>192</v>
      </c>
      <c r="Q282" t="s">
        <v>192</v>
      </c>
      <c r="R282">
        <v>1</v>
      </c>
      <c r="S282">
        <v>100</v>
      </c>
      <c r="T282">
        <v>602</v>
      </c>
      <c r="U282">
        <v>615</v>
      </c>
      <c r="V282">
        <v>18</v>
      </c>
      <c r="W282">
        <v>1</v>
      </c>
      <c r="X282" s="367"/>
    </row>
    <row r="283" spans="1:24">
      <c r="A283" t="s">
        <v>3472</v>
      </c>
      <c r="B283" t="s">
        <v>8213</v>
      </c>
      <c r="C283">
        <v>97</v>
      </c>
      <c r="D283">
        <v>22070</v>
      </c>
      <c r="E283">
        <v>11692847000</v>
      </c>
      <c r="F283">
        <v>474</v>
      </c>
      <c r="G283">
        <v>500</v>
      </c>
      <c r="H283">
        <v>523</v>
      </c>
      <c r="I283">
        <v>49</v>
      </c>
      <c r="J283">
        <v>10.34</v>
      </c>
      <c r="K283">
        <v>530</v>
      </c>
      <c r="L283">
        <v>56</v>
      </c>
      <c r="M283">
        <v>11.81</v>
      </c>
      <c r="N283">
        <v>500</v>
      </c>
      <c r="O283">
        <v>536</v>
      </c>
      <c r="P283" t="s">
        <v>192</v>
      </c>
      <c r="Q283" t="s">
        <v>192</v>
      </c>
      <c r="R283">
        <v>1</v>
      </c>
      <c r="S283">
        <v>999</v>
      </c>
      <c r="T283">
        <v>520</v>
      </c>
      <c r="U283">
        <v>537</v>
      </c>
      <c r="V283">
        <v>263</v>
      </c>
      <c r="W283">
        <v>1</v>
      </c>
      <c r="X283" s="367"/>
    </row>
    <row r="284" spans="1:24">
      <c r="A284" t="s">
        <v>3474</v>
      </c>
      <c r="B284" t="s">
        <v>8214</v>
      </c>
      <c r="C284">
        <v>658</v>
      </c>
      <c r="D284">
        <v>185275</v>
      </c>
      <c r="E284">
        <v>60556820000</v>
      </c>
      <c r="F284">
        <v>271</v>
      </c>
      <c r="G284">
        <v>309</v>
      </c>
      <c r="H284">
        <v>313</v>
      </c>
      <c r="I284">
        <v>42</v>
      </c>
      <c r="J284">
        <v>15.5</v>
      </c>
      <c r="K284">
        <v>327</v>
      </c>
      <c r="L284">
        <v>56</v>
      </c>
      <c r="M284">
        <v>20.66</v>
      </c>
      <c r="N284">
        <v>309</v>
      </c>
      <c r="O284">
        <v>345</v>
      </c>
      <c r="P284" t="s">
        <v>192</v>
      </c>
      <c r="Q284" t="s">
        <v>192</v>
      </c>
      <c r="R284">
        <v>1</v>
      </c>
      <c r="S284">
        <v>25</v>
      </c>
      <c r="T284">
        <v>313</v>
      </c>
      <c r="U284">
        <v>326</v>
      </c>
      <c r="V284">
        <v>600</v>
      </c>
      <c r="W284">
        <v>3</v>
      </c>
      <c r="X284" s="367"/>
    </row>
    <row r="285" spans="1:24">
      <c r="A285" t="s">
        <v>3478</v>
      </c>
      <c r="B285" t="s">
        <v>8077</v>
      </c>
      <c r="C285">
        <v>10924</v>
      </c>
      <c r="D285">
        <v>4880251</v>
      </c>
      <c r="E285">
        <v>267185846000</v>
      </c>
      <c r="F285">
        <v>29</v>
      </c>
      <c r="G285">
        <v>54</v>
      </c>
      <c r="H285">
        <v>54</v>
      </c>
      <c r="I285">
        <v>25</v>
      </c>
      <c r="J285">
        <v>86.21</v>
      </c>
      <c r="K285">
        <v>55</v>
      </c>
      <c r="L285">
        <v>26</v>
      </c>
      <c r="M285">
        <v>89.66</v>
      </c>
      <c r="N285">
        <v>49</v>
      </c>
      <c r="O285">
        <v>60</v>
      </c>
      <c r="P285" t="s">
        <v>192</v>
      </c>
      <c r="Q285" t="s">
        <v>192</v>
      </c>
      <c r="R285">
        <v>5</v>
      </c>
      <c r="S285">
        <v>3160</v>
      </c>
      <c r="T285">
        <v>53</v>
      </c>
      <c r="U285">
        <v>54</v>
      </c>
      <c r="V285">
        <v>3000</v>
      </c>
      <c r="W285">
        <v>3</v>
      </c>
      <c r="X285" s="367"/>
    </row>
    <row r="286" spans="1:24">
      <c r="A286" t="s">
        <v>3480</v>
      </c>
      <c r="B286" t="s">
        <v>8520</v>
      </c>
      <c r="C286">
        <v>19010</v>
      </c>
      <c r="D286">
        <v>8760206</v>
      </c>
      <c r="E286">
        <v>126690877000</v>
      </c>
      <c r="F286">
        <v>3</v>
      </c>
      <c r="G286">
        <v>8</v>
      </c>
      <c r="H286">
        <v>13</v>
      </c>
      <c r="I286">
        <v>10</v>
      </c>
      <c r="J286">
        <v>333.33</v>
      </c>
      <c r="K286">
        <v>14</v>
      </c>
      <c r="L286">
        <v>11</v>
      </c>
      <c r="M286">
        <v>366.67</v>
      </c>
      <c r="N286">
        <v>7</v>
      </c>
      <c r="O286">
        <v>22</v>
      </c>
      <c r="P286" t="s">
        <v>192</v>
      </c>
      <c r="Q286" t="s">
        <v>192</v>
      </c>
      <c r="R286">
        <v>17</v>
      </c>
      <c r="S286">
        <v>14312</v>
      </c>
      <c r="T286">
        <v>12</v>
      </c>
      <c r="U286">
        <v>13</v>
      </c>
      <c r="V286">
        <v>24000</v>
      </c>
      <c r="W286">
        <v>25</v>
      </c>
      <c r="X286" s="367"/>
    </row>
    <row r="287" spans="1:24">
      <c r="A287" t="s">
        <v>3482</v>
      </c>
      <c r="B287" t="s">
        <v>8521</v>
      </c>
      <c r="C287">
        <v>1102</v>
      </c>
      <c r="D287">
        <v>496535</v>
      </c>
      <c r="E287">
        <v>749611000</v>
      </c>
      <c r="F287">
        <v>1</v>
      </c>
      <c r="G287">
        <v>2</v>
      </c>
      <c r="H287">
        <v>1</v>
      </c>
      <c r="I287">
        <v>0</v>
      </c>
      <c r="J287">
        <v>0</v>
      </c>
      <c r="K287">
        <v>2</v>
      </c>
      <c r="L287">
        <v>1</v>
      </c>
      <c r="M287">
        <v>100</v>
      </c>
      <c r="N287">
        <v>1</v>
      </c>
      <c r="O287">
        <v>2</v>
      </c>
      <c r="P287" t="s">
        <v>192</v>
      </c>
      <c r="Q287" t="s">
        <v>192</v>
      </c>
      <c r="R287">
        <v>0</v>
      </c>
      <c r="S287">
        <v>0</v>
      </c>
      <c r="T287">
        <v>0</v>
      </c>
      <c r="U287">
        <v>1</v>
      </c>
      <c r="V287">
        <v>1000</v>
      </c>
      <c r="W287">
        <v>1</v>
      </c>
      <c r="X287" s="367"/>
    </row>
    <row r="288" spans="1:24">
      <c r="A288" t="s">
        <v>3484</v>
      </c>
      <c r="B288" t="s">
        <v>8522</v>
      </c>
      <c r="C288">
        <v>26</v>
      </c>
      <c r="D288">
        <v>12057</v>
      </c>
      <c r="E288">
        <v>12057000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1</v>
      </c>
      <c r="O288">
        <v>1</v>
      </c>
      <c r="P288" t="s">
        <v>192</v>
      </c>
      <c r="Q288" t="s">
        <v>192</v>
      </c>
      <c r="R288">
        <v>0</v>
      </c>
      <c r="S288">
        <v>0</v>
      </c>
      <c r="T288">
        <v>0</v>
      </c>
      <c r="U288">
        <v>1</v>
      </c>
      <c r="V288">
        <v>50050</v>
      </c>
      <c r="W288">
        <v>51</v>
      </c>
      <c r="X288" s="367"/>
    </row>
    <row r="289" spans="1:24">
      <c r="A289" t="s">
        <v>3486</v>
      </c>
      <c r="B289" t="s">
        <v>8523</v>
      </c>
      <c r="C289">
        <v>176</v>
      </c>
      <c r="D289">
        <v>89439</v>
      </c>
      <c r="E289">
        <v>89439000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1</v>
      </c>
      <c r="O289">
        <v>1</v>
      </c>
      <c r="P289" t="s">
        <v>192</v>
      </c>
      <c r="Q289" t="s">
        <v>192</v>
      </c>
      <c r="R289">
        <v>0</v>
      </c>
      <c r="S289">
        <v>0</v>
      </c>
      <c r="T289">
        <v>0</v>
      </c>
      <c r="U289">
        <v>1</v>
      </c>
      <c r="V289">
        <v>254569</v>
      </c>
      <c r="W289">
        <v>259</v>
      </c>
      <c r="X289" s="367"/>
    </row>
    <row r="290" spans="1:24">
      <c r="A290" t="s">
        <v>3488</v>
      </c>
      <c r="B290" t="s">
        <v>8215</v>
      </c>
      <c r="C290">
        <v>68</v>
      </c>
      <c r="D290">
        <v>13754</v>
      </c>
      <c r="E290">
        <v>6043362000</v>
      </c>
      <c r="F290">
        <v>401</v>
      </c>
      <c r="G290">
        <v>470</v>
      </c>
      <c r="H290">
        <v>430</v>
      </c>
      <c r="I290">
        <v>29</v>
      </c>
      <c r="J290">
        <v>7.23</v>
      </c>
      <c r="K290">
        <v>439</v>
      </c>
      <c r="L290">
        <v>38</v>
      </c>
      <c r="M290">
        <v>9.48</v>
      </c>
      <c r="N290">
        <v>424</v>
      </c>
      <c r="O290">
        <v>470</v>
      </c>
      <c r="P290" t="s">
        <v>192</v>
      </c>
      <c r="Q290" t="s">
        <v>192</v>
      </c>
      <c r="R290">
        <v>1</v>
      </c>
      <c r="S290">
        <v>32</v>
      </c>
      <c r="T290">
        <v>436</v>
      </c>
      <c r="U290">
        <v>453</v>
      </c>
      <c r="V290">
        <v>159</v>
      </c>
      <c r="W290">
        <v>1</v>
      </c>
      <c r="X290" s="367"/>
    </row>
    <row r="291" spans="1:24">
      <c r="A291" t="s">
        <v>3490</v>
      </c>
      <c r="B291" t="s">
        <v>8216</v>
      </c>
      <c r="C291">
        <v>218</v>
      </c>
      <c r="D291">
        <v>33118</v>
      </c>
      <c r="E291">
        <v>11867475000</v>
      </c>
      <c r="F291">
        <v>297</v>
      </c>
      <c r="G291">
        <v>360</v>
      </c>
      <c r="H291">
        <v>368</v>
      </c>
      <c r="I291">
        <v>71</v>
      </c>
      <c r="J291">
        <v>23.91</v>
      </c>
      <c r="K291">
        <v>358</v>
      </c>
      <c r="L291">
        <v>61</v>
      </c>
      <c r="M291">
        <v>20.54</v>
      </c>
      <c r="N291">
        <v>350</v>
      </c>
      <c r="O291">
        <v>374</v>
      </c>
      <c r="P291" t="s">
        <v>192</v>
      </c>
      <c r="Q291" t="s">
        <v>192</v>
      </c>
      <c r="R291">
        <v>2</v>
      </c>
      <c r="S291">
        <v>30</v>
      </c>
      <c r="T291">
        <v>357</v>
      </c>
      <c r="U291">
        <v>368</v>
      </c>
      <c r="V291">
        <v>1199</v>
      </c>
      <c r="W291">
        <v>2</v>
      </c>
      <c r="X291" s="367"/>
    </row>
    <row r="292" spans="1:24">
      <c r="A292" t="s">
        <v>3492</v>
      </c>
      <c r="B292" t="s">
        <v>8078</v>
      </c>
      <c r="C292">
        <v>1538</v>
      </c>
      <c r="D292">
        <v>427309</v>
      </c>
      <c r="E292">
        <v>114206677000</v>
      </c>
      <c r="F292">
        <v>210</v>
      </c>
      <c r="G292">
        <v>267</v>
      </c>
      <c r="H292">
        <v>265</v>
      </c>
      <c r="I292">
        <v>55</v>
      </c>
      <c r="J292">
        <v>26.19</v>
      </c>
      <c r="K292">
        <v>267</v>
      </c>
      <c r="L292">
        <v>57</v>
      </c>
      <c r="M292">
        <v>27.14</v>
      </c>
      <c r="N292">
        <v>262</v>
      </c>
      <c r="O292">
        <v>277</v>
      </c>
      <c r="P292" t="s">
        <v>192</v>
      </c>
      <c r="Q292" t="s">
        <v>192</v>
      </c>
      <c r="R292">
        <v>1</v>
      </c>
      <c r="S292">
        <v>1000</v>
      </c>
      <c r="T292">
        <v>264</v>
      </c>
      <c r="U292">
        <v>265</v>
      </c>
      <c r="V292">
        <v>2062</v>
      </c>
      <c r="W292">
        <v>3</v>
      </c>
      <c r="X292" s="367"/>
    </row>
    <row r="293" spans="1:24">
      <c r="A293" t="s">
        <v>3494</v>
      </c>
      <c r="B293" t="s">
        <v>8079</v>
      </c>
      <c r="C293">
        <v>2798</v>
      </c>
      <c r="D293">
        <v>887209</v>
      </c>
      <c r="E293">
        <v>163884723000</v>
      </c>
      <c r="F293">
        <v>131</v>
      </c>
      <c r="G293">
        <v>165</v>
      </c>
      <c r="H293">
        <v>187</v>
      </c>
      <c r="I293">
        <v>56</v>
      </c>
      <c r="J293">
        <v>42.75</v>
      </c>
      <c r="K293">
        <v>185</v>
      </c>
      <c r="L293">
        <v>54</v>
      </c>
      <c r="M293">
        <v>41.22</v>
      </c>
      <c r="N293">
        <v>165</v>
      </c>
      <c r="O293">
        <v>190</v>
      </c>
      <c r="P293" t="s">
        <v>192</v>
      </c>
      <c r="Q293" t="s">
        <v>192</v>
      </c>
      <c r="R293">
        <v>2</v>
      </c>
      <c r="S293">
        <v>190</v>
      </c>
      <c r="T293">
        <v>185</v>
      </c>
      <c r="U293">
        <v>187</v>
      </c>
      <c r="V293">
        <v>10540</v>
      </c>
      <c r="W293">
        <v>14</v>
      </c>
      <c r="X293" s="367"/>
    </row>
    <row r="294" spans="1:24">
      <c r="A294" t="s">
        <v>3496</v>
      </c>
      <c r="B294" t="s">
        <v>8217</v>
      </c>
      <c r="C294">
        <v>75</v>
      </c>
      <c r="D294">
        <v>16717</v>
      </c>
      <c r="E294">
        <v>301452000</v>
      </c>
      <c r="F294">
        <v>11</v>
      </c>
      <c r="G294">
        <v>17</v>
      </c>
      <c r="H294">
        <v>20</v>
      </c>
      <c r="I294">
        <v>9</v>
      </c>
      <c r="J294">
        <v>81.819999999999993</v>
      </c>
      <c r="K294">
        <v>18</v>
      </c>
      <c r="L294">
        <v>7</v>
      </c>
      <c r="M294">
        <v>63.64</v>
      </c>
      <c r="N294">
        <v>11</v>
      </c>
      <c r="O294">
        <v>20</v>
      </c>
      <c r="P294" t="s">
        <v>192</v>
      </c>
      <c r="Q294" t="s">
        <v>192</v>
      </c>
      <c r="R294">
        <v>1</v>
      </c>
      <c r="S294">
        <v>1</v>
      </c>
      <c r="T294">
        <v>17</v>
      </c>
      <c r="U294">
        <v>20</v>
      </c>
      <c r="V294">
        <v>2787</v>
      </c>
      <c r="W294">
        <v>4</v>
      </c>
      <c r="X294" s="367"/>
    </row>
    <row r="295" spans="1:24">
      <c r="A295" t="s">
        <v>3498</v>
      </c>
      <c r="B295" t="s">
        <v>8132</v>
      </c>
      <c r="C295">
        <v>85</v>
      </c>
      <c r="D295">
        <v>23673</v>
      </c>
      <c r="E295">
        <v>354712000</v>
      </c>
      <c r="F295">
        <v>10</v>
      </c>
      <c r="G295">
        <v>16</v>
      </c>
      <c r="H295">
        <v>16</v>
      </c>
      <c r="I295">
        <v>6</v>
      </c>
      <c r="J295">
        <v>60</v>
      </c>
      <c r="K295">
        <v>15</v>
      </c>
      <c r="L295">
        <v>5</v>
      </c>
      <c r="M295">
        <v>50</v>
      </c>
      <c r="N295">
        <v>14</v>
      </c>
      <c r="O295">
        <v>18</v>
      </c>
      <c r="P295" t="s">
        <v>192</v>
      </c>
      <c r="Q295" t="s">
        <v>192</v>
      </c>
      <c r="R295">
        <v>5</v>
      </c>
      <c r="S295">
        <v>4270</v>
      </c>
      <c r="T295">
        <v>14</v>
      </c>
      <c r="U295">
        <v>16</v>
      </c>
      <c r="V295">
        <v>4000</v>
      </c>
      <c r="W295">
        <v>4</v>
      </c>
      <c r="X295" s="367"/>
    </row>
    <row r="296" spans="1:24">
      <c r="A296" t="s">
        <v>8218</v>
      </c>
      <c r="B296" t="s">
        <v>8219</v>
      </c>
      <c r="C296">
        <v>36</v>
      </c>
      <c r="D296">
        <v>3804</v>
      </c>
      <c r="E296">
        <v>2356466000</v>
      </c>
      <c r="F296">
        <v>573</v>
      </c>
      <c r="G296">
        <v>645</v>
      </c>
      <c r="H296">
        <v>624</v>
      </c>
      <c r="I296">
        <v>51</v>
      </c>
      <c r="J296">
        <v>8.9</v>
      </c>
      <c r="K296">
        <v>619</v>
      </c>
      <c r="L296">
        <v>46</v>
      </c>
      <c r="M296">
        <v>8.0299999999999994</v>
      </c>
      <c r="N296">
        <v>600</v>
      </c>
      <c r="O296">
        <v>660</v>
      </c>
      <c r="P296" t="s">
        <v>192</v>
      </c>
      <c r="Q296" t="s">
        <v>192</v>
      </c>
      <c r="R296">
        <v>1</v>
      </c>
      <c r="S296">
        <v>15</v>
      </c>
      <c r="T296">
        <v>615</v>
      </c>
      <c r="U296">
        <v>647</v>
      </c>
      <c r="V296">
        <v>3</v>
      </c>
      <c r="W296">
        <v>1</v>
      </c>
      <c r="X296" s="367"/>
    </row>
    <row r="297" spans="1:24">
      <c r="A297" t="s">
        <v>8220</v>
      </c>
      <c r="B297" t="s">
        <v>8221</v>
      </c>
      <c r="C297">
        <v>8</v>
      </c>
      <c r="D297">
        <v>161</v>
      </c>
      <c r="E297">
        <v>91251000</v>
      </c>
      <c r="F297">
        <v>580</v>
      </c>
      <c r="G297">
        <v>580</v>
      </c>
      <c r="H297">
        <v>598</v>
      </c>
      <c r="I297">
        <v>18</v>
      </c>
      <c r="J297">
        <v>3.1</v>
      </c>
      <c r="K297">
        <v>567</v>
      </c>
      <c r="L297">
        <v>-13</v>
      </c>
      <c r="M297">
        <v>-2.2400000000000002</v>
      </c>
      <c r="N297">
        <v>539</v>
      </c>
      <c r="O297">
        <v>599</v>
      </c>
      <c r="P297" t="s">
        <v>192</v>
      </c>
      <c r="Q297" t="s">
        <v>192</v>
      </c>
      <c r="R297">
        <v>1</v>
      </c>
      <c r="S297">
        <v>1000</v>
      </c>
      <c r="T297">
        <v>545</v>
      </c>
      <c r="U297">
        <v>610</v>
      </c>
      <c r="V297">
        <v>30</v>
      </c>
      <c r="W297">
        <v>1</v>
      </c>
      <c r="X297" s="367"/>
    </row>
    <row r="298" spans="1:24">
      <c r="A298" t="s">
        <v>8222</v>
      </c>
      <c r="B298" t="s">
        <v>8223</v>
      </c>
      <c r="C298">
        <v>174</v>
      </c>
      <c r="D298">
        <v>25896</v>
      </c>
      <c r="E298">
        <v>10432649000</v>
      </c>
      <c r="F298">
        <v>344</v>
      </c>
      <c r="G298">
        <v>476</v>
      </c>
      <c r="H298">
        <v>419</v>
      </c>
      <c r="I298">
        <v>75</v>
      </c>
      <c r="J298">
        <v>21.8</v>
      </c>
      <c r="K298">
        <v>403</v>
      </c>
      <c r="L298">
        <v>59</v>
      </c>
      <c r="M298">
        <v>17.149999999999999</v>
      </c>
      <c r="N298">
        <v>376</v>
      </c>
      <c r="O298">
        <v>480</v>
      </c>
      <c r="P298" t="s">
        <v>192</v>
      </c>
      <c r="Q298" t="s">
        <v>192</v>
      </c>
      <c r="R298">
        <v>1</v>
      </c>
      <c r="S298">
        <v>8</v>
      </c>
      <c r="T298">
        <v>410</v>
      </c>
      <c r="U298">
        <v>418</v>
      </c>
      <c r="V298">
        <v>1</v>
      </c>
      <c r="W298">
        <v>1</v>
      </c>
      <c r="X298" s="367"/>
    </row>
    <row r="299" spans="1:24">
      <c r="A299" t="s">
        <v>8224</v>
      </c>
      <c r="B299" t="s">
        <v>8225</v>
      </c>
      <c r="C299">
        <v>30</v>
      </c>
      <c r="D299">
        <v>3615</v>
      </c>
      <c r="E299">
        <v>519600000</v>
      </c>
      <c r="F299">
        <v>107</v>
      </c>
      <c r="G299">
        <v>199</v>
      </c>
      <c r="H299">
        <v>140</v>
      </c>
      <c r="I299">
        <v>33</v>
      </c>
      <c r="J299">
        <v>30.84</v>
      </c>
      <c r="K299">
        <v>144</v>
      </c>
      <c r="L299">
        <v>37</v>
      </c>
      <c r="M299">
        <v>34.58</v>
      </c>
      <c r="N299">
        <v>129</v>
      </c>
      <c r="O299">
        <v>199</v>
      </c>
      <c r="P299" t="s">
        <v>192</v>
      </c>
      <c r="Q299" t="s">
        <v>192</v>
      </c>
      <c r="R299">
        <v>1</v>
      </c>
      <c r="S299">
        <v>847</v>
      </c>
      <c r="T299">
        <v>130</v>
      </c>
      <c r="U299">
        <v>140</v>
      </c>
      <c r="V299">
        <v>470</v>
      </c>
      <c r="W299">
        <v>1</v>
      </c>
      <c r="X299" s="367"/>
    </row>
    <row r="300" spans="1:24">
      <c r="A300" t="s">
        <v>8226</v>
      </c>
      <c r="B300" t="s">
        <v>8227</v>
      </c>
      <c r="C300">
        <v>55</v>
      </c>
      <c r="D300">
        <v>2728</v>
      </c>
      <c r="E300">
        <v>297386000</v>
      </c>
      <c r="F300">
        <v>79</v>
      </c>
      <c r="G300">
        <v>110</v>
      </c>
      <c r="H300">
        <v>98</v>
      </c>
      <c r="I300">
        <v>19</v>
      </c>
      <c r="J300">
        <v>24.05</v>
      </c>
      <c r="K300">
        <v>109</v>
      </c>
      <c r="L300">
        <v>30</v>
      </c>
      <c r="M300">
        <v>37.97</v>
      </c>
      <c r="N300">
        <v>76</v>
      </c>
      <c r="O300">
        <v>500</v>
      </c>
      <c r="P300" t="s">
        <v>192</v>
      </c>
      <c r="Q300" t="s">
        <v>192</v>
      </c>
      <c r="R300">
        <v>1</v>
      </c>
      <c r="S300">
        <v>995</v>
      </c>
      <c r="T300">
        <v>98</v>
      </c>
      <c r="U300">
        <v>99</v>
      </c>
      <c r="V300">
        <v>896</v>
      </c>
      <c r="W300">
        <v>1</v>
      </c>
      <c r="X300" s="367"/>
    </row>
    <row r="301" spans="1:24">
      <c r="A301" t="s">
        <v>8228</v>
      </c>
      <c r="B301" t="s">
        <v>8229</v>
      </c>
      <c r="C301">
        <v>106</v>
      </c>
      <c r="D301">
        <v>32561</v>
      </c>
      <c r="E301">
        <v>1344075000</v>
      </c>
      <c r="F301">
        <v>31</v>
      </c>
      <c r="G301">
        <v>77</v>
      </c>
      <c r="H301">
        <v>43</v>
      </c>
      <c r="I301">
        <v>12</v>
      </c>
      <c r="J301">
        <v>38.71</v>
      </c>
      <c r="K301">
        <v>41</v>
      </c>
      <c r="L301">
        <v>10</v>
      </c>
      <c r="M301">
        <v>32.26</v>
      </c>
      <c r="N301">
        <v>33</v>
      </c>
      <c r="O301">
        <v>77</v>
      </c>
      <c r="P301" t="s">
        <v>192</v>
      </c>
      <c r="Q301" t="s">
        <v>192</v>
      </c>
      <c r="R301">
        <v>5</v>
      </c>
      <c r="S301">
        <v>3195</v>
      </c>
      <c r="T301">
        <v>40</v>
      </c>
      <c r="U301">
        <v>43</v>
      </c>
      <c r="V301">
        <v>5999</v>
      </c>
      <c r="W301">
        <v>6</v>
      </c>
      <c r="X301" s="367"/>
    </row>
    <row r="302" spans="1:24">
      <c r="A302" t="s">
        <v>8230</v>
      </c>
      <c r="B302" t="s">
        <v>8231</v>
      </c>
      <c r="C302">
        <v>60</v>
      </c>
      <c r="D302">
        <v>17392</v>
      </c>
      <c r="E302">
        <v>442593000</v>
      </c>
      <c r="F302">
        <v>17</v>
      </c>
      <c r="G302">
        <v>25</v>
      </c>
      <c r="H302">
        <v>24</v>
      </c>
      <c r="I302">
        <v>7</v>
      </c>
      <c r="J302">
        <v>41.18</v>
      </c>
      <c r="K302">
        <v>25</v>
      </c>
      <c r="L302">
        <v>8</v>
      </c>
      <c r="M302">
        <v>47.06</v>
      </c>
      <c r="N302">
        <v>20</v>
      </c>
      <c r="O302">
        <v>39</v>
      </c>
      <c r="P302" t="s">
        <v>192</v>
      </c>
      <c r="Q302" t="s">
        <v>192</v>
      </c>
      <c r="R302">
        <v>1</v>
      </c>
      <c r="S302">
        <v>686</v>
      </c>
      <c r="T302">
        <v>20</v>
      </c>
      <c r="U302">
        <v>25</v>
      </c>
      <c r="V302">
        <v>1019</v>
      </c>
      <c r="W302">
        <v>2</v>
      </c>
      <c r="X302" s="367"/>
    </row>
    <row r="303" spans="1:24">
      <c r="A303" t="s">
        <v>3500</v>
      </c>
      <c r="B303" t="s">
        <v>3501</v>
      </c>
      <c r="C303">
        <v>3</v>
      </c>
      <c r="D303">
        <v>66</v>
      </c>
      <c r="E303">
        <v>23150000</v>
      </c>
      <c r="F303">
        <v>348</v>
      </c>
      <c r="G303">
        <v>350</v>
      </c>
      <c r="H303">
        <v>400</v>
      </c>
      <c r="I303">
        <v>52</v>
      </c>
      <c r="J303">
        <v>14.94</v>
      </c>
      <c r="K303">
        <v>351</v>
      </c>
      <c r="L303">
        <v>3</v>
      </c>
      <c r="M303">
        <v>0.86</v>
      </c>
      <c r="N303">
        <v>350</v>
      </c>
      <c r="O303">
        <v>400</v>
      </c>
      <c r="P303" t="s">
        <v>192</v>
      </c>
      <c r="Q303" t="s">
        <v>192</v>
      </c>
      <c r="R303">
        <v>1</v>
      </c>
      <c r="S303">
        <v>200</v>
      </c>
      <c r="T303">
        <v>310</v>
      </c>
      <c r="U303">
        <v>389</v>
      </c>
      <c r="V303">
        <v>200</v>
      </c>
      <c r="W303">
        <v>2</v>
      </c>
      <c r="X303" s="367"/>
    </row>
    <row r="304" spans="1:24">
      <c r="A304" t="s">
        <v>7359</v>
      </c>
      <c r="B304" t="s">
        <v>7360</v>
      </c>
      <c r="C304">
        <v>3</v>
      </c>
      <c r="D304">
        <v>199</v>
      </c>
      <c r="E304">
        <v>63978000</v>
      </c>
      <c r="F304">
        <v>249</v>
      </c>
      <c r="G304">
        <v>322</v>
      </c>
      <c r="H304">
        <v>322</v>
      </c>
      <c r="I304">
        <v>73</v>
      </c>
      <c r="J304">
        <v>29.32</v>
      </c>
      <c r="K304">
        <v>321</v>
      </c>
      <c r="L304">
        <v>72</v>
      </c>
      <c r="M304">
        <v>28.92</v>
      </c>
      <c r="N304">
        <v>321</v>
      </c>
      <c r="O304">
        <v>322</v>
      </c>
      <c r="P304" t="s">
        <v>192</v>
      </c>
      <c r="Q304" t="s">
        <v>192</v>
      </c>
      <c r="R304">
        <v>2</v>
      </c>
      <c r="S304">
        <v>40</v>
      </c>
      <c r="T304">
        <v>295</v>
      </c>
      <c r="U304">
        <v>330</v>
      </c>
      <c r="V304">
        <v>327</v>
      </c>
      <c r="W304">
        <v>1</v>
      </c>
      <c r="X304" s="367"/>
    </row>
    <row r="305" spans="1:24">
      <c r="A305" t="s">
        <v>7357</v>
      </c>
      <c r="B305" t="s">
        <v>7358</v>
      </c>
      <c r="C305">
        <v>5</v>
      </c>
      <c r="D305">
        <v>90</v>
      </c>
      <c r="E305">
        <v>25360000</v>
      </c>
      <c r="F305">
        <v>229</v>
      </c>
      <c r="G305">
        <v>250</v>
      </c>
      <c r="H305">
        <v>290</v>
      </c>
      <c r="I305">
        <v>61</v>
      </c>
      <c r="J305">
        <v>26.64</v>
      </c>
      <c r="K305">
        <v>282</v>
      </c>
      <c r="L305">
        <v>53</v>
      </c>
      <c r="M305">
        <v>23.14</v>
      </c>
      <c r="N305">
        <v>250</v>
      </c>
      <c r="O305">
        <v>290</v>
      </c>
      <c r="P305" t="s">
        <v>192</v>
      </c>
      <c r="Q305" t="s">
        <v>192</v>
      </c>
      <c r="R305">
        <v>1</v>
      </c>
      <c r="S305">
        <v>444</v>
      </c>
      <c r="T305">
        <v>4</v>
      </c>
      <c r="U305">
        <v>299</v>
      </c>
      <c r="V305">
        <v>52</v>
      </c>
      <c r="W305">
        <v>1</v>
      </c>
      <c r="X305" s="367"/>
    </row>
    <row r="306" spans="1:24">
      <c r="A306" t="s">
        <v>3502</v>
      </c>
      <c r="B306" t="s">
        <v>3503</v>
      </c>
      <c r="C306">
        <v>142</v>
      </c>
      <c r="D306">
        <v>40829</v>
      </c>
      <c r="E306">
        <v>6595440000</v>
      </c>
      <c r="F306">
        <v>137</v>
      </c>
      <c r="G306">
        <v>151</v>
      </c>
      <c r="H306">
        <v>164</v>
      </c>
      <c r="I306">
        <v>27</v>
      </c>
      <c r="J306">
        <v>19.71</v>
      </c>
      <c r="K306">
        <v>162</v>
      </c>
      <c r="L306">
        <v>25</v>
      </c>
      <c r="M306">
        <v>18.25</v>
      </c>
      <c r="N306">
        <v>151</v>
      </c>
      <c r="O306">
        <v>166</v>
      </c>
      <c r="P306" t="s">
        <v>192</v>
      </c>
      <c r="Q306" t="s">
        <v>192</v>
      </c>
      <c r="R306">
        <v>1</v>
      </c>
      <c r="S306">
        <v>100</v>
      </c>
      <c r="T306">
        <v>145</v>
      </c>
      <c r="U306">
        <v>166</v>
      </c>
      <c r="V306">
        <v>31</v>
      </c>
      <c r="W306">
        <v>1</v>
      </c>
      <c r="X306" s="367"/>
    </row>
    <row r="307" spans="1:24">
      <c r="A307" t="s">
        <v>3504</v>
      </c>
      <c r="B307" t="s">
        <v>3505</v>
      </c>
      <c r="C307">
        <v>509</v>
      </c>
      <c r="D307">
        <v>167120</v>
      </c>
      <c r="E307">
        <v>19599384000</v>
      </c>
      <c r="F307">
        <v>90</v>
      </c>
      <c r="G307">
        <v>114</v>
      </c>
      <c r="H307">
        <v>122</v>
      </c>
      <c r="I307">
        <v>32</v>
      </c>
      <c r="J307">
        <v>35.56</v>
      </c>
      <c r="K307">
        <v>117</v>
      </c>
      <c r="L307">
        <v>27</v>
      </c>
      <c r="M307">
        <v>30</v>
      </c>
      <c r="N307">
        <v>103</v>
      </c>
      <c r="O307">
        <v>122</v>
      </c>
      <c r="P307" t="s">
        <v>192</v>
      </c>
      <c r="Q307" t="s">
        <v>192</v>
      </c>
      <c r="R307">
        <v>3</v>
      </c>
      <c r="S307">
        <v>3000</v>
      </c>
      <c r="T307">
        <v>123</v>
      </c>
      <c r="U307">
        <v>123</v>
      </c>
      <c r="V307">
        <v>155</v>
      </c>
      <c r="W307">
        <v>1</v>
      </c>
      <c r="X307" s="367"/>
    </row>
    <row r="308" spans="1:24">
      <c r="A308" t="s">
        <v>3508</v>
      </c>
      <c r="B308" t="s">
        <v>3509</v>
      </c>
      <c r="C308">
        <v>72</v>
      </c>
      <c r="D308">
        <v>31485</v>
      </c>
      <c r="E308">
        <v>32784000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2</v>
      </c>
      <c r="P308" t="s">
        <v>192</v>
      </c>
      <c r="Q308" t="s">
        <v>192</v>
      </c>
      <c r="R308">
        <v>0</v>
      </c>
      <c r="S308">
        <v>0</v>
      </c>
      <c r="T308">
        <v>0</v>
      </c>
      <c r="U308">
        <v>1</v>
      </c>
      <c r="V308">
        <v>5130</v>
      </c>
      <c r="W308">
        <v>6</v>
      </c>
      <c r="X308" s="367"/>
    </row>
    <row r="309" spans="1:24">
      <c r="A309" t="s">
        <v>7353</v>
      </c>
      <c r="B309" t="s">
        <v>7354</v>
      </c>
      <c r="C309">
        <v>1</v>
      </c>
      <c r="D309">
        <v>1</v>
      </c>
      <c r="E309">
        <v>301000</v>
      </c>
      <c r="F309">
        <v>277</v>
      </c>
      <c r="G309">
        <v>301</v>
      </c>
      <c r="H309">
        <v>301</v>
      </c>
      <c r="I309">
        <v>24</v>
      </c>
      <c r="J309">
        <v>8.66</v>
      </c>
      <c r="K309">
        <v>301</v>
      </c>
      <c r="L309">
        <v>24</v>
      </c>
      <c r="M309">
        <v>8.66</v>
      </c>
      <c r="N309">
        <v>301</v>
      </c>
      <c r="O309">
        <v>301</v>
      </c>
      <c r="P309" t="s">
        <v>192</v>
      </c>
      <c r="Q309" t="s">
        <v>192</v>
      </c>
      <c r="R309">
        <v>1</v>
      </c>
      <c r="S309">
        <v>300</v>
      </c>
      <c r="T309">
        <v>330</v>
      </c>
      <c r="U309">
        <v>589</v>
      </c>
      <c r="V309">
        <v>14</v>
      </c>
      <c r="W309">
        <v>1</v>
      </c>
      <c r="X309" s="367"/>
    </row>
    <row r="310" spans="1:24">
      <c r="A310" t="s">
        <v>7347</v>
      </c>
      <c r="B310" t="s">
        <v>7348</v>
      </c>
      <c r="C310">
        <v>2</v>
      </c>
      <c r="D310">
        <v>60</v>
      </c>
      <c r="E310">
        <v>16700000</v>
      </c>
      <c r="F310">
        <v>198</v>
      </c>
      <c r="G310">
        <v>288</v>
      </c>
      <c r="H310">
        <v>230</v>
      </c>
      <c r="I310">
        <v>32</v>
      </c>
      <c r="J310">
        <v>16.16</v>
      </c>
      <c r="K310">
        <v>278</v>
      </c>
      <c r="L310">
        <v>80</v>
      </c>
      <c r="M310">
        <v>40.4</v>
      </c>
      <c r="N310">
        <v>230</v>
      </c>
      <c r="O310">
        <v>288</v>
      </c>
      <c r="P310" t="s">
        <v>192</v>
      </c>
      <c r="Q310" t="s">
        <v>192</v>
      </c>
      <c r="R310">
        <v>1</v>
      </c>
      <c r="S310">
        <v>1000</v>
      </c>
      <c r="T310">
        <v>198</v>
      </c>
      <c r="U310">
        <v>289</v>
      </c>
      <c r="V310">
        <v>10</v>
      </c>
      <c r="W310">
        <v>1</v>
      </c>
      <c r="X310" s="367"/>
    </row>
    <row r="311" spans="1:24">
      <c r="A311" t="s">
        <v>7345</v>
      </c>
      <c r="B311" t="s">
        <v>7346</v>
      </c>
      <c r="C311">
        <v>0</v>
      </c>
      <c r="D311">
        <v>0</v>
      </c>
      <c r="E311">
        <v>0</v>
      </c>
      <c r="F311">
        <v>259</v>
      </c>
      <c r="G311">
        <v>0</v>
      </c>
      <c r="H311">
        <v>450</v>
      </c>
      <c r="I311">
        <v>191</v>
      </c>
      <c r="J311">
        <v>73.75</v>
      </c>
      <c r="K311">
        <v>259</v>
      </c>
      <c r="L311">
        <v>0</v>
      </c>
      <c r="M311">
        <v>0</v>
      </c>
      <c r="N311">
        <v>0</v>
      </c>
      <c r="O311">
        <v>0</v>
      </c>
      <c r="P311" t="s">
        <v>192</v>
      </c>
      <c r="Q311" t="s">
        <v>192</v>
      </c>
      <c r="R311">
        <v>1</v>
      </c>
      <c r="S311">
        <v>21</v>
      </c>
      <c r="T311">
        <v>52</v>
      </c>
      <c r="U311">
        <v>0</v>
      </c>
      <c r="V311">
        <v>0</v>
      </c>
      <c r="W311">
        <v>0</v>
      </c>
      <c r="X311" s="367"/>
    </row>
    <row r="312" spans="1:24">
      <c r="A312" t="s">
        <v>7343</v>
      </c>
      <c r="B312" t="s">
        <v>7344</v>
      </c>
      <c r="C312">
        <v>10</v>
      </c>
      <c r="D312">
        <v>347</v>
      </c>
      <c r="E312">
        <v>60956000</v>
      </c>
      <c r="F312">
        <v>168</v>
      </c>
      <c r="G312">
        <v>250</v>
      </c>
      <c r="H312">
        <v>176</v>
      </c>
      <c r="I312">
        <v>8</v>
      </c>
      <c r="J312">
        <v>4.76</v>
      </c>
      <c r="K312">
        <v>176</v>
      </c>
      <c r="L312">
        <v>8</v>
      </c>
      <c r="M312">
        <v>4.76</v>
      </c>
      <c r="N312">
        <v>170</v>
      </c>
      <c r="O312">
        <v>250</v>
      </c>
      <c r="P312" t="s">
        <v>192</v>
      </c>
      <c r="Q312" t="s">
        <v>192</v>
      </c>
      <c r="R312">
        <v>1</v>
      </c>
      <c r="S312">
        <v>4</v>
      </c>
      <c r="T312">
        <v>170</v>
      </c>
      <c r="U312">
        <v>176</v>
      </c>
      <c r="V312">
        <v>440</v>
      </c>
      <c r="W312">
        <v>1</v>
      </c>
      <c r="X312" s="367"/>
    </row>
    <row r="313" spans="1:24">
      <c r="A313" t="s">
        <v>3512</v>
      </c>
      <c r="B313" t="s">
        <v>3513</v>
      </c>
      <c r="C313">
        <v>21</v>
      </c>
      <c r="D313">
        <v>3490</v>
      </c>
      <c r="E313">
        <v>443488000</v>
      </c>
      <c r="F313">
        <v>115</v>
      </c>
      <c r="G313">
        <v>154</v>
      </c>
      <c r="H313">
        <v>124</v>
      </c>
      <c r="I313">
        <v>9</v>
      </c>
      <c r="J313">
        <v>7.83</v>
      </c>
      <c r="K313">
        <v>127</v>
      </c>
      <c r="L313">
        <v>12</v>
      </c>
      <c r="M313">
        <v>10.43</v>
      </c>
      <c r="N313">
        <v>121</v>
      </c>
      <c r="O313">
        <v>155</v>
      </c>
      <c r="P313" t="s">
        <v>192</v>
      </c>
      <c r="Q313" t="s">
        <v>192</v>
      </c>
      <c r="R313">
        <v>1</v>
      </c>
      <c r="S313">
        <v>22</v>
      </c>
      <c r="T313">
        <v>92</v>
      </c>
      <c r="U313">
        <v>124</v>
      </c>
      <c r="V313">
        <v>994</v>
      </c>
      <c r="W313">
        <v>1</v>
      </c>
      <c r="X313" s="367"/>
    </row>
    <row r="314" spans="1:24">
      <c r="A314" t="s">
        <v>7341</v>
      </c>
      <c r="B314" t="s">
        <v>7342</v>
      </c>
      <c r="C314">
        <v>1</v>
      </c>
      <c r="D314">
        <v>100</v>
      </c>
      <c r="E314">
        <v>5000000</v>
      </c>
      <c r="F314">
        <v>37</v>
      </c>
      <c r="G314">
        <v>50</v>
      </c>
      <c r="H314">
        <v>50</v>
      </c>
      <c r="I314">
        <v>13</v>
      </c>
      <c r="J314">
        <v>35.14</v>
      </c>
      <c r="K314">
        <v>50</v>
      </c>
      <c r="L314">
        <v>13</v>
      </c>
      <c r="M314">
        <v>35.14</v>
      </c>
      <c r="N314">
        <v>50</v>
      </c>
      <c r="O314">
        <v>50</v>
      </c>
      <c r="P314" t="s">
        <v>192</v>
      </c>
      <c r="Q314" t="s">
        <v>192</v>
      </c>
      <c r="R314">
        <v>1</v>
      </c>
      <c r="S314">
        <v>50</v>
      </c>
      <c r="T314">
        <v>51</v>
      </c>
      <c r="U314">
        <v>75</v>
      </c>
      <c r="V314">
        <v>500</v>
      </c>
      <c r="W314">
        <v>1</v>
      </c>
      <c r="X314" s="367"/>
    </row>
    <row r="315" spans="1:24">
      <c r="A315" t="s">
        <v>7339</v>
      </c>
      <c r="B315" t="s">
        <v>7340</v>
      </c>
      <c r="C315">
        <v>1</v>
      </c>
      <c r="D315">
        <v>100</v>
      </c>
      <c r="E315">
        <v>3500000</v>
      </c>
      <c r="F315">
        <v>24</v>
      </c>
      <c r="G315">
        <v>35</v>
      </c>
      <c r="H315">
        <v>35</v>
      </c>
      <c r="I315">
        <v>11</v>
      </c>
      <c r="J315">
        <v>45.83</v>
      </c>
      <c r="K315">
        <v>35</v>
      </c>
      <c r="L315">
        <v>11</v>
      </c>
      <c r="M315">
        <v>45.83</v>
      </c>
      <c r="N315">
        <v>35</v>
      </c>
      <c r="O315">
        <v>35</v>
      </c>
      <c r="P315" t="s">
        <v>192</v>
      </c>
      <c r="Q315" t="s">
        <v>192</v>
      </c>
      <c r="R315">
        <v>1</v>
      </c>
      <c r="S315">
        <v>25</v>
      </c>
      <c r="T315">
        <v>13</v>
      </c>
      <c r="U315">
        <v>0</v>
      </c>
      <c r="V315">
        <v>0</v>
      </c>
      <c r="W315">
        <v>0</v>
      </c>
      <c r="X315" s="367"/>
    </row>
    <row r="316" spans="1:24">
      <c r="A316" t="s">
        <v>3514</v>
      </c>
      <c r="B316" t="s">
        <v>3515</v>
      </c>
      <c r="C316">
        <v>0</v>
      </c>
      <c r="D316">
        <v>0</v>
      </c>
      <c r="E316">
        <v>0</v>
      </c>
      <c r="F316">
        <v>55</v>
      </c>
      <c r="G316">
        <v>0</v>
      </c>
      <c r="H316">
        <v>55</v>
      </c>
      <c r="I316">
        <v>0</v>
      </c>
      <c r="J316">
        <v>0</v>
      </c>
      <c r="K316">
        <v>55</v>
      </c>
      <c r="L316">
        <v>0</v>
      </c>
      <c r="M316">
        <v>0</v>
      </c>
      <c r="N316">
        <v>0</v>
      </c>
      <c r="O316">
        <v>0</v>
      </c>
      <c r="P316" t="s">
        <v>192</v>
      </c>
      <c r="Q316" t="s">
        <v>192</v>
      </c>
      <c r="R316">
        <v>1</v>
      </c>
      <c r="S316">
        <v>100</v>
      </c>
      <c r="T316">
        <v>10</v>
      </c>
      <c r="U316">
        <v>40</v>
      </c>
      <c r="V316">
        <v>100</v>
      </c>
      <c r="W316">
        <v>1</v>
      </c>
      <c r="X316" s="367"/>
    </row>
    <row r="317" spans="1:24">
      <c r="A317" t="s">
        <v>3516</v>
      </c>
      <c r="B317" t="s">
        <v>8080</v>
      </c>
      <c r="C317">
        <v>1</v>
      </c>
      <c r="D317">
        <v>30</v>
      </c>
      <c r="E317">
        <v>11370000</v>
      </c>
      <c r="F317">
        <v>360</v>
      </c>
      <c r="G317">
        <v>379</v>
      </c>
      <c r="H317">
        <v>379</v>
      </c>
      <c r="I317">
        <v>19</v>
      </c>
      <c r="J317">
        <v>5.28</v>
      </c>
      <c r="K317">
        <v>379</v>
      </c>
      <c r="L317">
        <v>19</v>
      </c>
      <c r="M317">
        <v>5.28</v>
      </c>
      <c r="N317">
        <v>379</v>
      </c>
      <c r="O317">
        <v>379</v>
      </c>
      <c r="P317" t="s">
        <v>192</v>
      </c>
      <c r="Q317" t="s">
        <v>192</v>
      </c>
      <c r="R317">
        <v>1</v>
      </c>
      <c r="S317">
        <v>70</v>
      </c>
      <c r="T317">
        <v>379</v>
      </c>
      <c r="U317">
        <v>497</v>
      </c>
      <c r="V317">
        <v>100</v>
      </c>
      <c r="W317">
        <v>1</v>
      </c>
      <c r="X317" s="367"/>
    </row>
    <row r="318" spans="1:24">
      <c r="A318" t="s">
        <v>3518</v>
      </c>
      <c r="B318" t="s">
        <v>8081</v>
      </c>
      <c r="C318">
        <v>4</v>
      </c>
      <c r="D318">
        <v>669</v>
      </c>
      <c r="E318">
        <v>253095000</v>
      </c>
      <c r="F318">
        <v>354</v>
      </c>
      <c r="G318">
        <v>355</v>
      </c>
      <c r="H318">
        <v>380</v>
      </c>
      <c r="I318">
        <v>26</v>
      </c>
      <c r="J318">
        <v>7.34</v>
      </c>
      <c r="K318">
        <v>378</v>
      </c>
      <c r="L318">
        <v>24</v>
      </c>
      <c r="M318">
        <v>6.78</v>
      </c>
      <c r="N318">
        <v>355</v>
      </c>
      <c r="O318">
        <v>390</v>
      </c>
      <c r="P318" t="s">
        <v>192</v>
      </c>
      <c r="Q318" t="s">
        <v>192</v>
      </c>
      <c r="R318">
        <v>1</v>
      </c>
      <c r="S318">
        <v>10</v>
      </c>
      <c r="T318">
        <v>370</v>
      </c>
      <c r="U318">
        <v>390</v>
      </c>
      <c r="V318">
        <v>15</v>
      </c>
      <c r="W318">
        <v>1</v>
      </c>
      <c r="X318" s="367"/>
    </row>
    <row r="319" spans="1:24">
      <c r="A319" t="s">
        <v>7609</v>
      </c>
      <c r="B319" t="s">
        <v>8082</v>
      </c>
      <c r="C319">
        <v>1</v>
      </c>
      <c r="D319">
        <v>1</v>
      </c>
      <c r="E319">
        <v>500000</v>
      </c>
      <c r="F319">
        <v>334</v>
      </c>
      <c r="G319">
        <v>500</v>
      </c>
      <c r="H319">
        <v>500</v>
      </c>
      <c r="I319">
        <v>166</v>
      </c>
      <c r="J319">
        <v>49.7</v>
      </c>
      <c r="K319">
        <v>500</v>
      </c>
      <c r="L319">
        <v>166</v>
      </c>
      <c r="M319">
        <v>49.7</v>
      </c>
      <c r="N319">
        <v>500</v>
      </c>
      <c r="O319">
        <v>500</v>
      </c>
      <c r="P319" t="s">
        <v>192</v>
      </c>
      <c r="Q319" t="s">
        <v>192</v>
      </c>
      <c r="R319">
        <v>1</v>
      </c>
      <c r="S319">
        <v>225</v>
      </c>
      <c r="T319">
        <v>231</v>
      </c>
      <c r="U319">
        <v>490</v>
      </c>
      <c r="V319">
        <v>75</v>
      </c>
      <c r="W319">
        <v>1</v>
      </c>
      <c r="X319" s="367"/>
    </row>
    <row r="320" spans="1:24">
      <c r="A320" t="s">
        <v>3520</v>
      </c>
      <c r="B320" t="s">
        <v>8083</v>
      </c>
      <c r="C320">
        <v>16</v>
      </c>
      <c r="D320">
        <v>2160</v>
      </c>
      <c r="E320">
        <v>688667000</v>
      </c>
      <c r="F320">
        <v>289</v>
      </c>
      <c r="G320">
        <v>325</v>
      </c>
      <c r="H320">
        <v>321</v>
      </c>
      <c r="I320">
        <v>32</v>
      </c>
      <c r="J320">
        <v>11.07</v>
      </c>
      <c r="K320">
        <v>319</v>
      </c>
      <c r="L320">
        <v>30</v>
      </c>
      <c r="M320">
        <v>10.38</v>
      </c>
      <c r="N320">
        <v>310</v>
      </c>
      <c r="O320">
        <v>325</v>
      </c>
      <c r="P320" t="s">
        <v>192</v>
      </c>
      <c r="Q320" t="s">
        <v>192</v>
      </c>
      <c r="R320">
        <v>1</v>
      </c>
      <c r="S320">
        <v>500</v>
      </c>
      <c r="T320">
        <v>294</v>
      </c>
      <c r="U320">
        <v>321</v>
      </c>
      <c r="V320">
        <v>307</v>
      </c>
      <c r="W320">
        <v>1</v>
      </c>
      <c r="X320" s="367"/>
    </row>
    <row r="321" spans="1:24">
      <c r="A321" t="s">
        <v>3522</v>
      </c>
      <c r="B321" t="s">
        <v>8084</v>
      </c>
      <c r="C321">
        <v>41</v>
      </c>
      <c r="D321">
        <v>7155</v>
      </c>
      <c r="E321">
        <v>1995994000</v>
      </c>
      <c r="F321">
        <v>255</v>
      </c>
      <c r="G321">
        <v>299</v>
      </c>
      <c r="H321">
        <v>273</v>
      </c>
      <c r="I321">
        <v>18</v>
      </c>
      <c r="J321">
        <v>7.06</v>
      </c>
      <c r="K321">
        <v>279</v>
      </c>
      <c r="L321">
        <v>24</v>
      </c>
      <c r="M321">
        <v>9.41</v>
      </c>
      <c r="N321">
        <v>268</v>
      </c>
      <c r="O321">
        <v>299</v>
      </c>
      <c r="P321" t="s">
        <v>192</v>
      </c>
      <c r="Q321" t="s">
        <v>192</v>
      </c>
      <c r="R321">
        <v>1</v>
      </c>
      <c r="S321">
        <v>1</v>
      </c>
      <c r="T321">
        <v>258</v>
      </c>
      <c r="U321">
        <v>279</v>
      </c>
      <c r="V321">
        <v>710</v>
      </c>
      <c r="W321">
        <v>1</v>
      </c>
      <c r="X321" s="367"/>
    </row>
    <row r="322" spans="1:24">
      <c r="A322" t="s">
        <v>3528</v>
      </c>
      <c r="B322" t="s">
        <v>8085</v>
      </c>
      <c r="C322">
        <v>1592</v>
      </c>
      <c r="D322">
        <v>602951</v>
      </c>
      <c r="E322">
        <v>89187200000</v>
      </c>
      <c r="F322">
        <v>111</v>
      </c>
      <c r="G322">
        <v>159</v>
      </c>
      <c r="H322">
        <v>141</v>
      </c>
      <c r="I322">
        <v>30</v>
      </c>
      <c r="J322">
        <v>27.03</v>
      </c>
      <c r="K322">
        <v>148</v>
      </c>
      <c r="L322">
        <v>37</v>
      </c>
      <c r="M322">
        <v>33.33</v>
      </c>
      <c r="N322">
        <v>138</v>
      </c>
      <c r="O322">
        <v>159</v>
      </c>
      <c r="P322" t="s">
        <v>192</v>
      </c>
      <c r="Q322" t="s">
        <v>192</v>
      </c>
      <c r="R322">
        <v>9</v>
      </c>
      <c r="S322">
        <v>6283</v>
      </c>
      <c r="T322">
        <v>140</v>
      </c>
      <c r="U322">
        <v>142</v>
      </c>
      <c r="V322">
        <v>4851</v>
      </c>
      <c r="W322">
        <v>6</v>
      </c>
      <c r="X322" s="367"/>
    </row>
    <row r="323" spans="1:24">
      <c r="A323" t="s">
        <v>3530</v>
      </c>
      <c r="B323" t="s">
        <v>8086</v>
      </c>
      <c r="C323">
        <v>319</v>
      </c>
      <c r="D323">
        <v>102168</v>
      </c>
      <c r="E323">
        <v>6652002000</v>
      </c>
      <c r="F323">
        <v>39</v>
      </c>
      <c r="G323">
        <v>52</v>
      </c>
      <c r="H323">
        <v>62</v>
      </c>
      <c r="I323">
        <v>23</v>
      </c>
      <c r="J323">
        <v>58.97</v>
      </c>
      <c r="K323">
        <v>65</v>
      </c>
      <c r="L323">
        <v>26</v>
      </c>
      <c r="M323">
        <v>66.67</v>
      </c>
      <c r="N323">
        <v>52</v>
      </c>
      <c r="O323">
        <v>80</v>
      </c>
      <c r="P323" t="s">
        <v>192</v>
      </c>
      <c r="Q323" t="s">
        <v>192</v>
      </c>
      <c r="R323">
        <v>7</v>
      </c>
      <c r="S323">
        <v>6340</v>
      </c>
      <c r="T323">
        <v>61</v>
      </c>
      <c r="U323">
        <v>62</v>
      </c>
      <c r="V323">
        <v>500</v>
      </c>
      <c r="W323">
        <v>1</v>
      </c>
      <c r="X323" s="367"/>
    </row>
    <row r="324" spans="1:24">
      <c r="A324" t="s">
        <v>8087</v>
      </c>
      <c r="B324" t="s">
        <v>8088</v>
      </c>
      <c r="C324">
        <v>3</v>
      </c>
      <c r="D324">
        <v>182</v>
      </c>
      <c r="E324">
        <v>41210000</v>
      </c>
      <c r="F324">
        <v>121</v>
      </c>
      <c r="G324">
        <v>140</v>
      </c>
      <c r="H324">
        <v>270</v>
      </c>
      <c r="I324">
        <v>149</v>
      </c>
      <c r="J324">
        <v>123.14</v>
      </c>
      <c r="K324">
        <v>226</v>
      </c>
      <c r="L324">
        <v>105</v>
      </c>
      <c r="M324">
        <v>86.78</v>
      </c>
      <c r="N324">
        <v>140</v>
      </c>
      <c r="O324">
        <v>270</v>
      </c>
      <c r="P324" t="s">
        <v>192</v>
      </c>
      <c r="Q324" t="s">
        <v>192</v>
      </c>
      <c r="R324">
        <v>1</v>
      </c>
      <c r="S324">
        <v>300</v>
      </c>
      <c r="T324">
        <v>190</v>
      </c>
      <c r="U324">
        <v>270</v>
      </c>
      <c r="V324">
        <v>29</v>
      </c>
      <c r="W324">
        <v>1</v>
      </c>
      <c r="X324" s="367"/>
    </row>
    <row r="325" spans="1:24">
      <c r="A325" t="s">
        <v>8089</v>
      </c>
      <c r="B325" t="s">
        <v>8090</v>
      </c>
      <c r="C325">
        <v>38</v>
      </c>
      <c r="D325">
        <v>13006</v>
      </c>
      <c r="E325">
        <v>2593907000</v>
      </c>
      <c r="F325">
        <v>147</v>
      </c>
      <c r="G325">
        <v>191</v>
      </c>
      <c r="H325">
        <v>190</v>
      </c>
      <c r="I325">
        <v>43</v>
      </c>
      <c r="J325">
        <v>29.25</v>
      </c>
      <c r="K325">
        <v>199</v>
      </c>
      <c r="L325">
        <v>52</v>
      </c>
      <c r="M325">
        <v>35.369999999999997</v>
      </c>
      <c r="N325">
        <v>189</v>
      </c>
      <c r="O325">
        <v>220</v>
      </c>
      <c r="P325" t="s">
        <v>192</v>
      </c>
      <c r="Q325" t="s">
        <v>192</v>
      </c>
      <c r="R325">
        <v>2</v>
      </c>
      <c r="S325">
        <v>225</v>
      </c>
      <c r="T325">
        <v>185</v>
      </c>
      <c r="U325">
        <v>190</v>
      </c>
      <c r="V325">
        <v>346</v>
      </c>
      <c r="W325">
        <v>1</v>
      </c>
      <c r="X325" s="367"/>
    </row>
    <row r="326" spans="1:24">
      <c r="A326" t="s">
        <v>8091</v>
      </c>
      <c r="B326" t="s">
        <v>8092</v>
      </c>
      <c r="C326">
        <v>6</v>
      </c>
      <c r="D326">
        <v>45</v>
      </c>
      <c r="E326">
        <v>7949000</v>
      </c>
      <c r="F326">
        <v>116</v>
      </c>
      <c r="G326">
        <v>120</v>
      </c>
      <c r="H326">
        <v>190</v>
      </c>
      <c r="I326">
        <v>74</v>
      </c>
      <c r="J326">
        <v>63.79</v>
      </c>
      <c r="K326">
        <v>177</v>
      </c>
      <c r="L326">
        <v>61</v>
      </c>
      <c r="M326">
        <v>52.59</v>
      </c>
      <c r="N326">
        <v>120</v>
      </c>
      <c r="O326">
        <v>190</v>
      </c>
      <c r="P326" t="s">
        <v>192</v>
      </c>
      <c r="Q326" t="s">
        <v>192</v>
      </c>
      <c r="R326">
        <v>1</v>
      </c>
      <c r="S326">
        <v>13</v>
      </c>
      <c r="T326">
        <v>142</v>
      </c>
      <c r="U326">
        <v>189</v>
      </c>
      <c r="V326">
        <v>300</v>
      </c>
      <c r="W326">
        <v>1</v>
      </c>
      <c r="X326" s="367"/>
    </row>
    <row r="327" spans="1:24">
      <c r="A327" t="s">
        <v>8093</v>
      </c>
      <c r="B327" t="s">
        <v>8094</v>
      </c>
      <c r="C327">
        <v>5</v>
      </c>
      <c r="D327">
        <v>300</v>
      </c>
      <c r="E327">
        <v>33060000</v>
      </c>
      <c r="F327">
        <v>100</v>
      </c>
      <c r="G327">
        <v>112</v>
      </c>
      <c r="H327">
        <v>110</v>
      </c>
      <c r="I327">
        <v>10</v>
      </c>
      <c r="J327">
        <v>10</v>
      </c>
      <c r="K327">
        <v>110</v>
      </c>
      <c r="L327">
        <v>10</v>
      </c>
      <c r="M327">
        <v>10</v>
      </c>
      <c r="N327">
        <v>110</v>
      </c>
      <c r="O327">
        <v>112</v>
      </c>
      <c r="P327" t="s">
        <v>192</v>
      </c>
      <c r="Q327" t="s">
        <v>192</v>
      </c>
      <c r="R327">
        <v>1</v>
      </c>
      <c r="S327">
        <v>940</v>
      </c>
      <c r="T327">
        <v>110</v>
      </c>
      <c r="U327">
        <v>149</v>
      </c>
      <c r="V327">
        <v>10</v>
      </c>
      <c r="W327">
        <v>1</v>
      </c>
      <c r="X327" s="367"/>
    </row>
    <row r="328" spans="1:24">
      <c r="A328" t="s">
        <v>8095</v>
      </c>
      <c r="B328" t="s">
        <v>8096</v>
      </c>
      <c r="C328">
        <v>2</v>
      </c>
      <c r="D328">
        <v>71</v>
      </c>
      <c r="E328">
        <v>6230000</v>
      </c>
      <c r="F328">
        <v>59</v>
      </c>
      <c r="G328">
        <v>140</v>
      </c>
      <c r="H328">
        <v>87</v>
      </c>
      <c r="I328">
        <v>28</v>
      </c>
      <c r="J328">
        <v>47.46</v>
      </c>
      <c r="K328">
        <v>88</v>
      </c>
      <c r="L328">
        <v>29</v>
      </c>
      <c r="M328">
        <v>49.15</v>
      </c>
      <c r="N328">
        <v>87</v>
      </c>
      <c r="O328">
        <v>140</v>
      </c>
      <c r="P328" t="s">
        <v>192</v>
      </c>
      <c r="Q328" t="s">
        <v>192</v>
      </c>
      <c r="R328">
        <v>2</v>
      </c>
      <c r="S328">
        <v>873</v>
      </c>
      <c r="T328">
        <v>23</v>
      </c>
      <c r="U328">
        <v>79</v>
      </c>
      <c r="V328">
        <v>31</v>
      </c>
      <c r="W328">
        <v>1</v>
      </c>
      <c r="X328" s="367"/>
    </row>
    <row r="329" spans="1:24">
      <c r="A329" t="s">
        <v>3548</v>
      </c>
      <c r="B329" t="s">
        <v>3549</v>
      </c>
      <c r="C329">
        <v>76</v>
      </c>
      <c r="D329">
        <v>15225</v>
      </c>
      <c r="E329">
        <v>3462303000</v>
      </c>
      <c r="F329">
        <v>213</v>
      </c>
      <c r="G329">
        <v>215</v>
      </c>
      <c r="H329">
        <v>230</v>
      </c>
      <c r="I329">
        <v>17</v>
      </c>
      <c r="J329">
        <v>7.98</v>
      </c>
      <c r="K329">
        <v>227</v>
      </c>
      <c r="L329">
        <v>14</v>
      </c>
      <c r="M329">
        <v>6.57</v>
      </c>
      <c r="N329">
        <v>215</v>
      </c>
      <c r="O329">
        <v>232</v>
      </c>
      <c r="P329" t="s">
        <v>192</v>
      </c>
      <c r="Q329" t="s">
        <v>192</v>
      </c>
      <c r="R329">
        <v>1</v>
      </c>
      <c r="S329">
        <v>4</v>
      </c>
      <c r="T329">
        <v>220</v>
      </c>
      <c r="U329">
        <v>231</v>
      </c>
      <c r="V329">
        <v>700</v>
      </c>
      <c r="W329">
        <v>1</v>
      </c>
      <c r="X329" s="367"/>
    </row>
    <row r="330" spans="1:24">
      <c r="A330" t="s">
        <v>3554</v>
      </c>
      <c r="B330" t="s">
        <v>3555</v>
      </c>
      <c r="C330">
        <v>2574</v>
      </c>
      <c r="D330">
        <v>1065691</v>
      </c>
      <c r="E330">
        <v>150691046000</v>
      </c>
      <c r="F330">
        <v>121</v>
      </c>
      <c r="G330">
        <v>137</v>
      </c>
      <c r="H330">
        <v>140</v>
      </c>
      <c r="I330">
        <v>19</v>
      </c>
      <c r="J330">
        <v>15.7</v>
      </c>
      <c r="K330">
        <v>141</v>
      </c>
      <c r="L330">
        <v>20</v>
      </c>
      <c r="M330">
        <v>16.53</v>
      </c>
      <c r="N330">
        <v>137</v>
      </c>
      <c r="O330">
        <v>146</v>
      </c>
      <c r="P330" t="s">
        <v>192</v>
      </c>
      <c r="Q330" t="s">
        <v>192</v>
      </c>
      <c r="R330">
        <v>2</v>
      </c>
      <c r="S330">
        <v>1000</v>
      </c>
      <c r="T330">
        <v>139</v>
      </c>
      <c r="U330">
        <v>139</v>
      </c>
      <c r="V330">
        <v>880</v>
      </c>
      <c r="W330">
        <v>1</v>
      </c>
      <c r="X330" s="367"/>
    </row>
    <row r="331" spans="1:24">
      <c r="A331" t="s">
        <v>3556</v>
      </c>
      <c r="B331" t="s">
        <v>3557</v>
      </c>
      <c r="C331">
        <v>9388</v>
      </c>
      <c r="D331">
        <v>4068053</v>
      </c>
      <c r="E331">
        <v>132929509000</v>
      </c>
      <c r="F331">
        <v>21</v>
      </c>
      <c r="G331">
        <v>32</v>
      </c>
      <c r="H331">
        <v>35</v>
      </c>
      <c r="I331">
        <v>14</v>
      </c>
      <c r="J331">
        <v>66.67</v>
      </c>
      <c r="K331">
        <v>33</v>
      </c>
      <c r="L331">
        <v>12</v>
      </c>
      <c r="M331">
        <v>57.14</v>
      </c>
      <c r="N331">
        <v>28</v>
      </c>
      <c r="O331">
        <v>36</v>
      </c>
      <c r="P331" t="s">
        <v>192</v>
      </c>
      <c r="Q331" t="s">
        <v>192</v>
      </c>
      <c r="R331">
        <v>9</v>
      </c>
      <c r="S331">
        <v>7901</v>
      </c>
      <c r="T331">
        <v>34</v>
      </c>
      <c r="U331">
        <v>36</v>
      </c>
      <c r="V331">
        <v>2000</v>
      </c>
      <c r="W331">
        <v>2</v>
      </c>
      <c r="X331" s="367"/>
    </row>
    <row r="332" spans="1:24">
      <c r="A332" t="s">
        <v>3558</v>
      </c>
      <c r="B332" t="s">
        <v>3559</v>
      </c>
      <c r="C332">
        <v>417</v>
      </c>
      <c r="D332">
        <v>214380</v>
      </c>
      <c r="E332">
        <v>697676000</v>
      </c>
      <c r="F332">
        <v>2</v>
      </c>
      <c r="G332">
        <v>1</v>
      </c>
      <c r="H332">
        <v>4</v>
      </c>
      <c r="I332">
        <v>2</v>
      </c>
      <c r="J332">
        <v>100</v>
      </c>
      <c r="K332">
        <v>3</v>
      </c>
      <c r="L332">
        <v>1</v>
      </c>
      <c r="M332">
        <v>50</v>
      </c>
      <c r="N332">
        <v>1</v>
      </c>
      <c r="O332">
        <v>5</v>
      </c>
      <c r="P332" t="s">
        <v>192</v>
      </c>
      <c r="Q332" t="s">
        <v>192</v>
      </c>
      <c r="R332">
        <v>10</v>
      </c>
      <c r="S332">
        <v>9001</v>
      </c>
      <c r="T332">
        <v>4</v>
      </c>
      <c r="U332">
        <v>5</v>
      </c>
      <c r="V332">
        <v>1000</v>
      </c>
      <c r="W332">
        <v>1</v>
      </c>
      <c r="X332" s="367"/>
    </row>
    <row r="333" spans="1:24">
      <c r="A333" t="s">
        <v>3560</v>
      </c>
      <c r="B333" t="s">
        <v>3561</v>
      </c>
      <c r="C333">
        <v>513</v>
      </c>
      <c r="D333">
        <v>279875</v>
      </c>
      <c r="E333">
        <v>655999000</v>
      </c>
      <c r="F333">
        <v>2</v>
      </c>
      <c r="G333">
        <v>3</v>
      </c>
      <c r="H333">
        <v>2</v>
      </c>
      <c r="I333">
        <v>0</v>
      </c>
      <c r="J333">
        <v>0</v>
      </c>
      <c r="K333">
        <v>2</v>
      </c>
      <c r="L333">
        <v>0</v>
      </c>
      <c r="M333">
        <v>0</v>
      </c>
      <c r="N333">
        <v>1</v>
      </c>
      <c r="O333">
        <v>3</v>
      </c>
      <c r="P333" t="s">
        <v>192</v>
      </c>
      <c r="Q333" t="s">
        <v>192</v>
      </c>
      <c r="R333">
        <v>14</v>
      </c>
      <c r="S333">
        <v>10735</v>
      </c>
      <c r="T333">
        <v>2</v>
      </c>
      <c r="U333">
        <v>3</v>
      </c>
      <c r="V333">
        <v>36054</v>
      </c>
      <c r="W333">
        <v>37</v>
      </c>
      <c r="X333" s="367"/>
    </row>
    <row r="334" spans="1:24">
      <c r="A334" t="s">
        <v>7968</v>
      </c>
      <c r="B334" t="s">
        <v>7969</v>
      </c>
      <c r="C334">
        <v>34</v>
      </c>
      <c r="D334">
        <v>1932</v>
      </c>
      <c r="E334">
        <v>510275000</v>
      </c>
      <c r="F334">
        <v>245</v>
      </c>
      <c r="G334">
        <v>250</v>
      </c>
      <c r="H334">
        <v>264</v>
      </c>
      <c r="I334">
        <v>19</v>
      </c>
      <c r="J334">
        <v>7.76</v>
      </c>
      <c r="K334">
        <v>264</v>
      </c>
      <c r="L334">
        <v>19</v>
      </c>
      <c r="M334">
        <v>7.76</v>
      </c>
      <c r="N334">
        <v>250</v>
      </c>
      <c r="O334">
        <v>273</v>
      </c>
      <c r="P334" t="s">
        <v>192</v>
      </c>
      <c r="Q334" t="s">
        <v>192</v>
      </c>
      <c r="R334">
        <v>2</v>
      </c>
      <c r="S334">
        <v>100</v>
      </c>
      <c r="T334">
        <v>261</v>
      </c>
      <c r="U334">
        <v>267</v>
      </c>
      <c r="V334">
        <v>100</v>
      </c>
      <c r="W334">
        <v>1</v>
      </c>
      <c r="X334" s="367"/>
    </row>
    <row r="335" spans="1:24">
      <c r="A335" t="s">
        <v>7956</v>
      </c>
      <c r="B335" t="s">
        <v>7957</v>
      </c>
      <c r="C335">
        <v>996</v>
      </c>
      <c r="D335">
        <v>312362</v>
      </c>
      <c r="E335">
        <v>38987606000</v>
      </c>
      <c r="F335">
        <v>102</v>
      </c>
      <c r="G335">
        <v>127</v>
      </c>
      <c r="H335">
        <v>126</v>
      </c>
      <c r="I335">
        <v>24</v>
      </c>
      <c r="J335">
        <v>23.53</v>
      </c>
      <c r="K335">
        <v>125</v>
      </c>
      <c r="L335">
        <v>23</v>
      </c>
      <c r="M335">
        <v>22.55</v>
      </c>
      <c r="N335">
        <v>122</v>
      </c>
      <c r="O335">
        <v>128</v>
      </c>
      <c r="P335" t="s">
        <v>192</v>
      </c>
      <c r="Q335" t="s">
        <v>192</v>
      </c>
      <c r="R335">
        <v>1</v>
      </c>
      <c r="S335">
        <v>18</v>
      </c>
      <c r="T335">
        <v>125</v>
      </c>
      <c r="U335">
        <v>126</v>
      </c>
      <c r="V335">
        <v>4029</v>
      </c>
      <c r="W335">
        <v>5</v>
      </c>
      <c r="X335" s="367"/>
    </row>
    <row r="336" spans="1:24">
      <c r="A336" t="s">
        <v>7970</v>
      </c>
      <c r="B336" t="s">
        <v>7971</v>
      </c>
      <c r="C336">
        <v>30</v>
      </c>
      <c r="D336">
        <v>14750</v>
      </c>
      <c r="E336">
        <v>337646000</v>
      </c>
      <c r="F336">
        <v>17</v>
      </c>
      <c r="G336">
        <v>19</v>
      </c>
      <c r="H336">
        <v>27</v>
      </c>
      <c r="I336">
        <v>10</v>
      </c>
      <c r="J336">
        <v>58.82</v>
      </c>
      <c r="K336">
        <v>23</v>
      </c>
      <c r="L336">
        <v>6</v>
      </c>
      <c r="M336">
        <v>35.29</v>
      </c>
      <c r="N336">
        <v>19</v>
      </c>
      <c r="O336">
        <v>27</v>
      </c>
      <c r="P336" t="s">
        <v>192</v>
      </c>
      <c r="Q336" t="s">
        <v>192</v>
      </c>
      <c r="R336">
        <v>1</v>
      </c>
      <c r="S336">
        <v>1000</v>
      </c>
      <c r="T336">
        <v>20</v>
      </c>
      <c r="U336">
        <v>29</v>
      </c>
      <c r="V336">
        <v>1800</v>
      </c>
      <c r="W336">
        <v>2</v>
      </c>
      <c r="X336" s="367"/>
    </row>
    <row r="337" spans="1:24">
      <c r="A337" t="s">
        <v>7972</v>
      </c>
      <c r="B337" t="s">
        <v>7973</v>
      </c>
      <c r="C337">
        <v>59</v>
      </c>
      <c r="D337">
        <v>26795</v>
      </c>
      <c r="E337">
        <v>475395000</v>
      </c>
      <c r="F337">
        <v>15</v>
      </c>
      <c r="G337">
        <v>15</v>
      </c>
      <c r="H337">
        <v>16</v>
      </c>
      <c r="I337">
        <v>1</v>
      </c>
      <c r="J337">
        <v>6.67</v>
      </c>
      <c r="K337">
        <v>18</v>
      </c>
      <c r="L337">
        <v>3</v>
      </c>
      <c r="M337">
        <v>20</v>
      </c>
      <c r="N337">
        <v>15</v>
      </c>
      <c r="O337">
        <v>20</v>
      </c>
      <c r="P337" t="s">
        <v>192</v>
      </c>
      <c r="Q337" t="s">
        <v>192</v>
      </c>
      <c r="R337">
        <v>1</v>
      </c>
      <c r="S337">
        <v>166</v>
      </c>
      <c r="T337">
        <v>16</v>
      </c>
      <c r="U337">
        <v>20</v>
      </c>
      <c r="V337">
        <v>2670</v>
      </c>
      <c r="W337">
        <v>5</v>
      </c>
      <c r="X337" s="367"/>
    </row>
    <row r="338" spans="1:24">
      <c r="A338" t="s">
        <v>8315</v>
      </c>
      <c r="B338" t="s">
        <v>8316</v>
      </c>
      <c r="C338">
        <v>15</v>
      </c>
      <c r="D338">
        <v>389</v>
      </c>
      <c r="E338">
        <v>100498000</v>
      </c>
      <c r="F338">
        <v>299</v>
      </c>
      <c r="G338">
        <v>299</v>
      </c>
      <c r="H338">
        <v>253</v>
      </c>
      <c r="I338">
        <v>-46</v>
      </c>
      <c r="J338">
        <v>-15.38</v>
      </c>
      <c r="K338">
        <v>258</v>
      </c>
      <c r="L338">
        <v>-41</v>
      </c>
      <c r="M338">
        <v>-13.71</v>
      </c>
      <c r="N338">
        <v>250</v>
      </c>
      <c r="O338">
        <v>299</v>
      </c>
      <c r="P338" t="s">
        <v>192</v>
      </c>
      <c r="Q338" t="s">
        <v>192</v>
      </c>
      <c r="R338">
        <v>1</v>
      </c>
      <c r="S338">
        <v>11</v>
      </c>
      <c r="T338">
        <v>252</v>
      </c>
      <c r="U338">
        <v>0</v>
      </c>
      <c r="V338">
        <v>0</v>
      </c>
      <c r="W338">
        <v>0</v>
      </c>
      <c r="X338" s="367"/>
    </row>
    <row r="339" spans="1:24">
      <c r="A339" t="s">
        <v>8319</v>
      </c>
      <c r="B339" t="s">
        <v>8320</v>
      </c>
      <c r="C339">
        <v>1</v>
      </c>
      <c r="D339">
        <v>1</v>
      </c>
      <c r="E339">
        <v>172000</v>
      </c>
      <c r="F339">
        <v>173</v>
      </c>
      <c r="G339">
        <v>172</v>
      </c>
      <c r="H339">
        <v>172</v>
      </c>
      <c r="I339">
        <v>-1</v>
      </c>
      <c r="J339">
        <v>-0.57999999999999996</v>
      </c>
      <c r="K339">
        <v>172</v>
      </c>
      <c r="L339">
        <v>-1</v>
      </c>
      <c r="M339">
        <v>-0.57999999999999996</v>
      </c>
      <c r="N339">
        <v>172</v>
      </c>
      <c r="O339">
        <v>172</v>
      </c>
      <c r="P339" t="s">
        <v>192</v>
      </c>
      <c r="Q339" t="s">
        <v>192</v>
      </c>
      <c r="R339">
        <v>1</v>
      </c>
      <c r="S339">
        <v>3</v>
      </c>
      <c r="T339">
        <v>172</v>
      </c>
      <c r="U339">
        <v>218</v>
      </c>
      <c r="V339">
        <v>50</v>
      </c>
      <c r="W339">
        <v>1</v>
      </c>
      <c r="X339" s="367"/>
    </row>
    <row r="340" spans="1:24">
      <c r="A340" t="s">
        <v>8321</v>
      </c>
      <c r="B340" t="s">
        <v>8322</v>
      </c>
      <c r="C340">
        <v>173</v>
      </c>
      <c r="D340">
        <v>43795</v>
      </c>
      <c r="E340">
        <v>5314216000</v>
      </c>
      <c r="F340">
        <v>105</v>
      </c>
      <c r="G340">
        <v>145</v>
      </c>
      <c r="H340">
        <v>120</v>
      </c>
      <c r="I340">
        <v>15</v>
      </c>
      <c r="J340">
        <v>14.29</v>
      </c>
      <c r="K340">
        <v>121</v>
      </c>
      <c r="L340">
        <v>16</v>
      </c>
      <c r="M340">
        <v>15.24</v>
      </c>
      <c r="N340">
        <v>115</v>
      </c>
      <c r="O340">
        <v>145</v>
      </c>
      <c r="P340" t="s">
        <v>192</v>
      </c>
      <c r="Q340" t="s">
        <v>192</v>
      </c>
      <c r="R340">
        <v>1</v>
      </c>
      <c r="S340">
        <v>1000</v>
      </c>
      <c r="T340">
        <v>111</v>
      </c>
      <c r="U340">
        <v>120</v>
      </c>
      <c r="V340">
        <v>4778</v>
      </c>
      <c r="W340">
        <v>5</v>
      </c>
      <c r="X340" s="367"/>
    </row>
    <row r="341" spans="1:24">
      <c r="A341" t="s">
        <v>8323</v>
      </c>
      <c r="B341" t="s">
        <v>8324</v>
      </c>
      <c r="C341">
        <v>16</v>
      </c>
      <c r="D341">
        <v>11110</v>
      </c>
      <c r="E341">
        <v>1275760000</v>
      </c>
      <c r="F341">
        <v>96</v>
      </c>
      <c r="G341">
        <v>118</v>
      </c>
      <c r="H341">
        <v>115</v>
      </c>
      <c r="I341">
        <v>19</v>
      </c>
      <c r="J341">
        <v>19.79</v>
      </c>
      <c r="K341">
        <v>115</v>
      </c>
      <c r="L341">
        <v>19</v>
      </c>
      <c r="M341">
        <v>19.79</v>
      </c>
      <c r="N341">
        <v>105</v>
      </c>
      <c r="O341">
        <v>119</v>
      </c>
      <c r="P341" t="s">
        <v>192</v>
      </c>
      <c r="Q341" t="s">
        <v>192</v>
      </c>
      <c r="R341">
        <v>1</v>
      </c>
      <c r="S341">
        <v>1000</v>
      </c>
      <c r="T341">
        <v>100</v>
      </c>
      <c r="U341">
        <v>0</v>
      </c>
      <c r="V341">
        <v>0</v>
      </c>
      <c r="W341">
        <v>0</v>
      </c>
      <c r="X341" s="367"/>
    </row>
    <row r="342" spans="1:24">
      <c r="A342" t="s">
        <v>8325</v>
      </c>
      <c r="B342" t="s">
        <v>8326</v>
      </c>
      <c r="C342">
        <v>130</v>
      </c>
      <c r="D342">
        <v>26380</v>
      </c>
      <c r="E342">
        <v>2414934000</v>
      </c>
      <c r="F342">
        <v>79</v>
      </c>
      <c r="G342">
        <v>70</v>
      </c>
      <c r="H342">
        <v>93</v>
      </c>
      <c r="I342">
        <v>14</v>
      </c>
      <c r="J342">
        <v>17.72</v>
      </c>
      <c r="K342">
        <v>92</v>
      </c>
      <c r="L342">
        <v>13</v>
      </c>
      <c r="M342">
        <v>16.46</v>
      </c>
      <c r="N342">
        <v>70</v>
      </c>
      <c r="O342">
        <v>98</v>
      </c>
      <c r="P342" t="s">
        <v>192</v>
      </c>
      <c r="Q342" t="s">
        <v>192</v>
      </c>
      <c r="R342">
        <v>1</v>
      </c>
      <c r="S342">
        <v>85</v>
      </c>
      <c r="T342">
        <v>86</v>
      </c>
      <c r="U342">
        <v>0</v>
      </c>
      <c r="V342">
        <v>0</v>
      </c>
      <c r="W342">
        <v>0</v>
      </c>
      <c r="X342" s="367"/>
    </row>
    <row r="343" spans="1:24">
      <c r="A343" t="s">
        <v>8327</v>
      </c>
      <c r="B343" t="s">
        <v>8328</v>
      </c>
      <c r="C343">
        <v>12</v>
      </c>
      <c r="D343">
        <v>6300</v>
      </c>
      <c r="E343">
        <v>418400000</v>
      </c>
      <c r="F343">
        <v>46</v>
      </c>
      <c r="G343">
        <v>68</v>
      </c>
      <c r="H343">
        <v>70</v>
      </c>
      <c r="I343">
        <v>24</v>
      </c>
      <c r="J343">
        <v>52.17</v>
      </c>
      <c r="K343">
        <v>66</v>
      </c>
      <c r="L343">
        <v>20</v>
      </c>
      <c r="M343">
        <v>43.48</v>
      </c>
      <c r="N343">
        <v>60</v>
      </c>
      <c r="O343">
        <v>70</v>
      </c>
      <c r="P343" t="s">
        <v>192</v>
      </c>
      <c r="Q343" t="s">
        <v>192</v>
      </c>
      <c r="R343">
        <v>1</v>
      </c>
      <c r="S343">
        <v>100</v>
      </c>
      <c r="T343">
        <v>54</v>
      </c>
      <c r="U343">
        <v>70</v>
      </c>
      <c r="V343">
        <v>1399</v>
      </c>
      <c r="W343">
        <v>2</v>
      </c>
      <c r="X343" s="367"/>
    </row>
    <row r="344" spans="1:24">
      <c r="A344" t="s">
        <v>8329</v>
      </c>
      <c r="B344" t="s">
        <v>8330</v>
      </c>
      <c r="C344">
        <v>0</v>
      </c>
      <c r="D344">
        <v>0</v>
      </c>
      <c r="E344">
        <v>0</v>
      </c>
      <c r="F344">
        <v>60</v>
      </c>
      <c r="G344">
        <v>0</v>
      </c>
      <c r="H344">
        <v>60</v>
      </c>
      <c r="I344">
        <v>0</v>
      </c>
      <c r="J344">
        <v>0</v>
      </c>
      <c r="K344">
        <v>60</v>
      </c>
      <c r="L344">
        <v>0</v>
      </c>
      <c r="M344">
        <v>0</v>
      </c>
      <c r="N344">
        <v>0</v>
      </c>
      <c r="O344">
        <v>0</v>
      </c>
      <c r="P344" t="s">
        <v>192</v>
      </c>
      <c r="Q344" t="s">
        <v>192</v>
      </c>
      <c r="R344">
        <v>1</v>
      </c>
      <c r="S344">
        <v>1</v>
      </c>
      <c r="T344">
        <v>33</v>
      </c>
      <c r="U344">
        <v>58</v>
      </c>
      <c r="V344">
        <v>1000</v>
      </c>
      <c r="W344">
        <v>1</v>
      </c>
      <c r="X344" s="367"/>
    </row>
    <row r="345" spans="1:24">
      <c r="A345" t="s">
        <v>8331</v>
      </c>
      <c r="B345" t="s">
        <v>8332</v>
      </c>
      <c r="C345">
        <v>0</v>
      </c>
      <c r="D345">
        <v>0</v>
      </c>
      <c r="E345">
        <v>0</v>
      </c>
      <c r="F345">
        <v>40</v>
      </c>
      <c r="G345">
        <v>0</v>
      </c>
      <c r="H345">
        <v>40</v>
      </c>
      <c r="I345">
        <v>0</v>
      </c>
      <c r="J345">
        <v>0</v>
      </c>
      <c r="K345">
        <v>40</v>
      </c>
      <c r="L345">
        <v>0</v>
      </c>
      <c r="M345">
        <v>0</v>
      </c>
      <c r="N345">
        <v>0</v>
      </c>
      <c r="O345">
        <v>0</v>
      </c>
      <c r="P345" t="s">
        <v>192</v>
      </c>
      <c r="Q345" t="s">
        <v>192</v>
      </c>
      <c r="R345">
        <v>1</v>
      </c>
      <c r="S345">
        <v>12</v>
      </c>
      <c r="T345">
        <v>31</v>
      </c>
      <c r="U345">
        <v>73</v>
      </c>
      <c r="V345">
        <v>30</v>
      </c>
      <c r="W345">
        <v>1</v>
      </c>
      <c r="X345" s="367"/>
    </row>
    <row r="346" spans="1:24">
      <c r="A346" t="s">
        <v>8333</v>
      </c>
      <c r="B346" t="s">
        <v>8334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 t="s">
        <v>192</v>
      </c>
      <c r="Q346" t="s">
        <v>192</v>
      </c>
      <c r="R346">
        <v>1</v>
      </c>
      <c r="S346">
        <v>99</v>
      </c>
      <c r="T346">
        <v>15</v>
      </c>
      <c r="U346">
        <v>0</v>
      </c>
      <c r="V346">
        <v>0</v>
      </c>
      <c r="W346">
        <v>0</v>
      </c>
      <c r="X346" s="367"/>
    </row>
    <row r="347" spans="1:24">
      <c r="A347" t="s">
        <v>3562</v>
      </c>
      <c r="B347" t="s">
        <v>3563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 t="s">
        <v>192</v>
      </c>
      <c r="Q347" t="s">
        <v>192</v>
      </c>
      <c r="R347">
        <v>1</v>
      </c>
      <c r="S347">
        <v>100</v>
      </c>
      <c r="T347">
        <v>1</v>
      </c>
      <c r="U347">
        <v>0</v>
      </c>
      <c r="V347">
        <v>0</v>
      </c>
      <c r="W347">
        <v>0</v>
      </c>
      <c r="X347" s="367"/>
    </row>
    <row r="348" spans="1:24">
      <c r="A348" t="s">
        <v>3566</v>
      </c>
      <c r="B348" t="s">
        <v>3567</v>
      </c>
      <c r="C348">
        <v>1</v>
      </c>
      <c r="D348">
        <v>18</v>
      </c>
      <c r="E348">
        <v>161100000</v>
      </c>
      <c r="F348">
        <v>7634</v>
      </c>
      <c r="G348">
        <v>8950</v>
      </c>
      <c r="H348">
        <v>8950</v>
      </c>
      <c r="I348">
        <v>1316</v>
      </c>
      <c r="J348">
        <v>17.239999999999998</v>
      </c>
      <c r="K348">
        <v>8950</v>
      </c>
      <c r="L348">
        <v>1316</v>
      </c>
      <c r="M348">
        <v>17.239999999999998</v>
      </c>
      <c r="N348">
        <v>8950</v>
      </c>
      <c r="O348">
        <v>8950</v>
      </c>
      <c r="P348" t="s">
        <v>192</v>
      </c>
      <c r="Q348" t="s">
        <v>192</v>
      </c>
      <c r="R348">
        <v>1</v>
      </c>
      <c r="S348">
        <v>1</v>
      </c>
      <c r="T348">
        <v>5000</v>
      </c>
      <c r="U348">
        <v>9750</v>
      </c>
      <c r="V348">
        <v>100</v>
      </c>
      <c r="W348">
        <v>1</v>
      </c>
      <c r="X348" s="367"/>
    </row>
    <row r="349" spans="1:24">
      <c r="A349" t="s">
        <v>3570</v>
      </c>
      <c r="B349" t="s">
        <v>3571</v>
      </c>
      <c r="C349">
        <v>19</v>
      </c>
      <c r="D349">
        <v>1422</v>
      </c>
      <c r="E349">
        <v>4863036000</v>
      </c>
      <c r="F349">
        <v>2288</v>
      </c>
      <c r="G349">
        <v>3488</v>
      </c>
      <c r="H349">
        <v>3311</v>
      </c>
      <c r="I349">
        <v>1023</v>
      </c>
      <c r="J349">
        <v>44.71</v>
      </c>
      <c r="K349">
        <v>3420</v>
      </c>
      <c r="L349">
        <v>1132</v>
      </c>
      <c r="M349">
        <v>49.48</v>
      </c>
      <c r="N349">
        <v>3270</v>
      </c>
      <c r="O349">
        <v>3500</v>
      </c>
      <c r="P349" t="s">
        <v>192</v>
      </c>
      <c r="Q349" t="s">
        <v>192</v>
      </c>
      <c r="R349">
        <v>1</v>
      </c>
      <c r="S349">
        <v>4</v>
      </c>
      <c r="T349">
        <v>3305</v>
      </c>
      <c r="U349">
        <v>0</v>
      </c>
      <c r="V349">
        <v>0</v>
      </c>
      <c r="W349">
        <v>0</v>
      </c>
      <c r="X349" s="367"/>
    </row>
    <row r="350" spans="1:24">
      <c r="A350" t="s">
        <v>3572</v>
      </c>
      <c r="B350" t="s">
        <v>3573</v>
      </c>
      <c r="C350">
        <v>41</v>
      </c>
      <c r="D350">
        <v>3445</v>
      </c>
      <c r="E350">
        <v>7415786000</v>
      </c>
      <c r="F350">
        <v>1591</v>
      </c>
      <c r="G350">
        <v>2500</v>
      </c>
      <c r="H350">
        <v>2049</v>
      </c>
      <c r="I350">
        <v>458</v>
      </c>
      <c r="J350">
        <v>28.79</v>
      </c>
      <c r="K350">
        <v>2153</v>
      </c>
      <c r="L350">
        <v>562</v>
      </c>
      <c r="M350">
        <v>35.32</v>
      </c>
      <c r="N350">
        <v>1957</v>
      </c>
      <c r="O350">
        <v>2500</v>
      </c>
      <c r="P350" t="s">
        <v>192</v>
      </c>
      <c r="Q350" t="s">
        <v>192</v>
      </c>
      <c r="R350">
        <v>1</v>
      </c>
      <c r="S350">
        <v>49</v>
      </c>
      <c r="T350">
        <v>1999</v>
      </c>
      <c r="U350">
        <v>0</v>
      </c>
      <c r="V350">
        <v>0</v>
      </c>
      <c r="W350">
        <v>0</v>
      </c>
      <c r="X350" s="367"/>
    </row>
    <row r="351" spans="1:24">
      <c r="A351" t="s">
        <v>3574</v>
      </c>
      <c r="B351" t="s">
        <v>8570</v>
      </c>
      <c r="C351">
        <v>25</v>
      </c>
      <c r="D351">
        <v>1646</v>
      </c>
      <c r="E351">
        <v>742007000</v>
      </c>
      <c r="F351">
        <v>436</v>
      </c>
      <c r="G351">
        <v>470</v>
      </c>
      <c r="H351">
        <v>445</v>
      </c>
      <c r="I351">
        <v>9</v>
      </c>
      <c r="J351">
        <v>2.06</v>
      </c>
      <c r="K351">
        <v>451</v>
      </c>
      <c r="L351">
        <v>15</v>
      </c>
      <c r="M351">
        <v>3.44</v>
      </c>
      <c r="N351">
        <v>445</v>
      </c>
      <c r="O351">
        <v>470</v>
      </c>
      <c r="P351" t="s">
        <v>192</v>
      </c>
      <c r="Q351" t="s">
        <v>192</v>
      </c>
      <c r="R351">
        <v>1</v>
      </c>
      <c r="S351">
        <v>1000</v>
      </c>
      <c r="T351">
        <v>420</v>
      </c>
      <c r="U351">
        <v>467</v>
      </c>
      <c r="V351">
        <v>50</v>
      </c>
      <c r="W351">
        <v>1</v>
      </c>
      <c r="X351" s="367"/>
    </row>
    <row r="352" spans="1:24">
      <c r="A352" t="s">
        <v>3575</v>
      </c>
      <c r="B352" t="s">
        <v>8581</v>
      </c>
      <c r="C352">
        <v>2</v>
      </c>
      <c r="D352">
        <v>6</v>
      </c>
      <c r="E352">
        <v>2516000</v>
      </c>
      <c r="F352">
        <v>419</v>
      </c>
      <c r="G352">
        <v>419</v>
      </c>
      <c r="H352">
        <v>420</v>
      </c>
      <c r="I352">
        <v>1</v>
      </c>
      <c r="J352">
        <v>0.24</v>
      </c>
      <c r="K352">
        <v>419</v>
      </c>
      <c r="L352">
        <v>0</v>
      </c>
      <c r="M352">
        <v>0</v>
      </c>
      <c r="N352">
        <v>419</v>
      </c>
      <c r="O352">
        <v>420</v>
      </c>
      <c r="P352" t="s">
        <v>192</v>
      </c>
      <c r="Q352" t="s">
        <v>192</v>
      </c>
      <c r="R352">
        <v>1</v>
      </c>
      <c r="S352">
        <v>2</v>
      </c>
      <c r="T352">
        <v>400</v>
      </c>
      <c r="U352">
        <v>450</v>
      </c>
      <c r="V352">
        <v>3</v>
      </c>
      <c r="W352">
        <v>1</v>
      </c>
      <c r="X352" s="367"/>
    </row>
    <row r="353" spans="1:24">
      <c r="A353" t="s">
        <v>3576</v>
      </c>
      <c r="B353" t="s">
        <v>8582</v>
      </c>
      <c r="C353">
        <v>6</v>
      </c>
      <c r="D353">
        <v>1006</v>
      </c>
      <c r="E353">
        <v>407430000</v>
      </c>
      <c r="F353">
        <v>403</v>
      </c>
      <c r="G353">
        <v>405</v>
      </c>
      <c r="H353">
        <v>405</v>
      </c>
      <c r="I353">
        <v>2</v>
      </c>
      <c r="J353">
        <v>0.5</v>
      </c>
      <c r="K353">
        <v>405</v>
      </c>
      <c r="L353">
        <v>2</v>
      </c>
      <c r="M353">
        <v>0.5</v>
      </c>
      <c r="N353">
        <v>405</v>
      </c>
      <c r="O353">
        <v>405</v>
      </c>
      <c r="P353" t="s">
        <v>192</v>
      </c>
      <c r="Q353" t="s">
        <v>192</v>
      </c>
      <c r="R353">
        <v>1</v>
      </c>
      <c r="S353">
        <v>3</v>
      </c>
      <c r="T353">
        <v>342</v>
      </c>
      <c r="U353">
        <v>434</v>
      </c>
      <c r="V353">
        <v>2</v>
      </c>
      <c r="W353">
        <v>1</v>
      </c>
      <c r="X353" s="367"/>
    </row>
    <row r="354" spans="1:24">
      <c r="A354" t="s">
        <v>3577</v>
      </c>
      <c r="B354" t="s">
        <v>8571</v>
      </c>
      <c r="C354">
        <v>0</v>
      </c>
      <c r="D354">
        <v>0</v>
      </c>
      <c r="E354">
        <v>0</v>
      </c>
      <c r="F354">
        <v>389</v>
      </c>
      <c r="G354">
        <v>0</v>
      </c>
      <c r="H354">
        <v>389</v>
      </c>
      <c r="I354">
        <v>0</v>
      </c>
      <c r="J354">
        <v>0</v>
      </c>
      <c r="K354">
        <v>389</v>
      </c>
      <c r="L354">
        <v>0</v>
      </c>
      <c r="M354">
        <v>0</v>
      </c>
      <c r="N354">
        <v>0</v>
      </c>
      <c r="O354">
        <v>0</v>
      </c>
      <c r="P354" t="s">
        <v>192</v>
      </c>
      <c r="Q354" t="s">
        <v>192</v>
      </c>
      <c r="R354">
        <v>1</v>
      </c>
      <c r="S354">
        <v>100</v>
      </c>
      <c r="T354">
        <v>1</v>
      </c>
      <c r="U354">
        <v>3900</v>
      </c>
      <c r="V354">
        <v>19</v>
      </c>
      <c r="W354">
        <v>1</v>
      </c>
      <c r="X354" s="367"/>
    </row>
    <row r="355" spans="1:24">
      <c r="A355" t="s">
        <v>3578</v>
      </c>
      <c r="B355" t="s">
        <v>8572</v>
      </c>
      <c r="C355">
        <v>58</v>
      </c>
      <c r="D355">
        <v>11306</v>
      </c>
      <c r="E355">
        <v>3789457000</v>
      </c>
      <c r="F355">
        <v>318</v>
      </c>
      <c r="G355">
        <v>305</v>
      </c>
      <c r="H355">
        <v>336</v>
      </c>
      <c r="I355">
        <v>18</v>
      </c>
      <c r="J355">
        <v>5.66</v>
      </c>
      <c r="K355">
        <v>335</v>
      </c>
      <c r="L355">
        <v>17</v>
      </c>
      <c r="M355">
        <v>5.35</v>
      </c>
      <c r="N355">
        <v>305</v>
      </c>
      <c r="O355">
        <v>350</v>
      </c>
      <c r="P355" t="s">
        <v>192</v>
      </c>
      <c r="Q355" t="s">
        <v>192</v>
      </c>
      <c r="R355">
        <v>1</v>
      </c>
      <c r="S355">
        <v>1000</v>
      </c>
      <c r="T355">
        <v>339</v>
      </c>
      <c r="U355">
        <v>348</v>
      </c>
      <c r="V355">
        <v>7</v>
      </c>
      <c r="W355">
        <v>1</v>
      </c>
      <c r="X355" s="367"/>
    </row>
    <row r="356" spans="1:24">
      <c r="A356" t="s">
        <v>3579</v>
      </c>
      <c r="B356" t="s">
        <v>8573</v>
      </c>
      <c r="C356">
        <v>13</v>
      </c>
      <c r="D356">
        <v>3140</v>
      </c>
      <c r="E356">
        <v>585810000</v>
      </c>
      <c r="F356">
        <v>180</v>
      </c>
      <c r="G356">
        <v>185</v>
      </c>
      <c r="H356">
        <v>186</v>
      </c>
      <c r="I356">
        <v>6</v>
      </c>
      <c r="J356">
        <v>3.33</v>
      </c>
      <c r="K356">
        <v>187</v>
      </c>
      <c r="L356">
        <v>7</v>
      </c>
      <c r="M356">
        <v>3.89</v>
      </c>
      <c r="N356">
        <v>185</v>
      </c>
      <c r="O356">
        <v>209</v>
      </c>
      <c r="P356" t="s">
        <v>192</v>
      </c>
      <c r="Q356" t="s">
        <v>192</v>
      </c>
      <c r="R356">
        <v>1</v>
      </c>
      <c r="S356">
        <v>200</v>
      </c>
      <c r="T356">
        <v>182</v>
      </c>
      <c r="U356">
        <v>198</v>
      </c>
      <c r="V356">
        <v>33</v>
      </c>
      <c r="W356">
        <v>1</v>
      </c>
      <c r="X356" s="367"/>
    </row>
    <row r="357" spans="1:24">
      <c r="A357" t="s">
        <v>3580</v>
      </c>
      <c r="B357" t="s">
        <v>8574</v>
      </c>
      <c r="C357">
        <v>63</v>
      </c>
      <c r="D357">
        <v>12662</v>
      </c>
      <c r="E357">
        <v>1886326000</v>
      </c>
      <c r="F357">
        <v>132</v>
      </c>
      <c r="G357">
        <v>160</v>
      </c>
      <c r="H357">
        <v>149</v>
      </c>
      <c r="I357">
        <v>17</v>
      </c>
      <c r="J357">
        <v>12.88</v>
      </c>
      <c r="K357">
        <v>149</v>
      </c>
      <c r="L357">
        <v>17</v>
      </c>
      <c r="M357">
        <v>12.88</v>
      </c>
      <c r="N357">
        <v>140</v>
      </c>
      <c r="O357">
        <v>160</v>
      </c>
      <c r="P357" t="s">
        <v>192</v>
      </c>
      <c r="Q357" t="s">
        <v>192</v>
      </c>
      <c r="R357">
        <v>1</v>
      </c>
      <c r="S357">
        <v>995</v>
      </c>
      <c r="T357">
        <v>148</v>
      </c>
      <c r="U357">
        <v>149</v>
      </c>
      <c r="V357">
        <v>49</v>
      </c>
      <c r="W357">
        <v>1</v>
      </c>
      <c r="X357" s="367"/>
    </row>
    <row r="358" spans="1:24">
      <c r="A358" t="s">
        <v>3581</v>
      </c>
      <c r="B358" t="s">
        <v>8575</v>
      </c>
      <c r="C358">
        <v>30</v>
      </c>
      <c r="D358">
        <v>9949</v>
      </c>
      <c r="E358">
        <v>1034325000</v>
      </c>
      <c r="F358">
        <v>85</v>
      </c>
      <c r="G358">
        <v>99</v>
      </c>
      <c r="H358">
        <v>105</v>
      </c>
      <c r="I358">
        <v>20</v>
      </c>
      <c r="J358">
        <v>23.53</v>
      </c>
      <c r="K358">
        <v>104</v>
      </c>
      <c r="L358">
        <v>19</v>
      </c>
      <c r="M358">
        <v>22.35</v>
      </c>
      <c r="N358">
        <v>99</v>
      </c>
      <c r="O358">
        <v>111</v>
      </c>
      <c r="P358" t="s">
        <v>192</v>
      </c>
      <c r="Q358" t="s">
        <v>192</v>
      </c>
      <c r="R358">
        <v>1</v>
      </c>
      <c r="S358">
        <v>100</v>
      </c>
      <c r="T358">
        <v>100</v>
      </c>
      <c r="U358">
        <v>105</v>
      </c>
      <c r="V358">
        <v>980</v>
      </c>
      <c r="W358">
        <v>1</v>
      </c>
      <c r="X358" s="367"/>
    </row>
    <row r="359" spans="1:24">
      <c r="A359" t="s">
        <v>3582</v>
      </c>
      <c r="B359" t="s">
        <v>8576</v>
      </c>
      <c r="C359">
        <v>29</v>
      </c>
      <c r="D359">
        <v>12090</v>
      </c>
      <c r="E359">
        <v>14090000</v>
      </c>
      <c r="F359">
        <v>1</v>
      </c>
      <c r="G359">
        <v>2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2</v>
      </c>
      <c r="P359" t="s">
        <v>192</v>
      </c>
      <c r="Q359" t="s">
        <v>192</v>
      </c>
      <c r="R359">
        <v>0</v>
      </c>
      <c r="S359">
        <v>0</v>
      </c>
      <c r="T359">
        <v>0</v>
      </c>
      <c r="U359">
        <v>1</v>
      </c>
      <c r="V359">
        <v>16614</v>
      </c>
      <c r="W359">
        <v>17</v>
      </c>
      <c r="X359" s="367"/>
    </row>
    <row r="360" spans="1:24">
      <c r="A360" t="s">
        <v>3583</v>
      </c>
      <c r="B360" t="s">
        <v>8577</v>
      </c>
      <c r="C360">
        <v>9</v>
      </c>
      <c r="D360">
        <v>663</v>
      </c>
      <c r="E360">
        <v>327798000</v>
      </c>
      <c r="F360">
        <v>494</v>
      </c>
      <c r="G360">
        <v>494</v>
      </c>
      <c r="H360">
        <v>519</v>
      </c>
      <c r="I360">
        <v>25</v>
      </c>
      <c r="J360">
        <v>5.0599999999999996</v>
      </c>
      <c r="K360">
        <v>494</v>
      </c>
      <c r="L360">
        <v>0</v>
      </c>
      <c r="M360">
        <v>0</v>
      </c>
      <c r="N360">
        <v>494</v>
      </c>
      <c r="O360">
        <v>519</v>
      </c>
      <c r="P360" t="s">
        <v>192</v>
      </c>
      <c r="Q360" t="s">
        <v>192</v>
      </c>
      <c r="R360">
        <v>2</v>
      </c>
      <c r="S360">
        <v>1380</v>
      </c>
      <c r="T360">
        <v>494</v>
      </c>
      <c r="U360">
        <v>540</v>
      </c>
      <c r="V360">
        <v>350</v>
      </c>
      <c r="W360">
        <v>3</v>
      </c>
      <c r="X360" s="367"/>
    </row>
    <row r="361" spans="1:24">
      <c r="A361" t="s">
        <v>3584</v>
      </c>
      <c r="B361" t="s">
        <v>8584</v>
      </c>
      <c r="C361">
        <v>1</v>
      </c>
      <c r="D361">
        <v>7</v>
      </c>
      <c r="E361">
        <v>2800000</v>
      </c>
      <c r="F361">
        <v>327</v>
      </c>
      <c r="G361">
        <v>400</v>
      </c>
      <c r="H361">
        <v>400</v>
      </c>
      <c r="I361">
        <v>73</v>
      </c>
      <c r="J361">
        <v>22.32</v>
      </c>
      <c r="K361">
        <v>400</v>
      </c>
      <c r="L361">
        <v>73</v>
      </c>
      <c r="M361">
        <v>22.32</v>
      </c>
      <c r="N361">
        <v>400</v>
      </c>
      <c r="O361">
        <v>400</v>
      </c>
      <c r="P361" t="s">
        <v>192</v>
      </c>
      <c r="Q361" t="s">
        <v>192</v>
      </c>
      <c r="R361">
        <v>2</v>
      </c>
      <c r="S361">
        <v>460</v>
      </c>
      <c r="T361">
        <v>430</v>
      </c>
      <c r="U361">
        <v>0</v>
      </c>
      <c r="V361">
        <v>0</v>
      </c>
      <c r="W361">
        <v>0</v>
      </c>
      <c r="X361" s="367"/>
    </row>
    <row r="362" spans="1:24">
      <c r="A362" t="s">
        <v>3585</v>
      </c>
      <c r="B362" t="s">
        <v>8585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 t="s">
        <v>192</v>
      </c>
      <c r="Q362" t="s">
        <v>192</v>
      </c>
      <c r="R362">
        <v>1</v>
      </c>
      <c r="S362">
        <v>44</v>
      </c>
      <c r="T362">
        <v>44</v>
      </c>
      <c r="U362">
        <v>0</v>
      </c>
      <c r="V362">
        <v>0</v>
      </c>
      <c r="W362">
        <v>0</v>
      </c>
      <c r="X362" s="367"/>
    </row>
    <row r="363" spans="1:24">
      <c r="A363" t="s">
        <v>3586</v>
      </c>
      <c r="B363" t="s">
        <v>8578</v>
      </c>
      <c r="C363">
        <v>4</v>
      </c>
      <c r="D363">
        <v>30</v>
      </c>
      <c r="E363">
        <v>12940000</v>
      </c>
      <c r="F363">
        <v>360</v>
      </c>
      <c r="G363">
        <v>590</v>
      </c>
      <c r="H363">
        <v>350</v>
      </c>
      <c r="I363">
        <v>-10</v>
      </c>
      <c r="J363">
        <v>-2.78</v>
      </c>
      <c r="K363">
        <v>431</v>
      </c>
      <c r="L363">
        <v>71</v>
      </c>
      <c r="M363">
        <v>19.72</v>
      </c>
      <c r="N363">
        <v>350</v>
      </c>
      <c r="O363">
        <v>590</v>
      </c>
      <c r="P363" t="s">
        <v>192</v>
      </c>
      <c r="Q363" t="s">
        <v>192</v>
      </c>
      <c r="R363">
        <v>1</v>
      </c>
      <c r="S363">
        <v>192</v>
      </c>
      <c r="T363">
        <v>350</v>
      </c>
      <c r="U363">
        <v>447</v>
      </c>
      <c r="V363">
        <v>500</v>
      </c>
      <c r="W363">
        <v>1</v>
      </c>
      <c r="X363" s="367"/>
    </row>
    <row r="364" spans="1:24">
      <c r="A364" t="s">
        <v>3587</v>
      </c>
      <c r="B364" t="s">
        <v>8587</v>
      </c>
      <c r="C364">
        <v>0</v>
      </c>
      <c r="D364">
        <v>0</v>
      </c>
      <c r="E364">
        <v>0</v>
      </c>
      <c r="F364">
        <v>260</v>
      </c>
      <c r="G364">
        <v>0</v>
      </c>
      <c r="H364">
        <v>260</v>
      </c>
      <c r="I364">
        <v>0</v>
      </c>
      <c r="J364">
        <v>0</v>
      </c>
      <c r="K364">
        <v>260</v>
      </c>
      <c r="L364">
        <v>0</v>
      </c>
      <c r="M364">
        <v>0</v>
      </c>
      <c r="N364">
        <v>0</v>
      </c>
      <c r="O364">
        <v>0</v>
      </c>
      <c r="P364" t="s">
        <v>192</v>
      </c>
      <c r="Q364" t="s">
        <v>192</v>
      </c>
      <c r="R364">
        <v>1</v>
      </c>
      <c r="S364">
        <v>1</v>
      </c>
      <c r="T364">
        <v>200</v>
      </c>
      <c r="U364">
        <v>0</v>
      </c>
      <c r="V364">
        <v>0</v>
      </c>
      <c r="W364">
        <v>0</v>
      </c>
      <c r="X364" s="367"/>
    </row>
    <row r="365" spans="1:24">
      <c r="A365" t="s">
        <v>3588</v>
      </c>
      <c r="B365" t="s">
        <v>8588</v>
      </c>
      <c r="C365">
        <v>0</v>
      </c>
      <c r="D365">
        <v>0</v>
      </c>
      <c r="E365">
        <v>0</v>
      </c>
      <c r="F365">
        <v>207</v>
      </c>
      <c r="G365">
        <v>0</v>
      </c>
      <c r="H365">
        <v>215</v>
      </c>
      <c r="I365">
        <v>8</v>
      </c>
      <c r="J365">
        <v>3.86</v>
      </c>
      <c r="K365">
        <v>207</v>
      </c>
      <c r="L365">
        <v>0</v>
      </c>
      <c r="M365">
        <v>0</v>
      </c>
      <c r="N365">
        <v>0</v>
      </c>
      <c r="O365">
        <v>0</v>
      </c>
      <c r="P365" t="s">
        <v>192</v>
      </c>
      <c r="Q365" t="s">
        <v>192</v>
      </c>
      <c r="R365">
        <v>1</v>
      </c>
      <c r="S365">
        <v>1</v>
      </c>
      <c r="T365">
        <v>150</v>
      </c>
      <c r="U365">
        <v>0</v>
      </c>
      <c r="V365">
        <v>0</v>
      </c>
      <c r="W365">
        <v>0</v>
      </c>
      <c r="X365" s="367"/>
    </row>
    <row r="366" spans="1:24">
      <c r="A366" t="s">
        <v>3589</v>
      </c>
      <c r="B366" t="s">
        <v>8589</v>
      </c>
      <c r="C366">
        <v>5</v>
      </c>
      <c r="D366">
        <v>2202</v>
      </c>
      <c r="E366">
        <v>470440000</v>
      </c>
      <c r="F366">
        <v>164</v>
      </c>
      <c r="G366">
        <v>180</v>
      </c>
      <c r="H366">
        <v>220</v>
      </c>
      <c r="I366">
        <v>56</v>
      </c>
      <c r="J366">
        <v>34.15</v>
      </c>
      <c r="K366">
        <v>214</v>
      </c>
      <c r="L366">
        <v>50</v>
      </c>
      <c r="M366">
        <v>30.49</v>
      </c>
      <c r="N366">
        <v>180</v>
      </c>
      <c r="O366">
        <v>220</v>
      </c>
      <c r="P366" t="s">
        <v>192</v>
      </c>
      <c r="Q366" t="s">
        <v>192</v>
      </c>
      <c r="R366">
        <v>1</v>
      </c>
      <c r="S366">
        <v>8</v>
      </c>
      <c r="T366">
        <v>210</v>
      </c>
      <c r="U366">
        <v>220</v>
      </c>
      <c r="V366">
        <v>898</v>
      </c>
      <c r="W366">
        <v>1</v>
      </c>
      <c r="X366" s="367"/>
    </row>
    <row r="367" spans="1:24">
      <c r="A367" t="s">
        <v>3590</v>
      </c>
      <c r="B367" t="s">
        <v>8590</v>
      </c>
      <c r="C367">
        <v>307</v>
      </c>
      <c r="D367">
        <v>82976</v>
      </c>
      <c r="E367">
        <v>8985402000</v>
      </c>
      <c r="F367">
        <v>69</v>
      </c>
      <c r="G367">
        <v>110</v>
      </c>
      <c r="H367">
        <v>108</v>
      </c>
      <c r="I367">
        <v>39</v>
      </c>
      <c r="J367">
        <v>56.52</v>
      </c>
      <c r="K367">
        <v>108</v>
      </c>
      <c r="L367">
        <v>39</v>
      </c>
      <c r="M367">
        <v>56.52</v>
      </c>
      <c r="N367">
        <v>98</v>
      </c>
      <c r="O367">
        <v>140</v>
      </c>
      <c r="P367" t="s">
        <v>192</v>
      </c>
      <c r="Q367" t="s">
        <v>192</v>
      </c>
      <c r="R367">
        <v>1</v>
      </c>
      <c r="S367">
        <v>201</v>
      </c>
      <c r="T367">
        <v>108</v>
      </c>
      <c r="U367">
        <v>114</v>
      </c>
      <c r="V367">
        <v>1000</v>
      </c>
      <c r="W367">
        <v>1</v>
      </c>
      <c r="X367" s="367"/>
    </row>
    <row r="368" spans="1:24">
      <c r="A368" t="s">
        <v>3593</v>
      </c>
      <c r="B368" t="s">
        <v>8338</v>
      </c>
      <c r="C368">
        <v>199</v>
      </c>
      <c r="D368">
        <v>21920</v>
      </c>
      <c r="E368">
        <v>175174375524</v>
      </c>
      <c r="F368">
        <v>5651</v>
      </c>
      <c r="G368">
        <v>5801</v>
      </c>
      <c r="H368">
        <v>5835</v>
      </c>
      <c r="I368">
        <v>184</v>
      </c>
      <c r="J368">
        <v>3.26</v>
      </c>
      <c r="K368">
        <v>5829</v>
      </c>
      <c r="L368">
        <v>178</v>
      </c>
      <c r="M368">
        <v>3.15</v>
      </c>
      <c r="N368">
        <v>5780</v>
      </c>
      <c r="O368">
        <v>5930</v>
      </c>
      <c r="P368" t="s">
        <v>192</v>
      </c>
      <c r="Q368" t="s">
        <v>192</v>
      </c>
      <c r="R368">
        <v>1</v>
      </c>
      <c r="S368">
        <v>1</v>
      </c>
      <c r="T368">
        <v>5781</v>
      </c>
      <c r="U368">
        <v>6570</v>
      </c>
      <c r="V368">
        <v>33</v>
      </c>
      <c r="W368">
        <v>1</v>
      </c>
      <c r="X368" s="367"/>
    </row>
    <row r="369" spans="1:24">
      <c r="A369" t="s">
        <v>3595</v>
      </c>
      <c r="B369" t="s">
        <v>8339</v>
      </c>
      <c r="C369">
        <v>262</v>
      </c>
      <c r="D369">
        <v>33128</v>
      </c>
      <c r="E369">
        <v>231428365971</v>
      </c>
      <c r="F369">
        <v>4935</v>
      </c>
      <c r="G369">
        <v>5073</v>
      </c>
      <c r="H369">
        <v>5013</v>
      </c>
      <c r="I369">
        <v>78</v>
      </c>
      <c r="J369">
        <v>1.58</v>
      </c>
      <c r="K369">
        <v>5095</v>
      </c>
      <c r="L369">
        <v>160</v>
      </c>
      <c r="M369">
        <v>3.24</v>
      </c>
      <c r="N369">
        <v>5013</v>
      </c>
      <c r="O369">
        <v>5200</v>
      </c>
      <c r="P369" t="s">
        <v>192</v>
      </c>
      <c r="Q369" t="s">
        <v>192</v>
      </c>
      <c r="R369">
        <v>1</v>
      </c>
      <c r="S369">
        <v>2</v>
      </c>
      <c r="T369">
        <v>5013</v>
      </c>
      <c r="U369">
        <v>5129</v>
      </c>
      <c r="V369">
        <v>3</v>
      </c>
      <c r="W369">
        <v>1</v>
      </c>
      <c r="X369" s="367"/>
    </row>
    <row r="370" spans="1:24">
      <c r="A370" t="s">
        <v>3597</v>
      </c>
      <c r="B370" t="s">
        <v>8340</v>
      </c>
      <c r="C370">
        <v>1196</v>
      </c>
      <c r="D370">
        <v>68772</v>
      </c>
      <c r="E370">
        <v>204196637175</v>
      </c>
      <c r="F370">
        <v>1997</v>
      </c>
      <c r="G370">
        <v>2156</v>
      </c>
      <c r="H370">
        <v>2169</v>
      </c>
      <c r="I370">
        <v>172</v>
      </c>
      <c r="J370">
        <v>8.61</v>
      </c>
      <c r="K370">
        <v>2166</v>
      </c>
      <c r="L370">
        <v>169</v>
      </c>
      <c r="M370">
        <v>8.4600000000000009</v>
      </c>
      <c r="N370">
        <v>2132</v>
      </c>
      <c r="O370">
        <v>2210</v>
      </c>
      <c r="P370" t="s">
        <v>192</v>
      </c>
      <c r="Q370" t="s">
        <v>192</v>
      </c>
      <c r="R370">
        <v>1</v>
      </c>
      <c r="S370">
        <v>29</v>
      </c>
      <c r="T370">
        <v>2159</v>
      </c>
      <c r="U370">
        <v>2199</v>
      </c>
      <c r="V370">
        <v>5</v>
      </c>
      <c r="W370">
        <v>1</v>
      </c>
      <c r="X370" s="367"/>
    </row>
    <row r="371" spans="1:24">
      <c r="A371" t="s">
        <v>3599</v>
      </c>
      <c r="B371" t="s">
        <v>8341</v>
      </c>
      <c r="C371">
        <v>4277</v>
      </c>
      <c r="D371">
        <v>752557</v>
      </c>
      <c r="E371">
        <v>718177749354</v>
      </c>
      <c r="F371">
        <v>565</v>
      </c>
      <c r="G371">
        <v>700</v>
      </c>
      <c r="H371">
        <v>677</v>
      </c>
      <c r="I371">
        <v>112</v>
      </c>
      <c r="J371">
        <v>19.82</v>
      </c>
      <c r="K371">
        <v>696</v>
      </c>
      <c r="L371">
        <v>131</v>
      </c>
      <c r="M371">
        <v>23.19</v>
      </c>
      <c r="N371">
        <v>677</v>
      </c>
      <c r="O371">
        <v>771</v>
      </c>
      <c r="P371" t="s">
        <v>192</v>
      </c>
      <c r="Q371" t="s">
        <v>192</v>
      </c>
      <c r="R371">
        <v>1</v>
      </c>
      <c r="S371">
        <v>1000</v>
      </c>
      <c r="T371">
        <v>680</v>
      </c>
      <c r="U371">
        <v>680</v>
      </c>
      <c r="V371">
        <v>2348</v>
      </c>
      <c r="W371">
        <v>3</v>
      </c>
      <c r="X371" s="367"/>
    </row>
    <row r="372" spans="1:24">
      <c r="A372" t="s">
        <v>3601</v>
      </c>
      <c r="B372" t="s">
        <v>8342</v>
      </c>
      <c r="C372">
        <v>290</v>
      </c>
      <c r="D372">
        <v>83125</v>
      </c>
      <c r="E372">
        <v>399617709</v>
      </c>
      <c r="F372">
        <v>3</v>
      </c>
      <c r="G372">
        <v>1</v>
      </c>
      <c r="H372">
        <v>12</v>
      </c>
      <c r="I372">
        <v>9</v>
      </c>
      <c r="J372">
        <v>300</v>
      </c>
      <c r="K372">
        <v>4</v>
      </c>
      <c r="L372">
        <v>1</v>
      </c>
      <c r="M372">
        <v>33.33</v>
      </c>
      <c r="N372">
        <v>1</v>
      </c>
      <c r="O372">
        <v>80</v>
      </c>
      <c r="P372" t="s">
        <v>192</v>
      </c>
      <c r="Q372" t="s">
        <v>192</v>
      </c>
      <c r="R372">
        <v>2</v>
      </c>
      <c r="S372">
        <v>858</v>
      </c>
      <c r="T372">
        <v>12</v>
      </c>
      <c r="U372">
        <v>35</v>
      </c>
      <c r="V372">
        <v>50</v>
      </c>
      <c r="W372">
        <v>1</v>
      </c>
      <c r="X372" s="367"/>
    </row>
    <row r="373" spans="1:24">
      <c r="A373" t="s">
        <v>3603</v>
      </c>
      <c r="B373" t="s">
        <v>8343</v>
      </c>
      <c r="C373">
        <v>133</v>
      </c>
      <c r="D373">
        <v>50906</v>
      </c>
      <c r="E373">
        <v>69792126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1</v>
      </c>
      <c r="P373" t="s">
        <v>192</v>
      </c>
      <c r="Q373" t="s">
        <v>192</v>
      </c>
      <c r="R373">
        <v>0</v>
      </c>
      <c r="S373">
        <v>0</v>
      </c>
      <c r="T373">
        <v>0</v>
      </c>
      <c r="U373">
        <v>1</v>
      </c>
      <c r="V373">
        <v>23339</v>
      </c>
      <c r="W373">
        <v>40</v>
      </c>
      <c r="X373" s="367"/>
    </row>
    <row r="374" spans="1:24">
      <c r="A374" t="s">
        <v>3605</v>
      </c>
      <c r="B374" t="s">
        <v>8344</v>
      </c>
      <c r="C374">
        <v>225</v>
      </c>
      <c r="D374">
        <v>2570</v>
      </c>
      <c r="E374">
        <v>33890328933</v>
      </c>
      <c r="F374">
        <v>8783</v>
      </c>
      <c r="G374">
        <v>9449</v>
      </c>
      <c r="H374">
        <v>9592</v>
      </c>
      <c r="I374">
        <v>809</v>
      </c>
      <c r="J374">
        <v>9.2100000000000009</v>
      </c>
      <c r="K374">
        <v>9618</v>
      </c>
      <c r="L374">
        <v>835</v>
      </c>
      <c r="M374">
        <v>9.51</v>
      </c>
      <c r="N374">
        <v>9000</v>
      </c>
      <c r="O374">
        <v>10300</v>
      </c>
      <c r="P374" t="s">
        <v>192</v>
      </c>
      <c r="Q374" t="s">
        <v>192</v>
      </c>
      <c r="R374">
        <v>1</v>
      </c>
      <c r="S374">
        <v>5</v>
      </c>
      <c r="T374">
        <v>9592</v>
      </c>
      <c r="U374">
        <v>9600</v>
      </c>
      <c r="V374">
        <v>228</v>
      </c>
      <c r="W374">
        <v>2</v>
      </c>
      <c r="X374" s="367"/>
    </row>
    <row r="375" spans="1:24">
      <c r="A375" t="s">
        <v>3607</v>
      </c>
      <c r="B375" t="s">
        <v>8346</v>
      </c>
      <c r="C375">
        <v>9</v>
      </c>
      <c r="D375">
        <v>26</v>
      </c>
      <c r="E375">
        <v>279116406</v>
      </c>
      <c r="F375">
        <v>6500</v>
      </c>
      <c r="G375">
        <v>6791</v>
      </c>
      <c r="H375">
        <v>7800</v>
      </c>
      <c r="I375">
        <v>1300</v>
      </c>
      <c r="J375">
        <v>20</v>
      </c>
      <c r="K375">
        <v>7830</v>
      </c>
      <c r="L375">
        <v>1330</v>
      </c>
      <c r="M375">
        <v>20.46</v>
      </c>
      <c r="N375">
        <v>6791</v>
      </c>
      <c r="O375">
        <v>9400</v>
      </c>
      <c r="P375" t="s">
        <v>192</v>
      </c>
      <c r="Q375" t="s">
        <v>192</v>
      </c>
      <c r="R375">
        <v>2</v>
      </c>
      <c r="S375">
        <v>4</v>
      </c>
      <c r="T375">
        <v>7311</v>
      </c>
      <c r="U375">
        <v>7800</v>
      </c>
      <c r="V375">
        <v>2</v>
      </c>
      <c r="W375">
        <v>1</v>
      </c>
      <c r="X375" s="367"/>
    </row>
    <row r="376" spans="1:24">
      <c r="A376" t="s">
        <v>7225</v>
      </c>
      <c r="B376" t="s">
        <v>8347</v>
      </c>
      <c r="C376">
        <v>42</v>
      </c>
      <c r="D376">
        <v>786</v>
      </c>
      <c r="E376">
        <v>6375047175</v>
      </c>
      <c r="F376">
        <v>5054</v>
      </c>
      <c r="G376">
        <v>5499</v>
      </c>
      <c r="H376">
        <v>5900</v>
      </c>
      <c r="I376">
        <v>846</v>
      </c>
      <c r="J376">
        <v>16.739999999999998</v>
      </c>
      <c r="K376">
        <v>5916</v>
      </c>
      <c r="L376">
        <v>862</v>
      </c>
      <c r="M376">
        <v>17.059999999999999</v>
      </c>
      <c r="N376">
        <v>5499</v>
      </c>
      <c r="O376">
        <v>6500</v>
      </c>
      <c r="P376" t="s">
        <v>192</v>
      </c>
      <c r="Q376" t="s">
        <v>192</v>
      </c>
      <c r="R376">
        <v>1</v>
      </c>
      <c r="S376">
        <v>10</v>
      </c>
      <c r="T376">
        <v>5100</v>
      </c>
      <c r="U376">
        <v>6000</v>
      </c>
      <c r="V376">
        <v>50</v>
      </c>
      <c r="W376">
        <v>1</v>
      </c>
      <c r="X376" s="367"/>
    </row>
    <row r="377" spans="1:24">
      <c r="A377" t="s">
        <v>3609</v>
      </c>
      <c r="B377" t="s">
        <v>8348</v>
      </c>
      <c r="C377">
        <v>374</v>
      </c>
      <c r="D377">
        <v>10281</v>
      </c>
      <c r="E377">
        <v>61024276638</v>
      </c>
      <c r="F377">
        <v>4086</v>
      </c>
      <c r="G377">
        <v>5300</v>
      </c>
      <c r="H377">
        <v>4240</v>
      </c>
      <c r="I377">
        <v>154</v>
      </c>
      <c r="J377">
        <v>3.77</v>
      </c>
      <c r="K377">
        <v>4329</v>
      </c>
      <c r="L377">
        <v>243</v>
      </c>
      <c r="M377">
        <v>5.95</v>
      </c>
      <c r="N377">
        <v>4107</v>
      </c>
      <c r="O377">
        <v>5300</v>
      </c>
      <c r="P377" t="s">
        <v>192</v>
      </c>
      <c r="Q377" t="s">
        <v>192</v>
      </c>
      <c r="R377">
        <v>1</v>
      </c>
      <c r="S377">
        <v>10</v>
      </c>
      <c r="T377">
        <v>4165</v>
      </c>
      <c r="U377">
        <v>4340</v>
      </c>
      <c r="V377">
        <v>50</v>
      </c>
      <c r="W377">
        <v>1</v>
      </c>
      <c r="X377" s="367"/>
    </row>
    <row r="378" spans="1:24">
      <c r="A378" t="s">
        <v>3611</v>
      </c>
      <c r="B378" t="s">
        <v>8349</v>
      </c>
      <c r="C378">
        <v>828</v>
      </c>
      <c r="D378">
        <v>20183</v>
      </c>
      <c r="E378">
        <v>101029254603</v>
      </c>
      <c r="F378">
        <v>3345</v>
      </c>
      <c r="G378">
        <v>3300</v>
      </c>
      <c r="H378">
        <v>3310</v>
      </c>
      <c r="I378">
        <v>-35</v>
      </c>
      <c r="J378">
        <v>-1.05</v>
      </c>
      <c r="K378">
        <v>3651</v>
      </c>
      <c r="L378">
        <v>306</v>
      </c>
      <c r="M378">
        <v>9.15</v>
      </c>
      <c r="N378">
        <v>3271</v>
      </c>
      <c r="O378">
        <v>4080</v>
      </c>
      <c r="P378" t="s">
        <v>192</v>
      </c>
      <c r="Q378" t="s">
        <v>192</v>
      </c>
      <c r="R378">
        <v>2</v>
      </c>
      <c r="S378">
        <v>223</v>
      </c>
      <c r="T378">
        <v>3302</v>
      </c>
      <c r="U378">
        <v>3451</v>
      </c>
      <c r="V378">
        <v>131</v>
      </c>
      <c r="W378">
        <v>1</v>
      </c>
      <c r="X378" s="367"/>
    </row>
    <row r="379" spans="1:24">
      <c r="A379" t="s">
        <v>3613</v>
      </c>
      <c r="B379" t="s">
        <v>8448</v>
      </c>
      <c r="C379">
        <v>118</v>
      </c>
      <c r="D379">
        <v>1606</v>
      </c>
      <c r="E379">
        <v>5214747939</v>
      </c>
      <c r="F379">
        <v>1888</v>
      </c>
      <c r="G379">
        <v>2700</v>
      </c>
      <c r="H379">
        <v>2106</v>
      </c>
      <c r="I379">
        <v>218</v>
      </c>
      <c r="J379">
        <v>11.55</v>
      </c>
      <c r="K379">
        <v>2368</v>
      </c>
      <c r="L379">
        <v>480</v>
      </c>
      <c r="M379">
        <v>25.42</v>
      </c>
      <c r="N379">
        <v>2105</v>
      </c>
      <c r="O379">
        <v>2700</v>
      </c>
      <c r="P379" t="s">
        <v>192</v>
      </c>
      <c r="Q379" t="s">
        <v>192</v>
      </c>
      <c r="R379">
        <v>1</v>
      </c>
      <c r="S379">
        <v>6</v>
      </c>
      <c r="T379">
        <v>1700</v>
      </c>
      <c r="U379">
        <v>2250</v>
      </c>
      <c r="V379">
        <v>90</v>
      </c>
      <c r="W379">
        <v>1</v>
      </c>
      <c r="X379" s="367"/>
    </row>
    <row r="380" spans="1:24">
      <c r="A380" t="s">
        <v>3615</v>
      </c>
      <c r="B380" t="s">
        <v>8351</v>
      </c>
      <c r="C380">
        <v>254</v>
      </c>
      <c r="D380">
        <v>9403</v>
      </c>
      <c r="E380">
        <v>13698657717</v>
      </c>
      <c r="F380">
        <v>812</v>
      </c>
      <c r="G380">
        <v>1200</v>
      </c>
      <c r="H380">
        <v>1055</v>
      </c>
      <c r="I380">
        <v>243</v>
      </c>
      <c r="J380">
        <v>29.93</v>
      </c>
      <c r="K380">
        <v>1063</v>
      </c>
      <c r="L380">
        <v>251</v>
      </c>
      <c r="M380">
        <v>30.91</v>
      </c>
      <c r="N380">
        <v>981</v>
      </c>
      <c r="O380">
        <v>1200</v>
      </c>
      <c r="P380" t="s">
        <v>192</v>
      </c>
      <c r="Q380" t="s">
        <v>192</v>
      </c>
      <c r="R380">
        <v>1</v>
      </c>
      <c r="S380">
        <v>160</v>
      </c>
      <c r="T380">
        <v>981</v>
      </c>
      <c r="U380">
        <v>1070</v>
      </c>
      <c r="V380">
        <v>20</v>
      </c>
      <c r="W380">
        <v>1</v>
      </c>
      <c r="X380" s="367"/>
    </row>
    <row r="381" spans="1:24">
      <c r="A381" t="s">
        <v>7850</v>
      </c>
      <c r="B381" t="s">
        <v>7851</v>
      </c>
      <c r="C381">
        <v>2</v>
      </c>
      <c r="D381">
        <v>6</v>
      </c>
      <c r="E381">
        <v>39125000</v>
      </c>
      <c r="F381">
        <v>4713</v>
      </c>
      <c r="G381">
        <v>6000</v>
      </c>
      <c r="H381">
        <v>6625</v>
      </c>
      <c r="I381">
        <v>1912</v>
      </c>
      <c r="J381">
        <v>40.57</v>
      </c>
      <c r="K381">
        <v>6521</v>
      </c>
      <c r="L381">
        <v>1808</v>
      </c>
      <c r="M381">
        <v>38.36</v>
      </c>
      <c r="N381">
        <v>6000</v>
      </c>
      <c r="O381">
        <v>6625</v>
      </c>
      <c r="P381" t="s">
        <v>192</v>
      </c>
      <c r="Q381" t="s">
        <v>192</v>
      </c>
      <c r="R381">
        <v>1</v>
      </c>
      <c r="S381">
        <v>50</v>
      </c>
      <c r="T381">
        <v>4021</v>
      </c>
      <c r="U381">
        <v>0</v>
      </c>
      <c r="V381">
        <v>0</v>
      </c>
      <c r="W381">
        <v>0</v>
      </c>
      <c r="X381" s="367"/>
    </row>
    <row r="382" spans="1:24">
      <c r="A382" t="s">
        <v>7852</v>
      </c>
      <c r="B382" t="s">
        <v>7853</v>
      </c>
      <c r="C382">
        <v>4</v>
      </c>
      <c r="D382">
        <v>9</v>
      </c>
      <c r="E382">
        <v>45700000</v>
      </c>
      <c r="F382">
        <v>4246</v>
      </c>
      <c r="G382">
        <v>5100</v>
      </c>
      <c r="H382">
        <v>5000</v>
      </c>
      <c r="I382">
        <v>754</v>
      </c>
      <c r="J382">
        <v>17.760000000000002</v>
      </c>
      <c r="K382">
        <v>5078</v>
      </c>
      <c r="L382">
        <v>832</v>
      </c>
      <c r="M382">
        <v>19.59</v>
      </c>
      <c r="N382">
        <v>5000</v>
      </c>
      <c r="O382">
        <v>5100</v>
      </c>
      <c r="P382" t="s">
        <v>192</v>
      </c>
      <c r="Q382" t="s">
        <v>192</v>
      </c>
      <c r="R382">
        <v>2</v>
      </c>
      <c r="S382">
        <v>2</v>
      </c>
      <c r="T382">
        <v>4000</v>
      </c>
      <c r="U382">
        <v>6000</v>
      </c>
      <c r="V382">
        <v>2</v>
      </c>
      <c r="W382">
        <v>1</v>
      </c>
      <c r="X382" s="367"/>
    </row>
    <row r="383" spans="1:24">
      <c r="A383" t="s">
        <v>7854</v>
      </c>
      <c r="B383" t="s">
        <v>7855</v>
      </c>
      <c r="C383">
        <v>32</v>
      </c>
      <c r="D383">
        <v>386</v>
      </c>
      <c r="E383">
        <v>1475752000</v>
      </c>
      <c r="F383">
        <v>3240</v>
      </c>
      <c r="G383">
        <v>3145</v>
      </c>
      <c r="H383">
        <v>3895</v>
      </c>
      <c r="I383">
        <v>655</v>
      </c>
      <c r="J383">
        <v>20.22</v>
      </c>
      <c r="K383">
        <v>3823</v>
      </c>
      <c r="L383">
        <v>583</v>
      </c>
      <c r="M383">
        <v>17.989999999999998</v>
      </c>
      <c r="N383">
        <v>3145</v>
      </c>
      <c r="O383">
        <v>3899</v>
      </c>
      <c r="P383" t="s">
        <v>192</v>
      </c>
      <c r="Q383" t="s">
        <v>192</v>
      </c>
      <c r="R383">
        <v>1</v>
      </c>
      <c r="S383">
        <v>1</v>
      </c>
      <c r="T383">
        <v>3600</v>
      </c>
      <c r="U383">
        <v>3899</v>
      </c>
      <c r="V383">
        <v>30</v>
      </c>
      <c r="W383">
        <v>1</v>
      </c>
      <c r="X383" s="367"/>
    </row>
    <row r="384" spans="1:24">
      <c r="A384" t="s">
        <v>7858</v>
      </c>
      <c r="B384" t="s">
        <v>7859</v>
      </c>
      <c r="C384">
        <v>8</v>
      </c>
      <c r="D384">
        <v>44</v>
      </c>
      <c r="E384">
        <v>106600000</v>
      </c>
      <c r="F384">
        <v>1897</v>
      </c>
      <c r="G384">
        <v>2400</v>
      </c>
      <c r="H384">
        <v>2300</v>
      </c>
      <c r="I384">
        <v>403</v>
      </c>
      <c r="J384">
        <v>21.24</v>
      </c>
      <c r="K384">
        <v>2423</v>
      </c>
      <c r="L384">
        <v>526</v>
      </c>
      <c r="M384">
        <v>27.73</v>
      </c>
      <c r="N384">
        <v>2300</v>
      </c>
      <c r="O384">
        <v>2500</v>
      </c>
      <c r="P384" t="s">
        <v>192</v>
      </c>
      <c r="Q384" t="s">
        <v>192</v>
      </c>
      <c r="R384">
        <v>1</v>
      </c>
      <c r="S384">
        <v>9</v>
      </c>
      <c r="T384">
        <v>2300</v>
      </c>
      <c r="U384">
        <v>2830</v>
      </c>
      <c r="V384">
        <v>7</v>
      </c>
      <c r="W384">
        <v>1</v>
      </c>
      <c r="X384" s="367"/>
    </row>
    <row r="385" spans="1:24">
      <c r="A385" t="s">
        <v>7860</v>
      </c>
      <c r="B385" t="s">
        <v>7861</v>
      </c>
      <c r="C385">
        <v>13</v>
      </c>
      <c r="D385">
        <v>50</v>
      </c>
      <c r="E385">
        <v>103132000</v>
      </c>
      <c r="F385">
        <v>1413</v>
      </c>
      <c r="G385">
        <v>2170</v>
      </c>
      <c r="H385">
        <v>1600</v>
      </c>
      <c r="I385">
        <v>187</v>
      </c>
      <c r="J385">
        <v>13.23</v>
      </c>
      <c r="K385">
        <v>2063</v>
      </c>
      <c r="L385">
        <v>650</v>
      </c>
      <c r="M385">
        <v>46</v>
      </c>
      <c r="N385">
        <v>1350</v>
      </c>
      <c r="O385">
        <v>2170</v>
      </c>
      <c r="P385" t="s">
        <v>192</v>
      </c>
      <c r="Q385" t="s">
        <v>192</v>
      </c>
      <c r="R385">
        <v>1</v>
      </c>
      <c r="S385">
        <v>3</v>
      </c>
      <c r="T385">
        <v>1600</v>
      </c>
      <c r="U385">
        <v>2000</v>
      </c>
      <c r="V385">
        <v>1</v>
      </c>
      <c r="W385">
        <v>1</v>
      </c>
      <c r="X385" s="367"/>
    </row>
    <row r="386" spans="1:24">
      <c r="A386" t="s">
        <v>7864</v>
      </c>
      <c r="B386" t="s">
        <v>7865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 t="s">
        <v>192</v>
      </c>
      <c r="Q386" t="s">
        <v>192</v>
      </c>
      <c r="R386">
        <v>1</v>
      </c>
      <c r="S386">
        <v>25</v>
      </c>
      <c r="T386">
        <v>400</v>
      </c>
      <c r="U386">
        <v>1990</v>
      </c>
      <c r="V386">
        <v>10</v>
      </c>
      <c r="W386">
        <v>1</v>
      </c>
      <c r="X386" s="367"/>
    </row>
    <row r="387" spans="1:24">
      <c r="A387" t="s">
        <v>7866</v>
      </c>
      <c r="B387" t="s">
        <v>7867</v>
      </c>
      <c r="C387">
        <v>3</v>
      </c>
      <c r="D387">
        <v>13</v>
      </c>
      <c r="E387">
        <v>18190000</v>
      </c>
      <c r="F387">
        <v>1390</v>
      </c>
      <c r="G387">
        <v>1390</v>
      </c>
      <c r="H387">
        <v>1410</v>
      </c>
      <c r="I387">
        <v>20</v>
      </c>
      <c r="J387">
        <v>1.44</v>
      </c>
      <c r="K387">
        <v>1399</v>
      </c>
      <c r="L387">
        <v>9</v>
      </c>
      <c r="M387">
        <v>0.65</v>
      </c>
      <c r="N387">
        <v>1390</v>
      </c>
      <c r="O387">
        <v>1410</v>
      </c>
      <c r="P387" t="s">
        <v>192</v>
      </c>
      <c r="Q387" t="s">
        <v>192</v>
      </c>
      <c r="R387">
        <v>1</v>
      </c>
      <c r="S387">
        <v>100</v>
      </c>
      <c r="T387">
        <v>141</v>
      </c>
      <c r="U387">
        <v>1970</v>
      </c>
      <c r="V387">
        <v>10</v>
      </c>
      <c r="W387">
        <v>1</v>
      </c>
      <c r="X387" s="367"/>
    </row>
    <row r="388" spans="1:24">
      <c r="A388" t="s">
        <v>7872</v>
      </c>
      <c r="B388" t="s">
        <v>7873</v>
      </c>
      <c r="C388">
        <v>5</v>
      </c>
      <c r="D388">
        <v>191</v>
      </c>
      <c r="E388">
        <v>60433000</v>
      </c>
      <c r="F388">
        <v>298</v>
      </c>
      <c r="G388">
        <v>314</v>
      </c>
      <c r="H388">
        <v>320</v>
      </c>
      <c r="I388">
        <v>22</v>
      </c>
      <c r="J388">
        <v>7.38</v>
      </c>
      <c r="K388">
        <v>316</v>
      </c>
      <c r="L388">
        <v>18</v>
      </c>
      <c r="M388">
        <v>6.04</v>
      </c>
      <c r="N388">
        <v>313</v>
      </c>
      <c r="O388">
        <v>460</v>
      </c>
      <c r="P388" t="s">
        <v>192</v>
      </c>
      <c r="Q388" t="s">
        <v>192</v>
      </c>
      <c r="R388">
        <v>1</v>
      </c>
      <c r="S388">
        <v>1</v>
      </c>
      <c r="T388">
        <v>333</v>
      </c>
      <c r="U388">
        <v>440</v>
      </c>
      <c r="V388">
        <v>183</v>
      </c>
      <c r="W388">
        <v>3</v>
      </c>
      <c r="X388" s="367"/>
    </row>
    <row r="389" spans="1:24">
      <c r="A389" t="s">
        <v>7375</v>
      </c>
      <c r="B389" t="s">
        <v>7881</v>
      </c>
      <c r="C389">
        <v>14</v>
      </c>
      <c r="D389">
        <v>247</v>
      </c>
      <c r="E389">
        <v>1558086000</v>
      </c>
      <c r="F389">
        <v>5013</v>
      </c>
      <c r="G389">
        <v>5050</v>
      </c>
      <c r="H389">
        <v>6399</v>
      </c>
      <c r="I389">
        <v>1386</v>
      </c>
      <c r="J389">
        <v>27.65</v>
      </c>
      <c r="K389">
        <v>6308</v>
      </c>
      <c r="L389">
        <v>1295</v>
      </c>
      <c r="M389">
        <v>25.83</v>
      </c>
      <c r="N389">
        <v>5050</v>
      </c>
      <c r="O389">
        <v>6399</v>
      </c>
      <c r="P389" t="s">
        <v>192</v>
      </c>
      <c r="Q389" t="s">
        <v>192</v>
      </c>
      <c r="R389">
        <v>1</v>
      </c>
      <c r="S389">
        <v>1</v>
      </c>
      <c r="T389">
        <v>5206</v>
      </c>
      <c r="U389">
        <v>6397</v>
      </c>
      <c r="V389">
        <v>3</v>
      </c>
      <c r="W389">
        <v>1</v>
      </c>
      <c r="X389" s="367"/>
    </row>
    <row r="390" spans="1:24">
      <c r="A390" t="s">
        <v>3631</v>
      </c>
      <c r="B390" t="s">
        <v>3632</v>
      </c>
      <c r="C390">
        <v>15</v>
      </c>
      <c r="D390">
        <v>118</v>
      </c>
      <c r="E390">
        <v>1540291000</v>
      </c>
      <c r="F390">
        <v>10753</v>
      </c>
      <c r="G390">
        <v>11619</v>
      </c>
      <c r="H390">
        <v>13000</v>
      </c>
      <c r="I390">
        <v>2247</v>
      </c>
      <c r="J390">
        <v>20.9</v>
      </c>
      <c r="K390">
        <v>13053</v>
      </c>
      <c r="L390">
        <v>2300</v>
      </c>
      <c r="M390">
        <v>21.39</v>
      </c>
      <c r="N390">
        <v>11610</v>
      </c>
      <c r="O390">
        <v>13688</v>
      </c>
      <c r="P390" t="s">
        <v>192</v>
      </c>
      <c r="Q390" t="s">
        <v>192</v>
      </c>
      <c r="R390">
        <v>1</v>
      </c>
      <c r="S390">
        <v>1</v>
      </c>
      <c r="T390">
        <v>12010</v>
      </c>
      <c r="U390">
        <v>0</v>
      </c>
      <c r="V390">
        <v>0</v>
      </c>
      <c r="W390">
        <v>0</v>
      </c>
      <c r="X390" s="367"/>
    </row>
    <row r="391" spans="1:24">
      <c r="A391" t="s">
        <v>3633</v>
      </c>
      <c r="B391" t="s">
        <v>3634</v>
      </c>
      <c r="C391">
        <v>3</v>
      </c>
      <c r="D391">
        <v>8</v>
      </c>
      <c r="E391">
        <v>92440000</v>
      </c>
      <c r="F391">
        <v>9624</v>
      </c>
      <c r="G391">
        <v>11555</v>
      </c>
      <c r="H391">
        <v>11555</v>
      </c>
      <c r="I391">
        <v>1931</v>
      </c>
      <c r="J391">
        <v>20.059999999999999</v>
      </c>
      <c r="K391">
        <v>11555</v>
      </c>
      <c r="L391">
        <v>1931</v>
      </c>
      <c r="M391">
        <v>20.059999999999999</v>
      </c>
      <c r="N391">
        <v>11555</v>
      </c>
      <c r="O391">
        <v>11555</v>
      </c>
      <c r="P391" t="s">
        <v>192</v>
      </c>
      <c r="Q391" t="s">
        <v>192</v>
      </c>
      <c r="R391">
        <v>1</v>
      </c>
      <c r="S391">
        <v>24</v>
      </c>
      <c r="T391">
        <v>7601</v>
      </c>
      <c r="U391">
        <v>0</v>
      </c>
      <c r="V391">
        <v>0</v>
      </c>
      <c r="W391">
        <v>0</v>
      </c>
      <c r="X391" s="367"/>
    </row>
    <row r="392" spans="1:24">
      <c r="A392" t="s">
        <v>3635</v>
      </c>
      <c r="B392" t="s">
        <v>3636</v>
      </c>
      <c r="C392">
        <v>2</v>
      </c>
      <c r="D392">
        <v>4</v>
      </c>
      <c r="E392">
        <v>40055000</v>
      </c>
      <c r="F392">
        <v>9464</v>
      </c>
      <c r="G392">
        <v>8555</v>
      </c>
      <c r="H392">
        <v>10500</v>
      </c>
      <c r="I392">
        <v>1036</v>
      </c>
      <c r="J392">
        <v>10.95</v>
      </c>
      <c r="K392">
        <v>10014</v>
      </c>
      <c r="L392">
        <v>550</v>
      </c>
      <c r="M392">
        <v>5.81</v>
      </c>
      <c r="N392">
        <v>8555</v>
      </c>
      <c r="O392">
        <v>10500</v>
      </c>
      <c r="P392" t="s">
        <v>192</v>
      </c>
      <c r="Q392" t="s">
        <v>192</v>
      </c>
      <c r="R392">
        <v>1</v>
      </c>
      <c r="S392">
        <v>2</v>
      </c>
      <c r="T392">
        <v>9000</v>
      </c>
      <c r="U392">
        <v>0</v>
      </c>
      <c r="V392">
        <v>0</v>
      </c>
      <c r="W392">
        <v>0</v>
      </c>
      <c r="X392" s="367"/>
    </row>
    <row r="393" spans="1:24">
      <c r="A393" t="s">
        <v>3637</v>
      </c>
      <c r="B393" t="s">
        <v>3638</v>
      </c>
      <c r="C393">
        <v>4</v>
      </c>
      <c r="D393">
        <v>23</v>
      </c>
      <c r="E393">
        <v>87280000</v>
      </c>
      <c r="F393">
        <v>2630</v>
      </c>
      <c r="G393">
        <v>3200</v>
      </c>
      <c r="H393">
        <v>4300</v>
      </c>
      <c r="I393">
        <v>1670</v>
      </c>
      <c r="J393">
        <v>63.5</v>
      </c>
      <c r="K393">
        <v>3795</v>
      </c>
      <c r="L393">
        <v>1165</v>
      </c>
      <c r="M393">
        <v>44.3</v>
      </c>
      <c r="N393">
        <v>3200</v>
      </c>
      <c r="O393">
        <v>4390</v>
      </c>
      <c r="P393" t="s">
        <v>192</v>
      </c>
      <c r="Q393" t="s">
        <v>192</v>
      </c>
      <c r="R393">
        <v>1</v>
      </c>
      <c r="S393">
        <v>15</v>
      </c>
      <c r="T393">
        <v>3333</v>
      </c>
      <c r="U393">
        <v>4299</v>
      </c>
      <c r="V393">
        <v>50</v>
      </c>
      <c r="W393">
        <v>1</v>
      </c>
      <c r="X393" s="367"/>
    </row>
    <row r="394" spans="1:24">
      <c r="A394" t="s">
        <v>3639</v>
      </c>
      <c r="B394" t="s">
        <v>3640</v>
      </c>
      <c r="C394">
        <v>13</v>
      </c>
      <c r="D394">
        <v>95</v>
      </c>
      <c r="E394">
        <v>230991000</v>
      </c>
      <c r="F394">
        <v>1634</v>
      </c>
      <c r="G394">
        <v>2499</v>
      </c>
      <c r="H394">
        <v>2399</v>
      </c>
      <c r="I394">
        <v>765</v>
      </c>
      <c r="J394">
        <v>46.82</v>
      </c>
      <c r="K394">
        <v>2431</v>
      </c>
      <c r="L394">
        <v>797</v>
      </c>
      <c r="M394">
        <v>48.78</v>
      </c>
      <c r="N394">
        <v>2000</v>
      </c>
      <c r="O394">
        <v>2499</v>
      </c>
      <c r="P394" t="s">
        <v>192</v>
      </c>
      <c r="Q394" t="s">
        <v>192</v>
      </c>
      <c r="R394">
        <v>1</v>
      </c>
      <c r="S394">
        <v>1</v>
      </c>
      <c r="T394">
        <v>2133</v>
      </c>
      <c r="U394">
        <v>2500</v>
      </c>
      <c r="V394">
        <v>100</v>
      </c>
      <c r="W394">
        <v>1</v>
      </c>
      <c r="X394" s="367"/>
    </row>
    <row r="395" spans="1:24">
      <c r="A395" t="s">
        <v>8354</v>
      </c>
      <c r="B395" t="s">
        <v>8355</v>
      </c>
      <c r="C395">
        <v>10</v>
      </c>
      <c r="D395">
        <v>169</v>
      </c>
      <c r="E395">
        <v>2194778000</v>
      </c>
      <c r="F395">
        <v>10642</v>
      </c>
      <c r="G395">
        <v>12995</v>
      </c>
      <c r="H395">
        <v>12986</v>
      </c>
      <c r="I395">
        <v>2344</v>
      </c>
      <c r="J395">
        <v>22.03</v>
      </c>
      <c r="K395">
        <v>12987</v>
      </c>
      <c r="L395">
        <v>2345</v>
      </c>
      <c r="M395">
        <v>22.04</v>
      </c>
      <c r="N395">
        <v>12986</v>
      </c>
      <c r="O395">
        <v>12995</v>
      </c>
      <c r="P395" t="s">
        <v>192</v>
      </c>
      <c r="Q395" t="s">
        <v>192</v>
      </c>
      <c r="R395">
        <v>1</v>
      </c>
      <c r="S395">
        <v>1</v>
      </c>
      <c r="T395">
        <v>10322</v>
      </c>
      <c r="U395">
        <v>13000</v>
      </c>
      <c r="V395">
        <v>1</v>
      </c>
      <c r="W395">
        <v>1</v>
      </c>
      <c r="X395" s="367"/>
    </row>
    <row r="396" spans="1:24">
      <c r="A396" t="s">
        <v>8362</v>
      </c>
      <c r="B396" t="s">
        <v>8363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 t="s">
        <v>192</v>
      </c>
      <c r="Q396" t="s">
        <v>192</v>
      </c>
      <c r="R396">
        <v>1</v>
      </c>
      <c r="S396">
        <v>30</v>
      </c>
      <c r="T396">
        <v>335</v>
      </c>
      <c r="U396">
        <v>0</v>
      </c>
      <c r="V396">
        <v>0</v>
      </c>
      <c r="W396">
        <v>0</v>
      </c>
      <c r="X396" s="367"/>
    </row>
    <row r="397" spans="1:24">
      <c r="A397" t="s">
        <v>8364</v>
      </c>
      <c r="B397" t="s">
        <v>8365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 t="s">
        <v>192</v>
      </c>
      <c r="Q397" t="s">
        <v>192</v>
      </c>
      <c r="R397">
        <v>2</v>
      </c>
      <c r="S397">
        <v>17</v>
      </c>
      <c r="T397">
        <v>1505</v>
      </c>
      <c r="U397">
        <v>5000</v>
      </c>
      <c r="V397">
        <v>10</v>
      </c>
      <c r="W397">
        <v>1</v>
      </c>
      <c r="X397" s="367"/>
    </row>
    <row r="398" spans="1:24">
      <c r="A398" t="s">
        <v>8366</v>
      </c>
      <c r="B398" t="s">
        <v>8367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 t="s">
        <v>192</v>
      </c>
      <c r="Q398" t="s">
        <v>192</v>
      </c>
      <c r="R398">
        <v>1</v>
      </c>
      <c r="S398">
        <v>44</v>
      </c>
      <c r="T398">
        <v>44</v>
      </c>
      <c r="U398">
        <v>3000</v>
      </c>
      <c r="V398">
        <v>10</v>
      </c>
      <c r="W398">
        <v>1</v>
      </c>
      <c r="X398" s="367"/>
    </row>
    <row r="399" spans="1:24">
      <c r="A399" t="s">
        <v>8368</v>
      </c>
      <c r="B399" t="s">
        <v>8369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 t="s">
        <v>192</v>
      </c>
      <c r="Q399" t="s">
        <v>192</v>
      </c>
      <c r="R399">
        <v>1</v>
      </c>
      <c r="S399">
        <v>44</v>
      </c>
      <c r="T399">
        <v>44</v>
      </c>
      <c r="U399">
        <v>2200</v>
      </c>
      <c r="V399">
        <v>10</v>
      </c>
      <c r="W399">
        <v>1</v>
      </c>
      <c r="X399" s="367"/>
    </row>
    <row r="400" spans="1:24">
      <c r="A400" t="s">
        <v>8370</v>
      </c>
      <c r="B400" t="s">
        <v>8371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 t="s">
        <v>192</v>
      </c>
      <c r="Q400" t="s">
        <v>192</v>
      </c>
      <c r="R400">
        <v>1</v>
      </c>
      <c r="S400">
        <v>33</v>
      </c>
      <c r="T400">
        <v>111</v>
      </c>
      <c r="U400">
        <v>1800</v>
      </c>
      <c r="V400">
        <v>10</v>
      </c>
      <c r="W400">
        <v>1</v>
      </c>
      <c r="X400" s="367"/>
    </row>
    <row r="401" spans="1:24">
      <c r="A401" t="s">
        <v>8372</v>
      </c>
      <c r="B401" t="s">
        <v>8373</v>
      </c>
      <c r="C401">
        <v>0</v>
      </c>
      <c r="D401">
        <v>0</v>
      </c>
      <c r="E401">
        <v>0</v>
      </c>
      <c r="F401">
        <v>1000</v>
      </c>
      <c r="G401">
        <v>0</v>
      </c>
      <c r="H401">
        <v>1000</v>
      </c>
      <c r="I401">
        <v>0</v>
      </c>
      <c r="J401">
        <v>0</v>
      </c>
      <c r="K401">
        <v>1000</v>
      </c>
      <c r="L401">
        <v>0</v>
      </c>
      <c r="M401">
        <v>0</v>
      </c>
      <c r="N401">
        <v>0</v>
      </c>
      <c r="O401">
        <v>0</v>
      </c>
      <c r="P401" t="s">
        <v>192</v>
      </c>
      <c r="Q401" t="s">
        <v>192</v>
      </c>
      <c r="R401">
        <v>1</v>
      </c>
      <c r="S401">
        <v>100</v>
      </c>
      <c r="T401">
        <v>1</v>
      </c>
      <c r="U401">
        <v>1497</v>
      </c>
      <c r="V401">
        <v>10</v>
      </c>
      <c r="W401">
        <v>1</v>
      </c>
      <c r="X401" s="367"/>
    </row>
    <row r="402" spans="1:24">
      <c r="A402" t="s">
        <v>3641</v>
      </c>
      <c r="B402" t="s">
        <v>3642</v>
      </c>
      <c r="C402">
        <v>23</v>
      </c>
      <c r="D402">
        <v>2005</v>
      </c>
      <c r="E402">
        <v>383218000</v>
      </c>
      <c r="F402">
        <v>169</v>
      </c>
      <c r="G402">
        <v>120</v>
      </c>
      <c r="H402">
        <v>195</v>
      </c>
      <c r="I402">
        <v>26</v>
      </c>
      <c r="J402">
        <v>15.38</v>
      </c>
      <c r="K402">
        <v>191</v>
      </c>
      <c r="L402">
        <v>22</v>
      </c>
      <c r="M402">
        <v>13.02</v>
      </c>
      <c r="N402">
        <v>120</v>
      </c>
      <c r="O402">
        <v>195</v>
      </c>
      <c r="P402" t="s">
        <v>192</v>
      </c>
      <c r="Q402" t="s">
        <v>192</v>
      </c>
      <c r="R402">
        <v>1</v>
      </c>
      <c r="S402">
        <v>10</v>
      </c>
      <c r="T402">
        <v>180</v>
      </c>
      <c r="U402">
        <v>195</v>
      </c>
      <c r="V402">
        <v>146</v>
      </c>
      <c r="W402">
        <v>1</v>
      </c>
      <c r="X402" s="367"/>
    </row>
    <row r="403" spans="1:24">
      <c r="A403" t="s">
        <v>7485</v>
      </c>
      <c r="B403" t="s">
        <v>7486</v>
      </c>
      <c r="C403">
        <v>0</v>
      </c>
      <c r="D403">
        <v>0</v>
      </c>
      <c r="E403">
        <v>0</v>
      </c>
      <c r="F403">
        <v>154</v>
      </c>
      <c r="G403">
        <v>0</v>
      </c>
      <c r="H403">
        <v>154</v>
      </c>
      <c r="I403">
        <v>0</v>
      </c>
      <c r="J403">
        <v>0</v>
      </c>
      <c r="K403">
        <v>154</v>
      </c>
      <c r="L403">
        <v>0</v>
      </c>
      <c r="M403">
        <v>0</v>
      </c>
      <c r="N403">
        <v>0</v>
      </c>
      <c r="O403">
        <v>0</v>
      </c>
      <c r="P403" t="s">
        <v>192</v>
      </c>
      <c r="Q403" t="s">
        <v>192</v>
      </c>
      <c r="R403">
        <v>1</v>
      </c>
      <c r="S403">
        <v>100</v>
      </c>
      <c r="T403">
        <v>1</v>
      </c>
      <c r="U403">
        <v>200</v>
      </c>
      <c r="V403">
        <v>21</v>
      </c>
      <c r="W403">
        <v>1</v>
      </c>
      <c r="X403" s="367"/>
    </row>
    <row r="404" spans="1:24">
      <c r="A404" t="s">
        <v>7483</v>
      </c>
      <c r="B404" t="s">
        <v>7484</v>
      </c>
      <c r="C404">
        <v>0</v>
      </c>
      <c r="D404">
        <v>0</v>
      </c>
      <c r="E404">
        <v>0</v>
      </c>
      <c r="F404">
        <v>251</v>
      </c>
      <c r="G404">
        <v>0</v>
      </c>
      <c r="H404">
        <v>256</v>
      </c>
      <c r="I404">
        <v>5</v>
      </c>
      <c r="J404">
        <v>1.99</v>
      </c>
      <c r="K404">
        <v>251</v>
      </c>
      <c r="L404">
        <v>0</v>
      </c>
      <c r="M404">
        <v>0</v>
      </c>
      <c r="N404">
        <v>0</v>
      </c>
      <c r="O404">
        <v>0</v>
      </c>
      <c r="P404" t="s">
        <v>192</v>
      </c>
      <c r="Q404" t="s">
        <v>192</v>
      </c>
      <c r="R404">
        <v>2</v>
      </c>
      <c r="S404">
        <v>70</v>
      </c>
      <c r="T404">
        <v>100</v>
      </c>
      <c r="U404">
        <v>0</v>
      </c>
      <c r="V404">
        <v>0</v>
      </c>
      <c r="W404">
        <v>0</v>
      </c>
      <c r="X404" s="367"/>
    </row>
    <row r="405" spans="1:24">
      <c r="A405" t="s">
        <v>3647</v>
      </c>
      <c r="B405" t="s">
        <v>3648</v>
      </c>
      <c r="C405">
        <v>2006</v>
      </c>
      <c r="D405">
        <v>854247</v>
      </c>
      <c r="E405">
        <v>14905116000</v>
      </c>
      <c r="F405">
        <v>11</v>
      </c>
      <c r="G405">
        <v>15</v>
      </c>
      <c r="H405">
        <v>18</v>
      </c>
      <c r="I405">
        <v>7</v>
      </c>
      <c r="J405">
        <v>63.64</v>
      </c>
      <c r="K405">
        <v>17</v>
      </c>
      <c r="L405">
        <v>6</v>
      </c>
      <c r="M405">
        <v>54.55</v>
      </c>
      <c r="N405">
        <v>15</v>
      </c>
      <c r="O405">
        <v>19</v>
      </c>
      <c r="P405" t="s">
        <v>192</v>
      </c>
      <c r="Q405" t="s">
        <v>192</v>
      </c>
      <c r="R405">
        <v>7</v>
      </c>
      <c r="S405">
        <v>5593</v>
      </c>
      <c r="T405">
        <v>17</v>
      </c>
      <c r="U405">
        <v>18</v>
      </c>
      <c r="V405">
        <v>4000</v>
      </c>
      <c r="W405">
        <v>4</v>
      </c>
      <c r="X405" s="367"/>
    </row>
    <row r="406" spans="1:24">
      <c r="A406" t="s">
        <v>3649</v>
      </c>
      <c r="B406" t="s">
        <v>3650</v>
      </c>
      <c r="C406">
        <v>137</v>
      </c>
      <c r="D406">
        <v>64039</v>
      </c>
      <c r="E406">
        <v>218121000</v>
      </c>
      <c r="F406">
        <v>2</v>
      </c>
      <c r="G406">
        <v>3</v>
      </c>
      <c r="H406">
        <v>4</v>
      </c>
      <c r="I406">
        <v>2</v>
      </c>
      <c r="J406">
        <v>100</v>
      </c>
      <c r="K406">
        <v>3</v>
      </c>
      <c r="L406">
        <v>1</v>
      </c>
      <c r="M406">
        <v>50</v>
      </c>
      <c r="N406">
        <v>3</v>
      </c>
      <c r="O406">
        <v>5</v>
      </c>
      <c r="P406" t="s">
        <v>192</v>
      </c>
      <c r="Q406" t="s">
        <v>192</v>
      </c>
      <c r="R406">
        <v>13</v>
      </c>
      <c r="S406">
        <v>12302</v>
      </c>
      <c r="T406">
        <v>3</v>
      </c>
      <c r="U406">
        <v>18</v>
      </c>
      <c r="V406">
        <v>4802</v>
      </c>
      <c r="W406">
        <v>7</v>
      </c>
      <c r="X406" s="367"/>
    </row>
    <row r="407" spans="1:24">
      <c r="A407" t="s">
        <v>3651</v>
      </c>
      <c r="B407" t="s">
        <v>3652</v>
      </c>
      <c r="C407">
        <v>1</v>
      </c>
      <c r="D407">
        <v>1</v>
      </c>
      <c r="E407">
        <v>4000</v>
      </c>
      <c r="F407">
        <v>2</v>
      </c>
      <c r="G407">
        <v>4</v>
      </c>
      <c r="H407">
        <v>4</v>
      </c>
      <c r="I407">
        <v>2</v>
      </c>
      <c r="J407">
        <v>100</v>
      </c>
      <c r="K407">
        <v>4</v>
      </c>
      <c r="L407">
        <v>2</v>
      </c>
      <c r="M407">
        <v>100</v>
      </c>
      <c r="N407">
        <v>4</v>
      </c>
      <c r="O407">
        <v>4</v>
      </c>
      <c r="P407" t="s">
        <v>192</v>
      </c>
      <c r="Q407" t="s">
        <v>192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s="367"/>
    </row>
    <row r="408" spans="1:24">
      <c r="A408" t="s">
        <v>3653</v>
      </c>
      <c r="B408" t="s">
        <v>3654</v>
      </c>
      <c r="C408">
        <v>0</v>
      </c>
      <c r="D408">
        <v>0</v>
      </c>
      <c r="E408">
        <v>0</v>
      </c>
      <c r="F408">
        <v>3</v>
      </c>
      <c r="G408">
        <v>0</v>
      </c>
      <c r="H408">
        <v>3</v>
      </c>
      <c r="I408">
        <v>0</v>
      </c>
      <c r="J408">
        <v>0</v>
      </c>
      <c r="K408">
        <v>3</v>
      </c>
      <c r="L408">
        <v>0</v>
      </c>
      <c r="M408">
        <v>0</v>
      </c>
      <c r="N408">
        <v>0</v>
      </c>
      <c r="O408">
        <v>0</v>
      </c>
      <c r="P408" t="s">
        <v>192</v>
      </c>
      <c r="Q408" t="s">
        <v>192</v>
      </c>
      <c r="R408">
        <v>0</v>
      </c>
      <c r="S408">
        <v>0</v>
      </c>
      <c r="T408">
        <v>0</v>
      </c>
      <c r="U408">
        <v>1</v>
      </c>
      <c r="V408">
        <v>1000</v>
      </c>
      <c r="W408">
        <v>1</v>
      </c>
      <c r="X408" s="367"/>
    </row>
    <row r="409" spans="1:24">
      <c r="A409" t="s">
        <v>3655</v>
      </c>
      <c r="B409" t="s">
        <v>3656</v>
      </c>
      <c r="C409">
        <v>26</v>
      </c>
      <c r="D409">
        <v>1579</v>
      </c>
      <c r="E409">
        <v>232285000</v>
      </c>
      <c r="F409">
        <v>123</v>
      </c>
      <c r="G409">
        <v>150</v>
      </c>
      <c r="H409">
        <v>155</v>
      </c>
      <c r="I409">
        <v>32</v>
      </c>
      <c r="J409">
        <v>26.02</v>
      </c>
      <c r="K409">
        <v>147</v>
      </c>
      <c r="L409">
        <v>24</v>
      </c>
      <c r="M409">
        <v>19.510000000000002</v>
      </c>
      <c r="N409">
        <v>138</v>
      </c>
      <c r="O409">
        <v>155</v>
      </c>
      <c r="P409" t="s">
        <v>192</v>
      </c>
      <c r="Q409" t="s">
        <v>192</v>
      </c>
      <c r="R409">
        <v>1</v>
      </c>
      <c r="S409">
        <v>1000</v>
      </c>
      <c r="T409">
        <v>145</v>
      </c>
      <c r="U409">
        <v>152</v>
      </c>
      <c r="V409">
        <v>172</v>
      </c>
      <c r="W409">
        <v>1</v>
      </c>
      <c r="X409" s="367"/>
    </row>
    <row r="410" spans="1:24">
      <c r="A410" t="s">
        <v>3657</v>
      </c>
      <c r="B410" t="s">
        <v>3658</v>
      </c>
      <c r="C410">
        <v>238</v>
      </c>
      <c r="D410">
        <v>75016</v>
      </c>
      <c r="E410">
        <v>7478263000</v>
      </c>
      <c r="F410">
        <v>78</v>
      </c>
      <c r="G410">
        <v>90</v>
      </c>
      <c r="H410">
        <v>100</v>
      </c>
      <c r="I410">
        <v>22</v>
      </c>
      <c r="J410">
        <v>28.21</v>
      </c>
      <c r="K410">
        <v>100</v>
      </c>
      <c r="L410">
        <v>22</v>
      </c>
      <c r="M410">
        <v>28.21</v>
      </c>
      <c r="N410">
        <v>90</v>
      </c>
      <c r="O410">
        <v>103</v>
      </c>
      <c r="P410" t="s">
        <v>192</v>
      </c>
      <c r="Q410" t="s">
        <v>192</v>
      </c>
      <c r="R410">
        <v>1</v>
      </c>
      <c r="S410">
        <v>200</v>
      </c>
      <c r="T410">
        <v>99</v>
      </c>
      <c r="U410">
        <v>104</v>
      </c>
      <c r="V410">
        <v>110</v>
      </c>
      <c r="W410">
        <v>1</v>
      </c>
      <c r="X410" s="367"/>
    </row>
    <row r="411" spans="1:24">
      <c r="A411" t="s">
        <v>3659</v>
      </c>
      <c r="B411" t="s">
        <v>3660</v>
      </c>
      <c r="C411">
        <v>2055</v>
      </c>
      <c r="D411">
        <v>756217</v>
      </c>
      <c r="E411">
        <v>49511226000</v>
      </c>
      <c r="F411">
        <v>45</v>
      </c>
      <c r="G411">
        <v>52</v>
      </c>
      <c r="H411">
        <v>66</v>
      </c>
      <c r="I411">
        <v>21</v>
      </c>
      <c r="J411">
        <v>46.67</v>
      </c>
      <c r="K411">
        <v>65</v>
      </c>
      <c r="L411">
        <v>20</v>
      </c>
      <c r="M411">
        <v>44.44</v>
      </c>
      <c r="N411">
        <v>52</v>
      </c>
      <c r="O411">
        <v>75</v>
      </c>
      <c r="P411" t="s">
        <v>192</v>
      </c>
      <c r="Q411" t="s">
        <v>192</v>
      </c>
      <c r="R411">
        <v>6</v>
      </c>
      <c r="S411">
        <v>2801</v>
      </c>
      <c r="T411">
        <v>63</v>
      </c>
      <c r="U411">
        <v>66</v>
      </c>
      <c r="V411">
        <v>1661</v>
      </c>
      <c r="W411">
        <v>5</v>
      </c>
      <c r="X411" s="367"/>
    </row>
    <row r="412" spans="1:24">
      <c r="A412" t="s">
        <v>3663</v>
      </c>
      <c r="B412" t="s">
        <v>3664</v>
      </c>
      <c r="C412">
        <v>313</v>
      </c>
      <c r="D412">
        <v>146017</v>
      </c>
      <c r="E412">
        <v>3029698000</v>
      </c>
      <c r="F412">
        <v>15</v>
      </c>
      <c r="G412">
        <v>21</v>
      </c>
      <c r="H412">
        <v>21</v>
      </c>
      <c r="I412">
        <v>6</v>
      </c>
      <c r="J412">
        <v>40</v>
      </c>
      <c r="K412">
        <v>21</v>
      </c>
      <c r="L412">
        <v>6</v>
      </c>
      <c r="M412">
        <v>40</v>
      </c>
      <c r="N412">
        <v>16</v>
      </c>
      <c r="O412">
        <v>23</v>
      </c>
      <c r="P412" t="s">
        <v>192</v>
      </c>
      <c r="Q412" t="s">
        <v>192</v>
      </c>
      <c r="R412">
        <v>1</v>
      </c>
      <c r="S412">
        <v>500</v>
      </c>
      <c r="T412">
        <v>21</v>
      </c>
      <c r="U412">
        <v>24</v>
      </c>
      <c r="V412">
        <v>3000</v>
      </c>
      <c r="W412">
        <v>3</v>
      </c>
      <c r="X412" s="367"/>
    </row>
    <row r="413" spans="1:24">
      <c r="A413" t="s">
        <v>7475</v>
      </c>
      <c r="B413" t="s">
        <v>7476</v>
      </c>
      <c r="C413">
        <v>1</v>
      </c>
      <c r="D413">
        <v>10</v>
      </c>
      <c r="E413">
        <v>190000</v>
      </c>
      <c r="F413">
        <v>19</v>
      </c>
      <c r="G413">
        <v>19</v>
      </c>
      <c r="H413">
        <v>19</v>
      </c>
      <c r="I413">
        <v>0</v>
      </c>
      <c r="J413">
        <v>0</v>
      </c>
      <c r="K413">
        <v>19</v>
      </c>
      <c r="L413">
        <v>0</v>
      </c>
      <c r="M413">
        <v>0</v>
      </c>
      <c r="N413">
        <v>19</v>
      </c>
      <c r="O413">
        <v>19</v>
      </c>
      <c r="P413" t="s">
        <v>192</v>
      </c>
      <c r="Q413" t="s">
        <v>192</v>
      </c>
      <c r="R413">
        <v>1</v>
      </c>
      <c r="S413">
        <v>52</v>
      </c>
      <c r="T413">
        <v>5</v>
      </c>
      <c r="U413">
        <v>28</v>
      </c>
      <c r="V413">
        <v>10</v>
      </c>
      <c r="W413">
        <v>1</v>
      </c>
      <c r="X413" s="367"/>
    </row>
    <row r="414" spans="1:24">
      <c r="A414" t="s">
        <v>7471</v>
      </c>
      <c r="B414" t="s">
        <v>7472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 t="s">
        <v>192</v>
      </c>
      <c r="Q414" t="s">
        <v>192</v>
      </c>
      <c r="R414">
        <v>1</v>
      </c>
      <c r="S414">
        <v>666</v>
      </c>
      <c r="T414">
        <v>3</v>
      </c>
      <c r="U414">
        <v>0</v>
      </c>
      <c r="V414">
        <v>0</v>
      </c>
      <c r="W414">
        <v>0</v>
      </c>
      <c r="X414" s="367"/>
    </row>
    <row r="415" spans="1:24">
      <c r="A415" t="s">
        <v>7469</v>
      </c>
      <c r="B415" t="s">
        <v>7470</v>
      </c>
      <c r="C415">
        <v>2</v>
      </c>
      <c r="D415">
        <v>301</v>
      </c>
      <c r="E415">
        <v>2408000</v>
      </c>
      <c r="F415">
        <v>6</v>
      </c>
      <c r="G415">
        <v>8</v>
      </c>
      <c r="H415">
        <v>8</v>
      </c>
      <c r="I415">
        <v>2</v>
      </c>
      <c r="J415">
        <v>33.33</v>
      </c>
      <c r="K415">
        <v>8</v>
      </c>
      <c r="L415">
        <v>2</v>
      </c>
      <c r="M415">
        <v>33.33</v>
      </c>
      <c r="N415">
        <v>8</v>
      </c>
      <c r="O415">
        <v>8</v>
      </c>
      <c r="P415" t="s">
        <v>192</v>
      </c>
      <c r="Q415" t="s">
        <v>192</v>
      </c>
      <c r="R415">
        <v>3</v>
      </c>
      <c r="S415">
        <v>2052</v>
      </c>
      <c r="T415">
        <v>2</v>
      </c>
      <c r="U415">
        <v>8</v>
      </c>
      <c r="V415">
        <v>384</v>
      </c>
      <c r="W415">
        <v>1</v>
      </c>
      <c r="X415" s="367"/>
    </row>
    <row r="416" spans="1:24">
      <c r="A416" t="s">
        <v>7974</v>
      </c>
      <c r="B416" t="s">
        <v>7975</v>
      </c>
      <c r="C416">
        <v>0</v>
      </c>
      <c r="D416">
        <v>0</v>
      </c>
      <c r="E416">
        <v>0</v>
      </c>
      <c r="F416">
        <v>174</v>
      </c>
      <c r="G416">
        <v>0</v>
      </c>
      <c r="H416">
        <v>173</v>
      </c>
      <c r="I416">
        <v>-1</v>
      </c>
      <c r="J416">
        <v>-0.56999999999999995</v>
      </c>
      <c r="K416">
        <v>174</v>
      </c>
      <c r="L416">
        <v>0</v>
      </c>
      <c r="M416">
        <v>0</v>
      </c>
      <c r="N416">
        <v>0</v>
      </c>
      <c r="O416">
        <v>0</v>
      </c>
      <c r="P416" t="s">
        <v>192</v>
      </c>
      <c r="Q416" t="s">
        <v>192</v>
      </c>
      <c r="R416">
        <v>1</v>
      </c>
      <c r="S416">
        <v>1000</v>
      </c>
      <c r="T416">
        <v>186</v>
      </c>
      <c r="U416">
        <v>0</v>
      </c>
      <c r="V416">
        <v>0</v>
      </c>
      <c r="W416">
        <v>0</v>
      </c>
      <c r="X416" s="367"/>
    </row>
    <row r="417" spans="1:24">
      <c r="A417" t="s">
        <v>7976</v>
      </c>
      <c r="B417" t="s">
        <v>7977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 t="s">
        <v>192</v>
      </c>
      <c r="Q417" t="s">
        <v>192</v>
      </c>
      <c r="R417">
        <v>1</v>
      </c>
      <c r="S417">
        <v>123</v>
      </c>
      <c r="T417">
        <v>109</v>
      </c>
      <c r="U417">
        <v>0</v>
      </c>
      <c r="V417">
        <v>0</v>
      </c>
      <c r="W417">
        <v>0</v>
      </c>
      <c r="X417" s="367"/>
    </row>
    <row r="418" spans="1:24">
      <c r="A418" t="s">
        <v>7978</v>
      </c>
      <c r="B418" t="s">
        <v>7979</v>
      </c>
      <c r="C418">
        <v>61</v>
      </c>
      <c r="D418">
        <v>13413</v>
      </c>
      <c r="E418">
        <v>1258174000</v>
      </c>
      <c r="F418">
        <v>74</v>
      </c>
      <c r="G418">
        <v>92</v>
      </c>
      <c r="H418">
        <v>91</v>
      </c>
      <c r="I418">
        <v>17</v>
      </c>
      <c r="J418">
        <v>22.97</v>
      </c>
      <c r="K418">
        <v>94</v>
      </c>
      <c r="L418">
        <v>20</v>
      </c>
      <c r="M418">
        <v>27.03</v>
      </c>
      <c r="N418">
        <v>90</v>
      </c>
      <c r="O418">
        <v>98</v>
      </c>
      <c r="P418" t="s">
        <v>192</v>
      </c>
      <c r="Q418" t="s">
        <v>192</v>
      </c>
      <c r="R418">
        <v>1</v>
      </c>
      <c r="S418">
        <v>1</v>
      </c>
      <c r="T418">
        <v>84</v>
      </c>
      <c r="U418">
        <v>92</v>
      </c>
      <c r="V418">
        <v>2</v>
      </c>
      <c r="W418">
        <v>1</v>
      </c>
      <c r="X418" s="367"/>
    </row>
    <row r="419" spans="1:24">
      <c r="A419" t="s">
        <v>7980</v>
      </c>
      <c r="B419" t="s">
        <v>7981</v>
      </c>
      <c r="C419">
        <v>6</v>
      </c>
      <c r="D419">
        <v>1700</v>
      </c>
      <c r="E419">
        <v>132320000</v>
      </c>
      <c r="F419">
        <v>49</v>
      </c>
      <c r="G419">
        <v>80</v>
      </c>
      <c r="H419">
        <v>63</v>
      </c>
      <c r="I419">
        <v>14</v>
      </c>
      <c r="J419">
        <v>28.57</v>
      </c>
      <c r="K419">
        <v>78</v>
      </c>
      <c r="L419">
        <v>29</v>
      </c>
      <c r="M419">
        <v>59.18</v>
      </c>
      <c r="N419">
        <v>63</v>
      </c>
      <c r="O419">
        <v>80</v>
      </c>
      <c r="P419" t="s">
        <v>192</v>
      </c>
      <c r="Q419" t="s">
        <v>192</v>
      </c>
      <c r="R419">
        <v>2</v>
      </c>
      <c r="S419">
        <v>814</v>
      </c>
      <c r="T419">
        <v>67</v>
      </c>
      <c r="U419">
        <v>74</v>
      </c>
      <c r="V419">
        <v>64</v>
      </c>
      <c r="W419">
        <v>1</v>
      </c>
      <c r="X419" s="367"/>
    </row>
    <row r="420" spans="1:24">
      <c r="A420" t="s">
        <v>7982</v>
      </c>
      <c r="B420" t="s">
        <v>7983</v>
      </c>
      <c r="C420">
        <v>1</v>
      </c>
      <c r="D420">
        <v>100</v>
      </c>
      <c r="E420">
        <v>5600000</v>
      </c>
      <c r="F420">
        <v>39</v>
      </c>
      <c r="G420">
        <v>56</v>
      </c>
      <c r="H420">
        <v>56</v>
      </c>
      <c r="I420">
        <v>17</v>
      </c>
      <c r="J420">
        <v>43.59</v>
      </c>
      <c r="K420">
        <v>56</v>
      </c>
      <c r="L420">
        <v>17</v>
      </c>
      <c r="M420">
        <v>43.59</v>
      </c>
      <c r="N420">
        <v>56</v>
      </c>
      <c r="O420">
        <v>56</v>
      </c>
      <c r="P420" t="s">
        <v>192</v>
      </c>
      <c r="Q420" t="s">
        <v>192</v>
      </c>
      <c r="R420">
        <v>1</v>
      </c>
      <c r="S420">
        <v>100</v>
      </c>
      <c r="T420">
        <v>42</v>
      </c>
      <c r="U420">
        <v>57</v>
      </c>
      <c r="V420">
        <v>1000</v>
      </c>
      <c r="W420">
        <v>1</v>
      </c>
      <c r="X420" s="367"/>
    </row>
    <row r="421" spans="1:24">
      <c r="A421" t="s">
        <v>7984</v>
      </c>
      <c r="B421" t="s">
        <v>7985</v>
      </c>
      <c r="C421">
        <v>0</v>
      </c>
      <c r="D421">
        <v>0</v>
      </c>
      <c r="E421">
        <v>0</v>
      </c>
      <c r="F421">
        <v>25</v>
      </c>
      <c r="G421">
        <v>0</v>
      </c>
      <c r="H421">
        <v>25</v>
      </c>
      <c r="I421">
        <v>0</v>
      </c>
      <c r="J421">
        <v>0</v>
      </c>
      <c r="K421">
        <v>25</v>
      </c>
      <c r="L421">
        <v>0</v>
      </c>
      <c r="M421">
        <v>0</v>
      </c>
      <c r="N421">
        <v>0</v>
      </c>
      <c r="O421">
        <v>0</v>
      </c>
      <c r="P421" t="s">
        <v>192</v>
      </c>
      <c r="Q421" t="s">
        <v>192</v>
      </c>
      <c r="R421">
        <v>1</v>
      </c>
      <c r="S421">
        <v>4</v>
      </c>
      <c r="T421">
        <v>26</v>
      </c>
      <c r="U421">
        <v>0</v>
      </c>
      <c r="V421">
        <v>0</v>
      </c>
      <c r="W421">
        <v>0</v>
      </c>
      <c r="X421" s="367"/>
    </row>
    <row r="422" spans="1:24">
      <c r="A422" t="s">
        <v>7986</v>
      </c>
      <c r="B422" t="s">
        <v>7987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 t="s">
        <v>192</v>
      </c>
      <c r="Q422" t="s">
        <v>192</v>
      </c>
      <c r="R422">
        <v>1</v>
      </c>
      <c r="S422">
        <v>99</v>
      </c>
      <c r="T422">
        <v>15</v>
      </c>
      <c r="U422">
        <v>180</v>
      </c>
      <c r="V422">
        <v>500</v>
      </c>
      <c r="W422">
        <v>1</v>
      </c>
      <c r="X422" s="367"/>
    </row>
    <row r="423" spans="1:24">
      <c r="A423" t="s">
        <v>3669</v>
      </c>
      <c r="B423" t="s">
        <v>3670</v>
      </c>
      <c r="C423">
        <v>969</v>
      </c>
      <c r="D423">
        <v>404628</v>
      </c>
      <c r="E423">
        <v>244346514000</v>
      </c>
      <c r="F423">
        <v>542</v>
      </c>
      <c r="G423">
        <v>607</v>
      </c>
      <c r="H423">
        <v>608</v>
      </c>
      <c r="I423">
        <v>66</v>
      </c>
      <c r="J423">
        <v>12.18</v>
      </c>
      <c r="K423">
        <v>604</v>
      </c>
      <c r="L423">
        <v>62</v>
      </c>
      <c r="M423">
        <v>11.44</v>
      </c>
      <c r="N423">
        <v>591</v>
      </c>
      <c r="O423">
        <v>620</v>
      </c>
      <c r="P423" t="s">
        <v>192</v>
      </c>
      <c r="Q423" t="s">
        <v>192</v>
      </c>
      <c r="R423">
        <v>3</v>
      </c>
      <c r="S423">
        <v>2647</v>
      </c>
      <c r="T423">
        <v>608</v>
      </c>
      <c r="U423">
        <v>633</v>
      </c>
      <c r="V423">
        <v>2</v>
      </c>
      <c r="W423">
        <v>1</v>
      </c>
      <c r="X423" s="367"/>
    </row>
    <row r="424" spans="1:24">
      <c r="A424" t="s">
        <v>3671</v>
      </c>
      <c r="B424" t="s">
        <v>3672</v>
      </c>
      <c r="C424">
        <v>2608</v>
      </c>
      <c r="D424">
        <v>1069578</v>
      </c>
      <c r="E424">
        <v>541682100000</v>
      </c>
      <c r="F424">
        <v>435</v>
      </c>
      <c r="G424">
        <v>507</v>
      </c>
      <c r="H424">
        <v>513</v>
      </c>
      <c r="I424">
        <v>78</v>
      </c>
      <c r="J424">
        <v>17.93</v>
      </c>
      <c r="K424">
        <v>506</v>
      </c>
      <c r="L424">
        <v>71</v>
      </c>
      <c r="M424">
        <v>16.32</v>
      </c>
      <c r="N424">
        <v>500</v>
      </c>
      <c r="O424">
        <v>517</v>
      </c>
      <c r="P424" t="s">
        <v>192</v>
      </c>
      <c r="Q424" t="s">
        <v>192</v>
      </c>
      <c r="R424">
        <v>1</v>
      </c>
      <c r="S424">
        <v>1000</v>
      </c>
      <c r="T424">
        <v>514</v>
      </c>
      <c r="U424">
        <v>514</v>
      </c>
      <c r="V424">
        <v>15</v>
      </c>
      <c r="W424">
        <v>1</v>
      </c>
      <c r="X424" s="367"/>
    </row>
    <row r="425" spans="1:24">
      <c r="A425" t="s">
        <v>3673</v>
      </c>
      <c r="B425" t="s">
        <v>3674</v>
      </c>
      <c r="C425">
        <v>7184</v>
      </c>
      <c r="D425">
        <v>2646568</v>
      </c>
      <c r="E425">
        <v>804498856000</v>
      </c>
      <c r="F425">
        <v>239</v>
      </c>
      <c r="G425">
        <v>305</v>
      </c>
      <c r="H425">
        <v>312</v>
      </c>
      <c r="I425">
        <v>73</v>
      </c>
      <c r="J425">
        <v>30.54</v>
      </c>
      <c r="K425">
        <v>304</v>
      </c>
      <c r="L425">
        <v>65</v>
      </c>
      <c r="M425">
        <v>27.2</v>
      </c>
      <c r="N425">
        <v>297</v>
      </c>
      <c r="O425">
        <v>318</v>
      </c>
      <c r="P425" t="s">
        <v>192</v>
      </c>
      <c r="Q425" t="s">
        <v>192</v>
      </c>
      <c r="R425">
        <v>1</v>
      </c>
      <c r="S425">
        <v>1000</v>
      </c>
      <c r="T425">
        <v>311</v>
      </c>
      <c r="U425">
        <v>313</v>
      </c>
      <c r="V425">
        <v>743</v>
      </c>
      <c r="W425">
        <v>1</v>
      </c>
      <c r="X425" s="367"/>
    </row>
    <row r="426" spans="1:24">
      <c r="A426" t="s">
        <v>3675</v>
      </c>
      <c r="B426" t="s">
        <v>3676</v>
      </c>
      <c r="C426">
        <v>33</v>
      </c>
      <c r="D426">
        <v>15351</v>
      </c>
      <c r="E426">
        <v>15351000</v>
      </c>
      <c r="F426">
        <v>1</v>
      </c>
      <c r="G426">
        <v>1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1</v>
      </c>
      <c r="P426" t="s">
        <v>192</v>
      </c>
      <c r="Q426" t="s">
        <v>192</v>
      </c>
      <c r="R426">
        <v>0</v>
      </c>
      <c r="S426">
        <v>0</v>
      </c>
      <c r="T426">
        <v>0</v>
      </c>
      <c r="U426">
        <v>1</v>
      </c>
      <c r="V426">
        <v>409718</v>
      </c>
      <c r="W426">
        <v>428</v>
      </c>
      <c r="X426" s="367"/>
    </row>
    <row r="427" spans="1:24">
      <c r="A427" t="s">
        <v>3677</v>
      </c>
      <c r="B427" t="s">
        <v>3678</v>
      </c>
      <c r="C427">
        <v>32</v>
      </c>
      <c r="D427">
        <v>2258</v>
      </c>
      <c r="E427">
        <v>3093235000</v>
      </c>
      <c r="F427">
        <v>1252</v>
      </c>
      <c r="G427">
        <v>1400</v>
      </c>
      <c r="H427">
        <v>1355</v>
      </c>
      <c r="I427">
        <v>103</v>
      </c>
      <c r="J427">
        <v>8.23</v>
      </c>
      <c r="K427">
        <v>1370</v>
      </c>
      <c r="L427">
        <v>118</v>
      </c>
      <c r="M427">
        <v>9.42</v>
      </c>
      <c r="N427">
        <v>1340</v>
      </c>
      <c r="O427">
        <v>1400</v>
      </c>
      <c r="P427" t="s">
        <v>192</v>
      </c>
      <c r="Q427" t="s">
        <v>192</v>
      </c>
      <c r="R427">
        <v>1</v>
      </c>
      <c r="S427">
        <v>2</v>
      </c>
      <c r="T427">
        <v>1200</v>
      </c>
      <c r="U427">
        <v>1360</v>
      </c>
      <c r="V427">
        <v>193</v>
      </c>
      <c r="W427">
        <v>1</v>
      </c>
      <c r="X427" s="367"/>
    </row>
    <row r="428" spans="1:24">
      <c r="A428" t="s">
        <v>3679</v>
      </c>
      <c r="B428" t="s">
        <v>3680</v>
      </c>
      <c r="C428">
        <v>11</v>
      </c>
      <c r="D428">
        <v>2186</v>
      </c>
      <c r="E428">
        <v>2645690000</v>
      </c>
      <c r="F428">
        <v>1112</v>
      </c>
      <c r="G428">
        <v>1250</v>
      </c>
      <c r="H428">
        <v>1150</v>
      </c>
      <c r="I428">
        <v>38</v>
      </c>
      <c r="J428">
        <v>3.42</v>
      </c>
      <c r="K428">
        <v>1210</v>
      </c>
      <c r="L428">
        <v>98</v>
      </c>
      <c r="M428">
        <v>8.81</v>
      </c>
      <c r="N428">
        <v>1140</v>
      </c>
      <c r="O428">
        <v>1250</v>
      </c>
      <c r="P428" t="s">
        <v>192</v>
      </c>
      <c r="Q428" t="s">
        <v>192</v>
      </c>
      <c r="R428">
        <v>1</v>
      </c>
      <c r="S428">
        <v>10</v>
      </c>
      <c r="T428">
        <v>1141</v>
      </c>
      <c r="U428">
        <v>1199</v>
      </c>
      <c r="V428">
        <v>50</v>
      </c>
      <c r="W428">
        <v>1</v>
      </c>
      <c r="X428" s="367"/>
    </row>
    <row r="429" spans="1:24">
      <c r="A429" t="s">
        <v>3681</v>
      </c>
      <c r="B429" t="s">
        <v>3682</v>
      </c>
      <c r="C429">
        <v>19</v>
      </c>
      <c r="D429">
        <v>7561</v>
      </c>
      <c r="E429">
        <v>8312750000</v>
      </c>
      <c r="F429">
        <v>1025</v>
      </c>
      <c r="G429">
        <v>1160</v>
      </c>
      <c r="H429">
        <v>1080</v>
      </c>
      <c r="I429">
        <v>55</v>
      </c>
      <c r="J429">
        <v>5.37</v>
      </c>
      <c r="K429">
        <v>1099</v>
      </c>
      <c r="L429">
        <v>74</v>
      </c>
      <c r="M429">
        <v>7.22</v>
      </c>
      <c r="N429">
        <v>1079</v>
      </c>
      <c r="O429">
        <v>1160</v>
      </c>
      <c r="P429" t="s">
        <v>192</v>
      </c>
      <c r="Q429" t="s">
        <v>192</v>
      </c>
      <c r="R429">
        <v>1</v>
      </c>
      <c r="S429">
        <v>50</v>
      </c>
      <c r="T429">
        <v>1045</v>
      </c>
      <c r="U429">
        <v>30000</v>
      </c>
      <c r="V429">
        <v>50</v>
      </c>
      <c r="W429">
        <v>1</v>
      </c>
      <c r="X429" s="367"/>
    </row>
    <row r="430" spans="1:24">
      <c r="A430" t="s">
        <v>3685</v>
      </c>
      <c r="B430" t="s">
        <v>3686</v>
      </c>
      <c r="C430">
        <v>49</v>
      </c>
      <c r="D430">
        <v>6283</v>
      </c>
      <c r="E430">
        <v>5645850000</v>
      </c>
      <c r="F430">
        <v>823</v>
      </c>
      <c r="G430">
        <v>850</v>
      </c>
      <c r="H430">
        <v>862</v>
      </c>
      <c r="I430">
        <v>39</v>
      </c>
      <c r="J430">
        <v>4.74</v>
      </c>
      <c r="K430">
        <v>899</v>
      </c>
      <c r="L430">
        <v>76</v>
      </c>
      <c r="M430">
        <v>9.23</v>
      </c>
      <c r="N430">
        <v>850</v>
      </c>
      <c r="O430">
        <v>950</v>
      </c>
      <c r="P430" t="s">
        <v>192</v>
      </c>
      <c r="Q430" t="s">
        <v>192</v>
      </c>
      <c r="R430">
        <v>1</v>
      </c>
      <c r="S430">
        <v>500</v>
      </c>
      <c r="T430">
        <v>860</v>
      </c>
      <c r="U430">
        <v>879</v>
      </c>
      <c r="V430">
        <v>523</v>
      </c>
      <c r="W430">
        <v>1</v>
      </c>
      <c r="X430" s="367"/>
    </row>
    <row r="431" spans="1:24">
      <c r="A431" t="s">
        <v>3687</v>
      </c>
      <c r="B431" t="s">
        <v>3688</v>
      </c>
      <c r="C431">
        <v>148</v>
      </c>
      <c r="D431">
        <v>16405</v>
      </c>
      <c r="E431">
        <v>11453783000</v>
      </c>
      <c r="F431">
        <v>606</v>
      </c>
      <c r="G431">
        <v>753</v>
      </c>
      <c r="H431">
        <v>669</v>
      </c>
      <c r="I431">
        <v>63</v>
      </c>
      <c r="J431">
        <v>10.4</v>
      </c>
      <c r="K431">
        <v>698</v>
      </c>
      <c r="L431">
        <v>92</v>
      </c>
      <c r="M431">
        <v>15.18</v>
      </c>
      <c r="N431">
        <v>669</v>
      </c>
      <c r="O431">
        <v>753</v>
      </c>
      <c r="P431" t="s">
        <v>192</v>
      </c>
      <c r="Q431" t="s">
        <v>192</v>
      </c>
      <c r="R431">
        <v>1</v>
      </c>
      <c r="S431">
        <v>100</v>
      </c>
      <c r="T431">
        <v>667</v>
      </c>
      <c r="U431">
        <v>754</v>
      </c>
      <c r="V431">
        <v>136</v>
      </c>
      <c r="W431">
        <v>1</v>
      </c>
      <c r="X431" s="367"/>
    </row>
    <row r="432" spans="1:24">
      <c r="A432" t="s">
        <v>3689</v>
      </c>
      <c r="B432" t="s">
        <v>3690</v>
      </c>
      <c r="C432">
        <v>790</v>
      </c>
      <c r="D432">
        <v>120406</v>
      </c>
      <c r="E432">
        <v>73216849000</v>
      </c>
      <c r="F432">
        <v>511</v>
      </c>
      <c r="G432">
        <v>670</v>
      </c>
      <c r="H432">
        <v>590</v>
      </c>
      <c r="I432">
        <v>79</v>
      </c>
      <c r="J432">
        <v>15.46</v>
      </c>
      <c r="K432">
        <v>608</v>
      </c>
      <c r="L432">
        <v>97</v>
      </c>
      <c r="M432">
        <v>18.98</v>
      </c>
      <c r="N432">
        <v>577</v>
      </c>
      <c r="O432">
        <v>680</v>
      </c>
      <c r="P432" t="s">
        <v>192</v>
      </c>
      <c r="Q432" t="s">
        <v>192</v>
      </c>
      <c r="R432">
        <v>1</v>
      </c>
      <c r="S432">
        <v>2</v>
      </c>
      <c r="T432">
        <v>574</v>
      </c>
      <c r="U432">
        <v>590</v>
      </c>
      <c r="V432">
        <v>3</v>
      </c>
      <c r="W432">
        <v>1</v>
      </c>
      <c r="X432" s="367"/>
    </row>
    <row r="433" spans="1:24">
      <c r="A433" t="s">
        <v>3691</v>
      </c>
      <c r="B433" t="s">
        <v>3692</v>
      </c>
      <c r="C433">
        <v>3741</v>
      </c>
      <c r="D433">
        <v>1015126</v>
      </c>
      <c r="E433">
        <v>441277757000</v>
      </c>
      <c r="F433">
        <v>344</v>
      </c>
      <c r="G433">
        <v>472</v>
      </c>
      <c r="H433">
        <v>419</v>
      </c>
      <c r="I433">
        <v>75</v>
      </c>
      <c r="J433">
        <v>21.8</v>
      </c>
      <c r="K433">
        <v>435</v>
      </c>
      <c r="L433">
        <v>91</v>
      </c>
      <c r="M433">
        <v>26.45</v>
      </c>
      <c r="N433">
        <v>412</v>
      </c>
      <c r="O433">
        <v>490</v>
      </c>
      <c r="P433" t="s">
        <v>192</v>
      </c>
      <c r="Q433" t="s">
        <v>192</v>
      </c>
      <c r="R433">
        <v>1</v>
      </c>
      <c r="S433">
        <v>1</v>
      </c>
      <c r="T433">
        <v>417</v>
      </c>
      <c r="U433">
        <v>419</v>
      </c>
      <c r="V433">
        <v>1233</v>
      </c>
      <c r="W433">
        <v>2</v>
      </c>
      <c r="X433" s="367"/>
    </row>
    <row r="434" spans="1:24">
      <c r="A434" t="s">
        <v>3693</v>
      </c>
      <c r="B434" t="s">
        <v>3694</v>
      </c>
      <c r="C434">
        <v>3695</v>
      </c>
      <c r="D434">
        <v>996906</v>
      </c>
      <c r="E434">
        <v>288578499000</v>
      </c>
      <c r="F434">
        <v>205</v>
      </c>
      <c r="G434">
        <v>310</v>
      </c>
      <c r="H434">
        <v>262</v>
      </c>
      <c r="I434">
        <v>57</v>
      </c>
      <c r="J434">
        <v>27.8</v>
      </c>
      <c r="K434">
        <v>289</v>
      </c>
      <c r="L434">
        <v>84</v>
      </c>
      <c r="M434">
        <v>40.98</v>
      </c>
      <c r="N434">
        <v>261</v>
      </c>
      <c r="O434">
        <v>328</v>
      </c>
      <c r="P434" t="s">
        <v>192</v>
      </c>
      <c r="Q434" t="s">
        <v>192</v>
      </c>
      <c r="R434">
        <v>1</v>
      </c>
      <c r="S434">
        <v>100</v>
      </c>
      <c r="T434">
        <v>260</v>
      </c>
      <c r="U434">
        <v>262</v>
      </c>
      <c r="V434">
        <v>239</v>
      </c>
      <c r="W434">
        <v>1</v>
      </c>
      <c r="X434" s="367"/>
    </row>
    <row r="435" spans="1:24">
      <c r="A435" t="s">
        <v>3695</v>
      </c>
      <c r="B435" t="s">
        <v>3696</v>
      </c>
      <c r="C435">
        <v>2986</v>
      </c>
      <c r="D435">
        <v>1024800</v>
      </c>
      <c r="E435">
        <v>188065307000</v>
      </c>
      <c r="F435">
        <v>112</v>
      </c>
      <c r="G435">
        <v>198</v>
      </c>
      <c r="H435">
        <v>168</v>
      </c>
      <c r="I435">
        <v>56</v>
      </c>
      <c r="J435">
        <v>50</v>
      </c>
      <c r="K435">
        <v>184</v>
      </c>
      <c r="L435">
        <v>72</v>
      </c>
      <c r="M435">
        <v>64.290000000000006</v>
      </c>
      <c r="N435">
        <v>161</v>
      </c>
      <c r="O435">
        <v>240</v>
      </c>
      <c r="P435" t="s">
        <v>192</v>
      </c>
      <c r="Q435" t="s">
        <v>192</v>
      </c>
      <c r="R435">
        <v>4</v>
      </c>
      <c r="S435">
        <v>3100</v>
      </c>
      <c r="T435">
        <v>166</v>
      </c>
      <c r="U435">
        <v>169</v>
      </c>
      <c r="V435">
        <v>999</v>
      </c>
      <c r="W435">
        <v>1</v>
      </c>
      <c r="X435" s="367"/>
    </row>
    <row r="436" spans="1:24">
      <c r="A436" t="s">
        <v>3699</v>
      </c>
      <c r="B436" t="s">
        <v>3700</v>
      </c>
      <c r="C436">
        <v>0</v>
      </c>
      <c r="D436">
        <v>0</v>
      </c>
      <c r="E436">
        <v>0</v>
      </c>
      <c r="F436">
        <v>983</v>
      </c>
      <c r="G436">
        <v>0</v>
      </c>
      <c r="H436">
        <v>999</v>
      </c>
      <c r="I436">
        <v>16</v>
      </c>
      <c r="J436">
        <v>1.63</v>
      </c>
      <c r="K436">
        <v>983</v>
      </c>
      <c r="L436">
        <v>0</v>
      </c>
      <c r="M436">
        <v>0</v>
      </c>
      <c r="N436">
        <v>0</v>
      </c>
      <c r="O436">
        <v>0</v>
      </c>
      <c r="P436" t="s">
        <v>192</v>
      </c>
      <c r="Q436" t="s">
        <v>192</v>
      </c>
      <c r="R436">
        <v>1</v>
      </c>
      <c r="S436">
        <v>20</v>
      </c>
      <c r="T436">
        <v>700</v>
      </c>
      <c r="U436">
        <v>0</v>
      </c>
      <c r="V436">
        <v>0</v>
      </c>
      <c r="W436">
        <v>0</v>
      </c>
      <c r="X436" s="367"/>
    </row>
    <row r="437" spans="1:24">
      <c r="A437" t="s">
        <v>3701</v>
      </c>
      <c r="B437" t="s">
        <v>3702</v>
      </c>
      <c r="C437">
        <v>0</v>
      </c>
      <c r="D437">
        <v>0</v>
      </c>
      <c r="E437">
        <v>0</v>
      </c>
      <c r="F437">
        <v>756</v>
      </c>
      <c r="G437">
        <v>0</v>
      </c>
      <c r="H437">
        <v>700</v>
      </c>
      <c r="I437">
        <v>-56</v>
      </c>
      <c r="J437">
        <v>-7.41</v>
      </c>
      <c r="K437">
        <v>756</v>
      </c>
      <c r="L437">
        <v>0</v>
      </c>
      <c r="M437">
        <v>0</v>
      </c>
      <c r="N437">
        <v>0</v>
      </c>
      <c r="O437">
        <v>0</v>
      </c>
      <c r="P437" t="s">
        <v>192</v>
      </c>
      <c r="Q437" t="s">
        <v>192</v>
      </c>
      <c r="R437">
        <v>1</v>
      </c>
      <c r="S437">
        <v>5</v>
      </c>
      <c r="T437">
        <v>901</v>
      </c>
      <c r="U437">
        <v>1100</v>
      </c>
      <c r="V437">
        <v>10</v>
      </c>
      <c r="W437">
        <v>1</v>
      </c>
      <c r="X437" s="367"/>
    </row>
    <row r="438" spans="1:24">
      <c r="A438" t="s">
        <v>3707</v>
      </c>
      <c r="B438" t="s">
        <v>3708</v>
      </c>
      <c r="C438">
        <v>72</v>
      </c>
      <c r="D438">
        <v>10806</v>
      </c>
      <c r="E438">
        <v>4163776000</v>
      </c>
      <c r="F438">
        <v>300</v>
      </c>
      <c r="G438">
        <v>342</v>
      </c>
      <c r="H438">
        <v>390</v>
      </c>
      <c r="I438">
        <v>90</v>
      </c>
      <c r="J438">
        <v>30</v>
      </c>
      <c r="K438">
        <v>385</v>
      </c>
      <c r="L438">
        <v>85</v>
      </c>
      <c r="M438">
        <v>28.33</v>
      </c>
      <c r="N438">
        <v>342</v>
      </c>
      <c r="O438">
        <v>448</v>
      </c>
      <c r="P438" t="s">
        <v>192</v>
      </c>
      <c r="Q438" t="s">
        <v>192</v>
      </c>
      <c r="R438">
        <v>1</v>
      </c>
      <c r="S438">
        <v>47</v>
      </c>
      <c r="T438">
        <v>390</v>
      </c>
      <c r="U438">
        <v>404</v>
      </c>
      <c r="V438">
        <v>38</v>
      </c>
      <c r="W438">
        <v>1</v>
      </c>
      <c r="X438" s="367"/>
    </row>
    <row r="439" spans="1:24">
      <c r="A439" t="s">
        <v>3709</v>
      </c>
      <c r="B439" t="s">
        <v>3710</v>
      </c>
      <c r="C439">
        <v>17</v>
      </c>
      <c r="D439">
        <v>1624</v>
      </c>
      <c r="E439">
        <v>275682000</v>
      </c>
      <c r="F439">
        <v>121</v>
      </c>
      <c r="G439">
        <v>295</v>
      </c>
      <c r="H439">
        <v>199</v>
      </c>
      <c r="I439">
        <v>78</v>
      </c>
      <c r="J439">
        <v>64.459999999999994</v>
      </c>
      <c r="K439">
        <v>170</v>
      </c>
      <c r="L439">
        <v>49</v>
      </c>
      <c r="M439">
        <v>40.5</v>
      </c>
      <c r="N439">
        <v>150</v>
      </c>
      <c r="O439">
        <v>295</v>
      </c>
      <c r="P439" t="s">
        <v>192</v>
      </c>
      <c r="Q439" t="s">
        <v>192</v>
      </c>
      <c r="R439">
        <v>1</v>
      </c>
      <c r="S439">
        <v>100</v>
      </c>
      <c r="T439">
        <v>154</v>
      </c>
      <c r="U439">
        <v>300</v>
      </c>
      <c r="V439">
        <v>50</v>
      </c>
      <c r="W439">
        <v>1</v>
      </c>
      <c r="X439" s="367"/>
    </row>
    <row r="440" spans="1:24">
      <c r="A440" t="s">
        <v>3713</v>
      </c>
      <c r="B440" t="s">
        <v>3714</v>
      </c>
      <c r="C440">
        <v>0</v>
      </c>
      <c r="D440">
        <v>0</v>
      </c>
      <c r="E440">
        <v>0</v>
      </c>
      <c r="F440">
        <v>11314</v>
      </c>
      <c r="G440">
        <v>0</v>
      </c>
      <c r="H440">
        <v>11314</v>
      </c>
      <c r="I440">
        <v>0</v>
      </c>
      <c r="J440">
        <v>0</v>
      </c>
      <c r="K440">
        <v>11314</v>
      </c>
      <c r="L440">
        <v>0</v>
      </c>
      <c r="M440">
        <v>0</v>
      </c>
      <c r="N440">
        <v>0</v>
      </c>
      <c r="O440">
        <v>0</v>
      </c>
      <c r="P440" t="s">
        <v>192</v>
      </c>
      <c r="Q440" t="s">
        <v>192</v>
      </c>
      <c r="R440">
        <v>1</v>
      </c>
      <c r="S440">
        <v>99</v>
      </c>
      <c r="T440">
        <v>33</v>
      </c>
      <c r="U440">
        <v>0</v>
      </c>
      <c r="V440">
        <v>0</v>
      </c>
      <c r="W440">
        <v>0</v>
      </c>
      <c r="X440" s="367"/>
    </row>
    <row r="441" spans="1:24">
      <c r="A441" t="s">
        <v>3715</v>
      </c>
      <c r="B441" t="s">
        <v>3716</v>
      </c>
      <c r="C441">
        <v>0</v>
      </c>
      <c r="D441">
        <v>0</v>
      </c>
      <c r="E441">
        <v>0</v>
      </c>
      <c r="F441">
        <v>8065</v>
      </c>
      <c r="G441">
        <v>0</v>
      </c>
      <c r="H441">
        <v>8065</v>
      </c>
      <c r="I441">
        <v>0</v>
      </c>
      <c r="J441">
        <v>0</v>
      </c>
      <c r="K441">
        <v>8065</v>
      </c>
      <c r="L441">
        <v>0</v>
      </c>
      <c r="M441">
        <v>0</v>
      </c>
      <c r="N441">
        <v>0</v>
      </c>
      <c r="O441">
        <v>0</v>
      </c>
      <c r="P441" t="s">
        <v>192</v>
      </c>
      <c r="Q441" t="s">
        <v>192</v>
      </c>
      <c r="R441">
        <v>1</v>
      </c>
      <c r="S441">
        <v>99</v>
      </c>
      <c r="T441">
        <v>35</v>
      </c>
      <c r="U441">
        <v>0</v>
      </c>
      <c r="V441">
        <v>0</v>
      </c>
      <c r="W441">
        <v>0</v>
      </c>
      <c r="X441" s="367"/>
    </row>
    <row r="442" spans="1:24">
      <c r="A442" t="s">
        <v>3717</v>
      </c>
      <c r="B442" t="s">
        <v>3718</v>
      </c>
      <c r="C442">
        <v>2</v>
      </c>
      <c r="D442">
        <v>2</v>
      </c>
      <c r="E442">
        <v>15850000</v>
      </c>
      <c r="F442">
        <v>7104</v>
      </c>
      <c r="G442">
        <v>7150</v>
      </c>
      <c r="H442">
        <v>8700</v>
      </c>
      <c r="I442">
        <v>1596</v>
      </c>
      <c r="J442">
        <v>22.47</v>
      </c>
      <c r="K442">
        <v>7925</v>
      </c>
      <c r="L442">
        <v>821</v>
      </c>
      <c r="M442">
        <v>11.56</v>
      </c>
      <c r="N442">
        <v>7150</v>
      </c>
      <c r="O442">
        <v>8700</v>
      </c>
      <c r="P442" t="s">
        <v>192</v>
      </c>
      <c r="Q442" t="s">
        <v>192</v>
      </c>
      <c r="R442">
        <v>1</v>
      </c>
      <c r="S442">
        <v>99</v>
      </c>
      <c r="T442">
        <v>35</v>
      </c>
      <c r="U442">
        <v>0</v>
      </c>
      <c r="V442">
        <v>0</v>
      </c>
      <c r="W442">
        <v>0</v>
      </c>
      <c r="X442" s="367"/>
    </row>
    <row r="443" spans="1:24">
      <c r="A443" t="s">
        <v>3719</v>
      </c>
      <c r="B443" t="s">
        <v>3720</v>
      </c>
      <c r="C443">
        <v>9</v>
      </c>
      <c r="D443">
        <v>766</v>
      </c>
      <c r="E443">
        <v>2450500000</v>
      </c>
      <c r="F443">
        <v>2796</v>
      </c>
      <c r="G443">
        <v>3050</v>
      </c>
      <c r="H443">
        <v>3450</v>
      </c>
      <c r="I443">
        <v>654</v>
      </c>
      <c r="J443">
        <v>23.39</v>
      </c>
      <c r="K443">
        <v>3199</v>
      </c>
      <c r="L443">
        <v>403</v>
      </c>
      <c r="M443">
        <v>14.41</v>
      </c>
      <c r="N443">
        <v>3050</v>
      </c>
      <c r="O443">
        <v>3500</v>
      </c>
      <c r="P443" t="s">
        <v>192</v>
      </c>
      <c r="Q443" t="s">
        <v>192</v>
      </c>
      <c r="R443">
        <v>1</v>
      </c>
      <c r="S443">
        <v>99</v>
      </c>
      <c r="T443">
        <v>33</v>
      </c>
      <c r="U443">
        <v>3450</v>
      </c>
      <c r="V443">
        <v>70</v>
      </c>
      <c r="W443">
        <v>1</v>
      </c>
      <c r="X443" s="367"/>
    </row>
    <row r="444" spans="1:24">
      <c r="A444" t="s">
        <v>3721</v>
      </c>
      <c r="B444" t="s">
        <v>3722</v>
      </c>
      <c r="C444">
        <v>1</v>
      </c>
      <c r="D444">
        <v>1</v>
      </c>
      <c r="E444">
        <v>1534000</v>
      </c>
      <c r="F444">
        <v>1534</v>
      </c>
      <c r="G444">
        <v>1534</v>
      </c>
      <c r="H444">
        <v>1534</v>
      </c>
      <c r="I444">
        <v>0</v>
      </c>
      <c r="J444">
        <v>0</v>
      </c>
      <c r="K444">
        <v>1534</v>
      </c>
      <c r="L444">
        <v>0</v>
      </c>
      <c r="M444">
        <v>0</v>
      </c>
      <c r="N444">
        <v>1534</v>
      </c>
      <c r="O444">
        <v>1534</v>
      </c>
      <c r="P444" t="s">
        <v>192</v>
      </c>
      <c r="Q444" t="s">
        <v>192</v>
      </c>
      <c r="R444">
        <v>1</v>
      </c>
      <c r="S444">
        <v>9</v>
      </c>
      <c r="T444">
        <v>1534</v>
      </c>
      <c r="U444">
        <v>0</v>
      </c>
      <c r="V444">
        <v>0</v>
      </c>
      <c r="W444">
        <v>0</v>
      </c>
      <c r="X444" s="367"/>
    </row>
    <row r="445" spans="1:24">
      <c r="A445" t="s">
        <v>3723</v>
      </c>
      <c r="B445" t="s">
        <v>3724</v>
      </c>
      <c r="C445">
        <v>0</v>
      </c>
      <c r="D445">
        <v>0</v>
      </c>
      <c r="E445">
        <v>0</v>
      </c>
      <c r="F445">
        <v>10</v>
      </c>
      <c r="G445">
        <v>0</v>
      </c>
      <c r="H445">
        <v>2000</v>
      </c>
      <c r="I445">
        <v>1990</v>
      </c>
      <c r="J445">
        <v>19900</v>
      </c>
      <c r="K445">
        <v>10</v>
      </c>
      <c r="L445">
        <v>0</v>
      </c>
      <c r="M445">
        <v>0</v>
      </c>
      <c r="N445">
        <v>0</v>
      </c>
      <c r="O445">
        <v>0</v>
      </c>
      <c r="P445" t="s">
        <v>192</v>
      </c>
      <c r="Q445" t="s">
        <v>192</v>
      </c>
      <c r="R445">
        <v>1</v>
      </c>
      <c r="S445">
        <v>222</v>
      </c>
      <c r="T445">
        <v>22</v>
      </c>
      <c r="U445">
        <v>6000</v>
      </c>
      <c r="V445">
        <v>4</v>
      </c>
      <c r="W445">
        <v>1</v>
      </c>
      <c r="X445" s="367"/>
    </row>
    <row r="446" spans="1:24">
      <c r="A446" t="s">
        <v>3727</v>
      </c>
      <c r="B446" t="s">
        <v>3728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 t="s">
        <v>192</v>
      </c>
      <c r="Q446" t="s">
        <v>192</v>
      </c>
      <c r="R446">
        <v>1</v>
      </c>
      <c r="S446">
        <v>44</v>
      </c>
      <c r="T446">
        <v>44</v>
      </c>
      <c r="U446">
        <v>0</v>
      </c>
      <c r="V446">
        <v>0</v>
      </c>
      <c r="W446">
        <v>0</v>
      </c>
      <c r="X446" s="367"/>
    </row>
    <row r="447" spans="1:24">
      <c r="A447" t="s">
        <v>3729</v>
      </c>
      <c r="B447" t="s">
        <v>3730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 t="s">
        <v>192</v>
      </c>
      <c r="Q447" t="s">
        <v>192</v>
      </c>
      <c r="R447">
        <v>1</v>
      </c>
      <c r="S447">
        <v>9</v>
      </c>
      <c r="T447">
        <v>150</v>
      </c>
      <c r="U447">
        <v>0</v>
      </c>
      <c r="V447">
        <v>0</v>
      </c>
      <c r="W447">
        <v>0</v>
      </c>
      <c r="X447" s="367"/>
    </row>
    <row r="448" spans="1:24">
      <c r="A448" t="s">
        <v>3731</v>
      </c>
      <c r="B448" t="s">
        <v>3732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 t="s">
        <v>192</v>
      </c>
      <c r="Q448" t="s">
        <v>192</v>
      </c>
      <c r="R448">
        <v>1</v>
      </c>
      <c r="S448">
        <v>9</v>
      </c>
      <c r="T448">
        <v>150</v>
      </c>
      <c r="U448">
        <v>0</v>
      </c>
      <c r="V448">
        <v>0</v>
      </c>
      <c r="W448">
        <v>0</v>
      </c>
      <c r="X448" s="367"/>
    </row>
    <row r="449" spans="1:24">
      <c r="A449" t="s">
        <v>3733</v>
      </c>
      <c r="B449" t="s">
        <v>3734</v>
      </c>
      <c r="C449">
        <v>0</v>
      </c>
      <c r="D449">
        <v>0</v>
      </c>
      <c r="E449">
        <v>0</v>
      </c>
      <c r="F449">
        <v>2500</v>
      </c>
      <c r="G449">
        <v>0</v>
      </c>
      <c r="H449">
        <v>2500</v>
      </c>
      <c r="I449">
        <v>0</v>
      </c>
      <c r="J449">
        <v>0</v>
      </c>
      <c r="K449">
        <v>2500</v>
      </c>
      <c r="L449">
        <v>0</v>
      </c>
      <c r="M449">
        <v>0</v>
      </c>
      <c r="N449">
        <v>0</v>
      </c>
      <c r="O449">
        <v>0</v>
      </c>
      <c r="P449" t="s">
        <v>192</v>
      </c>
      <c r="Q449" t="s">
        <v>192</v>
      </c>
      <c r="R449">
        <v>1</v>
      </c>
      <c r="S449">
        <v>200</v>
      </c>
      <c r="T449">
        <v>112</v>
      </c>
      <c r="U449">
        <v>0</v>
      </c>
      <c r="V449">
        <v>0</v>
      </c>
      <c r="W449">
        <v>0</v>
      </c>
      <c r="X449" s="367"/>
    </row>
    <row r="450" spans="1:24">
      <c r="A450" t="s">
        <v>3735</v>
      </c>
      <c r="B450" t="s">
        <v>3736</v>
      </c>
      <c r="C450">
        <v>15</v>
      </c>
      <c r="D450">
        <v>997</v>
      </c>
      <c r="E450">
        <v>3459580000</v>
      </c>
      <c r="F450">
        <v>3110</v>
      </c>
      <c r="G450">
        <v>3470</v>
      </c>
      <c r="H450">
        <v>3470</v>
      </c>
      <c r="I450">
        <v>360</v>
      </c>
      <c r="J450">
        <v>11.58</v>
      </c>
      <c r="K450">
        <v>3470</v>
      </c>
      <c r="L450">
        <v>360</v>
      </c>
      <c r="M450">
        <v>11.58</v>
      </c>
      <c r="N450">
        <v>3469</v>
      </c>
      <c r="O450">
        <v>3470</v>
      </c>
      <c r="P450" t="s">
        <v>192</v>
      </c>
      <c r="Q450" t="s">
        <v>192</v>
      </c>
      <c r="R450">
        <v>1</v>
      </c>
      <c r="S450">
        <v>90</v>
      </c>
      <c r="T450">
        <v>3469</v>
      </c>
      <c r="U450">
        <v>3470</v>
      </c>
      <c r="V450">
        <v>13</v>
      </c>
      <c r="W450">
        <v>1</v>
      </c>
      <c r="X450" s="367"/>
    </row>
    <row r="451" spans="1:24">
      <c r="A451" t="s">
        <v>3737</v>
      </c>
      <c r="B451" t="s">
        <v>3738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 t="s">
        <v>192</v>
      </c>
      <c r="Q451" t="s">
        <v>192</v>
      </c>
      <c r="R451">
        <v>1</v>
      </c>
      <c r="S451">
        <v>100</v>
      </c>
      <c r="T451">
        <v>1</v>
      </c>
      <c r="U451">
        <v>0</v>
      </c>
      <c r="V451">
        <v>0</v>
      </c>
      <c r="W451">
        <v>0</v>
      </c>
      <c r="X451" s="367"/>
    </row>
    <row r="452" spans="1:24">
      <c r="A452" t="s">
        <v>3739</v>
      </c>
      <c r="B452" t="s">
        <v>3740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 t="s">
        <v>192</v>
      </c>
      <c r="Q452" t="s">
        <v>192</v>
      </c>
      <c r="R452">
        <v>1</v>
      </c>
      <c r="S452">
        <v>100</v>
      </c>
      <c r="T452">
        <v>1</v>
      </c>
      <c r="U452">
        <v>0</v>
      </c>
      <c r="V452">
        <v>0</v>
      </c>
      <c r="W452">
        <v>0</v>
      </c>
      <c r="X452" s="367"/>
    </row>
    <row r="453" spans="1:24">
      <c r="A453" t="s">
        <v>3741</v>
      </c>
      <c r="B453" t="s">
        <v>3742</v>
      </c>
      <c r="C453">
        <v>48</v>
      </c>
      <c r="D453">
        <v>8880</v>
      </c>
      <c r="E453">
        <v>844331000</v>
      </c>
      <c r="F453">
        <v>55</v>
      </c>
      <c r="G453">
        <v>100</v>
      </c>
      <c r="H453">
        <v>99</v>
      </c>
      <c r="I453">
        <v>44</v>
      </c>
      <c r="J453">
        <v>80</v>
      </c>
      <c r="K453">
        <v>95</v>
      </c>
      <c r="L453">
        <v>40</v>
      </c>
      <c r="M453">
        <v>72.73</v>
      </c>
      <c r="N453">
        <v>90</v>
      </c>
      <c r="O453">
        <v>100</v>
      </c>
      <c r="P453" t="s">
        <v>192</v>
      </c>
      <c r="Q453" t="s">
        <v>192</v>
      </c>
      <c r="R453">
        <v>1</v>
      </c>
      <c r="S453">
        <v>1000</v>
      </c>
      <c r="T453">
        <v>92</v>
      </c>
      <c r="U453">
        <v>100</v>
      </c>
      <c r="V453">
        <v>610</v>
      </c>
      <c r="W453">
        <v>2</v>
      </c>
      <c r="X453" s="367"/>
    </row>
    <row r="454" spans="1:24">
      <c r="A454" t="s">
        <v>3743</v>
      </c>
      <c r="B454" t="s">
        <v>3744</v>
      </c>
      <c r="C454">
        <v>121</v>
      </c>
      <c r="D454">
        <v>35719</v>
      </c>
      <c r="E454">
        <v>2822592000</v>
      </c>
      <c r="F454">
        <v>38</v>
      </c>
      <c r="G454">
        <v>77</v>
      </c>
      <c r="H454">
        <v>82</v>
      </c>
      <c r="I454">
        <v>44</v>
      </c>
      <c r="J454">
        <v>115.79</v>
      </c>
      <c r="K454">
        <v>79</v>
      </c>
      <c r="L454">
        <v>41</v>
      </c>
      <c r="M454">
        <v>107.89</v>
      </c>
      <c r="N454">
        <v>74</v>
      </c>
      <c r="O454">
        <v>90</v>
      </c>
      <c r="P454" t="s">
        <v>192</v>
      </c>
      <c r="Q454" t="s">
        <v>192</v>
      </c>
      <c r="R454">
        <v>1</v>
      </c>
      <c r="S454">
        <v>50</v>
      </c>
      <c r="T454">
        <v>71</v>
      </c>
      <c r="U454">
        <v>82</v>
      </c>
      <c r="V454">
        <v>1000</v>
      </c>
      <c r="W454">
        <v>1</v>
      </c>
      <c r="X454" s="367"/>
    </row>
    <row r="455" spans="1:24">
      <c r="A455" t="s">
        <v>3745</v>
      </c>
      <c r="B455" t="s">
        <v>3746</v>
      </c>
      <c r="C455">
        <v>534</v>
      </c>
      <c r="D455">
        <v>244090</v>
      </c>
      <c r="E455">
        <v>14247852000</v>
      </c>
      <c r="F455">
        <v>25</v>
      </c>
      <c r="G455">
        <v>68</v>
      </c>
      <c r="H455">
        <v>60</v>
      </c>
      <c r="I455">
        <v>35</v>
      </c>
      <c r="J455">
        <v>140</v>
      </c>
      <c r="K455">
        <v>58</v>
      </c>
      <c r="L455">
        <v>33</v>
      </c>
      <c r="M455">
        <v>132</v>
      </c>
      <c r="N455">
        <v>51</v>
      </c>
      <c r="O455">
        <v>68</v>
      </c>
      <c r="P455" t="s">
        <v>192</v>
      </c>
      <c r="Q455" t="s">
        <v>192</v>
      </c>
      <c r="R455">
        <v>1</v>
      </c>
      <c r="S455">
        <v>763</v>
      </c>
      <c r="T455">
        <v>60</v>
      </c>
      <c r="U455">
        <v>61</v>
      </c>
      <c r="V455">
        <v>3020</v>
      </c>
      <c r="W455">
        <v>4</v>
      </c>
      <c r="X455" s="367"/>
    </row>
    <row r="456" spans="1:24">
      <c r="A456" t="s">
        <v>3749</v>
      </c>
      <c r="B456" t="s">
        <v>3750</v>
      </c>
      <c r="C456">
        <v>1376</v>
      </c>
      <c r="D456">
        <v>845933</v>
      </c>
      <c r="E456">
        <v>1841723000</v>
      </c>
      <c r="F456">
        <v>1</v>
      </c>
      <c r="G456">
        <v>2</v>
      </c>
      <c r="H456">
        <v>3</v>
      </c>
      <c r="I456">
        <v>2</v>
      </c>
      <c r="J456">
        <v>200</v>
      </c>
      <c r="K456">
        <v>2</v>
      </c>
      <c r="L456">
        <v>1</v>
      </c>
      <c r="M456">
        <v>100</v>
      </c>
      <c r="N456">
        <v>1</v>
      </c>
      <c r="O456">
        <v>3</v>
      </c>
      <c r="P456" t="s">
        <v>192</v>
      </c>
      <c r="Q456" t="s">
        <v>192</v>
      </c>
      <c r="R456">
        <v>14</v>
      </c>
      <c r="S456">
        <v>13584</v>
      </c>
      <c r="T456">
        <v>2</v>
      </c>
      <c r="U456">
        <v>3</v>
      </c>
      <c r="V456">
        <v>79510</v>
      </c>
      <c r="W456">
        <v>81</v>
      </c>
      <c r="X456" s="367"/>
    </row>
    <row r="457" spans="1:24">
      <c r="A457" t="s">
        <v>3751</v>
      </c>
      <c r="B457" t="s">
        <v>3752</v>
      </c>
      <c r="C457">
        <v>3</v>
      </c>
      <c r="D457">
        <v>1800</v>
      </c>
      <c r="E457">
        <v>1800000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1</v>
      </c>
      <c r="P457" t="s">
        <v>192</v>
      </c>
      <c r="Q457" t="s">
        <v>192</v>
      </c>
      <c r="R457">
        <v>0</v>
      </c>
      <c r="S457">
        <v>0</v>
      </c>
      <c r="T457">
        <v>0</v>
      </c>
      <c r="U457">
        <v>1</v>
      </c>
      <c r="V457">
        <v>9000</v>
      </c>
      <c r="W457">
        <v>9</v>
      </c>
      <c r="X457" s="367"/>
    </row>
    <row r="458" spans="1:24">
      <c r="A458" t="s">
        <v>7533</v>
      </c>
      <c r="B458" t="s">
        <v>7534</v>
      </c>
      <c r="C458">
        <v>46</v>
      </c>
      <c r="D458">
        <v>2147</v>
      </c>
      <c r="E458">
        <v>380057000</v>
      </c>
      <c r="F458">
        <v>270</v>
      </c>
      <c r="G458">
        <v>200</v>
      </c>
      <c r="H458">
        <v>169</v>
      </c>
      <c r="I458">
        <v>-101</v>
      </c>
      <c r="J458">
        <v>-37.409999999999997</v>
      </c>
      <c r="K458">
        <v>177</v>
      </c>
      <c r="L458">
        <v>-93</v>
      </c>
      <c r="M458">
        <v>-34.44</v>
      </c>
      <c r="N458">
        <v>161</v>
      </c>
      <c r="O458">
        <v>200</v>
      </c>
      <c r="P458" t="s">
        <v>192</v>
      </c>
      <c r="Q458" t="s">
        <v>192</v>
      </c>
      <c r="R458">
        <v>1</v>
      </c>
      <c r="S458">
        <v>1000</v>
      </c>
      <c r="T458">
        <v>162</v>
      </c>
      <c r="U458">
        <v>169</v>
      </c>
      <c r="V458">
        <v>7</v>
      </c>
      <c r="W458">
        <v>1</v>
      </c>
      <c r="X458" s="367"/>
    </row>
    <row r="459" spans="1:24">
      <c r="A459" t="s">
        <v>7531</v>
      </c>
      <c r="B459" t="s">
        <v>7532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 t="s">
        <v>192</v>
      </c>
      <c r="Q459" t="s">
        <v>192</v>
      </c>
      <c r="R459">
        <v>1</v>
      </c>
      <c r="S459">
        <v>5</v>
      </c>
      <c r="T459">
        <v>2</v>
      </c>
      <c r="U459">
        <v>0</v>
      </c>
      <c r="V459">
        <v>0</v>
      </c>
      <c r="W459">
        <v>0</v>
      </c>
      <c r="X459" s="367"/>
    </row>
    <row r="460" spans="1:24">
      <c r="A460" t="s">
        <v>3755</v>
      </c>
      <c r="B460" t="s">
        <v>3756</v>
      </c>
      <c r="C460">
        <v>72</v>
      </c>
      <c r="D460">
        <v>25020</v>
      </c>
      <c r="E460">
        <v>2186622000</v>
      </c>
      <c r="F460">
        <v>49</v>
      </c>
      <c r="G460">
        <v>88</v>
      </c>
      <c r="H460">
        <v>98</v>
      </c>
      <c r="I460">
        <v>49</v>
      </c>
      <c r="J460">
        <v>100</v>
      </c>
      <c r="K460">
        <v>87</v>
      </c>
      <c r="L460">
        <v>38</v>
      </c>
      <c r="M460">
        <v>77.55</v>
      </c>
      <c r="N460">
        <v>66</v>
      </c>
      <c r="O460">
        <v>98</v>
      </c>
      <c r="P460" t="s">
        <v>192</v>
      </c>
      <c r="Q460" t="s">
        <v>192</v>
      </c>
      <c r="R460">
        <v>1</v>
      </c>
      <c r="S460">
        <v>500</v>
      </c>
      <c r="T460">
        <v>92</v>
      </c>
      <c r="U460">
        <v>0</v>
      </c>
      <c r="V460">
        <v>0</v>
      </c>
      <c r="W460">
        <v>0</v>
      </c>
      <c r="X460" s="367"/>
    </row>
    <row r="461" spans="1:24">
      <c r="A461" t="s">
        <v>3757</v>
      </c>
      <c r="B461" t="s">
        <v>3758</v>
      </c>
      <c r="C461">
        <v>237</v>
      </c>
      <c r="D461">
        <v>74858</v>
      </c>
      <c r="E461">
        <v>5413057000</v>
      </c>
      <c r="F461">
        <v>37</v>
      </c>
      <c r="G461">
        <v>69</v>
      </c>
      <c r="H461">
        <v>90</v>
      </c>
      <c r="I461">
        <v>53</v>
      </c>
      <c r="J461">
        <v>143.24</v>
      </c>
      <c r="K461">
        <v>72</v>
      </c>
      <c r="L461">
        <v>35</v>
      </c>
      <c r="M461">
        <v>94.59</v>
      </c>
      <c r="N461">
        <v>68</v>
      </c>
      <c r="O461">
        <v>90</v>
      </c>
      <c r="P461" t="s">
        <v>192</v>
      </c>
      <c r="Q461" t="s">
        <v>192</v>
      </c>
      <c r="R461">
        <v>2</v>
      </c>
      <c r="S461">
        <v>70</v>
      </c>
      <c r="T461">
        <v>80</v>
      </c>
      <c r="U461">
        <v>95</v>
      </c>
      <c r="V461">
        <v>300</v>
      </c>
      <c r="W461">
        <v>1</v>
      </c>
      <c r="X461" s="367"/>
    </row>
    <row r="462" spans="1:24">
      <c r="A462" t="s">
        <v>3759</v>
      </c>
      <c r="B462" t="s">
        <v>3760</v>
      </c>
      <c r="C462">
        <v>266</v>
      </c>
      <c r="D462">
        <v>114172</v>
      </c>
      <c r="E462">
        <v>3418933000</v>
      </c>
      <c r="F462">
        <v>15</v>
      </c>
      <c r="G462">
        <v>39</v>
      </c>
      <c r="H462">
        <v>34</v>
      </c>
      <c r="I462">
        <v>19</v>
      </c>
      <c r="J462">
        <v>126.67</v>
      </c>
      <c r="K462">
        <v>30</v>
      </c>
      <c r="L462">
        <v>15</v>
      </c>
      <c r="M462">
        <v>100</v>
      </c>
      <c r="N462">
        <v>26</v>
      </c>
      <c r="O462">
        <v>39</v>
      </c>
      <c r="P462" t="s">
        <v>192</v>
      </c>
      <c r="Q462" t="s">
        <v>192</v>
      </c>
      <c r="R462">
        <v>1</v>
      </c>
      <c r="S462">
        <v>10</v>
      </c>
      <c r="T462">
        <v>31</v>
      </c>
      <c r="U462">
        <v>39</v>
      </c>
      <c r="V462">
        <v>79</v>
      </c>
      <c r="W462">
        <v>1</v>
      </c>
      <c r="X462" s="367"/>
    </row>
    <row r="463" spans="1:24">
      <c r="A463" t="s">
        <v>3761</v>
      </c>
      <c r="B463" t="s">
        <v>3762</v>
      </c>
      <c r="C463">
        <v>22</v>
      </c>
      <c r="D463">
        <v>7779</v>
      </c>
      <c r="E463">
        <v>136326000</v>
      </c>
      <c r="F463">
        <v>7</v>
      </c>
      <c r="G463">
        <v>17</v>
      </c>
      <c r="H463">
        <v>19</v>
      </c>
      <c r="I463">
        <v>12</v>
      </c>
      <c r="J463">
        <v>171.43</v>
      </c>
      <c r="K463">
        <v>18</v>
      </c>
      <c r="L463">
        <v>11</v>
      </c>
      <c r="M463">
        <v>157.13999999999999</v>
      </c>
      <c r="N463">
        <v>15</v>
      </c>
      <c r="O463">
        <v>19</v>
      </c>
      <c r="P463" t="s">
        <v>192</v>
      </c>
      <c r="Q463" t="s">
        <v>192</v>
      </c>
      <c r="R463">
        <v>1</v>
      </c>
      <c r="S463">
        <v>41</v>
      </c>
      <c r="T463">
        <v>15</v>
      </c>
      <c r="U463">
        <v>19</v>
      </c>
      <c r="V463">
        <v>770</v>
      </c>
      <c r="W463">
        <v>1</v>
      </c>
      <c r="X463" s="367"/>
    </row>
    <row r="464" spans="1:24">
      <c r="A464" t="s">
        <v>3763</v>
      </c>
      <c r="B464" t="s">
        <v>3764</v>
      </c>
      <c r="C464">
        <v>44</v>
      </c>
      <c r="D464">
        <v>20316</v>
      </c>
      <c r="E464">
        <v>249695000</v>
      </c>
      <c r="F464">
        <v>3</v>
      </c>
      <c r="G464">
        <v>10</v>
      </c>
      <c r="H464">
        <v>13</v>
      </c>
      <c r="I464">
        <v>10</v>
      </c>
      <c r="J464">
        <v>333.33</v>
      </c>
      <c r="K464">
        <v>12</v>
      </c>
      <c r="L464">
        <v>9</v>
      </c>
      <c r="M464">
        <v>300</v>
      </c>
      <c r="N464">
        <v>10</v>
      </c>
      <c r="O464">
        <v>14</v>
      </c>
      <c r="P464" t="s">
        <v>192</v>
      </c>
      <c r="Q464" t="s">
        <v>192</v>
      </c>
      <c r="R464">
        <v>1</v>
      </c>
      <c r="S464">
        <v>444</v>
      </c>
      <c r="T464">
        <v>4</v>
      </c>
      <c r="U464">
        <v>13</v>
      </c>
      <c r="V464">
        <v>799</v>
      </c>
      <c r="W464">
        <v>1</v>
      </c>
      <c r="X464" s="367"/>
    </row>
    <row r="465" spans="1:24">
      <c r="A465" t="s">
        <v>3765</v>
      </c>
      <c r="B465" t="s">
        <v>3766</v>
      </c>
      <c r="C465">
        <v>16</v>
      </c>
      <c r="D465">
        <v>13800</v>
      </c>
      <c r="E465">
        <v>96000000</v>
      </c>
      <c r="F465">
        <v>3</v>
      </c>
      <c r="G465">
        <v>10</v>
      </c>
      <c r="H465">
        <v>7</v>
      </c>
      <c r="I465">
        <v>4</v>
      </c>
      <c r="J465">
        <v>133.33000000000001</v>
      </c>
      <c r="K465">
        <v>7</v>
      </c>
      <c r="L465">
        <v>4</v>
      </c>
      <c r="M465">
        <v>133.33000000000001</v>
      </c>
      <c r="N465">
        <v>5</v>
      </c>
      <c r="O465">
        <v>10</v>
      </c>
      <c r="P465" t="s">
        <v>192</v>
      </c>
      <c r="Q465" t="s">
        <v>192</v>
      </c>
      <c r="R465">
        <v>1</v>
      </c>
      <c r="S465">
        <v>1000</v>
      </c>
      <c r="T465">
        <v>7</v>
      </c>
      <c r="U465">
        <v>8</v>
      </c>
      <c r="V465">
        <v>45</v>
      </c>
      <c r="W465">
        <v>1</v>
      </c>
      <c r="X465" s="367"/>
    </row>
    <row r="466" spans="1:24">
      <c r="A466" t="s">
        <v>8759</v>
      </c>
      <c r="B466" t="s">
        <v>8760</v>
      </c>
      <c r="C466">
        <v>16</v>
      </c>
      <c r="D466">
        <v>2339</v>
      </c>
      <c r="E466">
        <v>373247000</v>
      </c>
      <c r="F466">
        <v>119</v>
      </c>
      <c r="G466">
        <v>190</v>
      </c>
      <c r="H466">
        <v>156</v>
      </c>
      <c r="I466">
        <v>37</v>
      </c>
      <c r="J466">
        <v>31.09</v>
      </c>
      <c r="K466">
        <v>160</v>
      </c>
      <c r="L466">
        <v>41</v>
      </c>
      <c r="M466">
        <v>34.450000000000003</v>
      </c>
      <c r="N466">
        <v>141</v>
      </c>
      <c r="O466">
        <v>190</v>
      </c>
      <c r="P466" t="s">
        <v>192</v>
      </c>
      <c r="Q466" t="s">
        <v>192</v>
      </c>
      <c r="R466">
        <v>1</v>
      </c>
      <c r="S466">
        <v>1000</v>
      </c>
      <c r="T466">
        <v>155</v>
      </c>
      <c r="U466">
        <v>200</v>
      </c>
      <c r="V466">
        <v>120</v>
      </c>
      <c r="W466">
        <v>1</v>
      </c>
      <c r="X466" s="367"/>
    </row>
    <row r="467" spans="1:24">
      <c r="A467" t="s">
        <v>8719</v>
      </c>
      <c r="B467" t="s">
        <v>8720</v>
      </c>
      <c r="C467">
        <v>0</v>
      </c>
      <c r="D467">
        <v>0</v>
      </c>
      <c r="E467">
        <v>0</v>
      </c>
      <c r="F467">
        <v>75</v>
      </c>
      <c r="G467">
        <v>0</v>
      </c>
      <c r="H467">
        <v>75</v>
      </c>
      <c r="I467">
        <v>0</v>
      </c>
      <c r="J467">
        <v>0</v>
      </c>
      <c r="K467">
        <v>75</v>
      </c>
      <c r="L467">
        <v>0</v>
      </c>
      <c r="M467">
        <v>0</v>
      </c>
      <c r="N467">
        <v>0</v>
      </c>
      <c r="O467">
        <v>0</v>
      </c>
      <c r="P467" t="s">
        <v>192</v>
      </c>
      <c r="Q467" t="s">
        <v>192</v>
      </c>
      <c r="R467">
        <v>1</v>
      </c>
      <c r="S467">
        <v>1000</v>
      </c>
      <c r="T467">
        <v>81</v>
      </c>
      <c r="U467">
        <v>198</v>
      </c>
      <c r="V467">
        <v>100</v>
      </c>
      <c r="W467">
        <v>1</v>
      </c>
      <c r="X467" s="367"/>
    </row>
    <row r="468" spans="1:24">
      <c r="A468" t="s">
        <v>8721</v>
      </c>
      <c r="B468" t="s">
        <v>8722</v>
      </c>
      <c r="C468">
        <v>17</v>
      </c>
      <c r="D468">
        <v>7292</v>
      </c>
      <c r="E468">
        <v>659381000</v>
      </c>
      <c r="F468">
        <v>58</v>
      </c>
      <c r="G468">
        <v>84</v>
      </c>
      <c r="H468">
        <v>113</v>
      </c>
      <c r="I468">
        <v>55</v>
      </c>
      <c r="J468">
        <v>94.83</v>
      </c>
      <c r="K468">
        <v>90</v>
      </c>
      <c r="L468">
        <v>32</v>
      </c>
      <c r="M468">
        <v>55.17</v>
      </c>
      <c r="N468">
        <v>84</v>
      </c>
      <c r="O468">
        <v>114</v>
      </c>
      <c r="P468" t="s">
        <v>192</v>
      </c>
      <c r="Q468" t="s">
        <v>192</v>
      </c>
      <c r="R468">
        <v>1</v>
      </c>
      <c r="S468">
        <v>400</v>
      </c>
      <c r="T468">
        <v>95</v>
      </c>
      <c r="U468">
        <v>130</v>
      </c>
      <c r="V468">
        <v>300</v>
      </c>
      <c r="W468">
        <v>1</v>
      </c>
      <c r="X468" s="367"/>
    </row>
    <row r="469" spans="1:24">
      <c r="A469" t="s">
        <v>8723</v>
      </c>
      <c r="B469" t="s">
        <v>8724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 t="s">
        <v>192</v>
      </c>
      <c r="Q469" t="s">
        <v>192</v>
      </c>
      <c r="R469">
        <v>1</v>
      </c>
      <c r="S469">
        <v>5</v>
      </c>
      <c r="T469">
        <v>2</v>
      </c>
      <c r="U469">
        <v>40</v>
      </c>
      <c r="V469">
        <v>1000</v>
      </c>
      <c r="W469">
        <v>1</v>
      </c>
      <c r="X469" s="367"/>
    </row>
    <row r="470" spans="1:24">
      <c r="A470" t="s">
        <v>8725</v>
      </c>
      <c r="B470" t="s">
        <v>8726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 t="s">
        <v>192</v>
      </c>
      <c r="Q470" t="s">
        <v>192</v>
      </c>
      <c r="R470">
        <v>1</v>
      </c>
      <c r="S470">
        <v>51</v>
      </c>
      <c r="T470">
        <v>5</v>
      </c>
      <c r="U470">
        <v>79</v>
      </c>
      <c r="V470">
        <v>20</v>
      </c>
      <c r="W470">
        <v>1</v>
      </c>
      <c r="X470" s="367"/>
    </row>
    <row r="471" spans="1:24">
      <c r="A471" t="s">
        <v>8727</v>
      </c>
      <c r="B471" t="s">
        <v>8728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 t="s">
        <v>192</v>
      </c>
      <c r="Q471" t="s">
        <v>192</v>
      </c>
      <c r="R471">
        <v>1</v>
      </c>
      <c r="S471">
        <v>3</v>
      </c>
      <c r="T471">
        <v>10</v>
      </c>
      <c r="U471">
        <v>98</v>
      </c>
      <c r="V471">
        <v>10</v>
      </c>
      <c r="W471">
        <v>1</v>
      </c>
      <c r="X471" s="367"/>
    </row>
    <row r="472" spans="1:24">
      <c r="A472" t="s">
        <v>8729</v>
      </c>
      <c r="B472" t="s">
        <v>8730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 t="s">
        <v>192</v>
      </c>
      <c r="Q472" t="s">
        <v>192</v>
      </c>
      <c r="R472">
        <v>1</v>
      </c>
      <c r="S472">
        <v>100</v>
      </c>
      <c r="T472">
        <v>1</v>
      </c>
      <c r="U472">
        <v>48</v>
      </c>
      <c r="V472">
        <v>20</v>
      </c>
      <c r="W472">
        <v>1</v>
      </c>
      <c r="X472" s="367"/>
    </row>
    <row r="473" spans="1:24">
      <c r="A473" t="s">
        <v>8466</v>
      </c>
      <c r="B473" t="s">
        <v>8467</v>
      </c>
      <c r="C473">
        <v>0</v>
      </c>
      <c r="D473">
        <v>0</v>
      </c>
      <c r="E473">
        <v>0</v>
      </c>
      <c r="F473">
        <v>2555</v>
      </c>
      <c r="G473">
        <v>0</v>
      </c>
      <c r="H473">
        <v>2600</v>
      </c>
      <c r="I473">
        <v>45</v>
      </c>
      <c r="J473">
        <v>1.76</v>
      </c>
      <c r="K473">
        <v>2555</v>
      </c>
      <c r="L473">
        <v>0</v>
      </c>
      <c r="M473">
        <v>0</v>
      </c>
      <c r="N473">
        <v>0</v>
      </c>
      <c r="O473">
        <v>0</v>
      </c>
      <c r="P473" t="s">
        <v>192</v>
      </c>
      <c r="Q473" t="s">
        <v>192</v>
      </c>
      <c r="R473">
        <v>1</v>
      </c>
      <c r="S473">
        <v>5</v>
      </c>
      <c r="T473">
        <v>2125</v>
      </c>
      <c r="U473">
        <v>2998</v>
      </c>
      <c r="V473">
        <v>10</v>
      </c>
      <c r="W473">
        <v>1</v>
      </c>
      <c r="X473" s="367"/>
    </row>
    <row r="474" spans="1:24">
      <c r="A474" t="s">
        <v>8468</v>
      </c>
      <c r="B474" t="s">
        <v>8469</v>
      </c>
      <c r="C474">
        <v>6</v>
      </c>
      <c r="D474">
        <v>509</v>
      </c>
      <c r="E474">
        <v>1116189000</v>
      </c>
      <c r="F474">
        <v>1902</v>
      </c>
      <c r="G474">
        <v>2300</v>
      </c>
      <c r="H474">
        <v>2899</v>
      </c>
      <c r="I474">
        <v>997</v>
      </c>
      <c r="J474">
        <v>52.42</v>
      </c>
      <c r="K474">
        <v>2193</v>
      </c>
      <c r="L474">
        <v>291</v>
      </c>
      <c r="M474">
        <v>15.3</v>
      </c>
      <c r="N474">
        <v>2190</v>
      </c>
      <c r="O474">
        <v>2899</v>
      </c>
      <c r="P474" t="s">
        <v>192</v>
      </c>
      <c r="Q474" t="s">
        <v>192</v>
      </c>
      <c r="R474">
        <v>1</v>
      </c>
      <c r="S474">
        <v>5</v>
      </c>
      <c r="T474">
        <v>1862</v>
      </c>
      <c r="U474">
        <v>0</v>
      </c>
      <c r="V474">
        <v>0</v>
      </c>
      <c r="W474">
        <v>0</v>
      </c>
      <c r="X474" s="367"/>
    </row>
    <row r="475" spans="1:24">
      <c r="A475" t="s">
        <v>8470</v>
      </c>
      <c r="B475" t="s">
        <v>8471</v>
      </c>
      <c r="C475">
        <v>1</v>
      </c>
      <c r="D475">
        <v>10</v>
      </c>
      <c r="E475">
        <v>10000000</v>
      </c>
      <c r="F475">
        <v>646</v>
      </c>
      <c r="G475">
        <v>1000</v>
      </c>
      <c r="H475">
        <v>1000</v>
      </c>
      <c r="I475">
        <v>354</v>
      </c>
      <c r="J475">
        <v>54.8</v>
      </c>
      <c r="K475">
        <v>1000</v>
      </c>
      <c r="L475">
        <v>354</v>
      </c>
      <c r="M475">
        <v>54.8</v>
      </c>
      <c r="N475">
        <v>1000</v>
      </c>
      <c r="O475">
        <v>1000</v>
      </c>
      <c r="P475" t="s">
        <v>192</v>
      </c>
      <c r="Q475" t="s">
        <v>192</v>
      </c>
      <c r="R475">
        <v>1</v>
      </c>
      <c r="S475">
        <v>990</v>
      </c>
      <c r="T475">
        <v>1000</v>
      </c>
      <c r="U475">
        <v>1405</v>
      </c>
      <c r="V475">
        <v>2</v>
      </c>
      <c r="W475">
        <v>1</v>
      </c>
      <c r="X475" s="367"/>
    </row>
    <row r="476" spans="1:24">
      <c r="A476" t="s">
        <v>8474</v>
      </c>
      <c r="B476" t="s">
        <v>8475</v>
      </c>
      <c r="C476">
        <v>6</v>
      </c>
      <c r="D476">
        <v>310</v>
      </c>
      <c r="E476">
        <v>67700000</v>
      </c>
      <c r="F476">
        <v>1</v>
      </c>
      <c r="G476">
        <v>55</v>
      </c>
      <c r="H476">
        <v>888</v>
      </c>
      <c r="I476">
        <v>887</v>
      </c>
      <c r="J476">
        <v>88700</v>
      </c>
      <c r="K476">
        <v>218</v>
      </c>
      <c r="L476">
        <v>217</v>
      </c>
      <c r="M476">
        <v>21700</v>
      </c>
      <c r="N476">
        <v>55</v>
      </c>
      <c r="O476">
        <v>888</v>
      </c>
      <c r="P476" t="s">
        <v>192</v>
      </c>
      <c r="Q476" t="s">
        <v>192</v>
      </c>
      <c r="R476">
        <v>1</v>
      </c>
      <c r="S476">
        <v>1000</v>
      </c>
      <c r="T476">
        <v>101</v>
      </c>
      <c r="U476">
        <v>888</v>
      </c>
      <c r="V476">
        <v>50</v>
      </c>
      <c r="W476">
        <v>1</v>
      </c>
      <c r="X476" s="367"/>
    </row>
    <row r="477" spans="1:24">
      <c r="A477" t="s">
        <v>3767</v>
      </c>
      <c r="B477" t="s">
        <v>3768</v>
      </c>
      <c r="C477">
        <v>0</v>
      </c>
      <c r="D477">
        <v>0</v>
      </c>
      <c r="E477">
        <v>0</v>
      </c>
      <c r="F477">
        <v>14002</v>
      </c>
      <c r="G477">
        <v>0</v>
      </c>
      <c r="H477">
        <v>13425</v>
      </c>
      <c r="I477">
        <v>-577</v>
      </c>
      <c r="J477">
        <v>-4.12</v>
      </c>
      <c r="K477">
        <v>14002</v>
      </c>
      <c r="L477">
        <v>0</v>
      </c>
      <c r="M477">
        <v>0</v>
      </c>
      <c r="N477">
        <v>0</v>
      </c>
      <c r="O477">
        <v>0</v>
      </c>
      <c r="P477" t="s">
        <v>192</v>
      </c>
      <c r="Q477" t="s">
        <v>192</v>
      </c>
      <c r="R477">
        <v>1</v>
      </c>
      <c r="S477">
        <v>1</v>
      </c>
      <c r="T477">
        <v>19700</v>
      </c>
      <c r="U477">
        <v>0</v>
      </c>
      <c r="V477">
        <v>0</v>
      </c>
      <c r="W477">
        <v>0</v>
      </c>
      <c r="X477" s="367"/>
    </row>
    <row r="478" spans="1:24">
      <c r="A478" t="s">
        <v>3769</v>
      </c>
      <c r="B478" t="s">
        <v>3770</v>
      </c>
      <c r="C478">
        <v>2</v>
      </c>
      <c r="D478">
        <v>2</v>
      </c>
      <c r="E478">
        <v>47000000</v>
      </c>
      <c r="F478">
        <v>19840</v>
      </c>
      <c r="G478">
        <v>23500</v>
      </c>
      <c r="H478">
        <v>23500</v>
      </c>
      <c r="I478">
        <v>3660</v>
      </c>
      <c r="J478">
        <v>18.45</v>
      </c>
      <c r="K478">
        <v>23500</v>
      </c>
      <c r="L478">
        <v>3660</v>
      </c>
      <c r="M478">
        <v>18.45</v>
      </c>
      <c r="N478">
        <v>23500</v>
      </c>
      <c r="O478">
        <v>23500</v>
      </c>
      <c r="P478" t="s">
        <v>192</v>
      </c>
      <c r="Q478" t="s">
        <v>192</v>
      </c>
      <c r="R478">
        <v>1</v>
      </c>
      <c r="S478">
        <v>7</v>
      </c>
      <c r="T478">
        <v>19021</v>
      </c>
      <c r="U478">
        <v>23385</v>
      </c>
      <c r="V478">
        <v>3</v>
      </c>
      <c r="W478">
        <v>1</v>
      </c>
      <c r="X478" s="367"/>
    </row>
    <row r="479" spans="1:24">
      <c r="A479" t="s">
        <v>3771</v>
      </c>
      <c r="B479" t="s">
        <v>3772</v>
      </c>
      <c r="C479">
        <v>0</v>
      </c>
      <c r="D479">
        <v>0</v>
      </c>
      <c r="E479">
        <v>0</v>
      </c>
      <c r="F479">
        <v>10459</v>
      </c>
      <c r="G479">
        <v>0</v>
      </c>
      <c r="H479">
        <v>10459</v>
      </c>
      <c r="I479">
        <v>0</v>
      </c>
      <c r="J479">
        <v>0</v>
      </c>
      <c r="K479">
        <v>10459</v>
      </c>
      <c r="L479">
        <v>0</v>
      </c>
      <c r="M479">
        <v>0</v>
      </c>
      <c r="N479">
        <v>0</v>
      </c>
      <c r="O479">
        <v>0</v>
      </c>
      <c r="P479" t="s">
        <v>192</v>
      </c>
      <c r="Q479" t="s">
        <v>192</v>
      </c>
      <c r="R479">
        <v>1</v>
      </c>
      <c r="S479">
        <v>1</v>
      </c>
      <c r="T479">
        <v>15600</v>
      </c>
      <c r="U479">
        <v>0</v>
      </c>
      <c r="V479">
        <v>0</v>
      </c>
      <c r="W479">
        <v>0</v>
      </c>
      <c r="X479" s="367"/>
    </row>
    <row r="480" spans="1:24">
      <c r="A480" t="s">
        <v>3773</v>
      </c>
      <c r="B480" t="s">
        <v>3774</v>
      </c>
      <c r="C480">
        <v>58</v>
      </c>
      <c r="D480">
        <v>460</v>
      </c>
      <c r="E480">
        <v>7433259000</v>
      </c>
      <c r="F480">
        <v>13537</v>
      </c>
      <c r="G480">
        <v>15900</v>
      </c>
      <c r="H480">
        <v>16879</v>
      </c>
      <c r="I480">
        <v>3342</v>
      </c>
      <c r="J480">
        <v>24.69</v>
      </c>
      <c r="K480">
        <v>16159</v>
      </c>
      <c r="L480">
        <v>2622</v>
      </c>
      <c r="M480">
        <v>19.37</v>
      </c>
      <c r="N480">
        <v>14006</v>
      </c>
      <c r="O480">
        <v>16895</v>
      </c>
      <c r="P480" t="s">
        <v>192</v>
      </c>
      <c r="Q480" t="s">
        <v>192</v>
      </c>
      <c r="R480">
        <v>1</v>
      </c>
      <c r="S480">
        <v>13</v>
      </c>
      <c r="T480">
        <v>16600</v>
      </c>
      <c r="U480">
        <v>16880</v>
      </c>
      <c r="V480">
        <v>20</v>
      </c>
      <c r="W480">
        <v>1</v>
      </c>
      <c r="X480" s="367"/>
    </row>
    <row r="481" spans="1:24">
      <c r="A481" t="s">
        <v>3775</v>
      </c>
      <c r="B481" t="s">
        <v>3776</v>
      </c>
      <c r="C481">
        <v>32</v>
      </c>
      <c r="D481">
        <v>142</v>
      </c>
      <c r="E481">
        <v>1599341000</v>
      </c>
      <c r="F481">
        <v>8775</v>
      </c>
      <c r="G481">
        <v>12999</v>
      </c>
      <c r="H481">
        <v>11390</v>
      </c>
      <c r="I481">
        <v>2615</v>
      </c>
      <c r="J481">
        <v>29.8</v>
      </c>
      <c r="K481">
        <v>11263</v>
      </c>
      <c r="L481">
        <v>2488</v>
      </c>
      <c r="M481">
        <v>28.35</v>
      </c>
      <c r="N481">
        <v>10900</v>
      </c>
      <c r="O481">
        <v>12999</v>
      </c>
      <c r="P481" t="s">
        <v>192</v>
      </c>
      <c r="Q481" t="s">
        <v>192</v>
      </c>
      <c r="R481">
        <v>1</v>
      </c>
      <c r="S481">
        <v>1</v>
      </c>
      <c r="T481">
        <v>10801</v>
      </c>
      <c r="U481">
        <v>12477</v>
      </c>
      <c r="V481">
        <v>10</v>
      </c>
      <c r="W481">
        <v>1</v>
      </c>
      <c r="X481" s="367"/>
    </row>
    <row r="482" spans="1:24">
      <c r="A482" t="s">
        <v>3777</v>
      </c>
      <c r="B482" t="s">
        <v>3778</v>
      </c>
      <c r="C482">
        <v>5</v>
      </c>
      <c r="D482">
        <v>22</v>
      </c>
      <c r="E482">
        <v>627000000</v>
      </c>
      <c r="F482">
        <v>22143</v>
      </c>
      <c r="G482">
        <v>22000</v>
      </c>
      <c r="H482">
        <v>30000</v>
      </c>
      <c r="I482">
        <v>7857</v>
      </c>
      <c r="J482">
        <v>35.479999999999997</v>
      </c>
      <c r="K482">
        <v>28500</v>
      </c>
      <c r="L482">
        <v>6357</v>
      </c>
      <c r="M482">
        <v>28.71</v>
      </c>
      <c r="N482">
        <v>22000</v>
      </c>
      <c r="O482">
        <v>33000</v>
      </c>
      <c r="P482" t="s">
        <v>192</v>
      </c>
      <c r="Q482" t="s">
        <v>192</v>
      </c>
      <c r="R482">
        <v>1</v>
      </c>
      <c r="S482">
        <v>1</v>
      </c>
      <c r="T482">
        <v>24002</v>
      </c>
      <c r="U482">
        <v>32988</v>
      </c>
      <c r="V482">
        <v>1</v>
      </c>
      <c r="W482">
        <v>1</v>
      </c>
      <c r="X482" s="367"/>
    </row>
    <row r="483" spans="1:24">
      <c r="A483" t="s">
        <v>3783</v>
      </c>
      <c r="B483" t="s">
        <v>3784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 t="s">
        <v>192</v>
      </c>
      <c r="Q483" t="s">
        <v>192</v>
      </c>
      <c r="R483">
        <v>1</v>
      </c>
      <c r="S483">
        <v>1</v>
      </c>
      <c r="T483">
        <v>6800</v>
      </c>
      <c r="U483">
        <v>0</v>
      </c>
      <c r="V483">
        <v>0</v>
      </c>
      <c r="W483">
        <v>0</v>
      </c>
      <c r="X483" s="367"/>
    </row>
    <row r="484" spans="1:24">
      <c r="A484" t="s">
        <v>3785</v>
      </c>
      <c r="B484" t="s">
        <v>3786</v>
      </c>
      <c r="C484">
        <v>2</v>
      </c>
      <c r="D484">
        <v>2</v>
      </c>
      <c r="E484">
        <v>7616000</v>
      </c>
      <c r="F484">
        <v>1</v>
      </c>
      <c r="G484">
        <v>3808</v>
      </c>
      <c r="H484">
        <v>3808</v>
      </c>
      <c r="I484">
        <v>3807</v>
      </c>
      <c r="J484">
        <v>380700</v>
      </c>
      <c r="K484">
        <v>3808</v>
      </c>
      <c r="L484">
        <v>3807</v>
      </c>
      <c r="M484">
        <v>380700</v>
      </c>
      <c r="N484">
        <v>3808</v>
      </c>
      <c r="O484">
        <v>3808</v>
      </c>
      <c r="P484" t="s">
        <v>192</v>
      </c>
      <c r="Q484" t="s">
        <v>192</v>
      </c>
      <c r="R484">
        <v>1</v>
      </c>
      <c r="S484">
        <v>1</v>
      </c>
      <c r="T484">
        <v>4000</v>
      </c>
      <c r="U484">
        <v>0</v>
      </c>
      <c r="V484">
        <v>0</v>
      </c>
      <c r="W484">
        <v>0</v>
      </c>
      <c r="X484" s="367"/>
    </row>
    <row r="485" spans="1:24">
      <c r="A485" t="s">
        <v>3787</v>
      </c>
      <c r="B485" t="s">
        <v>3788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 t="s">
        <v>192</v>
      </c>
      <c r="Q485" t="s">
        <v>192</v>
      </c>
      <c r="R485">
        <v>1</v>
      </c>
      <c r="S485">
        <v>44</v>
      </c>
      <c r="T485">
        <v>44</v>
      </c>
      <c r="U485">
        <v>0</v>
      </c>
      <c r="V485">
        <v>0</v>
      </c>
      <c r="W485">
        <v>0</v>
      </c>
      <c r="X485" s="367"/>
    </row>
    <row r="486" spans="1:24">
      <c r="A486" t="s">
        <v>3789</v>
      </c>
      <c r="B486" t="s">
        <v>3790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 t="s">
        <v>192</v>
      </c>
      <c r="Q486" t="s">
        <v>192</v>
      </c>
      <c r="R486">
        <v>1</v>
      </c>
      <c r="S486">
        <v>99</v>
      </c>
      <c r="T486">
        <v>33</v>
      </c>
      <c r="U486">
        <v>0</v>
      </c>
      <c r="V486">
        <v>0</v>
      </c>
      <c r="W486">
        <v>0</v>
      </c>
      <c r="X486" s="367"/>
    </row>
    <row r="487" spans="1:24">
      <c r="A487" t="s">
        <v>3793</v>
      </c>
      <c r="B487" t="s">
        <v>3794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 t="s">
        <v>192</v>
      </c>
      <c r="Q487" t="s">
        <v>192</v>
      </c>
      <c r="R487">
        <v>1</v>
      </c>
      <c r="S487">
        <v>1000</v>
      </c>
      <c r="T487">
        <v>10</v>
      </c>
      <c r="U487">
        <v>0</v>
      </c>
      <c r="V487">
        <v>0</v>
      </c>
      <c r="W487">
        <v>0</v>
      </c>
      <c r="X487" s="367"/>
    </row>
    <row r="488" spans="1:24">
      <c r="A488" t="s">
        <v>3795</v>
      </c>
      <c r="B488" t="s">
        <v>3796</v>
      </c>
      <c r="C488">
        <v>1</v>
      </c>
      <c r="D488">
        <v>1</v>
      </c>
      <c r="E488">
        <v>2000</v>
      </c>
      <c r="F488">
        <v>1</v>
      </c>
      <c r="G488">
        <v>2</v>
      </c>
      <c r="H488">
        <v>2</v>
      </c>
      <c r="I488">
        <v>1</v>
      </c>
      <c r="J488">
        <v>100</v>
      </c>
      <c r="K488">
        <v>2</v>
      </c>
      <c r="L488">
        <v>1</v>
      </c>
      <c r="M488">
        <v>100</v>
      </c>
      <c r="N488">
        <v>2</v>
      </c>
      <c r="O488">
        <v>2</v>
      </c>
      <c r="P488" t="s">
        <v>192</v>
      </c>
      <c r="Q488" t="s">
        <v>192</v>
      </c>
      <c r="R488">
        <v>1</v>
      </c>
      <c r="S488">
        <v>333</v>
      </c>
      <c r="T488">
        <v>3</v>
      </c>
      <c r="U488">
        <v>0</v>
      </c>
      <c r="V488">
        <v>0</v>
      </c>
      <c r="W488">
        <v>0</v>
      </c>
      <c r="X488" s="367"/>
    </row>
    <row r="489" spans="1:24">
      <c r="A489" t="s">
        <v>3797</v>
      </c>
      <c r="B489" t="s">
        <v>3798</v>
      </c>
      <c r="C489">
        <v>1</v>
      </c>
      <c r="D489">
        <v>1</v>
      </c>
      <c r="E489">
        <v>2000</v>
      </c>
      <c r="F489">
        <v>1</v>
      </c>
      <c r="G489">
        <v>2</v>
      </c>
      <c r="H489">
        <v>2</v>
      </c>
      <c r="I489">
        <v>1</v>
      </c>
      <c r="J489">
        <v>100</v>
      </c>
      <c r="K489">
        <v>2</v>
      </c>
      <c r="L489">
        <v>1</v>
      </c>
      <c r="M489">
        <v>100</v>
      </c>
      <c r="N489">
        <v>2</v>
      </c>
      <c r="O489">
        <v>2</v>
      </c>
      <c r="P489" t="s">
        <v>192</v>
      </c>
      <c r="Q489" t="s">
        <v>192</v>
      </c>
      <c r="R489">
        <v>1</v>
      </c>
      <c r="S489">
        <v>100</v>
      </c>
      <c r="T489">
        <v>1</v>
      </c>
      <c r="U489">
        <v>0</v>
      </c>
      <c r="V489">
        <v>0</v>
      </c>
      <c r="W489">
        <v>0</v>
      </c>
      <c r="X489" s="367"/>
    </row>
    <row r="490" spans="1:24">
      <c r="A490" t="s">
        <v>6997</v>
      </c>
      <c r="B490" t="s">
        <v>6998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 t="s">
        <v>192</v>
      </c>
      <c r="Q490" t="s">
        <v>192</v>
      </c>
      <c r="R490">
        <v>1</v>
      </c>
      <c r="S490">
        <v>100</v>
      </c>
      <c r="T490">
        <v>1</v>
      </c>
      <c r="U490">
        <v>0</v>
      </c>
      <c r="V490">
        <v>0</v>
      </c>
      <c r="W490">
        <v>0</v>
      </c>
      <c r="X490" s="367"/>
    </row>
    <row r="491" spans="1:24">
      <c r="A491" t="s">
        <v>4636</v>
      </c>
      <c r="B491" t="s">
        <v>4637</v>
      </c>
      <c r="C491">
        <v>87</v>
      </c>
      <c r="D491">
        <v>526</v>
      </c>
      <c r="E491">
        <v>22416475000</v>
      </c>
      <c r="F491">
        <v>38833</v>
      </c>
      <c r="G491">
        <v>43900</v>
      </c>
      <c r="H491">
        <v>42111</v>
      </c>
      <c r="I491">
        <v>3278</v>
      </c>
      <c r="J491">
        <v>8.44</v>
      </c>
      <c r="K491">
        <v>42617</v>
      </c>
      <c r="L491">
        <v>3784</v>
      </c>
      <c r="M491">
        <v>9.74</v>
      </c>
      <c r="N491">
        <v>42030</v>
      </c>
      <c r="O491">
        <v>44330</v>
      </c>
      <c r="P491" t="s">
        <v>192</v>
      </c>
      <c r="Q491" t="s">
        <v>192</v>
      </c>
      <c r="R491">
        <v>1</v>
      </c>
      <c r="S491">
        <v>11</v>
      </c>
      <c r="T491">
        <v>39556</v>
      </c>
      <c r="U491">
        <v>42111</v>
      </c>
      <c r="V491">
        <v>44</v>
      </c>
      <c r="W491">
        <v>1</v>
      </c>
      <c r="X491" s="367"/>
    </row>
    <row r="492" spans="1:24">
      <c r="A492" t="s">
        <v>4638</v>
      </c>
      <c r="B492" t="s">
        <v>4639</v>
      </c>
      <c r="C492">
        <v>0</v>
      </c>
      <c r="D492">
        <v>0</v>
      </c>
      <c r="E492">
        <v>0</v>
      </c>
      <c r="F492">
        <v>1000000</v>
      </c>
      <c r="G492">
        <v>0</v>
      </c>
      <c r="H492">
        <v>1000000</v>
      </c>
      <c r="I492">
        <v>0</v>
      </c>
      <c r="J492">
        <v>0</v>
      </c>
      <c r="K492">
        <v>1000000</v>
      </c>
      <c r="L492">
        <v>0</v>
      </c>
      <c r="M492">
        <v>0</v>
      </c>
      <c r="N492">
        <v>0</v>
      </c>
      <c r="O492">
        <v>0</v>
      </c>
      <c r="P492" t="s">
        <v>192</v>
      </c>
      <c r="Q492" t="s">
        <v>192</v>
      </c>
      <c r="R492">
        <v>1</v>
      </c>
      <c r="S492">
        <v>5000</v>
      </c>
      <c r="T492">
        <v>1000000</v>
      </c>
      <c r="U492">
        <v>1010000</v>
      </c>
      <c r="V492">
        <v>5000</v>
      </c>
      <c r="W492">
        <v>1</v>
      </c>
      <c r="X492" s="367"/>
    </row>
    <row r="493" spans="1:24">
      <c r="A493" t="s">
        <v>7227</v>
      </c>
      <c r="B493" t="s">
        <v>8453</v>
      </c>
      <c r="C493">
        <v>31</v>
      </c>
      <c r="D493">
        <v>172</v>
      </c>
      <c r="E493">
        <v>2045655390</v>
      </c>
      <c r="F493">
        <v>8945</v>
      </c>
      <c r="G493">
        <v>7520</v>
      </c>
      <c r="H493">
        <v>8797</v>
      </c>
      <c r="I493">
        <v>-148</v>
      </c>
      <c r="J493">
        <v>-1.65</v>
      </c>
      <c r="K493">
        <v>8675</v>
      </c>
      <c r="L493">
        <v>-270</v>
      </c>
      <c r="M493">
        <v>-3.02</v>
      </c>
      <c r="N493">
        <v>7520</v>
      </c>
      <c r="O493">
        <v>9500</v>
      </c>
      <c r="P493" t="s">
        <v>192</v>
      </c>
      <c r="Q493" t="s">
        <v>192</v>
      </c>
      <c r="R493">
        <v>1</v>
      </c>
      <c r="S493">
        <v>5</v>
      </c>
      <c r="T493">
        <v>8222</v>
      </c>
      <c r="U493">
        <v>9399</v>
      </c>
      <c r="V493">
        <v>3</v>
      </c>
      <c r="W493">
        <v>1</v>
      </c>
      <c r="X493" s="367"/>
    </row>
    <row r="494" spans="1:24">
      <c r="A494" t="s">
        <v>4640</v>
      </c>
      <c r="B494" t="s">
        <v>4641</v>
      </c>
      <c r="C494">
        <v>0</v>
      </c>
      <c r="D494">
        <v>0</v>
      </c>
      <c r="E494">
        <v>0</v>
      </c>
      <c r="F494">
        <v>970000</v>
      </c>
      <c r="G494">
        <v>0</v>
      </c>
      <c r="H494">
        <v>970000</v>
      </c>
      <c r="I494">
        <v>0</v>
      </c>
      <c r="J494">
        <v>0</v>
      </c>
      <c r="K494">
        <v>970000</v>
      </c>
      <c r="L494">
        <v>0</v>
      </c>
      <c r="M494">
        <v>0</v>
      </c>
      <c r="N494">
        <v>0</v>
      </c>
      <c r="O494">
        <v>0</v>
      </c>
      <c r="P494" t="s">
        <v>192</v>
      </c>
      <c r="Q494" t="s">
        <v>192</v>
      </c>
      <c r="R494">
        <v>1</v>
      </c>
      <c r="S494">
        <v>2000</v>
      </c>
      <c r="T494">
        <v>965000</v>
      </c>
      <c r="U494">
        <v>0</v>
      </c>
      <c r="V494">
        <v>0</v>
      </c>
      <c r="W494">
        <v>0</v>
      </c>
      <c r="X494" s="367"/>
    </row>
    <row r="495" spans="1:24">
      <c r="A495" t="s">
        <v>3002</v>
      </c>
      <c r="B495" t="s">
        <v>3001</v>
      </c>
      <c r="C495">
        <v>197</v>
      </c>
      <c r="D495">
        <v>8734702</v>
      </c>
      <c r="E495">
        <v>30395472420</v>
      </c>
      <c r="F495">
        <v>3420</v>
      </c>
      <c r="G495">
        <v>3480</v>
      </c>
      <c r="H495">
        <v>3480</v>
      </c>
      <c r="I495">
        <v>60</v>
      </c>
      <c r="J495">
        <v>1.75</v>
      </c>
      <c r="K495">
        <v>3480</v>
      </c>
      <c r="L495">
        <v>60</v>
      </c>
      <c r="M495">
        <v>1.75</v>
      </c>
      <c r="N495">
        <v>3460</v>
      </c>
      <c r="O495">
        <v>3480</v>
      </c>
      <c r="P495">
        <v>-1623</v>
      </c>
      <c r="Q495">
        <v>-2.14</v>
      </c>
      <c r="R495">
        <v>3</v>
      </c>
      <c r="S495">
        <v>416547</v>
      </c>
      <c r="T495">
        <v>3480</v>
      </c>
      <c r="U495">
        <v>3490</v>
      </c>
      <c r="V495">
        <v>6675</v>
      </c>
      <c r="W495">
        <v>1</v>
      </c>
      <c r="X495" s="367"/>
    </row>
    <row r="496" spans="1:24">
      <c r="A496" t="s">
        <v>4642</v>
      </c>
      <c r="B496" t="s">
        <v>4643</v>
      </c>
      <c r="C496">
        <v>0</v>
      </c>
      <c r="D496">
        <v>0</v>
      </c>
      <c r="E496">
        <v>0</v>
      </c>
      <c r="F496">
        <v>1000000</v>
      </c>
      <c r="G496">
        <v>0</v>
      </c>
      <c r="H496">
        <v>1000000</v>
      </c>
      <c r="I496">
        <v>0</v>
      </c>
      <c r="J496">
        <v>0</v>
      </c>
      <c r="K496">
        <v>1000000</v>
      </c>
      <c r="L496">
        <v>0</v>
      </c>
      <c r="M496">
        <v>0</v>
      </c>
      <c r="N496">
        <v>0</v>
      </c>
      <c r="O496">
        <v>0</v>
      </c>
      <c r="P496" t="s">
        <v>192</v>
      </c>
      <c r="Q496" t="s">
        <v>192</v>
      </c>
      <c r="R496">
        <v>1</v>
      </c>
      <c r="S496">
        <v>10000</v>
      </c>
      <c r="T496">
        <v>995000</v>
      </c>
      <c r="U496">
        <v>1004950</v>
      </c>
      <c r="V496">
        <v>5000</v>
      </c>
      <c r="W496">
        <v>1</v>
      </c>
      <c r="X496" s="367"/>
    </row>
    <row r="497" spans="1:24">
      <c r="A497" t="s">
        <v>4644</v>
      </c>
      <c r="B497" t="s">
        <v>4645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 t="s">
        <v>192</v>
      </c>
      <c r="Q497" t="s">
        <v>192</v>
      </c>
      <c r="R497">
        <v>1</v>
      </c>
      <c r="S497">
        <v>100</v>
      </c>
      <c r="T497">
        <v>1</v>
      </c>
      <c r="U497">
        <v>0</v>
      </c>
      <c r="V497">
        <v>0</v>
      </c>
      <c r="W497">
        <v>0</v>
      </c>
      <c r="X497" s="367"/>
    </row>
    <row r="498" spans="1:24">
      <c r="A498" t="s">
        <v>2135</v>
      </c>
      <c r="B498" t="s">
        <v>2133</v>
      </c>
      <c r="C498">
        <v>1</v>
      </c>
      <c r="D498">
        <v>7000</v>
      </c>
      <c r="E498">
        <v>33250000</v>
      </c>
      <c r="F498">
        <v>4620</v>
      </c>
      <c r="G498">
        <v>4750</v>
      </c>
      <c r="H498">
        <v>4750</v>
      </c>
      <c r="I498">
        <v>130</v>
      </c>
      <c r="J498">
        <v>2.81</v>
      </c>
      <c r="K498">
        <v>4750</v>
      </c>
      <c r="L498">
        <v>130</v>
      </c>
      <c r="M498">
        <v>2.81</v>
      </c>
      <c r="N498">
        <v>4750</v>
      </c>
      <c r="O498">
        <v>4750</v>
      </c>
      <c r="P498">
        <v>130</v>
      </c>
      <c r="Q498">
        <v>36.54</v>
      </c>
      <c r="R498">
        <v>13</v>
      </c>
      <c r="S498">
        <v>165294</v>
      </c>
      <c r="T498">
        <v>4750</v>
      </c>
      <c r="U498">
        <v>0</v>
      </c>
      <c r="V498">
        <v>0</v>
      </c>
      <c r="W498">
        <v>0</v>
      </c>
      <c r="X498" s="367"/>
    </row>
    <row r="499" spans="1:24">
      <c r="A499" t="s">
        <v>8115</v>
      </c>
      <c r="B499" t="s">
        <v>8116</v>
      </c>
      <c r="C499">
        <v>3</v>
      </c>
      <c r="D499">
        <v>590</v>
      </c>
      <c r="E499">
        <v>215750000</v>
      </c>
      <c r="F499">
        <v>304</v>
      </c>
      <c r="G499">
        <v>365</v>
      </c>
      <c r="H499">
        <v>369</v>
      </c>
      <c r="I499">
        <v>65</v>
      </c>
      <c r="J499">
        <v>21.38</v>
      </c>
      <c r="K499">
        <v>366</v>
      </c>
      <c r="L499">
        <v>62</v>
      </c>
      <c r="M499">
        <v>20.39</v>
      </c>
      <c r="N499">
        <v>365</v>
      </c>
      <c r="O499">
        <v>369</v>
      </c>
      <c r="P499" t="s">
        <v>192</v>
      </c>
      <c r="Q499" t="s">
        <v>192</v>
      </c>
      <c r="R499">
        <v>1</v>
      </c>
      <c r="S499">
        <v>24</v>
      </c>
      <c r="T499">
        <v>333</v>
      </c>
      <c r="U499">
        <v>0</v>
      </c>
      <c r="V499">
        <v>0</v>
      </c>
      <c r="W499">
        <v>0</v>
      </c>
      <c r="X499" s="367"/>
    </row>
    <row r="500" spans="1:24">
      <c r="A500" t="s">
        <v>135</v>
      </c>
      <c r="B500" t="s">
        <v>134</v>
      </c>
      <c r="C500">
        <v>2061</v>
      </c>
      <c r="D500">
        <v>23754277</v>
      </c>
      <c r="E500">
        <v>333764876160</v>
      </c>
      <c r="F500">
        <v>13680</v>
      </c>
      <c r="G500">
        <v>13950</v>
      </c>
      <c r="H500">
        <v>14060</v>
      </c>
      <c r="I500">
        <v>380</v>
      </c>
      <c r="J500">
        <v>2.78</v>
      </c>
      <c r="K500">
        <v>14050</v>
      </c>
      <c r="L500">
        <v>370</v>
      </c>
      <c r="M500">
        <v>2.7</v>
      </c>
      <c r="N500">
        <v>13920</v>
      </c>
      <c r="O500">
        <v>14090</v>
      </c>
      <c r="P500">
        <v>1506</v>
      </c>
      <c r="Q500">
        <v>9.33</v>
      </c>
      <c r="R500">
        <v>1</v>
      </c>
      <c r="S500">
        <v>400</v>
      </c>
      <c r="T500">
        <v>14050</v>
      </c>
      <c r="U500">
        <v>14060</v>
      </c>
      <c r="V500">
        <v>21895</v>
      </c>
      <c r="W500">
        <v>3</v>
      </c>
      <c r="X500" s="367"/>
    </row>
    <row r="501" spans="1:24">
      <c r="A501" t="s">
        <v>4648</v>
      </c>
      <c r="B501" t="s">
        <v>4649</v>
      </c>
      <c r="C501">
        <v>0</v>
      </c>
      <c r="D501">
        <v>0</v>
      </c>
      <c r="E501">
        <v>0</v>
      </c>
      <c r="F501">
        <v>909285</v>
      </c>
      <c r="G501">
        <v>0</v>
      </c>
      <c r="H501">
        <v>909285</v>
      </c>
      <c r="I501">
        <v>0</v>
      </c>
      <c r="J501">
        <v>0</v>
      </c>
      <c r="K501">
        <v>909285</v>
      </c>
      <c r="L501">
        <v>0</v>
      </c>
      <c r="M501">
        <v>0</v>
      </c>
      <c r="N501">
        <v>0</v>
      </c>
      <c r="O501">
        <v>0</v>
      </c>
      <c r="P501" t="s">
        <v>192</v>
      </c>
      <c r="Q501" t="s">
        <v>192</v>
      </c>
      <c r="R501">
        <v>1</v>
      </c>
      <c r="S501">
        <v>10000</v>
      </c>
      <c r="T501">
        <v>882007</v>
      </c>
      <c r="U501">
        <v>0</v>
      </c>
      <c r="V501">
        <v>0</v>
      </c>
      <c r="W501">
        <v>0</v>
      </c>
      <c r="X501" s="367"/>
    </row>
    <row r="502" spans="1:24">
      <c r="A502" t="s">
        <v>2250</v>
      </c>
      <c r="B502" t="s">
        <v>2249</v>
      </c>
      <c r="C502">
        <v>142</v>
      </c>
      <c r="D502">
        <v>11356408</v>
      </c>
      <c r="E502">
        <v>87444341600</v>
      </c>
      <c r="F502">
        <v>7480</v>
      </c>
      <c r="G502">
        <v>7700</v>
      </c>
      <c r="H502">
        <v>7700</v>
      </c>
      <c r="I502">
        <v>220</v>
      </c>
      <c r="J502">
        <v>2.94</v>
      </c>
      <c r="K502">
        <v>7700</v>
      </c>
      <c r="L502">
        <v>220</v>
      </c>
      <c r="M502">
        <v>2.94</v>
      </c>
      <c r="N502">
        <v>7700</v>
      </c>
      <c r="O502">
        <v>7700</v>
      </c>
      <c r="P502">
        <v>1023</v>
      </c>
      <c r="Q502">
        <v>7.53</v>
      </c>
      <c r="R502">
        <v>46</v>
      </c>
      <c r="S502">
        <v>7514738</v>
      </c>
      <c r="T502">
        <v>7700</v>
      </c>
      <c r="U502">
        <v>8240</v>
      </c>
      <c r="V502">
        <v>160118</v>
      </c>
      <c r="W502">
        <v>3</v>
      </c>
      <c r="X502" s="367"/>
    </row>
    <row r="503" spans="1:24">
      <c r="A503" t="s">
        <v>190</v>
      </c>
      <c r="B503" t="s">
        <v>189</v>
      </c>
      <c r="C503">
        <v>6399</v>
      </c>
      <c r="D503">
        <v>14840639</v>
      </c>
      <c r="E503">
        <v>2603035241663</v>
      </c>
      <c r="F503">
        <v>176256</v>
      </c>
      <c r="G503">
        <v>176300</v>
      </c>
      <c r="H503">
        <v>175200</v>
      </c>
      <c r="I503">
        <v>-1056</v>
      </c>
      <c r="J503">
        <v>-0.6</v>
      </c>
      <c r="K503">
        <v>175399</v>
      </c>
      <c r="L503">
        <v>-857</v>
      </c>
      <c r="M503">
        <v>-0.49</v>
      </c>
      <c r="N503">
        <v>174866</v>
      </c>
      <c r="O503">
        <v>176300</v>
      </c>
      <c r="P503" t="s">
        <v>192</v>
      </c>
      <c r="Q503" t="s">
        <v>192</v>
      </c>
      <c r="R503">
        <v>1</v>
      </c>
      <c r="S503">
        <v>13389</v>
      </c>
      <c r="T503">
        <v>175200</v>
      </c>
      <c r="U503">
        <v>175201</v>
      </c>
      <c r="V503">
        <v>6206</v>
      </c>
      <c r="W503">
        <v>1</v>
      </c>
      <c r="X503" s="367"/>
    </row>
    <row r="504" spans="1:24">
      <c r="A504" t="s">
        <v>4650</v>
      </c>
      <c r="B504" t="s">
        <v>4651</v>
      </c>
      <c r="C504">
        <v>0</v>
      </c>
      <c r="D504">
        <v>0</v>
      </c>
      <c r="E504">
        <v>0</v>
      </c>
      <c r="F504">
        <v>2128629</v>
      </c>
      <c r="G504">
        <v>0</v>
      </c>
      <c r="H504">
        <v>2128629</v>
      </c>
      <c r="I504">
        <v>0</v>
      </c>
      <c r="J504">
        <v>0</v>
      </c>
      <c r="K504">
        <v>2128629</v>
      </c>
      <c r="L504">
        <v>0</v>
      </c>
      <c r="M504">
        <v>0</v>
      </c>
      <c r="N504">
        <v>0</v>
      </c>
      <c r="O504">
        <v>0</v>
      </c>
      <c r="P504" t="s">
        <v>192</v>
      </c>
      <c r="Q504" t="s">
        <v>192</v>
      </c>
      <c r="R504">
        <v>1</v>
      </c>
      <c r="S504">
        <v>5951</v>
      </c>
      <c r="T504">
        <v>2137328</v>
      </c>
      <c r="U504">
        <v>2137329</v>
      </c>
      <c r="V504">
        <v>5951</v>
      </c>
      <c r="W504">
        <v>1</v>
      </c>
      <c r="X504" s="367"/>
    </row>
    <row r="505" spans="1:24">
      <c r="A505" t="s">
        <v>4652</v>
      </c>
      <c r="B505" t="s">
        <v>4653</v>
      </c>
      <c r="C505">
        <v>0</v>
      </c>
      <c r="D505">
        <v>0</v>
      </c>
      <c r="E505">
        <v>0</v>
      </c>
      <c r="F505">
        <v>1000000</v>
      </c>
      <c r="G505">
        <v>0</v>
      </c>
      <c r="H505">
        <v>1000000</v>
      </c>
      <c r="I505">
        <v>0</v>
      </c>
      <c r="J505">
        <v>0</v>
      </c>
      <c r="K505">
        <v>1000000</v>
      </c>
      <c r="L505">
        <v>0</v>
      </c>
      <c r="M505">
        <v>0</v>
      </c>
      <c r="N505">
        <v>0</v>
      </c>
      <c r="O505">
        <v>0</v>
      </c>
      <c r="P505" t="s">
        <v>192</v>
      </c>
      <c r="Q505" t="s">
        <v>192</v>
      </c>
      <c r="R505">
        <v>1</v>
      </c>
      <c r="S505">
        <v>12500</v>
      </c>
      <c r="T505">
        <v>970000</v>
      </c>
      <c r="U505">
        <v>0</v>
      </c>
      <c r="V505">
        <v>0</v>
      </c>
      <c r="W505">
        <v>0</v>
      </c>
      <c r="X505" s="367"/>
    </row>
    <row r="506" spans="1:24">
      <c r="A506" t="s">
        <v>4654</v>
      </c>
      <c r="B506" t="s">
        <v>4655</v>
      </c>
      <c r="C506">
        <v>43</v>
      </c>
      <c r="D506">
        <v>191</v>
      </c>
      <c r="E506">
        <v>1115542000</v>
      </c>
      <c r="F506">
        <v>8289</v>
      </c>
      <c r="G506">
        <v>2600</v>
      </c>
      <c r="H506">
        <v>6999</v>
      </c>
      <c r="I506">
        <v>-1290</v>
      </c>
      <c r="J506">
        <v>-15.56</v>
      </c>
      <c r="K506">
        <v>5841</v>
      </c>
      <c r="L506">
        <v>-2448</v>
      </c>
      <c r="M506">
        <v>-29.53</v>
      </c>
      <c r="N506">
        <v>2600</v>
      </c>
      <c r="O506">
        <v>7000</v>
      </c>
      <c r="P506" t="s">
        <v>192</v>
      </c>
      <c r="Q506" t="s">
        <v>192</v>
      </c>
      <c r="R506">
        <v>1</v>
      </c>
      <c r="S506">
        <v>1</v>
      </c>
      <c r="T506">
        <v>6030</v>
      </c>
      <c r="U506">
        <v>9850</v>
      </c>
      <c r="V506">
        <v>1</v>
      </c>
      <c r="W506">
        <v>1</v>
      </c>
      <c r="X506" s="367"/>
    </row>
    <row r="507" spans="1:24">
      <c r="A507" t="s">
        <v>2254</v>
      </c>
      <c r="B507" t="s">
        <v>2253</v>
      </c>
      <c r="C507">
        <v>154</v>
      </c>
      <c r="D507">
        <v>2776977</v>
      </c>
      <c r="E507">
        <v>78838377030</v>
      </c>
      <c r="F507">
        <v>27570</v>
      </c>
      <c r="G507">
        <v>28390</v>
      </c>
      <c r="H507">
        <v>28390</v>
      </c>
      <c r="I507">
        <v>820</v>
      </c>
      <c r="J507">
        <v>2.97</v>
      </c>
      <c r="K507">
        <v>28390</v>
      </c>
      <c r="L507">
        <v>820</v>
      </c>
      <c r="M507">
        <v>2.97</v>
      </c>
      <c r="N507">
        <v>28390</v>
      </c>
      <c r="O507">
        <v>28390</v>
      </c>
      <c r="P507">
        <v>4812</v>
      </c>
      <c r="Q507">
        <v>5.9</v>
      </c>
      <c r="R507">
        <v>115</v>
      </c>
      <c r="S507">
        <v>4037111</v>
      </c>
      <c r="T507">
        <v>28390</v>
      </c>
      <c r="U507">
        <v>0</v>
      </c>
      <c r="V507">
        <v>0</v>
      </c>
      <c r="W507">
        <v>0</v>
      </c>
      <c r="X507" s="367"/>
    </row>
    <row r="508" spans="1:24">
      <c r="A508" t="s">
        <v>4656</v>
      </c>
      <c r="B508" t="s">
        <v>4657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 t="s">
        <v>192</v>
      </c>
      <c r="Q508" t="s">
        <v>192</v>
      </c>
      <c r="R508">
        <v>1</v>
      </c>
      <c r="S508">
        <v>111</v>
      </c>
      <c r="T508">
        <v>11</v>
      </c>
      <c r="U508">
        <v>0</v>
      </c>
      <c r="V508">
        <v>0</v>
      </c>
      <c r="W508">
        <v>0</v>
      </c>
      <c r="X508" s="367"/>
    </row>
    <row r="509" spans="1:24">
      <c r="A509" t="s">
        <v>1890</v>
      </c>
      <c r="B509" t="s">
        <v>1889</v>
      </c>
      <c r="C509">
        <v>271</v>
      </c>
      <c r="D509">
        <v>14998906</v>
      </c>
      <c r="E509">
        <v>70344869140</v>
      </c>
      <c r="F509">
        <v>4560</v>
      </c>
      <c r="G509">
        <v>4690</v>
      </c>
      <c r="H509">
        <v>4690</v>
      </c>
      <c r="I509">
        <v>130</v>
      </c>
      <c r="J509">
        <v>2.85</v>
      </c>
      <c r="K509">
        <v>4690</v>
      </c>
      <c r="L509">
        <v>130</v>
      </c>
      <c r="M509">
        <v>2.85</v>
      </c>
      <c r="N509">
        <v>4690</v>
      </c>
      <c r="O509">
        <v>4690</v>
      </c>
      <c r="P509">
        <v>1008</v>
      </c>
      <c r="Q509">
        <v>4.6500000000000004</v>
      </c>
      <c r="R509">
        <v>81</v>
      </c>
      <c r="S509">
        <v>14465093</v>
      </c>
      <c r="T509">
        <v>4690</v>
      </c>
      <c r="U509">
        <v>0</v>
      </c>
      <c r="V509">
        <v>0</v>
      </c>
      <c r="W509">
        <v>0</v>
      </c>
      <c r="X509" s="367"/>
    </row>
    <row r="510" spans="1:24">
      <c r="A510" t="s">
        <v>4658</v>
      </c>
      <c r="B510" t="s">
        <v>4659</v>
      </c>
      <c r="C510">
        <v>2057</v>
      </c>
      <c r="D510">
        <v>618066</v>
      </c>
      <c r="E510">
        <v>57626107000</v>
      </c>
      <c r="F510">
        <v>53</v>
      </c>
      <c r="G510">
        <v>100</v>
      </c>
      <c r="H510">
        <v>86</v>
      </c>
      <c r="I510">
        <v>33</v>
      </c>
      <c r="J510">
        <v>62.26</v>
      </c>
      <c r="K510">
        <v>93</v>
      </c>
      <c r="L510">
        <v>40</v>
      </c>
      <c r="M510">
        <v>75.47</v>
      </c>
      <c r="N510">
        <v>84</v>
      </c>
      <c r="O510">
        <v>115</v>
      </c>
      <c r="P510" t="s">
        <v>192</v>
      </c>
      <c r="Q510" t="s">
        <v>192</v>
      </c>
      <c r="R510">
        <v>5</v>
      </c>
      <c r="S510">
        <v>450</v>
      </c>
      <c r="T510">
        <v>84</v>
      </c>
      <c r="U510">
        <v>87</v>
      </c>
      <c r="V510">
        <v>1881</v>
      </c>
      <c r="W510">
        <v>2</v>
      </c>
      <c r="X510" s="367"/>
    </row>
    <row r="511" spans="1:24">
      <c r="A511" t="s">
        <v>4660</v>
      </c>
      <c r="B511" t="s">
        <v>8604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 t="s">
        <v>192</v>
      </c>
      <c r="Q511" t="s">
        <v>192</v>
      </c>
      <c r="R511">
        <v>1</v>
      </c>
      <c r="S511">
        <v>100</v>
      </c>
      <c r="T511">
        <v>1</v>
      </c>
      <c r="U511">
        <v>0</v>
      </c>
      <c r="V511">
        <v>0</v>
      </c>
      <c r="W511">
        <v>0</v>
      </c>
      <c r="X511" s="367"/>
    </row>
    <row r="512" spans="1:24">
      <c r="A512" t="s">
        <v>4661</v>
      </c>
      <c r="B512" t="s">
        <v>4662</v>
      </c>
      <c r="C512">
        <v>0</v>
      </c>
      <c r="D512">
        <v>0</v>
      </c>
      <c r="E512">
        <v>0</v>
      </c>
      <c r="F512">
        <v>971000</v>
      </c>
      <c r="G512">
        <v>0</v>
      </c>
      <c r="H512">
        <v>971000</v>
      </c>
      <c r="I512">
        <v>0</v>
      </c>
      <c r="J512">
        <v>0</v>
      </c>
      <c r="K512">
        <v>971000</v>
      </c>
      <c r="L512">
        <v>0</v>
      </c>
      <c r="M512">
        <v>0</v>
      </c>
      <c r="N512">
        <v>0</v>
      </c>
      <c r="O512">
        <v>0</v>
      </c>
      <c r="P512" t="s">
        <v>192</v>
      </c>
      <c r="Q512" t="s">
        <v>192</v>
      </c>
      <c r="R512">
        <v>1</v>
      </c>
      <c r="S512">
        <v>5000</v>
      </c>
      <c r="T512">
        <v>999990</v>
      </c>
      <c r="U512">
        <v>1000100</v>
      </c>
      <c r="V512">
        <v>5000</v>
      </c>
      <c r="W512">
        <v>1</v>
      </c>
      <c r="X512" s="367"/>
    </row>
    <row r="513" spans="1:24">
      <c r="A513" t="s">
        <v>2566</v>
      </c>
      <c r="B513" t="s">
        <v>122</v>
      </c>
      <c r="C513">
        <v>2</v>
      </c>
      <c r="D513">
        <v>666</v>
      </c>
      <c r="E513">
        <v>1861470</v>
      </c>
      <c r="F513">
        <v>2714</v>
      </c>
      <c r="G513">
        <v>2795</v>
      </c>
      <c r="H513">
        <v>2795</v>
      </c>
      <c r="I513">
        <v>81</v>
      </c>
      <c r="J513">
        <v>2.98</v>
      </c>
      <c r="K513">
        <v>2795</v>
      </c>
      <c r="L513">
        <v>81</v>
      </c>
      <c r="M513">
        <v>2.98</v>
      </c>
      <c r="N513">
        <v>2795</v>
      </c>
      <c r="O513">
        <v>2795</v>
      </c>
      <c r="P513">
        <v>158</v>
      </c>
      <c r="Q513">
        <v>17.690000000000001</v>
      </c>
      <c r="R513">
        <v>11</v>
      </c>
      <c r="S513">
        <v>1410993</v>
      </c>
      <c r="T513">
        <v>2795</v>
      </c>
      <c r="U513">
        <v>0</v>
      </c>
      <c r="V513">
        <v>0</v>
      </c>
      <c r="W513">
        <v>0</v>
      </c>
      <c r="X513" s="367"/>
    </row>
    <row r="514" spans="1:24">
      <c r="A514" t="s">
        <v>8551</v>
      </c>
      <c r="B514" t="s">
        <v>8552</v>
      </c>
      <c r="C514">
        <v>815</v>
      </c>
      <c r="D514">
        <v>176705315</v>
      </c>
      <c r="E514">
        <v>989549764000</v>
      </c>
      <c r="F514">
        <v>5440</v>
      </c>
      <c r="G514">
        <v>5600</v>
      </c>
      <c r="H514">
        <v>5600</v>
      </c>
      <c r="I514">
        <v>160</v>
      </c>
      <c r="J514">
        <v>2.94</v>
      </c>
      <c r="K514">
        <v>5600</v>
      </c>
      <c r="L514">
        <v>160</v>
      </c>
      <c r="M514">
        <v>2.94</v>
      </c>
      <c r="N514">
        <v>5600</v>
      </c>
      <c r="O514">
        <v>5600</v>
      </c>
      <c r="P514" t="s">
        <v>192</v>
      </c>
      <c r="Q514" t="s">
        <v>192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s="367"/>
    </row>
    <row r="515" spans="1:24">
      <c r="A515" t="s">
        <v>4663</v>
      </c>
      <c r="B515" t="s">
        <v>8117</v>
      </c>
      <c r="C515">
        <v>1326</v>
      </c>
      <c r="D515">
        <v>450937</v>
      </c>
      <c r="E515">
        <v>52057432000</v>
      </c>
      <c r="F515">
        <v>81</v>
      </c>
      <c r="G515">
        <v>125</v>
      </c>
      <c r="H515">
        <v>109</v>
      </c>
      <c r="I515">
        <v>28</v>
      </c>
      <c r="J515">
        <v>34.57</v>
      </c>
      <c r="K515">
        <v>115</v>
      </c>
      <c r="L515">
        <v>34</v>
      </c>
      <c r="M515">
        <v>41.98</v>
      </c>
      <c r="N515">
        <v>108</v>
      </c>
      <c r="O515">
        <v>130</v>
      </c>
      <c r="P515" t="s">
        <v>192</v>
      </c>
      <c r="Q515" t="s">
        <v>192</v>
      </c>
      <c r="R515">
        <v>5</v>
      </c>
      <c r="S515">
        <v>4492</v>
      </c>
      <c r="T515">
        <v>108</v>
      </c>
      <c r="U515">
        <v>109</v>
      </c>
      <c r="V515">
        <v>963</v>
      </c>
      <c r="W515">
        <v>1</v>
      </c>
      <c r="X515" s="367"/>
    </row>
    <row r="516" spans="1:24">
      <c r="A516" t="s">
        <v>8742</v>
      </c>
      <c r="B516" t="s">
        <v>8743</v>
      </c>
      <c r="C516">
        <v>11</v>
      </c>
      <c r="D516">
        <v>164710</v>
      </c>
      <c r="E516">
        <v>672016800</v>
      </c>
      <c r="F516">
        <v>3970</v>
      </c>
      <c r="G516">
        <v>4080</v>
      </c>
      <c r="H516">
        <v>4080</v>
      </c>
      <c r="I516">
        <v>110</v>
      </c>
      <c r="J516">
        <v>2.77</v>
      </c>
      <c r="K516">
        <v>4080</v>
      </c>
      <c r="L516">
        <v>110</v>
      </c>
      <c r="M516">
        <v>2.77</v>
      </c>
      <c r="N516">
        <v>4080</v>
      </c>
      <c r="O516">
        <v>4080</v>
      </c>
      <c r="P516">
        <v>1471</v>
      </c>
      <c r="Q516">
        <v>2.77</v>
      </c>
      <c r="R516">
        <v>225</v>
      </c>
      <c r="S516">
        <v>58195833</v>
      </c>
      <c r="T516">
        <v>4080</v>
      </c>
      <c r="U516">
        <v>0</v>
      </c>
      <c r="V516">
        <v>0</v>
      </c>
      <c r="W516">
        <v>0</v>
      </c>
      <c r="X516" s="367"/>
    </row>
    <row r="517" spans="1:24">
      <c r="A517" t="s">
        <v>31</v>
      </c>
      <c r="B517" t="s">
        <v>30</v>
      </c>
      <c r="C517">
        <v>2320</v>
      </c>
      <c r="D517">
        <v>38828286</v>
      </c>
      <c r="E517">
        <v>765612827550</v>
      </c>
      <c r="F517">
        <v>19150</v>
      </c>
      <c r="G517">
        <v>19720</v>
      </c>
      <c r="H517">
        <v>19720</v>
      </c>
      <c r="I517">
        <v>570</v>
      </c>
      <c r="J517">
        <v>2.98</v>
      </c>
      <c r="K517">
        <v>19720</v>
      </c>
      <c r="L517">
        <v>570</v>
      </c>
      <c r="M517">
        <v>2.98</v>
      </c>
      <c r="N517">
        <v>19450</v>
      </c>
      <c r="O517">
        <v>19720</v>
      </c>
      <c r="P517">
        <v>3056</v>
      </c>
      <c r="Q517">
        <v>6.45</v>
      </c>
      <c r="R517">
        <v>4</v>
      </c>
      <c r="S517">
        <v>29036</v>
      </c>
      <c r="T517">
        <v>19710</v>
      </c>
      <c r="U517">
        <v>19800</v>
      </c>
      <c r="V517">
        <v>1000</v>
      </c>
      <c r="W517">
        <v>1</v>
      </c>
      <c r="X517" s="367"/>
    </row>
    <row r="518" spans="1:24">
      <c r="A518" t="s">
        <v>951</v>
      </c>
      <c r="B518" t="s">
        <v>2303</v>
      </c>
      <c r="C518">
        <v>163</v>
      </c>
      <c r="D518">
        <v>560852</v>
      </c>
      <c r="E518">
        <v>19952027440</v>
      </c>
      <c r="F518">
        <v>34570</v>
      </c>
      <c r="G518">
        <v>34570</v>
      </c>
      <c r="H518">
        <v>35600</v>
      </c>
      <c r="I518">
        <v>1030</v>
      </c>
      <c r="J518">
        <v>2.98</v>
      </c>
      <c r="K518">
        <v>35570</v>
      </c>
      <c r="L518">
        <v>1000</v>
      </c>
      <c r="M518">
        <v>2.89</v>
      </c>
      <c r="N518">
        <v>34570</v>
      </c>
      <c r="O518">
        <v>35600</v>
      </c>
      <c r="P518">
        <v>2835</v>
      </c>
      <c r="Q518">
        <v>12.55</v>
      </c>
      <c r="R518">
        <v>7</v>
      </c>
      <c r="S518">
        <v>110729</v>
      </c>
      <c r="T518">
        <v>35600</v>
      </c>
      <c r="U518">
        <v>36170</v>
      </c>
      <c r="V518">
        <v>250</v>
      </c>
      <c r="W518">
        <v>1</v>
      </c>
      <c r="X518" s="367"/>
    </row>
    <row r="519" spans="1:24">
      <c r="A519" t="s">
        <v>4665</v>
      </c>
      <c r="B519" t="s">
        <v>4666</v>
      </c>
      <c r="C519">
        <v>17</v>
      </c>
      <c r="D519">
        <v>579</v>
      </c>
      <c r="E519">
        <v>4515452000</v>
      </c>
      <c r="F519">
        <v>4000</v>
      </c>
      <c r="G519">
        <v>8000</v>
      </c>
      <c r="H519">
        <v>7730</v>
      </c>
      <c r="I519">
        <v>3730</v>
      </c>
      <c r="J519">
        <v>93.25</v>
      </c>
      <c r="K519">
        <v>7799</v>
      </c>
      <c r="L519">
        <v>3799</v>
      </c>
      <c r="M519">
        <v>94.98</v>
      </c>
      <c r="N519">
        <v>7122</v>
      </c>
      <c r="O519">
        <v>8000</v>
      </c>
      <c r="P519" t="s">
        <v>192</v>
      </c>
      <c r="Q519" t="s">
        <v>192</v>
      </c>
      <c r="R519">
        <v>1</v>
      </c>
      <c r="S519">
        <v>10</v>
      </c>
      <c r="T519">
        <v>5002</v>
      </c>
      <c r="U519">
        <v>8000</v>
      </c>
      <c r="V519">
        <v>100</v>
      </c>
      <c r="W519">
        <v>1</v>
      </c>
      <c r="X519" s="367"/>
    </row>
    <row r="520" spans="1:24">
      <c r="A520" t="s">
        <v>8780</v>
      </c>
      <c r="B520" t="s">
        <v>1721</v>
      </c>
      <c r="C520">
        <v>3</v>
      </c>
      <c r="D520">
        <v>200</v>
      </c>
      <c r="E520">
        <v>3282000</v>
      </c>
      <c r="F520">
        <v>15960</v>
      </c>
      <c r="G520">
        <v>16410</v>
      </c>
      <c r="H520">
        <v>16410</v>
      </c>
      <c r="I520">
        <v>450</v>
      </c>
      <c r="J520">
        <v>2.82</v>
      </c>
      <c r="K520">
        <v>16410</v>
      </c>
      <c r="L520">
        <v>450</v>
      </c>
      <c r="M520">
        <v>2.82</v>
      </c>
      <c r="N520">
        <v>16410</v>
      </c>
      <c r="O520">
        <v>16410</v>
      </c>
      <c r="P520">
        <v>1644</v>
      </c>
      <c r="Q520">
        <v>9.98</v>
      </c>
      <c r="R520">
        <v>3</v>
      </c>
      <c r="S520">
        <v>159288</v>
      </c>
      <c r="T520">
        <v>16410</v>
      </c>
      <c r="U520">
        <v>0</v>
      </c>
      <c r="V520">
        <v>0</v>
      </c>
      <c r="W520">
        <v>0</v>
      </c>
      <c r="X520" s="367"/>
    </row>
    <row r="521" spans="1:24">
      <c r="A521" t="s">
        <v>4667</v>
      </c>
      <c r="B521" t="s">
        <v>4668</v>
      </c>
      <c r="C521">
        <v>0</v>
      </c>
      <c r="D521">
        <v>0</v>
      </c>
      <c r="E521">
        <v>0</v>
      </c>
      <c r="F521">
        <v>2036408</v>
      </c>
      <c r="G521">
        <v>0</v>
      </c>
      <c r="H521">
        <v>2036408</v>
      </c>
      <c r="I521">
        <v>0</v>
      </c>
      <c r="J521">
        <v>0</v>
      </c>
      <c r="K521">
        <v>2036408</v>
      </c>
      <c r="L521">
        <v>0</v>
      </c>
      <c r="M521">
        <v>0</v>
      </c>
      <c r="N521">
        <v>0</v>
      </c>
      <c r="O521">
        <v>0</v>
      </c>
      <c r="P521" t="s">
        <v>192</v>
      </c>
      <c r="Q521" t="s">
        <v>192</v>
      </c>
      <c r="R521">
        <v>3</v>
      </c>
      <c r="S521">
        <v>7010</v>
      </c>
      <c r="T521">
        <v>2036408</v>
      </c>
      <c r="U521">
        <v>2240048</v>
      </c>
      <c r="V521">
        <v>1200</v>
      </c>
      <c r="W521">
        <v>1</v>
      </c>
      <c r="X521" s="367"/>
    </row>
    <row r="522" spans="1:24">
      <c r="A522" t="s">
        <v>4669</v>
      </c>
      <c r="B522" t="s">
        <v>4670</v>
      </c>
      <c r="C522">
        <v>0</v>
      </c>
      <c r="D522">
        <v>0</v>
      </c>
      <c r="E522">
        <v>0</v>
      </c>
      <c r="F522">
        <v>1000000</v>
      </c>
      <c r="G522">
        <v>0</v>
      </c>
      <c r="H522">
        <v>1000000</v>
      </c>
      <c r="I522">
        <v>0</v>
      </c>
      <c r="J522">
        <v>0</v>
      </c>
      <c r="K522">
        <v>1000000</v>
      </c>
      <c r="L522">
        <v>0</v>
      </c>
      <c r="M522">
        <v>0</v>
      </c>
      <c r="N522">
        <v>0</v>
      </c>
      <c r="O522">
        <v>0</v>
      </c>
      <c r="P522" t="s">
        <v>192</v>
      </c>
      <c r="Q522" t="s">
        <v>192</v>
      </c>
      <c r="R522">
        <v>1</v>
      </c>
      <c r="S522">
        <v>5000</v>
      </c>
      <c r="T522">
        <v>1000000</v>
      </c>
      <c r="U522">
        <v>0</v>
      </c>
      <c r="V522">
        <v>0</v>
      </c>
      <c r="W522">
        <v>0</v>
      </c>
      <c r="X522" s="367"/>
    </row>
    <row r="523" spans="1:24">
      <c r="A523" t="s">
        <v>4673</v>
      </c>
      <c r="B523" t="s">
        <v>8414</v>
      </c>
      <c r="C523">
        <v>81</v>
      </c>
      <c r="D523">
        <v>6777</v>
      </c>
      <c r="E523">
        <v>17625373092</v>
      </c>
      <c r="F523">
        <v>2082</v>
      </c>
      <c r="G523">
        <v>2000</v>
      </c>
      <c r="H523">
        <v>1869</v>
      </c>
      <c r="I523">
        <v>-213</v>
      </c>
      <c r="J523">
        <v>-10.23</v>
      </c>
      <c r="K523">
        <v>1897</v>
      </c>
      <c r="L523">
        <v>-185</v>
      </c>
      <c r="M523">
        <v>-8.89</v>
      </c>
      <c r="N523">
        <v>1274</v>
      </c>
      <c r="O523">
        <v>2099</v>
      </c>
      <c r="P523" t="s">
        <v>192</v>
      </c>
      <c r="Q523" t="s">
        <v>192</v>
      </c>
      <c r="R523">
        <v>1</v>
      </c>
      <c r="S523">
        <v>200</v>
      </c>
      <c r="T523">
        <v>1711</v>
      </c>
      <c r="U523">
        <v>1750</v>
      </c>
      <c r="V523">
        <v>4</v>
      </c>
      <c r="W523">
        <v>4</v>
      </c>
      <c r="X523" s="367"/>
    </row>
    <row r="524" spans="1:24">
      <c r="A524" t="s">
        <v>8420</v>
      </c>
      <c r="B524" t="s">
        <v>8421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 t="s">
        <v>192</v>
      </c>
      <c r="Q524" t="s">
        <v>192</v>
      </c>
      <c r="R524">
        <v>1</v>
      </c>
      <c r="S524">
        <v>100</v>
      </c>
      <c r="T524">
        <v>1</v>
      </c>
      <c r="U524">
        <v>0</v>
      </c>
      <c r="V524">
        <v>0</v>
      </c>
      <c r="W524">
        <v>0</v>
      </c>
      <c r="X524" s="367"/>
    </row>
    <row r="525" spans="1:24">
      <c r="A525" t="s">
        <v>8502</v>
      </c>
      <c r="B525" t="s">
        <v>8503</v>
      </c>
      <c r="C525">
        <v>8</v>
      </c>
      <c r="D525">
        <v>1911</v>
      </c>
      <c r="E525">
        <v>995100000</v>
      </c>
      <c r="F525">
        <v>185</v>
      </c>
      <c r="G525">
        <v>300</v>
      </c>
      <c r="H525">
        <v>601</v>
      </c>
      <c r="I525">
        <v>416</v>
      </c>
      <c r="J525">
        <v>224.86</v>
      </c>
      <c r="K525">
        <v>521</v>
      </c>
      <c r="L525">
        <v>336</v>
      </c>
      <c r="M525">
        <v>181.62</v>
      </c>
      <c r="N525">
        <v>300</v>
      </c>
      <c r="O525">
        <v>602</v>
      </c>
      <c r="P525" t="s">
        <v>192</v>
      </c>
      <c r="Q525" t="s">
        <v>192</v>
      </c>
      <c r="R525">
        <v>1</v>
      </c>
      <c r="S525">
        <v>2</v>
      </c>
      <c r="T525">
        <v>602</v>
      </c>
      <c r="U525">
        <v>850</v>
      </c>
      <c r="V525">
        <v>200</v>
      </c>
      <c r="W525">
        <v>1</v>
      </c>
      <c r="X525" s="367"/>
    </row>
    <row r="526" spans="1:24">
      <c r="A526" t="s">
        <v>4675</v>
      </c>
      <c r="B526" t="s">
        <v>4676</v>
      </c>
      <c r="C526">
        <v>0</v>
      </c>
      <c r="D526">
        <v>0</v>
      </c>
      <c r="E526">
        <v>0</v>
      </c>
      <c r="F526">
        <v>1000000</v>
      </c>
      <c r="G526">
        <v>0</v>
      </c>
      <c r="H526">
        <v>1000000</v>
      </c>
      <c r="I526">
        <v>0</v>
      </c>
      <c r="J526">
        <v>0</v>
      </c>
      <c r="K526">
        <v>1000000</v>
      </c>
      <c r="L526">
        <v>0</v>
      </c>
      <c r="M526">
        <v>0</v>
      </c>
      <c r="N526">
        <v>0</v>
      </c>
      <c r="O526">
        <v>0</v>
      </c>
      <c r="P526" t="s">
        <v>192</v>
      </c>
      <c r="Q526" t="s">
        <v>192</v>
      </c>
      <c r="R526">
        <v>1</v>
      </c>
      <c r="S526">
        <v>7500</v>
      </c>
      <c r="T526">
        <v>1000000</v>
      </c>
      <c r="U526">
        <v>0</v>
      </c>
      <c r="V526">
        <v>0</v>
      </c>
      <c r="W526">
        <v>0</v>
      </c>
      <c r="X526" s="367"/>
    </row>
    <row r="527" spans="1:24">
      <c r="A527" t="s">
        <v>4677</v>
      </c>
      <c r="B527" t="s">
        <v>4678</v>
      </c>
      <c r="C527">
        <v>0</v>
      </c>
      <c r="D527">
        <v>0</v>
      </c>
      <c r="E527">
        <v>0</v>
      </c>
      <c r="F527">
        <v>1000000</v>
      </c>
      <c r="G527">
        <v>0</v>
      </c>
      <c r="H527">
        <v>1000000</v>
      </c>
      <c r="I527">
        <v>0</v>
      </c>
      <c r="J527">
        <v>0</v>
      </c>
      <c r="K527">
        <v>1000000</v>
      </c>
      <c r="L527">
        <v>0</v>
      </c>
      <c r="M527">
        <v>0</v>
      </c>
      <c r="N527">
        <v>0</v>
      </c>
      <c r="O527">
        <v>0</v>
      </c>
      <c r="P527" t="s">
        <v>192</v>
      </c>
      <c r="Q527" t="s">
        <v>192</v>
      </c>
      <c r="R527">
        <v>1</v>
      </c>
      <c r="S527">
        <v>5000</v>
      </c>
      <c r="T527">
        <v>1000000</v>
      </c>
      <c r="U527">
        <v>0</v>
      </c>
      <c r="V527">
        <v>0</v>
      </c>
      <c r="W527">
        <v>0</v>
      </c>
      <c r="X527" s="367"/>
    </row>
    <row r="528" spans="1:24">
      <c r="A528" t="s">
        <v>59</v>
      </c>
      <c r="B528" t="s">
        <v>58</v>
      </c>
      <c r="C528">
        <v>249</v>
      </c>
      <c r="D528">
        <v>3199629</v>
      </c>
      <c r="E528">
        <v>62392299360</v>
      </c>
      <c r="F528">
        <v>18940</v>
      </c>
      <c r="G528">
        <v>19500</v>
      </c>
      <c r="H528">
        <v>19500</v>
      </c>
      <c r="I528">
        <v>560</v>
      </c>
      <c r="J528">
        <v>2.96</v>
      </c>
      <c r="K528">
        <v>19500</v>
      </c>
      <c r="L528">
        <v>560</v>
      </c>
      <c r="M528">
        <v>2.96</v>
      </c>
      <c r="N528">
        <v>19400</v>
      </c>
      <c r="O528">
        <v>19500</v>
      </c>
      <c r="P528">
        <v>1143</v>
      </c>
      <c r="Q528">
        <v>17.059999999999999</v>
      </c>
      <c r="R528">
        <v>29</v>
      </c>
      <c r="S528">
        <v>248717</v>
      </c>
      <c r="T528">
        <v>19500</v>
      </c>
      <c r="U528">
        <v>20480</v>
      </c>
      <c r="V528">
        <v>525</v>
      </c>
      <c r="W528">
        <v>1</v>
      </c>
      <c r="X528" s="367"/>
    </row>
    <row r="529" spans="1:24">
      <c r="A529" t="s">
        <v>8504</v>
      </c>
      <c r="B529" t="s">
        <v>8505</v>
      </c>
      <c r="C529">
        <v>0</v>
      </c>
      <c r="D529">
        <v>0</v>
      </c>
      <c r="E529">
        <v>0</v>
      </c>
      <c r="F529">
        <v>1683</v>
      </c>
      <c r="G529">
        <v>0</v>
      </c>
      <c r="H529">
        <v>1550</v>
      </c>
      <c r="I529">
        <v>-133</v>
      </c>
      <c r="J529">
        <v>-7.9</v>
      </c>
      <c r="K529">
        <v>1683</v>
      </c>
      <c r="L529">
        <v>0</v>
      </c>
      <c r="M529">
        <v>0</v>
      </c>
      <c r="N529">
        <v>0</v>
      </c>
      <c r="O529">
        <v>0</v>
      </c>
      <c r="P529" t="s">
        <v>192</v>
      </c>
      <c r="Q529" t="s">
        <v>192</v>
      </c>
      <c r="R529">
        <v>1</v>
      </c>
      <c r="S529">
        <v>32</v>
      </c>
      <c r="T529">
        <v>1552</v>
      </c>
      <c r="U529">
        <v>1840</v>
      </c>
      <c r="V529">
        <v>25</v>
      </c>
      <c r="W529">
        <v>1</v>
      </c>
      <c r="X529" s="367"/>
    </row>
    <row r="530" spans="1:24">
      <c r="A530" t="s">
        <v>4679</v>
      </c>
      <c r="B530" t="s">
        <v>3187</v>
      </c>
      <c r="C530">
        <v>165</v>
      </c>
      <c r="D530">
        <v>2438818</v>
      </c>
      <c r="E530">
        <v>90094754504</v>
      </c>
      <c r="F530">
        <v>36838</v>
      </c>
      <c r="G530">
        <v>36950</v>
      </c>
      <c r="H530">
        <v>37099</v>
      </c>
      <c r="I530">
        <v>261</v>
      </c>
      <c r="J530">
        <v>0.71</v>
      </c>
      <c r="K530">
        <v>36942</v>
      </c>
      <c r="L530">
        <v>104</v>
      </c>
      <c r="M530">
        <v>0.28000000000000003</v>
      </c>
      <c r="N530">
        <v>36880</v>
      </c>
      <c r="O530">
        <v>37099</v>
      </c>
      <c r="P530" t="s">
        <v>192</v>
      </c>
      <c r="Q530" t="s">
        <v>192</v>
      </c>
      <c r="R530">
        <v>1</v>
      </c>
      <c r="S530">
        <v>450</v>
      </c>
      <c r="T530">
        <v>37049</v>
      </c>
      <c r="U530">
        <v>37099</v>
      </c>
      <c r="V530">
        <v>150</v>
      </c>
      <c r="W530">
        <v>1</v>
      </c>
      <c r="X530" s="367"/>
    </row>
    <row r="531" spans="1:24">
      <c r="A531" t="s">
        <v>2872</v>
      </c>
      <c r="B531" t="s">
        <v>2871</v>
      </c>
      <c r="C531">
        <v>55</v>
      </c>
      <c r="D531">
        <v>842000</v>
      </c>
      <c r="E531">
        <v>7274880000</v>
      </c>
      <c r="F531">
        <v>8390</v>
      </c>
      <c r="G531">
        <v>8640</v>
      </c>
      <c r="H531">
        <v>8640</v>
      </c>
      <c r="I531">
        <v>250</v>
      </c>
      <c r="J531">
        <v>2.98</v>
      </c>
      <c r="K531">
        <v>8640</v>
      </c>
      <c r="L531">
        <v>250</v>
      </c>
      <c r="M531">
        <v>2.98</v>
      </c>
      <c r="N531">
        <v>8640</v>
      </c>
      <c r="O531">
        <v>8640</v>
      </c>
      <c r="P531">
        <v>1270</v>
      </c>
      <c r="Q531">
        <v>6.8</v>
      </c>
      <c r="R531">
        <v>11</v>
      </c>
      <c r="S531">
        <v>179229</v>
      </c>
      <c r="T531">
        <v>8640</v>
      </c>
      <c r="U531">
        <v>0</v>
      </c>
      <c r="V531">
        <v>0</v>
      </c>
      <c r="W531">
        <v>0</v>
      </c>
      <c r="X531" s="367"/>
    </row>
    <row r="532" spans="1:24">
      <c r="A532" t="s">
        <v>4680</v>
      </c>
      <c r="B532" t="s">
        <v>4681</v>
      </c>
      <c r="C532">
        <v>443</v>
      </c>
      <c r="D532">
        <v>6056</v>
      </c>
      <c r="E532">
        <v>42941331000</v>
      </c>
      <c r="F532">
        <v>11500</v>
      </c>
      <c r="G532">
        <v>7847</v>
      </c>
      <c r="H532">
        <v>6900</v>
      </c>
      <c r="I532">
        <v>-4600</v>
      </c>
      <c r="J532">
        <v>-40</v>
      </c>
      <c r="K532">
        <v>7091</v>
      </c>
      <c r="L532">
        <v>-4409</v>
      </c>
      <c r="M532">
        <v>-38.340000000000003</v>
      </c>
      <c r="N532">
        <v>6761</v>
      </c>
      <c r="O532">
        <v>8600</v>
      </c>
      <c r="P532" t="s">
        <v>192</v>
      </c>
      <c r="Q532" t="s">
        <v>192</v>
      </c>
      <c r="R532">
        <v>1</v>
      </c>
      <c r="S532">
        <v>19</v>
      </c>
      <c r="T532">
        <v>6790</v>
      </c>
      <c r="U532">
        <v>6908</v>
      </c>
      <c r="V532">
        <v>40</v>
      </c>
      <c r="W532">
        <v>1</v>
      </c>
      <c r="X532" s="367"/>
    </row>
    <row r="533" spans="1:24">
      <c r="A533" t="s">
        <v>6985</v>
      </c>
      <c r="B533" t="s">
        <v>6986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 t="s">
        <v>192</v>
      </c>
      <c r="Q533" t="s">
        <v>192</v>
      </c>
      <c r="R533">
        <v>1</v>
      </c>
      <c r="S533">
        <v>100</v>
      </c>
      <c r="T533">
        <v>1</v>
      </c>
      <c r="U533">
        <v>0</v>
      </c>
      <c r="V533">
        <v>0</v>
      </c>
      <c r="W533">
        <v>0</v>
      </c>
      <c r="X533" s="367"/>
    </row>
    <row r="534" spans="1:24">
      <c r="A534" t="s">
        <v>4682</v>
      </c>
      <c r="B534" t="s">
        <v>4683</v>
      </c>
      <c r="C534">
        <v>41</v>
      </c>
      <c r="D534">
        <v>2250991</v>
      </c>
      <c r="E534">
        <v>49468187263</v>
      </c>
      <c r="F534">
        <v>21445</v>
      </c>
      <c r="G534">
        <v>22088</v>
      </c>
      <c r="H534">
        <v>21988</v>
      </c>
      <c r="I534">
        <v>543</v>
      </c>
      <c r="J534">
        <v>2.5299999999999998</v>
      </c>
      <c r="K534">
        <v>21976</v>
      </c>
      <c r="L534">
        <v>531</v>
      </c>
      <c r="M534">
        <v>2.48</v>
      </c>
      <c r="N534">
        <v>21810</v>
      </c>
      <c r="O534">
        <v>22088</v>
      </c>
      <c r="P534" t="s">
        <v>192</v>
      </c>
      <c r="Q534" t="s">
        <v>192</v>
      </c>
      <c r="R534">
        <v>2</v>
      </c>
      <c r="S534">
        <v>111</v>
      </c>
      <c r="T534">
        <v>21978</v>
      </c>
      <c r="U534">
        <v>22088</v>
      </c>
      <c r="V534">
        <v>133295</v>
      </c>
      <c r="W534">
        <v>2</v>
      </c>
      <c r="X534" s="367"/>
    </row>
    <row r="535" spans="1:24">
      <c r="A535" t="s">
        <v>4684</v>
      </c>
      <c r="B535" t="s">
        <v>4685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 t="s">
        <v>192</v>
      </c>
      <c r="Q535" t="s">
        <v>192</v>
      </c>
      <c r="R535">
        <v>1</v>
      </c>
      <c r="S535">
        <v>1000</v>
      </c>
      <c r="T535">
        <v>9</v>
      </c>
      <c r="U535">
        <v>0</v>
      </c>
      <c r="V535">
        <v>0</v>
      </c>
      <c r="W535">
        <v>0</v>
      </c>
      <c r="X535" s="367"/>
    </row>
    <row r="536" spans="1:24">
      <c r="A536" t="s">
        <v>77</v>
      </c>
      <c r="B536" t="s">
        <v>76</v>
      </c>
      <c r="C536">
        <v>234</v>
      </c>
      <c r="D536">
        <v>4299295</v>
      </c>
      <c r="E536">
        <v>104386882600</v>
      </c>
      <c r="F536">
        <v>23580</v>
      </c>
      <c r="G536">
        <v>24280</v>
      </c>
      <c r="H536">
        <v>24280</v>
      </c>
      <c r="I536">
        <v>700</v>
      </c>
      <c r="J536">
        <v>2.97</v>
      </c>
      <c r="K536">
        <v>24280</v>
      </c>
      <c r="L536">
        <v>700</v>
      </c>
      <c r="M536">
        <v>2.97</v>
      </c>
      <c r="N536">
        <v>24280</v>
      </c>
      <c r="O536">
        <v>24280</v>
      </c>
      <c r="P536">
        <v>3814</v>
      </c>
      <c r="Q536">
        <v>6.37</v>
      </c>
      <c r="R536">
        <v>142</v>
      </c>
      <c r="S536">
        <v>1635492</v>
      </c>
      <c r="T536">
        <v>24280</v>
      </c>
      <c r="U536">
        <v>0</v>
      </c>
      <c r="V536">
        <v>0</v>
      </c>
      <c r="W536">
        <v>0</v>
      </c>
      <c r="X536" s="367"/>
    </row>
    <row r="537" spans="1:24">
      <c r="A537" t="s">
        <v>3996</v>
      </c>
      <c r="B537" t="s">
        <v>3997</v>
      </c>
      <c r="C537">
        <v>1</v>
      </c>
      <c r="D537">
        <v>5</v>
      </c>
      <c r="E537">
        <v>13500000</v>
      </c>
      <c r="F537">
        <v>2611238</v>
      </c>
      <c r="G537">
        <v>2700000</v>
      </c>
      <c r="H537">
        <v>2700000</v>
      </c>
      <c r="I537">
        <v>88762</v>
      </c>
      <c r="J537">
        <v>3.4</v>
      </c>
      <c r="K537">
        <v>2700000</v>
      </c>
      <c r="L537">
        <v>88762</v>
      </c>
      <c r="M537">
        <v>3.4</v>
      </c>
      <c r="N537">
        <v>2700000</v>
      </c>
      <c r="O537">
        <v>2700000</v>
      </c>
      <c r="P537" t="s">
        <v>192</v>
      </c>
      <c r="Q537" t="s">
        <v>192</v>
      </c>
      <c r="R537">
        <v>1</v>
      </c>
      <c r="S537">
        <v>388</v>
      </c>
      <c r="T537">
        <v>2570002</v>
      </c>
      <c r="U537">
        <v>2657999</v>
      </c>
      <c r="V537">
        <v>303</v>
      </c>
      <c r="W537">
        <v>1</v>
      </c>
      <c r="X537" s="367"/>
    </row>
    <row r="538" spans="1:24">
      <c r="A538" t="s">
        <v>3998</v>
      </c>
      <c r="B538" t="s">
        <v>3999</v>
      </c>
      <c r="C538">
        <v>0</v>
      </c>
      <c r="D538">
        <v>0</v>
      </c>
      <c r="E538">
        <v>0</v>
      </c>
      <c r="F538">
        <v>851800</v>
      </c>
      <c r="G538">
        <v>0</v>
      </c>
      <c r="H538">
        <v>851800</v>
      </c>
      <c r="I538">
        <v>0</v>
      </c>
      <c r="J538">
        <v>0</v>
      </c>
      <c r="K538">
        <v>851800</v>
      </c>
      <c r="L538">
        <v>0</v>
      </c>
      <c r="M538">
        <v>0</v>
      </c>
      <c r="N538">
        <v>0</v>
      </c>
      <c r="O538">
        <v>0</v>
      </c>
      <c r="P538" t="s">
        <v>192</v>
      </c>
      <c r="Q538" t="s">
        <v>192</v>
      </c>
      <c r="R538">
        <v>1</v>
      </c>
      <c r="S538">
        <v>100000</v>
      </c>
      <c r="T538">
        <v>854000</v>
      </c>
      <c r="U538">
        <v>862400</v>
      </c>
      <c r="V538">
        <v>100000</v>
      </c>
      <c r="W538">
        <v>1</v>
      </c>
      <c r="X538" s="367"/>
    </row>
    <row r="539" spans="1:24">
      <c r="A539" t="s">
        <v>4000</v>
      </c>
      <c r="B539" t="s">
        <v>4001</v>
      </c>
      <c r="C539">
        <v>1</v>
      </c>
      <c r="D539">
        <v>600000</v>
      </c>
      <c r="E539">
        <v>600000</v>
      </c>
      <c r="F539">
        <v>18769</v>
      </c>
      <c r="G539">
        <v>1</v>
      </c>
      <c r="H539">
        <v>1</v>
      </c>
      <c r="I539">
        <v>-18768</v>
      </c>
      <c r="J539">
        <v>-99.99</v>
      </c>
      <c r="K539">
        <v>1</v>
      </c>
      <c r="L539">
        <v>-18768</v>
      </c>
      <c r="M539">
        <v>-99.99</v>
      </c>
      <c r="N539">
        <v>1</v>
      </c>
      <c r="O539">
        <v>1</v>
      </c>
      <c r="P539" t="s">
        <v>192</v>
      </c>
      <c r="Q539" t="s">
        <v>192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 s="367"/>
    </row>
    <row r="540" spans="1:24">
      <c r="A540" t="s">
        <v>2349</v>
      </c>
      <c r="B540" t="s">
        <v>2348</v>
      </c>
      <c r="C540">
        <v>145</v>
      </c>
      <c r="D540">
        <v>40825569</v>
      </c>
      <c r="E540">
        <v>68260351368</v>
      </c>
      <c r="F540">
        <v>1624</v>
      </c>
      <c r="G540">
        <v>1672</v>
      </c>
      <c r="H540">
        <v>1672</v>
      </c>
      <c r="I540">
        <v>48</v>
      </c>
      <c r="J540">
        <v>2.96</v>
      </c>
      <c r="K540">
        <v>1672</v>
      </c>
      <c r="L540">
        <v>48</v>
      </c>
      <c r="M540">
        <v>2.96</v>
      </c>
      <c r="N540">
        <v>1672</v>
      </c>
      <c r="O540">
        <v>1672</v>
      </c>
      <c r="P540">
        <v>370</v>
      </c>
      <c r="Q540">
        <v>4.5199999999999996</v>
      </c>
      <c r="R540">
        <v>100</v>
      </c>
      <c r="S540">
        <v>46888119</v>
      </c>
      <c r="T540">
        <v>1672</v>
      </c>
      <c r="U540">
        <v>0</v>
      </c>
      <c r="V540">
        <v>0</v>
      </c>
      <c r="W540">
        <v>0</v>
      </c>
      <c r="X540" s="367"/>
    </row>
    <row r="541" spans="1:24">
      <c r="A541" t="s">
        <v>4002</v>
      </c>
      <c r="B541" t="s">
        <v>4003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 t="s">
        <v>192</v>
      </c>
      <c r="Q541" t="s">
        <v>192</v>
      </c>
      <c r="R541">
        <v>1</v>
      </c>
      <c r="S541">
        <v>100</v>
      </c>
      <c r="T541">
        <v>1</v>
      </c>
      <c r="U541">
        <v>0</v>
      </c>
      <c r="V541">
        <v>0</v>
      </c>
      <c r="W541">
        <v>0</v>
      </c>
      <c r="X541" s="367"/>
    </row>
    <row r="542" spans="1:24">
      <c r="A542" t="s">
        <v>7745</v>
      </c>
      <c r="B542" t="s">
        <v>5863</v>
      </c>
      <c r="C542">
        <v>1</v>
      </c>
      <c r="D542">
        <v>3650000</v>
      </c>
      <c r="E542">
        <v>3650000</v>
      </c>
      <c r="F542">
        <v>119440</v>
      </c>
      <c r="G542">
        <v>1</v>
      </c>
      <c r="H542">
        <v>1</v>
      </c>
      <c r="I542">
        <v>-119439</v>
      </c>
      <c r="J542">
        <v>-100</v>
      </c>
      <c r="K542">
        <v>1</v>
      </c>
      <c r="L542">
        <v>-119439</v>
      </c>
      <c r="M542">
        <v>-100</v>
      </c>
      <c r="N542">
        <v>1</v>
      </c>
      <c r="O542">
        <v>1</v>
      </c>
      <c r="P542" t="s">
        <v>192</v>
      </c>
      <c r="Q542" t="s">
        <v>192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s="367"/>
    </row>
    <row r="543" spans="1:24">
      <c r="A543" t="s">
        <v>4004</v>
      </c>
      <c r="B543" t="s">
        <v>4005</v>
      </c>
      <c r="C543">
        <v>0</v>
      </c>
      <c r="D543">
        <v>0</v>
      </c>
      <c r="E543">
        <v>0</v>
      </c>
      <c r="F543">
        <v>2</v>
      </c>
      <c r="G543">
        <v>0</v>
      </c>
      <c r="H543">
        <v>2</v>
      </c>
      <c r="I543">
        <v>0</v>
      </c>
      <c r="J543">
        <v>0</v>
      </c>
      <c r="K543">
        <v>2</v>
      </c>
      <c r="L543">
        <v>0</v>
      </c>
      <c r="M543">
        <v>0</v>
      </c>
      <c r="N543">
        <v>0</v>
      </c>
      <c r="O543">
        <v>0</v>
      </c>
      <c r="P543" t="s">
        <v>192</v>
      </c>
      <c r="Q543" t="s">
        <v>192</v>
      </c>
      <c r="R543">
        <v>0</v>
      </c>
      <c r="S543">
        <v>0</v>
      </c>
      <c r="T543">
        <v>0</v>
      </c>
      <c r="U543">
        <v>10</v>
      </c>
      <c r="V543">
        <v>296</v>
      </c>
      <c r="W543">
        <v>1</v>
      </c>
      <c r="X543" s="367"/>
    </row>
    <row r="544" spans="1:24">
      <c r="A544" t="s">
        <v>2929</v>
      </c>
      <c r="B544" t="s">
        <v>2928</v>
      </c>
      <c r="C544">
        <v>229</v>
      </c>
      <c r="D544">
        <v>2067291</v>
      </c>
      <c r="E544">
        <v>77606104140</v>
      </c>
      <c r="F544">
        <v>36450</v>
      </c>
      <c r="G544">
        <v>37540</v>
      </c>
      <c r="H544">
        <v>37540</v>
      </c>
      <c r="I544">
        <v>1090</v>
      </c>
      <c r="J544">
        <v>2.99</v>
      </c>
      <c r="K544">
        <v>37540</v>
      </c>
      <c r="L544">
        <v>1090</v>
      </c>
      <c r="M544">
        <v>2.99</v>
      </c>
      <c r="N544">
        <v>37540</v>
      </c>
      <c r="O544">
        <v>37540</v>
      </c>
      <c r="P544">
        <v>4946</v>
      </c>
      <c r="Q544">
        <v>7.59</v>
      </c>
      <c r="R544">
        <v>20</v>
      </c>
      <c r="S544">
        <v>323499</v>
      </c>
      <c r="T544">
        <v>37540</v>
      </c>
      <c r="U544">
        <v>0</v>
      </c>
      <c r="V544">
        <v>0</v>
      </c>
      <c r="W544">
        <v>0</v>
      </c>
      <c r="X544" s="367"/>
    </row>
    <row r="545" spans="1:24">
      <c r="A545" t="s">
        <v>8781</v>
      </c>
      <c r="B545" t="s">
        <v>30</v>
      </c>
      <c r="C545">
        <v>56</v>
      </c>
      <c r="D545">
        <v>734000</v>
      </c>
      <c r="E545">
        <v>14474480000</v>
      </c>
      <c r="F545">
        <v>19150</v>
      </c>
      <c r="G545">
        <v>19720</v>
      </c>
      <c r="H545">
        <v>19720</v>
      </c>
      <c r="I545">
        <v>570</v>
      </c>
      <c r="J545">
        <v>2.98</v>
      </c>
      <c r="K545">
        <v>19720</v>
      </c>
      <c r="L545">
        <v>570</v>
      </c>
      <c r="M545">
        <v>2.98</v>
      </c>
      <c r="N545">
        <v>19720</v>
      </c>
      <c r="O545">
        <v>19720</v>
      </c>
      <c r="P545">
        <v>3056</v>
      </c>
      <c r="Q545">
        <v>6.45</v>
      </c>
      <c r="R545">
        <v>8</v>
      </c>
      <c r="S545">
        <v>518488</v>
      </c>
      <c r="T545">
        <v>19720</v>
      </c>
      <c r="U545">
        <v>0</v>
      </c>
      <c r="V545">
        <v>0</v>
      </c>
      <c r="W545">
        <v>0</v>
      </c>
      <c r="X545" s="367"/>
    </row>
    <row r="546" spans="1:24">
      <c r="A546" t="s">
        <v>8737</v>
      </c>
      <c r="B546" t="s">
        <v>7963</v>
      </c>
      <c r="C546">
        <v>2</v>
      </c>
      <c r="D546">
        <v>12000000</v>
      </c>
      <c r="E546">
        <v>144720000000</v>
      </c>
      <c r="F546">
        <v>12040</v>
      </c>
      <c r="G546">
        <v>12060</v>
      </c>
      <c r="H546">
        <v>12060</v>
      </c>
      <c r="I546">
        <v>20</v>
      </c>
      <c r="J546">
        <v>0.17</v>
      </c>
      <c r="K546">
        <v>12060</v>
      </c>
      <c r="L546">
        <v>20</v>
      </c>
      <c r="M546">
        <v>0.17</v>
      </c>
      <c r="N546">
        <v>12060</v>
      </c>
      <c r="O546">
        <v>12060</v>
      </c>
      <c r="P546">
        <v>1559</v>
      </c>
      <c r="Q546">
        <v>7.74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s="367"/>
    </row>
    <row r="547" spans="1:24">
      <c r="A547" t="s">
        <v>8193</v>
      </c>
      <c r="B547" t="s">
        <v>8194</v>
      </c>
      <c r="C547">
        <v>0</v>
      </c>
      <c r="D547">
        <v>0</v>
      </c>
      <c r="E547">
        <v>0</v>
      </c>
      <c r="F547">
        <v>844930</v>
      </c>
      <c r="G547">
        <v>0</v>
      </c>
      <c r="H547">
        <v>844930</v>
      </c>
      <c r="I547">
        <v>0</v>
      </c>
      <c r="J547">
        <v>0</v>
      </c>
      <c r="K547">
        <v>844930</v>
      </c>
      <c r="L547">
        <v>0</v>
      </c>
      <c r="M547">
        <v>0</v>
      </c>
      <c r="N547">
        <v>0</v>
      </c>
      <c r="O547">
        <v>0</v>
      </c>
      <c r="P547" t="s">
        <v>192</v>
      </c>
      <c r="Q547" t="s">
        <v>192</v>
      </c>
      <c r="R547">
        <v>0</v>
      </c>
      <c r="S547">
        <v>0</v>
      </c>
      <c r="T547">
        <v>0</v>
      </c>
      <c r="U547">
        <v>859980</v>
      </c>
      <c r="V547">
        <v>5000</v>
      </c>
      <c r="W547">
        <v>1</v>
      </c>
      <c r="X547" s="367"/>
    </row>
    <row r="548" spans="1:24">
      <c r="A548" t="s">
        <v>4006</v>
      </c>
      <c r="B548" t="s">
        <v>4007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 t="s">
        <v>192</v>
      </c>
      <c r="Q548" t="s">
        <v>192</v>
      </c>
      <c r="R548">
        <v>1</v>
      </c>
      <c r="S548">
        <v>20</v>
      </c>
      <c r="T548">
        <v>1003</v>
      </c>
      <c r="U548">
        <v>0</v>
      </c>
      <c r="V548">
        <v>0</v>
      </c>
      <c r="W548">
        <v>0</v>
      </c>
      <c r="X548" s="367"/>
    </row>
    <row r="549" spans="1:24">
      <c r="A549" t="s">
        <v>8782</v>
      </c>
      <c r="B549" t="s">
        <v>162</v>
      </c>
      <c r="C549">
        <v>1</v>
      </c>
      <c r="D549">
        <v>36000</v>
      </c>
      <c r="E549">
        <v>255240000</v>
      </c>
      <c r="F549">
        <v>6900</v>
      </c>
      <c r="G549">
        <v>7090</v>
      </c>
      <c r="H549">
        <v>7090</v>
      </c>
      <c r="I549">
        <v>190</v>
      </c>
      <c r="J549">
        <v>2.75</v>
      </c>
      <c r="K549">
        <v>7090</v>
      </c>
      <c r="L549">
        <v>190</v>
      </c>
      <c r="M549">
        <v>2.75</v>
      </c>
      <c r="N549">
        <v>7090</v>
      </c>
      <c r="O549">
        <v>7090</v>
      </c>
      <c r="P549">
        <v>841</v>
      </c>
      <c r="Q549">
        <v>8.43</v>
      </c>
      <c r="R549">
        <v>208</v>
      </c>
      <c r="S549">
        <v>46048117</v>
      </c>
      <c r="T549">
        <v>7090</v>
      </c>
      <c r="U549">
        <v>0</v>
      </c>
      <c r="V549">
        <v>0</v>
      </c>
      <c r="W549">
        <v>0</v>
      </c>
      <c r="X549" s="367"/>
    </row>
    <row r="550" spans="1:24">
      <c r="A550" t="s">
        <v>7950</v>
      </c>
      <c r="B550" t="s">
        <v>7951</v>
      </c>
      <c r="C550">
        <v>4</v>
      </c>
      <c r="D550">
        <v>14</v>
      </c>
      <c r="E550">
        <v>87090000</v>
      </c>
      <c r="F550">
        <v>7265</v>
      </c>
      <c r="G550">
        <v>4500</v>
      </c>
      <c r="H550">
        <v>6300</v>
      </c>
      <c r="I550">
        <v>-965</v>
      </c>
      <c r="J550">
        <v>-13.28</v>
      </c>
      <c r="K550">
        <v>6221</v>
      </c>
      <c r="L550">
        <v>-1044</v>
      </c>
      <c r="M550">
        <v>-14.37</v>
      </c>
      <c r="N550">
        <v>4500</v>
      </c>
      <c r="O550">
        <v>9990</v>
      </c>
      <c r="P550" t="s">
        <v>192</v>
      </c>
      <c r="Q550" t="s">
        <v>192</v>
      </c>
      <c r="R550">
        <v>1</v>
      </c>
      <c r="S550">
        <v>10</v>
      </c>
      <c r="T550">
        <v>4600</v>
      </c>
      <c r="U550">
        <v>8000</v>
      </c>
      <c r="V550">
        <v>1</v>
      </c>
      <c r="W550">
        <v>1</v>
      </c>
      <c r="X550" s="367"/>
    </row>
    <row r="551" spans="1:24">
      <c r="A551" t="s">
        <v>4008</v>
      </c>
      <c r="B551" t="s">
        <v>4009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 t="s">
        <v>192</v>
      </c>
      <c r="Q551" t="s">
        <v>192</v>
      </c>
      <c r="R551">
        <v>1</v>
      </c>
      <c r="S551">
        <v>444</v>
      </c>
      <c r="T551">
        <v>4</v>
      </c>
      <c r="U551">
        <v>0</v>
      </c>
      <c r="V551">
        <v>0</v>
      </c>
      <c r="W551">
        <v>0</v>
      </c>
      <c r="X551" s="367"/>
    </row>
    <row r="552" spans="1:24">
      <c r="A552" t="s">
        <v>4010</v>
      </c>
      <c r="B552" t="s">
        <v>4011</v>
      </c>
      <c r="C552">
        <v>122</v>
      </c>
      <c r="D552">
        <v>61103</v>
      </c>
      <c r="E552">
        <v>19090367100</v>
      </c>
      <c r="F552">
        <v>303500</v>
      </c>
      <c r="G552">
        <v>312600</v>
      </c>
      <c r="H552">
        <v>312600</v>
      </c>
      <c r="I552">
        <v>9100</v>
      </c>
      <c r="J552">
        <v>3</v>
      </c>
      <c r="K552">
        <v>312400</v>
      </c>
      <c r="L552">
        <v>8900</v>
      </c>
      <c r="M552">
        <v>2.93</v>
      </c>
      <c r="N552">
        <v>309500</v>
      </c>
      <c r="O552">
        <v>312600</v>
      </c>
      <c r="P552">
        <v>57790</v>
      </c>
      <c r="Q552">
        <v>5.41</v>
      </c>
      <c r="R552">
        <v>9</v>
      </c>
      <c r="S552">
        <v>33126</v>
      </c>
      <c r="T552">
        <v>312600</v>
      </c>
      <c r="U552">
        <v>0</v>
      </c>
      <c r="V552">
        <v>0</v>
      </c>
      <c r="W552">
        <v>0</v>
      </c>
      <c r="X552" s="367"/>
    </row>
    <row r="553" spans="1:24">
      <c r="A553" t="s">
        <v>8783</v>
      </c>
      <c r="B553" t="s">
        <v>4012</v>
      </c>
      <c r="C553">
        <v>2</v>
      </c>
      <c r="D553">
        <v>698</v>
      </c>
      <c r="E553">
        <v>5255940</v>
      </c>
      <c r="F553">
        <v>7380</v>
      </c>
      <c r="G553">
        <v>7530</v>
      </c>
      <c r="H553">
        <v>7530</v>
      </c>
      <c r="I553">
        <v>150</v>
      </c>
      <c r="J553">
        <v>2.0299999999999998</v>
      </c>
      <c r="K553">
        <v>7530</v>
      </c>
      <c r="L553">
        <v>150</v>
      </c>
      <c r="M553">
        <v>2.0299999999999998</v>
      </c>
      <c r="N553">
        <v>7530</v>
      </c>
      <c r="O553">
        <v>7530</v>
      </c>
      <c r="P553">
        <v>762</v>
      </c>
      <c r="Q553">
        <v>9.8800000000000008</v>
      </c>
      <c r="R553">
        <v>4</v>
      </c>
      <c r="S553">
        <v>11967</v>
      </c>
      <c r="T553">
        <v>7530</v>
      </c>
      <c r="U553">
        <v>0</v>
      </c>
      <c r="V553">
        <v>0</v>
      </c>
      <c r="W553">
        <v>0</v>
      </c>
      <c r="X553" s="367"/>
    </row>
    <row r="554" spans="1:24">
      <c r="A554" t="s">
        <v>4013</v>
      </c>
      <c r="B554" t="s">
        <v>4014</v>
      </c>
      <c r="C554">
        <v>490</v>
      </c>
      <c r="D554">
        <v>198340</v>
      </c>
      <c r="E554">
        <v>139801242000</v>
      </c>
      <c r="F554">
        <v>647</v>
      </c>
      <c r="G554">
        <v>708</v>
      </c>
      <c r="H554">
        <v>707</v>
      </c>
      <c r="I554">
        <v>60</v>
      </c>
      <c r="J554">
        <v>9.27</v>
      </c>
      <c r="K554">
        <v>705</v>
      </c>
      <c r="L554">
        <v>58</v>
      </c>
      <c r="M554">
        <v>8.9600000000000009</v>
      </c>
      <c r="N554">
        <v>695</v>
      </c>
      <c r="O554">
        <v>717</v>
      </c>
      <c r="P554" t="s">
        <v>192</v>
      </c>
      <c r="Q554" t="s">
        <v>192</v>
      </c>
      <c r="R554">
        <v>1</v>
      </c>
      <c r="S554">
        <v>212</v>
      </c>
      <c r="T554">
        <v>693</v>
      </c>
      <c r="U554">
        <v>0</v>
      </c>
      <c r="V554">
        <v>0</v>
      </c>
      <c r="W554">
        <v>0</v>
      </c>
      <c r="X554" s="367"/>
    </row>
    <row r="555" spans="1:24">
      <c r="A555" t="s">
        <v>8259</v>
      </c>
      <c r="B555" t="s">
        <v>8260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 t="s">
        <v>192</v>
      </c>
      <c r="Q555" t="s">
        <v>192</v>
      </c>
      <c r="R555">
        <v>1</v>
      </c>
      <c r="S555">
        <v>999</v>
      </c>
      <c r="T555">
        <v>3</v>
      </c>
      <c r="U555">
        <v>18</v>
      </c>
      <c r="V555">
        <v>100</v>
      </c>
      <c r="W555">
        <v>1</v>
      </c>
      <c r="X555" s="367"/>
    </row>
    <row r="556" spans="1:24">
      <c r="A556" t="s">
        <v>4015</v>
      </c>
      <c r="B556" t="s">
        <v>4016</v>
      </c>
      <c r="C556">
        <v>49</v>
      </c>
      <c r="D556">
        <v>709</v>
      </c>
      <c r="E556">
        <v>584176000</v>
      </c>
      <c r="F556">
        <v>1549</v>
      </c>
      <c r="G556">
        <v>900</v>
      </c>
      <c r="H556">
        <v>793</v>
      </c>
      <c r="I556">
        <v>-756</v>
      </c>
      <c r="J556">
        <v>-48.81</v>
      </c>
      <c r="K556">
        <v>824</v>
      </c>
      <c r="L556">
        <v>-725</v>
      </c>
      <c r="M556">
        <v>-46.8</v>
      </c>
      <c r="N556">
        <v>750</v>
      </c>
      <c r="O556">
        <v>1000</v>
      </c>
      <c r="P556" t="s">
        <v>192</v>
      </c>
      <c r="Q556" t="s">
        <v>192</v>
      </c>
      <c r="R556">
        <v>1</v>
      </c>
      <c r="S556">
        <v>536</v>
      </c>
      <c r="T556">
        <v>793</v>
      </c>
      <c r="U556">
        <v>944</v>
      </c>
      <c r="V556">
        <v>32</v>
      </c>
      <c r="W556">
        <v>1</v>
      </c>
      <c r="X556" s="367"/>
    </row>
    <row r="557" spans="1:24">
      <c r="A557" t="s">
        <v>7870</v>
      </c>
      <c r="B557" t="s">
        <v>7871</v>
      </c>
      <c r="C557">
        <v>169</v>
      </c>
      <c r="D557">
        <v>25303</v>
      </c>
      <c r="E557">
        <v>16604936000</v>
      </c>
      <c r="F557">
        <v>529</v>
      </c>
      <c r="G557">
        <v>789</v>
      </c>
      <c r="H557">
        <v>650</v>
      </c>
      <c r="I557">
        <v>121</v>
      </c>
      <c r="J557">
        <v>22.87</v>
      </c>
      <c r="K557">
        <v>656</v>
      </c>
      <c r="L557">
        <v>127</v>
      </c>
      <c r="M557">
        <v>24.01</v>
      </c>
      <c r="N557">
        <v>600</v>
      </c>
      <c r="O557">
        <v>789</v>
      </c>
      <c r="P557" t="s">
        <v>192</v>
      </c>
      <c r="Q557" t="s">
        <v>192</v>
      </c>
      <c r="R557">
        <v>1</v>
      </c>
      <c r="S557">
        <v>58</v>
      </c>
      <c r="T557">
        <v>626</v>
      </c>
      <c r="U557">
        <v>677</v>
      </c>
      <c r="V557">
        <v>2</v>
      </c>
      <c r="W557">
        <v>1</v>
      </c>
      <c r="X557" s="367"/>
    </row>
    <row r="558" spans="1:24">
      <c r="A558" t="s">
        <v>4017</v>
      </c>
      <c r="B558" t="s">
        <v>4018</v>
      </c>
      <c r="C558">
        <v>12</v>
      </c>
      <c r="D558">
        <v>13</v>
      </c>
      <c r="E558">
        <v>915888000</v>
      </c>
      <c r="F558">
        <v>69459</v>
      </c>
      <c r="G558">
        <v>74999</v>
      </c>
      <c r="H558">
        <v>69471</v>
      </c>
      <c r="I558">
        <v>12</v>
      </c>
      <c r="J558">
        <v>0.02</v>
      </c>
      <c r="K558">
        <v>70453</v>
      </c>
      <c r="L558">
        <v>994</v>
      </c>
      <c r="M558">
        <v>1.43</v>
      </c>
      <c r="N558">
        <v>68900</v>
      </c>
      <c r="O558">
        <v>74999</v>
      </c>
      <c r="P558" t="s">
        <v>192</v>
      </c>
      <c r="Q558" t="s">
        <v>192</v>
      </c>
      <c r="R558">
        <v>1</v>
      </c>
      <c r="S558">
        <v>1</v>
      </c>
      <c r="T558">
        <v>69461</v>
      </c>
      <c r="U558">
        <v>73330</v>
      </c>
      <c r="V558">
        <v>14</v>
      </c>
      <c r="W558">
        <v>1</v>
      </c>
      <c r="X558" s="367"/>
    </row>
    <row r="559" spans="1:24">
      <c r="A559" t="s">
        <v>6508</v>
      </c>
      <c r="B559" t="s">
        <v>4881</v>
      </c>
      <c r="C559">
        <v>1</v>
      </c>
      <c r="D559">
        <v>10000000</v>
      </c>
      <c r="E559">
        <v>10000000</v>
      </c>
      <c r="F559">
        <v>24153</v>
      </c>
      <c r="G559">
        <v>1</v>
      </c>
      <c r="H559">
        <v>1</v>
      </c>
      <c r="I559">
        <v>-24152</v>
      </c>
      <c r="J559">
        <v>-100</v>
      </c>
      <c r="K559">
        <v>1</v>
      </c>
      <c r="L559">
        <v>-24152</v>
      </c>
      <c r="M559">
        <v>-100</v>
      </c>
      <c r="N559">
        <v>1</v>
      </c>
      <c r="O559">
        <v>1</v>
      </c>
      <c r="P559" t="s">
        <v>192</v>
      </c>
      <c r="Q559" t="s">
        <v>192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s="367"/>
    </row>
    <row r="560" spans="1:24">
      <c r="A560" t="s">
        <v>2482</v>
      </c>
      <c r="B560" t="s">
        <v>2481</v>
      </c>
      <c r="C560">
        <v>415</v>
      </c>
      <c r="D560">
        <v>9993742</v>
      </c>
      <c r="E560">
        <v>122419775050</v>
      </c>
      <c r="F560">
        <v>11900</v>
      </c>
      <c r="G560">
        <v>12250</v>
      </c>
      <c r="H560">
        <v>12250</v>
      </c>
      <c r="I560">
        <v>350</v>
      </c>
      <c r="J560">
        <v>2.94</v>
      </c>
      <c r="K560">
        <v>12250</v>
      </c>
      <c r="L560">
        <v>350</v>
      </c>
      <c r="M560">
        <v>2.94</v>
      </c>
      <c r="N560">
        <v>12200</v>
      </c>
      <c r="O560">
        <v>12250</v>
      </c>
      <c r="P560">
        <v>1674</v>
      </c>
      <c r="Q560">
        <v>7.32</v>
      </c>
      <c r="R560">
        <v>27</v>
      </c>
      <c r="S560">
        <v>523114</v>
      </c>
      <c r="T560">
        <v>12250</v>
      </c>
      <c r="U560">
        <v>12770</v>
      </c>
      <c r="V560">
        <v>988</v>
      </c>
      <c r="W560">
        <v>1</v>
      </c>
      <c r="X560" s="367"/>
    </row>
    <row r="561" spans="1:24">
      <c r="A561" t="s">
        <v>2797</v>
      </c>
      <c r="B561" t="s">
        <v>2796</v>
      </c>
      <c r="C561">
        <v>261</v>
      </c>
      <c r="D561">
        <v>10849011</v>
      </c>
      <c r="E561">
        <v>61609438840</v>
      </c>
      <c r="F561">
        <v>5520</v>
      </c>
      <c r="G561">
        <v>5680</v>
      </c>
      <c r="H561">
        <v>5680</v>
      </c>
      <c r="I561">
        <v>160</v>
      </c>
      <c r="J561">
        <v>2.9</v>
      </c>
      <c r="K561">
        <v>5680</v>
      </c>
      <c r="L561">
        <v>160</v>
      </c>
      <c r="M561">
        <v>2.9</v>
      </c>
      <c r="N561">
        <v>5610</v>
      </c>
      <c r="O561">
        <v>5680</v>
      </c>
      <c r="P561">
        <v>725</v>
      </c>
      <c r="Q561">
        <v>7.83</v>
      </c>
      <c r="R561">
        <v>2</v>
      </c>
      <c r="S561">
        <v>11550</v>
      </c>
      <c r="T561">
        <v>5680</v>
      </c>
      <c r="U561">
        <v>0</v>
      </c>
      <c r="V561">
        <v>0</v>
      </c>
      <c r="W561">
        <v>0</v>
      </c>
      <c r="X561" s="367"/>
    </row>
    <row r="562" spans="1:24">
      <c r="A562" t="s">
        <v>4019</v>
      </c>
      <c r="B562" t="s">
        <v>4020</v>
      </c>
      <c r="C562">
        <v>59</v>
      </c>
      <c r="D562">
        <v>5304156</v>
      </c>
      <c r="E562">
        <v>1308567110136</v>
      </c>
      <c r="F562">
        <v>239521</v>
      </c>
      <c r="G562">
        <v>246706</v>
      </c>
      <c r="H562">
        <v>246706</v>
      </c>
      <c r="I562">
        <v>7185</v>
      </c>
      <c r="J562">
        <v>3</v>
      </c>
      <c r="K562">
        <v>246706</v>
      </c>
      <c r="L562">
        <v>7185</v>
      </c>
      <c r="M562">
        <v>3</v>
      </c>
      <c r="N562">
        <v>246706</v>
      </c>
      <c r="O562">
        <v>246706</v>
      </c>
      <c r="P562" t="s">
        <v>192</v>
      </c>
      <c r="Q562" t="s">
        <v>192</v>
      </c>
      <c r="R562">
        <v>21</v>
      </c>
      <c r="S562">
        <v>1613717</v>
      </c>
      <c r="T562">
        <v>246706</v>
      </c>
      <c r="U562">
        <v>0</v>
      </c>
      <c r="V562">
        <v>0</v>
      </c>
      <c r="W562">
        <v>0</v>
      </c>
      <c r="X562" s="367"/>
    </row>
    <row r="563" spans="1:24">
      <c r="A563" t="s">
        <v>2391</v>
      </c>
      <c r="B563" t="s">
        <v>2390</v>
      </c>
      <c r="C563">
        <v>382</v>
      </c>
      <c r="D563">
        <v>28116413</v>
      </c>
      <c r="E563">
        <v>124555709590</v>
      </c>
      <c r="F563">
        <v>4310</v>
      </c>
      <c r="G563">
        <v>4430</v>
      </c>
      <c r="H563">
        <v>4430</v>
      </c>
      <c r="I563">
        <v>120</v>
      </c>
      <c r="J563">
        <v>2.78</v>
      </c>
      <c r="K563">
        <v>4430</v>
      </c>
      <c r="L563">
        <v>120</v>
      </c>
      <c r="M563">
        <v>2.78</v>
      </c>
      <c r="N563">
        <v>4430</v>
      </c>
      <c r="O563">
        <v>4430</v>
      </c>
      <c r="P563">
        <v>284</v>
      </c>
      <c r="Q563">
        <v>15.6</v>
      </c>
      <c r="R563">
        <v>55</v>
      </c>
      <c r="S563">
        <v>1770540</v>
      </c>
      <c r="T563">
        <v>4430</v>
      </c>
      <c r="U563">
        <v>4800</v>
      </c>
      <c r="V563">
        <v>2644</v>
      </c>
      <c r="W563">
        <v>1</v>
      </c>
      <c r="X563" s="367"/>
    </row>
    <row r="564" spans="1:24">
      <c r="A564" t="s">
        <v>83</v>
      </c>
      <c r="B564" t="s">
        <v>82</v>
      </c>
      <c r="C564">
        <v>382</v>
      </c>
      <c r="D564">
        <v>3490179</v>
      </c>
      <c r="E564">
        <v>48274595630</v>
      </c>
      <c r="F564">
        <v>13450</v>
      </c>
      <c r="G564">
        <v>13850</v>
      </c>
      <c r="H564">
        <v>13850</v>
      </c>
      <c r="I564">
        <v>400</v>
      </c>
      <c r="J564">
        <v>2.97</v>
      </c>
      <c r="K564">
        <v>13830</v>
      </c>
      <c r="L564">
        <v>380</v>
      </c>
      <c r="M564">
        <v>2.83</v>
      </c>
      <c r="N564">
        <v>13640</v>
      </c>
      <c r="O564">
        <v>13850</v>
      </c>
      <c r="P564">
        <v>2014</v>
      </c>
      <c r="Q564">
        <v>6.87</v>
      </c>
      <c r="R564">
        <v>6</v>
      </c>
      <c r="S564">
        <v>47512</v>
      </c>
      <c r="T564">
        <v>13850</v>
      </c>
      <c r="U564">
        <v>14120</v>
      </c>
      <c r="V564">
        <v>381</v>
      </c>
      <c r="W564">
        <v>1</v>
      </c>
      <c r="X564" s="367"/>
    </row>
    <row r="565" spans="1:24">
      <c r="A565" t="s">
        <v>4021</v>
      </c>
      <c r="B565" t="s">
        <v>4022</v>
      </c>
      <c r="C565">
        <v>205</v>
      </c>
      <c r="D565">
        <v>2540359</v>
      </c>
      <c r="E565">
        <v>23223612051</v>
      </c>
      <c r="F565">
        <v>8889</v>
      </c>
      <c r="G565">
        <v>9061</v>
      </c>
      <c r="H565">
        <v>9155</v>
      </c>
      <c r="I565">
        <v>266</v>
      </c>
      <c r="J565">
        <v>2.99</v>
      </c>
      <c r="K565">
        <v>9142</v>
      </c>
      <c r="L565">
        <v>253</v>
      </c>
      <c r="M565">
        <v>2.85</v>
      </c>
      <c r="N565">
        <v>9040</v>
      </c>
      <c r="O565">
        <v>9155</v>
      </c>
      <c r="P565" t="s">
        <v>192</v>
      </c>
      <c r="Q565" t="s">
        <v>192</v>
      </c>
      <c r="R565">
        <v>1</v>
      </c>
      <c r="S565">
        <v>500</v>
      </c>
      <c r="T565">
        <v>9140</v>
      </c>
      <c r="U565">
        <v>9213</v>
      </c>
      <c r="V565">
        <v>1607</v>
      </c>
      <c r="W565">
        <v>3</v>
      </c>
      <c r="X565" s="367"/>
    </row>
    <row r="566" spans="1:24">
      <c r="A566" t="s">
        <v>1713</v>
      </c>
      <c r="B566" t="s">
        <v>1712</v>
      </c>
      <c r="C566">
        <v>60</v>
      </c>
      <c r="D566">
        <v>1550730</v>
      </c>
      <c r="E566">
        <v>6567744230</v>
      </c>
      <c r="F566">
        <v>4120</v>
      </c>
      <c r="G566">
        <v>4230</v>
      </c>
      <c r="H566">
        <v>4230</v>
      </c>
      <c r="I566">
        <v>110</v>
      </c>
      <c r="J566">
        <v>2.67</v>
      </c>
      <c r="K566">
        <v>4240</v>
      </c>
      <c r="L566">
        <v>120</v>
      </c>
      <c r="M566">
        <v>2.91</v>
      </c>
      <c r="N566">
        <v>4130</v>
      </c>
      <c r="O566">
        <v>4240</v>
      </c>
      <c r="P566">
        <v>875</v>
      </c>
      <c r="Q566">
        <v>4.8499999999999996</v>
      </c>
      <c r="R566">
        <v>1</v>
      </c>
      <c r="S566">
        <v>5000</v>
      </c>
      <c r="T566">
        <v>4210</v>
      </c>
      <c r="U566">
        <v>4230</v>
      </c>
      <c r="V566">
        <v>38284</v>
      </c>
      <c r="W566">
        <v>1</v>
      </c>
      <c r="X566" s="367"/>
    </row>
    <row r="567" spans="1:24">
      <c r="A567" t="s">
        <v>1956</v>
      </c>
      <c r="B567" t="s">
        <v>1955</v>
      </c>
      <c r="C567">
        <v>7163</v>
      </c>
      <c r="D567">
        <v>31763537</v>
      </c>
      <c r="E567">
        <v>1137651750400</v>
      </c>
      <c r="F567">
        <v>35670</v>
      </c>
      <c r="G567">
        <v>36740</v>
      </c>
      <c r="H567">
        <v>34920</v>
      </c>
      <c r="I567">
        <v>-750</v>
      </c>
      <c r="J567">
        <v>-2.1</v>
      </c>
      <c r="K567">
        <v>35820</v>
      </c>
      <c r="L567">
        <v>150</v>
      </c>
      <c r="M567">
        <v>0.42</v>
      </c>
      <c r="N567">
        <v>34710</v>
      </c>
      <c r="O567">
        <v>36740</v>
      </c>
      <c r="P567">
        <v>1764</v>
      </c>
      <c r="Q567">
        <v>20.309999999999999</v>
      </c>
      <c r="R567">
        <v>1</v>
      </c>
      <c r="S567">
        <v>159</v>
      </c>
      <c r="T567">
        <v>34790</v>
      </c>
      <c r="U567">
        <v>34930</v>
      </c>
      <c r="V567">
        <v>107868</v>
      </c>
      <c r="W567">
        <v>6</v>
      </c>
      <c r="X567" s="367"/>
    </row>
    <row r="568" spans="1:24">
      <c r="A568" t="s">
        <v>129</v>
      </c>
      <c r="B568" t="s">
        <v>128</v>
      </c>
      <c r="C568">
        <v>2165</v>
      </c>
      <c r="D568">
        <v>110426200</v>
      </c>
      <c r="E568">
        <v>1192602960000</v>
      </c>
      <c r="F568">
        <v>10490</v>
      </c>
      <c r="G568">
        <v>10800</v>
      </c>
      <c r="H568">
        <v>10800</v>
      </c>
      <c r="I568">
        <v>310</v>
      </c>
      <c r="J568">
        <v>2.96</v>
      </c>
      <c r="K568">
        <v>10800</v>
      </c>
      <c r="L568">
        <v>310</v>
      </c>
      <c r="M568">
        <v>2.96</v>
      </c>
      <c r="N568">
        <v>10800</v>
      </c>
      <c r="O568">
        <v>10800</v>
      </c>
      <c r="P568">
        <v>1069</v>
      </c>
      <c r="Q568">
        <v>10.1</v>
      </c>
      <c r="R568">
        <v>332</v>
      </c>
      <c r="S568">
        <v>20648516</v>
      </c>
      <c r="T568">
        <v>10800</v>
      </c>
      <c r="U568">
        <v>10980</v>
      </c>
      <c r="V568">
        <v>503</v>
      </c>
      <c r="W568">
        <v>1</v>
      </c>
      <c r="X568" s="367"/>
    </row>
    <row r="569" spans="1:24">
      <c r="A569" t="s">
        <v>4025</v>
      </c>
      <c r="B569" t="s">
        <v>4026</v>
      </c>
      <c r="C569">
        <v>1443</v>
      </c>
      <c r="D569">
        <v>70147409</v>
      </c>
      <c r="E569">
        <v>9426429693791</v>
      </c>
      <c r="F569">
        <v>134192</v>
      </c>
      <c r="G569">
        <v>134380</v>
      </c>
      <c r="H569">
        <v>134381</v>
      </c>
      <c r="I569">
        <v>189</v>
      </c>
      <c r="J569">
        <v>0.14000000000000001</v>
      </c>
      <c r="K569">
        <v>134380</v>
      </c>
      <c r="L569">
        <v>188</v>
      </c>
      <c r="M569">
        <v>0.14000000000000001</v>
      </c>
      <c r="N569">
        <v>134380</v>
      </c>
      <c r="O569">
        <v>134382</v>
      </c>
      <c r="P569" t="s">
        <v>192</v>
      </c>
      <c r="Q569" t="s">
        <v>192</v>
      </c>
      <c r="R569">
        <v>2</v>
      </c>
      <c r="S569">
        <v>99398433</v>
      </c>
      <c r="T569">
        <v>134380</v>
      </c>
      <c r="U569">
        <v>134381</v>
      </c>
      <c r="V569">
        <v>1725824</v>
      </c>
      <c r="W569">
        <v>1</v>
      </c>
      <c r="X569" s="367"/>
    </row>
    <row r="570" spans="1:24">
      <c r="A570" t="s">
        <v>8105</v>
      </c>
      <c r="B570" t="s">
        <v>8106</v>
      </c>
      <c r="C570">
        <v>128</v>
      </c>
      <c r="D570">
        <v>15543765</v>
      </c>
      <c r="E570">
        <v>7545873232</v>
      </c>
      <c r="F570">
        <v>491</v>
      </c>
      <c r="G570">
        <v>499</v>
      </c>
      <c r="H570">
        <v>489</v>
      </c>
      <c r="I570">
        <v>-2</v>
      </c>
      <c r="J570">
        <v>-0.41</v>
      </c>
      <c r="K570">
        <v>485</v>
      </c>
      <c r="L570">
        <v>-6</v>
      </c>
      <c r="M570">
        <v>-1.22</v>
      </c>
      <c r="N570">
        <v>479</v>
      </c>
      <c r="O570">
        <v>499</v>
      </c>
      <c r="P570" t="s">
        <v>192</v>
      </c>
      <c r="Q570" t="s">
        <v>192</v>
      </c>
      <c r="R570">
        <v>1</v>
      </c>
      <c r="S570">
        <v>120000</v>
      </c>
      <c r="T570">
        <v>483</v>
      </c>
      <c r="U570">
        <v>489</v>
      </c>
      <c r="V570">
        <v>438364</v>
      </c>
      <c r="W570">
        <v>2</v>
      </c>
      <c r="X570" s="367"/>
    </row>
    <row r="571" spans="1:24">
      <c r="A571" t="s">
        <v>2277</v>
      </c>
      <c r="B571" t="s">
        <v>2276</v>
      </c>
      <c r="C571">
        <v>287</v>
      </c>
      <c r="D571">
        <v>9628896</v>
      </c>
      <c r="E571">
        <v>60271234280</v>
      </c>
      <c r="F571">
        <v>6080</v>
      </c>
      <c r="G571">
        <v>6260</v>
      </c>
      <c r="H571">
        <v>6260</v>
      </c>
      <c r="I571">
        <v>180</v>
      </c>
      <c r="J571">
        <v>2.96</v>
      </c>
      <c r="K571">
        <v>6260</v>
      </c>
      <c r="L571">
        <v>180</v>
      </c>
      <c r="M571">
        <v>2.96</v>
      </c>
      <c r="N571">
        <v>6220</v>
      </c>
      <c r="O571">
        <v>6260</v>
      </c>
      <c r="P571">
        <v>403</v>
      </c>
      <c r="Q571">
        <v>15.53</v>
      </c>
      <c r="R571">
        <v>7</v>
      </c>
      <c r="S571">
        <v>289458</v>
      </c>
      <c r="T571">
        <v>6260</v>
      </c>
      <c r="U571">
        <v>6390</v>
      </c>
      <c r="V571">
        <v>11000</v>
      </c>
      <c r="W571">
        <v>2</v>
      </c>
      <c r="X571" s="367"/>
    </row>
    <row r="572" spans="1:24">
      <c r="A572" t="s">
        <v>4027</v>
      </c>
      <c r="B572" t="s">
        <v>8463</v>
      </c>
      <c r="C572">
        <v>1314</v>
      </c>
      <c r="D572">
        <v>2916294</v>
      </c>
      <c r="E572">
        <v>1510736529702</v>
      </c>
      <c r="F572">
        <v>502945</v>
      </c>
      <c r="G572">
        <v>518033</v>
      </c>
      <c r="H572">
        <v>518033</v>
      </c>
      <c r="I572">
        <v>15088</v>
      </c>
      <c r="J572">
        <v>3</v>
      </c>
      <c r="K572">
        <v>518033</v>
      </c>
      <c r="L572">
        <v>15088</v>
      </c>
      <c r="M572">
        <v>3</v>
      </c>
      <c r="N572">
        <v>518033</v>
      </c>
      <c r="O572">
        <v>518033</v>
      </c>
      <c r="P572" t="s">
        <v>192</v>
      </c>
      <c r="Q572" t="s">
        <v>192</v>
      </c>
      <c r="R572">
        <v>565</v>
      </c>
      <c r="S572">
        <v>7523943</v>
      </c>
      <c r="T572">
        <v>518033</v>
      </c>
      <c r="U572">
        <v>518700</v>
      </c>
      <c r="V572">
        <v>50</v>
      </c>
      <c r="W572">
        <v>1</v>
      </c>
      <c r="X572" s="367"/>
    </row>
    <row r="573" spans="1:24">
      <c r="A573" t="s">
        <v>1722</v>
      </c>
      <c r="B573" t="s">
        <v>1721</v>
      </c>
      <c r="C573">
        <v>379</v>
      </c>
      <c r="D573">
        <v>701403</v>
      </c>
      <c r="E573">
        <v>11511481810</v>
      </c>
      <c r="F573">
        <v>15960</v>
      </c>
      <c r="G573">
        <v>16190</v>
      </c>
      <c r="H573">
        <v>16420</v>
      </c>
      <c r="I573">
        <v>460</v>
      </c>
      <c r="J573">
        <v>2.88</v>
      </c>
      <c r="K573">
        <v>16410</v>
      </c>
      <c r="L573">
        <v>450</v>
      </c>
      <c r="M573">
        <v>2.82</v>
      </c>
      <c r="N573">
        <v>16190</v>
      </c>
      <c r="O573">
        <v>16430</v>
      </c>
      <c r="P573">
        <v>1644</v>
      </c>
      <c r="Q573">
        <v>9.98</v>
      </c>
      <c r="R573">
        <v>1</v>
      </c>
      <c r="S573">
        <v>3000</v>
      </c>
      <c r="T573">
        <v>16410</v>
      </c>
      <c r="U573">
        <v>16420</v>
      </c>
      <c r="V573">
        <v>10000</v>
      </c>
      <c r="W573">
        <v>1</v>
      </c>
      <c r="X573" s="367"/>
    </row>
    <row r="574" spans="1:24">
      <c r="A574" t="s">
        <v>4029</v>
      </c>
      <c r="B574" t="s">
        <v>4030</v>
      </c>
      <c r="C574">
        <v>10</v>
      </c>
      <c r="D574">
        <v>279</v>
      </c>
      <c r="E574">
        <v>1853636000</v>
      </c>
      <c r="F574">
        <v>5346</v>
      </c>
      <c r="G574">
        <v>6290</v>
      </c>
      <c r="H574">
        <v>6994</v>
      </c>
      <c r="I574">
        <v>1648</v>
      </c>
      <c r="J574">
        <v>30.83</v>
      </c>
      <c r="K574">
        <v>6644</v>
      </c>
      <c r="L574">
        <v>1298</v>
      </c>
      <c r="M574">
        <v>24.28</v>
      </c>
      <c r="N574">
        <v>6280</v>
      </c>
      <c r="O574">
        <v>6998</v>
      </c>
      <c r="P574" t="s">
        <v>192</v>
      </c>
      <c r="Q574" t="s">
        <v>192</v>
      </c>
      <c r="R574">
        <v>1</v>
      </c>
      <c r="S574">
        <v>100</v>
      </c>
      <c r="T574">
        <v>5777</v>
      </c>
      <c r="U574">
        <v>6994</v>
      </c>
      <c r="V574">
        <v>10</v>
      </c>
      <c r="W574">
        <v>1</v>
      </c>
      <c r="X574" s="367"/>
    </row>
    <row r="575" spans="1:24">
      <c r="A575" t="s">
        <v>8040</v>
      </c>
      <c r="B575" t="s">
        <v>8041</v>
      </c>
      <c r="C575">
        <v>83</v>
      </c>
      <c r="D575">
        <v>28797</v>
      </c>
      <c r="E575">
        <v>4720922000</v>
      </c>
      <c r="F575">
        <v>147</v>
      </c>
      <c r="G575">
        <v>170</v>
      </c>
      <c r="H575">
        <v>164</v>
      </c>
      <c r="I575">
        <v>17</v>
      </c>
      <c r="J575">
        <v>11.56</v>
      </c>
      <c r="K575">
        <v>164</v>
      </c>
      <c r="L575">
        <v>17</v>
      </c>
      <c r="M575">
        <v>11.56</v>
      </c>
      <c r="N575">
        <v>162</v>
      </c>
      <c r="O575">
        <v>171</v>
      </c>
      <c r="P575" t="s">
        <v>192</v>
      </c>
      <c r="Q575" t="s">
        <v>192</v>
      </c>
      <c r="R575">
        <v>1</v>
      </c>
      <c r="S575">
        <v>30</v>
      </c>
      <c r="T575">
        <v>163</v>
      </c>
      <c r="U575">
        <v>164</v>
      </c>
      <c r="V575">
        <v>982</v>
      </c>
      <c r="W575">
        <v>1</v>
      </c>
      <c r="X575" s="367"/>
    </row>
    <row r="576" spans="1:24">
      <c r="A576" t="s">
        <v>7721</v>
      </c>
      <c r="B576" t="s">
        <v>1948</v>
      </c>
      <c r="C576">
        <v>2</v>
      </c>
      <c r="D576">
        <v>160001</v>
      </c>
      <c r="E576">
        <v>110240689</v>
      </c>
      <c r="F576">
        <v>672</v>
      </c>
      <c r="G576">
        <v>689</v>
      </c>
      <c r="H576">
        <v>689</v>
      </c>
      <c r="I576">
        <v>17</v>
      </c>
      <c r="J576">
        <v>2.5299999999999998</v>
      </c>
      <c r="K576">
        <v>689</v>
      </c>
      <c r="L576">
        <v>17</v>
      </c>
      <c r="M576">
        <v>2.5299999999999998</v>
      </c>
      <c r="N576">
        <v>689</v>
      </c>
      <c r="O576">
        <v>689</v>
      </c>
      <c r="P576">
        <v>199</v>
      </c>
      <c r="Q576">
        <v>3.46</v>
      </c>
      <c r="R576">
        <v>26</v>
      </c>
      <c r="S576">
        <v>17134435</v>
      </c>
      <c r="T576">
        <v>689</v>
      </c>
      <c r="U576">
        <v>0</v>
      </c>
      <c r="V576">
        <v>0</v>
      </c>
      <c r="W576">
        <v>0</v>
      </c>
      <c r="X576" s="367"/>
    </row>
    <row r="577" spans="1:24">
      <c r="A577" t="s">
        <v>8148</v>
      </c>
      <c r="B577" t="s">
        <v>8149</v>
      </c>
      <c r="C577">
        <v>405</v>
      </c>
      <c r="D577">
        <v>1161576</v>
      </c>
      <c r="E577">
        <v>2729703600</v>
      </c>
      <c r="F577">
        <v>2282</v>
      </c>
      <c r="G577">
        <v>2350</v>
      </c>
      <c r="H577">
        <v>2350</v>
      </c>
      <c r="I577">
        <v>68</v>
      </c>
      <c r="J577">
        <v>2.98</v>
      </c>
      <c r="K577">
        <v>2350</v>
      </c>
      <c r="L577">
        <v>68</v>
      </c>
      <c r="M577">
        <v>2.98</v>
      </c>
      <c r="N577">
        <v>2350</v>
      </c>
      <c r="O577">
        <v>2350</v>
      </c>
      <c r="P577" t="s">
        <v>192</v>
      </c>
      <c r="Q577" t="s">
        <v>192</v>
      </c>
      <c r="R577">
        <v>25</v>
      </c>
      <c r="S577">
        <v>4891571</v>
      </c>
      <c r="T577">
        <v>2350</v>
      </c>
      <c r="U577">
        <v>0</v>
      </c>
      <c r="V577">
        <v>0</v>
      </c>
      <c r="W577">
        <v>0</v>
      </c>
      <c r="X577" s="367"/>
    </row>
    <row r="578" spans="1:24">
      <c r="A578" t="s">
        <v>4031</v>
      </c>
      <c r="B578" t="s">
        <v>4032</v>
      </c>
      <c r="C578">
        <v>30</v>
      </c>
      <c r="D578">
        <v>488903</v>
      </c>
      <c r="E578">
        <v>7295014895</v>
      </c>
      <c r="F578">
        <v>14576</v>
      </c>
      <c r="G578">
        <v>14935</v>
      </c>
      <c r="H578">
        <v>15011</v>
      </c>
      <c r="I578">
        <v>435</v>
      </c>
      <c r="J578">
        <v>2.98</v>
      </c>
      <c r="K578">
        <v>14921</v>
      </c>
      <c r="L578">
        <v>345</v>
      </c>
      <c r="M578">
        <v>2.37</v>
      </c>
      <c r="N578">
        <v>14888</v>
      </c>
      <c r="O578">
        <v>15013</v>
      </c>
      <c r="P578" t="s">
        <v>192</v>
      </c>
      <c r="Q578" t="s">
        <v>192</v>
      </c>
      <c r="R578">
        <v>1</v>
      </c>
      <c r="S578">
        <v>200000</v>
      </c>
      <c r="T578">
        <v>14918</v>
      </c>
      <c r="U578">
        <v>15012</v>
      </c>
      <c r="V578">
        <v>99336</v>
      </c>
      <c r="W578">
        <v>1</v>
      </c>
      <c r="X578" s="367"/>
    </row>
    <row r="579" spans="1:24">
      <c r="A579" t="s">
        <v>2892</v>
      </c>
      <c r="B579" t="s">
        <v>2891</v>
      </c>
      <c r="C579">
        <v>349</v>
      </c>
      <c r="D579">
        <v>31411573</v>
      </c>
      <c r="E579">
        <v>218624548080</v>
      </c>
      <c r="F579">
        <v>6760</v>
      </c>
      <c r="G579">
        <v>6960</v>
      </c>
      <c r="H579">
        <v>6960</v>
      </c>
      <c r="I579">
        <v>200</v>
      </c>
      <c r="J579">
        <v>2.96</v>
      </c>
      <c r="K579">
        <v>6960</v>
      </c>
      <c r="L579">
        <v>200</v>
      </c>
      <c r="M579">
        <v>2.96</v>
      </c>
      <c r="N579">
        <v>6960</v>
      </c>
      <c r="O579">
        <v>6960</v>
      </c>
      <c r="P579">
        <v>1086</v>
      </c>
      <c r="Q579">
        <v>6.41</v>
      </c>
      <c r="R579">
        <v>189</v>
      </c>
      <c r="S579">
        <v>39171194</v>
      </c>
      <c r="T579">
        <v>6960</v>
      </c>
      <c r="U579">
        <v>0</v>
      </c>
      <c r="V579">
        <v>0</v>
      </c>
      <c r="W579">
        <v>0</v>
      </c>
      <c r="X579" s="367"/>
    </row>
    <row r="580" spans="1:24">
      <c r="A580" t="s">
        <v>6917</v>
      </c>
      <c r="B580" t="s">
        <v>6918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 t="s">
        <v>192</v>
      </c>
      <c r="Q580" t="s">
        <v>192</v>
      </c>
      <c r="R580">
        <v>1</v>
      </c>
      <c r="S580">
        <v>100</v>
      </c>
      <c r="T580">
        <v>1</v>
      </c>
      <c r="U580">
        <v>0</v>
      </c>
      <c r="V580">
        <v>0</v>
      </c>
      <c r="W580">
        <v>0</v>
      </c>
      <c r="X580" s="367"/>
    </row>
    <row r="581" spans="1:24">
      <c r="A581" t="s">
        <v>2393</v>
      </c>
      <c r="B581" t="s">
        <v>2392</v>
      </c>
      <c r="C581">
        <v>282</v>
      </c>
      <c r="D581">
        <v>26129354</v>
      </c>
      <c r="E581">
        <v>177679607200</v>
      </c>
      <c r="F581">
        <v>6610</v>
      </c>
      <c r="G581">
        <v>6800</v>
      </c>
      <c r="H581">
        <v>6800</v>
      </c>
      <c r="I581">
        <v>190</v>
      </c>
      <c r="J581">
        <v>2.87</v>
      </c>
      <c r="K581">
        <v>6800</v>
      </c>
      <c r="L581">
        <v>190</v>
      </c>
      <c r="M581">
        <v>2.87</v>
      </c>
      <c r="N581">
        <v>6800</v>
      </c>
      <c r="O581">
        <v>6800</v>
      </c>
      <c r="P581">
        <v>1258</v>
      </c>
      <c r="Q581">
        <v>5.41</v>
      </c>
      <c r="R581">
        <v>610</v>
      </c>
      <c r="S581">
        <v>118831104</v>
      </c>
      <c r="T581">
        <v>6800</v>
      </c>
      <c r="U581">
        <v>0</v>
      </c>
      <c r="V581">
        <v>0</v>
      </c>
      <c r="W581">
        <v>0</v>
      </c>
      <c r="X581" s="367"/>
    </row>
    <row r="582" spans="1:24">
      <c r="A582" t="s">
        <v>8492</v>
      </c>
      <c r="B582" t="s">
        <v>8493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 t="s">
        <v>192</v>
      </c>
      <c r="Q582" t="s">
        <v>192</v>
      </c>
      <c r="R582">
        <v>1</v>
      </c>
      <c r="S582">
        <v>99</v>
      </c>
      <c r="T582">
        <v>15</v>
      </c>
      <c r="U582">
        <v>0</v>
      </c>
      <c r="V582">
        <v>0</v>
      </c>
      <c r="W582">
        <v>0</v>
      </c>
      <c r="X582" s="367"/>
    </row>
    <row r="583" spans="1:24">
      <c r="A583" t="s">
        <v>7367</v>
      </c>
      <c r="B583" t="s">
        <v>7885</v>
      </c>
      <c r="C583">
        <v>546</v>
      </c>
      <c r="D583">
        <v>15688</v>
      </c>
      <c r="E583">
        <v>40763017000</v>
      </c>
      <c r="F583">
        <v>2149</v>
      </c>
      <c r="G583">
        <v>2500</v>
      </c>
      <c r="H583">
        <v>2599</v>
      </c>
      <c r="I583">
        <v>450</v>
      </c>
      <c r="J583">
        <v>20.94</v>
      </c>
      <c r="K583">
        <v>2598</v>
      </c>
      <c r="L583">
        <v>449</v>
      </c>
      <c r="M583">
        <v>20.89</v>
      </c>
      <c r="N583">
        <v>2202</v>
      </c>
      <c r="O583">
        <v>3200</v>
      </c>
      <c r="P583" t="s">
        <v>192</v>
      </c>
      <c r="Q583" t="s">
        <v>192</v>
      </c>
      <c r="R583">
        <v>1</v>
      </c>
      <c r="S583">
        <v>189</v>
      </c>
      <c r="T583">
        <v>2535</v>
      </c>
      <c r="U583">
        <v>2600</v>
      </c>
      <c r="V583">
        <v>220</v>
      </c>
      <c r="W583">
        <v>1</v>
      </c>
      <c r="X583" s="367"/>
    </row>
    <row r="584" spans="1:24">
      <c r="A584" t="s">
        <v>4033</v>
      </c>
      <c r="B584" t="s">
        <v>4034</v>
      </c>
      <c r="C584">
        <v>968</v>
      </c>
      <c r="D584">
        <v>16837238</v>
      </c>
      <c r="E584">
        <v>336904903259</v>
      </c>
      <c r="F584">
        <v>19912</v>
      </c>
      <c r="G584">
        <v>20019</v>
      </c>
      <c r="H584">
        <v>19930</v>
      </c>
      <c r="I584">
        <v>18</v>
      </c>
      <c r="J584">
        <v>0.09</v>
      </c>
      <c r="K584">
        <v>20010</v>
      </c>
      <c r="L584">
        <v>98</v>
      </c>
      <c r="M584">
        <v>0.49</v>
      </c>
      <c r="N584">
        <v>19923</v>
      </c>
      <c r="O584">
        <v>20281</v>
      </c>
      <c r="P584" t="s">
        <v>192</v>
      </c>
      <c r="Q584" t="s">
        <v>192</v>
      </c>
      <c r="R584">
        <v>1</v>
      </c>
      <c r="S584">
        <v>30000</v>
      </c>
      <c r="T584">
        <v>19945</v>
      </c>
      <c r="U584">
        <v>19991</v>
      </c>
      <c r="V584">
        <v>59000</v>
      </c>
      <c r="W584">
        <v>1</v>
      </c>
      <c r="X584" s="367"/>
    </row>
    <row r="585" spans="1:24">
      <c r="A585" t="s">
        <v>4035</v>
      </c>
      <c r="B585" t="s">
        <v>4036</v>
      </c>
      <c r="C585">
        <v>55</v>
      </c>
      <c r="D585">
        <v>1837316</v>
      </c>
      <c r="E585">
        <v>33463036308</v>
      </c>
      <c r="F585">
        <v>17683</v>
      </c>
      <c r="G585">
        <v>18213</v>
      </c>
      <c r="H585">
        <v>18213</v>
      </c>
      <c r="I585">
        <v>530</v>
      </c>
      <c r="J585">
        <v>3</v>
      </c>
      <c r="K585">
        <v>18213</v>
      </c>
      <c r="L585">
        <v>530</v>
      </c>
      <c r="M585">
        <v>3</v>
      </c>
      <c r="N585">
        <v>18213</v>
      </c>
      <c r="O585">
        <v>18213</v>
      </c>
      <c r="P585" t="s">
        <v>192</v>
      </c>
      <c r="Q585" t="s">
        <v>192</v>
      </c>
      <c r="R585">
        <v>3</v>
      </c>
      <c r="S585">
        <v>1245</v>
      </c>
      <c r="T585">
        <v>18213</v>
      </c>
      <c r="U585">
        <v>18365</v>
      </c>
      <c r="V585">
        <v>5</v>
      </c>
      <c r="W585">
        <v>1</v>
      </c>
      <c r="X585" s="367"/>
    </row>
    <row r="586" spans="1:24">
      <c r="A586" t="s">
        <v>4037</v>
      </c>
      <c r="B586" t="s">
        <v>4038</v>
      </c>
      <c r="C586">
        <v>0</v>
      </c>
      <c r="D586">
        <v>0</v>
      </c>
      <c r="E586">
        <v>0</v>
      </c>
      <c r="F586">
        <v>1000000</v>
      </c>
      <c r="G586">
        <v>0</v>
      </c>
      <c r="H586">
        <v>1000000</v>
      </c>
      <c r="I586">
        <v>0</v>
      </c>
      <c r="J586">
        <v>0</v>
      </c>
      <c r="K586">
        <v>1000000</v>
      </c>
      <c r="L586">
        <v>0</v>
      </c>
      <c r="M586">
        <v>0</v>
      </c>
      <c r="N586">
        <v>0</v>
      </c>
      <c r="O586">
        <v>0</v>
      </c>
      <c r="P586" t="s">
        <v>192</v>
      </c>
      <c r="Q586" t="s">
        <v>192</v>
      </c>
      <c r="R586">
        <v>1</v>
      </c>
      <c r="S586">
        <v>20000</v>
      </c>
      <c r="T586">
        <v>1000000</v>
      </c>
      <c r="U586">
        <v>0</v>
      </c>
      <c r="V586">
        <v>0</v>
      </c>
      <c r="W586">
        <v>0</v>
      </c>
      <c r="X586" s="367"/>
    </row>
    <row r="587" spans="1:24">
      <c r="A587" t="s">
        <v>4039</v>
      </c>
      <c r="B587" t="s">
        <v>4040</v>
      </c>
      <c r="C587">
        <v>1</v>
      </c>
      <c r="D587">
        <v>3</v>
      </c>
      <c r="E587">
        <v>66342</v>
      </c>
      <c r="F587">
        <v>21470</v>
      </c>
      <c r="G587">
        <v>22114</v>
      </c>
      <c r="H587">
        <v>22114</v>
      </c>
      <c r="I587">
        <v>644</v>
      </c>
      <c r="J587">
        <v>3</v>
      </c>
      <c r="K587">
        <v>22114</v>
      </c>
      <c r="L587">
        <v>644</v>
      </c>
      <c r="M587">
        <v>3</v>
      </c>
      <c r="N587">
        <v>22114</v>
      </c>
      <c r="O587">
        <v>22114</v>
      </c>
      <c r="P587" t="s">
        <v>192</v>
      </c>
      <c r="Q587" t="s">
        <v>192</v>
      </c>
      <c r="R587">
        <v>36</v>
      </c>
      <c r="S587">
        <v>3014374</v>
      </c>
      <c r="T587">
        <v>22114</v>
      </c>
      <c r="U587">
        <v>0</v>
      </c>
      <c r="V587">
        <v>0</v>
      </c>
      <c r="W587">
        <v>0</v>
      </c>
      <c r="X587" s="367"/>
    </row>
    <row r="588" spans="1:24">
      <c r="A588" t="s">
        <v>6979</v>
      </c>
      <c r="B588" t="s">
        <v>6980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 t="s">
        <v>192</v>
      </c>
      <c r="Q588" t="s">
        <v>192</v>
      </c>
      <c r="R588">
        <v>1</v>
      </c>
      <c r="S588">
        <v>100</v>
      </c>
      <c r="T588">
        <v>1</v>
      </c>
      <c r="U588">
        <v>0</v>
      </c>
      <c r="V588">
        <v>0</v>
      </c>
      <c r="W588">
        <v>0</v>
      </c>
      <c r="X588" s="367"/>
    </row>
    <row r="589" spans="1:24">
      <c r="A589" t="s">
        <v>4041</v>
      </c>
      <c r="B589" t="s">
        <v>4042</v>
      </c>
      <c r="C589">
        <v>1</v>
      </c>
      <c r="D589">
        <v>40400000</v>
      </c>
      <c r="E589">
        <v>40400000</v>
      </c>
      <c r="F589">
        <v>10247</v>
      </c>
      <c r="G589">
        <v>1</v>
      </c>
      <c r="H589">
        <v>1</v>
      </c>
      <c r="I589">
        <v>-10246</v>
      </c>
      <c r="J589">
        <v>-99.99</v>
      </c>
      <c r="K589">
        <v>1</v>
      </c>
      <c r="L589">
        <v>-10246</v>
      </c>
      <c r="M589">
        <v>-99.99</v>
      </c>
      <c r="N589">
        <v>1</v>
      </c>
      <c r="O589">
        <v>1</v>
      </c>
      <c r="P589" t="s">
        <v>192</v>
      </c>
      <c r="Q589" t="s">
        <v>192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 s="367"/>
    </row>
    <row r="590" spans="1:24">
      <c r="A590" t="s">
        <v>7926</v>
      </c>
      <c r="B590" t="s">
        <v>7927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 t="s">
        <v>192</v>
      </c>
      <c r="Q590" t="s">
        <v>192</v>
      </c>
      <c r="R590">
        <v>1</v>
      </c>
      <c r="S590">
        <v>44</v>
      </c>
      <c r="T590">
        <v>44</v>
      </c>
      <c r="U590">
        <v>0</v>
      </c>
      <c r="V590">
        <v>0</v>
      </c>
      <c r="W590">
        <v>0</v>
      </c>
      <c r="X590" s="367"/>
    </row>
    <row r="591" spans="1:24">
      <c r="A591" t="s">
        <v>2288</v>
      </c>
      <c r="B591" t="s">
        <v>2287</v>
      </c>
      <c r="C591">
        <v>65</v>
      </c>
      <c r="D591">
        <v>166071</v>
      </c>
      <c r="E591">
        <v>1750826170</v>
      </c>
      <c r="F591">
        <v>10490</v>
      </c>
      <c r="G591">
        <v>10720</v>
      </c>
      <c r="H591">
        <v>10620</v>
      </c>
      <c r="I591">
        <v>130</v>
      </c>
      <c r="J591">
        <v>1.24</v>
      </c>
      <c r="K591">
        <v>10540</v>
      </c>
      <c r="L591">
        <v>50</v>
      </c>
      <c r="M591">
        <v>0.48</v>
      </c>
      <c r="N591">
        <v>10390</v>
      </c>
      <c r="O591">
        <v>10720</v>
      </c>
      <c r="P591">
        <v>662</v>
      </c>
      <c r="Q591">
        <v>15.92</v>
      </c>
      <c r="R591">
        <v>1</v>
      </c>
      <c r="S591">
        <v>4969</v>
      </c>
      <c r="T591">
        <v>10540</v>
      </c>
      <c r="U591">
        <v>10690</v>
      </c>
      <c r="V591">
        <v>7201</v>
      </c>
      <c r="W591">
        <v>2</v>
      </c>
      <c r="X591" s="367"/>
    </row>
    <row r="592" spans="1:24">
      <c r="A592" t="s">
        <v>6505</v>
      </c>
      <c r="B592" t="s">
        <v>120</v>
      </c>
      <c r="C592">
        <v>5</v>
      </c>
      <c r="D592">
        <v>8074</v>
      </c>
      <c r="E592">
        <v>545963880</v>
      </c>
      <c r="F592">
        <v>65760</v>
      </c>
      <c r="G592">
        <v>67620</v>
      </c>
      <c r="H592">
        <v>67620</v>
      </c>
      <c r="I592">
        <v>1860</v>
      </c>
      <c r="J592">
        <v>2.83</v>
      </c>
      <c r="K592">
        <v>67620</v>
      </c>
      <c r="L592">
        <v>1860</v>
      </c>
      <c r="M592">
        <v>2.83</v>
      </c>
      <c r="N592">
        <v>67620</v>
      </c>
      <c r="O592">
        <v>67620</v>
      </c>
      <c r="P592">
        <v>14832</v>
      </c>
      <c r="Q592">
        <v>4.5599999999999996</v>
      </c>
      <c r="R592">
        <v>28</v>
      </c>
      <c r="S592">
        <v>232705</v>
      </c>
      <c r="T592">
        <v>67620</v>
      </c>
      <c r="U592">
        <v>0</v>
      </c>
      <c r="V592">
        <v>0</v>
      </c>
      <c r="W592">
        <v>0</v>
      </c>
      <c r="X592" s="367"/>
    </row>
    <row r="593" spans="1:24">
      <c r="A593" t="s">
        <v>4043</v>
      </c>
      <c r="B593" t="s">
        <v>4044</v>
      </c>
      <c r="C593">
        <v>0</v>
      </c>
      <c r="D593">
        <v>0</v>
      </c>
      <c r="E593">
        <v>0</v>
      </c>
      <c r="F593">
        <v>1000000</v>
      </c>
      <c r="G593">
        <v>0</v>
      </c>
      <c r="H593">
        <v>1000000</v>
      </c>
      <c r="I593">
        <v>0</v>
      </c>
      <c r="J593">
        <v>0</v>
      </c>
      <c r="K593">
        <v>1000000</v>
      </c>
      <c r="L593">
        <v>0</v>
      </c>
      <c r="M593">
        <v>0</v>
      </c>
      <c r="N593">
        <v>0</v>
      </c>
      <c r="O593">
        <v>0</v>
      </c>
      <c r="P593" t="s">
        <v>192</v>
      </c>
      <c r="Q593" t="s">
        <v>192</v>
      </c>
      <c r="R593">
        <v>1</v>
      </c>
      <c r="S593">
        <v>5000</v>
      </c>
      <c r="T593">
        <v>990000</v>
      </c>
      <c r="U593">
        <v>0</v>
      </c>
      <c r="V593">
        <v>0</v>
      </c>
      <c r="W593">
        <v>0</v>
      </c>
      <c r="X593" s="367"/>
    </row>
    <row r="594" spans="1:24">
      <c r="A594" t="s">
        <v>4686</v>
      </c>
      <c r="B594" t="s">
        <v>4687</v>
      </c>
      <c r="C594">
        <v>34</v>
      </c>
      <c r="D594">
        <v>3924814</v>
      </c>
      <c r="E594">
        <v>100622724432</v>
      </c>
      <c r="F594">
        <v>24940</v>
      </c>
      <c r="G594">
        <v>25688</v>
      </c>
      <c r="H594">
        <v>25688</v>
      </c>
      <c r="I594">
        <v>748</v>
      </c>
      <c r="J594">
        <v>3</v>
      </c>
      <c r="K594">
        <v>25638</v>
      </c>
      <c r="L594">
        <v>698</v>
      </c>
      <c r="M594">
        <v>2.8</v>
      </c>
      <c r="N594">
        <v>25600</v>
      </c>
      <c r="O594">
        <v>25688</v>
      </c>
      <c r="P594" t="s">
        <v>192</v>
      </c>
      <c r="Q594" t="s">
        <v>192</v>
      </c>
      <c r="R594">
        <v>3</v>
      </c>
      <c r="S594">
        <v>29687</v>
      </c>
      <c r="T594">
        <v>25600</v>
      </c>
      <c r="U594">
        <v>25688</v>
      </c>
      <c r="V594">
        <v>574270</v>
      </c>
      <c r="W594">
        <v>1</v>
      </c>
      <c r="X594" s="367"/>
    </row>
    <row r="595" spans="1:24">
      <c r="A595" t="s">
        <v>4688</v>
      </c>
      <c r="B595" t="s">
        <v>4689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 t="s">
        <v>192</v>
      </c>
      <c r="Q595" t="s">
        <v>192</v>
      </c>
      <c r="R595">
        <v>1</v>
      </c>
      <c r="S595">
        <v>10</v>
      </c>
      <c r="T595">
        <v>1002</v>
      </c>
      <c r="U595">
        <v>0</v>
      </c>
      <c r="V595">
        <v>0</v>
      </c>
      <c r="W595">
        <v>0</v>
      </c>
      <c r="X595" s="367"/>
    </row>
    <row r="596" spans="1:24">
      <c r="A596" t="s">
        <v>7477</v>
      </c>
      <c r="B596" t="s">
        <v>7478</v>
      </c>
      <c r="C596">
        <v>84</v>
      </c>
      <c r="D596">
        <v>36129</v>
      </c>
      <c r="E596">
        <v>494672000</v>
      </c>
      <c r="F596">
        <v>9</v>
      </c>
      <c r="G596">
        <v>13</v>
      </c>
      <c r="H596">
        <v>14</v>
      </c>
      <c r="I596">
        <v>5</v>
      </c>
      <c r="J596">
        <v>55.56</v>
      </c>
      <c r="K596">
        <v>14</v>
      </c>
      <c r="L596">
        <v>5</v>
      </c>
      <c r="M596">
        <v>55.56</v>
      </c>
      <c r="N596">
        <v>12</v>
      </c>
      <c r="O596">
        <v>15</v>
      </c>
      <c r="P596" t="s">
        <v>192</v>
      </c>
      <c r="Q596" t="s">
        <v>192</v>
      </c>
      <c r="R596">
        <v>2</v>
      </c>
      <c r="S596">
        <v>4</v>
      </c>
      <c r="T596">
        <v>12</v>
      </c>
      <c r="U596">
        <v>18</v>
      </c>
      <c r="V596">
        <v>3020</v>
      </c>
      <c r="W596">
        <v>4</v>
      </c>
      <c r="X596" s="367"/>
    </row>
    <row r="597" spans="1:24">
      <c r="A597" t="s">
        <v>3071</v>
      </c>
      <c r="B597" t="s">
        <v>3070</v>
      </c>
      <c r="C597">
        <v>932</v>
      </c>
      <c r="D597">
        <v>23379149</v>
      </c>
      <c r="E597">
        <v>93325991940</v>
      </c>
      <c r="F597">
        <v>3980</v>
      </c>
      <c r="G597">
        <v>3990</v>
      </c>
      <c r="H597">
        <v>4060</v>
      </c>
      <c r="I597">
        <v>80</v>
      </c>
      <c r="J597">
        <v>2.0099999999999998</v>
      </c>
      <c r="K597">
        <v>3990</v>
      </c>
      <c r="L597">
        <v>10</v>
      </c>
      <c r="M597">
        <v>0.25</v>
      </c>
      <c r="N597">
        <v>3890</v>
      </c>
      <c r="O597">
        <v>4080</v>
      </c>
      <c r="P597">
        <v>404</v>
      </c>
      <c r="Q597">
        <v>9.8800000000000008</v>
      </c>
      <c r="R597">
        <v>1</v>
      </c>
      <c r="S597">
        <v>11000</v>
      </c>
      <c r="T597">
        <v>3990</v>
      </c>
      <c r="U597">
        <v>4060</v>
      </c>
      <c r="V597">
        <v>511987</v>
      </c>
      <c r="W597">
        <v>5</v>
      </c>
      <c r="X597" s="367"/>
    </row>
    <row r="598" spans="1:24">
      <c r="A598" t="s">
        <v>1900</v>
      </c>
      <c r="B598" t="s">
        <v>1899</v>
      </c>
      <c r="C598">
        <v>9963</v>
      </c>
      <c r="D598">
        <v>47263132</v>
      </c>
      <c r="E598">
        <v>368058513110</v>
      </c>
      <c r="F598">
        <v>7580</v>
      </c>
      <c r="G598">
        <v>7800</v>
      </c>
      <c r="H598">
        <v>7800</v>
      </c>
      <c r="I598">
        <v>220</v>
      </c>
      <c r="J598">
        <v>2.9</v>
      </c>
      <c r="K598">
        <v>7790</v>
      </c>
      <c r="L598">
        <v>210</v>
      </c>
      <c r="M598">
        <v>2.77</v>
      </c>
      <c r="N598">
        <v>7710</v>
      </c>
      <c r="O598">
        <v>7800</v>
      </c>
      <c r="P598">
        <v>316</v>
      </c>
      <c r="Q598">
        <v>24.65</v>
      </c>
      <c r="R598">
        <v>93</v>
      </c>
      <c r="S598">
        <v>2659211</v>
      </c>
      <c r="T598">
        <v>7800</v>
      </c>
      <c r="U598">
        <v>7850</v>
      </c>
      <c r="V598">
        <v>1800</v>
      </c>
      <c r="W598">
        <v>2</v>
      </c>
      <c r="X598" s="367"/>
    </row>
    <row r="599" spans="1:24">
      <c r="A599" t="s">
        <v>4692</v>
      </c>
      <c r="B599" t="s">
        <v>1868</v>
      </c>
      <c r="C599">
        <v>7</v>
      </c>
      <c r="D599">
        <v>1895</v>
      </c>
      <c r="E599">
        <v>15178950</v>
      </c>
      <c r="F599">
        <v>7780</v>
      </c>
      <c r="G599">
        <v>8010</v>
      </c>
      <c r="H599">
        <v>8010</v>
      </c>
      <c r="I599">
        <v>230</v>
      </c>
      <c r="J599">
        <v>2.96</v>
      </c>
      <c r="K599">
        <v>8010</v>
      </c>
      <c r="L599">
        <v>230</v>
      </c>
      <c r="M599">
        <v>2.96</v>
      </c>
      <c r="N599">
        <v>8010</v>
      </c>
      <c r="O599">
        <v>8010</v>
      </c>
      <c r="P599">
        <v>1012</v>
      </c>
      <c r="Q599">
        <v>7.92</v>
      </c>
      <c r="R599">
        <v>0</v>
      </c>
      <c r="S599">
        <v>0</v>
      </c>
      <c r="T599">
        <v>0</v>
      </c>
      <c r="U599">
        <v>8010</v>
      </c>
      <c r="V599">
        <v>99154</v>
      </c>
      <c r="W599">
        <v>1</v>
      </c>
      <c r="X599" s="367"/>
    </row>
    <row r="600" spans="1:24">
      <c r="A600" t="s">
        <v>4693</v>
      </c>
      <c r="B600" t="s">
        <v>4694</v>
      </c>
      <c r="C600">
        <v>6590</v>
      </c>
      <c r="D600">
        <v>9429492</v>
      </c>
      <c r="E600">
        <v>1383531643455</v>
      </c>
      <c r="F600">
        <v>147482</v>
      </c>
      <c r="G600">
        <v>147864</v>
      </c>
      <c r="H600">
        <v>146482</v>
      </c>
      <c r="I600">
        <v>-1000</v>
      </c>
      <c r="J600">
        <v>-0.68</v>
      </c>
      <c r="K600">
        <v>146724</v>
      </c>
      <c r="L600">
        <v>-758</v>
      </c>
      <c r="M600">
        <v>-0.51</v>
      </c>
      <c r="N600">
        <v>146312</v>
      </c>
      <c r="O600">
        <v>147864</v>
      </c>
      <c r="P600" t="s">
        <v>192</v>
      </c>
      <c r="Q600" t="s">
        <v>192</v>
      </c>
      <c r="R600">
        <v>1</v>
      </c>
      <c r="S600">
        <v>10</v>
      </c>
      <c r="T600">
        <v>146478</v>
      </c>
      <c r="U600">
        <v>146480</v>
      </c>
      <c r="V600">
        <v>61422</v>
      </c>
      <c r="W600">
        <v>3</v>
      </c>
      <c r="X600" s="367"/>
    </row>
    <row r="601" spans="1:24">
      <c r="A601" t="s">
        <v>1892</v>
      </c>
      <c r="B601" t="s">
        <v>1891</v>
      </c>
      <c r="C601">
        <v>183</v>
      </c>
      <c r="D601">
        <v>6509965</v>
      </c>
      <c r="E601">
        <v>40426882650</v>
      </c>
      <c r="F601">
        <v>6030</v>
      </c>
      <c r="G601">
        <v>6210</v>
      </c>
      <c r="H601">
        <v>6210</v>
      </c>
      <c r="I601">
        <v>180</v>
      </c>
      <c r="J601">
        <v>2.99</v>
      </c>
      <c r="K601">
        <v>6210</v>
      </c>
      <c r="L601">
        <v>180</v>
      </c>
      <c r="M601">
        <v>2.99</v>
      </c>
      <c r="N601">
        <v>6210</v>
      </c>
      <c r="O601">
        <v>6210</v>
      </c>
      <c r="P601">
        <v>1599</v>
      </c>
      <c r="Q601">
        <v>3.88</v>
      </c>
      <c r="R601">
        <v>980</v>
      </c>
      <c r="S601">
        <v>208066325</v>
      </c>
      <c r="T601">
        <v>6210</v>
      </c>
      <c r="U601">
        <v>0</v>
      </c>
      <c r="V601">
        <v>0</v>
      </c>
      <c r="W601">
        <v>0</v>
      </c>
      <c r="X601" s="367"/>
    </row>
    <row r="602" spans="1:24">
      <c r="A602" t="s">
        <v>4695</v>
      </c>
      <c r="B602" t="s">
        <v>4696</v>
      </c>
      <c r="C602">
        <v>977</v>
      </c>
      <c r="D602">
        <v>1622433</v>
      </c>
      <c r="E602">
        <v>217482432108</v>
      </c>
      <c r="F602">
        <v>134938</v>
      </c>
      <c r="G602">
        <v>134100</v>
      </c>
      <c r="H602">
        <v>134110</v>
      </c>
      <c r="I602">
        <v>-828</v>
      </c>
      <c r="J602">
        <v>-0.61</v>
      </c>
      <c r="K602">
        <v>134047</v>
      </c>
      <c r="L602">
        <v>-891</v>
      </c>
      <c r="M602">
        <v>-0.66</v>
      </c>
      <c r="N602">
        <v>133801</v>
      </c>
      <c r="O602">
        <v>134999</v>
      </c>
      <c r="P602" t="s">
        <v>192</v>
      </c>
      <c r="Q602" t="s">
        <v>192</v>
      </c>
      <c r="R602">
        <v>2</v>
      </c>
      <c r="S602">
        <v>200</v>
      </c>
      <c r="T602">
        <v>134101</v>
      </c>
      <c r="U602">
        <v>134110</v>
      </c>
      <c r="V602">
        <v>598</v>
      </c>
      <c r="W602">
        <v>1</v>
      </c>
      <c r="X602" s="367"/>
    </row>
    <row r="603" spans="1:24">
      <c r="A603" t="s">
        <v>2851</v>
      </c>
      <c r="B603" t="s">
        <v>2850</v>
      </c>
      <c r="C603">
        <v>184</v>
      </c>
      <c r="D603">
        <v>14323301</v>
      </c>
      <c r="E603">
        <v>89807097270</v>
      </c>
      <c r="F603">
        <v>6090</v>
      </c>
      <c r="G603">
        <v>6270</v>
      </c>
      <c r="H603">
        <v>6270</v>
      </c>
      <c r="I603">
        <v>180</v>
      </c>
      <c r="J603">
        <v>2.96</v>
      </c>
      <c r="K603">
        <v>6270</v>
      </c>
      <c r="L603">
        <v>180</v>
      </c>
      <c r="M603">
        <v>2.96</v>
      </c>
      <c r="N603">
        <v>6270</v>
      </c>
      <c r="O603">
        <v>6270</v>
      </c>
      <c r="P603">
        <v>93</v>
      </c>
      <c r="Q603">
        <v>67.42</v>
      </c>
      <c r="R603">
        <v>61</v>
      </c>
      <c r="S603">
        <v>1437322</v>
      </c>
      <c r="T603">
        <v>6270</v>
      </c>
      <c r="U603">
        <v>7360</v>
      </c>
      <c r="V603">
        <v>10000</v>
      </c>
      <c r="W603">
        <v>1</v>
      </c>
      <c r="X603" s="367"/>
    </row>
    <row r="604" spans="1:24">
      <c r="A604" t="s">
        <v>2895</v>
      </c>
      <c r="B604" t="s">
        <v>2894</v>
      </c>
      <c r="C604">
        <v>470</v>
      </c>
      <c r="D604">
        <v>58649638</v>
      </c>
      <c r="E604">
        <v>353657317140</v>
      </c>
      <c r="F604">
        <v>5860</v>
      </c>
      <c r="G604">
        <v>6030</v>
      </c>
      <c r="H604">
        <v>6030</v>
      </c>
      <c r="I604">
        <v>170</v>
      </c>
      <c r="J604">
        <v>2.9</v>
      </c>
      <c r="K604">
        <v>6030</v>
      </c>
      <c r="L604">
        <v>170</v>
      </c>
      <c r="M604">
        <v>2.9</v>
      </c>
      <c r="N604">
        <v>6030</v>
      </c>
      <c r="O604">
        <v>6030</v>
      </c>
      <c r="P604">
        <v>537</v>
      </c>
      <c r="Q604">
        <v>11.23</v>
      </c>
      <c r="R604">
        <v>217</v>
      </c>
      <c r="S604">
        <v>53205163</v>
      </c>
      <c r="T604">
        <v>6030</v>
      </c>
      <c r="U604">
        <v>0</v>
      </c>
      <c r="V604">
        <v>0</v>
      </c>
      <c r="W604">
        <v>0</v>
      </c>
      <c r="X604" s="367"/>
    </row>
    <row r="605" spans="1:24">
      <c r="A605" t="s">
        <v>2467</v>
      </c>
      <c r="B605" t="s">
        <v>2466</v>
      </c>
      <c r="C605">
        <v>8892</v>
      </c>
      <c r="D605">
        <v>711677241</v>
      </c>
      <c r="E605">
        <v>1548845816370</v>
      </c>
      <c r="F605">
        <v>2200</v>
      </c>
      <c r="G605">
        <v>2200</v>
      </c>
      <c r="H605">
        <v>2164</v>
      </c>
      <c r="I605">
        <v>-36</v>
      </c>
      <c r="J605">
        <v>-1.64</v>
      </c>
      <c r="K605">
        <v>2176</v>
      </c>
      <c r="L605">
        <v>-24</v>
      </c>
      <c r="M605">
        <v>-1.0900000000000001</v>
      </c>
      <c r="N605">
        <v>2134</v>
      </c>
      <c r="O605">
        <v>2243</v>
      </c>
      <c r="P605">
        <v>401</v>
      </c>
      <c r="Q605">
        <v>5.43</v>
      </c>
      <c r="R605">
        <v>1</v>
      </c>
      <c r="S605">
        <v>26000</v>
      </c>
      <c r="T605">
        <v>2155</v>
      </c>
      <c r="U605">
        <v>2165</v>
      </c>
      <c r="V605">
        <v>3000</v>
      </c>
      <c r="W605">
        <v>1</v>
      </c>
      <c r="X605" s="367"/>
    </row>
    <row r="606" spans="1:24">
      <c r="A606" t="s">
        <v>7890</v>
      </c>
      <c r="B606" t="s">
        <v>7891</v>
      </c>
      <c r="C606">
        <v>0</v>
      </c>
      <c r="D606">
        <v>0</v>
      </c>
      <c r="E606">
        <v>0</v>
      </c>
      <c r="F606">
        <v>590</v>
      </c>
      <c r="G606">
        <v>0</v>
      </c>
      <c r="H606">
        <v>590</v>
      </c>
      <c r="I606">
        <v>0</v>
      </c>
      <c r="J606">
        <v>0</v>
      </c>
      <c r="K606">
        <v>590</v>
      </c>
      <c r="L606">
        <v>0</v>
      </c>
      <c r="M606">
        <v>0</v>
      </c>
      <c r="N606">
        <v>0</v>
      </c>
      <c r="O606">
        <v>0</v>
      </c>
      <c r="P606" t="s">
        <v>192</v>
      </c>
      <c r="Q606" t="s">
        <v>192</v>
      </c>
      <c r="R606">
        <v>1</v>
      </c>
      <c r="S606">
        <v>10</v>
      </c>
      <c r="T606">
        <v>202</v>
      </c>
      <c r="U606">
        <v>570</v>
      </c>
      <c r="V606">
        <v>10</v>
      </c>
      <c r="W606">
        <v>1</v>
      </c>
      <c r="X606" s="367"/>
    </row>
    <row r="607" spans="1:24">
      <c r="A607" t="s">
        <v>6625</v>
      </c>
      <c r="B607" t="s">
        <v>8134</v>
      </c>
      <c r="C607">
        <v>0</v>
      </c>
      <c r="D607">
        <v>0</v>
      </c>
      <c r="E607">
        <v>0</v>
      </c>
      <c r="F607">
        <v>5</v>
      </c>
      <c r="G607">
        <v>0</v>
      </c>
      <c r="H607">
        <v>5</v>
      </c>
      <c r="I607">
        <v>0</v>
      </c>
      <c r="J607">
        <v>0</v>
      </c>
      <c r="K607">
        <v>5</v>
      </c>
      <c r="L607">
        <v>0</v>
      </c>
      <c r="M607">
        <v>0</v>
      </c>
      <c r="N607">
        <v>0</v>
      </c>
      <c r="O607">
        <v>0</v>
      </c>
      <c r="P607" t="s">
        <v>192</v>
      </c>
      <c r="Q607" t="s">
        <v>192</v>
      </c>
      <c r="R607">
        <v>8</v>
      </c>
      <c r="S607">
        <v>7014</v>
      </c>
      <c r="T607">
        <v>1</v>
      </c>
      <c r="U607">
        <v>4</v>
      </c>
      <c r="V607">
        <v>76</v>
      </c>
      <c r="W607">
        <v>1</v>
      </c>
      <c r="X607" s="367"/>
    </row>
    <row r="608" spans="1:24">
      <c r="A608" t="s">
        <v>6434</v>
      </c>
      <c r="B608" t="s">
        <v>6435</v>
      </c>
      <c r="C608">
        <v>3679</v>
      </c>
      <c r="D608">
        <v>68243551</v>
      </c>
      <c r="E608">
        <v>789092240419</v>
      </c>
      <c r="F608">
        <v>11390</v>
      </c>
      <c r="G608">
        <v>11598</v>
      </c>
      <c r="H608">
        <v>11586</v>
      </c>
      <c r="I608">
        <v>196</v>
      </c>
      <c r="J608">
        <v>1.72</v>
      </c>
      <c r="K608">
        <v>11563</v>
      </c>
      <c r="L608">
        <v>173</v>
      </c>
      <c r="M608">
        <v>1.52</v>
      </c>
      <c r="N608">
        <v>11451</v>
      </c>
      <c r="O608">
        <v>11640</v>
      </c>
      <c r="P608" t="s">
        <v>192</v>
      </c>
      <c r="Q608" t="s">
        <v>192</v>
      </c>
      <c r="R608">
        <v>5</v>
      </c>
      <c r="S608">
        <v>67712</v>
      </c>
      <c r="T608">
        <v>11586</v>
      </c>
      <c r="U608">
        <v>11587</v>
      </c>
      <c r="V608">
        <v>18838</v>
      </c>
      <c r="W608">
        <v>1</v>
      </c>
      <c r="X608" s="367"/>
    </row>
    <row r="609" spans="1:24">
      <c r="A609" t="s">
        <v>3109</v>
      </c>
      <c r="B609" t="s">
        <v>3108</v>
      </c>
      <c r="C609">
        <v>1398</v>
      </c>
      <c r="D609">
        <v>57072386</v>
      </c>
      <c r="E609">
        <v>540185664820</v>
      </c>
      <c r="F609">
        <v>9200</v>
      </c>
      <c r="G609">
        <v>9470</v>
      </c>
      <c r="H609">
        <v>9470</v>
      </c>
      <c r="I609">
        <v>270</v>
      </c>
      <c r="J609">
        <v>2.93</v>
      </c>
      <c r="K609">
        <v>9460</v>
      </c>
      <c r="L609">
        <v>260</v>
      </c>
      <c r="M609">
        <v>2.83</v>
      </c>
      <c r="N609">
        <v>9380</v>
      </c>
      <c r="O609">
        <v>9470</v>
      </c>
      <c r="P609">
        <v>3216</v>
      </c>
      <c r="Q609">
        <v>2.94</v>
      </c>
      <c r="R609">
        <v>80</v>
      </c>
      <c r="S609">
        <v>1691922</v>
      </c>
      <c r="T609">
        <v>9470</v>
      </c>
      <c r="U609">
        <v>9480</v>
      </c>
      <c r="V609">
        <v>1000</v>
      </c>
      <c r="W609">
        <v>1</v>
      </c>
      <c r="X609" s="367"/>
    </row>
    <row r="610" spans="1:24">
      <c r="A610" t="s">
        <v>7223</v>
      </c>
      <c r="B610" t="s">
        <v>8460</v>
      </c>
      <c r="C610">
        <v>159</v>
      </c>
      <c r="D610">
        <v>5953</v>
      </c>
      <c r="E610">
        <v>24080286501</v>
      </c>
      <c r="F610">
        <v>2525</v>
      </c>
      <c r="G610">
        <v>3300</v>
      </c>
      <c r="H610">
        <v>2704</v>
      </c>
      <c r="I610">
        <v>179</v>
      </c>
      <c r="J610">
        <v>7.09</v>
      </c>
      <c r="K610">
        <v>2950</v>
      </c>
      <c r="L610">
        <v>425</v>
      </c>
      <c r="M610">
        <v>16.829999999999998</v>
      </c>
      <c r="N610">
        <v>2700</v>
      </c>
      <c r="O610">
        <v>3491</v>
      </c>
      <c r="P610" t="s">
        <v>192</v>
      </c>
      <c r="Q610" t="s">
        <v>192</v>
      </c>
      <c r="R610">
        <v>1</v>
      </c>
      <c r="S610">
        <v>20</v>
      </c>
      <c r="T610">
        <v>2704</v>
      </c>
      <c r="U610">
        <v>3080</v>
      </c>
      <c r="V610">
        <v>3</v>
      </c>
      <c r="W610">
        <v>1</v>
      </c>
      <c r="X610" s="367"/>
    </row>
    <row r="611" spans="1:24">
      <c r="A611" t="s">
        <v>6436</v>
      </c>
      <c r="B611" t="s">
        <v>6437</v>
      </c>
      <c r="C611">
        <v>781</v>
      </c>
      <c r="D611">
        <v>11279467</v>
      </c>
      <c r="E611">
        <v>147176923067</v>
      </c>
      <c r="F611">
        <v>12775</v>
      </c>
      <c r="G611">
        <v>12900</v>
      </c>
      <c r="H611">
        <v>13113</v>
      </c>
      <c r="I611">
        <v>338</v>
      </c>
      <c r="J611">
        <v>2.65</v>
      </c>
      <c r="K611">
        <v>13048</v>
      </c>
      <c r="L611">
        <v>273</v>
      </c>
      <c r="M611">
        <v>2.14</v>
      </c>
      <c r="N611">
        <v>12900</v>
      </c>
      <c r="O611">
        <v>13145</v>
      </c>
      <c r="P611" t="s">
        <v>192</v>
      </c>
      <c r="Q611" t="s">
        <v>192</v>
      </c>
      <c r="R611">
        <v>1</v>
      </c>
      <c r="S611">
        <v>899</v>
      </c>
      <c r="T611">
        <v>13112</v>
      </c>
      <c r="U611">
        <v>13128</v>
      </c>
      <c r="V611">
        <v>59000</v>
      </c>
      <c r="W611">
        <v>1</v>
      </c>
      <c r="X611" s="367"/>
    </row>
    <row r="612" spans="1:24">
      <c r="A612" t="s">
        <v>8731</v>
      </c>
      <c r="B612" t="s">
        <v>8732</v>
      </c>
      <c r="C612">
        <v>7</v>
      </c>
      <c r="D612">
        <v>6001</v>
      </c>
      <c r="E612">
        <v>83050000</v>
      </c>
      <c r="F612">
        <v>11</v>
      </c>
      <c r="G612">
        <v>11</v>
      </c>
      <c r="H612">
        <v>50</v>
      </c>
      <c r="I612">
        <v>39</v>
      </c>
      <c r="J612">
        <v>354.55</v>
      </c>
      <c r="K612">
        <v>14</v>
      </c>
      <c r="L612">
        <v>3</v>
      </c>
      <c r="M612">
        <v>27.27</v>
      </c>
      <c r="N612">
        <v>11</v>
      </c>
      <c r="O612">
        <v>50</v>
      </c>
      <c r="P612" t="s">
        <v>192</v>
      </c>
      <c r="Q612" t="s">
        <v>192</v>
      </c>
      <c r="R612">
        <v>1</v>
      </c>
      <c r="S612">
        <v>170</v>
      </c>
      <c r="T612">
        <v>25</v>
      </c>
      <c r="U612">
        <v>44</v>
      </c>
      <c r="V612">
        <v>106</v>
      </c>
      <c r="W612">
        <v>2</v>
      </c>
      <c r="X612" s="367"/>
    </row>
    <row r="613" spans="1:24">
      <c r="A613" t="s">
        <v>2607</v>
      </c>
      <c r="B613" t="s">
        <v>2606</v>
      </c>
      <c r="C613">
        <v>366</v>
      </c>
      <c r="D613">
        <v>45979363</v>
      </c>
      <c r="E613">
        <v>111270058460</v>
      </c>
      <c r="F613">
        <v>2350</v>
      </c>
      <c r="G613">
        <v>2420</v>
      </c>
      <c r="H613">
        <v>2420</v>
      </c>
      <c r="I613">
        <v>70</v>
      </c>
      <c r="J613">
        <v>2.98</v>
      </c>
      <c r="K613">
        <v>2420</v>
      </c>
      <c r="L613">
        <v>70</v>
      </c>
      <c r="M613">
        <v>2.98</v>
      </c>
      <c r="N613">
        <v>2420</v>
      </c>
      <c r="O613">
        <v>2420</v>
      </c>
      <c r="P613">
        <v>397</v>
      </c>
      <c r="Q613">
        <v>6.1</v>
      </c>
      <c r="R613">
        <v>42</v>
      </c>
      <c r="S613">
        <v>5273682</v>
      </c>
      <c r="T613">
        <v>2420</v>
      </c>
      <c r="U613">
        <v>2448</v>
      </c>
      <c r="V613">
        <v>119</v>
      </c>
      <c r="W613">
        <v>1</v>
      </c>
      <c r="X613" s="367"/>
    </row>
    <row r="614" spans="1:24">
      <c r="A614" t="s">
        <v>8506</v>
      </c>
      <c r="B614" t="s">
        <v>8507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 t="s">
        <v>192</v>
      </c>
      <c r="Q614" t="s">
        <v>192</v>
      </c>
      <c r="R614">
        <v>1</v>
      </c>
      <c r="S614">
        <v>99</v>
      </c>
      <c r="T614">
        <v>19</v>
      </c>
      <c r="U614">
        <v>0</v>
      </c>
      <c r="V614">
        <v>0</v>
      </c>
      <c r="W614">
        <v>0</v>
      </c>
      <c r="X614" s="367"/>
    </row>
    <row r="615" spans="1:24">
      <c r="A615" t="s">
        <v>3837</v>
      </c>
      <c r="B615" t="s">
        <v>8335</v>
      </c>
      <c r="C615">
        <v>385</v>
      </c>
      <c r="D615">
        <v>21250</v>
      </c>
      <c r="E615">
        <v>276036638214</v>
      </c>
      <c r="F615">
        <v>9356</v>
      </c>
      <c r="G615">
        <v>9446</v>
      </c>
      <c r="H615">
        <v>9485</v>
      </c>
      <c r="I615">
        <v>129</v>
      </c>
      <c r="J615">
        <v>1.38</v>
      </c>
      <c r="K615">
        <v>9475</v>
      </c>
      <c r="L615">
        <v>119</v>
      </c>
      <c r="M615">
        <v>1.27</v>
      </c>
      <c r="N615">
        <v>9415</v>
      </c>
      <c r="O615">
        <v>9575</v>
      </c>
      <c r="P615" t="s">
        <v>192</v>
      </c>
      <c r="Q615" t="s">
        <v>192</v>
      </c>
      <c r="R615">
        <v>1</v>
      </c>
      <c r="S615">
        <v>10</v>
      </c>
      <c r="T615">
        <v>9452</v>
      </c>
      <c r="U615">
        <v>9485</v>
      </c>
      <c r="V615">
        <v>1130</v>
      </c>
      <c r="W615">
        <v>2</v>
      </c>
      <c r="X615" s="367"/>
    </row>
    <row r="616" spans="1:24">
      <c r="A616" t="s">
        <v>127</v>
      </c>
      <c r="B616" t="s">
        <v>126</v>
      </c>
      <c r="C616">
        <v>1852</v>
      </c>
      <c r="D616">
        <v>35332027</v>
      </c>
      <c r="E616">
        <v>573085477940</v>
      </c>
      <c r="F616">
        <v>15750</v>
      </c>
      <c r="G616">
        <v>16220</v>
      </c>
      <c r="H616">
        <v>16220</v>
      </c>
      <c r="I616">
        <v>470</v>
      </c>
      <c r="J616">
        <v>2.98</v>
      </c>
      <c r="K616">
        <v>16220</v>
      </c>
      <c r="L616">
        <v>470</v>
      </c>
      <c r="M616">
        <v>2.98</v>
      </c>
      <c r="N616">
        <v>16220</v>
      </c>
      <c r="O616">
        <v>16220</v>
      </c>
      <c r="P616">
        <v>1411</v>
      </c>
      <c r="Q616">
        <v>11.5</v>
      </c>
      <c r="R616">
        <v>9999</v>
      </c>
      <c r="S616">
        <v>1429919693</v>
      </c>
      <c r="T616">
        <v>16220</v>
      </c>
      <c r="U616">
        <v>17460</v>
      </c>
      <c r="V616">
        <v>2635</v>
      </c>
      <c r="W616">
        <v>1</v>
      </c>
      <c r="X616" s="367"/>
    </row>
    <row r="617" spans="1:24">
      <c r="A617" t="s">
        <v>3839</v>
      </c>
      <c r="B617" t="s">
        <v>3840</v>
      </c>
      <c r="C617">
        <v>721</v>
      </c>
      <c r="D617">
        <v>341767</v>
      </c>
      <c r="E617">
        <v>2234107000</v>
      </c>
      <c r="F617">
        <v>3</v>
      </c>
      <c r="G617">
        <v>4</v>
      </c>
      <c r="H617">
        <v>7</v>
      </c>
      <c r="I617">
        <v>4</v>
      </c>
      <c r="J617">
        <v>133.33000000000001</v>
      </c>
      <c r="K617">
        <v>7</v>
      </c>
      <c r="L617">
        <v>4</v>
      </c>
      <c r="M617">
        <v>133.33000000000001</v>
      </c>
      <c r="N617">
        <v>4</v>
      </c>
      <c r="O617">
        <v>8</v>
      </c>
      <c r="P617" t="s">
        <v>192</v>
      </c>
      <c r="Q617" t="s">
        <v>192</v>
      </c>
      <c r="R617">
        <v>10</v>
      </c>
      <c r="S617">
        <v>6367</v>
      </c>
      <c r="T617">
        <v>6</v>
      </c>
      <c r="U617">
        <v>8</v>
      </c>
      <c r="V617">
        <v>36775</v>
      </c>
      <c r="W617">
        <v>38</v>
      </c>
      <c r="X617" s="367"/>
    </row>
    <row r="618" spans="1:24">
      <c r="A618" t="s">
        <v>8050</v>
      </c>
      <c r="B618" t="s">
        <v>8051</v>
      </c>
      <c r="C618">
        <v>2256</v>
      </c>
      <c r="D618">
        <v>908619</v>
      </c>
      <c r="E618">
        <v>76615274000</v>
      </c>
      <c r="F618">
        <v>67</v>
      </c>
      <c r="G618">
        <v>74</v>
      </c>
      <c r="H618">
        <v>84</v>
      </c>
      <c r="I618">
        <v>17</v>
      </c>
      <c r="J618">
        <v>25.37</v>
      </c>
      <c r="K618">
        <v>84</v>
      </c>
      <c r="L618">
        <v>17</v>
      </c>
      <c r="M618">
        <v>25.37</v>
      </c>
      <c r="N618">
        <v>74</v>
      </c>
      <c r="O618">
        <v>87</v>
      </c>
      <c r="P618" t="s">
        <v>192</v>
      </c>
      <c r="Q618" t="s">
        <v>192</v>
      </c>
      <c r="R618">
        <v>6</v>
      </c>
      <c r="S618">
        <v>3012</v>
      </c>
      <c r="T618">
        <v>82</v>
      </c>
      <c r="U618">
        <v>85</v>
      </c>
      <c r="V618">
        <v>39972</v>
      </c>
      <c r="W618">
        <v>40</v>
      </c>
      <c r="X618" s="367"/>
    </row>
    <row r="619" spans="1:24">
      <c r="A619" t="s">
        <v>3841</v>
      </c>
      <c r="B619" t="s">
        <v>3842</v>
      </c>
      <c r="C619">
        <v>1253</v>
      </c>
      <c r="D619">
        <v>55879</v>
      </c>
      <c r="E619">
        <v>154664303000</v>
      </c>
      <c r="F619">
        <v>1945</v>
      </c>
      <c r="G619">
        <v>2500</v>
      </c>
      <c r="H619">
        <v>2720</v>
      </c>
      <c r="I619">
        <v>775</v>
      </c>
      <c r="J619">
        <v>39.85</v>
      </c>
      <c r="K619">
        <v>2768</v>
      </c>
      <c r="L619">
        <v>823</v>
      </c>
      <c r="M619">
        <v>42.31</v>
      </c>
      <c r="N619">
        <v>2500</v>
      </c>
      <c r="O619">
        <v>2997</v>
      </c>
      <c r="P619" t="s">
        <v>192</v>
      </c>
      <c r="Q619" t="s">
        <v>192</v>
      </c>
      <c r="R619">
        <v>1</v>
      </c>
      <c r="S619">
        <v>135</v>
      </c>
      <c r="T619">
        <v>2700</v>
      </c>
      <c r="U619">
        <v>2720</v>
      </c>
      <c r="V619">
        <v>47</v>
      </c>
      <c r="W619">
        <v>1</v>
      </c>
      <c r="X619" s="367"/>
    </row>
    <row r="620" spans="1:24">
      <c r="A620" t="s">
        <v>3843</v>
      </c>
      <c r="B620" t="s">
        <v>3844</v>
      </c>
      <c r="C620">
        <v>569</v>
      </c>
      <c r="D620">
        <v>6657949</v>
      </c>
      <c r="E620">
        <v>334348882882</v>
      </c>
      <c r="F620">
        <v>48287</v>
      </c>
      <c r="G620">
        <v>50218</v>
      </c>
      <c r="H620">
        <v>50218</v>
      </c>
      <c r="I620">
        <v>1931</v>
      </c>
      <c r="J620">
        <v>4</v>
      </c>
      <c r="K620">
        <v>50218</v>
      </c>
      <c r="L620">
        <v>1931</v>
      </c>
      <c r="M620">
        <v>4</v>
      </c>
      <c r="N620">
        <v>50218</v>
      </c>
      <c r="O620">
        <v>50218</v>
      </c>
      <c r="P620" t="s">
        <v>192</v>
      </c>
      <c r="Q620" t="s">
        <v>192</v>
      </c>
      <c r="R620">
        <v>1018</v>
      </c>
      <c r="S620">
        <v>20955232</v>
      </c>
      <c r="T620">
        <v>50218</v>
      </c>
      <c r="U620">
        <v>50260</v>
      </c>
      <c r="V620">
        <v>500</v>
      </c>
      <c r="W620">
        <v>1</v>
      </c>
      <c r="X620" s="367"/>
    </row>
    <row r="621" spans="1:24">
      <c r="A621" t="s">
        <v>3845</v>
      </c>
      <c r="B621" t="s">
        <v>3846</v>
      </c>
      <c r="C621">
        <v>4</v>
      </c>
      <c r="D621">
        <v>7</v>
      </c>
      <c r="E621">
        <v>78411000</v>
      </c>
      <c r="F621">
        <v>9990</v>
      </c>
      <c r="G621">
        <v>12500</v>
      </c>
      <c r="H621">
        <v>9217</v>
      </c>
      <c r="I621">
        <v>-773</v>
      </c>
      <c r="J621">
        <v>-7.74</v>
      </c>
      <c r="K621">
        <v>11202</v>
      </c>
      <c r="L621">
        <v>1212</v>
      </c>
      <c r="M621">
        <v>12.13</v>
      </c>
      <c r="N621">
        <v>9217</v>
      </c>
      <c r="O621">
        <v>13300</v>
      </c>
      <c r="P621" t="s">
        <v>192</v>
      </c>
      <c r="Q621" t="s">
        <v>192</v>
      </c>
      <c r="R621">
        <v>1</v>
      </c>
      <c r="S621">
        <v>10</v>
      </c>
      <c r="T621">
        <v>9315</v>
      </c>
      <c r="U621">
        <v>12870</v>
      </c>
      <c r="V621">
        <v>10</v>
      </c>
      <c r="W621">
        <v>1</v>
      </c>
      <c r="X621" s="367"/>
    </row>
    <row r="622" spans="1:24">
      <c r="A622" t="s">
        <v>3847</v>
      </c>
      <c r="B622" t="s">
        <v>3848</v>
      </c>
      <c r="C622">
        <v>0</v>
      </c>
      <c r="D622">
        <v>0</v>
      </c>
      <c r="E622">
        <v>0</v>
      </c>
      <c r="F622">
        <v>1000000</v>
      </c>
      <c r="G622">
        <v>0</v>
      </c>
      <c r="H622">
        <v>1000000</v>
      </c>
      <c r="I622">
        <v>0</v>
      </c>
      <c r="J622">
        <v>0</v>
      </c>
      <c r="K622">
        <v>1000000</v>
      </c>
      <c r="L622">
        <v>0</v>
      </c>
      <c r="M622">
        <v>0</v>
      </c>
      <c r="N622">
        <v>0</v>
      </c>
      <c r="O622">
        <v>0</v>
      </c>
      <c r="P622" t="s">
        <v>192</v>
      </c>
      <c r="Q622" t="s">
        <v>192</v>
      </c>
      <c r="R622">
        <v>1</v>
      </c>
      <c r="S622">
        <v>6900</v>
      </c>
      <c r="T622">
        <v>995000</v>
      </c>
      <c r="U622">
        <v>1004950</v>
      </c>
      <c r="V622">
        <v>6900</v>
      </c>
      <c r="W622">
        <v>1</v>
      </c>
      <c r="X622" s="367"/>
    </row>
    <row r="623" spans="1:24">
      <c r="A623" t="s">
        <v>3849</v>
      </c>
      <c r="B623" t="s">
        <v>3850</v>
      </c>
      <c r="C623">
        <v>0</v>
      </c>
      <c r="D623">
        <v>0</v>
      </c>
      <c r="E623">
        <v>0</v>
      </c>
      <c r="F623">
        <v>1000000</v>
      </c>
      <c r="G623">
        <v>0</v>
      </c>
      <c r="H623">
        <v>1000000</v>
      </c>
      <c r="I623">
        <v>0</v>
      </c>
      <c r="J623">
        <v>0</v>
      </c>
      <c r="K623">
        <v>1000000</v>
      </c>
      <c r="L623">
        <v>0</v>
      </c>
      <c r="M623">
        <v>0</v>
      </c>
      <c r="N623">
        <v>0</v>
      </c>
      <c r="O623">
        <v>0</v>
      </c>
      <c r="P623" t="s">
        <v>192</v>
      </c>
      <c r="Q623" t="s">
        <v>192</v>
      </c>
      <c r="R623">
        <v>1</v>
      </c>
      <c r="S623">
        <v>5000</v>
      </c>
      <c r="T623">
        <v>1000000</v>
      </c>
      <c r="U623">
        <v>1010000</v>
      </c>
      <c r="V623">
        <v>3</v>
      </c>
      <c r="W623">
        <v>1</v>
      </c>
      <c r="X623" s="367"/>
    </row>
    <row r="624" spans="1:24">
      <c r="A624" t="s">
        <v>3851</v>
      </c>
      <c r="B624" t="s">
        <v>8262</v>
      </c>
      <c r="C624">
        <v>41</v>
      </c>
      <c r="D624">
        <v>4170</v>
      </c>
      <c r="E624">
        <v>551498000</v>
      </c>
      <c r="F624">
        <v>147</v>
      </c>
      <c r="G624">
        <v>145</v>
      </c>
      <c r="H624">
        <v>136</v>
      </c>
      <c r="I624">
        <v>-11</v>
      </c>
      <c r="J624">
        <v>-7.48</v>
      </c>
      <c r="K624">
        <v>132</v>
      </c>
      <c r="L624">
        <v>-15</v>
      </c>
      <c r="M624">
        <v>-10.199999999999999</v>
      </c>
      <c r="N624">
        <v>129</v>
      </c>
      <c r="O624">
        <v>145</v>
      </c>
      <c r="P624" t="s">
        <v>192</v>
      </c>
      <c r="Q624" t="s">
        <v>192</v>
      </c>
      <c r="R624">
        <v>1</v>
      </c>
      <c r="S624">
        <v>9</v>
      </c>
      <c r="T624">
        <v>136</v>
      </c>
      <c r="U624">
        <v>157</v>
      </c>
      <c r="V624">
        <v>200</v>
      </c>
      <c r="W624">
        <v>1</v>
      </c>
      <c r="X624" s="367"/>
    </row>
    <row r="625" spans="1:24">
      <c r="A625" t="s">
        <v>2328</v>
      </c>
      <c r="B625" t="s">
        <v>2327</v>
      </c>
      <c r="C625">
        <v>80</v>
      </c>
      <c r="D625">
        <v>6829610</v>
      </c>
      <c r="E625">
        <v>18764375210</v>
      </c>
      <c r="F625">
        <v>2762</v>
      </c>
      <c r="G625">
        <v>2830</v>
      </c>
      <c r="H625">
        <v>2741</v>
      </c>
      <c r="I625">
        <v>-21</v>
      </c>
      <c r="J625">
        <v>-0.76</v>
      </c>
      <c r="K625">
        <v>2748</v>
      </c>
      <c r="L625">
        <v>-14</v>
      </c>
      <c r="M625">
        <v>-0.51</v>
      </c>
      <c r="N625">
        <v>2710</v>
      </c>
      <c r="O625">
        <v>2830</v>
      </c>
      <c r="P625">
        <v>613</v>
      </c>
      <c r="Q625">
        <v>4.4800000000000004</v>
      </c>
      <c r="R625">
        <v>1</v>
      </c>
      <c r="S625">
        <v>18545</v>
      </c>
      <c r="T625">
        <v>2740</v>
      </c>
      <c r="U625">
        <v>2741</v>
      </c>
      <c r="V625">
        <v>20591</v>
      </c>
      <c r="W625">
        <v>1</v>
      </c>
      <c r="X625" s="367"/>
    </row>
    <row r="626" spans="1:24">
      <c r="A626" t="s">
        <v>3853</v>
      </c>
      <c r="B626" t="s">
        <v>3854</v>
      </c>
      <c r="C626">
        <v>0</v>
      </c>
      <c r="D626">
        <v>0</v>
      </c>
      <c r="E626">
        <v>0</v>
      </c>
      <c r="F626">
        <v>1000000</v>
      </c>
      <c r="G626">
        <v>0</v>
      </c>
      <c r="H626">
        <v>1000000</v>
      </c>
      <c r="I626">
        <v>0</v>
      </c>
      <c r="J626">
        <v>0</v>
      </c>
      <c r="K626">
        <v>1000000</v>
      </c>
      <c r="L626">
        <v>0</v>
      </c>
      <c r="M626">
        <v>0</v>
      </c>
      <c r="N626">
        <v>0</v>
      </c>
      <c r="O626">
        <v>0</v>
      </c>
      <c r="P626" t="s">
        <v>192</v>
      </c>
      <c r="Q626" t="s">
        <v>192</v>
      </c>
      <c r="R626">
        <v>1</v>
      </c>
      <c r="S626">
        <v>5000</v>
      </c>
      <c r="T626">
        <v>995000</v>
      </c>
      <c r="U626">
        <v>1005000</v>
      </c>
      <c r="V626">
        <v>5000</v>
      </c>
      <c r="W626">
        <v>1</v>
      </c>
      <c r="X626" s="367"/>
    </row>
    <row r="627" spans="1:24">
      <c r="A627" t="s">
        <v>3855</v>
      </c>
      <c r="B627" t="s">
        <v>8336</v>
      </c>
      <c r="C627">
        <v>28</v>
      </c>
      <c r="D627">
        <v>419</v>
      </c>
      <c r="E627">
        <v>4190915301</v>
      </c>
      <c r="F627">
        <v>7160</v>
      </c>
      <c r="G627">
        <v>7259</v>
      </c>
      <c r="H627">
        <v>7339</v>
      </c>
      <c r="I627">
        <v>179</v>
      </c>
      <c r="J627">
        <v>2.5</v>
      </c>
      <c r="K627">
        <v>7296</v>
      </c>
      <c r="L627">
        <v>136</v>
      </c>
      <c r="M627">
        <v>1.9</v>
      </c>
      <c r="N627">
        <v>7220</v>
      </c>
      <c r="O627">
        <v>7350</v>
      </c>
      <c r="P627" t="s">
        <v>192</v>
      </c>
      <c r="Q627" t="s">
        <v>192</v>
      </c>
      <c r="R627">
        <v>1</v>
      </c>
      <c r="S627">
        <v>10</v>
      </c>
      <c r="T627">
        <v>7253</v>
      </c>
      <c r="U627">
        <v>7336</v>
      </c>
      <c r="V627">
        <v>18</v>
      </c>
      <c r="W627">
        <v>2</v>
      </c>
      <c r="X627" s="367"/>
    </row>
    <row r="628" spans="1:24">
      <c r="A628" t="s">
        <v>3857</v>
      </c>
      <c r="B628" t="s">
        <v>3858</v>
      </c>
      <c r="C628">
        <v>0</v>
      </c>
      <c r="D628">
        <v>0</v>
      </c>
      <c r="E628">
        <v>0</v>
      </c>
      <c r="F628">
        <v>950000</v>
      </c>
      <c r="G628">
        <v>0</v>
      </c>
      <c r="H628">
        <v>950000</v>
      </c>
      <c r="I628">
        <v>0</v>
      </c>
      <c r="J628">
        <v>0</v>
      </c>
      <c r="K628">
        <v>950000</v>
      </c>
      <c r="L628">
        <v>0</v>
      </c>
      <c r="M628">
        <v>0</v>
      </c>
      <c r="N628">
        <v>0</v>
      </c>
      <c r="O628">
        <v>0</v>
      </c>
      <c r="P628" t="s">
        <v>192</v>
      </c>
      <c r="Q628" t="s">
        <v>192</v>
      </c>
      <c r="R628">
        <v>1</v>
      </c>
      <c r="S628">
        <v>5000</v>
      </c>
      <c r="T628">
        <v>945250</v>
      </c>
      <c r="U628">
        <v>954702</v>
      </c>
      <c r="V628">
        <v>5000</v>
      </c>
      <c r="W628">
        <v>1</v>
      </c>
      <c r="X628" s="367"/>
    </row>
    <row r="629" spans="1:24">
      <c r="A629" t="s">
        <v>3859</v>
      </c>
      <c r="B629" t="s">
        <v>3860</v>
      </c>
      <c r="C629">
        <v>0</v>
      </c>
      <c r="D629">
        <v>0</v>
      </c>
      <c r="E629">
        <v>0</v>
      </c>
      <c r="F629">
        <v>917760</v>
      </c>
      <c r="G629">
        <v>0</v>
      </c>
      <c r="H629">
        <v>917760</v>
      </c>
      <c r="I629">
        <v>0</v>
      </c>
      <c r="J629">
        <v>0</v>
      </c>
      <c r="K629">
        <v>917760</v>
      </c>
      <c r="L629">
        <v>0</v>
      </c>
      <c r="M629">
        <v>0</v>
      </c>
      <c r="N629">
        <v>0</v>
      </c>
      <c r="O629">
        <v>0</v>
      </c>
      <c r="P629" t="s">
        <v>192</v>
      </c>
      <c r="Q629" t="s">
        <v>192</v>
      </c>
      <c r="R629">
        <v>1</v>
      </c>
      <c r="S629">
        <v>3125</v>
      </c>
      <c r="T629">
        <v>890228</v>
      </c>
      <c r="U629">
        <v>0</v>
      </c>
      <c r="V629">
        <v>0</v>
      </c>
      <c r="W629">
        <v>0</v>
      </c>
      <c r="X629" s="367"/>
    </row>
    <row r="630" spans="1:24">
      <c r="A630" t="s">
        <v>3861</v>
      </c>
      <c r="B630" t="s">
        <v>3862</v>
      </c>
      <c r="C630">
        <v>2179</v>
      </c>
      <c r="D630">
        <v>98744</v>
      </c>
      <c r="E630">
        <v>69112561000</v>
      </c>
      <c r="F630">
        <v>878</v>
      </c>
      <c r="G630">
        <v>600</v>
      </c>
      <c r="H630">
        <v>718</v>
      </c>
      <c r="I630">
        <v>-160</v>
      </c>
      <c r="J630">
        <v>-18.22</v>
      </c>
      <c r="K630">
        <v>700</v>
      </c>
      <c r="L630">
        <v>-178</v>
      </c>
      <c r="M630">
        <v>-20.27</v>
      </c>
      <c r="N630">
        <v>500</v>
      </c>
      <c r="O630">
        <v>1000</v>
      </c>
      <c r="P630" t="s">
        <v>192</v>
      </c>
      <c r="Q630" t="s">
        <v>192</v>
      </c>
      <c r="R630">
        <v>1</v>
      </c>
      <c r="S630">
        <v>900</v>
      </c>
      <c r="T630">
        <v>709</v>
      </c>
      <c r="U630">
        <v>800</v>
      </c>
      <c r="V630">
        <v>44</v>
      </c>
      <c r="W630">
        <v>1</v>
      </c>
      <c r="X630" s="367"/>
    </row>
    <row r="631" spans="1:24">
      <c r="A631" t="s">
        <v>3863</v>
      </c>
      <c r="B631" t="s">
        <v>3864</v>
      </c>
      <c r="C631">
        <v>0</v>
      </c>
      <c r="D631">
        <v>0</v>
      </c>
      <c r="E631">
        <v>0</v>
      </c>
      <c r="F631">
        <v>931000</v>
      </c>
      <c r="G631">
        <v>0</v>
      </c>
      <c r="H631">
        <v>931000</v>
      </c>
      <c r="I631">
        <v>0</v>
      </c>
      <c r="J631">
        <v>0</v>
      </c>
      <c r="K631">
        <v>931000</v>
      </c>
      <c r="L631">
        <v>0</v>
      </c>
      <c r="M631">
        <v>0</v>
      </c>
      <c r="N631">
        <v>0</v>
      </c>
      <c r="O631">
        <v>0</v>
      </c>
      <c r="P631" t="s">
        <v>192</v>
      </c>
      <c r="Q631" t="s">
        <v>192</v>
      </c>
      <c r="R631">
        <v>1</v>
      </c>
      <c r="S631">
        <v>1924</v>
      </c>
      <c r="T631">
        <v>922000</v>
      </c>
      <c r="U631">
        <v>931000</v>
      </c>
      <c r="V631">
        <v>2400</v>
      </c>
      <c r="W631">
        <v>1</v>
      </c>
      <c r="X631" s="367"/>
    </row>
    <row r="632" spans="1:24">
      <c r="A632" t="s">
        <v>8393</v>
      </c>
      <c r="B632" t="s">
        <v>8394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 t="s">
        <v>192</v>
      </c>
      <c r="Q632" t="s">
        <v>192</v>
      </c>
      <c r="R632">
        <v>1</v>
      </c>
      <c r="S632">
        <v>5</v>
      </c>
      <c r="T632">
        <v>2</v>
      </c>
      <c r="U632">
        <v>0</v>
      </c>
      <c r="V632">
        <v>0</v>
      </c>
      <c r="W632">
        <v>0</v>
      </c>
      <c r="X632" s="367"/>
    </row>
    <row r="633" spans="1:24">
      <c r="A633" t="s">
        <v>3865</v>
      </c>
      <c r="B633" t="s">
        <v>8559</v>
      </c>
      <c r="C633">
        <v>156</v>
      </c>
      <c r="D633">
        <v>70027</v>
      </c>
      <c r="E633">
        <v>2423380000</v>
      </c>
      <c r="F633">
        <v>15</v>
      </c>
      <c r="G633">
        <v>21</v>
      </c>
      <c r="H633">
        <v>28</v>
      </c>
      <c r="I633">
        <v>13</v>
      </c>
      <c r="J633">
        <v>86.67</v>
      </c>
      <c r="K633">
        <v>35</v>
      </c>
      <c r="L633">
        <v>20</v>
      </c>
      <c r="M633">
        <v>133.33000000000001</v>
      </c>
      <c r="N633">
        <v>21</v>
      </c>
      <c r="O633">
        <v>50</v>
      </c>
      <c r="P633" t="s">
        <v>192</v>
      </c>
      <c r="Q633" t="s">
        <v>192</v>
      </c>
      <c r="R633">
        <v>1</v>
      </c>
      <c r="S633">
        <v>1000</v>
      </c>
      <c r="T633">
        <v>27</v>
      </c>
      <c r="U633">
        <v>35</v>
      </c>
      <c r="V633">
        <v>4649</v>
      </c>
      <c r="W633">
        <v>6</v>
      </c>
      <c r="X633" s="367"/>
    </row>
    <row r="634" spans="1:24">
      <c r="A634" t="s">
        <v>2881</v>
      </c>
      <c r="B634" t="s">
        <v>2880</v>
      </c>
      <c r="C634">
        <v>70</v>
      </c>
      <c r="D634">
        <v>2619652</v>
      </c>
      <c r="E634">
        <v>24284174040</v>
      </c>
      <c r="F634">
        <v>9000</v>
      </c>
      <c r="G634">
        <v>9270</v>
      </c>
      <c r="H634">
        <v>9270</v>
      </c>
      <c r="I634">
        <v>270</v>
      </c>
      <c r="J634">
        <v>3</v>
      </c>
      <c r="K634">
        <v>9270</v>
      </c>
      <c r="L634">
        <v>270</v>
      </c>
      <c r="M634">
        <v>3</v>
      </c>
      <c r="N634">
        <v>9270</v>
      </c>
      <c r="O634">
        <v>9270</v>
      </c>
      <c r="P634">
        <v>915</v>
      </c>
      <c r="Q634">
        <v>10.130000000000001</v>
      </c>
      <c r="R634">
        <v>5</v>
      </c>
      <c r="S634">
        <v>194055</v>
      </c>
      <c r="T634">
        <v>9270</v>
      </c>
      <c r="U634">
        <v>9450</v>
      </c>
      <c r="V634">
        <v>5000</v>
      </c>
      <c r="W634">
        <v>1</v>
      </c>
      <c r="X634" s="367"/>
    </row>
    <row r="635" spans="1:24">
      <c r="A635" t="s">
        <v>3868</v>
      </c>
      <c r="B635" t="s">
        <v>3869</v>
      </c>
      <c r="C635">
        <v>1</v>
      </c>
      <c r="D635">
        <v>250</v>
      </c>
      <c r="E635">
        <v>270500000</v>
      </c>
      <c r="F635">
        <v>1051000</v>
      </c>
      <c r="G635">
        <v>1082000</v>
      </c>
      <c r="H635">
        <v>1082000</v>
      </c>
      <c r="I635">
        <v>31000</v>
      </c>
      <c r="J635">
        <v>2.95</v>
      </c>
      <c r="K635">
        <v>1082000</v>
      </c>
      <c r="L635">
        <v>31000</v>
      </c>
      <c r="M635">
        <v>2.95</v>
      </c>
      <c r="N635">
        <v>1082000</v>
      </c>
      <c r="O635">
        <v>1082000</v>
      </c>
      <c r="P635" t="s">
        <v>192</v>
      </c>
      <c r="Q635" t="s">
        <v>192</v>
      </c>
      <c r="R635">
        <v>2</v>
      </c>
      <c r="S635">
        <v>520</v>
      </c>
      <c r="T635">
        <v>1082530</v>
      </c>
      <c r="U635">
        <v>0</v>
      </c>
      <c r="V635">
        <v>0</v>
      </c>
      <c r="W635">
        <v>0</v>
      </c>
      <c r="X635" s="367"/>
    </row>
    <row r="636" spans="1:24">
      <c r="A636" t="s">
        <v>1717</v>
      </c>
      <c r="B636" t="s">
        <v>1716</v>
      </c>
      <c r="C636">
        <v>44</v>
      </c>
      <c r="D636">
        <v>12472019</v>
      </c>
      <c r="E636">
        <v>25355614627</v>
      </c>
      <c r="F636">
        <v>1974</v>
      </c>
      <c r="G636">
        <v>2033</v>
      </c>
      <c r="H636">
        <v>2033</v>
      </c>
      <c r="I636">
        <v>59</v>
      </c>
      <c r="J636">
        <v>2.99</v>
      </c>
      <c r="K636">
        <v>2033</v>
      </c>
      <c r="L636">
        <v>59</v>
      </c>
      <c r="M636">
        <v>2.99</v>
      </c>
      <c r="N636">
        <v>2033</v>
      </c>
      <c r="O636">
        <v>2033</v>
      </c>
      <c r="P636">
        <v>829</v>
      </c>
      <c r="Q636">
        <v>2.4500000000000002</v>
      </c>
      <c r="R636">
        <v>36</v>
      </c>
      <c r="S636">
        <v>22734074</v>
      </c>
      <c r="T636">
        <v>2033</v>
      </c>
      <c r="U636">
        <v>0</v>
      </c>
      <c r="V636">
        <v>0</v>
      </c>
      <c r="W636">
        <v>0</v>
      </c>
      <c r="X636" s="367"/>
    </row>
    <row r="637" spans="1:24">
      <c r="A637" t="s">
        <v>3870</v>
      </c>
      <c r="B637" t="s">
        <v>8560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2</v>
      </c>
      <c r="I637">
        <v>1</v>
      </c>
      <c r="J637">
        <v>100</v>
      </c>
      <c r="K637">
        <v>1</v>
      </c>
      <c r="L637">
        <v>0</v>
      </c>
      <c r="M637">
        <v>0</v>
      </c>
      <c r="N637">
        <v>0</v>
      </c>
      <c r="O637">
        <v>0</v>
      </c>
      <c r="P637" t="s">
        <v>192</v>
      </c>
      <c r="Q637" t="s">
        <v>192</v>
      </c>
      <c r="R637">
        <v>0</v>
      </c>
      <c r="S637">
        <v>0</v>
      </c>
      <c r="T637">
        <v>0</v>
      </c>
      <c r="U637">
        <v>1</v>
      </c>
      <c r="V637">
        <v>1020</v>
      </c>
      <c r="W637">
        <v>2</v>
      </c>
      <c r="X637" s="367"/>
    </row>
    <row r="638" spans="1:24">
      <c r="A638" t="s">
        <v>8119</v>
      </c>
      <c r="B638" t="s">
        <v>8120</v>
      </c>
      <c r="C638">
        <v>4</v>
      </c>
      <c r="D638">
        <v>473</v>
      </c>
      <c r="E638">
        <v>122710000</v>
      </c>
      <c r="F638">
        <v>100</v>
      </c>
      <c r="G638">
        <v>255</v>
      </c>
      <c r="H638">
        <v>270</v>
      </c>
      <c r="I638">
        <v>170</v>
      </c>
      <c r="J638">
        <v>170</v>
      </c>
      <c r="K638">
        <v>259</v>
      </c>
      <c r="L638">
        <v>159</v>
      </c>
      <c r="M638">
        <v>159</v>
      </c>
      <c r="N638">
        <v>255</v>
      </c>
      <c r="O638">
        <v>270</v>
      </c>
      <c r="P638" t="s">
        <v>192</v>
      </c>
      <c r="Q638" t="s">
        <v>192</v>
      </c>
      <c r="R638">
        <v>2</v>
      </c>
      <c r="S638">
        <v>124</v>
      </c>
      <c r="T638">
        <v>200</v>
      </c>
      <c r="U638">
        <v>270</v>
      </c>
      <c r="V638">
        <v>127</v>
      </c>
      <c r="W638">
        <v>1</v>
      </c>
      <c r="X638" s="367"/>
    </row>
    <row r="639" spans="1:24">
      <c r="A639" t="s">
        <v>3872</v>
      </c>
      <c r="B639" t="s">
        <v>3873</v>
      </c>
      <c r="C639">
        <v>193</v>
      </c>
      <c r="D639">
        <v>3298794</v>
      </c>
      <c r="E639">
        <v>117467884233</v>
      </c>
      <c r="F639">
        <v>34575</v>
      </c>
      <c r="G639">
        <v>35611</v>
      </c>
      <c r="H639">
        <v>35612</v>
      </c>
      <c r="I639">
        <v>1037</v>
      </c>
      <c r="J639">
        <v>3</v>
      </c>
      <c r="K639">
        <v>35609</v>
      </c>
      <c r="L639">
        <v>1034</v>
      </c>
      <c r="M639">
        <v>2.99</v>
      </c>
      <c r="N639">
        <v>35288</v>
      </c>
      <c r="O639">
        <v>35612</v>
      </c>
      <c r="P639" t="s">
        <v>192</v>
      </c>
      <c r="Q639" t="s">
        <v>192</v>
      </c>
      <c r="R639">
        <v>1</v>
      </c>
      <c r="S639">
        <v>100</v>
      </c>
      <c r="T639">
        <v>35580</v>
      </c>
      <c r="U639">
        <v>38608</v>
      </c>
      <c r="V639">
        <v>1000</v>
      </c>
      <c r="W639">
        <v>1</v>
      </c>
      <c r="X639" s="367"/>
    </row>
    <row r="640" spans="1:24">
      <c r="A640" t="s">
        <v>8313</v>
      </c>
      <c r="B640" t="s">
        <v>8314</v>
      </c>
      <c r="C640">
        <v>3</v>
      </c>
      <c r="D640">
        <v>35</v>
      </c>
      <c r="E640">
        <v>8850000</v>
      </c>
      <c r="F640">
        <v>260</v>
      </c>
      <c r="G640">
        <v>250</v>
      </c>
      <c r="H640">
        <v>254</v>
      </c>
      <c r="I640">
        <v>-6</v>
      </c>
      <c r="J640">
        <v>-2.31</v>
      </c>
      <c r="K640">
        <v>253</v>
      </c>
      <c r="L640">
        <v>-7</v>
      </c>
      <c r="M640">
        <v>-2.69</v>
      </c>
      <c r="N640">
        <v>250</v>
      </c>
      <c r="O640">
        <v>254</v>
      </c>
      <c r="P640" t="s">
        <v>192</v>
      </c>
      <c r="Q640" t="s">
        <v>192</v>
      </c>
      <c r="R640">
        <v>1</v>
      </c>
      <c r="S640">
        <v>90</v>
      </c>
      <c r="T640">
        <v>252</v>
      </c>
      <c r="U640">
        <v>310</v>
      </c>
      <c r="V640">
        <v>2000</v>
      </c>
      <c r="W640">
        <v>2</v>
      </c>
      <c r="X640" s="367"/>
    </row>
    <row r="641" spans="1:24">
      <c r="A641" t="s">
        <v>8052</v>
      </c>
      <c r="B641" t="s">
        <v>8053</v>
      </c>
      <c r="C641">
        <v>119</v>
      </c>
      <c r="D641">
        <v>78010</v>
      </c>
      <c r="E641">
        <v>921150000</v>
      </c>
      <c r="F641">
        <v>11</v>
      </c>
      <c r="G641">
        <v>11</v>
      </c>
      <c r="H641">
        <v>10</v>
      </c>
      <c r="I641">
        <v>-1</v>
      </c>
      <c r="J641">
        <v>-9.09</v>
      </c>
      <c r="K641">
        <v>12</v>
      </c>
      <c r="L641">
        <v>1</v>
      </c>
      <c r="M641">
        <v>9.09</v>
      </c>
      <c r="N641">
        <v>10</v>
      </c>
      <c r="O641">
        <v>14</v>
      </c>
      <c r="P641" t="s">
        <v>192</v>
      </c>
      <c r="Q641" t="s">
        <v>192</v>
      </c>
      <c r="R641">
        <v>2</v>
      </c>
      <c r="S641">
        <v>2000</v>
      </c>
      <c r="T641">
        <v>9</v>
      </c>
      <c r="U641">
        <v>12</v>
      </c>
      <c r="V641">
        <v>2040</v>
      </c>
      <c r="W641">
        <v>3</v>
      </c>
      <c r="X641" s="367"/>
    </row>
    <row r="642" spans="1:24">
      <c r="A642" t="s">
        <v>2602</v>
      </c>
      <c r="B642" t="s">
        <v>2601</v>
      </c>
      <c r="C642">
        <v>223</v>
      </c>
      <c r="D642">
        <v>19248532</v>
      </c>
      <c r="E642">
        <v>90083129760</v>
      </c>
      <c r="F642">
        <v>4550</v>
      </c>
      <c r="G642">
        <v>4680</v>
      </c>
      <c r="H642">
        <v>4680</v>
      </c>
      <c r="I642">
        <v>130</v>
      </c>
      <c r="J642">
        <v>2.86</v>
      </c>
      <c r="K642">
        <v>4680</v>
      </c>
      <c r="L642">
        <v>130</v>
      </c>
      <c r="M642">
        <v>2.86</v>
      </c>
      <c r="N642">
        <v>4680</v>
      </c>
      <c r="O642">
        <v>4680</v>
      </c>
      <c r="P642">
        <v>541</v>
      </c>
      <c r="Q642">
        <v>8.65</v>
      </c>
      <c r="R642">
        <v>55</v>
      </c>
      <c r="S642">
        <v>7102981</v>
      </c>
      <c r="T642">
        <v>4680</v>
      </c>
      <c r="U642">
        <v>0</v>
      </c>
      <c r="V642">
        <v>0</v>
      </c>
      <c r="W642">
        <v>0</v>
      </c>
      <c r="X642" s="367"/>
    </row>
    <row r="643" spans="1:24">
      <c r="A643" t="s">
        <v>3874</v>
      </c>
      <c r="B643" t="s">
        <v>3875</v>
      </c>
      <c r="C643">
        <v>1</v>
      </c>
      <c r="D643">
        <v>100</v>
      </c>
      <c r="E643">
        <v>250000000</v>
      </c>
      <c r="F643">
        <v>1</v>
      </c>
      <c r="G643">
        <v>2500</v>
      </c>
      <c r="H643">
        <v>2500</v>
      </c>
      <c r="I643">
        <v>2499</v>
      </c>
      <c r="J643">
        <v>249900</v>
      </c>
      <c r="K643">
        <v>2500</v>
      </c>
      <c r="L643">
        <v>2499</v>
      </c>
      <c r="M643">
        <v>249900</v>
      </c>
      <c r="N643">
        <v>2500</v>
      </c>
      <c r="O643">
        <v>2500</v>
      </c>
      <c r="P643" t="s">
        <v>192</v>
      </c>
      <c r="Q643" t="s">
        <v>192</v>
      </c>
      <c r="R643">
        <v>1</v>
      </c>
      <c r="S643">
        <v>200</v>
      </c>
      <c r="T643">
        <v>254</v>
      </c>
      <c r="U643">
        <v>2500</v>
      </c>
      <c r="V643">
        <v>900</v>
      </c>
      <c r="W643">
        <v>1</v>
      </c>
      <c r="X643" s="367"/>
    </row>
    <row r="644" spans="1:24">
      <c r="A644" t="s">
        <v>3876</v>
      </c>
      <c r="B644" t="s">
        <v>3877</v>
      </c>
      <c r="C644">
        <v>0</v>
      </c>
      <c r="D644">
        <v>0</v>
      </c>
      <c r="E644">
        <v>0</v>
      </c>
      <c r="F644">
        <v>1026099</v>
      </c>
      <c r="G644">
        <v>0</v>
      </c>
      <c r="H644">
        <v>1026099</v>
      </c>
      <c r="I644">
        <v>0</v>
      </c>
      <c r="J644">
        <v>0</v>
      </c>
      <c r="K644">
        <v>1026099</v>
      </c>
      <c r="L644">
        <v>0</v>
      </c>
      <c r="M644">
        <v>0</v>
      </c>
      <c r="N644">
        <v>0</v>
      </c>
      <c r="O644">
        <v>0</v>
      </c>
      <c r="P644" t="s">
        <v>192</v>
      </c>
      <c r="Q644" t="s">
        <v>192</v>
      </c>
      <c r="R644">
        <v>1</v>
      </c>
      <c r="S644">
        <v>10000</v>
      </c>
      <c r="T644">
        <v>1026099</v>
      </c>
      <c r="U644">
        <v>1036359</v>
      </c>
      <c r="V644">
        <v>5000</v>
      </c>
      <c r="W644">
        <v>1</v>
      </c>
      <c r="X644" s="367"/>
    </row>
    <row r="645" spans="1:24">
      <c r="A645" t="s">
        <v>3878</v>
      </c>
      <c r="B645" t="s">
        <v>3879</v>
      </c>
      <c r="C645">
        <v>0</v>
      </c>
      <c r="D645">
        <v>0</v>
      </c>
      <c r="E645">
        <v>0</v>
      </c>
      <c r="F645">
        <v>5920000</v>
      </c>
      <c r="G645">
        <v>0</v>
      </c>
      <c r="H645">
        <v>5920000</v>
      </c>
      <c r="I645">
        <v>0</v>
      </c>
      <c r="J645">
        <v>0</v>
      </c>
      <c r="K645">
        <v>5920000</v>
      </c>
      <c r="L645">
        <v>0</v>
      </c>
      <c r="M645">
        <v>0</v>
      </c>
      <c r="N645">
        <v>0</v>
      </c>
      <c r="O645">
        <v>0</v>
      </c>
      <c r="P645" t="s">
        <v>192</v>
      </c>
      <c r="Q645" t="s">
        <v>192</v>
      </c>
      <c r="R645">
        <v>1</v>
      </c>
      <c r="S645">
        <v>4000</v>
      </c>
      <c r="T645">
        <v>5889197</v>
      </c>
      <c r="U645">
        <v>6005803</v>
      </c>
      <c r="V645">
        <v>4000</v>
      </c>
      <c r="W645">
        <v>1</v>
      </c>
      <c r="X645" s="367"/>
    </row>
    <row r="646" spans="1:24">
      <c r="A646" t="s">
        <v>3024</v>
      </c>
      <c r="B646" t="s">
        <v>3023</v>
      </c>
      <c r="C646">
        <v>228</v>
      </c>
      <c r="D646">
        <v>59128289</v>
      </c>
      <c r="E646">
        <v>180467873265</v>
      </c>
      <c r="F646">
        <v>2965</v>
      </c>
      <c r="G646">
        <v>3053</v>
      </c>
      <c r="H646">
        <v>3053</v>
      </c>
      <c r="I646">
        <v>88</v>
      </c>
      <c r="J646">
        <v>2.97</v>
      </c>
      <c r="K646">
        <v>3052</v>
      </c>
      <c r="L646">
        <v>87</v>
      </c>
      <c r="M646">
        <v>2.93</v>
      </c>
      <c r="N646">
        <v>3011</v>
      </c>
      <c r="O646">
        <v>3053</v>
      </c>
      <c r="P646">
        <v>533</v>
      </c>
      <c r="Q646">
        <v>5.73</v>
      </c>
      <c r="R646">
        <v>1</v>
      </c>
      <c r="S646">
        <v>30000</v>
      </c>
      <c r="T646">
        <v>3053</v>
      </c>
      <c r="U646">
        <v>0</v>
      </c>
      <c r="V646">
        <v>0</v>
      </c>
      <c r="W646">
        <v>0</v>
      </c>
      <c r="X646" s="367"/>
    </row>
    <row r="647" spans="1:24">
      <c r="A647" t="s">
        <v>1814</v>
      </c>
      <c r="B647" t="s">
        <v>1813</v>
      </c>
      <c r="C647">
        <v>72</v>
      </c>
      <c r="D647">
        <v>1783198</v>
      </c>
      <c r="E647">
        <v>17945279880</v>
      </c>
      <c r="F647">
        <v>9930</v>
      </c>
      <c r="G647">
        <v>10090</v>
      </c>
      <c r="H647">
        <v>10000</v>
      </c>
      <c r="I647">
        <v>70</v>
      </c>
      <c r="J647">
        <v>0.7</v>
      </c>
      <c r="K647">
        <v>10060</v>
      </c>
      <c r="L647">
        <v>130</v>
      </c>
      <c r="M647">
        <v>1.31</v>
      </c>
      <c r="N647">
        <v>9990</v>
      </c>
      <c r="O647">
        <v>10220</v>
      </c>
      <c r="P647">
        <v>-290</v>
      </c>
      <c r="Q647">
        <v>-34.69</v>
      </c>
      <c r="R647">
        <v>2</v>
      </c>
      <c r="S647">
        <v>2213</v>
      </c>
      <c r="T647">
        <v>10000</v>
      </c>
      <c r="U647">
        <v>10100</v>
      </c>
      <c r="V647">
        <v>3600</v>
      </c>
      <c r="W647">
        <v>1</v>
      </c>
      <c r="X647" s="367"/>
    </row>
    <row r="648" spans="1:24">
      <c r="A648" t="s">
        <v>41</v>
      </c>
      <c r="B648" t="s">
        <v>40</v>
      </c>
      <c r="C648">
        <v>354</v>
      </c>
      <c r="D648">
        <v>2085211</v>
      </c>
      <c r="E648">
        <v>153825114920</v>
      </c>
      <c r="F648">
        <v>71630</v>
      </c>
      <c r="G648">
        <v>73770</v>
      </c>
      <c r="H648">
        <v>73770</v>
      </c>
      <c r="I648">
        <v>2140</v>
      </c>
      <c r="J648">
        <v>2.99</v>
      </c>
      <c r="K648">
        <v>73770</v>
      </c>
      <c r="L648">
        <v>2140</v>
      </c>
      <c r="M648">
        <v>2.99</v>
      </c>
      <c r="N648">
        <v>73030</v>
      </c>
      <c r="O648">
        <v>73770</v>
      </c>
      <c r="P648">
        <v>15662</v>
      </c>
      <c r="Q648">
        <v>4.71</v>
      </c>
      <c r="R648">
        <v>6</v>
      </c>
      <c r="S648">
        <v>18325</v>
      </c>
      <c r="T648">
        <v>73770</v>
      </c>
      <c r="U648">
        <v>0</v>
      </c>
      <c r="V648">
        <v>0</v>
      </c>
      <c r="W648">
        <v>0</v>
      </c>
      <c r="X648" s="367"/>
    </row>
    <row r="649" spans="1:24">
      <c r="A649" t="s">
        <v>2761</v>
      </c>
      <c r="B649" t="s">
        <v>2760</v>
      </c>
      <c r="C649">
        <v>72</v>
      </c>
      <c r="D649">
        <v>981931</v>
      </c>
      <c r="E649">
        <v>5103421790</v>
      </c>
      <c r="F649">
        <v>5330</v>
      </c>
      <c r="G649">
        <v>5190</v>
      </c>
      <c r="H649">
        <v>5180</v>
      </c>
      <c r="I649">
        <v>-150</v>
      </c>
      <c r="J649">
        <v>-2.81</v>
      </c>
      <c r="K649">
        <v>5200</v>
      </c>
      <c r="L649">
        <v>-130</v>
      </c>
      <c r="M649">
        <v>-2.44</v>
      </c>
      <c r="N649">
        <v>5180</v>
      </c>
      <c r="O649">
        <v>5340</v>
      </c>
      <c r="P649">
        <v>133</v>
      </c>
      <c r="Q649">
        <v>39.1</v>
      </c>
      <c r="R649">
        <v>0</v>
      </c>
      <c r="S649">
        <v>0</v>
      </c>
      <c r="T649">
        <v>0</v>
      </c>
      <c r="U649">
        <v>5310</v>
      </c>
      <c r="V649">
        <v>20000</v>
      </c>
      <c r="W649">
        <v>1</v>
      </c>
      <c r="X649" s="367"/>
    </row>
    <row r="650" spans="1:24">
      <c r="A650" t="s">
        <v>3880</v>
      </c>
      <c r="B650" t="s">
        <v>3881</v>
      </c>
      <c r="C650">
        <v>14</v>
      </c>
      <c r="D650">
        <v>18</v>
      </c>
      <c r="E650">
        <v>32607000</v>
      </c>
      <c r="F650">
        <v>3771</v>
      </c>
      <c r="G650">
        <v>2000</v>
      </c>
      <c r="H650">
        <v>1999</v>
      </c>
      <c r="I650">
        <v>-1772</v>
      </c>
      <c r="J650">
        <v>-46.99</v>
      </c>
      <c r="K650">
        <v>1811</v>
      </c>
      <c r="L650">
        <v>-1960</v>
      </c>
      <c r="M650">
        <v>-51.98</v>
      </c>
      <c r="N650">
        <v>1500</v>
      </c>
      <c r="O650">
        <v>2599</v>
      </c>
      <c r="P650" t="s">
        <v>192</v>
      </c>
      <c r="Q650" t="s">
        <v>192</v>
      </c>
      <c r="R650">
        <v>1</v>
      </c>
      <c r="S650">
        <v>10</v>
      </c>
      <c r="T650">
        <v>1516</v>
      </c>
      <c r="U650">
        <v>2900</v>
      </c>
      <c r="V650">
        <v>2</v>
      </c>
      <c r="W650">
        <v>1</v>
      </c>
      <c r="X650" s="367"/>
    </row>
    <row r="651" spans="1:24">
      <c r="A651" t="s">
        <v>3882</v>
      </c>
      <c r="B651" t="s">
        <v>8548</v>
      </c>
      <c r="C651">
        <v>0</v>
      </c>
      <c r="D651">
        <v>0</v>
      </c>
      <c r="E651">
        <v>0</v>
      </c>
      <c r="F651">
        <v>2</v>
      </c>
      <c r="G651">
        <v>0</v>
      </c>
      <c r="H651">
        <v>10</v>
      </c>
      <c r="I651">
        <v>8</v>
      </c>
      <c r="J651">
        <v>400</v>
      </c>
      <c r="K651">
        <v>2</v>
      </c>
      <c r="L651">
        <v>0</v>
      </c>
      <c r="M651">
        <v>0</v>
      </c>
      <c r="N651">
        <v>0</v>
      </c>
      <c r="O651">
        <v>0</v>
      </c>
      <c r="P651" t="s">
        <v>192</v>
      </c>
      <c r="Q651" t="s">
        <v>192</v>
      </c>
      <c r="R651">
        <v>0</v>
      </c>
      <c r="S651">
        <v>0</v>
      </c>
      <c r="T651">
        <v>0</v>
      </c>
      <c r="U651">
        <v>5</v>
      </c>
      <c r="V651">
        <v>161</v>
      </c>
      <c r="W651">
        <v>1</v>
      </c>
      <c r="X651" s="367"/>
    </row>
    <row r="652" spans="1:24">
      <c r="A652" t="s">
        <v>3884</v>
      </c>
      <c r="B652" t="s">
        <v>3885</v>
      </c>
      <c r="C652">
        <v>0</v>
      </c>
      <c r="D652">
        <v>0</v>
      </c>
      <c r="E652">
        <v>0</v>
      </c>
      <c r="F652">
        <v>1000000</v>
      </c>
      <c r="G652">
        <v>0</v>
      </c>
      <c r="H652">
        <v>1000000</v>
      </c>
      <c r="I652">
        <v>0</v>
      </c>
      <c r="J652">
        <v>0</v>
      </c>
      <c r="K652">
        <v>1000000</v>
      </c>
      <c r="L652">
        <v>0</v>
      </c>
      <c r="M652">
        <v>0</v>
      </c>
      <c r="N652">
        <v>0</v>
      </c>
      <c r="O652">
        <v>0</v>
      </c>
      <c r="P652" t="s">
        <v>192</v>
      </c>
      <c r="Q652" t="s">
        <v>192</v>
      </c>
      <c r="R652">
        <v>1</v>
      </c>
      <c r="S652">
        <v>5000</v>
      </c>
      <c r="T652">
        <v>995000</v>
      </c>
      <c r="U652">
        <v>1005000</v>
      </c>
      <c r="V652">
        <v>5000</v>
      </c>
      <c r="W652">
        <v>1</v>
      </c>
      <c r="X652" s="367"/>
    </row>
    <row r="653" spans="1:24">
      <c r="A653" t="s">
        <v>3886</v>
      </c>
      <c r="B653" t="s">
        <v>3887</v>
      </c>
      <c r="C653">
        <v>537</v>
      </c>
      <c r="D653">
        <v>8219</v>
      </c>
      <c r="E653">
        <v>159381618000</v>
      </c>
      <c r="F653">
        <v>15764</v>
      </c>
      <c r="G653">
        <v>18500</v>
      </c>
      <c r="H653">
        <v>20000</v>
      </c>
      <c r="I653">
        <v>4236</v>
      </c>
      <c r="J653">
        <v>26.87</v>
      </c>
      <c r="K653">
        <v>19392</v>
      </c>
      <c r="L653">
        <v>3628</v>
      </c>
      <c r="M653">
        <v>23.01</v>
      </c>
      <c r="N653">
        <v>18500</v>
      </c>
      <c r="O653">
        <v>20000</v>
      </c>
      <c r="P653" t="s">
        <v>192</v>
      </c>
      <c r="Q653" t="s">
        <v>192</v>
      </c>
      <c r="R653">
        <v>1</v>
      </c>
      <c r="S653">
        <v>3</v>
      </c>
      <c r="T653">
        <v>19418</v>
      </c>
      <c r="U653">
        <v>20500</v>
      </c>
      <c r="V653">
        <v>33</v>
      </c>
      <c r="W653">
        <v>1</v>
      </c>
      <c r="X653" s="367"/>
    </row>
    <row r="654" spans="1:24">
      <c r="A654" t="s">
        <v>2719</v>
      </c>
      <c r="B654" t="s">
        <v>2718</v>
      </c>
      <c r="C654">
        <v>102</v>
      </c>
      <c r="D654">
        <v>187661</v>
      </c>
      <c r="E654">
        <v>24806559400</v>
      </c>
      <c r="F654">
        <v>128500</v>
      </c>
      <c r="G654">
        <v>130500</v>
      </c>
      <c r="H654">
        <v>132300</v>
      </c>
      <c r="I654">
        <v>3800</v>
      </c>
      <c r="J654">
        <v>2.96</v>
      </c>
      <c r="K654">
        <v>132200</v>
      </c>
      <c r="L654">
        <v>3700</v>
      </c>
      <c r="M654">
        <v>2.88</v>
      </c>
      <c r="N654">
        <v>130500</v>
      </c>
      <c r="O654">
        <v>132300</v>
      </c>
      <c r="P654">
        <v>-9772</v>
      </c>
      <c r="Q654">
        <v>-13.53</v>
      </c>
      <c r="R654">
        <v>11</v>
      </c>
      <c r="S654">
        <v>42903</v>
      </c>
      <c r="T654">
        <v>132300</v>
      </c>
      <c r="U654">
        <v>146400</v>
      </c>
      <c r="V654">
        <v>986</v>
      </c>
      <c r="W654">
        <v>3</v>
      </c>
      <c r="X654" s="367"/>
    </row>
    <row r="655" spans="1:24">
      <c r="A655" t="s">
        <v>2721</v>
      </c>
      <c r="B655" t="s">
        <v>2720</v>
      </c>
      <c r="C655">
        <v>29</v>
      </c>
      <c r="D655">
        <v>1396106</v>
      </c>
      <c r="E655">
        <v>9339949140</v>
      </c>
      <c r="F655">
        <v>6500</v>
      </c>
      <c r="G655">
        <v>6690</v>
      </c>
      <c r="H655">
        <v>6690</v>
      </c>
      <c r="I655">
        <v>190</v>
      </c>
      <c r="J655">
        <v>2.92</v>
      </c>
      <c r="K655">
        <v>6690</v>
      </c>
      <c r="L655">
        <v>190</v>
      </c>
      <c r="M655">
        <v>2.92</v>
      </c>
      <c r="N655">
        <v>6690</v>
      </c>
      <c r="O655">
        <v>6690</v>
      </c>
      <c r="P655">
        <v>548</v>
      </c>
      <c r="Q655">
        <v>12.21</v>
      </c>
      <c r="R655">
        <v>13</v>
      </c>
      <c r="S655">
        <v>1567137</v>
      </c>
      <c r="T655">
        <v>6690</v>
      </c>
      <c r="U655">
        <v>0</v>
      </c>
      <c r="V655">
        <v>0</v>
      </c>
      <c r="W655">
        <v>0</v>
      </c>
      <c r="X655" s="367"/>
    </row>
    <row r="656" spans="1:24">
      <c r="A656" t="s">
        <v>3014</v>
      </c>
      <c r="B656" t="s">
        <v>3013</v>
      </c>
      <c r="C656">
        <v>56</v>
      </c>
      <c r="D656">
        <v>3286566</v>
      </c>
      <c r="E656">
        <v>4950804371</v>
      </c>
      <c r="F656">
        <v>1479</v>
      </c>
      <c r="G656">
        <v>1522</v>
      </c>
      <c r="H656">
        <v>1509</v>
      </c>
      <c r="I656">
        <v>30</v>
      </c>
      <c r="J656">
        <v>2.0299999999999998</v>
      </c>
      <c r="K656">
        <v>1506</v>
      </c>
      <c r="L656">
        <v>27</v>
      </c>
      <c r="M656">
        <v>1.83</v>
      </c>
      <c r="N656">
        <v>1468</v>
      </c>
      <c r="O656">
        <v>1523</v>
      </c>
      <c r="P656">
        <v>317</v>
      </c>
      <c r="Q656">
        <v>4.75</v>
      </c>
      <c r="R656">
        <v>1</v>
      </c>
      <c r="S656">
        <v>100000</v>
      </c>
      <c r="T656">
        <v>1467</v>
      </c>
      <c r="U656">
        <v>1509</v>
      </c>
      <c r="V656">
        <v>466000</v>
      </c>
      <c r="W656">
        <v>2</v>
      </c>
      <c r="X656" s="367"/>
    </row>
    <row r="657" spans="1:24">
      <c r="A657" t="s">
        <v>2887</v>
      </c>
      <c r="B657" t="s">
        <v>2886</v>
      </c>
      <c r="C657">
        <v>536</v>
      </c>
      <c r="D657">
        <v>230349434</v>
      </c>
      <c r="E657">
        <v>82677513334</v>
      </c>
      <c r="F657">
        <v>349</v>
      </c>
      <c r="G657">
        <v>359</v>
      </c>
      <c r="H657">
        <v>359</v>
      </c>
      <c r="I657">
        <v>10</v>
      </c>
      <c r="J657">
        <v>2.87</v>
      </c>
      <c r="K657">
        <v>359</v>
      </c>
      <c r="L657">
        <v>10</v>
      </c>
      <c r="M657">
        <v>2.87</v>
      </c>
      <c r="N657">
        <v>356</v>
      </c>
      <c r="O657">
        <v>359</v>
      </c>
      <c r="P657">
        <v>-48</v>
      </c>
      <c r="Q657">
        <v>-7.48</v>
      </c>
      <c r="R657">
        <v>105</v>
      </c>
      <c r="S657">
        <v>56026301</v>
      </c>
      <c r="T657">
        <v>359</v>
      </c>
      <c r="U657">
        <v>0</v>
      </c>
      <c r="V657">
        <v>0</v>
      </c>
      <c r="W657">
        <v>0</v>
      </c>
      <c r="X657" s="367"/>
    </row>
    <row r="658" spans="1:24">
      <c r="A658" t="s">
        <v>2181</v>
      </c>
      <c r="B658" t="s">
        <v>2180</v>
      </c>
      <c r="C658">
        <v>19</v>
      </c>
      <c r="D658">
        <v>147811</v>
      </c>
      <c r="E658">
        <v>436781505</v>
      </c>
      <c r="F658">
        <v>2869</v>
      </c>
      <c r="G658">
        <v>2955</v>
      </c>
      <c r="H658">
        <v>2955</v>
      </c>
      <c r="I658">
        <v>86</v>
      </c>
      <c r="J658">
        <v>3</v>
      </c>
      <c r="K658">
        <v>2955</v>
      </c>
      <c r="L658">
        <v>86</v>
      </c>
      <c r="M658">
        <v>3</v>
      </c>
      <c r="N658">
        <v>2955</v>
      </c>
      <c r="O658">
        <v>2955</v>
      </c>
      <c r="P658">
        <v>849</v>
      </c>
      <c r="Q658">
        <v>3.48</v>
      </c>
      <c r="R658">
        <v>160</v>
      </c>
      <c r="S658">
        <v>100311691</v>
      </c>
      <c r="T658">
        <v>2955</v>
      </c>
      <c r="U658">
        <v>0</v>
      </c>
      <c r="V658">
        <v>0</v>
      </c>
      <c r="W658">
        <v>0</v>
      </c>
      <c r="X658" s="367"/>
    </row>
    <row r="659" spans="1:24">
      <c r="A659" t="s">
        <v>3888</v>
      </c>
      <c r="B659" t="s">
        <v>3889</v>
      </c>
      <c r="C659">
        <v>4</v>
      </c>
      <c r="D659">
        <v>4</v>
      </c>
      <c r="E659">
        <v>112610000</v>
      </c>
      <c r="F659">
        <v>24960</v>
      </c>
      <c r="G659">
        <v>27570</v>
      </c>
      <c r="H659">
        <v>28770</v>
      </c>
      <c r="I659">
        <v>3810</v>
      </c>
      <c r="J659">
        <v>15.26</v>
      </c>
      <c r="K659">
        <v>28152</v>
      </c>
      <c r="L659">
        <v>3192</v>
      </c>
      <c r="M659">
        <v>12.79</v>
      </c>
      <c r="N659">
        <v>27570</v>
      </c>
      <c r="O659">
        <v>28770</v>
      </c>
      <c r="P659" t="s">
        <v>192</v>
      </c>
      <c r="Q659" t="s">
        <v>192</v>
      </c>
      <c r="R659">
        <v>1</v>
      </c>
      <c r="S659">
        <v>1</v>
      </c>
      <c r="T659">
        <v>26165</v>
      </c>
      <c r="U659">
        <v>31999</v>
      </c>
      <c r="V659">
        <v>1</v>
      </c>
      <c r="W659">
        <v>1</v>
      </c>
      <c r="X659" s="367"/>
    </row>
    <row r="660" spans="1:24">
      <c r="A660" t="s">
        <v>3890</v>
      </c>
      <c r="B660" t="s">
        <v>3891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 t="s">
        <v>192</v>
      </c>
      <c r="Q660" t="s">
        <v>192</v>
      </c>
      <c r="R660">
        <v>1</v>
      </c>
      <c r="S660">
        <v>111</v>
      </c>
      <c r="T660">
        <v>11</v>
      </c>
      <c r="U660">
        <v>0</v>
      </c>
      <c r="V660">
        <v>0</v>
      </c>
      <c r="W660">
        <v>0</v>
      </c>
      <c r="X660" s="367"/>
    </row>
    <row r="661" spans="1:24">
      <c r="A661" t="s">
        <v>2551</v>
      </c>
      <c r="B661" t="s">
        <v>2550</v>
      </c>
      <c r="C661">
        <v>1590</v>
      </c>
      <c r="D661">
        <v>37061898</v>
      </c>
      <c r="E661">
        <v>232333555540</v>
      </c>
      <c r="F661">
        <v>6210</v>
      </c>
      <c r="G661">
        <v>6380</v>
      </c>
      <c r="H661">
        <v>6250</v>
      </c>
      <c r="I661">
        <v>40</v>
      </c>
      <c r="J661">
        <v>0.64</v>
      </c>
      <c r="K661">
        <v>6270</v>
      </c>
      <c r="L661">
        <v>60</v>
      </c>
      <c r="M661">
        <v>0.97</v>
      </c>
      <c r="N661">
        <v>6190</v>
      </c>
      <c r="O661">
        <v>6380</v>
      </c>
      <c r="P661">
        <v>1184</v>
      </c>
      <c r="Q661">
        <v>5.3</v>
      </c>
      <c r="R661">
        <v>1</v>
      </c>
      <c r="S661">
        <v>300000</v>
      </c>
      <c r="T661">
        <v>6190</v>
      </c>
      <c r="U661">
        <v>6250</v>
      </c>
      <c r="V661">
        <v>289453</v>
      </c>
      <c r="W661">
        <v>3</v>
      </c>
      <c r="X661" s="367"/>
    </row>
    <row r="662" spans="1:24">
      <c r="A662" t="s">
        <v>3894</v>
      </c>
      <c r="B662" t="s">
        <v>3895</v>
      </c>
      <c r="C662">
        <v>0</v>
      </c>
      <c r="D662">
        <v>0</v>
      </c>
      <c r="E662">
        <v>0</v>
      </c>
      <c r="F662">
        <v>1000000</v>
      </c>
      <c r="G662">
        <v>0</v>
      </c>
      <c r="H662">
        <v>1000000</v>
      </c>
      <c r="I662">
        <v>0</v>
      </c>
      <c r="J662">
        <v>0</v>
      </c>
      <c r="K662">
        <v>1000000</v>
      </c>
      <c r="L662">
        <v>0</v>
      </c>
      <c r="M662">
        <v>0</v>
      </c>
      <c r="N662">
        <v>0</v>
      </c>
      <c r="O662">
        <v>0</v>
      </c>
      <c r="P662" t="s">
        <v>192</v>
      </c>
      <c r="Q662" t="s">
        <v>192</v>
      </c>
      <c r="R662">
        <v>1</v>
      </c>
      <c r="S662">
        <v>100000</v>
      </c>
      <c r="T662">
        <v>995000</v>
      </c>
      <c r="U662">
        <v>0</v>
      </c>
      <c r="V662">
        <v>0</v>
      </c>
      <c r="W662">
        <v>0</v>
      </c>
      <c r="X662" s="367"/>
    </row>
    <row r="663" spans="1:24">
      <c r="A663" t="s">
        <v>2324</v>
      </c>
      <c r="B663" t="s">
        <v>2323</v>
      </c>
      <c r="C663">
        <v>92</v>
      </c>
      <c r="D663">
        <v>1518013</v>
      </c>
      <c r="E663">
        <v>6904196030</v>
      </c>
      <c r="F663">
        <v>4440</v>
      </c>
      <c r="G663">
        <v>4570</v>
      </c>
      <c r="H663">
        <v>4520</v>
      </c>
      <c r="I663">
        <v>80</v>
      </c>
      <c r="J663">
        <v>1.8</v>
      </c>
      <c r="K663">
        <v>4550</v>
      </c>
      <c r="L663">
        <v>110</v>
      </c>
      <c r="M663">
        <v>2.48</v>
      </c>
      <c r="N663">
        <v>4320</v>
      </c>
      <c r="O663">
        <v>4570</v>
      </c>
      <c r="P663">
        <v>-27794</v>
      </c>
      <c r="Q663">
        <v>-0.16</v>
      </c>
      <c r="R663">
        <v>1</v>
      </c>
      <c r="S663">
        <v>163122</v>
      </c>
      <c r="T663">
        <v>4520</v>
      </c>
      <c r="U663">
        <v>4550</v>
      </c>
      <c r="V663">
        <v>4538</v>
      </c>
      <c r="W663">
        <v>1</v>
      </c>
      <c r="X663" s="367"/>
    </row>
    <row r="664" spans="1:24">
      <c r="A664" t="s">
        <v>178</v>
      </c>
      <c r="B664" t="s">
        <v>177</v>
      </c>
      <c r="C664">
        <v>319</v>
      </c>
      <c r="D664">
        <v>1338598</v>
      </c>
      <c r="E664">
        <v>116109990520</v>
      </c>
      <c r="F664">
        <v>84220</v>
      </c>
      <c r="G664">
        <v>86740</v>
      </c>
      <c r="H664">
        <v>86740</v>
      </c>
      <c r="I664">
        <v>2520</v>
      </c>
      <c r="J664">
        <v>2.99</v>
      </c>
      <c r="K664">
        <v>86740</v>
      </c>
      <c r="L664">
        <v>2520</v>
      </c>
      <c r="M664">
        <v>2.99</v>
      </c>
      <c r="N664">
        <v>86740</v>
      </c>
      <c r="O664">
        <v>86740</v>
      </c>
      <c r="P664">
        <v>13150</v>
      </c>
      <c r="Q664">
        <v>6.6</v>
      </c>
      <c r="R664">
        <v>187</v>
      </c>
      <c r="S664">
        <v>2088212</v>
      </c>
      <c r="T664">
        <v>86740</v>
      </c>
      <c r="U664">
        <v>0</v>
      </c>
      <c r="V664">
        <v>0</v>
      </c>
      <c r="W664">
        <v>0</v>
      </c>
      <c r="X664" s="367"/>
    </row>
    <row r="665" spans="1:24">
      <c r="A665" t="s">
        <v>8784</v>
      </c>
      <c r="B665" t="s">
        <v>1758</v>
      </c>
      <c r="C665">
        <v>1</v>
      </c>
      <c r="D665">
        <v>10199</v>
      </c>
      <c r="E665">
        <v>306683930</v>
      </c>
      <c r="F665">
        <v>29240</v>
      </c>
      <c r="G665">
        <v>30070</v>
      </c>
      <c r="H665">
        <v>30070</v>
      </c>
      <c r="I665">
        <v>830</v>
      </c>
      <c r="J665">
        <v>2.84</v>
      </c>
      <c r="K665">
        <v>30070</v>
      </c>
      <c r="L665">
        <v>830</v>
      </c>
      <c r="M665">
        <v>2.84</v>
      </c>
      <c r="N665">
        <v>30070</v>
      </c>
      <c r="O665">
        <v>30070</v>
      </c>
      <c r="P665">
        <v>4668</v>
      </c>
      <c r="Q665">
        <v>6.44</v>
      </c>
      <c r="R665">
        <v>125</v>
      </c>
      <c r="S665">
        <v>12107372</v>
      </c>
      <c r="T665">
        <v>30070</v>
      </c>
      <c r="U665">
        <v>0</v>
      </c>
      <c r="V665">
        <v>0</v>
      </c>
      <c r="W665">
        <v>0</v>
      </c>
      <c r="X665" s="367"/>
    </row>
    <row r="666" spans="1:24">
      <c r="A666" t="s">
        <v>8733</v>
      </c>
      <c r="B666" t="s">
        <v>8734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 t="s">
        <v>192</v>
      </c>
      <c r="Q666" t="s">
        <v>192</v>
      </c>
      <c r="R666">
        <v>1</v>
      </c>
      <c r="S666">
        <v>100</v>
      </c>
      <c r="T666">
        <v>90</v>
      </c>
      <c r="U666">
        <v>157</v>
      </c>
      <c r="V666">
        <v>100</v>
      </c>
      <c r="W666">
        <v>1</v>
      </c>
      <c r="X666" s="367"/>
    </row>
    <row r="667" spans="1:24">
      <c r="A667" t="s">
        <v>2107</v>
      </c>
      <c r="B667" t="s">
        <v>2106</v>
      </c>
      <c r="C667">
        <v>7375</v>
      </c>
      <c r="D667">
        <v>4222354531</v>
      </c>
      <c r="E667">
        <v>2212241206124</v>
      </c>
      <c r="F667">
        <v>509</v>
      </c>
      <c r="G667">
        <v>524</v>
      </c>
      <c r="H667">
        <v>524</v>
      </c>
      <c r="I667">
        <v>15</v>
      </c>
      <c r="J667">
        <v>2.95</v>
      </c>
      <c r="K667">
        <v>524</v>
      </c>
      <c r="L667">
        <v>15</v>
      </c>
      <c r="M667">
        <v>2.95</v>
      </c>
      <c r="N667">
        <v>520</v>
      </c>
      <c r="O667">
        <v>524</v>
      </c>
      <c r="P667">
        <v>-154</v>
      </c>
      <c r="Q667">
        <v>-3.4</v>
      </c>
      <c r="R667">
        <v>160</v>
      </c>
      <c r="S667">
        <v>87765659</v>
      </c>
      <c r="T667">
        <v>524</v>
      </c>
      <c r="U667">
        <v>0</v>
      </c>
      <c r="V667">
        <v>0</v>
      </c>
      <c r="W667">
        <v>0</v>
      </c>
      <c r="X667" s="367"/>
    </row>
    <row r="668" spans="1:24">
      <c r="A668" t="s">
        <v>1998</v>
      </c>
      <c r="B668" t="s">
        <v>1997</v>
      </c>
      <c r="C668">
        <v>39</v>
      </c>
      <c r="D668">
        <v>57078</v>
      </c>
      <c r="E668">
        <v>4632944270</v>
      </c>
      <c r="F668">
        <v>81110</v>
      </c>
      <c r="G668">
        <v>82650</v>
      </c>
      <c r="H668">
        <v>81000</v>
      </c>
      <c r="I668">
        <v>-110</v>
      </c>
      <c r="J668">
        <v>-0.14000000000000001</v>
      </c>
      <c r="K668">
        <v>81170</v>
      </c>
      <c r="L668">
        <v>60</v>
      </c>
      <c r="M668">
        <v>7.0000000000000007E-2</v>
      </c>
      <c r="N668">
        <v>80180</v>
      </c>
      <c r="O668">
        <v>82650</v>
      </c>
      <c r="P668">
        <v>-469</v>
      </c>
      <c r="Q668">
        <v>-173.07</v>
      </c>
      <c r="R668">
        <v>1</v>
      </c>
      <c r="S668">
        <v>638</v>
      </c>
      <c r="T668">
        <v>81000</v>
      </c>
      <c r="U668">
        <v>81370</v>
      </c>
      <c r="V668">
        <v>164</v>
      </c>
      <c r="W668">
        <v>1</v>
      </c>
      <c r="X668" s="367"/>
    </row>
    <row r="669" spans="1:24">
      <c r="A669" t="s">
        <v>3896</v>
      </c>
      <c r="B669" t="s">
        <v>3897</v>
      </c>
      <c r="C669">
        <v>0</v>
      </c>
      <c r="D669">
        <v>0</v>
      </c>
      <c r="E669">
        <v>0</v>
      </c>
      <c r="F669">
        <v>1000000</v>
      </c>
      <c r="G669">
        <v>0</v>
      </c>
      <c r="H669">
        <v>1000000</v>
      </c>
      <c r="I669">
        <v>0</v>
      </c>
      <c r="J669">
        <v>0</v>
      </c>
      <c r="K669">
        <v>1000000</v>
      </c>
      <c r="L669">
        <v>0</v>
      </c>
      <c r="M669">
        <v>0</v>
      </c>
      <c r="N669">
        <v>0</v>
      </c>
      <c r="O669">
        <v>0</v>
      </c>
      <c r="P669" t="s">
        <v>192</v>
      </c>
      <c r="Q669" t="s">
        <v>192</v>
      </c>
      <c r="R669">
        <v>1</v>
      </c>
      <c r="S669">
        <v>5000</v>
      </c>
      <c r="T669">
        <v>970000</v>
      </c>
      <c r="U669">
        <v>0</v>
      </c>
      <c r="V669">
        <v>0</v>
      </c>
      <c r="W669">
        <v>0</v>
      </c>
      <c r="X669" s="367"/>
    </row>
    <row r="670" spans="1:24">
      <c r="A670" t="s">
        <v>3898</v>
      </c>
      <c r="B670" t="s">
        <v>3899</v>
      </c>
      <c r="C670">
        <v>99</v>
      </c>
      <c r="D670">
        <v>33250293</v>
      </c>
      <c r="E670">
        <v>1133703306890</v>
      </c>
      <c r="F670">
        <v>34045</v>
      </c>
      <c r="G670">
        <v>34095</v>
      </c>
      <c r="H670">
        <v>34096</v>
      </c>
      <c r="I670">
        <v>51</v>
      </c>
      <c r="J670">
        <v>0.15</v>
      </c>
      <c r="K670">
        <v>34096</v>
      </c>
      <c r="L670">
        <v>51</v>
      </c>
      <c r="M670">
        <v>0.15</v>
      </c>
      <c r="N670">
        <v>34095</v>
      </c>
      <c r="O670">
        <v>34100</v>
      </c>
      <c r="P670" t="s">
        <v>192</v>
      </c>
      <c r="Q670" t="s">
        <v>192</v>
      </c>
      <c r="R670">
        <v>105</v>
      </c>
      <c r="S670">
        <v>100214772</v>
      </c>
      <c r="T670">
        <v>34095</v>
      </c>
      <c r="U670">
        <v>34096</v>
      </c>
      <c r="V670">
        <v>2834532</v>
      </c>
      <c r="W670">
        <v>4</v>
      </c>
      <c r="X670" s="367"/>
    </row>
    <row r="671" spans="1:24">
      <c r="A671" t="s">
        <v>2441</v>
      </c>
      <c r="B671" t="s">
        <v>2440</v>
      </c>
      <c r="C671">
        <v>88</v>
      </c>
      <c r="D671">
        <v>2716894</v>
      </c>
      <c r="E671">
        <v>51756830700</v>
      </c>
      <c r="F671">
        <v>18500</v>
      </c>
      <c r="G671">
        <v>19050</v>
      </c>
      <c r="H671">
        <v>19050</v>
      </c>
      <c r="I671">
        <v>550</v>
      </c>
      <c r="J671">
        <v>2.97</v>
      </c>
      <c r="K671">
        <v>19050</v>
      </c>
      <c r="L671">
        <v>550</v>
      </c>
      <c r="M671">
        <v>2.97</v>
      </c>
      <c r="N671">
        <v>19050</v>
      </c>
      <c r="O671">
        <v>19050</v>
      </c>
      <c r="P671">
        <v>3235</v>
      </c>
      <c r="Q671">
        <v>5.89</v>
      </c>
      <c r="R671">
        <v>79</v>
      </c>
      <c r="S671">
        <v>3278604</v>
      </c>
      <c r="T671">
        <v>19050</v>
      </c>
      <c r="U671">
        <v>0</v>
      </c>
      <c r="V671">
        <v>0</v>
      </c>
      <c r="W671">
        <v>0</v>
      </c>
      <c r="X671" s="367"/>
    </row>
    <row r="672" spans="1:24">
      <c r="A672" t="s">
        <v>3900</v>
      </c>
      <c r="B672" t="s">
        <v>3901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 t="s">
        <v>192</v>
      </c>
      <c r="Q672" t="s">
        <v>192</v>
      </c>
      <c r="R672">
        <v>1</v>
      </c>
      <c r="S672">
        <v>10</v>
      </c>
      <c r="T672">
        <v>105</v>
      </c>
      <c r="U672">
        <v>0</v>
      </c>
      <c r="V672">
        <v>0</v>
      </c>
      <c r="W672">
        <v>0</v>
      </c>
      <c r="X672" s="367"/>
    </row>
    <row r="673" spans="1:24">
      <c r="A673" t="s">
        <v>3902</v>
      </c>
      <c r="B673" t="s">
        <v>3903</v>
      </c>
      <c r="C673">
        <v>0</v>
      </c>
      <c r="D673">
        <v>0</v>
      </c>
      <c r="E673">
        <v>0</v>
      </c>
      <c r="F673">
        <v>1000000</v>
      </c>
      <c r="G673">
        <v>0</v>
      </c>
      <c r="H673">
        <v>1000000</v>
      </c>
      <c r="I673">
        <v>0</v>
      </c>
      <c r="J673">
        <v>0</v>
      </c>
      <c r="K673">
        <v>1000000</v>
      </c>
      <c r="L673">
        <v>0</v>
      </c>
      <c r="M673">
        <v>0</v>
      </c>
      <c r="N673">
        <v>0</v>
      </c>
      <c r="O673">
        <v>0</v>
      </c>
      <c r="P673" t="s">
        <v>192</v>
      </c>
      <c r="Q673" t="s">
        <v>192</v>
      </c>
      <c r="R673">
        <v>1</v>
      </c>
      <c r="S673">
        <v>5000</v>
      </c>
      <c r="T673">
        <v>990000</v>
      </c>
      <c r="U673">
        <v>1000000</v>
      </c>
      <c r="V673">
        <v>5000</v>
      </c>
      <c r="W673">
        <v>1</v>
      </c>
      <c r="X673" s="367"/>
    </row>
    <row r="674" spans="1:24">
      <c r="A674" t="s">
        <v>3904</v>
      </c>
      <c r="B674" t="s">
        <v>8122</v>
      </c>
      <c r="C674">
        <v>7094</v>
      </c>
      <c r="D674">
        <v>2921673</v>
      </c>
      <c r="E674">
        <v>399845828000</v>
      </c>
      <c r="F674">
        <v>80</v>
      </c>
      <c r="G674">
        <v>121</v>
      </c>
      <c r="H674">
        <v>136</v>
      </c>
      <c r="I674">
        <v>56</v>
      </c>
      <c r="J674">
        <v>70</v>
      </c>
      <c r="K674">
        <v>137</v>
      </c>
      <c r="L674">
        <v>57</v>
      </c>
      <c r="M674">
        <v>71.25</v>
      </c>
      <c r="N674">
        <v>121</v>
      </c>
      <c r="O674">
        <v>150</v>
      </c>
      <c r="P674" t="s">
        <v>192</v>
      </c>
      <c r="Q674" t="s">
        <v>192</v>
      </c>
      <c r="R674">
        <v>3</v>
      </c>
      <c r="S674">
        <v>3000</v>
      </c>
      <c r="T674">
        <v>137</v>
      </c>
      <c r="U674">
        <v>137</v>
      </c>
      <c r="V674">
        <v>4359</v>
      </c>
      <c r="W674">
        <v>5</v>
      </c>
      <c r="X674" s="367"/>
    </row>
    <row r="675" spans="1:24">
      <c r="A675" t="s">
        <v>3906</v>
      </c>
      <c r="B675" t="s">
        <v>3907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 t="s">
        <v>192</v>
      </c>
      <c r="Q675" t="s">
        <v>192</v>
      </c>
      <c r="R675">
        <v>1</v>
      </c>
      <c r="S675">
        <v>100</v>
      </c>
      <c r="T675">
        <v>1</v>
      </c>
      <c r="U675">
        <v>0</v>
      </c>
      <c r="V675">
        <v>0</v>
      </c>
      <c r="W675">
        <v>0</v>
      </c>
      <c r="X675" s="367"/>
    </row>
    <row r="676" spans="1:24">
      <c r="A676" t="s">
        <v>8054</v>
      </c>
      <c r="B676" t="s">
        <v>8055</v>
      </c>
      <c r="C676">
        <v>1289</v>
      </c>
      <c r="D676">
        <v>461932</v>
      </c>
      <c r="E676">
        <v>28333388000</v>
      </c>
      <c r="F676">
        <v>48</v>
      </c>
      <c r="G676">
        <v>60</v>
      </c>
      <c r="H676">
        <v>60</v>
      </c>
      <c r="I676">
        <v>12</v>
      </c>
      <c r="J676">
        <v>25</v>
      </c>
      <c r="K676">
        <v>61</v>
      </c>
      <c r="L676">
        <v>13</v>
      </c>
      <c r="M676">
        <v>27.08</v>
      </c>
      <c r="N676">
        <v>59</v>
      </c>
      <c r="O676">
        <v>65</v>
      </c>
      <c r="P676" t="s">
        <v>192</v>
      </c>
      <c r="Q676" t="s">
        <v>192</v>
      </c>
      <c r="R676">
        <v>6</v>
      </c>
      <c r="S676">
        <v>5200</v>
      </c>
      <c r="T676">
        <v>58</v>
      </c>
      <c r="U676">
        <v>60</v>
      </c>
      <c r="V676">
        <v>20366</v>
      </c>
      <c r="W676">
        <v>21</v>
      </c>
      <c r="X676" s="367"/>
    </row>
    <row r="677" spans="1:24">
      <c r="A677" t="s">
        <v>8056</v>
      </c>
      <c r="B677" t="s">
        <v>8057</v>
      </c>
      <c r="C677">
        <v>0</v>
      </c>
      <c r="D677">
        <v>0</v>
      </c>
      <c r="E677">
        <v>0</v>
      </c>
      <c r="F677">
        <v>750000</v>
      </c>
      <c r="G677">
        <v>0</v>
      </c>
      <c r="H677">
        <v>750000</v>
      </c>
      <c r="I677">
        <v>0</v>
      </c>
      <c r="J677">
        <v>0</v>
      </c>
      <c r="K677">
        <v>750000</v>
      </c>
      <c r="L677">
        <v>0</v>
      </c>
      <c r="M677">
        <v>0</v>
      </c>
      <c r="N677">
        <v>0</v>
      </c>
      <c r="O677">
        <v>0</v>
      </c>
      <c r="P677" t="s">
        <v>192</v>
      </c>
      <c r="Q677" t="s">
        <v>192</v>
      </c>
      <c r="R677">
        <v>1</v>
      </c>
      <c r="S677">
        <v>4000</v>
      </c>
      <c r="T677">
        <v>744500</v>
      </c>
      <c r="U677">
        <v>751900</v>
      </c>
      <c r="V677">
        <v>4000</v>
      </c>
      <c r="W677">
        <v>1</v>
      </c>
      <c r="X677" s="367"/>
    </row>
    <row r="678" spans="1:24">
      <c r="A678" t="s">
        <v>1795</v>
      </c>
      <c r="B678" t="s">
        <v>1794</v>
      </c>
      <c r="C678">
        <v>353</v>
      </c>
      <c r="D678">
        <v>47050478</v>
      </c>
      <c r="E678">
        <v>143268705510</v>
      </c>
      <c r="F678">
        <v>2957</v>
      </c>
      <c r="G678">
        <v>3045</v>
      </c>
      <c r="H678">
        <v>3045</v>
      </c>
      <c r="I678">
        <v>88</v>
      </c>
      <c r="J678">
        <v>2.98</v>
      </c>
      <c r="K678">
        <v>3045</v>
      </c>
      <c r="L678">
        <v>88</v>
      </c>
      <c r="M678">
        <v>2.98</v>
      </c>
      <c r="N678">
        <v>3045</v>
      </c>
      <c r="O678">
        <v>3045</v>
      </c>
      <c r="P678">
        <v>747</v>
      </c>
      <c r="Q678">
        <v>4.08</v>
      </c>
      <c r="R678">
        <v>115</v>
      </c>
      <c r="S678">
        <v>36063495</v>
      </c>
      <c r="T678">
        <v>3045</v>
      </c>
      <c r="U678">
        <v>0</v>
      </c>
      <c r="V678">
        <v>0</v>
      </c>
      <c r="W678">
        <v>0</v>
      </c>
      <c r="X678" s="367"/>
    </row>
    <row r="679" spans="1:24">
      <c r="A679" t="s">
        <v>3106</v>
      </c>
      <c r="B679" t="s">
        <v>3105</v>
      </c>
      <c r="C679">
        <v>1399</v>
      </c>
      <c r="D679">
        <v>80344165</v>
      </c>
      <c r="E679">
        <v>544705766830</v>
      </c>
      <c r="F679">
        <v>6590</v>
      </c>
      <c r="G679">
        <v>6780</v>
      </c>
      <c r="H679">
        <v>6780</v>
      </c>
      <c r="I679">
        <v>190</v>
      </c>
      <c r="J679">
        <v>2.88</v>
      </c>
      <c r="K679">
        <v>6780</v>
      </c>
      <c r="L679">
        <v>190</v>
      </c>
      <c r="M679">
        <v>2.88</v>
      </c>
      <c r="N679">
        <v>6730</v>
      </c>
      <c r="O679">
        <v>6780</v>
      </c>
      <c r="P679">
        <v>798</v>
      </c>
      <c r="Q679">
        <v>8.5</v>
      </c>
      <c r="R679">
        <v>13</v>
      </c>
      <c r="S679">
        <v>622207</v>
      </c>
      <c r="T679">
        <v>6780</v>
      </c>
      <c r="U679">
        <v>9000</v>
      </c>
      <c r="V679">
        <v>208354</v>
      </c>
      <c r="W679">
        <v>1</v>
      </c>
      <c r="X679" s="367"/>
    </row>
    <row r="680" spans="1:24">
      <c r="A680" t="s">
        <v>3908</v>
      </c>
      <c r="B680" t="s">
        <v>3909</v>
      </c>
      <c r="C680">
        <v>34</v>
      </c>
      <c r="D680">
        <v>2228287</v>
      </c>
      <c r="E680">
        <v>79010600446</v>
      </c>
      <c r="F680">
        <v>34426</v>
      </c>
      <c r="G680">
        <v>35458</v>
      </c>
      <c r="H680">
        <v>35458</v>
      </c>
      <c r="I680">
        <v>1032</v>
      </c>
      <c r="J680">
        <v>3</v>
      </c>
      <c r="K680">
        <v>35458</v>
      </c>
      <c r="L680">
        <v>1032</v>
      </c>
      <c r="M680">
        <v>3</v>
      </c>
      <c r="N680">
        <v>35458</v>
      </c>
      <c r="O680">
        <v>35458</v>
      </c>
      <c r="P680" t="s">
        <v>192</v>
      </c>
      <c r="Q680" t="s">
        <v>192</v>
      </c>
      <c r="R680">
        <v>98</v>
      </c>
      <c r="S680">
        <v>6605285</v>
      </c>
      <c r="T680">
        <v>35458</v>
      </c>
      <c r="U680">
        <v>38876</v>
      </c>
      <c r="V680">
        <v>5353</v>
      </c>
      <c r="W680">
        <v>1</v>
      </c>
      <c r="X680" s="367"/>
    </row>
    <row r="681" spans="1:24">
      <c r="A681" t="s">
        <v>1816</v>
      </c>
      <c r="B681" t="s">
        <v>1815</v>
      </c>
      <c r="C681">
        <v>107</v>
      </c>
      <c r="D681">
        <v>2122017</v>
      </c>
      <c r="E681">
        <v>7909721810</v>
      </c>
      <c r="F681">
        <v>3630</v>
      </c>
      <c r="G681">
        <v>3720</v>
      </c>
      <c r="H681">
        <v>3730</v>
      </c>
      <c r="I681">
        <v>100</v>
      </c>
      <c r="J681">
        <v>2.75</v>
      </c>
      <c r="K681">
        <v>3730</v>
      </c>
      <c r="L681">
        <v>100</v>
      </c>
      <c r="M681">
        <v>2.75</v>
      </c>
      <c r="N681">
        <v>3710</v>
      </c>
      <c r="O681">
        <v>3730</v>
      </c>
      <c r="P681">
        <v>676</v>
      </c>
      <c r="Q681">
        <v>5.52</v>
      </c>
      <c r="R681">
        <v>2</v>
      </c>
      <c r="S681">
        <v>9471</v>
      </c>
      <c r="T681">
        <v>3730</v>
      </c>
      <c r="U681">
        <v>0</v>
      </c>
      <c r="V681">
        <v>0</v>
      </c>
      <c r="W681">
        <v>0</v>
      </c>
      <c r="X681" s="367"/>
    </row>
    <row r="682" spans="1:24">
      <c r="A682" t="s">
        <v>3910</v>
      </c>
      <c r="B682" t="s">
        <v>3911</v>
      </c>
      <c r="C682">
        <v>0</v>
      </c>
      <c r="D682">
        <v>0</v>
      </c>
      <c r="E682">
        <v>0</v>
      </c>
      <c r="F682">
        <v>1000000</v>
      </c>
      <c r="G682">
        <v>0</v>
      </c>
      <c r="H682">
        <v>1000000</v>
      </c>
      <c r="I682">
        <v>0</v>
      </c>
      <c r="J682">
        <v>0</v>
      </c>
      <c r="K682">
        <v>1000000</v>
      </c>
      <c r="L682">
        <v>0</v>
      </c>
      <c r="M682">
        <v>0</v>
      </c>
      <c r="N682">
        <v>0</v>
      </c>
      <c r="O682">
        <v>0</v>
      </c>
      <c r="P682" t="s">
        <v>192</v>
      </c>
      <c r="Q682" t="s">
        <v>192</v>
      </c>
      <c r="R682">
        <v>1</v>
      </c>
      <c r="S682">
        <v>10000</v>
      </c>
      <c r="T682">
        <v>1000000</v>
      </c>
      <c r="U682">
        <v>0</v>
      </c>
      <c r="V682">
        <v>0</v>
      </c>
      <c r="W682">
        <v>0</v>
      </c>
      <c r="X682" s="367"/>
    </row>
    <row r="683" spans="1:24">
      <c r="A683" t="s">
        <v>3912</v>
      </c>
      <c r="B683" t="s">
        <v>3913</v>
      </c>
      <c r="C683">
        <v>0</v>
      </c>
      <c r="D683">
        <v>0</v>
      </c>
      <c r="E683">
        <v>0</v>
      </c>
      <c r="F683">
        <v>1000000</v>
      </c>
      <c r="G683">
        <v>0</v>
      </c>
      <c r="H683">
        <v>1000000</v>
      </c>
      <c r="I683">
        <v>0</v>
      </c>
      <c r="J683">
        <v>0</v>
      </c>
      <c r="K683">
        <v>1000000</v>
      </c>
      <c r="L683">
        <v>0</v>
      </c>
      <c r="M683">
        <v>0</v>
      </c>
      <c r="N683">
        <v>0</v>
      </c>
      <c r="O683">
        <v>0</v>
      </c>
      <c r="P683" t="s">
        <v>192</v>
      </c>
      <c r="Q683" t="s">
        <v>192</v>
      </c>
      <c r="R683">
        <v>1</v>
      </c>
      <c r="S683">
        <v>4000</v>
      </c>
      <c r="T683">
        <v>1000000</v>
      </c>
      <c r="U683">
        <v>1010000</v>
      </c>
      <c r="V683">
        <v>4000</v>
      </c>
      <c r="W683">
        <v>1</v>
      </c>
      <c r="X683" s="367"/>
    </row>
    <row r="684" spans="1:24">
      <c r="A684" t="s">
        <v>3914</v>
      </c>
      <c r="B684" t="s">
        <v>3915</v>
      </c>
      <c r="C684">
        <v>2508</v>
      </c>
      <c r="D684">
        <v>95839</v>
      </c>
      <c r="E684">
        <v>97042609000</v>
      </c>
      <c r="F684">
        <v>1409</v>
      </c>
      <c r="G684">
        <v>1000</v>
      </c>
      <c r="H684">
        <v>1000</v>
      </c>
      <c r="I684">
        <v>-409</v>
      </c>
      <c r="J684">
        <v>-29.03</v>
      </c>
      <c r="K684">
        <v>1013</v>
      </c>
      <c r="L684">
        <v>-396</v>
      </c>
      <c r="M684">
        <v>-28.11</v>
      </c>
      <c r="N684">
        <v>910</v>
      </c>
      <c r="O684">
        <v>1090</v>
      </c>
      <c r="P684" t="s">
        <v>192</v>
      </c>
      <c r="Q684" t="s">
        <v>192</v>
      </c>
      <c r="R684">
        <v>1</v>
      </c>
      <c r="S684">
        <v>20</v>
      </c>
      <c r="T684">
        <v>974</v>
      </c>
      <c r="U684">
        <v>1010</v>
      </c>
      <c r="V684">
        <v>77</v>
      </c>
      <c r="W684">
        <v>1</v>
      </c>
      <c r="X684" s="367"/>
    </row>
    <row r="685" spans="1:24">
      <c r="A685" t="s">
        <v>2335</v>
      </c>
      <c r="B685" t="s">
        <v>2334</v>
      </c>
      <c r="C685">
        <v>103</v>
      </c>
      <c r="D685">
        <v>646542</v>
      </c>
      <c r="E685">
        <v>33503806440</v>
      </c>
      <c r="F685">
        <v>50320</v>
      </c>
      <c r="G685">
        <v>51820</v>
      </c>
      <c r="H685">
        <v>51820</v>
      </c>
      <c r="I685">
        <v>1500</v>
      </c>
      <c r="J685">
        <v>2.98</v>
      </c>
      <c r="K685">
        <v>51820</v>
      </c>
      <c r="L685">
        <v>1500</v>
      </c>
      <c r="M685">
        <v>2.98</v>
      </c>
      <c r="N685">
        <v>51820</v>
      </c>
      <c r="O685">
        <v>51820</v>
      </c>
      <c r="P685">
        <v>3654</v>
      </c>
      <c r="Q685">
        <v>14.18</v>
      </c>
      <c r="R685">
        <v>27</v>
      </c>
      <c r="S685">
        <v>145889</v>
      </c>
      <c r="T685">
        <v>51820</v>
      </c>
      <c r="U685">
        <v>53500</v>
      </c>
      <c r="V685">
        <v>3908</v>
      </c>
      <c r="W685">
        <v>1</v>
      </c>
      <c r="X685" s="367"/>
    </row>
    <row r="686" spans="1:24">
      <c r="A686" t="s">
        <v>8785</v>
      </c>
      <c r="B686" t="s">
        <v>5458</v>
      </c>
      <c r="C686">
        <v>5</v>
      </c>
      <c r="D686">
        <v>240</v>
      </c>
      <c r="E686">
        <v>2169600</v>
      </c>
      <c r="F686">
        <v>8830</v>
      </c>
      <c r="G686">
        <v>9040</v>
      </c>
      <c r="H686">
        <v>9040</v>
      </c>
      <c r="I686">
        <v>210</v>
      </c>
      <c r="J686">
        <v>2.38</v>
      </c>
      <c r="K686">
        <v>9040</v>
      </c>
      <c r="L686">
        <v>210</v>
      </c>
      <c r="M686">
        <v>2.38</v>
      </c>
      <c r="N686">
        <v>9040</v>
      </c>
      <c r="O686">
        <v>9040</v>
      </c>
      <c r="P686">
        <v>272</v>
      </c>
      <c r="Q686">
        <v>33.24</v>
      </c>
      <c r="R686">
        <v>3</v>
      </c>
      <c r="S686">
        <v>22963</v>
      </c>
      <c r="T686">
        <v>9040</v>
      </c>
      <c r="U686">
        <v>0</v>
      </c>
      <c r="V686">
        <v>0</v>
      </c>
      <c r="W686">
        <v>0</v>
      </c>
      <c r="X686" s="367"/>
    </row>
    <row r="687" spans="1:24">
      <c r="A687" t="s">
        <v>1852</v>
      </c>
      <c r="B687" t="s">
        <v>1851</v>
      </c>
      <c r="C687">
        <v>129</v>
      </c>
      <c r="D687">
        <v>278309</v>
      </c>
      <c r="E687">
        <v>6120014910</v>
      </c>
      <c r="F687">
        <v>21350</v>
      </c>
      <c r="G687">
        <v>21990</v>
      </c>
      <c r="H687">
        <v>21990</v>
      </c>
      <c r="I687">
        <v>640</v>
      </c>
      <c r="J687">
        <v>3</v>
      </c>
      <c r="K687">
        <v>21990</v>
      </c>
      <c r="L687">
        <v>640</v>
      </c>
      <c r="M687">
        <v>3</v>
      </c>
      <c r="N687">
        <v>21990</v>
      </c>
      <c r="O687">
        <v>21990</v>
      </c>
      <c r="P687">
        <v>1448</v>
      </c>
      <c r="Q687">
        <v>15.19</v>
      </c>
      <c r="R687">
        <v>130</v>
      </c>
      <c r="S687">
        <v>6047074</v>
      </c>
      <c r="T687">
        <v>21990</v>
      </c>
      <c r="U687">
        <v>0</v>
      </c>
      <c r="V687">
        <v>0</v>
      </c>
      <c r="W687">
        <v>0</v>
      </c>
      <c r="X687" s="367"/>
    </row>
    <row r="688" spans="1:24">
      <c r="A688" t="s">
        <v>3047</v>
      </c>
      <c r="B688" t="s">
        <v>3046</v>
      </c>
      <c r="C688">
        <v>197</v>
      </c>
      <c r="D688">
        <v>17843959</v>
      </c>
      <c r="E688">
        <v>66557967070</v>
      </c>
      <c r="F688">
        <v>3630</v>
      </c>
      <c r="G688">
        <v>3730</v>
      </c>
      <c r="H688">
        <v>3730</v>
      </c>
      <c r="I688">
        <v>100</v>
      </c>
      <c r="J688">
        <v>2.75</v>
      </c>
      <c r="K688">
        <v>3730</v>
      </c>
      <c r="L688">
        <v>100</v>
      </c>
      <c r="M688">
        <v>2.75</v>
      </c>
      <c r="N688">
        <v>3730</v>
      </c>
      <c r="O688">
        <v>3730</v>
      </c>
      <c r="P688">
        <v>650</v>
      </c>
      <c r="Q688">
        <v>5.74</v>
      </c>
      <c r="R688">
        <v>638</v>
      </c>
      <c r="S688">
        <v>171137520</v>
      </c>
      <c r="T688">
        <v>3730</v>
      </c>
      <c r="U688">
        <v>0</v>
      </c>
      <c r="V688">
        <v>0</v>
      </c>
      <c r="W688">
        <v>0</v>
      </c>
      <c r="X688" s="367"/>
    </row>
    <row r="689" spans="1:24">
      <c r="A689" t="s">
        <v>3916</v>
      </c>
      <c r="B689" t="s">
        <v>3917</v>
      </c>
      <c r="C689">
        <v>0</v>
      </c>
      <c r="D689">
        <v>0</v>
      </c>
      <c r="E689">
        <v>0</v>
      </c>
      <c r="F689">
        <v>9034716</v>
      </c>
      <c r="G689">
        <v>0</v>
      </c>
      <c r="H689">
        <v>9034716</v>
      </c>
      <c r="I689">
        <v>0</v>
      </c>
      <c r="J689">
        <v>0</v>
      </c>
      <c r="K689">
        <v>9034716</v>
      </c>
      <c r="L689">
        <v>0</v>
      </c>
      <c r="M689">
        <v>0</v>
      </c>
      <c r="N689">
        <v>0</v>
      </c>
      <c r="O689">
        <v>0</v>
      </c>
      <c r="P689" t="s">
        <v>192</v>
      </c>
      <c r="Q689" t="s">
        <v>192</v>
      </c>
      <c r="R689">
        <v>1</v>
      </c>
      <c r="S689">
        <v>24960</v>
      </c>
      <c r="T689">
        <v>9034716</v>
      </c>
      <c r="U689">
        <v>9215409</v>
      </c>
      <c r="V689">
        <v>12457</v>
      </c>
      <c r="W689">
        <v>1</v>
      </c>
      <c r="X689" s="367"/>
    </row>
    <row r="690" spans="1:24">
      <c r="A690" t="s">
        <v>2280</v>
      </c>
      <c r="B690" t="s">
        <v>2279</v>
      </c>
      <c r="C690">
        <v>11068</v>
      </c>
      <c r="D690">
        <v>8762601</v>
      </c>
      <c r="E690">
        <v>422114243340</v>
      </c>
      <c r="F690">
        <v>46830</v>
      </c>
      <c r="G690">
        <v>48010</v>
      </c>
      <c r="H690">
        <v>48230</v>
      </c>
      <c r="I690">
        <v>1400</v>
      </c>
      <c r="J690">
        <v>2.99</v>
      </c>
      <c r="K690">
        <v>48170</v>
      </c>
      <c r="L690">
        <v>1340</v>
      </c>
      <c r="M690">
        <v>2.86</v>
      </c>
      <c r="N690">
        <v>47500</v>
      </c>
      <c r="O690">
        <v>48230</v>
      </c>
      <c r="P690">
        <v>6307</v>
      </c>
      <c r="Q690">
        <v>7.64</v>
      </c>
      <c r="R690">
        <v>3</v>
      </c>
      <c r="S690">
        <v>20163</v>
      </c>
      <c r="T690">
        <v>48230</v>
      </c>
      <c r="U690">
        <v>49000</v>
      </c>
      <c r="V690">
        <v>192</v>
      </c>
      <c r="W690">
        <v>6</v>
      </c>
      <c r="X690" s="367"/>
    </row>
    <row r="691" spans="1:24">
      <c r="A691" t="s">
        <v>8352</v>
      </c>
      <c r="B691" t="s">
        <v>8353</v>
      </c>
      <c r="C691">
        <v>10</v>
      </c>
      <c r="D691">
        <v>273</v>
      </c>
      <c r="E691">
        <v>3468908000</v>
      </c>
      <c r="F691">
        <v>11089</v>
      </c>
      <c r="G691">
        <v>12606</v>
      </c>
      <c r="H691">
        <v>12707</v>
      </c>
      <c r="I691">
        <v>1618</v>
      </c>
      <c r="J691">
        <v>14.59</v>
      </c>
      <c r="K691">
        <v>12707</v>
      </c>
      <c r="L691">
        <v>1618</v>
      </c>
      <c r="M691">
        <v>14.59</v>
      </c>
      <c r="N691">
        <v>12606</v>
      </c>
      <c r="O691">
        <v>12707</v>
      </c>
      <c r="P691" t="s">
        <v>192</v>
      </c>
      <c r="Q691" t="s">
        <v>192</v>
      </c>
      <c r="R691">
        <v>1</v>
      </c>
      <c r="S691">
        <v>14</v>
      </c>
      <c r="T691">
        <v>10500</v>
      </c>
      <c r="U691">
        <v>0</v>
      </c>
      <c r="V691">
        <v>0</v>
      </c>
      <c r="W691">
        <v>0</v>
      </c>
      <c r="X691" s="367"/>
    </row>
    <row r="692" spans="1:24">
      <c r="A692" t="s">
        <v>3918</v>
      </c>
      <c r="B692" t="s">
        <v>3919</v>
      </c>
      <c r="C692">
        <v>1508</v>
      </c>
      <c r="D692">
        <v>50343925</v>
      </c>
      <c r="E692">
        <v>832732172884</v>
      </c>
      <c r="F692">
        <v>16619</v>
      </c>
      <c r="G692">
        <v>16631</v>
      </c>
      <c r="H692">
        <v>16490</v>
      </c>
      <c r="I692">
        <v>-129</v>
      </c>
      <c r="J692">
        <v>-0.78</v>
      </c>
      <c r="K692">
        <v>16541</v>
      </c>
      <c r="L692">
        <v>-78</v>
      </c>
      <c r="M692">
        <v>-0.47</v>
      </c>
      <c r="N692">
        <v>16489</v>
      </c>
      <c r="O692">
        <v>16631</v>
      </c>
      <c r="P692" t="s">
        <v>192</v>
      </c>
      <c r="Q692" t="s">
        <v>192</v>
      </c>
      <c r="R692">
        <v>5</v>
      </c>
      <c r="S692">
        <v>364514</v>
      </c>
      <c r="T692">
        <v>16489</v>
      </c>
      <c r="U692">
        <v>16490</v>
      </c>
      <c r="V692">
        <v>78433</v>
      </c>
      <c r="W692">
        <v>1</v>
      </c>
      <c r="X692" s="367"/>
    </row>
    <row r="693" spans="1:24">
      <c r="A693" t="s">
        <v>2126</v>
      </c>
      <c r="B693" t="s">
        <v>2125</v>
      </c>
      <c r="C693">
        <v>706</v>
      </c>
      <c r="D693">
        <v>99908082</v>
      </c>
      <c r="E693">
        <v>312612388578</v>
      </c>
      <c r="F693">
        <v>3038</v>
      </c>
      <c r="G693">
        <v>3129</v>
      </c>
      <c r="H693">
        <v>3129</v>
      </c>
      <c r="I693">
        <v>91</v>
      </c>
      <c r="J693">
        <v>3</v>
      </c>
      <c r="K693">
        <v>3129</v>
      </c>
      <c r="L693">
        <v>91</v>
      </c>
      <c r="M693">
        <v>3</v>
      </c>
      <c r="N693">
        <v>3129</v>
      </c>
      <c r="O693">
        <v>3129</v>
      </c>
      <c r="P693">
        <v>88</v>
      </c>
      <c r="Q693">
        <v>35.56</v>
      </c>
      <c r="R693">
        <v>335</v>
      </c>
      <c r="S693">
        <v>82614759</v>
      </c>
      <c r="T693">
        <v>3129</v>
      </c>
      <c r="U693">
        <v>5366</v>
      </c>
      <c r="V693">
        <v>31382</v>
      </c>
      <c r="W693">
        <v>4</v>
      </c>
      <c r="X693" s="367"/>
    </row>
    <row r="694" spans="1:24">
      <c r="A694" t="s">
        <v>3920</v>
      </c>
      <c r="B694" t="s">
        <v>3921</v>
      </c>
      <c r="C694">
        <v>1</v>
      </c>
      <c r="D694">
        <v>1</v>
      </c>
      <c r="E694">
        <v>40000</v>
      </c>
      <c r="F694">
        <v>23</v>
      </c>
      <c r="G694">
        <v>40</v>
      </c>
      <c r="H694">
        <v>40</v>
      </c>
      <c r="I694">
        <v>17</v>
      </c>
      <c r="J694">
        <v>73.91</v>
      </c>
      <c r="K694">
        <v>40</v>
      </c>
      <c r="L694">
        <v>17</v>
      </c>
      <c r="M694">
        <v>73.91</v>
      </c>
      <c r="N694">
        <v>40</v>
      </c>
      <c r="O694">
        <v>40</v>
      </c>
      <c r="P694" t="s">
        <v>192</v>
      </c>
      <c r="Q694" t="s">
        <v>192</v>
      </c>
      <c r="R694">
        <v>1</v>
      </c>
      <c r="S694">
        <v>100</v>
      </c>
      <c r="T694">
        <v>1</v>
      </c>
      <c r="U694">
        <v>40</v>
      </c>
      <c r="V694">
        <v>2</v>
      </c>
      <c r="W694">
        <v>1</v>
      </c>
      <c r="X694" s="367"/>
    </row>
    <row r="695" spans="1:24">
      <c r="A695" t="s">
        <v>2200</v>
      </c>
      <c r="B695" t="s">
        <v>2199</v>
      </c>
      <c r="C695">
        <v>5958</v>
      </c>
      <c r="D695">
        <v>75888147</v>
      </c>
      <c r="E695">
        <v>1421982338660</v>
      </c>
      <c r="F695">
        <v>18720</v>
      </c>
      <c r="G695">
        <v>18960</v>
      </c>
      <c r="H695">
        <v>18720</v>
      </c>
      <c r="I695">
        <v>0</v>
      </c>
      <c r="J695">
        <v>0</v>
      </c>
      <c r="K695">
        <v>18740</v>
      </c>
      <c r="L695">
        <v>20</v>
      </c>
      <c r="M695">
        <v>0.11</v>
      </c>
      <c r="N695">
        <v>18450</v>
      </c>
      <c r="O695">
        <v>19100</v>
      </c>
      <c r="P695">
        <v>1502</v>
      </c>
      <c r="Q695">
        <v>12.48</v>
      </c>
      <c r="R695">
        <v>3</v>
      </c>
      <c r="S695">
        <v>389265</v>
      </c>
      <c r="T695">
        <v>18720</v>
      </c>
      <c r="U695">
        <v>18730</v>
      </c>
      <c r="V695">
        <v>23341</v>
      </c>
      <c r="W695">
        <v>2</v>
      </c>
      <c r="X695" s="367"/>
    </row>
    <row r="696" spans="1:24">
      <c r="A696" t="s">
        <v>1894</v>
      </c>
      <c r="B696" t="s">
        <v>1893</v>
      </c>
      <c r="C696">
        <v>2096</v>
      </c>
      <c r="D696">
        <v>104757066</v>
      </c>
      <c r="E696">
        <v>504877006550</v>
      </c>
      <c r="F696">
        <v>4950</v>
      </c>
      <c r="G696">
        <v>5050</v>
      </c>
      <c r="H696">
        <v>4810</v>
      </c>
      <c r="I696">
        <v>-140</v>
      </c>
      <c r="J696">
        <v>-2.83</v>
      </c>
      <c r="K696">
        <v>4820</v>
      </c>
      <c r="L696">
        <v>-130</v>
      </c>
      <c r="M696">
        <v>-2.63</v>
      </c>
      <c r="N696">
        <v>4810</v>
      </c>
      <c r="O696">
        <v>5050</v>
      </c>
      <c r="P696">
        <v>192</v>
      </c>
      <c r="Q696">
        <v>25.1</v>
      </c>
      <c r="R696">
        <v>1</v>
      </c>
      <c r="S696">
        <v>1200</v>
      </c>
      <c r="T696">
        <v>4440</v>
      </c>
      <c r="U696">
        <v>4810</v>
      </c>
      <c r="V696">
        <v>958000</v>
      </c>
      <c r="W696">
        <v>4</v>
      </c>
      <c r="X696" s="367"/>
    </row>
    <row r="697" spans="1:24">
      <c r="A697" t="s">
        <v>3922</v>
      </c>
      <c r="B697" t="s">
        <v>3923</v>
      </c>
      <c r="C697">
        <v>16</v>
      </c>
      <c r="D697">
        <v>91170</v>
      </c>
      <c r="E697">
        <v>2863504119</v>
      </c>
      <c r="F697">
        <v>30608</v>
      </c>
      <c r="G697">
        <v>31400</v>
      </c>
      <c r="H697">
        <v>31526</v>
      </c>
      <c r="I697">
        <v>918</v>
      </c>
      <c r="J697">
        <v>3</v>
      </c>
      <c r="K697">
        <v>31408</v>
      </c>
      <c r="L697">
        <v>800</v>
      </c>
      <c r="M697">
        <v>2.61</v>
      </c>
      <c r="N697">
        <v>31300</v>
      </c>
      <c r="O697">
        <v>31526</v>
      </c>
      <c r="P697" t="s">
        <v>192</v>
      </c>
      <c r="Q697" t="s">
        <v>192</v>
      </c>
      <c r="R697">
        <v>2</v>
      </c>
      <c r="S697">
        <v>300200</v>
      </c>
      <c r="T697">
        <v>31500</v>
      </c>
      <c r="U697">
        <v>31526</v>
      </c>
      <c r="V697">
        <v>22464</v>
      </c>
      <c r="W697">
        <v>1</v>
      </c>
      <c r="X697" s="367"/>
    </row>
    <row r="698" spans="1:24">
      <c r="A698" t="s">
        <v>1850</v>
      </c>
      <c r="B698" t="s">
        <v>1849</v>
      </c>
      <c r="C698">
        <v>728</v>
      </c>
      <c r="D698">
        <v>5258842</v>
      </c>
      <c r="E698">
        <v>186583714160</v>
      </c>
      <c r="F698">
        <v>34450</v>
      </c>
      <c r="G698">
        <v>35480</v>
      </c>
      <c r="H698">
        <v>35480</v>
      </c>
      <c r="I698">
        <v>1030</v>
      </c>
      <c r="J698">
        <v>2.99</v>
      </c>
      <c r="K698">
        <v>35480</v>
      </c>
      <c r="L698">
        <v>1030</v>
      </c>
      <c r="M698">
        <v>2.99</v>
      </c>
      <c r="N698">
        <v>35480</v>
      </c>
      <c r="O698">
        <v>35480</v>
      </c>
      <c r="P698">
        <v>8261</v>
      </c>
      <c r="Q698">
        <v>4.29</v>
      </c>
      <c r="R698">
        <v>406</v>
      </c>
      <c r="S698">
        <v>6835261</v>
      </c>
      <c r="T698">
        <v>35480</v>
      </c>
      <c r="U698">
        <v>36000</v>
      </c>
      <c r="V698">
        <v>2210</v>
      </c>
      <c r="W698">
        <v>1</v>
      </c>
      <c r="X698" s="367"/>
    </row>
    <row r="699" spans="1:24">
      <c r="A699" t="s">
        <v>3924</v>
      </c>
      <c r="B699" t="s">
        <v>3925</v>
      </c>
      <c r="C699">
        <v>0</v>
      </c>
      <c r="D699">
        <v>0</v>
      </c>
      <c r="E699">
        <v>0</v>
      </c>
      <c r="F699">
        <v>1000000</v>
      </c>
      <c r="G699">
        <v>0</v>
      </c>
      <c r="H699">
        <v>1000000</v>
      </c>
      <c r="I699">
        <v>0</v>
      </c>
      <c r="J699">
        <v>0</v>
      </c>
      <c r="K699">
        <v>1000000</v>
      </c>
      <c r="L699">
        <v>0</v>
      </c>
      <c r="M699">
        <v>0</v>
      </c>
      <c r="N699">
        <v>0</v>
      </c>
      <c r="O699">
        <v>0</v>
      </c>
      <c r="P699" t="s">
        <v>192</v>
      </c>
      <c r="Q699" t="s">
        <v>192</v>
      </c>
      <c r="R699">
        <v>1</v>
      </c>
      <c r="S699">
        <v>5000</v>
      </c>
      <c r="T699">
        <v>990000</v>
      </c>
      <c r="U699">
        <v>1010000</v>
      </c>
      <c r="V699">
        <v>5000</v>
      </c>
      <c r="W699">
        <v>1</v>
      </c>
      <c r="X699" s="367"/>
    </row>
    <row r="700" spans="1:24">
      <c r="A700" t="s">
        <v>6603</v>
      </c>
      <c r="B700" t="s">
        <v>8449</v>
      </c>
      <c r="C700">
        <v>0</v>
      </c>
      <c r="D700">
        <v>0</v>
      </c>
      <c r="E700">
        <v>0</v>
      </c>
      <c r="F700">
        <v>190</v>
      </c>
      <c r="G700">
        <v>0</v>
      </c>
      <c r="H700">
        <v>190</v>
      </c>
      <c r="I700">
        <v>0</v>
      </c>
      <c r="J700">
        <v>0</v>
      </c>
      <c r="K700">
        <v>190</v>
      </c>
      <c r="L700">
        <v>0</v>
      </c>
      <c r="M700">
        <v>0</v>
      </c>
      <c r="N700">
        <v>0</v>
      </c>
      <c r="O700">
        <v>0</v>
      </c>
      <c r="P700" t="s">
        <v>192</v>
      </c>
      <c r="Q700" t="s">
        <v>192</v>
      </c>
      <c r="R700">
        <v>1</v>
      </c>
      <c r="S700">
        <v>100</v>
      </c>
      <c r="T700">
        <v>1</v>
      </c>
      <c r="U700">
        <v>0</v>
      </c>
      <c r="V700">
        <v>0</v>
      </c>
      <c r="W700">
        <v>0</v>
      </c>
      <c r="X700" s="367"/>
    </row>
    <row r="701" spans="1:24">
      <c r="A701" t="s">
        <v>3926</v>
      </c>
      <c r="B701" t="s">
        <v>3927</v>
      </c>
      <c r="C701">
        <v>0</v>
      </c>
      <c r="D701">
        <v>0</v>
      </c>
      <c r="E701">
        <v>0</v>
      </c>
      <c r="F701">
        <v>1000000</v>
      </c>
      <c r="G701">
        <v>0</v>
      </c>
      <c r="H701">
        <v>1000000</v>
      </c>
      <c r="I701">
        <v>0</v>
      </c>
      <c r="J701">
        <v>0</v>
      </c>
      <c r="K701">
        <v>1000000</v>
      </c>
      <c r="L701">
        <v>0</v>
      </c>
      <c r="M701">
        <v>0</v>
      </c>
      <c r="N701">
        <v>0</v>
      </c>
      <c r="O701">
        <v>0</v>
      </c>
      <c r="P701" t="s">
        <v>192</v>
      </c>
      <c r="Q701" t="s">
        <v>192</v>
      </c>
      <c r="R701">
        <v>1</v>
      </c>
      <c r="S701">
        <v>10000</v>
      </c>
      <c r="T701">
        <v>970000</v>
      </c>
      <c r="U701">
        <v>0</v>
      </c>
      <c r="V701">
        <v>0</v>
      </c>
      <c r="W701">
        <v>0</v>
      </c>
      <c r="X701" s="367"/>
    </row>
    <row r="702" spans="1:24">
      <c r="A702" t="s">
        <v>3928</v>
      </c>
      <c r="B702" t="s">
        <v>3929</v>
      </c>
      <c r="C702">
        <v>0</v>
      </c>
      <c r="D702">
        <v>0</v>
      </c>
      <c r="E702">
        <v>0</v>
      </c>
      <c r="F702">
        <v>1000000</v>
      </c>
      <c r="G702">
        <v>0</v>
      </c>
      <c r="H702">
        <v>1000000</v>
      </c>
      <c r="I702">
        <v>0</v>
      </c>
      <c r="J702">
        <v>0</v>
      </c>
      <c r="K702">
        <v>1000000</v>
      </c>
      <c r="L702">
        <v>0</v>
      </c>
      <c r="M702">
        <v>0</v>
      </c>
      <c r="N702">
        <v>0</v>
      </c>
      <c r="O702">
        <v>0</v>
      </c>
      <c r="P702" t="s">
        <v>192</v>
      </c>
      <c r="Q702" t="s">
        <v>192</v>
      </c>
      <c r="R702">
        <v>1</v>
      </c>
      <c r="S702">
        <v>5000</v>
      </c>
      <c r="T702">
        <v>990000</v>
      </c>
      <c r="U702">
        <v>1000000</v>
      </c>
      <c r="V702">
        <v>5000</v>
      </c>
      <c r="W702">
        <v>1</v>
      </c>
      <c r="X702" s="367"/>
    </row>
    <row r="703" spans="1:24">
      <c r="A703" t="s">
        <v>3930</v>
      </c>
      <c r="B703" t="s">
        <v>3931</v>
      </c>
      <c r="C703">
        <v>2204</v>
      </c>
      <c r="D703">
        <v>495388314</v>
      </c>
      <c r="E703">
        <v>577595964033</v>
      </c>
      <c r="F703">
        <v>1133</v>
      </c>
      <c r="G703">
        <v>1166</v>
      </c>
      <c r="H703">
        <v>1166</v>
      </c>
      <c r="I703">
        <v>33</v>
      </c>
      <c r="J703">
        <v>2.91</v>
      </c>
      <c r="K703">
        <v>1166</v>
      </c>
      <c r="L703">
        <v>33</v>
      </c>
      <c r="M703">
        <v>2.91</v>
      </c>
      <c r="N703">
        <v>1157</v>
      </c>
      <c r="O703">
        <v>1166</v>
      </c>
      <c r="P703">
        <v>0</v>
      </c>
      <c r="Q703" t="s">
        <v>192</v>
      </c>
      <c r="R703">
        <v>11</v>
      </c>
      <c r="S703">
        <v>1028251</v>
      </c>
      <c r="T703">
        <v>1166</v>
      </c>
      <c r="U703">
        <v>1173</v>
      </c>
      <c r="V703">
        <v>76653</v>
      </c>
      <c r="W703">
        <v>2</v>
      </c>
      <c r="X703" s="367"/>
    </row>
    <row r="704" spans="1:24">
      <c r="A704" t="s">
        <v>3932</v>
      </c>
      <c r="B704" t="s">
        <v>3933</v>
      </c>
      <c r="C704">
        <v>0</v>
      </c>
      <c r="D704">
        <v>0</v>
      </c>
      <c r="E704">
        <v>0</v>
      </c>
      <c r="F704">
        <v>831654</v>
      </c>
      <c r="G704">
        <v>0</v>
      </c>
      <c r="H704">
        <v>831654</v>
      </c>
      <c r="I704">
        <v>0</v>
      </c>
      <c r="J704">
        <v>0</v>
      </c>
      <c r="K704">
        <v>831654</v>
      </c>
      <c r="L704">
        <v>0</v>
      </c>
      <c r="M704">
        <v>0</v>
      </c>
      <c r="N704">
        <v>0</v>
      </c>
      <c r="O704">
        <v>0</v>
      </c>
      <c r="P704" t="s">
        <v>192</v>
      </c>
      <c r="Q704" t="s">
        <v>192</v>
      </c>
      <c r="R704">
        <v>1</v>
      </c>
      <c r="S704">
        <v>5000</v>
      </c>
      <c r="T704">
        <v>814507</v>
      </c>
      <c r="U704">
        <v>0</v>
      </c>
      <c r="V704">
        <v>0</v>
      </c>
      <c r="W704">
        <v>0</v>
      </c>
      <c r="X704" s="367"/>
    </row>
    <row r="705" spans="1:24">
      <c r="A705" t="s">
        <v>3934</v>
      </c>
      <c r="B705" t="s">
        <v>3935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 t="s">
        <v>192</v>
      </c>
      <c r="Q705" t="s">
        <v>192</v>
      </c>
      <c r="R705">
        <v>1</v>
      </c>
      <c r="S705">
        <v>99</v>
      </c>
      <c r="T705">
        <v>33</v>
      </c>
      <c r="U705">
        <v>0</v>
      </c>
      <c r="V705">
        <v>0</v>
      </c>
      <c r="W705">
        <v>0</v>
      </c>
      <c r="X705" s="367"/>
    </row>
    <row r="706" spans="1:24">
      <c r="A706" t="s">
        <v>3936</v>
      </c>
      <c r="B706" t="s">
        <v>3937</v>
      </c>
      <c r="C706">
        <v>0</v>
      </c>
      <c r="D706">
        <v>0</v>
      </c>
      <c r="E706">
        <v>0</v>
      </c>
      <c r="F706">
        <v>1000000</v>
      </c>
      <c r="G706">
        <v>0</v>
      </c>
      <c r="H706">
        <v>1000000</v>
      </c>
      <c r="I706">
        <v>0</v>
      </c>
      <c r="J706">
        <v>0</v>
      </c>
      <c r="K706">
        <v>1000000</v>
      </c>
      <c r="L706">
        <v>0</v>
      </c>
      <c r="M706">
        <v>0</v>
      </c>
      <c r="N706">
        <v>0</v>
      </c>
      <c r="O706">
        <v>0</v>
      </c>
      <c r="P706" t="s">
        <v>192</v>
      </c>
      <c r="Q706" t="s">
        <v>192</v>
      </c>
      <c r="R706">
        <v>1</v>
      </c>
      <c r="S706">
        <v>4000</v>
      </c>
      <c r="T706">
        <v>1000000</v>
      </c>
      <c r="U706">
        <v>0</v>
      </c>
      <c r="V706">
        <v>0</v>
      </c>
      <c r="W706">
        <v>0</v>
      </c>
      <c r="X706" s="367"/>
    </row>
    <row r="707" spans="1:24">
      <c r="A707" t="s">
        <v>8735</v>
      </c>
      <c r="B707" t="s">
        <v>8736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 t="s">
        <v>192</v>
      </c>
      <c r="Q707" t="s">
        <v>192</v>
      </c>
      <c r="R707">
        <v>1</v>
      </c>
      <c r="S707">
        <v>100</v>
      </c>
      <c r="T707">
        <v>1</v>
      </c>
      <c r="U707">
        <v>88</v>
      </c>
      <c r="V707">
        <v>90</v>
      </c>
      <c r="W707">
        <v>1</v>
      </c>
      <c r="X707" s="367"/>
    </row>
    <row r="708" spans="1:24">
      <c r="A708" t="s">
        <v>3938</v>
      </c>
      <c r="B708" t="s">
        <v>3939</v>
      </c>
      <c r="C708">
        <v>0</v>
      </c>
      <c r="D708">
        <v>0</v>
      </c>
      <c r="E708">
        <v>0</v>
      </c>
      <c r="F708">
        <v>1000000</v>
      </c>
      <c r="G708">
        <v>0</v>
      </c>
      <c r="H708">
        <v>1000000</v>
      </c>
      <c r="I708">
        <v>0</v>
      </c>
      <c r="J708">
        <v>0</v>
      </c>
      <c r="K708">
        <v>1000000</v>
      </c>
      <c r="L708">
        <v>0</v>
      </c>
      <c r="M708">
        <v>0</v>
      </c>
      <c r="N708">
        <v>0</v>
      </c>
      <c r="O708">
        <v>0</v>
      </c>
      <c r="P708" t="s">
        <v>192</v>
      </c>
      <c r="Q708" t="s">
        <v>192</v>
      </c>
      <c r="R708">
        <v>1</v>
      </c>
      <c r="S708">
        <v>200000</v>
      </c>
      <c r="T708">
        <v>995000</v>
      </c>
      <c r="U708">
        <v>1004950</v>
      </c>
      <c r="V708">
        <v>5000</v>
      </c>
      <c r="W708">
        <v>1</v>
      </c>
      <c r="X708" s="367"/>
    </row>
    <row r="709" spans="1:24">
      <c r="A709" t="s">
        <v>3940</v>
      </c>
      <c r="B709" t="s">
        <v>3941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 t="s">
        <v>192</v>
      </c>
      <c r="Q709" t="s">
        <v>192</v>
      </c>
      <c r="R709">
        <v>1</v>
      </c>
      <c r="S709">
        <v>100</v>
      </c>
      <c r="T709">
        <v>1</v>
      </c>
      <c r="U709">
        <v>0</v>
      </c>
      <c r="V709">
        <v>0</v>
      </c>
      <c r="W709">
        <v>0</v>
      </c>
      <c r="X709" s="367"/>
    </row>
    <row r="710" spans="1:24">
      <c r="A710" t="s">
        <v>3942</v>
      </c>
      <c r="B710" t="s">
        <v>3943</v>
      </c>
      <c r="C710">
        <v>0</v>
      </c>
      <c r="D710">
        <v>0</v>
      </c>
      <c r="E710">
        <v>0</v>
      </c>
      <c r="F710">
        <v>1000000</v>
      </c>
      <c r="G710">
        <v>0</v>
      </c>
      <c r="H710">
        <v>1000000</v>
      </c>
      <c r="I710">
        <v>0</v>
      </c>
      <c r="J710">
        <v>0</v>
      </c>
      <c r="K710">
        <v>1000000</v>
      </c>
      <c r="L710">
        <v>0</v>
      </c>
      <c r="M710">
        <v>0</v>
      </c>
      <c r="N710">
        <v>0</v>
      </c>
      <c r="O710">
        <v>0</v>
      </c>
      <c r="P710" t="s">
        <v>192</v>
      </c>
      <c r="Q710" t="s">
        <v>192</v>
      </c>
      <c r="R710">
        <v>1</v>
      </c>
      <c r="S710">
        <v>10000</v>
      </c>
      <c r="T710">
        <v>980000</v>
      </c>
      <c r="U710">
        <v>0</v>
      </c>
      <c r="V710">
        <v>0</v>
      </c>
      <c r="W710">
        <v>0</v>
      </c>
      <c r="X710" s="367"/>
    </row>
    <row r="711" spans="1:24">
      <c r="A711" t="s">
        <v>3944</v>
      </c>
      <c r="B711" t="s">
        <v>3945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 t="s">
        <v>192</v>
      </c>
      <c r="Q711" t="s">
        <v>192</v>
      </c>
      <c r="R711">
        <v>1</v>
      </c>
      <c r="S711">
        <v>1</v>
      </c>
      <c r="T711">
        <v>15200</v>
      </c>
      <c r="U711">
        <v>0</v>
      </c>
      <c r="V711">
        <v>0</v>
      </c>
      <c r="W711">
        <v>0</v>
      </c>
      <c r="X711" s="367"/>
    </row>
    <row r="712" spans="1:24">
      <c r="A712" t="s">
        <v>3946</v>
      </c>
      <c r="B712" t="s">
        <v>2687</v>
      </c>
      <c r="C712">
        <v>3</v>
      </c>
      <c r="D712">
        <v>610</v>
      </c>
      <c r="E712">
        <v>9003600</v>
      </c>
      <c r="F712">
        <v>14340</v>
      </c>
      <c r="G712">
        <v>14760</v>
      </c>
      <c r="H712">
        <v>14760</v>
      </c>
      <c r="I712">
        <v>420</v>
      </c>
      <c r="J712">
        <v>2.93</v>
      </c>
      <c r="K712">
        <v>14760</v>
      </c>
      <c r="L712">
        <v>420</v>
      </c>
      <c r="M712">
        <v>2.93</v>
      </c>
      <c r="N712">
        <v>14760</v>
      </c>
      <c r="O712">
        <v>14760</v>
      </c>
      <c r="P712">
        <v>1794</v>
      </c>
      <c r="Q712">
        <v>8.23</v>
      </c>
      <c r="R712">
        <v>1</v>
      </c>
      <c r="S712">
        <v>1390</v>
      </c>
      <c r="T712">
        <v>14760</v>
      </c>
      <c r="U712">
        <v>0</v>
      </c>
      <c r="V712">
        <v>0</v>
      </c>
      <c r="W712">
        <v>0</v>
      </c>
      <c r="X712" s="367"/>
    </row>
    <row r="713" spans="1:24">
      <c r="A713" t="s">
        <v>211</v>
      </c>
      <c r="B713" t="s">
        <v>210</v>
      </c>
      <c r="C713">
        <v>761</v>
      </c>
      <c r="D713">
        <v>29231615</v>
      </c>
      <c r="E713">
        <v>208094524360</v>
      </c>
      <c r="F713">
        <v>6920</v>
      </c>
      <c r="G713">
        <v>7100</v>
      </c>
      <c r="H713">
        <v>7120</v>
      </c>
      <c r="I713">
        <v>200</v>
      </c>
      <c r="J713">
        <v>2.89</v>
      </c>
      <c r="K713">
        <v>7120</v>
      </c>
      <c r="L713">
        <v>200</v>
      </c>
      <c r="M713">
        <v>2.89</v>
      </c>
      <c r="N713">
        <v>7000</v>
      </c>
      <c r="O713">
        <v>7120</v>
      </c>
      <c r="P713">
        <v>797</v>
      </c>
      <c r="Q713">
        <v>8.93</v>
      </c>
      <c r="R713">
        <v>2</v>
      </c>
      <c r="S713">
        <v>275273</v>
      </c>
      <c r="T713">
        <v>7120</v>
      </c>
      <c r="U713">
        <v>0</v>
      </c>
      <c r="V713">
        <v>0</v>
      </c>
      <c r="W713">
        <v>0</v>
      </c>
      <c r="X713" s="367"/>
    </row>
    <row r="714" spans="1:24">
      <c r="A714" t="s">
        <v>3947</v>
      </c>
      <c r="B714" t="s">
        <v>3199</v>
      </c>
      <c r="C714">
        <v>1</v>
      </c>
      <c r="D714">
        <v>35000000</v>
      </c>
      <c r="E714">
        <v>35000000</v>
      </c>
      <c r="F714">
        <v>10696</v>
      </c>
      <c r="G714">
        <v>1</v>
      </c>
      <c r="H714">
        <v>1</v>
      </c>
      <c r="I714">
        <v>-10695</v>
      </c>
      <c r="J714">
        <v>-99.99</v>
      </c>
      <c r="K714">
        <v>1</v>
      </c>
      <c r="L714">
        <v>-10695</v>
      </c>
      <c r="M714">
        <v>-99.99</v>
      </c>
      <c r="N714">
        <v>1</v>
      </c>
      <c r="O714">
        <v>1</v>
      </c>
      <c r="P714" t="s">
        <v>192</v>
      </c>
      <c r="Q714" t="s">
        <v>192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s="367"/>
    </row>
    <row r="715" spans="1:24">
      <c r="A715" t="s">
        <v>7363</v>
      </c>
      <c r="B715" t="s">
        <v>7887</v>
      </c>
      <c r="C715">
        <v>391</v>
      </c>
      <c r="D715">
        <v>56618</v>
      </c>
      <c r="E715">
        <v>66418068000</v>
      </c>
      <c r="F715">
        <v>861</v>
      </c>
      <c r="G715">
        <v>1200</v>
      </c>
      <c r="H715">
        <v>1200</v>
      </c>
      <c r="I715">
        <v>339</v>
      </c>
      <c r="J715">
        <v>39.369999999999997</v>
      </c>
      <c r="K715">
        <v>1173</v>
      </c>
      <c r="L715">
        <v>312</v>
      </c>
      <c r="M715">
        <v>36.24</v>
      </c>
      <c r="N715">
        <v>1000</v>
      </c>
      <c r="O715">
        <v>1263</v>
      </c>
      <c r="P715" t="s">
        <v>192</v>
      </c>
      <c r="Q715" t="s">
        <v>192</v>
      </c>
      <c r="R715">
        <v>1</v>
      </c>
      <c r="S715">
        <v>30</v>
      </c>
      <c r="T715">
        <v>1177</v>
      </c>
      <c r="U715">
        <v>1219</v>
      </c>
      <c r="V715">
        <v>113</v>
      </c>
      <c r="W715">
        <v>2</v>
      </c>
      <c r="X715" s="367"/>
    </row>
    <row r="716" spans="1:24">
      <c r="A716" t="s">
        <v>3948</v>
      </c>
      <c r="B716" t="s">
        <v>3949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 t="s">
        <v>192</v>
      </c>
      <c r="Q716" t="s">
        <v>192</v>
      </c>
      <c r="R716">
        <v>1</v>
      </c>
      <c r="S716">
        <v>100</v>
      </c>
      <c r="T716">
        <v>1</v>
      </c>
      <c r="U716">
        <v>0</v>
      </c>
      <c r="V716">
        <v>0</v>
      </c>
      <c r="W716">
        <v>0</v>
      </c>
      <c r="X716" s="367"/>
    </row>
    <row r="717" spans="1:24">
      <c r="A717" t="s">
        <v>3950</v>
      </c>
      <c r="B717" t="s">
        <v>3951</v>
      </c>
      <c r="C717">
        <v>0</v>
      </c>
      <c r="D717">
        <v>0</v>
      </c>
      <c r="E717">
        <v>0</v>
      </c>
      <c r="F717">
        <v>14222</v>
      </c>
      <c r="G717">
        <v>0</v>
      </c>
      <c r="H717">
        <v>14222</v>
      </c>
      <c r="I717">
        <v>0</v>
      </c>
      <c r="J717">
        <v>0</v>
      </c>
      <c r="K717">
        <v>14222</v>
      </c>
      <c r="L717">
        <v>0</v>
      </c>
      <c r="M717">
        <v>0</v>
      </c>
      <c r="N717">
        <v>0</v>
      </c>
      <c r="O717">
        <v>0</v>
      </c>
      <c r="P717" t="s">
        <v>192</v>
      </c>
      <c r="Q717" t="s">
        <v>192</v>
      </c>
      <c r="R717">
        <v>1</v>
      </c>
      <c r="S717">
        <v>9</v>
      </c>
      <c r="T717">
        <v>15000</v>
      </c>
      <c r="U717">
        <v>0</v>
      </c>
      <c r="V717">
        <v>0</v>
      </c>
      <c r="W717">
        <v>0</v>
      </c>
      <c r="X717" s="367"/>
    </row>
    <row r="718" spans="1:24">
      <c r="A718" t="s">
        <v>3952</v>
      </c>
      <c r="B718" t="s">
        <v>3953</v>
      </c>
      <c r="C718">
        <v>1</v>
      </c>
      <c r="D718">
        <v>5</v>
      </c>
      <c r="E718">
        <v>750000</v>
      </c>
      <c r="F718">
        <v>49</v>
      </c>
      <c r="G718">
        <v>150</v>
      </c>
      <c r="H718">
        <v>150</v>
      </c>
      <c r="I718">
        <v>101</v>
      </c>
      <c r="J718">
        <v>206.12</v>
      </c>
      <c r="K718">
        <v>150</v>
      </c>
      <c r="L718">
        <v>101</v>
      </c>
      <c r="M718">
        <v>206.12</v>
      </c>
      <c r="N718">
        <v>150</v>
      </c>
      <c r="O718">
        <v>150</v>
      </c>
      <c r="P718" t="s">
        <v>192</v>
      </c>
      <c r="Q718" t="s">
        <v>192</v>
      </c>
      <c r="R718">
        <v>1</v>
      </c>
      <c r="S718">
        <v>1000</v>
      </c>
      <c r="T718">
        <v>53</v>
      </c>
      <c r="U718">
        <v>149</v>
      </c>
      <c r="V718">
        <v>10</v>
      </c>
      <c r="W718">
        <v>1</v>
      </c>
      <c r="X718" s="367"/>
    </row>
    <row r="719" spans="1:24">
      <c r="A719" t="s">
        <v>1757</v>
      </c>
      <c r="B719" t="s">
        <v>1756</v>
      </c>
      <c r="C719">
        <v>219</v>
      </c>
      <c r="D719">
        <v>1848124</v>
      </c>
      <c r="E719">
        <v>20578537540</v>
      </c>
      <c r="F719">
        <v>10920</v>
      </c>
      <c r="G719">
        <v>10960</v>
      </c>
      <c r="H719">
        <v>11070</v>
      </c>
      <c r="I719">
        <v>150</v>
      </c>
      <c r="J719">
        <v>1.37</v>
      </c>
      <c r="K719">
        <v>11130</v>
      </c>
      <c r="L719">
        <v>210</v>
      </c>
      <c r="M719">
        <v>1.92</v>
      </c>
      <c r="N719">
        <v>10960</v>
      </c>
      <c r="O719">
        <v>11230</v>
      </c>
      <c r="P719">
        <v>106</v>
      </c>
      <c r="Q719">
        <v>105</v>
      </c>
      <c r="R719">
        <v>2</v>
      </c>
      <c r="S719">
        <v>15528</v>
      </c>
      <c r="T719">
        <v>11050</v>
      </c>
      <c r="U719">
        <v>11080</v>
      </c>
      <c r="V719">
        <v>5509</v>
      </c>
      <c r="W719">
        <v>1</v>
      </c>
      <c r="X719" s="367"/>
    </row>
    <row r="720" spans="1:24">
      <c r="A720" t="s">
        <v>8786</v>
      </c>
      <c r="B720" t="s">
        <v>3055</v>
      </c>
      <c r="C720">
        <v>8</v>
      </c>
      <c r="D720">
        <v>148832</v>
      </c>
      <c r="E720">
        <v>1278466880</v>
      </c>
      <c r="F720">
        <v>8460</v>
      </c>
      <c r="G720">
        <v>8590</v>
      </c>
      <c r="H720">
        <v>8590</v>
      </c>
      <c r="I720">
        <v>130</v>
      </c>
      <c r="J720">
        <v>1.54</v>
      </c>
      <c r="K720">
        <v>8590</v>
      </c>
      <c r="L720">
        <v>130</v>
      </c>
      <c r="M720">
        <v>1.54</v>
      </c>
      <c r="N720">
        <v>8590</v>
      </c>
      <c r="O720">
        <v>8590</v>
      </c>
      <c r="P720">
        <v>-31</v>
      </c>
      <c r="Q720">
        <v>-277.10000000000002</v>
      </c>
      <c r="R720">
        <v>1</v>
      </c>
      <c r="S720">
        <v>700</v>
      </c>
      <c r="T720">
        <v>8590</v>
      </c>
      <c r="U720">
        <v>0</v>
      </c>
      <c r="V720">
        <v>0</v>
      </c>
      <c r="W720">
        <v>0</v>
      </c>
      <c r="X720" s="367"/>
    </row>
    <row r="721" spans="1:24">
      <c r="A721" t="s">
        <v>3956</v>
      </c>
      <c r="B721" t="s">
        <v>3957</v>
      </c>
      <c r="C721">
        <v>0</v>
      </c>
      <c r="D721">
        <v>0</v>
      </c>
      <c r="E721">
        <v>0</v>
      </c>
      <c r="F721">
        <v>5756</v>
      </c>
      <c r="G721">
        <v>0</v>
      </c>
      <c r="H721">
        <v>5756</v>
      </c>
      <c r="I721">
        <v>0</v>
      </c>
      <c r="J721">
        <v>0</v>
      </c>
      <c r="K721">
        <v>5756</v>
      </c>
      <c r="L721">
        <v>0</v>
      </c>
      <c r="M721">
        <v>0</v>
      </c>
      <c r="N721">
        <v>0</v>
      </c>
      <c r="O721">
        <v>0</v>
      </c>
      <c r="P721" t="s">
        <v>192</v>
      </c>
      <c r="Q721" t="s">
        <v>192</v>
      </c>
      <c r="R721">
        <v>1</v>
      </c>
      <c r="S721">
        <v>99</v>
      </c>
      <c r="T721">
        <v>33</v>
      </c>
      <c r="U721">
        <v>8000</v>
      </c>
      <c r="V721">
        <v>50</v>
      </c>
      <c r="W721">
        <v>1</v>
      </c>
      <c r="X721" s="367"/>
    </row>
    <row r="722" spans="1:24">
      <c r="A722" t="s">
        <v>219</v>
      </c>
      <c r="B722" t="s">
        <v>218</v>
      </c>
      <c r="C722">
        <v>30</v>
      </c>
      <c r="D722">
        <v>588042</v>
      </c>
      <c r="E722">
        <v>3504730320</v>
      </c>
      <c r="F722">
        <v>5790</v>
      </c>
      <c r="G722">
        <v>5960</v>
      </c>
      <c r="H722">
        <v>5960</v>
      </c>
      <c r="I722">
        <v>170</v>
      </c>
      <c r="J722">
        <v>2.94</v>
      </c>
      <c r="K722">
        <v>5960</v>
      </c>
      <c r="L722">
        <v>170</v>
      </c>
      <c r="M722">
        <v>2.94</v>
      </c>
      <c r="N722">
        <v>5960</v>
      </c>
      <c r="O722">
        <v>5960</v>
      </c>
      <c r="P722">
        <v>-54</v>
      </c>
      <c r="Q722">
        <v>-110.37</v>
      </c>
      <c r="R722">
        <v>35</v>
      </c>
      <c r="S722">
        <v>2162705</v>
      </c>
      <c r="T722">
        <v>5960</v>
      </c>
      <c r="U722">
        <v>0</v>
      </c>
      <c r="V722">
        <v>0</v>
      </c>
      <c r="W722">
        <v>0</v>
      </c>
      <c r="X722" s="367"/>
    </row>
    <row r="723" spans="1:24">
      <c r="A723" t="s">
        <v>8438</v>
      </c>
      <c r="B723" t="s">
        <v>8439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 t="s">
        <v>192</v>
      </c>
      <c r="Q723" t="s">
        <v>192</v>
      </c>
      <c r="R723">
        <v>1</v>
      </c>
      <c r="S723">
        <v>100</v>
      </c>
      <c r="T723">
        <v>1</v>
      </c>
      <c r="U723">
        <v>0</v>
      </c>
      <c r="V723">
        <v>0</v>
      </c>
      <c r="W723">
        <v>0</v>
      </c>
      <c r="X723" s="367"/>
    </row>
    <row r="724" spans="1:24">
      <c r="A724" t="s">
        <v>8787</v>
      </c>
      <c r="B724" t="s">
        <v>144</v>
      </c>
      <c r="C724">
        <v>1</v>
      </c>
      <c r="D724">
        <v>9356</v>
      </c>
      <c r="E724">
        <v>605146080</v>
      </c>
      <c r="F724">
        <v>62800</v>
      </c>
      <c r="G724">
        <v>64680</v>
      </c>
      <c r="H724">
        <v>64680</v>
      </c>
      <c r="I724">
        <v>1880</v>
      </c>
      <c r="J724">
        <v>2.99</v>
      </c>
      <c r="K724">
        <v>64680</v>
      </c>
      <c r="L724">
        <v>1880</v>
      </c>
      <c r="M724">
        <v>2.99</v>
      </c>
      <c r="N724">
        <v>64680</v>
      </c>
      <c r="O724">
        <v>64680</v>
      </c>
      <c r="P724">
        <v>9681</v>
      </c>
      <c r="Q724">
        <v>6.68</v>
      </c>
      <c r="R724">
        <v>66</v>
      </c>
      <c r="S724">
        <v>1767177</v>
      </c>
      <c r="T724">
        <v>64680</v>
      </c>
      <c r="U724">
        <v>0</v>
      </c>
      <c r="V724">
        <v>0</v>
      </c>
      <c r="W724">
        <v>0</v>
      </c>
      <c r="X724" s="367"/>
    </row>
    <row r="725" spans="1:24">
      <c r="A725" t="s">
        <v>2395</v>
      </c>
      <c r="B725" t="s">
        <v>2394</v>
      </c>
      <c r="C725">
        <v>447</v>
      </c>
      <c r="D725">
        <v>721065</v>
      </c>
      <c r="E725">
        <v>72792768000</v>
      </c>
      <c r="F725">
        <v>101200</v>
      </c>
      <c r="G725">
        <v>103700</v>
      </c>
      <c r="H725">
        <v>101200</v>
      </c>
      <c r="I725">
        <v>0</v>
      </c>
      <c r="J725">
        <v>0</v>
      </c>
      <c r="K725">
        <v>101000</v>
      </c>
      <c r="L725">
        <v>-200</v>
      </c>
      <c r="M725">
        <v>-0.2</v>
      </c>
      <c r="N725">
        <v>99900</v>
      </c>
      <c r="O725">
        <v>103700</v>
      </c>
      <c r="P725">
        <v>27918</v>
      </c>
      <c r="Q725">
        <v>3.62</v>
      </c>
      <c r="R725">
        <v>1</v>
      </c>
      <c r="S725">
        <v>780</v>
      </c>
      <c r="T725">
        <v>100700</v>
      </c>
      <c r="U725">
        <v>102200</v>
      </c>
      <c r="V725">
        <v>2490</v>
      </c>
      <c r="W725">
        <v>1</v>
      </c>
      <c r="X725" s="367"/>
    </row>
    <row r="726" spans="1:24">
      <c r="A726" t="s">
        <v>6533</v>
      </c>
      <c r="B726" t="s">
        <v>8142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 t="s">
        <v>192</v>
      </c>
      <c r="Q726" t="s">
        <v>192</v>
      </c>
      <c r="R726">
        <v>1</v>
      </c>
      <c r="S726">
        <v>100</v>
      </c>
      <c r="T726">
        <v>1</v>
      </c>
      <c r="U726">
        <v>0</v>
      </c>
      <c r="V726">
        <v>0</v>
      </c>
      <c r="W726">
        <v>0</v>
      </c>
      <c r="X726" s="367"/>
    </row>
    <row r="727" spans="1:24">
      <c r="A727" t="s">
        <v>3959</v>
      </c>
      <c r="B727" t="s">
        <v>3960</v>
      </c>
      <c r="C727">
        <v>47</v>
      </c>
      <c r="D727">
        <v>22769</v>
      </c>
      <c r="E727">
        <v>22769000</v>
      </c>
      <c r="F727">
        <v>1</v>
      </c>
      <c r="G727">
        <v>1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1</v>
      </c>
      <c r="P727" t="s">
        <v>192</v>
      </c>
      <c r="Q727" t="s">
        <v>192</v>
      </c>
      <c r="R727">
        <v>4</v>
      </c>
      <c r="S727">
        <v>3142</v>
      </c>
      <c r="T727">
        <v>1</v>
      </c>
      <c r="U727">
        <v>2</v>
      </c>
      <c r="V727">
        <v>2100</v>
      </c>
      <c r="W727">
        <v>3</v>
      </c>
      <c r="X727" s="367"/>
    </row>
    <row r="728" spans="1:24">
      <c r="A728" t="s">
        <v>3961</v>
      </c>
      <c r="B728" t="s">
        <v>3962</v>
      </c>
      <c r="C728">
        <v>0</v>
      </c>
      <c r="D728">
        <v>0</v>
      </c>
      <c r="E728">
        <v>0</v>
      </c>
      <c r="F728">
        <v>678</v>
      </c>
      <c r="G728">
        <v>0</v>
      </c>
      <c r="H728">
        <v>680</v>
      </c>
      <c r="I728">
        <v>2</v>
      </c>
      <c r="J728">
        <v>0.28999999999999998</v>
      </c>
      <c r="K728">
        <v>678</v>
      </c>
      <c r="L728">
        <v>0</v>
      </c>
      <c r="M728">
        <v>0</v>
      </c>
      <c r="N728">
        <v>0</v>
      </c>
      <c r="O728">
        <v>0</v>
      </c>
      <c r="P728" t="s">
        <v>192</v>
      </c>
      <c r="Q728" t="s">
        <v>192</v>
      </c>
      <c r="R728">
        <v>1</v>
      </c>
      <c r="S728">
        <v>100</v>
      </c>
      <c r="T728">
        <v>900</v>
      </c>
      <c r="U728">
        <v>0</v>
      </c>
      <c r="V728">
        <v>0</v>
      </c>
      <c r="W728">
        <v>0</v>
      </c>
      <c r="X728" s="367"/>
    </row>
    <row r="729" spans="1:24">
      <c r="A729" t="s">
        <v>2699</v>
      </c>
      <c r="B729" t="s">
        <v>2698</v>
      </c>
      <c r="C729">
        <v>433</v>
      </c>
      <c r="D729">
        <v>138917844</v>
      </c>
      <c r="E729">
        <v>210599451504</v>
      </c>
      <c r="F729">
        <v>1472</v>
      </c>
      <c r="G729">
        <v>1516</v>
      </c>
      <c r="H729">
        <v>1516</v>
      </c>
      <c r="I729">
        <v>44</v>
      </c>
      <c r="J729">
        <v>2.99</v>
      </c>
      <c r="K729">
        <v>1516</v>
      </c>
      <c r="L729">
        <v>44</v>
      </c>
      <c r="M729">
        <v>2.99</v>
      </c>
      <c r="N729">
        <v>1516</v>
      </c>
      <c r="O729">
        <v>1516</v>
      </c>
      <c r="P729">
        <v>221</v>
      </c>
      <c r="Q729">
        <v>6.86</v>
      </c>
      <c r="R729">
        <v>108</v>
      </c>
      <c r="S729">
        <v>37830758</v>
      </c>
      <c r="T729">
        <v>1516</v>
      </c>
      <c r="U729">
        <v>1685</v>
      </c>
      <c r="V729">
        <v>179623</v>
      </c>
      <c r="W729">
        <v>1</v>
      </c>
      <c r="X729" s="367"/>
    </row>
    <row r="730" spans="1:24">
      <c r="A730" t="s">
        <v>3963</v>
      </c>
      <c r="B730" t="s">
        <v>8690</v>
      </c>
      <c r="C730">
        <v>0</v>
      </c>
      <c r="D730">
        <v>0</v>
      </c>
      <c r="E730">
        <v>0</v>
      </c>
      <c r="F730">
        <v>2</v>
      </c>
      <c r="G730">
        <v>0</v>
      </c>
      <c r="H730">
        <v>1</v>
      </c>
      <c r="I730">
        <v>-1</v>
      </c>
      <c r="J730">
        <v>-50</v>
      </c>
      <c r="K730">
        <v>2</v>
      </c>
      <c r="L730">
        <v>0</v>
      </c>
      <c r="M730">
        <v>0</v>
      </c>
      <c r="N730">
        <v>0</v>
      </c>
      <c r="O730">
        <v>0</v>
      </c>
      <c r="P730" t="s">
        <v>192</v>
      </c>
      <c r="Q730" t="s">
        <v>192</v>
      </c>
      <c r="R730">
        <v>0</v>
      </c>
      <c r="S730">
        <v>0</v>
      </c>
      <c r="T730">
        <v>0</v>
      </c>
      <c r="U730">
        <v>2</v>
      </c>
      <c r="V730">
        <v>1339</v>
      </c>
      <c r="W730">
        <v>2</v>
      </c>
      <c r="X730" s="367"/>
    </row>
    <row r="731" spans="1:24">
      <c r="A731" t="s">
        <v>3965</v>
      </c>
      <c r="B731" t="s">
        <v>3186</v>
      </c>
      <c r="C731">
        <v>162</v>
      </c>
      <c r="D731">
        <v>43347325</v>
      </c>
      <c r="E731">
        <v>747467894680</v>
      </c>
      <c r="F731">
        <v>17208</v>
      </c>
      <c r="G731">
        <v>17243</v>
      </c>
      <c r="H731">
        <v>17243</v>
      </c>
      <c r="I731">
        <v>35</v>
      </c>
      <c r="J731">
        <v>0.2</v>
      </c>
      <c r="K731">
        <v>17244</v>
      </c>
      <c r="L731">
        <v>36</v>
      </c>
      <c r="M731">
        <v>0.21</v>
      </c>
      <c r="N731">
        <v>17243</v>
      </c>
      <c r="O731">
        <v>17244</v>
      </c>
      <c r="P731" t="s">
        <v>192</v>
      </c>
      <c r="Q731" t="s">
        <v>192</v>
      </c>
      <c r="R731">
        <v>21</v>
      </c>
      <c r="S731">
        <v>220968129</v>
      </c>
      <c r="T731">
        <v>17243</v>
      </c>
      <c r="U731">
        <v>17244</v>
      </c>
      <c r="V731">
        <v>307789</v>
      </c>
      <c r="W731">
        <v>1</v>
      </c>
      <c r="X731" s="367"/>
    </row>
    <row r="732" spans="1:24">
      <c r="A732" t="s">
        <v>2978</v>
      </c>
      <c r="B732" t="s">
        <v>2977</v>
      </c>
      <c r="C732">
        <v>629</v>
      </c>
      <c r="D732">
        <v>62023978</v>
      </c>
      <c r="E732">
        <v>170334126326</v>
      </c>
      <c r="F732">
        <v>2818</v>
      </c>
      <c r="G732">
        <v>2888</v>
      </c>
      <c r="H732">
        <v>2734</v>
      </c>
      <c r="I732">
        <v>-84</v>
      </c>
      <c r="J732">
        <v>-2.98</v>
      </c>
      <c r="K732">
        <v>2746</v>
      </c>
      <c r="L732">
        <v>-72</v>
      </c>
      <c r="M732">
        <v>-2.56</v>
      </c>
      <c r="N732">
        <v>2734</v>
      </c>
      <c r="O732">
        <v>2901</v>
      </c>
      <c r="P732">
        <v>530</v>
      </c>
      <c r="Q732">
        <v>5.18</v>
      </c>
      <c r="R732">
        <v>0</v>
      </c>
      <c r="S732">
        <v>0</v>
      </c>
      <c r="T732">
        <v>0</v>
      </c>
      <c r="U732">
        <v>2734</v>
      </c>
      <c r="V732">
        <v>1528338</v>
      </c>
      <c r="W732">
        <v>3</v>
      </c>
      <c r="X732" s="367"/>
    </row>
    <row r="733" spans="1:24">
      <c r="A733" t="s">
        <v>3966</v>
      </c>
      <c r="B733" t="s">
        <v>3967</v>
      </c>
      <c r="C733">
        <v>1</v>
      </c>
      <c r="D733">
        <v>11</v>
      </c>
      <c r="E733">
        <v>5205200</v>
      </c>
      <c r="F733">
        <v>476220</v>
      </c>
      <c r="G733">
        <v>473200</v>
      </c>
      <c r="H733">
        <v>473200</v>
      </c>
      <c r="I733">
        <v>-3020</v>
      </c>
      <c r="J733">
        <v>-0.63</v>
      </c>
      <c r="K733">
        <v>473200</v>
      </c>
      <c r="L733">
        <v>-3020</v>
      </c>
      <c r="M733">
        <v>-0.63</v>
      </c>
      <c r="N733">
        <v>473200</v>
      </c>
      <c r="O733">
        <v>473200</v>
      </c>
      <c r="P733" t="s">
        <v>192</v>
      </c>
      <c r="Q733" t="s">
        <v>192</v>
      </c>
      <c r="R733">
        <v>2</v>
      </c>
      <c r="S733">
        <v>677</v>
      </c>
      <c r="T733">
        <v>475010</v>
      </c>
      <c r="U733">
        <v>478800</v>
      </c>
      <c r="V733">
        <v>200</v>
      </c>
      <c r="W733">
        <v>1</v>
      </c>
      <c r="X733" s="367"/>
    </row>
    <row r="734" spans="1:24">
      <c r="A734" t="s">
        <v>3968</v>
      </c>
      <c r="B734" t="s">
        <v>3969</v>
      </c>
      <c r="C734">
        <v>109</v>
      </c>
      <c r="D734">
        <v>6767402</v>
      </c>
      <c r="E734">
        <v>277869844434</v>
      </c>
      <c r="F734">
        <v>40987</v>
      </c>
      <c r="G734">
        <v>41060</v>
      </c>
      <c r="H734">
        <v>41060</v>
      </c>
      <c r="I734">
        <v>73</v>
      </c>
      <c r="J734">
        <v>0.18</v>
      </c>
      <c r="K734">
        <v>41060</v>
      </c>
      <c r="L734">
        <v>73</v>
      </c>
      <c r="M734">
        <v>0.18</v>
      </c>
      <c r="N734">
        <v>41060</v>
      </c>
      <c r="O734">
        <v>41061</v>
      </c>
      <c r="P734" t="s">
        <v>192</v>
      </c>
      <c r="Q734" t="s">
        <v>192</v>
      </c>
      <c r="R734">
        <v>2</v>
      </c>
      <c r="S734">
        <v>60243456</v>
      </c>
      <c r="T734">
        <v>41060</v>
      </c>
      <c r="U734">
        <v>41061</v>
      </c>
      <c r="V734">
        <v>9686825</v>
      </c>
      <c r="W734">
        <v>2</v>
      </c>
      <c r="X734" s="367"/>
    </row>
    <row r="735" spans="1:24">
      <c r="A735" t="s">
        <v>3799</v>
      </c>
      <c r="B735" t="s">
        <v>3800</v>
      </c>
      <c r="C735">
        <v>22</v>
      </c>
      <c r="D735">
        <v>63</v>
      </c>
      <c r="E735">
        <v>5116997000</v>
      </c>
      <c r="F735">
        <v>78241</v>
      </c>
      <c r="G735">
        <v>84822</v>
      </c>
      <c r="H735">
        <v>81502</v>
      </c>
      <c r="I735">
        <v>3261</v>
      </c>
      <c r="J735">
        <v>4.17</v>
      </c>
      <c r="K735">
        <v>81222</v>
      </c>
      <c r="L735">
        <v>2981</v>
      </c>
      <c r="M735">
        <v>3.81</v>
      </c>
      <c r="N735">
        <v>71200</v>
      </c>
      <c r="O735">
        <v>84822</v>
      </c>
      <c r="P735" t="s">
        <v>192</v>
      </c>
      <c r="Q735" t="s">
        <v>192</v>
      </c>
      <c r="R735">
        <v>1</v>
      </c>
      <c r="S735">
        <v>1</v>
      </c>
      <c r="T735">
        <v>75000</v>
      </c>
      <c r="U735">
        <v>95555</v>
      </c>
      <c r="V735">
        <v>1</v>
      </c>
      <c r="W735">
        <v>1</v>
      </c>
      <c r="X735" s="367"/>
    </row>
    <row r="736" spans="1:24">
      <c r="A736" t="s">
        <v>3801</v>
      </c>
      <c r="B736" t="s">
        <v>3802</v>
      </c>
      <c r="C736">
        <v>23</v>
      </c>
      <c r="D736">
        <v>95</v>
      </c>
      <c r="E736">
        <v>5909619000</v>
      </c>
      <c r="F736">
        <v>59845</v>
      </c>
      <c r="G736">
        <v>62000</v>
      </c>
      <c r="H736">
        <v>60002</v>
      </c>
      <c r="I736">
        <v>157</v>
      </c>
      <c r="J736">
        <v>0.26</v>
      </c>
      <c r="K736">
        <v>62207</v>
      </c>
      <c r="L736">
        <v>2362</v>
      </c>
      <c r="M736">
        <v>3.95</v>
      </c>
      <c r="N736">
        <v>60000</v>
      </c>
      <c r="O736">
        <v>63100</v>
      </c>
      <c r="P736" t="s">
        <v>192</v>
      </c>
      <c r="Q736" t="s">
        <v>192</v>
      </c>
      <c r="R736">
        <v>1</v>
      </c>
      <c r="S736">
        <v>1</v>
      </c>
      <c r="T736">
        <v>57502</v>
      </c>
      <c r="U736">
        <v>63570</v>
      </c>
      <c r="V736">
        <v>1</v>
      </c>
      <c r="W736">
        <v>1</v>
      </c>
      <c r="X736" s="367"/>
    </row>
    <row r="737" spans="1:24">
      <c r="A737" t="s">
        <v>3803</v>
      </c>
      <c r="B737" t="s">
        <v>3804</v>
      </c>
      <c r="C737">
        <v>7</v>
      </c>
      <c r="D737">
        <v>12</v>
      </c>
      <c r="E737">
        <v>587679000</v>
      </c>
      <c r="F737">
        <v>51325</v>
      </c>
      <c r="G737">
        <v>55319</v>
      </c>
      <c r="H737">
        <v>48010</v>
      </c>
      <c r="I737">
        <v>-3315</v>
      </c>
      <c r="J737">
        <v>-6.46</v>
      </c>
      <c r="K737">
        <v>48973</v>
      </c>
      <c r="L737">
        <v>-2352</v>
      </c>
      <c r="M737">
        <v>-4.58</v>
      </c>
      <c r="N737">
        <v>48003</v>
      </c>
      <c r="O737">
        <v>55319</v>
      </c>
      <c r="P737" t="s">
        <v>192</v>
      </c>
      <c r="Q737" t="s">
        <v>192</v>
      </c>
      <c r="R737">
        <v>1</v>
      </c>
      <c r="S737">
        <v>1</v>
      </c>
      <c r="T737">
        <v>48006</v>
      </c>
      <c r="U737">
        <v>54433</v>
      </c>
      <c r="V737">
        <v>1</v>
      </c>
      <c r="W737">
        <v>1</v>
      </c>
      <c r="X737" s="367"/>
    </row>
    <row r="738" spans="1:24">
      <c r="A738" t="s">
        <v>3805</v>
      </c>
      <c r="B738" t="s">
        <v>3806</v>
      </c>
      <c r="C738">
        <v>128</v>
      </c>
      <c r="D738">
        <v>869</v>
      </c>
      <c r="E738">
        <v>19925354000</v>
      </c>
      <c r="F738">
        <v>20191</v>
      </c>
      <c r="G738">
        <v>22400</v>
      </c>
      <c r="H738">
        <v>20000</v>
      </c>
      <c r="I738">
        <v>-191</v>
      </c>
      <c r="J738">
        <v>-0.95</v>
      </c>
      <c r="K738">
        <v>22929</v>
      </c>
      <c r="L738">
        <v>2738</v>
      </c>
      <c r="M738">
        <v>13.56</v>
      </c>
      <c r="N738">
        <v>20000</v>
      </c>
      <c r="O738">
        <v>24499</v>
      </c>
      <c r="P738" t="s">
        <v>192</v>
      </c>
      <c r="Q738" t="s">
        <v>192</v>
      </c>
      <c r="R738">
        <v>1</v>
      </c>
      <c r="S738">
        <v>20</v>
      </c>
      <c r="T738">
        <v>17410</v>
      </c>
      <c r="U738">
        <v>23100</v>
      </c>
      <c r="V738">
        <v>4</v>
      </c>
      <c r="W738">
        <v>1</v>
      </c>
      <c r="X738" s="367"/>
    </row>
    <row r="739" spans="1:24">
      <c r="A739" t="s">
        <v>3807</v>
      </c>
      <c r="B739" t="s">
        <v>3808</v>
      </c>
      <c r="C739">
        <v>413</v>
      </c>
      <c r="D739">
        <v>4239</v>
      </c>
      <c r="E739">
        <v>58664733000</v>
      </c>
      <c r="F739">
        <v>11647</v>
      </c>
      <c r="G739">
        <v>13000</v>
      </c>
      <c r="H739">
        <v>13799</v>
      </c>
      <c r="I739">
        <v>2152</v>
      </c>
      <c r="J739">
        <v>18.48</v>
      </c>
      <c r="K739">
        <v>13839</v>
      </c>
      <c r="L739">
        <v>2192</v>
      </c>
      <c r="M739">
        <v>18.82</v>
      </c>
      <c r="N739">
        <v>13000</v>
      </c>
      <c r="O739">
        <v>15500</v>
      </c>
      <c r="P739" t="s">
        <v>192</v>
      </c>
      <c r="Q739" t="s">
        <v>192</v>
      </c>
      <c r="R739">
        <v>1</v>
      </c>
      <c r="S739">
        <v>30</v>
      </c>
      <c r="T739">
        <v>13200</v>
      </c>
      <c r="U739">
        <v>13800</v>
      </c>
      <c r="V739">
        <v>67</v>
      </c>
      <c r="W739">
        <v>1</v>
      </c>
      <c r="X739" s="367"/>
    </row>
    <row r="740" spans="1:24">
      <c r="A740" t="s">
        <v>3809</v>
      </c>
      <c r="B740" t="s">
        <v>3810</v>
      </c>
      <c r="C740">
        <v>582</v>
      </c>
      <c r="D740">
        <v>5860</v>
      </c>
      <c r="E740">
        <v>45325858000</v>
      </c>
      <c r="F740">
        <v>6405</v>
      </c>
      <c r="G740">
        <v>6400</v>
      </c>
      <c r="H740">
        <v>7595</v>
      </c>
      <c r="I740">
        <v>1190</v>
      </c>
      <c r="J740">
        <v>18.579999999999998</v>
      </c>
      <c r="K740">
        <v>7735</v>
      </c>
      <c r="L740">
        <v>1330</v>
      </c>
      <c r="M740">
        <v>20.77</v>
      </c>
      <c r="N740">
        <v>6400</v>
      </c>
      <c r="O740">
        <v>9000</v>
      </c>
      <c r="P740" t="s">
        <v>192</v>
      </c>
      <c r="Q740" t="s">
        <v>192</v>
      </c>
      <c r="R740">
        <v>1</v>
      </c>
      <c r="S740">
        <v>30</v>
      </c>
      <c r="T740">
        <v>7457</v>
      </c>
      <c r="U740">
        <v>7595</v>
      </c>
      <c r="V740">
        <v>22</v>
      </c>
      <c r="W740">
        <v>1</v>
      </c>
      <c r="X740" s="367"/>
    </row>
    <row r="741" spans="1:24">
      <c r="A741" t="s">
        <v>3811</v>
      </c>
      <c r="B741" t="s">
        <v>3812</v>
      </c>
      <c r="C741">
        <v>465</v>
      </c>
      <c r="D741">
        <v>8934</v>
      </c>
      <c r="E741">
        <v>41558106000</v>
      </c>
      <c r="F741">
        <v>3855</v>
      </c>
      <c r="G741">
        <v>3000</v>
      </c>
      <c r="H741">
        <v>4294</v>
      </c>
      <c r="I741">
        <v>439</v>
      </c>
      <c r="J741">
        <v>11.39</v>
      </c>
      <c r="K741">
        <v>4652</v>
      </c>
      <c r="L741">
        <v>797</v>
      </c>
      <c r="M741">
        <v>20.67</v>
      </c>
      <c r="N741">
        <v>3000</v>
      </c>
      <c r="O741">
        <v>5299</v>
      </c>
      <c r="P741" t="s">
        <v>192</v>
      </c>
      <c r="Q741" t="s">
        <v>192</v>
      </c>
      <c r="R741">
        <v>1</v>
      </c>
      <c r="S741">
        <v>1</v>
      </c>
      <c r="T741">
        <v>4000</v>
      </c>
      <c r="U741">
        <v>4294</v>
      </c>
      <c r="V741">
        <v>82</v>
      </c>
      <c r="W741">
        <v>1</v>
      </c>
      <c r="X741" s="367"/>
    </row>
    <row r="742" spans="1:24">
      <c r="A742" t="s">
        <v>3813</v>
      </c>
      <c r="B742" t="s">
        <v>3814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 t="s">
        <v>192</v>
      </c>
      <c r="Q742" t="s">
        <v>192</v>
      </c>
      <c r="R742">
        <v>1</v>
      </c>
      <c r="S742">
        <v>1</v>
      </c>
      <c r="T742">
        <v>49100</v>
      </c>
      <c r="U742">
        <v>0</v>
      </c>
      <c r="V742">
        <v>0</v>
      </c>
      <c r="W742">
        <v>0</v>
      </c>
      <c r="X742" s="367"/>
    </row>
    <row r="743" spans="1:24">
      <c r="A743" t="s">
        <v>3815</v>
      </c>
      <c r="B743" t="s">
        <v>3816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 t="s">
        <v>192</v>
      </c>
      <c r="Q743" t="s">
        <v>192</v>
      </c>
      <c r="R743">
        <v>1</v>
      </c>
      <c r="S743">
        <v>1</v>
      </c>
      <c r="T743">
        <v>44400</v>
      </c>
      <c r="U743">
        <v>0</v>
      </c>
      <c r="V743">
        <v>0</v>
      </c>
      <c r="W743">
        <v>0</v>
      </c>
      <c r="X743" s="367"/>
    </row>
    <row r="744" spans="1:24">
      <c r="A744" t="s">
        <v>3817</v>
      </c>
      <c r="B744" t="s">
        <v>3818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1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 t="s">
        <v>192</v>
      </c>
      <c r="Q744" t="s">
        <v>192</v>
      </c>
      <c r="R744">
        <v>1</v>
      </c>
      <c r="S744">
        <v>1</v>
      </c>
      <c r="T744">
        <v>30000</v>
      </c>
      <c r="U744">
        <v>0</v>
      </c>
      <c r="V744">
        <v>0</v>
      </c>
      <c r="W744">
        <v>0</v>
      </c>
      <c r="X744" s="367"/>
    </row>
    <row r="745" spans="1:24">
      <c r="A745" t="s">
        <v>3819</v>
      </c>
      <c r="B745" t="s">
        <v>3820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 t="s">
        <v>192</v>
      </c>
      <c r="Q745" t="s">
        <v>192</v>
      </c>
      <c r="R745">
        <v>1</v>
      </c>
      <c r="S745">
        <v>1</v>
      </c>
      <c r="T745">
        <v>20400</v>
      </c>
      <c r="U745">
        <v>0</v>
      </c>
      <c r="V745">
        <v>0</v>
      </c>
      <c r="W745">
        <v>0</v>
      </c>
      <c r="X745" s="367"/>
    </row>
    <row r="746" spans="1:24">
      <c r="A746" t="s">
        <v>3821</v>
      </c>
      <c r="B746" t="s">
        <v>3822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 t="s">
        <v>192</v>
      </c>
      <c r="Q746" t="s">
        <v>192</v>
      </c>
      <c r="R746">
        <v>1</v>
      </c>
      <c r="S746">
        <v>1</v>
      </c>
      <c r="T746">
        <v>5000</v>
      </c>
      <c r="U746">
        <v>0</v>
      </c>
      <c r="V746">
        <v>0</v>
      </c>
      <c r="W746">
        <v>0</v>
      </c>
      <c r="X746" s="367"/>
    </row>
    <row r="747" spans="1:24">
      <c r="A747" t="s">
        <v>3823</v>
      </c>
      <c r="B747" t="s">
        <v>3824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 t="s">
        <v>192</v>
      </c>
      <c r="Q747" t="s">
        <v>192</v>
      </c>
      <c r="R747">
        <v>1</v>
      </c>
      <c r="S747">
        <v>33</v>
      </c>
      <c r="T747">
        <v>77</v>
      </c>
      <c r="U747">
        <v>0</v>
      </c>
      <c r="V747">
        <v>0</v>
      </c>
      <c r="W747">
        <v>0</v>
      </c>
      <c r="X747" s="367"/>
    </row>
    <row r="748" spans="1:24">
      <c r="A748" t="s">
        <v>3825</v>
      </c>
      <c r="B748" t="s">
        <v>3826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 t="s">
        <v>192</v>
      </c>
      <c r="Q748" t="s">
        <v>192</v>
      </c>
      <c r="R748">
        <v>1</v>
      </c>
      <c r="S748">
        <v>100</v>
      </c>
      <c r="T748">
        <v>1</v>
      </c>
      <c r="U748">
        <v>0</v>
      </c>
      <c r="V748">
        <v>0</v>
      </c>
      <c r="W748">
        <v>0</v>
      </c>
      <c r="X748" s="367"/>
    </row>
    <row r="749" spans="1:24">
      <c r="A749" t="s">
        <v>3829</v>
      </c>
      <c r="B749" t="s">
        <v>3830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 t="s">
        <v>192</v>
      </c>
      <c r="Q749" t="s">
        <v>192</v>
      </c>
      <c r="R749">
        <v>1</v>
      </c>
      <c r="S749">
        <v>1</v>
      </c>
      <c r="T749">
        <v>45400</v>
      </c>
      <c r="U749">
        <v>0</v>
      </c>
      <c r="V749">
        <v>0</v>
      </c>
      <c r="W749">
        <v>0</v>
      </c>
      <c r="X749" s="367"/>
    </row>
    <row r="750" spans="1:24">
      <c r="A750" t="s">
        <v>3831</v>
      </c>
      <c r="B750" t="s">
        <v>3832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 t="s">
        <v>192</v>
      </c>
      <c r="Q750" t="s">
        <v>192</v>
      </c>
      <c r="R750">
        <v>1</v>
      </c>
      <c r="S750">
        <v>1</v>
      </c>
      <c r="T750">
        <v>40500</v>
      </c>
      <c r="U750">
        <v>0</v>
      </c>
      <c r="V750">
        <v>0</v>
      </c>
      <c r="W750">
        <v>0</v>
      </c>
      <c r="X750" s="367"/>
    </row>
    <row r="751" spans="1:24">
      <c r="A751" t="s">
        <v>3833</v>
      </c>
      <c r="B751" t="s">
        <v>3834</v>
      </c>
      <c r="C751">
        <v>0</v>
      </c>
      <c r="D751">
        <v>0</v>
      </c>
      <c r="E751">
        <v>0</v>
      </c>
      <c r="F751">
        <v>25845</v>
      </c>
      <c r="G751">
        <v>0</v>
      </c>
      <c r="H751">
        <v>25594</v>
      </c>
      <c r="I751">
        <v>-251</v>
      </c>
      <c r="J751">
        <v>-0.97</v>
      </c>
      <c r="K751">
        <v>25845</v>
      </c>
      <c r="L751">
        <v>0</v>
      </c>
      <c r="M751">
        <v>0</v>
      </c>
      <c r="N751">
        <v>0</v>
      </c>
      <c r="O751">
        <v>0</v>
      </c>
      <c r="P751" t="s">
        <v>192</v>
      </c>
      <c r="Q751" t="s">
        <v>192</v>
      </c>
      <c r="R751">
        <v>1</v>
      </c>
      <c r="S751">
        <v>1</v>
      </c>
      <c r="T751">
        <v>35600</v>
      </c>
      <c r="U751">
        <v>0</v>
      </c>
      <c r="V751">
        <v>0</v>
      </c>
      <c r="W751">
        <v>0</v>
      </c>
      <c r="X751" s="367"/>
    </row>
    <row r="752" spans="1:24">
      <c r="A752" t="s">
        <v>3835</v>
      </c>
      <c r="B752" t="s">
        <v>3836</v>
      </c>
      <c r="C752">
        <v>0</v>
      </c>
      <c r="D752">
        <v>0</v>
      </c>
      <c r="E752">
        <v>0</v>
      </c>
      <c r="F752">
        <v>12000</v>
      </c>
      <c r="G752">
        <v>0</v>
      </c>
      <c r="H752">
        <v>12000</v>
      </c>
      <c r="I752">
        <v>0</v>
      </c>
      <c r="J752">
        <v>0</v>
      </c>
      <c r="K752">
        <v>12000</v>
      </c>
      <c r="L752">
        <v>0</v>
      </c>
      <c r="M752">
        <v>0</v>
      </c>
      <c r="N752">
        <v>0</v>
      </c>
      <c r="O752">
        <v>0</v>
      </c>
      <c r="P752" t="s">
        <v>192</v>
      </c>
      <c r="Q752" t="s">
        <v>192</v>
      </c>
      <c r="R752">
        <v>1</v>
      </c>
      <c r="S752">
        <v>67</v>
      </c>
      <c r="T752">
        <v>16421</v>
      </c>
      <c r="U752">
        <v>19289</v>
      </c>
      <c r="V752">
        <v>4</v>
      </c>
      <c r="W752">
        <v>1</v>
      </c>
      <c r="X752" s="367"/>
    </row>
    <row r="753" spans="1:24">
      <c r="A753" t="s">
        <v>4132</v>
      </c>
      <c r="B753" t="s">
        <v>4133</v>
      </c>
      <c r="C753">
        <v>1</v>
      </c>
      <c r="D753">
        <v>1</v>
      </c>
      <c r="E753">
        <v>10000000</v>
      </c>
      <c r="F753">
        <v>7951</v>
      </c>
      <c r="G753">
        <v>10000</v>
      </c>
      <c r="H753">
        <v>10000</v>
      </c>
      <c r="I753">
        <v>2049</v>
      </c>
      <c r="J753">
        <v>25.77</v>
      </c>
      <c r="K753">
        <v>10000</v>
      </c>
      <c r="L753">
        <v>2049</v>
      </c>
      <c r="M753">
        <v>25.77</v>
      </c>
      <c r="N753">
        <v>10000</v>
      </c>
      <c r="O753">
        <v>10000</v>
      </c>
      <c r="P753" t="s">
        <v>192</v>
      </c>
      <c r="Q753" t="s">
        <v>192</v>
      </c>
      <c r="R753">
        <v>1</v>
      </c>
      <c r="S753">
        <v>1</v>
      </c>
      <c r="T753">
        <v>9001</v>
      </c>
      <c r="U753">
        <v>0</v>
      </c>
      <c r="V753">
        <v>0</v>
      </c>
      <c r="W753">
        <v>0</v>
      </c>
      <c r="X753" s="367"/>
    </row>
    <row r="754" spans="1:24">
      <c r="A754" t="s">
        <v>4134</v>
      </c>
      <c r="B754" t="s">
        <v>4135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 t="s">
        <v>192</v>
      </c>
      <c r="Q754" t="s">
        <v>192</v>
      </c>
      <c r="R754">
        <v>1</v>
      </c>
      <c r="S754">
        <v>100</v>
      </c>
      <c r="T754">
        <v>1</v>
      </c>
      <c r="U754">
        <v>2000</v>
      </c>
      <c r="V754">
        <v>50</v>
      </c>
      <c r="W754">
        <v>1</v>
      </c>
      <c r="X754" s="367"/>
    </row>
    <row r="755" spans="1:24">
      <c r="A755" t="s">
        <v>4136</v>
      </c>
      <c r="B755" t="s">
        <v>4137</v>
      </c>
      <c r="C755">
        <v>0</v>
      </c>
      <c r="D755">
        <v>0</v>
      </c>
      <c r="E755">
        <v>0</v>
      </c>
      <c r="F755">
        <v>43747</v>
      </c>
      <c r="G755">
        <v>0</v>
      </c>
      <c r="H755">
        <v>43747</v>
      </c>
      <c r="I755">
        <v>0</v>
      </c>
      <c r="J755">
        <v>0</v>
      </c>
      <c r="K755">
        <v>43747</v>
      </c>
      <c r="L755">
        <v>0</v>
      </c>
      <c r="M755">
        <v>0</v>
      </c>
      <c r="N755">
        <v>0</v>
      </c>
      <c r="O755">
        <v>0</v>
      </c>
      <c r="P755" t="s">
        <v>192</v>
      </c>
      <c r="Q755" t="s">
        <v>192</v>
      </c>
      <c r="R755">
        <v>1</v>
      </c>
      <c r="S755">
        <v>1</v>
      </c>
      <c r="T755">
        <v>52301</v>
      </c>
      <c r="U755">
        <v>0</v>
      </c>
      <c r="V755">
        <v>0</v>
      </c>
      <c r="W755">
        <v>0</v>
      </c>
      <c r="X755" s="367"/>
    </row>
    <row r="756" spans="1:24">
      <c r="A756" t="s">
        <v>4140</v>
      </c>
      <c r="B756" t="s">
        <v>4141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 t="s">
        <v>192</v>
      </c>
      <c r="Q756" t="s">
        <v>192</v>
      </c>
      <c r="R756">
        <v>1</v>
      </c>
      <c r="S756">
        <v>2</v>
      </c>
      <c r="T756">
        <v>42600</v>
      </c>
      <c r="U756">
        <v>0</v>
      </c>
      <c r="V756">
        <v>0</v>
      </c>
      <c r="W756">
        <v>0</v>
      </c>
      <c r="X756" s="367"/>
    </row>
    <row r="757" spans="1:24">
      <c r="A757" t="s">
        <v>4142</v>
      </c>
      <c r="B757" t="s">
        <v>4143</v>
      </c>
      <c r="C757">
        <v>0</v>
      </c>
      <c r="D757">
        <v>0</v>
      </c>
      <c r="E757">
        <v>0</v>
      </c>
      <c r="F757">
        <v>27325</v>
      </c>
      <c r="G757">
        <v>0</v>
      </c>
      <c r="H757">
        <v>26958</v>
      </c>
      <c r="I757">
        <v>-367</v>
      </c>
      <c r="J757">
        <v>-1.34</v>
      </c>
      <c r="K757">
        <v>27325</v>
      </c>
      <c r="L757">
        <v>0</v>
      </c>
      <c r="M757">
        <v>0</v>
      </c>
      <c r="N757">
        <v>0</v>
      </c>
      <c r="O757">
        <v>0</v>
      </c>
      <c r="P757" t="s">
        <v>192</v>
      </c>
      <c r="Q757" t="s">
        <v>192</v>
      </c>
      <c r="R757">
        <v>1</v>
      </c>
      <c r="S757">
        <v>2</v>
      </c>
      <c r="T757">
        <v>37700</v>
      </c>
      <c r="U757">
        <v>0</v>
      </c>
      <c r="V757">
        <v>0</v>
      </c>
      <c r="W757">
        <v>0</v>
      </c>
      <c r="X757" s="367"/>
    </row>
    <row r="758" spans="1:24">
      <c r="A758" t="s">
        <v>4144</v>
      </c>
      <c r="B758" t="s">
        <v>4145</v>
      </c>
      <c r="C758">
        <v>0</v>
      </c>
      <c r="D758">
        <v>0</v>
      </c>
      <c r="E758">
        <v>0</v>
      </c>
      <c r="F758">
        <v>20621</v>
      </c>
      <c r="G758">
        <v>0</v>
      </c>
      <c r="H758">
        <v>20621</v>
      </c>
      <c r="I758">
        <v>0</v>
      </c>
      <c r="J758">
        <v>0</v>
      </c>
      <c r="K758">
        <v>20621</v>
      </c>
      <c r="L758">
        <v>0</v>
      </c>
      <c r="M758">
        <v>0</v>
      </c>
      <c r="N758">
        <v>0</v>
      </c>
      <c r="O758">
        <v>0</v>
      </c>
      <c r="P758" t="s">
        <v>192</v>
      </c>
      <c r="Q758" t="s">
        <v>192</v>
      </c>
      <c r="R758">
        <v>1</v>
      </c>
      <c r="S758">
        <v>2</v>
      </c>
      <c r="T758">
        <v>28000</v>
      </c>
      <c r="U758">
        <v>0</v>
      </c>
      <c r="V758">
        <v>0</v>
      </c>
      <c r="W758">
        <v>0</v>
      </c>
      <c r="X758" s="367"/>
    </row>
    <row r="759" spans="1:24">
      <c r="A759" t="s">
        <v>4146</v>
      </c>
      <c r="B759" t="s">
        <v>4147</v>
      </c>
      <c r="C759">
        <v>0</v>
      </c>
      <c r="D759">
        <v>0</v>
      </c>
      <c r="E759">
        <v>0</v>
      </c>
      <c r="F759">
        <v>12265</v>
      </c>
      <c r="G759">
        <v>0</v>
      </c>
      <c r="H759">
        <v>12279</v>
      </c>
      <c r="I759">
        <v>14</v>
      </c>
      <c r="J759">
        <v>0.11</v>
      </c>
      <c r="K759">
        <v>12265</v>
      </c>
      <c r="L759">
        <v>0</v>
      </c>
      <c r="M759">
        <v>0</v>
      </c>
      <c r="N759">
        <v>0</v>
      </c>
      <c r="O759">
        <v>0</v>
      </c>
      <c r="P759" t="s">
        <v>192</v>
      </c>
      <c r="Q759" t="s">
        <v>192</v>
      </c>
      <c r="R759">
        <v>1</v>
      </c>
      <c r="S759">
        <v>2</v>
      </c>
      <c r="T759">
        <v>18320</v>
      </c>
      <c r="U759">
        <v>0</v>
      </c>
      <c r="V759">
        <v>0</v>
      </c>
      <c r="W759">
        <v>0</v>
      </c>
      <c r="X759" s="367"/>
    </row>
    <row r="760" spans="1:24">
      <c r="A760" t="s">
        <v>4150</v>
      </c>
      <c r="B760" t="s">
        <v>4151</v>
      </c>
      <c r="C760">
        <v>0</v>
      </c>
      <c r="D760">
        <v>0</v>
      </c>
      <c r="E760">
        <v>0</v>
      </c>
      <c r="F760">
        <v>3264</v>
      </c>
      <c r="G760">
        <v>0</v>
      </c>
      <c r="H760">
        <v>3312</v>
      </c>
      <c r="I760">
        <v>48</v>
      </c>
      <c r="J760">
        <v>1.47</v>
      </c>
      <c r="K760">
        <v>3264</v>
      </c>
      <c r="L760">
        <v>0</v>
      </c>
      <c r="M760">
        <v>0</v>
      </c>
      <c r="N760">
        <v>0</v>
      </c>
      <c r="O760">
        <v>0</v>
      </c>
      <c r="P760" t="s">
        <v>192</v>
      </c>
      <c r="Q760" t="s">
        <v>192</v>
      </c>
      <c r="R760">
        <v>1</v>
      </c>
      <c r="S760">
        <v>111</v>
      </c>
      <c r="T760">
        <v>4020</v>
      </c>
      <c r="U760">
        <v>0</v>
      </c>
      <c r="V760">
        <v>0</v>
      </c>
      <c r="W760">
        <v>0</v>
      </c>
      <c r="X760" s="367"/>
    </row>
    <row r="761" spans="1:24">
      <c r="A761" t="s">
        <v>4152</v>
      </c>
      <c r="B761" t="s">
        <v>4153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 t="s">
        <v>192</v>
      </c>
      <c r="Q761" t="s">
        <v>192</v>
      </c>
      <c r="R761">
        <v>1</v>
      </c>
      <c r="S761">
        <v>100</v>
      </c>
      <c r="T761">
        <v>1</v>
      </c>
      <c r="U761">
        <v>0</v>
      </c>
      <c r="V761">
        <v>0</v>
      </c>
      <c r="W761">
        <v>0</v>
      </c>
      <c r="X761" s="367"/>
    </row>
    <row r="762" spans="1:24">
      <c r="A762" t="s">
        <v>4154</v>
      </c>
      <c r="B762" t="s">
        <v>4155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 t="s">
        <v>192</v>
      </c>
      <c r="Q762" t="s">
        <v>192</v>
      </c>
      <c r="R762">
        <v>1</v>
      </c>
      <c r="S762">
        <v>100</v>
      </c>
      <c r="T762">
        <v>1</v>
      </c>
      <c r="U762">
        <v>0</v>
      </c>
      <c r="V762">
        <v>0</v>
      </c>
      <c r="W762">
        <v>0</v>
      </c>
      <c r="X762" s="367"/>
    </row>
    <row r="763" spans="1:24">
      <c r="A763" t="s">
        <v>4156</v>
      </c>
      <c r="B763" t="s">
        <v>4157</v>
      </c>
      <c r="C763">
        <v>3</v>
      </c>
      <c r="D763">
        <v>3</v>
      </c>
      <c r="E763">
        <v>27600000</v>
      </c>
      <c r="F763">
        <v>8677</v>
      </c>
      <c r="G763">
        <v>8900</v>
      </c>
      <c r="H763">
        <v>9500</v>
      </c>
      <c r="I763">
        <v>823</v>
      </c>
      <c r="J763">
        <v>9.48</v>
      </c>
      <c r="K763">
        <v>9200</v>
      </c>
      <c r="L763">
        <v>523</v>
      </c>
      <c r="M763">
        <v>6.03</v>
      </c>
      <c r="N763">
        <v>8900</v>
      </c>
      <c r="O763">
        <v>9500</v>
      </c>
      <c r="P763" t="s">
        <v>192</v>
      </c>
      <c r="Q763" t="s">
        <v>192</v>
      </c>
      <c r="R763">
        <v>1</v>
      </c>
      <c r="S763">
        <v>12</v>
      </c>
      <c r="T763">
        <v>9300</v>
      </c>
      <c r="U763">
        <v>0</v>
      </c>
      <c r="V763">
        <v>0</v>
      </c>
      <c r="W763">
        <v>0</v>
      </c>
      <c r="X763" s="367"/>
    </row>
    <row r="764" spans="1:24">
      <c r="A764" t="s">
        <v>4158</v>
      </c>
      <c r="B764" t="s">
        <v>4159</v>
      </c>
      <c r="C764">
        <v>0</v>
      </c>
      <c r="D764">
        <v>0</v>
      </c>
      <c r="E764">
        <v>0</v>
      </c>
      <c r="F764">
        <v>7700</v>
      </c>
      <c r="G764">
        <v>0</v>
      </c>
      <c r="H764">
        <v>7700</v>
      </c>
      <c r="I764">
        <v>0</v>
      </c>
      <c r="J764">
        <v>0</v>
      </c>
      <c r="K764">
        <v>7700</v>
      </c>
      <c r="L764">
        <v>0</v>
      </c>
      <c r="M764">
        <v>0</v>
      </c>
      <c r="N764">
        <v>0</v>
      </c>
      <c r="O764">
        <v>0</v>
      </c>
      <c r="P764" t="s">
        <v>192</v>
      </c>
      <c r="Q764" t="s">
        <v>192</v>
      </c>
      <c r="R764">
        <v>1</v>
      </c>
      <c r="S764">
        <v>12</v>
      </c>
      <c r="T764">
        <v>8400</v>
      </c>
      <c r="U764">
        <v>0</v>
      </c>
      <c r="V764">
        <v>0</v>
      </c>
      <c r="W764">
        <v>0</v>
      </c>
      <c r="X764" s="367"/>
    </row>
    <row r="765" spans="1:24">
      <c r="A765" t="s">
        <v>4160</v>
      </c>
      <c r="B765" t="s">
        <v>4161</v>
      </c>
      <c r="C765">
        <v>0</v>
      </c>
      <c r="D765">
        <v>0</v>
      </c>
      <c r="E765">
        <v>0</v>
      </c>
      <c r="F765">
        <v>6683</v>
      </c>
      <c r="G765">
        <v>0</v>
      </c>
      <c r="H765">
        <v>6600</v>
      </c>
      <c r="I765">
        <v>-83</v>
      </c>
      <c r="J765">
        <v>-1.24</v>
      </c>
      <c r="K765">
        <v>6683</v>
      </c>
      <c r="L765">
        <v>0</v>
      </c>
      <c r="M765">
        <v>0</v>
      </c>
      <c r="N765">
        <v>0</v>
      </c>
      <c r="O765">
        <v>0</v>
      </c>
      <c r="P765" t="s">
        <v>192</v>
      </c>
      <c r="Q765" t="s">
        <v>192</v>
      </c>
      <c r="R765">
        <v>1</v>
      </c>
      <c r="S765">
        <v>2</v>
      </c>
      <c r="T765">
        <v>7401</v>
      </c>
      <c r="U765">
        <v>10000</v>
      </c>
      <c r="V765">
        <v>13</v>
      </c>
      <c r="W765">
        <v>1</v>
      </c>
      <c r="X765" s="367"/>
    </row>
    <row r="766" spans="1:24">
      <c r="A766" t="s">
        <v>4162</v>
      </c>
      <c r="B766" t="s">
        <v>4163</v>
      </c>
      <c r="C766">
        <v>3</v>
      </c>
      <c r="D766">
        <v>56</v>
      </c>
      <c r="E766">
        <v>176350000</v>
      </c>
      <c r="F766">
        <v>2362</v>
      </c>
      <c r="G766">
        <v>3250</v>
      </c>
      <c r="H766">
        <v>3100</v>
      </c>
      <c r="I766">
        <v>738</v>
      </c>
      <c r="J766">
        <v>31.24</v>
      </c>
      <c r="K766">
        <v>3149</v>
      </c>
      <c r="L766">
        <v>787</v>
      </c>
      <c r="M766">
        <v>33.32</v>
      </c>
      <c r="N766">
        <v>3100</v>
      </c>
      <c r="O766">
        <v>3250</v>
      </c>
      <c r="P766" t="s">
        <v>192</v>
      </c>
      <c r="Q766" t="s">
        <v>192</v>
      </c>
      <c r="R766">
        <v>1</v>
      </c>
      <c r="S766">
        <v>12</v>
      </c>
      <c r="T766">
        <v>2000</v>
      </c>
      <c r="U766">
        <v>3098</v>
      </c>
      <c r="V766">
        <v>50</v>
      </c>
      <c r="W766">
        <v>1</v>
      </c>
      <c r="X766" s="367"/>
    </row>
    <row r="767" spans="1:24">
      <c r="A767" t="s">
        <v>4164</v>
      </c>
      <c r="B767" t="s">
        <v>4165</v>
      </c>
      <c r="C767">
        <v>0</v>
      </c>
      <c r="D767">
        <v>0</v>
      </c>
      <c r="E767">
        <v>0</v>
      </c>
      <c r="F767">
        <v>550</v>
      </c>
      <c r="G767">
        <v>0</v>
      </c>
      <c r="H767">
        <v>550</v>
      </c>
      <c r="I767">
        <v>0</v>
      </c>
      <c r="J767">
        <v>0</v>
      </c>
      <c r="K767">
        <v>550</v>
      </c>
      <c r="L767">
        <v>0</v>
      </c>
      <c r="M767">
        <v>0</v>
      </c>
      <c r="N767">
        <v>0</v>
      </c>
      <c r="O767">
        <v>0</v>
      </c>
      <c r="P767" t="s">
        <v>192</v>
      </c>
      <c r="Q767" t="s">
        <v>192</v>
      </c>
      <c r="R767">
        <v>1</v>
      </c>
      <c r="S767">
        <v>44</v>
      </c>
      <c r="T767">
        <v>88</v>
      </c>
      <c r="U767">
        <v>850</v>
      </c>
      <c r="V767">
        <v>250</v>
      </c>
      <c r="W767">
        <v>1</v>
      </c>
      <c r="X767" s="367"/>
    </row>
    <row r="768" spans="1:24">
      <c r="A768" t="s">
        <v>4166</v>
      </c>
      <c r="B768" t="s">
        <v>4167</v>
      </c>
      <c r="C768">
        <v>0</v>
      </c>
      <c r="D768">
        <v>0</v>
      </c>
      <c r="E768">
        <v>0</v>
      </c>
      <c r="F768">
        <v>16500</v>
      </c>
      <c r="G768">
        <v>0</v>
      </c>
      <c r="H768">
        <v>16000</v>
      </c>
      <c r="I768">
        <v>-500</v>
      </c>
      <c r="J768">
        <v>-3.03</v>
      </c>
      <c r="K768">
        <v>16500</v>
      </c>
      <c r="L768">
        <v>0</v>
      </c>
      <c r="M768">
        <v>0</v>
      </c>
      <c r="N768">
        <v>0</v>
      </c>
      <c r="O768">
        <v>0</v>
      </c>
      <c r="P768" t="s">
        <v>192</v>
      </c>
      <c r="Q768" t="s">
        <v>192</v>
      </c>
      <c r="R768">
        <v>1</v>
      </c>
      <c r="S768">
        <v>1</v>
      </c>
      <c r="T768">
        <v>19000</v>
      </c>
      <c r="U768">
        <v>0</v>
      </c>
      <c r="V768">
        <v>0</v>
      </c>
      <c r="W768">
        <v>0</v>
      </c>
      <c r="X768" s="367"/>
    </row>
    <row r="769" spans="1:24">
      <c r="A769" t="s">
        <v>4168</v>
      </c>
      <c r="B769" t="s">
        <v>4169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 t="s">
        <v>192</v>
      </c>
      <c r="Q769" t="s">
        <v>192</v>
      </c>
      <c r="R769">
        <v>1</v>
      </c>
      <c r="S769">
        <v>1</v>
      </c>
      <c r="T769">
        <v>17100</v>
      </c>
      <c r="U769">
        <v>0</v>
      </c>
      <c r="V769">
        <v>0</v>
      </c>
      <c r="W769">
        <v>0</v>
      </c>
      <c r="X769" s="367"/>
    </row>
    <row r="770" spans="1:24">
      <c r="A770" t="s">
        <v>4170</v>
      </c>
      <c r="B770" t="s">
        <v>4171</v>
      </c>
      <c r="C770">
        <v>0</v>
      </c>
      <c r="D770">
        <v>0</v>
      </c>
      <c r="E770">
        <v>0</v>
      </c>
      <c r="F770">
        <v>8777</v>
      </c>
      <c r="G770">
        <v>0</v>
      </c>
      <c r="H770">
        <v>8734</v>
      </c>
      <c r="I770">
        <v>-43</v>
      </c>
      <c r="J770">
        <v>-0.49</v>
      </c>
      <c r="K770">
        <v>8777</v>
      </c>
      <c r="L770">
        <v>0</v>
      </c>
      <c r="M770">
        <v>0</v>
      </c>
      <c r="N770">
        <v>0</v>
      </c>
      <c r="O770">
        <v>0</v>
      </c>
      <c r="P770" t="s">
        <v>192</v>
      </c>
      <c r="Q770" t="s">
        <v>192</v>
      </c>
      <c r="R770">
        <v>1</v>
      </c>
      <c r="S770">
        <v>1</v>
      </c>
      <c r="T770">
        <v>13300</v>
      </c>
      <c r="U770">
        <v>0</v>
      </c>
      <c r="V770">
        <v>0</v>
      </c>
      <c r="W770">
        <v>0</v>
      </c>
      <c r="X770" s="367"/>
    </row>
    <row r="771" spans="1:24">
      <c r="A771" t="s">
        <v>4174</v>
      </c>
      <c r="B771" t="s">
        <v>4175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 t="s">
        <v>192</v>
      </c>
      <c r="Q771" t="s">
        <v>192</v>
      </c>
      <c r="R771">
        <v>1</v>
      </c>
      <c r="S771">
        <v>1</v>
      </c>
      <c r="T771">
        <v>5001</v>
      </c>
      <c r="U771">
        <v>0</v>
      </c>
      <c r="V771">
        <v>0</v>
      </c>
      <c r="W771">
        <v>0</v>
      </c>
      <c r="X771" s="367"/>
    </row>
    <row r="772" spans="1:24">
      <c r="A772" t="s">
        <v>4176</v>
      </c>
      <c r="B772" t="s">
        <v>4177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 t="s">
        <v>192</v>
      </c>
      <c r="Q772" t="s">
        <v>192</v>
      </c>
      <c r="R772">
        <v>1</v>
      </c>
      <c r="S772">
        <v>1</v>
      </c>
      <c r="T772">
        <v>3000</v>
      </c>
      <c r="U772">
        <v>0</v>
      </c>
      <c r="V772">
        <v>0</v>
      </c>
      <c r="W772">
        <v>0</v>
      </c>
      <c r="X772" s="367"/>
    </row>
    <row r="773" spans="1:24">
      <c r="A773" t="s">
        <v>4180</v>
      </c>
      <c r="B773" t="s">
        <v>4181</v>
      </c>
      <c r="C773">
        <v>2</v>
      </c>
      <c r="D773">
        <v>14</v>
      </c>
      <c r="E773">
        <v>268000000</v>
      </c>
      <c r="F773">
        <v>18611</v>
      </c>
      <c r="G773">
        <v>20000</v>
      </c>
      <c r="H773">
        <v>19000</v>
      </c>
      <c r="I773">
        <v>389</v>
      </c>
      <c r="J773">
        <v>2.09</v>
      </c>
      <c r="K773">
        <v>19143</v>
      </c>
      <c r="L773">
        <v>532</v>
      </c>
      <c r="M773">
        <v>2.86</v>
      </c>
      <c r="N773">
        <v>19000</v>
      </c>
      <c r="O773">
        <v>20000</v>
      </c>
      <c r="P773" t="s">
        <v>192</v>
      </c>
      <c r="Q773" t="s">
        <v>192</v>
      </c>
      <c r="R773">
        <v>1</v>
      </c>
      <c r="S773">
        <v>80</v>
      </c>
      <c r="T773">
        <v>18000</v>
      </c>
      <c r="U773">
        <v>21000</v>
      </c>
      <c r="V773">
        <v>5</v>
      </c>
      <c r="W773">
        <v>1</v>
      </c>
      <c r="X773" s="367"/>
    </row>
    <row r="774" spans="1:24">
      <c r="A774" t="s">
        <v>4182</v>
      </c>
      <c r="B774" t="s">
        <v>4183</v>
      </c>
      <c r="C774">
        <v>1</v>
      </c>
      <c r="D774">
        <v>1</v>
      </c>
      <c r="E774">
        <v>11500000</v>
      </c>
      <c r="F774">
        <v>8875</v>
      </c>
      <c r="G774">
        <v>11500</v>
      </c>
      <c r="H774">
        <v>11500</v>
      </c>
      <c r="I774">
        <v>2625</v>
      </c>
      <c r="J774">
        <v>29.58</v>
      </c>
      <c r="K774">
        <v>11500</v>
      </c>
      <c r="L774">
        <v>2625</v>
      </c>
      <c r="M774">
        <v>29.58</v>
      </c>
      <c r="N774">
        <v>11500</v>
      </c>
      <c r="O774">
        <v>11500</v>
      </c>
      <c r="P774" t="s">
        <v>192</v>
      </c>
      <c r="Q774" t="s">
        <v>192</v>
      </c>
      <c r="R774">
        <v>1</v>
      </c>
      <c r="S774">
        <v>2</v>
      </c>
      <c r="T774">
        <v>11201</v>
      </c>
      <c r="U774">
        <v>0</v>
      </c>
      <c r="V774">
        <v>0</v>
      </c>
      <c r="W774">
        <v>0</v>
      </c>
      <c r="X774" s="367"/>
    </row>
    <row r="775" spans="1:24">
      <c r="A775" t="s">
        <v>4184</v>
      </c>
      <c r="B775" t="s">
        <v>4185</v>
      </c>
      <c r="C775">
        <v>17</v>
      </c>
      <c r="D775">
        <v>128</v>
      </c>
      <c r="E775">
        <v>1007323000</v>
      </c>
      <c r="F775">
        <v>5356</v>
      </c>
      <c r="G775">
        <v>14000</v>
      </c>
      <c r="H775">
        <v>7250</v>
      </c>
      <c r="I775">
        <v>1894</v>
      </c>
      <c r="J775">
        <v>35.36</v>
      </c>
      <c r="K775">
        <v>7870</v>
      </c>
      <c r="L775">
        <v>2514</v>
      </c>
      <c r="M775">
        <v>46.94</v>
      </c>
      <c r="N775">
        <v>7250</v>
      </c>
      <c r="O775">
        <v>14000</v>
      </c>
      <c r="P775" t="s">
        <v>192</v>
      </c>
      <c r="Q775" t="s">
        <v>192</v>
      </c>
      <c r="R775">
        <v>1</v>
      </c>
      <c r="S775">
        <v>1</v>
      </c>
      <c r="T775">
        <v>7333</v>
      </c>
      <c r="U775">
        <v>9500</v>
      </c>
      <c r="V775">
        <v>115</v>
      </c>
      <c r="W775">
        <v>2</v>
      </c>
      <c r="X775" s="367"/>
    </row>
    <row r="776" spans="1:24">
      <c r="A776" t="s">
        <v>4186</v>
      </c>
      <c r="B776" t="s">
        <v>4187</v>
      </c>
      <c r="C776">
        <v>3</v>
      </c>
      <c r="D776">
        <v>26</v>
      </c>
      <c r="E776">
        <v>51989000</v>
      </c>
      <c r="F776">
        <v>2719</v>
      </c>
      <c r="G776">
        <v>2000</v>
      </c>
      <c r="H776">
        <v>1999</v>
      </c>
      <c r="I776">
        <v>-720</v>
      </c>
      <c r="J776">
        <v>-26.48</v>
      </c>
      <c r="K776">
        <v>2000</v>
      </c>
      <c r="L776">
        <v>-719</v>
      </c>
      <c r="M776">
        <v>-26.44</v>
      </c>
      <c r="N776">
        <v>1999</v>
      </c>
      <c r="O776">
        <v>2000</v>
      </c>
      <c r="P776" t="s">
        <v>192</v>
      </c>
      <c r="Q776" t="s">
        <v>192</v>
      </c>
      <c r="R776">
        <v>1</v>
      </c>
      <c r="S776">
        <v>1000</v>
      </c>
      <c r="T776">
        <v>3</v>
      </c>
      <c r="U776">
        <v>1999</v>
      </c>
      <c r="V776">
        <v>6</v>
      </c>
      <c r="W776">
        <v>1</v>
      </c>
      <c r="X776" s="367"/>
    </row>
    <row r="777" spans="1:24">
      <c r="A777" t="s">
        <v>4190</v>
      </c>
      <c r="B777" t="s">
        <v>4191</v>
      </c>
      <c r="C777">
        <v>0</v>
      </c>
      <c r="D777">
        <v>0</v>
      </c>
      <c r="E777">
        <v>0</v>
      </c>
      <c r="F777">
        <v>250</v>
      </c>
      <c r="G777">
        <v>0</v>
      </c>
      <c r="H777">
        <v>250</v>
      </c>
      <c r="I777">
        <v>0</v>
      </c>
      <c r="J777">
        <v>0</v>
      </c>
      <c r="K777">
        <v>250</v>
      </c>
      <c r="L777">
        <v>0</v>
      </c>
      <c r="M777">
        <v>0</v>
      </c>
      <c r="N777">
        <v>0</v>
      </c>
      <c r="O777">
        <v>0</v>
      </c>
      <c r="P777" t="s">
        <v>192</v>
      </c>
      <c r="Q777" t="s">
        <v>192</v>
      </c>
      <c r="R777">
        <v>1</v>
      </c>
      <c r="S777">
        <v>1</v>
      </c>
      <c r="T777">
        <v>10</v>
      </c>
      <c r="U777">
        <v>0</v>
      </c>
      <c r="V777">
        <v>0</v>
      </c>
      <c r="W777">
        <v>0</v>
      </c>
      <c r="X777" s="367"/>
    </row>
    <row r="778" spans="1:24">
      <c r="A778" t="s">
        <v>4194</v>
      </c>
      <c r="B778" t="s">
        <v>4195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 t="s">
        <v>192</v>
      </c>
      <c r="Q778" t="s">
        <v>192</v>
      </c>
      <c r="R778">
        <v>1</v>
      </c>
      <c r="S778">
        <v>100</v>
      </c>
      <c r="T778">
        <v>1</v>
      </c>
      <c r="U778">
        <v>0</v>
      </c>
      <c r="V778">
        <v>0</v>
      </c>
      <c r="W778">
        <v>0</v>
      </c>
      <c r="X778" s="367"/>
    </row>
    <row r="779" spans="1:24">
      <c r="A779" t="s">
        <v>4196</v>
      </c>
      <c r="B779" t="s">
        <v>4197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 t="s">
        <v>192</v>
      </c>
      <c r="Q779" t="s">
        <v>192</v>
      </c>
      <c r="R779">
        <v>2</v>
      </c>
      <c r="S779">
        <v>1000</v>
      </c>
      <c r="T779">
        <v>1</v>
      </c>
      <c r="U779">
        <v>0</v>
      </c>
      <c r="V779">
        <v>0</v>
      </c>
      <c r="W779">
        <v>0</v>
      </c>
      <c r="X779" s="367"/>
    </row>
    <row r="780" spans="1:24">
      <c r="A780" t="s">
        <v>4198</v>
      </c>
      <c r="B780" t="s">
        <v>4199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 t="s">
        <v>192</v>
      </c>
      <c r="Q780" t="s">
        <v>192</v>
      </c>
      <c r="R780">
        <v>1</v>
      </c>
      <c r="S780">
        <v>60</v>
      </c>
      <c r="T780">
        <v>1500</v>
      </c>
      <c r="U780">
        <v>0</v>
      </c>
      <c r="V780">
        <v>0</v>
      </c>
      <c r="W780">
        <v>0</v>
      </c>
      <c r="X780" s="367"/>
    </row>
    <row r="781" spans="1:24">
      <c r="A781" t="s">
        <v>4202</v>
      </c>
      <c r="B781" t="s">
        <v>4203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 t="s">
        <v>192</v>
      </c>
      <c r="Q781" t="s">
        <v>192</v>
      </c>
      <c r="R781">
        <v>1</v>
      </c>
      <c r="S781">
        <v>100</v>
      </c>
      <c r="T781">
        <v>1</v>
      </c>
      <c r="U781">
        <v>0</v>
      </c>
      <c r="V781">
        <v>0</v>
      </c>
      <c r="W781">
        <v>0</v>
      </c>
      <c r="X781" s="367"/>
    </row>
    <row r="782" spans="1:24">
      <c r="A782" t="s">
        <v>4204</v>
      </c>
      <c r="B782" t="s">
        <v>4205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 t="s">
        <v>192</v>
      </c>
      <c r="Q782" t="s">
        <v>192</v>
      </c>
      <c r="R782">
        <v>1</v>
      </c>
      <c r="S782">
        <v>111</v>
      </c>
      <c r="T782">
        <v>11</v>
      </c>
      <c r="U782">
        <v>0</v>
      </c>
      <c r="V782">
        <v>0</v>
      </c>
      <c r="W782">
        <v>0</v>
      </c>
      <c r="X782" s="367"/>
    </row>
    <row r="783" spans="1:24">
      <c r="A783" t="s">
        <v>8478</v>
      </c>
      <c r="B783" t="s">
        <v>8479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 t="s">
        <v>192</v>
      </c>
      <c r="Q783" t="s">
        <v>192</v>
      </c>
      <c r="R783">
        <v>1</v>
      </c>
      <c r="S783">
        <v>100</v>
      </c>
      <c r="T783">
        <v>1</v>
      </c>
      <c r="U783">
        <v>0</v>
      </c>
      <c r="V783">
        <v>0</v>
      </c>
      <c r="W783">
        <v>0</v>
      </c>
      <c r="X783" s="367"/>
    </row>
    <row r="784" spans="1:24">
      <c r="A784" t="s">
        <v>8484</v>
      </c>
      <c r="B784" t="s">
        <v>8485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 t="s">
        <v>192</v>
      </c>
      <c r="Q784" t="s">
        <v>192</v>
      </c>
      <c r="R784">
        <v>1</v>
      </c>
      <c r="S784">
        <v>100</v>
      </c>
      <c r="T784">
        <v>1</v>
      </c>
      <c r="U784">
        <v>0</v>
      </c>
      <c r="V784">
        <v>0</v>
      </c>
      <c r="W784">
        <v>0</v>
      </c>
      <c r="X784" s="367"/>
    </row>
    <row r="785" spans="1:24">
      <c r="A785" t="s">
        <v>8486</v>
      </c>
      <c r="B785" t="s">
        <v>8487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 t="s">
        <v>192</v>
      </c>
      <c r="Q785" t="s">
        <v>192</v>
      </c>
      <c r="R785">
        <v>1</v>
      </c>
      <c r="S785">
        <v>111</v>
      </c>
      <c r="T785">
        <v>11</v>
      </c>
      <c r="U785">
        <v>0</v>
      </c>
      <c r="V785">
        <v>0</v>
      </c>
      <c r="W785">
        <v>0</v>
      </c>
      <c r="X785" s="367"/>
    </row>
    <row r="786" spans="1:24">
      <c r="A786" t="s">
        <v>8488</v>
      </c>
      <c r="B786" t="s">
        <v>8489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 t="s">
        <v>192</v>
      </c>
      <c r="Q786" t="s">
        <v>192</v>
      </c>
      <c r="R786">
        <v>1</v>
      </c>
      <c r="S786">
        <v>111</v>
      </c>
      <c r="T786">
        <v>11</v>
      </c>
      <c r="U786">
        <v>0</v>
      </c>
      <c r="V786">
        <v>0</v>
      </c>
      <c r="W786">
        <v>0</v>
      </c>
      <c r="X786" s="367"/>
    </row>
    <row r="787" spans="1:24">
      <c r="A787" t="s">
        <v>8490</v>
      </c>
      <c r="B787" t="s">
        <v>8491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 t="s">
        <v>192</v>
      </c>
      <c r="Q787" t="s">
        <v>192</v>
      </c>
      <c r="R787">
        <v>1</v>
      </c>
      <c r="S787">
        <v>500</v>
      </c>
      <c r="T787">
        <v>200</v>
      </c>
      <c r="U787">
        <v>0</v>
      </c>
      <c r="V787">
        <v>0</v>
      </c>
      <c r="W787">
        <v>0</v>
      </c>
      <c r="X787" s="367"/>
    </row>
    <row r="788" spans="1:24">
      <c r="A788" t="s">
        <v>4208</v>
      </c>
      <c r="B788" t="s">
        <v>4209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 t="s">
        <v>192</v>
      </c>
      <c r="Q788" t="s">
        <v>192</v>
      </c>
      <c r="R788">
        <v>1</v>
      </c>
      <c r="S788">
        <v>100</v>
      </c>
      <c r="T788">
        <v>1</v>
      </c>
      <c r="U788">
        <v>0</v>
      </c>
      <c r="V788">
        <v>0</v>
      </c>
      <c r="W788">
        <v>0</v>
      </c>
      <c r="X788" s="367"/>
    </row>
    <row r="789" spans="1:24">
      <c r="A789" t="s">
        <v>4210</v>
      </c>
      <c r="B789" t="s">
        <v>4211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 t="s">
        <v>192</v>
      </c>
      <c r="Q789" t="s">
        <v>192</v>
      </c>
      <c r="R789">
        <v>1</v>
      </c>
      <c r="S789">
        <v>100</v>
      </c>
      <c r="T789">
        <v>1</v>
      </c>
      <c r="U789">
        <v>0</v>
      </c>
      <c r="V789">
        <v>0</v>
      </c>
      <c r="W789">
        <v>0</v>
      </c>
      <c r="X789" s="367"/>
    </row>
    <row r="790" spans="1:24">
      <c r="A790" t="s">
        <v>4212</v>
      </c>
      <c r="B790" t="s">
        <v>4213</v>
      </c>
      <c r="C790">
        <v>0</v>
      </c>
      <c r="D790">
        <v>0</v>
      </c>
      <c r="E790">
        <v>0</v>
      </c>
      <c r="F790">
        <v>500</v>
      </c>
      <c r="G790">
        <v>0</v>
      </c>
      <c r="H790">
        <v>500</v>
      </c>
      <c r="I790">
        <v>0</v>
      </c>
      <c r="J790">
        <v>0</v>
      </c>
      <c r="K790">
        <v>500</v>
      </c>
      <c r="L790">
        <v>0</v>
      </c>
      <c r="M790">
        <v>0</v>
      </c>
      <c r="N790">
        <v>0</v>
      </c>
      <c r="O790">
        <v>0</v>
      </c>
      <c r="P790" t="s">
        <v>192</v>
      </c>
      <c r="Q790" t="s">
        <v>192</v>
      </c>
      <c r="R790">
        <v>1</v>
      </c>
      <c r="S790">
        <v>100</v>
      </c>
      <c r="T790">
        <v>1</v>
      </c>
      <c r="U790">
        <v>0</v>
      </c>
      <c r="V790">
        <v>0</v>
      </c>
      <c r="W790">
        <v>0</v>
      </c>
      <c r="X790" s="367"/>
    </row>
    <row r="791" spans="1:24">
      <c r="A791" t="s">
        <v>4214</v>
      </c>
      <c r="B791" t="s">
        <v>4215</v>
      </c>
      <c r="C791">
        <v>0</v>
      </c>
      <c r="D791">
        <v>0</v>
      </c>
      <c r="E791">
        <v>0</v>
      </c>
      <c r="F791">
        <v>5000</v>
      </c>
      <c r="G791">
        <v>0</v>
      </c>
      <c r="H791">
        <v>5000</v>
      </c>
      <c r="I791">
        <v>0</v>
      </c>
      <c r="J791">
        <v>0</v>
      </c>
      <c r="K791">
        <v>5000</v>
      </c>
      <c r="L791">
        <v>0</v>
      </c>
      <c r="M791">
        <v>0</v>
      </c>
      <c r="N791">
        <v>0</v>
      </c>
      <c r="O791">
        <v>0</v>
      </c>
      <c r="P791" t="s">
        <v>192</v>
      </c>
      <c r="Q791" t="s">
        <v>192</v>
      </c>
      <c r="R791">
        <v>1</v>
      </c>
      <c r="S791">
        <v>100</v>
      </c>
      <c r="T791">
        <v>1</v>
      </c>
      <c r="U791">
        <v>0</v>
      </c>
      <c r="V791">
        <v>0</v>
      </c>
      <c r="W791">
        <v>0</v>
      </c>
      <c r="X791" s="367"/>
    </row>
    <row r="792" spans="1:24">
      <c r="A792" t="s">
        <v>4216</v>
      </c>
      <c r="B792" t="s">
        <v>4217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 t="s">
        <v>192</v>
      </c>
      <c r="Q792" t="s">
        <v>192</v>
      </c>
      <c r="R792">
        <v>1</v>
      </c>
      <c r="S792">
        <v>100</v>
      </c>
      <c r="T792">
        <v>1</v>
      </c>
      <c r="U792">
        <v>0</v>
      </c>
      <c r="V792">
        <v>0</v>
      </c>
      <c r="W792">
        <v>0</v>
      </c>
      <c r="X792" s="367"/>
    </row>
    <row r="793" spans="1:24">
      <c r="A793" t="s">
        <v>4218</v>
      </c>
      <c r="B793" t="s">
        <v>4219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 t="s">
        <v>192</v>
      </c>
      <c r="Q793" t="s">
        <v>192</v>
      </c>
      <c r="R793">
        <v>1</v>
      </c>
      <c r="S793">
        <v>100</v>
      </c>
      <c r="T793">
        <v>1</v>
      </c>
      <c r="U793">
        <v>0</v>
      </c>
      <c r="V793">
        <v>0</v>
      </c>
      <c r="W793">
        <v>0</v>
      </c>
      <c r="X793" s="367"/>
    </row>
    <row r="794" spans="1:24">
      <c r="A794" t="s">
        <v>4220</v>
      </c>
      <c r="B794" t="s">
        <v>4221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 t="s">
        <v>192</v>
      </c>
      <c r="Q794" t="s">
        <v>192</v>
      </c>
      <c r="R794">
        <v>1</v>
      </c>
      <c r="S794">
        <v>444</v>
      </c>
      <c r="T794">
        <v>4</v>
      </c>
      <c r="U794">
        <v>0</v>
      </c>
      <c r="V794">
        <v>0</v>
      </c>
      <c r="W794">
        <v>0</v>
      </c>
      <c r="X794" s="367"/>
    </row>
    <row r="795" spans="1:24">
      <c r="A795" t="s">
        <v>4222</v>
      </c>
      <c r="B795" t="s">
        <v>4223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 t="s">
        <v>192</v>
      </c>
      <c r="Q795" t="s">
        <v>192</v>
      </c>
      <c r="R795">
        <v>1</v>
      </c>
      <c r="S795">
        <v>444</v>
      </c>
      <c r="T795">
        <v>4</v>
      </c>
      <c r="U795">
        <v>0</v>
      </c>
      <c r="V795">
        <v>0</v>
      </c>
      <c r="W795">
        <v>0</v>
      </c>
      <c r="X795" s="367"/>
    </row>
    <row r="796" spans="1:24">
      <c r="A796" t="s">
        <v>4224</v>
      </c>
      <c r="B796" t="s">
        <v>4225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 t="s">
        <v>192</v>
      </c>
      <c r="Q796" t="s">
        <v>192</v>
      </c>
      <c r="R796">
        <v>1</v>
      </c>
      <c r="S796">
        <v>61</v>
      </c>
      <c r="T796">
        <v>300</v>
      </c>
      <c r="U796">
        <v>0</v>
      </c>
      <c r="V796">
        <v>0</v>
      </c>
      <c r="W796">
        <v>0</v>
      </c>
      <c r="X796" s="367"/>
    </row>
    <row r="797" spans="1:24">
      <c r="A797" t="s">
        <v>4226</v>
      </c>
      <c r="B797" t="s">
        <v>4227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 t="s">
        <v>192</v>
      </c>
      <c r="Q797" t="s">
        <v>192</v>
      </c>
      <c r="R797">
        <v>1</v>
      </c>
      <c r="S797">
        <v>100</v>
      </c>
      <c r="T797">
        <v>100</v>
      </c>
      <c r="U797">
        <v>0</v>
      </c>
      <c r="V797">
        <v>0</v>
      </c>
      <c r="W797">
        <v>0</v>
      </c>
      <c r="X797" s="367"/>
    </row>
    <row r="798" spans="1:24">
      <c r="A798" t="s">
        <v>4230</v>
      </c>
      <c r="B798" t="s">
        <v>4231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 t="s">
        <v>192</v>
      </c>
      <c r="Q798" t="s">
        <v>192</v>
      </c>
      <c r="R798">
        <v>1</v>
      </c>
      <c r="S798">
        <v>400</v>
      </c>
      <c r="T798">
        <v>500</v>
      </c>
      <c r="U798">
        <v>0</v>
      </c>
      <c r="V798">
        <v>0</v>
      </c>
      <c r="W798">
        <v>0</v>
      </c>
      <c r="X798" s="367"/>
    </row>
    <row r="799" spans="1:24">
      <c r="A799" t="s">
        <v>4232</v>
      </c>
      <c r="B799" t="s">
        <v>4233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0</v>
      </c>
      <c r="P799" t="s">
        <v>192</v>
      </c>
      <c r="Q799" t="s">
        <v>192</v>
      </c>
      <c r="R799">
        <v>1</v>
      </c>
      <c r="S799">
        <v>200</v>
      </c>
      <c r="T799">
        <v>2000</v>
      </c>
      <c r="U799">
        <v>0</v>
      </c>
      <c r="V799">
        <v>0</v>
      </c>
      <c r="W799">
        <v>0</v>
      </c>
      <c r="X799" s="367"/>
    </row>
    <row r="800" spans="1:24">
      <c r="A800" t="s">
        <v>4234</v>
      </c>
      <c r="B800" t="s">
        <v>4235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 t="s">
        <v>192</v>
      </c>
      <c r="Q800" t="s">
        <v>192</v>
      </c>
      <c r="R800">
        <v>1</v>
      </c>
      <c r="S800">
        <v>10</v>
      </c>
      <c r="T800">
        <v>7001</v>
      </c>
      <c r="U800">
        <v>0</v>
      </c>
      <c r="V800">
        <v>0</v>
      </c>
      <c r="W800">
        <v>0</v>
      </c>
      <c r="X800" s="367"/>
    </row>
    <row r="801" spans="1:24">
      <c r="A801" t="s">
        <v>4236</v>
      </c>
      <c r="B801" t="s">
        <v>4237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 t="s">
        <v>192</v>
      </c>
      <c r="Q801" t="s">
        <v>192</v>
      </c>
      <c r="R801">
        <v>1</v>
      </c>
      <c r="S801">
        <v>1</v>
      </c>
      <c r="T801">
        <v>5003</v>
      </c>
      <c r="U801">
        <v>25000</v>
      </c>
      <c r="V801">
        <v>1</v>
      </c>
      <c r="W801">
        <v>1</v>
      </c>
      <c r="X801" s="367"/>
    </row>
    <row r="802" spans="1:24">
      <c r="A802" t="s">
        <v>4240</v>
      </c>
      <c r="B802" t="s">
        <v>4241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 t="s">
        <v>192</v>
      </c>
      <c r="Q802" t="s">
        <v>192</v>
      </c>
      <c r="R802">
        <v>2</v>
      </c>
      <c r="S802">
        <v>3</v>
      </c>
      <c r="T802">
        <v>10001</v>
      </c>
      <c r="U802">
        <v>0</v>
      </c>
      <c r="V802">
        <v>0</v>
      </c>
      <c r="W802">
        <v>0</v>
      </c>
      <c r="X802" s="367"/>
    </row>
    <row r="803" spans="1:24">
      <c r="A803" t="s">
        <v>4242</v>
      </c>
      <c r="B803" t="s">
        <v>4243</v>
      </c>
      <c r="C803">
        <v>2</v>
      </c>
      <c r="D803">
        <v>523</v>
      </c>
      <c r="E803">
        <v>1379000</v>
      </c>
      <c r="F803">
        <v>3</v>
      </c>
      <c r="G803">
        <v>3</v>
      </c>
      <c r="H803">
        <v>2</v>
      </c>
      <c r="I803">
        <v>-1</v>
      </c>
      <c r="J803">
        <v>-33.33</v>
      </c>
      <c r="K803">
        <v>3</v>
      </c>
      <c r="L803">
        <v>0</v>
      </c>
      <c r="M803">
        <v>0</v>
      </c>
      <c r="N803">
        <v>2</v>
      </c>
      <c r="O803">
        <v>3</v>
      </c>
      <c r="P803" t="s">
        <v>192</v>
      </c>
      <c r="Q803" t="s">
        <v>192</v>
      </c>
      <c r="R803">
        <v>2</v>
      </c>
      <c r="S803">
        <v>1100</v>
      </c>
      <c r="T803">
        <v>1</v>
      </c>
      <c r="U803">
        <v>35</v>
      </c>
      <c r="V803">
        <v>341</v>
      </c>
      <c r="W803">
        <v>1</v>
      </c>
      <c r="X803" s="367"/>
    </row>
    <row r="804" spans="1:24">
      <c r="A804" t="s">
        <v>4244</v>
      </c>
      <c r="B804" t="s">
        <v>4245</v>
      </c>
      <c r="C804">
        <v>0</v>
      </c>
      <c r="D804">
        <v>0</v>
      </c>
      <c r="E804">
        <v>0</v>
      </c>
      <c r="F804">
        <v>600</v>
      </c>
      <c r="G804">
        <v>0</v>
      </c>
      <c r="H804">
        <v>600</v>
      </c>
      <c r="I804">
        <v>0</v>
      </c>
      <c r="J804">
        <v>0</v>
      </c>
      <c r="K804">
        <v>600</v>
      </c>
      <c r="L804">
        <v>0</v>
      </c>
      <c r="M804">
        <v>0</v>
      </c>
      <c r="N804">
        <v>0</v>
      </c>
      <c r="O804">
        <v>0</v>
      </c>
      <c r="P804" t="s">
        <v>192</v>
      </c>
      <c r="Q804" t="s">
        <v>192</v>
      </c>
      <c r="R804">
        <v>1</v>
      </c>
      <c r="S804">
        <v>444</v>
      </c>
      <c r="T804">
        <v>4</v>
      </c>
      <c r="U804">
        <v>11000</v>
      </c>
      <c r="V804">
        <v>1</v>
      </c>
      <c r="W804">
        <v>1</v>
      </c>
      <c r="X804" s="367"/>
    </row>
    <row r="805" spans="1:24">
      <c r="A805" t="s">
        <v>4246</v>
      </c>
      <c r="B805" t="s">
        <v>4247</v>
      </c>
      <c r="C805">
        <v>0</v>
      </c>
      <c r="D805">
        <v>0</v>
      </c>
      <c r="E805">
        <v>0</v>
      </c>
      <c r="F805">
        <v>6</v>
      </c>
      <c r="G805">
        <v>0</v>
      </c>
      <c r="H805">
        <v>8</v>
      </c>
      <c r="I805">
        <v>2</v>
      </c>
      <c r="J805">
        <v>33.33</v>
      </c>
      <c r="K805">
        <v>6</v>
      </c>
      <c r="L805">
        <v>0</v>
      </c>
      <c r="M805">
        <v>0</v>
      </c>
      <c r="N805">
        <v>0</v>
      </c>
      <c r="O805">
        <v>0</v>
      </c>
      <c r="P805" t="s">
        <v>192</v>
      </c>
      <c r="Q805" t="s">
        <v>192</v>
      </c>
      <c r="R805">
        <v>1</v>
      </c>
      <c r="S805">
        <v>100</v>
      </c>
      <c r="T805">
        <v>11</v>
      </c>
      <c r="U805">
        <v>90</v>
      </c>
      <c r="V805">
        <v>13</v>
      </c>
      <c r="W805">
        <v>1</v>
      </c>
      <c r="X805" s="367"/>
    </row>
    <row r="806" spans="1:24">
      <c r="A806" t="s">
        <v>4248</v>
      </c>
      <c r="B806" t="s">
        <v>4249</v>
      </c>
      <c r="C806">
        <v>29</v>
      </c>
      <c r="D806">
        <v>1765</v>
      </c>
      <c r="E806">
        <v>344963000</v>
      </c>
      <c r="F806">
        <v>248</v>
      </c>
      <c r="G806">
        <v>151</v>
      </c>
      <c r="H806">
        <v>200</v>
      </c>
      <c r="I806">
        <v>-48</v>
      </c>
      <c r="J806">
        <v>-19.350000000000001</v>
      </c>
      <c r="K806">
        <v>195</v>
      </c>
      <c r="L806">
        <v>-53</v>
      </c>
      <c r="M806">
        <v>-21.37</v>
      </c>
      <c r="N806">
        <v>150</v>
      </c>
      <c r="O806">
        <v>250</v>
      </c>
      <c r="P806" t="s">
        <v>192</v>
      </c>
      <c r="Q806" t="s">
        <v>192</v>
      </c>
      <c r="R806">
        <v>1</v>
      </c>
      <c r="S806">
        <v>30</v>
      </c>
      <c r="T806">
        <v>136</v>
      </c>
      <c r="U806">
        <v>250</v>
      </c>
      <c r="V806">
        <v>100</v>
      </c>
      <c r="W806">
        <v>1</v>
      </c>
      <c r="X806" s="367"/>
    </row>
    <row r="807" spans="1:24">
      <c r="A807" t="s">
        <v>4250</v>
      </c>
      <c r="B807" t="s">
        <v>4251</v>
      </c>
      <c r="C807">
        <v>59</v>
      </c>
      <c r="D807">
        <v>1259</v>
      </c>
      <c r="E807">
        <v>705270000</v>
      </c>
      <c r="F807">
        <v>771</v>
      </c>
      <c r="G807">
        <v>500</v>
      </c>
      <c r="H807">
        <v>510</v>
      </c>
      <c r="I807">
        <v>-261</v>
      </c>
      <c r="J807">
        <v>-33.85</v>
      </c>
      <c r="K807">
        <v>560</v>
      </c>
      <c r="L807">
        <v>-211</v>
      </c>
      <c r="M807">
        <v>-27.37</v>
      </c>
      <c r="N807">
        <v>400</v>
      </c>
      <c r="O807">
        <v>1000</v>
      </c>
      <c r="P807" t="s">
        <v>192</v>
      </c>
      <c r="Q807" t="s">
        <v>192</v>
      </c>
      <c r="R807">
        <v>1</v>
      </c>
      <c r="S807">
        <v>30</v>
      </c>
      <c r="T807">
        <v>505</v>
      </c>
      <c r="U807">
        <v>700</v>
      </c>
      <c r="V807">
        <v>10</v>
      </c>
      <c r="W807">
        <v>1</v>
      </c>
      <c r="X807" s="367"/>
    </row>
    <row r="808" spans="1:24">
      <c r="A808" t="s">
        <v>4254</v>
      </c>
      <c r="B808" t="s">
        <v>4255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 t="s">
        <v>192</v>
      </c>
      <c r="Q808" t="s">
        <v>192</v>
      </c>
      <c r="R808">
        <v>1</v>
      </c>
      <c r="S808">
        <v>100</v>
      </c>
      <c r="T808">
        <v>1</v>
      </c>
      <c r="U808">
        <v>0</v>
      </c>
      <c r="V808">
        <v>0</v>
      </c>
      <c r="W808">
        <v>0</v>
      </c>
      <c r="X808" s="367"/>
    </row>
    <row r="809" spans="1:24">
      <c r="A809" t="s">
        <v>4256</v>
      </c>
      <c r="B809" t="s">
        <v>4257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 t="s">
        <v>192</v>
      </c>
      <c r="Q809" t="s">
        <v>192</v>
      </c>
      <c r="R809">
        <v>1</v>
      </c>
      <c r="S809">
        <v>100</v>
      </c>
      <c r="T809">
        <v>1</v>
      </c>
      <c r="U809">
        <v>0</v>
      </c>
      <c r="V809">
        <v>0</v>
      </c>
      <c r="W809">
        <v>0</v>
      </c>
      <c r="X809" s="367"/>
    </row>
    <row r="810" spans="1:24">
      <c r="A810" t="s">
        <v>4258</v>
      </c>
      <c r="B810" t="s">
        <v>4259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 t="s">
        <v>192</v>
      </c>
      <c r="Q810" t="s">
        <v>192</v>
      </c>
      <c r="R810">
        <v>1</v>
      </c>
      <c r="S810">
        <v>100</v>
      </c>
      <c r="T810">
        <v>1</v>
      </c>
      <c r="U810">
        <v>0</v>
      </c>
      <c r="V810">
        <v>0</v>
      </c>
      <c r="W810">
        <v>0</v>
      </c>
      <c r="X810" s="367"/>
    </row>
    <row r="811" spans="1:24">
      <c r="A811" t="s">
        <v>4260</v>
      </c>
      <c r="B811" t="s">
        <v>4261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 t="s">
        <v>192</v>
      </c>
      <c r="Q811" t="s">
        <v>192</v>
      </c>
      <c r="R811">
        <v>1</v>
      </c>
      <c r="S811">
        <v>100</v>
      </c>
      <c r="T811">
        <v>1</v>
      </c>
      <c r="U811">
        <v>0</v>
      </c>
      <c r="V811">
        <v>0</v>
      </c>
      <c r="W811">
        <v>0</v>
      </c>
      <c r="X811" s="367"/>
    </row>
    <row r="812" spans="1:24">
      <c r="A812" t="s">
        <v>4262</v>
      </c>
      <c r="B812" t="s">
        <v>4263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 t="s">
        <v>192</v>
      </c>
      <c r="Q812" t="s">
        <v>192</v>
      </c>
      <c r="R812">
        <v>1</v>
      </c>
      <c r="S812">
        <v>3</v>
      </c>
      <c r="T812">
        <v>3250</v>
      </c>
      <c r="U812">
        <v>0</v>
      </c>
      <c r="V812">
        <v>0</v>
      </c>
      <c r="W812">
        <v>0</v>
      </c>
      <c r="X812" s="367"/>
    </row>
    <row r="813" spans="1:24">
      <c r="A813" t="s">
        <v>4264</v>
      </c>
      <c r="B813" t="s">
        <v>4265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 t="s">
        <v>192</v>
      </c>
      <c r="Q813" t="s">
        <v>192</v>
      </c>
      <c r="R813">
        <v>1</v>
      </c>
      <c r="S813">
        <v>100</v>
      </c>
      <c r="T813">
        <v>1</v>
      </c>
      <c r="U813">
        <v>0</v>
      </c>
      <c r="V813">
        <v>0</v>
      </c>
      <c r="W813">
        <v>0</v>
      </c>
      <c r="X813" s="367"/>
    </row>
    <row r="814" spans="1:24">
      <c r="A814" t="s">
        <v>4266</v>
      </c>
      <c r="B814" t="s">
        <v>4267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 t="s">
        <v>192</v>
      </c>
      <c r="Q814" t="s">
        <v>192</v>
      </c>
      <c r="R814">
        <v>1</v>
      </c>
      <c r="S814">
        <v>100</v>
      </c>
      <c r="T814">
        <v>1</v>
      </c>
      <c r="U814">
        <v>0</v>
      </c>
      <c r="V814">
        <v>0</v>
      </c>
      <c r="W814">
        <v>0</v>
      </c>
      <c r="X814" s="367"/>
    </row>
    <row r="815" spans="1:24">
      <c r="A815" t="s">
        <v>4270</v>
      </c>
      <c r="B815" t="s">
        <v>4271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 t="s">
        <v>192</v>
      </c>
      <c r="Q815" t="s">
        <v>192</v>
      </c>
      <c r="R815">
        <v>1</v>
      </c>
      <c r="S815">
        <v>100</v>
      </c>
      <c r="T815">
        <v>1</v>
      </c>
      <c r="U815">
        <v>0</v>
      </c>
      <c r="V815">
        <v>0</v>
      </c>
      <c r="W815">
        <v>0</v>
      </c>
      <c r="X815" s="367"/>
    </row>
    <row r="816" spans="1:24">
      <c r="A816" t="s">
        <v>4272</v>
      </c>
      <c r="B816" t="s">
        <v>4273</v>
      </c>
      <c r="C816">
        <v>0</v>
      </c>
      <c r="D816">
        <v>0</v>
      </c>
      <c r="E816">
        <v>0</v>
      </c>
      <c r="F816">
        <v>529</v>
      </c>
      <c r="G816">
        <v>0</v>
      </c>
      <c r="H816">
        <v>600</v>
      </c>
      <c r="I816">
        <v>71</v>
      </c>
      <c r="J816">
        <v>13.42</v>
      </c>
      <c r="K816">
        <v>529</v>
      </c>
      <c r="L816">
        <v>0</v>
      </c>
      <c r="M816">
        <v>0</v>
      </c>
      <c r="N816">
        <v>0</v>
      </c>
      <c r="O816">
        <v>0</v>
      </c>
      <c r="P816" t="s">
        <v>192</v>
      </c>
      <c r="Q816" t="s">
        <v>192</v>
      </c>
      <c r="R816">
        <v>1</v>
      </c>
      <c r="S816">
        <v>50</v>
      </c>
      <c r="T816">
        <v>2</v>
      </c>
      <c r="U816">
        <v>300</v>
      </c>
      <c r="V816">
        <v>1</v>
      </c>
      <c r="W816">
        <v>1</v>
      </c>
      <c r="X816" s="367"/>
    </row>
    <row r="817" spans="1:24">
      <c r="A817" t="s">
        <v>4274</v>
      </c>
      <c r="B817" t="s">
        <v>4275</v>
      </c>
      <c r="C817">
        <v>0</v>
      </c>
      <c r="D817">
        <v>0</v>
      </c>
      <c r="E817">
        <v>0</v>
      </c>
      <c r="F817">
        <v>1200</v>
      </c>
      <c r="G817">
        <v>0</v>
      </c>
      <c r="H817">
        <v>1200</v>
      </c>
      <c r="I817">
        <v>0</v>
      </c>
      <c r="J817">
        <v>0</v>
      </c>
      <c r="K817">
        <v>1200</v>
      </c>
      <c r="L817">
        <v>0</v>
      </c>
      <c r="M817">
        <v>0</v>
      </c>
      <c r="N817">
        <v>0</v>
      </c>
      <c r="O817">
        <v>0</v>
      </c>
      <c r="P817" t="s">
        <v>192</v>
      </c>
      <c r="Q817" t="s">
        <v>192</v>
      </c>
      <c r="R817">
        <v>1</v>
      </c>
      <c r="S817">
        <v>250</v>
      </c>
      <c r="T817">
        <v>2</v>
      </c>
      <c r="U817">
        <v>0</v>
      </c>
      <c r="V817">
        <v>0</v>
      </c>
      <c r="W817">
        <v>0</v>
      </c>
      <c r="X817" s="367"/>
    </row>
    <row r="818" spans="1:24">
      <c r="A818" t="s">
        <v>4278</v>
      </c>
      <c r="B818" t="s">
        <v>4279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 t="s">
        <v>192</v>
      </c>
      <c r="Q818" t="s">
        <v>192</v>
      </c>
      <c r="R818">
        <v>1</v>
      </c>
      <c r="S818">
        <v>20</v>
      </c>
      <c r="T818">
        <v>1001</v>
      </c>
      <c r="U818">
        <v>0</v>
      </c>
      <c r="V818">
        <v>0</v>
      </c>
      <c r="W818">
        <v>0</v>
      </c>
      <c r="X818" s="367"/>
    </row>
    <row r="819" spans="1:24">
      <c r="A819" t="s">
        <v>4280</v>
      </c>
      <c r="B819" t="s">
        <v>4281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 t="s">
        <v>192</v>
      </c>
      <c r="Q819" t="s">
        <v>192</v>
      </c>
      <c r="R819">
        <v>1</v>
      </c>
      <c r="S819">
        <v>100</v>
      </c>
      <c r="T819">
        <v>1</v>
      </c>
      <c r="U819">
        <v>0</v>
      </c>
      <c r="V819">
        <v>0</v>
      </c>
      <c r="W819">
        <v>0</v>
      </c>
      <c r="X819" s="367"/>
    </row>
    <row r="820" spans="1:24">
      <c r="A820" t="s">
        <v>4286</v>
      </c>
      <c r="B820" t="s">
        <v>4287</v>
      </c>
      <c r="C820">
        <v>0</v>
      </c>
      <c r="D820">
        <v>0</v>
      </c>
      <c r="E820">
        <v>0</v>
      </c>
      <c r="F820">
        <v>450</v>
      </c>
      <c r="G820">
        <v>0</v>
      </c>
      <c r="H820">
        <v>450</v>
      </c>
      <c r="I820">
        <v>0</v>
      </c>
      <c r="J820">
        <v>0</v>
      </c>
      <c r="K820">
        <v>450</v>
      </c>
      <c r="L820">
        <v>0</v>
      </c>
      <c r="M820">
        <v>0</v>
      </c>
      <c r="N820">
        <v>0</v>
      </c>
      <c r="O820">
        <v>0</v>
      </c>
      <c r="P820" t="s">
        <v>192</v>
      </c>
      <c r="Q820" t="s">
        <v>192</v>
      </c>
      <c r="R820">
        <v>1</v>
      </c>
      <c r="S820">
        <v>100</v>
      </c>
      <c r="T820">
        <v>1</v>
      </c>
      <c r="U820">
        <v>0</v>
      </c>
      <c r="V820">
        <v>0</v>
      </c>
      <c r="W820">
        <v>0</v>
      </c>
      <c r="X820" s="367"/>
    </row>
    <row r="821" spans="1:24">
      <c r="A821" t="s">
        <v>4288</v>
      </c>
      <c r="B821" t="s">
        <v>4289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 t="s">
        <v>192</v>
      </c>
      <c r="Q821" t="s">
        <v>192</v>
      </c>
      <c r="R821">
        <v>1</v>
      </c>
      <c r="S821">
        <v>100</v>
      </c>
      <c r="T821">
        <v>1</v>
      </c>
      <c r="U821">
        <v>0</v>
      </c>
      <c r="V821">
        <v>0</v>
      </c>
      <c r="W821">
        <v>0</v>
      </c>
      <c r="X821" s="367"/>
    </row>
    <row r="822" spans="1:24">
      <c r="A822" t="s">
        <v>4290</v>
      </c>
      <c r="B822" t="s">
        <v>4291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 t="s">
        <v>192</v>
      </c>
      <c r="Q822" t="s">
        <v>192</v>
      </c>
      <c r="R822">
        <v>1</v>
      </c>
      <c r="S822">
        <v>44</v>
      </c>
      <c r="T822">
        <v>44</v>
      </c>
      <c r="U822">
        <v>0</v>
      </c>
      <c r="V822">
        <v>0</v>
      </c>
      <c r="W822">
        <v>0</v>
      </c>
      <c r="X822" s="367"/>
    </row>
    <row r="823" spans="1:24">
      <c r="A823" t="s">
        <v>4292</v>
      </c>
      <c r="B823" t="s">
        <v>4293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 t="s">
        <v>192</v>
      </c>
      <c r="Q823" t="s">
        <v>192</v>
      </c>
      <c r="R823">
        <v>1</v>
      </c>
      <c r="S823">
        <v>100</v>
      </c>
      <c r="T823">
        <v>100</v>
      </c>
      <c r="U823">
        <v>0</v>
      </c>
      <c r="V823">
        <v>0</v>
      </c>
      <c r="W823">
        <v>0</v>
      </c>
      <c r="X823" s="367"/>
    </row>
    <row r="824" spans="1:24">
      <c r="A824" t="s">
        <v>4296</v>
      </c>
      <c r="B824" t="s">
        <v>4297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 t="s">
        <v>192</v>
      </c>
      <c r="Q824" t="s">
        <v>192</v>
      </c>
      <c r="R824">
        <v>1</v>
      </c>
      <c r="S824">
        <v>100</v>
      </c>
      <c r="T824">
        <v>1</v>
      </c>
      <c r="U824">
        <v>0</v>
      </c>
      <c r="V824">
        <v>0</v>
      </c>
      <c r="W824">
        <v>0</v>
      </c>
      <c r="X824" s="367"/>
    </row>
    <row r="825" spans="1:24">
      <c r="A825" t="s">
        <v>4300</v>
      </c>
      <c r="B825" t="s">
        <v>4301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 t="s">
        <v>192</v>
      </c>
      <c r="Q825" t="s">
        <v>192</v>
      </c>
      <c r="R825">
        <v>1</v>
      </c>
      <c r="S825">
        <v>100</v>
      </c>
      <c r="T825">
        <v>1</v>
      </c>
      <c r="U825">
        <v>0</v>
      </c>
      <c r="V825">
        <v>0</v>
      </c>
      <c r="W825">
        <v>0</v>
      </c>
      <c r="X825" s="367"/>
    </row>
    <row r="826" spans="1:24">
      <c r="A826" t="s">
        <v>4302</v>
      </c>
      <c r="B826" t="s">
        <v>4303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 t="s">
        <v>192</v>
      </c>
      <c r="Q826" t="s">
        <v>192</v>
      </c>
      <c r="R826">
        <v>1</v>
      </c>
      <c r="S826">
        <v>100</v>
      </c>
      <c r="T826">
        <v>1</v>
      </c>
      <c r="U826">
        <v>0</v>
      </c>
      <c r="V826">
        <v>0</v>
      </c>
      <c r="W826">
        <v>0</v>
      </c>
      <c r="X826" s="367"/>
    </row>
    <row r="827" spans="1:24">
      <c r="A827" t="s">
        <v>4304</v>
      </c>
      <c r="B827" t="s">
        <v>4305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 t="s">
        <v>192</v>
      </c>
      <c r="Q827" t="s">
        <v>192</v>
      </c>
      <c r="R827">
        <v>1</v>
      </c>
      <c r="S827">
        <v>333</v>
      </c>
      <c r="T827">
        <v>3</v>
      </c>
      <c r="U827">
        <v>0</v>
      </c>
      <c r="V827">
        <v>0</v>
      </c>
      <c r="W827">
        <v>0</v>
      </c>
      <c r="X827" s="367"/>
    </row>
    <row r="828" spans="1:24">
      <c r="A828" t="s">
        <v>4306</v>
      </c>
      <c r="B828" t="s">
        <v>4307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 t="s">
        <v>192</v>
      </c>
      <c r="Q828" t="s">
        <v>192</v>
      </c>
      <c r="R828">
        <v>1</v>
      </c>
      <c r="S828">
        <v>1000</v>
      </c>
      <c r="T828">
        <v>45</v>
      </c>
      <c r="U828">
        <v>0</v>
      </c>
      <c r="V828">
        <v>0</v>
      </c>
      <c r="W828">
        <v>0</v>
      </c>
      <c r="X828" s="367"/>
    </row>
    <row r="829" spans="1:24">
      <c r="A829" t="s">
        <v>4312</v>
      </c>
      <c r="B829" t="s">
        <v>4313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 t="s">
        <v>192</v>
      </c>
      <c r="Q829" t="s">
        <v>192</v>
      </c>
      <c r="R829">
        <v>1</v>
      </c>
      <c r="S829">
        <v>100</v>
      </c>
      <c r="T829">
        <v>1</v>
      </c>
      <c r="U829">
        <v>0</v>
      </c>
      <c r="V829">
        <v>0</v>
      </c>
      <c r="W829">
        <v>0</v>
      </c>
      <c r="X829" s="367"/>
    </row>
    <row r="830" spans="1:24">
      <c r="A830" t="s">
        <v>4314</v>
      </c>
      <c r="B830" t="s">
        <v>4315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1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 t="s">
        <v>192</v>
      </c>
      <c r="Q830" t="s">
        <v>192</v>
      </c>
      <c r="R830">
        <v>1</v>
      </c>
      <c r="S830">
        <v>100</v>
      </c>
      <c r="T830">
        <v>1</v>
      </c>
      <c r="U830">
        <v>0</v>
      </c>
      <c r="V830">
        <v>0</v>
      </c>
      <c r="W830">
        <v>0</v>
      </c>
      <c r="X830" s="367"/>
    </row>
    <row r="831" spans="1:24">
      <c r="A831" t="s">
        <v>4316</v>
      </c>
      <c r="B831" t="s">
        <v>4317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 t="s">
        <v>192</v>
      </c>
      <c r="Q831" t="s">
        <v>192</v>
      </c>
      <c r="R831">
        <v>1</v>
      </c>
      <c r="S831">
        <v>111</v>
      </c>
      <c r="T831">
        <v>11</v>
      </c>
      <c r="U831">
        <v>0</v>
      </c>
      <c r="V831">
        <v>0</v>
      </c>
      <c r="W831">
        <v>0</v>
      </c>
      <c r="X831" s="367"/>
    </row>
    <row r="832" spans="1:24">
      <c r="A832" t="s">
        <v>4318</v>
      </c>
      <c r="B832" t="s">
        <v>4319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 t="s">
        <v>192</v>
      </c>
      <c r="Q832" t="s">
        <v>192</v>
      </c>
      <c r="R832">
        <v>1</v>
      </c>
      <c r="S832">
        <v>111</v>
      </c>
      <c r="T832">
        <v>11</v>
      </c>
      <c r="U832">
        <v>0</v>
      </c>
      <c r="V832">
        <v>0</v>
      </c>
      <c r="W832">
        <v>0</v>
      </c>
      <c r="X832" s="367"/>
    </row>
    <row r="833" spans="1:24">
      <c r="A833" t="s">
        <v>4320</v>
      </c>
      <c r="B833" t="s">
        <v>4321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 t="s">
        <v>192</v>
      </c>
      <c r="Q833" t="s">
        <v>192</v>
      </c>
      <c r="R833">
        <v>1</v>
      </c>
      <c r="S833">
        <v>100</v>
      </c>
      <c r="T833">
        <v>1</v>
      </c>
      <c r="U833">
        <v>0</v>
      </c>
      <c r="V833">
        <v>0</v>
      </c>
      <c r="W833">
        <v>0</v>
      </c>
      <c r="X833" s="367"/>
    </row>
    <row r="834" spans="1:24">
      <c r="A834" t="s">
        <v>4322</v>
      </c>
      <c r="B834" t="s">
        <v>4323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 t="s">
        <v>192</v>
      </c>
      <c r="Q834" t="s">
        <v>192</v>
      </c>
      <c r="R834">
        <v>1</v>
      </c>
      <c r="S834">
        <v>111</v>
      </c>
      <c r="T834">
        <v>11</v>
      </c>
      <c r="U834">
        <v>0</v>
      </c>
      <c r="V834">
        <v>0</v>
      </c>
      <c r="W834">
        <v>0</v>
      </c>
      <c r="X834" s="367"/>
    </row>
    <row r="835" spans="1:24">
      <c r="A835" t="s">
        <v>4324</v>
      </c>
      <c r="B835" t="s">
        <v>4325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 t="s">
        <v>192</v>
      </c>
      <c r="Q835" t="s">
        <v>192</v>
      </c>
      <c r="R835">
        <v>1</v>
      </c>
      <c r="S835">
        <v>100</v>
      </c>
      <c r="T835">
        <v>1</v>
      </c>
      <c r="U835">
        <v>0</v>
      </c>
      <c r="V835">
        <v>0</v>
      </c>
      <c r="W835">
        <v>0</v>
      </c>
      <c r="X835" s="367"/>
    </row>
    <row r="836" spans="1:24">
      <c r="A836" t="s">
        <v>4326</v>
      </c>
      <c r="B836" t="s">
        <v>4327</v>
      </c>
      <c r="C836">
        <v>0</v>
      </c>
      <c r="D836">
        <v>0</v>
      </c>
      <c r="E836">
        <v>0</v>
      </c>
      <c r="F836">
        <v>2639</v>
      </c>
      <c r="G836">
        <v>0</v>
      </c>
      <c r="H836">
        <v>2400</v>
      </c>
      <c r="I836">
        <v>-239</v>
      </c>
      <c r="J836">
        <v>-9.06</v>
      </c>
      <c r="K836">
        <v>2639</v>
      </c>
      <c r="L836">
        <v>0</v>
      </c>
      <c r="M836">
        <v>0</v>
      </c>
      <c r="N836">
        <v>0</v>
      </c>
      <c r="O836">
        <v>0</v>
      </c>
      <c r="P836" t="s">
        <v>192</v>
      </c>
      <c r="Q836" t="s">
        <v>192</v>
      </c>
      <c r="R836">
        <v>1</v>
      </c>
      <c r="S836">
        <v>250</v>
      </c>
      <c r="T836">
        <v>2</v>
      </c>
      <c r="U836">
        <v>0</v>
      </c>
      <c r="V836">
        <v>0</v>
      </c>
      <c r="W836">
        <v>0</v>
      </c>
      <c r="X836" s="367"/>
    </row>
    <row r="837" spans="1:24">
      <c r="A837" t="s">
        <v>4328</v>
      </c>
      <c r="B837" t="s">
        <v>4329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0</v>
      </c>
      <c r="P837" t="s">
        <v>192</v>
      </c>
      <c r="Q837" t="s">
        <v>192</v>
      </c>
      <c r="R837">
        <v>1</v>
      </c>
      <c r="S837">
        <v>44</v>
      </c>
      <c r="T837">
        <v>44</v>
      </c>
      <c r="U837">
        <v>0</v>
      </c>
      <c r="V837">
        <v>0</v>
      </c>
      <c r="W837">
        <v>0</v>
      </c>
      <c r="X837" s="367"/>
    </row>
    <row r="838" spans="1:24">
      <c r="A838" t="s">
        <v>4330</v>
      </c>
      <c r="B838" t="s">
        <v>4331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 t="s">
        <v>192</v>
      </c>
      <c r="Q838" t="s">
        <v>192</v>
      </c>
      <c r="R838">
        <v>1</v>
      </c>
      <c r="S838">
        <v>22</v>
      </c>
      <c r="T838">
        <v>88</v>
      </c>
      <c r="U838">
        <v>0</v>
      </c>
      <c r="V838">
        <v>0</v>
      </c>
      <c r="W838">
        <v>0</v>
      </c>
      <c r="X838" s="367"/>
    </row>
    <row r="839" spans="1:24">
      <c r="A839" t="s">
        <v>4332</v>
      </c>
      <c r="B839" t="s">
        <v>4333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 t="s">
        <v>192</v>
      </c>
      <c r="Q839" t="s">
        <v>192</v>
      </c>
      <c r="R839">
        <v>1</v>
      </c>
      <c r="S839">
        <v>200</v>
      </c>
      <c r="T839">
        <v>100</v>
      </c>
      <c r="U839">
        <v>0</v>
      </c>
      <c r="V839">
        <v>0</v>
      </c>
      <c r="W839">
        <v>0</v>
      </c>
      <c r="X839" s="367"/>
    </row>
    <row r="840" spans="1:24">
      <c r="A840" t="s">
        <v>4334</v>
      </c>
      <c r="B840" t="s">
        <v>4335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 t="s">
        <v>192</v>
      </c>
      <c r="Q840" t="s">
        <v>192</v>
      </c>
      <c r="R840">
        <v>1</v>
      </c>
      <c r="S840">
        <v>20</v>
      </c>
      <c r="T840">
        <v>501</v>
      </c>
      <c r="U840">
        <v>0</v>
      </c>
      <c r="V840">
        <v>0</v>
      </c>
      <c r="W840">
        <v>0</v>
      </c>
      <c r="X840" s="367"/>
    </row>
    <row r="841" spans="1:24">
      <c r="A841" t="s">
        <v>4336</v>
      </c>
      <c r="B841" t="s">
        <v>4337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1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 t="s">
        <v>192</v>
      </c>
      <c r="Q841" t="s">
        <v>192</v>
      </c>
      <c r="R841">
        <v>1</v>
      </c>
      <c r="S841">
        <v>100</v>
      </c>
      <c r="T841">
        <v>1</v>
      </c>
      <c r="U841">
        <v>0</v>
      </c>
      <c r="V841">
        <v>0</v>
      </c>
      <c r="W841">
        <v>0</v>
      </c>
      <c r="X841" s="367"/>
    </row>
    <row r="842" spans="1:24">
      <c r="A842" t="s">
        <v>4340</v>
      </c>
      <c r="B842" t="s">
        <v>4341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1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 t="s">
        <v>192</v>
      </c>
      <c r="Q842" t="s">
        <v>192</v>
      </c>
      <c r="R842">
        <v>1</v>
      </c>
      <c r="S842">
        <v>111</v>
      </c>
      <c r="T842">
        <v>11</v>
      </c>
      <c r="U842">
        <v>0</v>
      </c>
      <c r="V842">
        <v>0</v>
      </c>
      <c r="W842">
        <v>0</v>
      </c>
      <c r="X842" s="367"/>
    </row>
    <row r="843" spans="1:24">
      <c r="A843" t="s">
        <v>4358</v>
      </c>
      <c r="B843" t="s">
        <v>4359</v>
      </c>
      <c r="C843">
        <v>52</v>
      </c>
      <c r="D843">
        <v>11745</v>
      </c>
      <c r="E843">
        <v>96743000</v>
      </c>
      <c r="F843">
        <v>91</v>
      </c>
      <c r="G843">
        <v>31</v>
      </c>
      <c r="H843">
        <v>9</v>
      </c>
      <c r="I843">
        <v>-82</v>
      </c>
      <c r="J843">
        <v>-90.11</v>
      </c>
      <c r="K843">
        <v>8</v>
      </c>
      <c r="L843">
        <v>-83</v>
      </c>
      <c r="M843">
        <v>-91.21</v>
      </c>
      <c r="N843">
        <v>5</v>
      </c>
      <c r="O843">
        <v>31</v>
      </c>
      <c r="P843" t="s">
        <v>192</v>
      </c>
      <c r="Q843" t="s">
        <v>192</v>
      </c>
      <c r="R843">
        <v>3</v>
      </c>
      <c r="S843">
        <v>2000</v>
      </c>
      <c r="T843">
        <v>3</v>
      </c>
      <c r="U843">
        <v>10</v>
      </c>
      <c r="V843">
        <v>2066</v>
      </c>
      <c r="W843">
        <v>3</v>
      </c>
      <c r="X843" s="367"/>
    </row>
    <row r="844" spans="1:24">
      <c r="A844" t="s">
        <v>4362</v>
      </c>
      <c r="B844" t="s">
        <v>4363</v>
      </c>
      <c r="C844">
        <v>1145</v>
      </c>
      <c r="D844">
        <v>88550</v>
      </c>
      <c r="E844">
        <v>22765473000</v>
      </c>
      <c r="F844">
        <v>300</v>
      </c>
      <c r="G844">
        <v>340</v>
      </c>
      <c r="H844">
        <v>240</v>
      </c>
      <c r="I844">
        <v>-60</v>
      </c>
      <c r="J844">
        <v>-20</v>
      </c>
      <c r="K844">
        <v>257</v>
      </c>
      <c r="L844">
        <v>-43</v>
      </c>
      <c r="M844">
        <v>-14.33</v>
      </c>
      <c r="N844">
        <v>155</v>
      </c>
      <c r="O844">
        <v>360</v>
      </c>
      <c r="P844" t="s">
        <v>192</v>
      </c>
      <c r="Q844" t="s">
        <v>192</v>
      </c>
      <c r="R844">
        <v>2</v>
      </c>
      <c r="S844">
        <v>1769</v>
      </c>
      <c r="T844">
        <v>240</v>
      </c>
      <c r="U844">
        <v>268</v>
      </c>
      <c r="V844">
        <v>100</v>
      </c>
      <c r="W844">
        <v>1</v>
      </c>
      <c r="X844" s="367"/>
    </row>
    <row r="845" spans="1:24">
      <c r="A845" t="s">
        <v>4366</v>
      </c>
      <c r="B845" t="s">
        <v>4367</v>
      </c>
      <c r="C845">
        <v>1447</v>
      </c>
      <c r="D845">
        <v>40788</v>
      </c>
      <c r="E845">
        <v>116282512000</v>
      </c>
      <c r="F845">
        <v>5003</v>
      </c>
      <c r="G845">
        <v>3360</v>
      </c>
      <c r="H845">
        <v>2630</v>
      </c>
      <c r="I845">
        <v>-2373</v>
      </c>
      <c r="J845">
        <v>-47.43</v>
      </c>
      <c r="K845">
        <v>2851</v>
      </c>
      <c r="L845">
        <v>-2152</v>
      </c>
      <c r="M845">
        <v>-43.01</v>
      </c>
      <c r="N845">
        <v>1001</v>
      </c>
      <c r="O845">
        <v>3650</v>
      </c>
      <c r="P845" t="s">
        <v>192</v>
      </c>
      <c r="Q845" t="s">
        <v>192</v>
      </c>
      <c r="R845">
        <v>1</v>
      </c>
      <c r="S845">
        <v>30</v>
      </c>
      <c r="T845">
        <v>2600</v>
      </c>
      <c r="U845">
        <v>2636</v>
      </c>
      <c r="V845">
        <v>20</v>
      </c>
      <c r="W845">
        <v>2</v>
      </c>
      <c r="X845" s="367"/>
    </row>
    <row r="846" spans="1:24">
      <c r="A846" t="s">
        <v>4368</v>
      </c>
      <c r="B846" t="s">
        <v>4369</v>
      </c>
      <c r="C846">
        <v>3682</v>
      </c>
      <c r="D846">
        <v>77597</v>
      </c>
      <c r="E846">
        <v>146198731000</v>
      </c>
      <c r="F846">
        <v>2763</v>
      </c>
      <c r="G846">
        <v>1900</v>
      </c>
      <c r="H846">
        <v>1835</v>
      </c>
      <c r="I846">
        <v>-928</v>
      </c>
      <c r="J846">
        <v>-33.590000000000003</v>
      </c>
      <c r="K846">
        <v>1884</v>
      </c>
      <c r="L846">
        <v>-879</v>
      </c>
      <c r="M846">
        <v>-31.81</v>
      </c>
      <c r="N846">
        <v>1701</v>
      </c>
      <c r="O846">
        <v>2100</v>
      </c>
      <c r="P846" t="s">
        <v>192</v>
      </c>
      <c r="Q846" t="s">
        <v>192</v>
      </c>
      <c r="R846">
        <v>1</v>
      </c>
      <c r="S846">
        <v>6</v>
      </c>
      <c r="T846">
        <v>1835</v>
      </c>
      <c r="U846">
        <v>1835</v>
      </c>
      <c r="V846">
        <v>100</v>
      </c>
      <c r="W846">
        <v>1</v>
      </c>
      <c r="X846" s="367"/>
    </row>
    <row r="847" spans="1:24">
      <c r="A847" t="s">
        <v>4372</v>
      </c>
      <c r="B847" t="s">
        <v>4373</v>
      </c>
      <c r="C847">
        <v>509</v>
      </c>
      <c r="D847">
        <v>5393</v>
      </c>
      <c r="E847">
        <v>26589789000</v>
      </c>
      <c r="F847">
        <v>6786</v>
      </c>
      <c r="G847">
        <v>5020</v>
      </c>
      <c r="H847">
        <v>4799</v>
      </c>
      <c r="I847">
        <v>-1987</v>
      </c>
      <c r="J847">
        <v>-29.28</v>
      </c>
      <c r="K847">
        <v>4930</v>
      </c>
      <c r="L847">
        <v>-1856</v>
      </c>
      <c r="M847">
        <v>-27.35</v>
      </c>
      <c r="N847">
        <v>4652</v>
      </c>
      <c r="O847">
        <v>5699</v>
      </c>
      <c r="P847" t="s">
        <v>192</v>
      </c>
      <c r="Q847" t="s">
        <v>192</v>
      </c>
      <c r="R847">
        <v>1</v>
      </c>
      <c r="S847">
        <v>1</v>
      </c>
      <c r="T847">
        <v>4652</v>
      </c>
      <c r="U847">
        <v>4799</v>
      </c>
      <c r="V847">
        <v>52</v>
      </c>
      <c r="W847">
        <v>3</v>
      </c>
      <c r="X847" s="367"/>
    </row>
    <row r="848" spans="1:24">
      <c r="A848" t="s">
        <v>4374</v>
      </c>
      <c r="B848" t="s">
        <v>4375</v>
      </c>
      <c r="C848">
        <v>40</v>
      </c>
      <c r="D848">
        <v>124</v>
      </c>
      <c r="E848">
        <v>1665570000</v>
      </c>
      <c r="F848">
        <v>16121</v>
      </c>
      <c r="G848">
        <v>15880</v>
      </c>
      <c r="H848">
        <v>13000</v>
      </c>
      <c r="I848">
        <v>-3121</v>
      </c>
      <c r="J848">
        <v>-19.36</v>
      </c>
      <c r="K848">
        <v>13432</v>
      </c>
      <c r="L848">
        <v>-2689</v>
      </c>
      <c r="M848">
        <v>-16.68</v>
      </c>
      <c r="N848">
        <v>13000</v>
      </c>
      <c r="O848">
        <v>15880</v>
      </c>
      <c r="P848" t="s">
        <v>192</v>
      </c>
      <c r="Q848" t="s">
        <v>192</v>
      </c>
      <c r="R848">
        <v>1</v>
      </c>
      <c r="S848">
        <v>5</v>
      </c>
      <c r="T848">
        <v>12000</v>
      </c>
      <c r="U848">
        <v>14000</v>
      </c>
      <c r="V848">
        <v>1</v>
      </c>
      <c r="W848">
        <v>1</v>
      </c>
      <c r="X848" s="367"/>
    </row>
    <row r="849" spans="1:24">
      <c r="A849" t="s">
        <v>4382</v>
      </c>
      <c r="B849" t="s">
        <v>4383</v>
      </c>
      <c r="C849">
        <v>196</v>
      </c>
      <c r="D849">
        <v>1812</v>
      </c>
      <c r="E849">
        <v>22628599000</v>
      </c>
      <c r="F849">
        <v>19000</v>
      </c>
      <c r="G849">
        <v>13001</v>
      </c>
      <c r="H849">
        <v>12002</v>
      </c>
      <c r="I849">
        <v>-6998</v>
      </c>
      <c r="J849">
        <v>-36.83</v>
      </c>
      <c r="K849">
        <v>12488</v>
      </c>
      <c r="L849">
        <v>-6512</v>
      </c>
      <c r="M849">
        <v>-34.270000000000003</v>
      </c>
      <c r="N849">
        <v>11800</v>
      </c>
      <c r="O849">
        <v>13990</v>
      </c>
      <c r="P849" t="s">
        <v>192</v>
      </c>
      <c r="Q849" t="s">
        <v>192</v>
      </c>
      <c r="R849">
        <v>4</v>
      </c>
      <c r="S849">
        <v>8</v>
      </c>
      <c r="T849">
        <v>11800</v>
      </c>
      <c r="U849">
        <v>12116</v>
      </c>
      <c r="V849">
        <v>4</v>
      </c>
      <c r="W849">
        <v>1</v>
      </c>
      <c r="X849" s="367"/>
    </row>
    <row r="850" spans="1:24">
      <c r="A850" t="s">
        <v>7888</v>
      </c>
      <c r="B850" t="s">
        <v>7889</v>
      </c>
      <c r="C850">
        <v>4</v>
      </c>
      <c r="D850">
        <v>40</v>
      </c>
      <c r="E850">
        <v>11828000</v>
      </c>
      <c r="F850">
        <v>200</v>
      </c>
      <c r="G850">
        <v>295</v>
      </c>
      <c r="H850">
        <v>295</v>
      </c>
      <c r="I850">
        <v>95</v>
      </c>
      <c r="J850">
        <v>47.5</v>
      </c>
      <c r="K850">
        <v>296</v>
      </c>
      <c r="L850">
        <v>96</v>
      </c>
      <c r="M850">
        <v>48</v>
      </c>
      <c r="N850">
        <v>294</v>
      </c>
      <c r="O850">
        <v>296</v>
      </c>
      <c r="P850" t="s">
        <v>192</v>
      </c>
      <c r="Q850" t="s">
        <v>192</v>
      </c>
      <c r="R850">
        <v>1</v>
      </c>
      <c r="S850">
        <v>5</v>
      </c>
      <c r="T850">
        <v>165</v>
      </c>
      <c r="U850">
        <v>293</v>
      </c>
      <c r="V850">
        <v>64</v>
      </c>
      <c r="W850">
        <v>1</v>
      </c>
      <c r="X850" s="367"/>
    </row>
    <row r="851" spans="1:24">
      <c r="A851" t="s">
        <v>7892</v>
      </c>
      <c r="B851" t="s">
        <v>7893</v>
      </c>
      <c r="C851">
        <v>5</v>
      </c>
      <c r="D851">
        <v>20</v>
      </c>
      <c r="E851">
        <v>13375000</v>
      </c>
      <c r="F851">
        <v>500</v>
      </c>
      <c r="G851">
        <v>780</v>
      </c>
      <c r="H851">
        <v>695</v>
      </c>
      <c r="I851">
        <v>195</v>
      </c>
      <c r="J851">
        <v>39</v>
      </c>
      <c r="K851">
        <v>669</v>
      </c>
      <c r="L851">
        <v>169</v>
      </c>
      <c r="M851">
        <v>33.799999999999997</v>
      </c>
      <c r="N851">
        <v>500</v>
      </c>
      <c r="O851">
        <v>780</v>
      </c>
      <c r="P851" t="s">
        <v>192</v>
      </c>
      <c r="Q851" t="s">
        <v>192</v>
      </c>
      <c r="R851">
        <v>1</v>
      </c>
      <c r="S851">
        <v>1</v>
      </c>
      <c r="T851">
        <v>115</v>
      </c>
      <c r="U851">
        <v>695</v>
      </c>
      <c r="V851">
        <v>197</v>
      </c>
      <c r="W851">
        <v>1</v>
      </c>
      <c r="X851" s="367"/>
    </row>
    <row r="852" spans="1:24">
      <c r="A852" t="s">
        <v>7894</v>
      </c>
      <c r="B852" t="s">
        <v>7895</v>
      </c>
      <c r="C852">
        <v>0</v>
      </c>
      <c r="D852">
        <v>0</v>
      </c>
      <c r="E852">
        <v>0</v>
      </c>
      <c r="F852">
        <v>2000</v>
      </c>
      <c r="G852">
        <v>0</v>
      </c>
      <c r="H852">
        <v>2000</v>
      </c>
      <c r="I852">
        <v>0</v>
      </c>
      <c r="J852">
        <v>0</v>
      </c>
      <c r="K852">
        <v>2000</v>
      </c>
      <c r="L852">
        <v>0</v>
      </c>
      <c r="M852">
        <v>0</v>
      </c>
      <c r="N852">
        <v>0</v>
      </c>
      <c r="O852">
        <v>0</v>
      </c>
      <c r="P852" t="s">
        <v>192</v>
      </c>
      <c r="Q852" t="s">
        <v>192</v>
      </c>
      <c r="R852">
        <v>1</v>
      </c>
      <c r="S852">
        <v>33</v>
      </c>
      <c r="T852">
        <v>133</v>
      </c>
      <c r="U852">
        <v>1420</v>
      </c>
      <c r="V852">
        <v>10</v>
      </c>
      <c r="W852">
        <v>1</v>
      </c>
      <c r="X852" s="367"/>
    </row>
    <row r="853" spans="1:24">
      <c r="A853" t="s">
        <v>7898</v>
      </c>
      <c r="B853" t="s">
        <v>7899</v>
      </c>
      <c r="C853">
        <v>1</v>
      </c>
      <c r="D853">
        <v>20</v>
      </c>
      <c r="E853">
        <v>19800000</v>
      </c>
      <c r="F853">
        <v>1</v>
      </c>
      <c r="G853">
        <v>990</v>
      </c>
      <c r="H853">
        <v>990</v>
      </c>
      <c r="I853">
        <v>989</v>
      </c>
      <c r="J853">
        <v>98900</v>
      </c>
      <c r="K853">
        <v>990</v>
      </c>
      <c r="L853">
        <v>989</v>
      </c>
      <c r="M853">
        <v>98900</v>
      </c>
      <c r="N853">
        <v>990</v>
      </c>
      <c r="O853">
        <v>990</v>
      </c>
      <c r="P853" t="s">
        <v>192</v>
      </c>
      <c r="Q853" t="s">
        <v>192</v>
      </c>
      <c r="R853">
        <v>1</v>
      </c>
      <c r="S853">
        <v>10</v>
      </c>
      <c r="T853">
        <v>505</v>
      </c>
      <c r="U853">
        <v>2780</v>
      </c>
      <c r="V853">
        <v>5</v>
      </c>
      <c r="W853">
        <v>1</v>
      </c>
      <c r="X853" s="367"/>
    </row>
    <row r="854" spans="1:24">
      <c r="A854" t="s">
        <v>7904</v>
      </c>
      <c r="B854" t="s">
        <v>7905</v>
      </c>
      <c r="C854">
        <v>13</v>
      </c>
      <c r="D854">
        <v>65</v>
      </c>
      <c r="E854">
        <v>168389000</v>
      </c>
      <c r="F854">
        <v>4529</v>
      </c>
      <c r="G854">
        <v>2606</v>
      </c>
      <c r="H854">
        <v>2607</v>
      </c>
      <c r="I854">
        <v>-1922</v>
      </c>
      <c r="J854">
        <v>-42.44</v>
      </c>
      <c r="K854">
        <v>2591</v>
      </c>
      <c r="L854">
        <v>-1938</v>
      </c>
      <c r="M854">
        <v>-42.79</v>
      </c>
      <c r="N854">
        <v>2500</v>
      </c>
      <c r="O854">
        <v>2611</v>
      </c>
      <c r="P854" t="s">
        <v>192</v>
      </c>
      <c r="Q854" t="s">
        <v>192</v>
      </c>
      <c r="R854">
        <v>2</v>
      </c>
      <c r="S854">
        <v>110</v>
      </c>
      <c r="T854">
        <v>2610</v>
      </c>
      <c r="U854">
        <v>3990</v>
      </c>
      <c r="V854">
        <v>5</v>
      </c>
      <c r="W854">
        <v>1</v>
      </c>
      <c r="X854" s="367"/>
    </row>
    <row r="855" spans="1:24">
      <c r="A855" t="s">
        <v>7948</v>
      </c>
      <c r="B855" t="s">
        <v>7949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 t="s">
        <v>192</v>
      </c>
      <c r="Q855" t="s">
        <v>192</v>
      </c>
      <c r="R855">
        <v>1</v>
      </c>
      <c r="S855">
        <v>1</v>
      </c>
      <c r="T855">
        <v>2610</v>
      </c>
      <c r="U855">
        <v>0</v>
      </c>
      <c r="V855">
        <v>0</v>
      </c>
      <c r="W855">
        <v>0</v>
      </c>
      <c r="X855" s="367"/>
    </row>
    <row r="856" spans="1:24">
      <c r="A856" t="s">
        <v>6537</v>
      </c>
      <c r="B856" t="s">
        <v>8123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 t="s">
        <v>192</v>
      </c>
      <c r="Q856" t="s">
        <v>192</v>
      </c>
      <c r="R856">
        <v>1</v>
      </c>
      <c r="S856">
        <v>100</v>
      </c>
      <c r="T856">
        <v>1</v>
      </c>
      <c r="U856">
        <v>0</v>
      </c>
      <c r="V856">
        <v>0</v>
      </c>
      <c r="W856">
        <v>0</v>
      </c>
      <c r="X856" s="367"/>
    </row>
    <row r="857" spans="1:24">
      <c r="A857" t="s">
        <v>6535</v>
      </c>
      <c r="B857" t="s">
        <v>8124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 t="s">
        <v>192</v>
      </c>
      <c r="Q857" t="s">
        <v>192</v>
      </c>
      <c r="R857">
        <v>1</v>
      </c>
      <c r="S857">
        <v>100</v>
      </c>
      <c r="T857">
        <v>1</v>
      </c>
      <c r="U857">
        <v>0</v>
      </c>
      <c r="V857">
        <v>0</v>
      </c>
      <c r="W857">
        <v>0</v>
      </c>
      <c r="X857" s="367"/>
    </row>
    <row r="858" spans="1:24">
      <c r="A858" t="s">
        <v>6531</v>
      </c>
      <c r="B858" t="s">
        <v>8125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 t="s">
        <v>192</v>
      </c>
      <c r="Q858" t="s">
        <v>192</v>
      </c>
      <c r="R858">
        <v>1</v>
      </c>
      <c r="S858">
        <v>100</v>
      </c>
      <c r="T858">
        <v>1</v>
      </c>
      <c r="U858">
        <v>0</v>
      </c>
      <c r="V858">
        <v>0</v>
      </c>
      <c r="W858">
        <v>0</v>
      </c>
      <c r="X858" s="367"/>
    </row>
    <row r="859" spans="1:24">
      <c r="A859" t="s">
        <v>6529</v>
      </c>
      <c r="B859" t="s">
        <v>8126</v>
      </c>
      <c r="C859">
        <v>13</v>
      </c>
      <c r="D859">
        <v>4584</v>
      </c>
      <c r="E859">
        <v>1584808000</v>
      </c>
      <c r="F859">
        <v>311</v>
      </c>
      <c r="G859">
        <v>340</v>
      </c>
      <c r="H859">
        <v>2</v>
      </c>
      <c r="I859">
        <v>-309</v>
      </c>
      <c r="J859">
        <v>-99.36</v>
      </c>
      <c r="K859">
        <v>346</v>
      </c>
      <c r="L859">
        <v>35</v>
      </c>
      <c r="M859">
        <v>11.25</v>
      </c>
      <c r="N859">
        <v>2</v>
      </c>
      <c r="O859">
        <v>350</v>
      </c>
      <c r="P859" t="s">
        <v>192</v>
      </c>
      <c r="Q859" t="s">
        <v>192</v>
      </c>
      <c r="R859">
        <v>4</v>
      </c>
      <c r="S859">
        <v>3996</v>
      </c>
      <c r="T859">
        <v>2</v>
      </c>
      <c r="U859">
        <v>0</v>
      </c>
      <c r="V859">
        <v>0</v>
      </c>
      <c r="W859">
        <v>0</v>
      </c>
      <c r="X859" s="367"/>
    </row>
    <row r="860" spans="1:24">
      <c r="A860" t="s">
        <v>6525</v>
      </c>
      <c r="B860" t="s">
        <v>8127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 t="s">
        <v>192</v>
      </c>
      <c r="Q860" t="s">
        <v>192</v>
      </c>
      <c r="R860">
        <v>1</v>
      </c>
      <c r="S860">
        <v>100</v>
      </c>
      <c r="T860">
        <v>1</v>
      </c>
      <c r="U860">
        <v>0</v>
      </c>
      <c r="V860">
        <v>0</v>
      </c>
      <c r="W860">
        <v>0</v>
      </c>
      <c r="X860" s="367"/>
    </row>
    <row r="861" spans="1:24">
      <c r="A861" t="s">
        <v>6523</v>
      </c>
      <c r="B861" t="s">
        <v>8128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 t="s">
        <v>192</v>
      </c>
      <c r="Q861" t="s">
        <v>192</v>
      </c>
      <c r="R861">
        <v>1</v>
      </c>
      <c r="S861">
        <v>100</v>
      </c>
      <c r="T861">
        <v>1</v>
      </c>
      <c r="U861">
        <v>0</v>
      </c>
      <c r="V861">
        <v>0</v>
      </c>
      <c r="W861">
        <v>0</v>
      </c>
      <c r="X861" s="367"/>
    </row>
    <row r="862" spans="1:24">
      <c r="A862" t="s">
        <v>4384</v>
      </c>
      <c r="B862" t="s">
        <v>8528</v>
      </c>
      <c r="C862">
        <v>1</v>
      </c>
      <c r="D862">
        <v>992</v>
      </c>
      <c r="E862">
        <v>992000</v>
      </c>
      <c r="F862">
        <v>1</v>
      </c>
      <c r="G862">
        <v>1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1</v>
      </c>
      <c r="P862" t="s">
        <v>192</v>
      </c>
      <c r="Q862" t="s">
        <v>192</v>
      </c>
      <c r="R862">
        <v>0</v>
      </c>
      <c r="S862">
        <v>0</v>
      </c>
      <c r="T862">
        <v>0</v>
      </c>
      <c r="U862">
        <v>1</v>
      </c>
      <c r="V862">
        <v>16367</v>
      </c>
      <c r="W862">
        <v>19</v>
      </c>
      <c r="X862" s="367"/>
    </row>
    <row r="863" spans="1:24">
      <c r="A863" t="s">
        <v>4386</v>
      </c>
      <c r="B863" t="s">
        <v>8529</v>
      </c>
      <c r="C863">
        <v>22</v>
      </c>
      <c r="D863">
        <v>19200</v>
      </c>
      <c r="E863">
        <v>19200000</v>
      </c>
      <c r="F863">
        <v>1</v>
      </c>
      <c r="G863">
        <v>1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1</v>
      </c>
      <c r="P863" t="s">
        <v>192</v>
      </c>
      <c r="Q863" t="s">
        <v>192</v>
      </c>
      <c r="R863">
        <v>0</v>
      </c>
      <c r="S863">
        <v>0</v>
      </c>
      <c r="T863">
        <v>0</v>
      </c>
      <c r="U863">
        <v>1</v>
      </c>
      <c r="V863">
        <v>48962</v>
      </c>
      <c r="W863">
        <v>61</v>
      </c>
      <c r="X863" s="367"/>
    </row>
    <row r="864" spans="1:24">
      <c r="A864" t="s">
        <v>4388</v>
      </c>
      <c r="B864" t="s">
        <v>8129</v>
      </c>
      <c r="C864">
        <v>2958</v>
      </c>
      <c r="D864">
        <v>1380907</v>
      </c>
      <c r="E864">
        <v>7800116000</v>
      </c>
      <c r="F864">
        <v>14</v>
      </c>
      <c r="G864">
        <v>5</v>
      </c>
      <c r="H864">
        <v>7</v>
      </c>
      <c r="I864">
        <v>-7</v>
      </c>
      <c r="J864">
        <v>-50</v>
      </c>
      <c r="K864">
        <v>6</v>
      </c>
      <c r="L864">
        <v>-8</v>
      </c>
      <c r="M864">
        <v>-57.14</v>
      </c>
      <c r="N864">
        <v>4</v>
      </c>
      <c r="O864">
        <v>8</v>
      </c>
      <c r="P864" t="s">
        <v>192</v>
      </c>
      <c r="Q864" t="s">
        <v>192</v>
      </c>
      <c r="R864">
        <v>16</v>
      </c>
      <c r="S864">
        <v>15500</v>
      </c>
      <c r="T864">
        <v>6</v>
      </c>
      <c r="U864">
        <v>7</v>
      </c>
      <c r="V864">
        <v>30307</v>
      </c>
      <c r="W864">
        <v>32</v>
      </c>
      <c r="X864" s="367"/>
    </row>
    <row r="865" spans="1:24">
      <c r="A865" t="s">
        <v>4390</v>
      </c>
      <c r="B865" t="s">
        <v>8100</v>
      </c>
      <c r="C865">
        <v>2473</v>
      </c>
      <c r="D865">
        <v>954217</v>
      </c>
      <c r="E865">
        <v>25698964000</v>
      </c>
      <c r="F865">
        <v>54</v>
      </c>
      <c r="G865">
        <v>46</v>
      </c>
      <c r="H865">
        <v>27</v>
      </c>
      <c r="I865">
        <v>-27</v>
      </c>
      <c r="J865">
        <v>-50</v>
      </c>
      <c r="K865">
        <v>27</v>
      </c>
      <c r="L865">
        <v>-27</v>
      </c>
      <c r="M865">
        <v>-50</v>
      </c>
      <c r="N865">
        <v>23</v>
      </c>
      <c r="O865">
        <v>46</v>
      </c>
      <c r="P865" t="s">
        <v>192</v>
      </c>
      <c r="Q865" t="s">
        <v>192</v>
      </c>
      <c r="R865">
        <v>1</v>
      </c>
      <c r="S865">
        <v>100</v>
      </c>
      <c r="T865">
        <v>27</v>
      </c>
      <c r="U865">
        <v>28</v>
      </c>
      <c r="V865">
        <v>16403</v>
      </c>
      <c r="W865">
        <v>18</v>
      </c>
      <c r="X865" s="367"/>
    </row>
    <row r="866" spans="1:24">
      <c r="A866" t="s">
        <v>6629</v>
      </c>
      <c r="B866" t="s">
        <v>8195</v>
      </c>
      <c r="C866">
        <v>0</v>
      </c>
      <c r="D866">
        <v>0</v>
      </c>
      <c r="E866">
        <v>0</v>
      </c>
      <c r="F866">
        <v>600</v>
      </c>
      <c r="G866">
        <v>0</v>
      </c>
      <c r="H866">
        <v>600</v>
      </c>
      <c r="I866">
        <v>0</v>
      </c>
      <c r="J866">
        <v>0</v>
      </c>
      <c r="K866">
        <v>600</v>
      </c>
      <c r="L866">
        <v>0</v>
      </c>
      <c r="M866">
        <v>0</v>
      </c>
      <c r="N866">
        <v>0</v>
      </c>
      <c r="O866">
        <v>0</v>
      </c>
      <c r="P866" t="s">
        <v>192</v>
      </c>
      <c r="Q866" t="s">
        <v>192</v>
      </c>
      <c r="R866">
        <v>1</v>
      </c>
      <c r="S866">
        <v>5</v>
      </c>
      <c r="T866">
        <v>102</v>
      </c>
      <c r="U866">
        <v>0</v>
      </c>
      <c r="V866">
        <v>0</v>
      </c>
      <c r="W866">
        <v>0</v>
      </c>
      <c r="X866" s="367"/>
    </row>
    <row r="867" spans="1:24">
      <c r="A867" t="s">
        <v>4394</v>
      </c>
      <c r="B867" t="s">
        <v>8130</v>
      </c>
      <c r="C867">
        <v>34</v>
      </c>
      <c r="D867">
        <v>14635</v>
      </c>
      <c r="E867">
        <v>29187000</v>
      </c>
      <c r="F867">
        <v>3</v>
      </c>
      <c r="G867">
        <v>3</v>
      </c>
      <c r="H867">
        <v>2</v>
      </c>
      <c r="I867">
        <v>-1</v>
      </c>
      <c r="J867">
        <v>-33.33</v>
      </c>
      <c r="K867">
        <v>2</v>
      </c>
      <c r="L867">
        <v>-1</v>
      </c>
      <c r="M867">
        <v>-33.33</v>
      </c>
      <c r="N867">
        <v>1</v>
      </c>
      <c r="O867">
        <v>3</v>
      </c>
      <c r="P867" t="s">
        <v>192</v>
      </c>
      <c r="Q867" t="s">
        <v>192</v>
      </c>
      <c r="R867">
        <v>10</v>
      </c>
      <c r="S867">
        <v>9002</v>
      </c>
      <c r="T867">
        <v>2</v>
      </c>
      <c r="U867">
        <v>3</v>
      </c>
      <c r="V867">
        <v>4000</v>
      </c>
      <c r="W867">
        <v>5</v>
      </c>
      <c r="X867" s="367"/>
    </row>
    <row r="868" spans="1:24">
      <c r="A868" t="s">
        <v>4396</v>
      </c>
      <c r="B868" t="s">
        <v>8131</v>
      </c>
      <c r="C868">
        <v>7</v>
      </c>
      <c r="D868">
        <v>319</v>
      </c>
      <c r="E868">
        <v>638000</v>
      </c>
      <c r="F868">
        <v>2</v>
      </c>
      <c r="G868">
        <v>2</v>
      </c>
      <c r="H868">
        <v>2</v>
      </c>
      <c r="I868">
        <v>0</v>
      </c>
      <c r="J868">
        <v>0</v>
      </c>
      <c r="K868">
        <v>2</v>
      </c>
      <c r="L868">
        <v>0</v>
      </c>
      <c r="M868">
        <v>0</v>
      </c>
      <c r="N868">
        <v>2</v>
      </c>
      <c r="O868">
        <v>2</v>
      </c>
      <c r="P868" t="s">
        <v>192</v>
      </c>
      <c r="Q868" t="s">
        <v>192</v>
      </c>
      <c r="R868">
        <v>1</v>
      </c>
      <c r="S868">
        <v>801</v>
      </c>
      <c r="T868">
        <v>2</v>
      </c>
      <c r="U868">
        <v>0</v>
      </c>
      <c r="V868">
        <v>0</v>
      </c>
      <c r="W868">
        <v>0</v>
      </c>
      <c r="X868" s="367"/>
    </row>
    <row r="869" spans="1:24">
      <c r="A869" t="s">
        <v>4398</v>
      </c>
      <c r="B869" t="s">
        <v>8196</v>
      </c>
      <c r="C869">
        <v>200</v>
      </c>
      <c r="D869">
        <v>40456</v>
      </c>
      <c r="E869">
        <v>1535374000</v>
      </c>
      <c r="F869">
        <v>41</v>
      </c>
      <c r="G869">
        <v>41</v>
      </c>
      <c r="H869">
        <v>38</v>
      </c>
      <c r="I869">
        <v>-3</v>
      </c>
      <c r="J869">
        <v>-7.32</v>
      </c>
      <c r="K869">
        <v>38</v>
      </c>
      <c r="L869">
        <v>-3</v>
      </c>
      <c r="M869">
        <v>-7.32</v>
      </c>
      <c r="N869">
        <v>34</v>
      </c>
      <c r="O869">
        <v>55</v>
      </c>
      <c r="P869" t="s">
        <v>192</v>
      </c>
      <c r="Q869" t="s">
        <v>192</v>
      </c>
      <c r="R869">
        <v>5</v>
      </c>
      <c r="S869">
        <v>5000</v>
      </c>
      <c r="T869">
        <v>36</v>
      </c>
      <c r="U869">
        <v>40</v>
      </c>
      <c r="V869">
        <v>313</v>
      </c>
      <c r="W869">
        <v>1</v>
      </c>
      <c r="X869" s="367"/>
    </row>
    <row r="870" spans="1:24">
      <c r="A870" t="s">
        <v>6621</v>
      </c>
      <c r="B870" t="s">
        <v>8197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 t="s">
        <v>192</v>
      </c>
      <c r="Q870" t="s">
        <v>192</v>
      </c>
      <c r="R870">
        <v>1</v>
      </c>
      <c r="S870">
        <v>44</v>
      </c>
      <c r="T870">
        <v>44</v>
      </c>
      <c r="U870">
        <v>0</v>
      </c>
      <c r="V870">
        <v>0</v>
      </c>
      <c r="W870">
        <v>0</v>
      </c>
      <c r="X870" s="367"/>
    </row>
    <row r="871" spans="1:24">
      <c r="A871" t="s">
        <v>8198</v>
      </c>
      <c r="B871" t="s">
        <v>8199</v>
      </c>
      <c r="C871">
        <v>4</v>
      </c>
      <c r="D871">
        <v>2445</v>
      </c>
      <c r="E871">
        <v>17115000</v>
      </c>
      <c r="F871">
        <v>8</v>
      </c>
      <c r="G871">
        <v>7</v>
      </c>
      <c r="H871">
        <v>7</v>
      </c>
      <c r="I871">
        <v>-1</v>
      </c>
      <c r="J871">
        <v>-12.5</v>
      </c>
      <c r="K871">
        <v>7</v>
      </c>
      <c r="L871">
        <v>-1</v>
      </c>
      <c r="M871">
        <v>-12.5</v>
      </c>
      <c r="N871">
        <v>7</v>
      </c>
      <c r="O871">
        <v>7</v>
      </c>
      <c r="P871" t="s">
        <v>192</v>
      </c>
      <c r="Q871" t="s">
        <v>192</v>
      </c>
      <c r="R871">
        <v>1</v>
      </c>
      <c r="S871">
        <v>1000</v>
      </c>
      <c r="T871">
        <v>2</v>
      </c>
      <c r="U871">
        <v>7</v>
      </c>
      <c r="V871">
        <v>1200</v>
      </c>
      <c r="W871">
        <v>2</v>
      </c>
      <c r="X871" s="367"/>
    </row>
    <row r="872" spans="1:24">
      <c r="A872" t="s">
        <v>8200</v>
      </c>
      <c r="B872" t="s">
        <v>8201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 t="s">
        <v>192</v>
      </c>
      <c r="Q872" t="s">
        <v>192</v>
      </c>
      <c r="R872">
        <v>1</v>
      </c>
      <c r="S872">
        <v>444</v>
      </c>
      <c r="T872">
        <v>4</v>
      </c>
      <c r="U872">
        <v>48</v>
      </c>
      <c r="V872">
        <v>100</v>
      </c>
      <c r="W872">
        <v>1</v>
      </c>
      <c r="X872" s="367"/>
    </row>
    <row r="873" spans="1:24">
      <c r="A873" t="s">
        <v>8202</v>
      </c>
      <c r="B873" t="s">
        <v>8203</v>
      </c>
      <c r="C873">
        <v>6</v>
      </c>
      <c r="D873">
        <v>3060</v>
      </c>
      <c r="E873">
        <v>233783000</v>
      </c>
      <c r="F873">
        <v>52</v>
      </c>
      <c r="G873">
        <v>85</v>
      </c>
      <c r="H873">
        <v>79</v>
      </c>
      <c r="I873">
        <v>27</v>
      </c>
      <c r="J873">
        <v>51.92</v>
      </c>
      <c r="K873">
        <v>76</v>
      </c>
      <c r="L873">
        <v>24</v>
      </c>
      <c r="M873">
        <v>46.15</v>
      </c>
      <c r="N873">
        <v>70</v>
      </c>
      <c r="O873">
        <v>85</v>
      </c>
      <c r="P873" t="s">
        <v>192</v>
      </c>
      <c r="Q873" t="s">
        <v>192</v>
      </c>
      <c r="R873">
        <v>3</v>
      </c>
      <c r="S873">
        <v>2025</v>
      </c>
      <c r="T873">
        <v>2</v>
      </c>
      <c r="U873">
        <v>80</v>
      </c>
      <c r="V873">
        <v>17</v>
      </c>
      <c r="W873">
        <v>1</v>
      </c>
      <c r="X873" s="367"/>
    </row>
    <row r="874" spans="1:24">
      <c r="A874" t="s">
        <v>8204</v>
      </c>
      <c r="B874" t="s">
        <v>8205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 t="s">
        <v>192</v>
      </c>
      <c r="Q874" t="s">
        <v>192</v>
      </c>
      <c r="R874">
        <v>1</v>
      </c>
      <c r="S874">
        <v>44</v>
      </c>
      <c r="T874">
        <v>89</v>
      </c>
      <c r="U874">
        <v>0</v>
      </c>
      <c r="V874">
        <v>0</v>
      </c>
      <c r="W874">
        <v>0</v>
      </c>
      <c r="X874" s="367"/>
    </row>
    <row r="875" spans="1:24">
      <c r="A875" t="s">
        <v>8206</v>
      </c>
      <c r="B875" t="s">
        <v>8207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 t="s">
        <v>192</v>
      </c>
      <c r="Q875" t="s">
        <v>192</v>
      </c>
      <c r="R875">
        <v>1</v>
      </c>
      <c r="S875">
        <v>44</v>
      </c>
      <c r="T875">
        <v>89</v>
      </c>
      <c r="U875">
        <v>0</v>
      </c>
      <c r="V875">
        <v>0</v>
      </c>
      <c r="W875">
        <v>0</v>
      </c>
      <c r="X875" s="367"/>
    </row>
    <row r="876" spans="1:24">
      <c r="A876" t="s">
        <v>4400</v>
      </c>
      <c r="B876" t="s">
        <v>4401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 t="s">
        <v>192</v>
      </c>
      <c r="Q876" t="s">
        <v>192</v>
      </c>
      <c r="R876">
        <v>0</v>
      </c>
      <c r="S876">
        <v>0</v>
      </c>
      <c r="T876">
        <v>0</v>
      </c>
      <c r="U876">
        <v>2</v>
      </c>
      <c r="V876">
        <v>999</v>
      </c>
      <c r="W876">
        <v>1</v>
      </c>
      <c r="X876" s="367"/>
    </row>
    <row r="877" spans="1:24">
      <c r="A877" t="s">
        <v>6787</v>
      </c>
      <c r="B877" t="s">
        <v>6788</v>
      </c>
      <c r="C877">
        <v>0</v>
      </c>
      <c r="D877">
        <v>0</v>
      </c>
      <c r="E877">
        <v>0</v>
      </c>
      <c r="F877">
        <v>31</v>
      </c>
      <c r="G877">
        <v>0</v>
      </c>
      <c r="H877">
        <v>31</v>
      </c>
      <c r="I877">
        <v>0</v>
      </c>
      <c r="J877">
        <v>0</v>
      </c>
      <c r="K877">
        <v>31</v>
      </c>
      <c r="L877">
        <v>0</v>
      </c>
      <c r="M877">
        <v>0</v>
      </c>
      <c r="N877">
        <v>0</v>
      </c>
      <c r="O877">
        <v>0</v>
      </c>
      <c r="P877" t="s">
        <v>192</v>
      </c>
      <c r="Q877" t="s">
        <v>192</v>
      </c>
      <c r="R877">
        <v>0</v>
      </c>
      <c r="S877">
        <v>0</v>
      </c>
      <c r="T877">
        <v>0</v>
      </c>
      <c r="U877">
        <v>31</v>
      </c>
      <c r="V877">
        <v>1000</v>
      </c>
      <c r="W877">
        <v>1</v>
      </c>
      <c r="X877" s="367"/>
    </row>
    <row r="878" spans="1:24">
      <c r="A878" t="s">
        <v>6783</v>
      </c>
      <c r="B878" t="s">
        <v>6784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 t="s">
        <v>192</v>
      </c>
      <c r="Q878" t="s">
        <v>192</v>
      </c>
      <c r="R878">
        <v>0</v>
      </c>
      <c r="S878">
        <v>0</v>
      </c>
      <c r="T878">
        <v>0</v>
      </c>
      <c r="U878">
        <v>2</v>
      </c>
      <c r="V878">
        <v>1000</v>
      </c>
      <c r="W878">
        <v>1</v>
      </c>
      <c r="X878" s="367"/>
    </row>
    <row r="879" spans="1:24">
      <c r="A879" t="s">
        <v>6779</v>
      </c>
      <c r="B879" t="s">
        <v>6780</v>
      </c>
      <c r="C879">
        <v>2</v>
      </c>
      <c r="D879">
        <v>200</v>
      </c>
      <c r="E879">
        <v>400000</v>
      </c>
      <c r="F879">
        <v>5</v>
      </c>
      <c r="G879">
        <v>3</v>
      </c>
      <c r="H879">
        <v>1</v>
      </c>
      <c r="I879">
        <v>-4</v>
      </c>
      <c r="J879">
        <v>-80</v>
      </c>
      <c r="K879">
        <v>2</v>
      </c>
      <c r="L879">
        <v>-3</v>
      </c>
      <c r="M879">
        <v>-60</v>
      </c>
      <c r="N879">
        <v>1</v>
      </c>
      <c r="O879">
        <v>3</v>
      </c>
      <c r="P879" t="s">
        <v>192</v>
      </c>
      <c r="Q879" t="s">
        <v>192</v>
      </c>
      <c r="R879">
        <v>0</v>
      </c>
      <c r="S879">
        <v>0</v>
      </c>
      <c r="T879">
        <v>0</v>
      </c>
      <c r="U879">
        <v>2</v>
      </c>
      <c r="V879">
        <v>100</v>
      </c>
      <c r="W879">
        <v>1</v>
      </c>
      <c r="X879" s="367"/>
    </row>
    <row r="880" spans="1:24">
      <c r="A880" t="s">
        <v>6773</v>
      </c>
      <c r="B880" t="s">
        <v>6774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 t="s">
        <v>192</v>
      </c>
      <c r="Q880" t="s">
        <v>192</v>
      </c>
      <c r="R880">
        <v>1</v>
      </c>
      <c r="S880">
        <v>444</v>
      </c>
      <c r="T880">
        <v>4</v>
      </c>
      <c r="U880">
        <v>0</v>
      </c>
      <c r="V880">
        <v>0</v>
      </c>
      <c r="W880">
        <v>0</v>
      </c>
      <c r="X880" s="367"/>
    </row>
    <row r="881" spans="1:24">
      <c r="A881" t="s">
        <v>6771</v>
      </c>
      <c r="B881" t="s">
        <v>6772</v>
      </c>
      <c r="C881">
        <v>0</v>
      </c>
      <c r="D881">
        <v>0</v>
      </c>
      <c r="E881">
        <v>0</v>
      </c>
      <c r="F881">
        <v>145</v>
      </c>
      <c r="G881">
        <v>0</v>
      </c>
      <c r="H881">
        <v>200</v>
      </c>
      <c r="I881">
        <v>55</v>
      </c>
      <c r="J881">
        <v>37.93</v>
      </c>
      <c r="K881">
        <v>145</v>
      </c>
      <c r="L881">
        <v>0</v>
      </c>
      <c r="M881">
        <v>0</v>
      </c>
      <c r="N881">
        <v>0</v>
      </c>
      <c r="O881">
        <v>0</v>
      </c>
      <c r="P881" t="s">
        <v>192</v>
      </c>
      <c r="Q881" t="s">
        <v>192</v>
      </c>
      <c r="R881">
        <v>1</v>
      </c>
      <c r="S881">
        <v>100</v>
      </c>
      <c r="T881">
        <v>1</v>
      </c>
      <c r="U881">
        <v>0</v>
      </c>
      <c r="V881">
        <v>0</v>
      </c>
      <c r="W881">
        <v>0</v>
      </c>
      <c r="X881" s="367"/>
    </row>
    <row r="882" spans="1:24">
      <c r="A882" t="s">
        <v>6763</v>
      </c>
      <c r="B882" t="s">
        <v>6764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 t="s">
        <v>192</v>
      </c>
      <c r="Q882" t="s">
        <v>192</v>
      </c>
      <c r="R882">
        <v>1</v>
      </c>
      <c r="S882">
        <v>100</v>
      </c>
      <c r="T882">
        <v>1</v>
      </c>
      <c r="U882">
        <v>0</v>
      </c>
      <c r="V882">
        <v>0</v>
      </c>
      <c r="W882">
        <v>0</v>
      </c>
      <c r="X882" s="367"/>
    </row>
    <row r="883" spans="1:24">
      <c r="A883" t="s">
        <v>6761</v>
      </c>
      <c r="B883" t="s">
        <v>6762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 t="s">
        <v>192</v>
      </c>
      <c r="Q883" t="s">
        <v>192</v>
      </c>
      <c r="R883">
        <v>1</v>
      </c>
      <c r="S883">
        <v>100</v>
      </c>
      <c r="T883">
        <v>1</v>
      </c>
      <c r="U883">
        <v>0</v>
      </c>
      <c r="V883">
        <v>0</v>
      </c>
      <c r="W883">
        <v>0</v>
      </c>
      <c r="X883" s="367"/>
    </row>
    <row r="884" spans="1:24">
      <c r="A884" t="s">
        <v>6759</v>
      </c>
      <c r="B884" t="s">
        <v>6760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 t="s">
        <v>192</v>
      </c>
      <c r="Q884" t="s">
        <v>192</v>
      </c>
      <c r="R884">
        <v>1</v>
      </c>
      <c r="S884">
        <v>100</v>
      </c>
      <c r="T884">
        <v>1</v>
      </c>
      <c r="U884">
        <v>0</v>
      </c>
      <c r="V884">
        <v>0</v>
      </c>
      <c r="W884">
        <v>0</v>
      </c>
      <c r="X884" s="367"/>
    </row>
    <row r="885" spans="1:24">
      <c r="A885" t="s">
        <v>6757</v>
      </c>
      <c r="B885" t="s">
        <v>6758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 t="s">
        <v>192</v>
      </c>
      <c r="Q885" t="s">
        <v>192</v>
      </c>
      <c r="R885">
        <v>1</v>
      </c>
      <c r="S885">
        <v>333</v>
      </c>
      <c r="T885">
        <v>3</v>
      </c>
      <c r="U885">
        <v>0</v>
      </c>
      <c r="V885">
        <v>0</v>
      </c>
      <c r="W885">
        <v>0</v>
      </c>
      <c r="X885" s="367"/>
    </row>
    <row r="886" spans="1:24">
      <c r="A886" t="s">
        <v>6755</v>
      </c>
      <c r="B886" t="s">
        <v>6756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 t="s">
        <v>192</v>
      </c>
      <c r="Q886" t="s">
        <v>192</v>
      </c>
      <c r="R886">
        <v>1</v>
      </c>
      <c r="S886">
        <v>100</v>
      </c>
      <c r="T886">
        <v>1</v>
      </c>
      <c r="U886">
        <v>333</v>
      </c>
      <c r="V886">
        <v>999</v>
      </c>
      <c r="W886">
        <v>1</v>
      </c>
      <c r="X886" s="367"/>
    </row>
    <row r="887" spans="1:24">
      <c r="A887" t="s">
        <v>6751</v>
      </c>
      <c r="B887" t="s">
        <v>6752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 t="s">
        <v>192</v>
      </c>
      <c r="Q887" t="s">
        <v>192</v>
      </c>
      <c r="R887">
        <v>1</v>
      </c>
      <c r="S887">
        <v>444</v>
      </c>
      <c r="T887">
        <v>4</v>
      </c>
      <c r="U887">
        <v>0</v>
      </c>
      <c r="V887">
        <v>0</v>
      </c>
      <c r="W887">
        <v>0</v>
      </c>
      <c r="X887" s="367"/>
    </row>
    <row r="888" spans="1:24">
      <c r="A888" t="s">
        <v>6749</v>
      </c>
      <c r="B888" t="s">
        <v>6750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 t="s">
        <v>192</v>
      </c>
      <c r="Q888" t="s">
        <v>192</v>
      </c>
      <c r="R888">
        <v>1</v>
      </c>
      <c r="S888">
        <v>111</v>
      </c>
      <c r="T888">
        <v>11</v>
      </c>
      <c r="U888">
        <v>0</v>
      </c>
      <c r="V888">
        <v>0</v>
      </c>
      <c r="W888">
        <v>0</v>
      </c>
      <c r="X888" s="367"/>
    </row>
    <row r="889" spans="1:24">
      <c r="A889" t="s">
        <v>6747</v>
      </c>
      <c r="B889" t="s">
        <v>6748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 t="s">
        <v>192</v>
      </c>
      <c r="Q889" t="s">
        <v>192</v>
      </c>
      <c r="R889">
        <v>1</v>
      </c>
      <c r="S889">
        <v>111</v>
      </c>
      <c r="T889">
        <v>11</v>
      </c>
      <c r="U889">
        <v>0</v>
      </c>
      <c r="V889">
        <v>0</v>
      </c>
      <c r="W889">
        <v>0</v>
      </c>
      <c r="X889" s="367"/>
    </row>
    <row r="890" spans="1:24">
      <c r="A890" t="s">
        <v>7123</v>
      </c>
      <c r="B890" t="s">
        <v>8530</v>
      </c>
      <c r="C890">
        <v>4</v>
      </c>
      <c r="D890">
        <v>6</v>
      </c>
      <c r="E890">
        <v>81000</v>
      </c>
      <c r="F890">
        <v>2</v>
      </c>
      <c r="G890">
        <v>14</v>
      </c>
      <c r="H890">
        <v>13</v>
      </c>
      <c r="I890">
        <v>11</v>
      </c>
      <c r="J890">
        <v>550</v>
      </c>
      <c r="K890">
        <v>13</v>
      </c>
      <c r="L890">
        <v>11</v>
      </c>
      <c r="M890">
        <v>550</v>
      </c>
      <c r="N890">
        <v>13</v>
      </c>
      <c r="O890">
        <v>14</v>
      </c>
      <c r="P890" t="s">
        <v>192</v>
      </c>
      <c r="Q890" t="s">
        <v>192</v>
      </c>
      <c r="R890">
        <v>2</v>
      </c>
      <c r="S890">
        <v>1001</v>
      </c>
      <c r="T890">
        <v>1</v>
      </c>
      <c r="U890">
        <v>12</v>
      </c>
      <c r="V890">
        <v>87</v>
      </c>
      <c r="W890">
        <v>1</v>
      </c>
      <c r="X890" s="367"/>
    </row>
    <row r="891" spans="1:24">
      <c r="A891" t="s">
        <v>4404</v>
      </c>
      <c r="B891" t="s">
        <v>8101</v>
      </c>
      <c r="C891">
        <v>1</v>
      </c>
      <c r="D891">
        <v>2</v>
      </c>
      <c r="E891">
        <v>20000</v>
      </c>
      <c r="F891">
        <v>9</v>
      </c>
      <c r="G891">
        <v>10</v>
      </c>
      <c r="H891">
        <v>10</v>
      </c>
      <c r="I891">
        <v>1</v>
      </c>
      <c r="J891">
        <v>11.11</v>
      </c>
      <c r="K891">
        <v>10</v>
      </c>
      <c r="L891">
        <v>1</v>
      </c>
      <c r="M891">
        <v>11.11</v>
      </c>
      <c r="N891">
        <v>10</v>
      </c>
      <c r="O891">
        <v>10</v>
      </c>
      <c r="P891" t="s">
        <v>192</v>
      </c>
      <c r="Q891" t="s">
        <v>192</v>
      </c>
      <c r="R891">
        <v>2</v>
      </c>
      <c r="S891">
        <v>101</v>
      </c>
      <c r="T891">
        <v>1</v>
      </c>
      <c r="U891">
        <v>2</v>
      </c>
      <c r="V891">
        <v>998</v>
      </c>
      <c r="W891">
        <v>1</v>
      </c>
      <c r="X891" s="367"/>
    </row>
    <row r="892" spans="1:24">
      <c r="A892" t="s">
        <v>7117</v>
      </c>
      <c r="B892" t="s">
        <v>8102</v>
      </c>
      <c r="C892">
        <v>7</v>
      </c>
      <c r="D892">
        <v>1040</v>
      </c>
      <c r="E892">
        <v>4120000</v>
      </c>
      <c r="F892">
        <v>4</v>
      </c>
      <c r="G892">
        <v>4</v>
      </c>
      <c r="H892">
        <v>3</v>
      </c>
      <c r="I892">
        <v>-1</v>
      </c>
      <c r="J892">
        <v>-25</v>
      </c>
      <c r="K892">
        <v>4</v>
      </c>
      <c r="L892">
        <v>0</v>
      </c>
      <c r="M892">
        <v>0</v>
      </c>
      <c r="N892">
        <v>3</v>
      </c>
      <c r="O892">
        <v>4</v>
      </c>
      <c r="P892" t="s">
        <v>192</v>
      </c>
      <c r="Q892" t="s">
        <v>192</v>
      </c>
      <c r="R892">
        <v>1</v>
      </c>
      <c r="S892">
        <v>960</v>
      </c>
      <c r="T892">
        <v>3</v>
      </c>
      <c r="U892">
        <v>15</v>
      </c>
      <c r="V892">
        <v>1000</v>
      </c>
      <c r="W892">
        <v>1</v>
      </c>
      <c r="X892" s="367"/>
    </row>
    <row r="893" spans="1:24">
      <c r="A893" t="s">
        <v>4420</v>
      </c>
      <c r="B893" t="s">
        <v>4421</v>
      </c>
      <c r="C893">
        <v>18</v>
      </c>
      <c r="D893">
        <v>4048</v>
      </c>
      <c r="E893">
        <v>4074000</v>
      </c>
      <c r="F893">
        <v>1</v>
      </c>
      <c r="G893">
        <v>2</v>
      </c>
      <c r="H893">
        <v>2</v>
      </c>
      <c r="I893">
        <v>1</v>
      </c>
      <c r="J893">
        <v>100</v>
      </c>
      <c r="K893">
        <v>1</v>
      </c>
      <c r="L893">
        <v>0</v>
      </c>
      <c r="M893">
        <v>0</v>
      </c>
      <c r="N893">
        <v>1</v>
      </c>
      <c r="O893">
        <v>2</v>
      </c>
      <c r="P893" t="s">
        <v>192</v>
      </c>
      <c r="Q893" t="s">
        <v>192</v>
      </c>
      <c r="R893">
        <v>0</v>
      </c>
      <c r="S893">
        <v>0</v>
      </c>
      <c r="T893">
        <v>0</v>
      </c>
      <c r="U893">
        <v>1</v>
      </c>
      <c r="V893">
        <v>356</v>
      </c>
      <c r="W893">
        <v>1</v>
      </c>
      <c r="X893" s="367"/>
    </row>
    <row r="894" spans="1:24">
      <c r="A894" t="s">
        <v>4422</v>
      </c>
      <c r="B894" t="s">
        <v>4423</v>
      </c>
      <c r="C894">
        <v>11</v>
      </c>
      <c r="D894">
        <v>3632</v>
      </c>
      <c r="E894">
        <v>3633000</v>
      </c>
      <c r="F894">
        <v>2</v>
      </c>
      <c r="G894">
        <v>1</v>
      </c>
      <c r="H894">
        <v>1</v>
      </c>
      <c r="I894">
        <v>-1</v>
      </c>
      <c r="J894">
        <v>-50</v>
      </c>
      <c r="K894">
        <v>1</v>
      </c>
      <c r="L894">
        <v>-1</v>
      </c>
      <c r="M894">
        <v>-50</v>
      </c>
      <c r="N894">
        <v>1</v>
      </c>
      <c r="O894">
        <v>2</v>
      </c>
      <c r="P894" t="s">
        <v>192</v>
      </c>
      <c r="Q894" t="s">
        <v>192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 s="367"/>
    </row>
    <row r="895" spans="1:24">
      <c r="A895" t="s">
        <v>4424</v>
      </c>
      <c r="B895" t="s">
        <v>4425</v>
      </c>
      <c r="C895">
        <v>2666</v>
      </c>
      <c r="D895">
        <v>1241280</v>
      </c>
      <c r="E895">
        <v>2731651000</v>
      </c>
      <c r="F895">
        <v>3</v>
      </c>
      <c r="G895">
        <v>3</v>
      </c>
      <c r="H895">
        <v>2</v>
      </c>
      <c r="I895">
        <v>-1</v>
      </c>
      <c r="J895">
        <v>-33.33</v>
      </c>
      <c r="K895">
        <v>2</v>
      </c>
      <c r="L895">
        <v>-1</v>
      </c>
      <c r="M895">
        <v>-33.33</v>
      </c>
      <c r="N895">
        <v>2</v>
      </c>
      <c r="O895">
        <v>3</v>
      </c>
      <c r="P895" t="s">
        <v>192</v>
      </c>
      <c r="Q895" t="s">
        <v>192</v>
      </c>
      <c r="R895">
        <v>164</v>
      </c>
      <c r="S895">
        <v>163335</v>
      </c>
      <c r="T895">
        <v>2</v>
      </c>
      <c r="U895">
        <v>2</v>
      </c>
      <c r="V895">
        <v>1000</v>
      </c>
      <c r="W895">
        <v>1</v>
      </c>
      <c r="X895" s="367"/>
    </row>
    <row r="896" spans="1:24">
      <c r="A896" t="s">
        <v>4426</v>
      </c>
      <c r="B896" t="s">
        <v>4427</v>
      </c>
      <c r="C896">
        <v>5951</v>
      </c>
      <c r="D896">
        <v>2870696</v>
      </c>
      <c r="E896">
        <v>20365307000</v>
      </c>
      <c r="F896">
        <v>9</v>
      </c>
      <c r="G896">
        <v>8</v>
      </c>
      <c r="H896">
        <v>8</v>
      </c>
      <c r="I896">
        <v>-1</v>
      </c>
      <c r="J896">
        <v>-11.11</v>
      </c>
      <c r="K896">
        <v>7</v>
      </c>
      <c r="L896">
        <v>-2</v>
      </c>
      <c r="M896">
        <v>-22.22</v>
      </c>
      <c r="N896">
        <v>6</v>
      </c>
      <c r="O896">
        <v>9</v>
      </c>
      <c r="P896" t="s">
        <v>192</v>
      </c>
      <c r="Q896" t="s">
        <v>192</v>
      </c>
      <c r="R896">
        <v>7</v>
      </c>
      <c r="S896">
        <v>6265</v>
      </c>
      <c r="T896">
        <v>7</v>
      </c>
      <c r="U896">
        <v>8</v>
      </c>
      <c r="V896">
        <v>85855</v>
      </c>
      <c r="W896">
        <v>90</v>
      </c>
      <c r="X896" s="367"/>
    </row>
    <row r="897" spans="1:24">
      <c r="A897" t="s">
        <v>4428</v>
      </c>
      <c r="B897" t="s">
        <v>4429</v>
      </c>
      <c r="C897">
        <v>1094</v>
      </c>
      <c r="D897">
        <v>328821</v>
      </c>
      <c r="E897">
        <v>14407210000</v>
      </c>
      <c r="F897">
        <v>56</v>
      </c>
      <c r="G897">
        <v>41</v>
      </c>
      <c r="H897">
        <v>43</v>
      </c>
      <c r="I897">
        <v>-13</v>
      </c>
      <c r="J897">
        <v>-23.21</v>
      </c>
      <c r="K897">
        <v>44</v>
      </c>
      <c r="L897">
        <v>-12</v>
      </c>
      <c r="M897">
        <v>-21.43</v>
      </c>
      <c r="N897">
        <v>39</v>
      </c>
      <c r="O897">
        <v>48</v>
      </c>
      <c r="P897" t="s">
        <v>192</v>
      </c>
      <c r="Q897" t="s">
        <v>192</v>
      </c>
      <c r="R897">
        <v>1</v>
      </c>
      <c r="S897">
        <v>1000</v>
      </c>
      <c r="T897">
        <v>42</v>
      </c>
      <c r="U897">
        <v>43</v>
      </c>
      <c r="V897">
        <v>14</v>
      </c>
      <c r="W897">
        <v>1</v>
      </c>
      <c r="X897" s="367"/>
    </row>
    <row r="898" spans="1:24">
      <c r="A898" t="s">
        <v>7043</v>
      </c>
      <c r="B898" t="s">
        <v>7044</v>
      </c>
      <c r="C898">
        <v>108</v>
      </c>
      <c r="D898">
        <v>6041</v>
      </c>
      <c r="E898">
        <v>480788000</v>
      </c>
      <c r="F898">
        <v>96</v>
      </c>
      <c r="G898">
        <v>51</v>
      </c>
      <c r="H898">
        <v>78</v>
      </c>
      <c r="I898">
        <v>-18</v>
      </c>
      <c r="J898">
        <v>-18.75</v>
      </c>
      <c r="K898">
        <v>80</v>
      </c>
      <c r="L898">
        <v>-16</v>
      </c>
      <c r="M898">
        <v>-16.670000000000002</v>
      </c>
      <c r="N898">
        <v>51</v>
      </c>
      <c r="O898">
        <v>95</v>
      </c>
      <c r="P898" t="s">
        <v>192</v>
      </c>
      <c r="Q898" t="s">
        <v>192</v>
      </c>
      <c r="R898">
        <v>1</v>
      </c>
      <c r="S898">
        <v>40</v>
      </c>
      <c r="T898">
        <v>76</v>
      </c>
      <c r="U898">
        <v>78</v>
      </c>
      <c r="V898">
        <v>99</v>
      </c>
      <c r="W898">
        <v>1</v>
      </c>
      <c r="X898" s="367"/>
    </row>
    <row r="899" spans="1:24">
      <c r="A899" t="s">
        <v>7035</v>
      </c>
      <c r="B899" t="s">
        <v>7036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 t="s">
        <v>192</v>
      </c>
      <c r="Q899" t="s">
        <v>192</v>
      </c>
      <c r="R899">
        <v>1</v>
      </c>
      <c r="S899">
        <v>100</v>
      </c>
      <c r="T899">
        <v>89</v>
      </c>
      <c r="U899">
        <v>0</v>
      </c>
      <c r="V899">
        <v>0</v>
      </c>
      <c r="W899">
        <v>0</v>
      </c>
      <c r="X899" s="367"/>
    </row>
    <row r="900" spans="1:24">
      <c r="A900" t="s">
        <v>8004</v>
      </c>
      <c r="B900" t="s">
        <v>8005</v>
      </c>
      <c r="C900">
        <v>7</v>
      </c>
      <c r="D900">
        <v>83</v>
      </c>
      <c r="E900">
        <v>498000</v>
      </c>
      <c r="F900">
        <v>5</v>
      </c>
      <c r="G900">
        <v>6</v>
      </c>
      <c r="H900">
        <v>6</v>
      </c>
      <c r="I900">
        <v>1</v>
      </c>
      <c r="J900">
        <v>20</v>
      </c>
      <c r="K900">
        <v>6</v>
      </c>
      <c r="L900">
        <v>1</v>
      </c>
      <c r="M900">
        <v>20</v>
      </c>
      <c r="N900">
        <v>6</v>
      </c>
      <c r="O900">
        <v>6</v>
      </c>
      <c r="P900" t="s">
        <v>192</v>
      </c>
      <c r="Q900" t="s">
        <v>192</v>
      </c>
      <c r="R900">
        <v>2</v>
      </c>
      <c r="S900">
        <v>2000</v>
      </c>
      <c r="T900">
        <v>2</v>
      </c>
      <c r="U900">
        <v>6</v>
      </c>
      <c r="V900">
        <v>917</v>
      </c>
      <c r="W900">
        <v>1</v>
      </c>
      <c r="X900" s="367"/>
    </row>
    <row r="901" spans="1:24">
      <c r="A901" t="s">
        <v>8006</v>
      </c>
      <c r="B901" t="s">
        <v>8007</v>
      </c>
      <c r="C901">
        <v>5</v>
      </c>
      <c r="D901">
        <v>98</v>
      </c>
      <c r="E901">
        <v>3800000</v>
      </c>
      <c r="F901">
        <v>35</v>
      </c>
      <c r="G901">
        <v>35</v>
      </c>
      <c r="H901">
        <v>40</v>
      </c>
      <c r="I901">
        <v>5</v>
      </c>
      <c r="J901">
        <v>14.29</v>
      </c>
      <c r="K901">
        <v>39</v>
      </c>
      <c r="L901">
        <v>4</v>
      </c>
      <c r="M901">
        <v>11.43</v>
      </c>
      <c r="N901">
        <v>35</v>
      </c>
      <c r="O901">
        <v>50</v>
      </c>
      <c r="P901" t="s">
        <v>192</v>
      </c>
      <c r="Q901" t="s">
        <v>192</v>
      </c>
      <c r="R901">
        <v>1</v>
      </c>
      <c r="S901">
        <v>1</v>
      </c>
      <c r="T901">
        <v>35</v>
      </c>
      <c r="U901">
        <v>0</v>
      </c>
      <c r="V901">
        <v>0</v>
      </c>
      <c r="W901">
        <v>0</v>
      </c>
      <c r="X901" s="367"/>
    </row>
    <row r="902" spans="1:24">
      <c r="A902" t="s">
        <v>8008</v>
      </c>
      <c r="B902" t="s">
        <v>8009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 t="s">
        <v>192</v>
      </c>
      <c r="Q902" t="s">
        <v>192</v>
      </c>
      <c r="R902">
        <v>2</v>
      </c>
      <c r="S902">
        <v>144</v>
      </c>
      <c r="T902">
        <v>44</v>
      </c>
      <c r="U902">
        <v>0</v>
      </c>
      <c r="V902">
        <v>0</v>
      </c>
      <c r="W902">
        <v>0</v>
      </c>
      <c r="X902" s="367"/>
    </row>
    <row r="903" spans="1:24">
      <c r="A903" t="s">
        <v>8010</v>
      </c>
      <c r="B903" t="s">
        <v>8011</v>
      </c>
      <c r="C903">
        <v>0</v>
      </c>
      <c r="D903">
        <v>0</v>
      </c>
      <c r="E903">
        <v>0</v>
      </c>
      <c r="F903">
        <v>1</v>
      </c>
      <c r="G903">
        <v>0</v>
      </c>
      <c r="H903">
        <v>1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 t="s">
        <v>192</v>
      </c>
      <c r="Q903" t="s">
        <v>192</v>
      </c>
      <c r="R903">
        <v>1</v>
      </c>
      <c r="S903">
        <v>22</v>
      </c>
      <c r="T903">
        <v>88</v>
      </c>
      <c r="U903">
        <v>0</v>
      </c>
      <c r="V903">
        <v>0</v>
      </c>
      <c r="W903">
        <v>0</v>
      </c>
      <c r="X903" s="367"/>
    </row>
    <row r="904" spans="1:24">
      <c r="A904" t="s">
        <v>8395</v>
      </c>
      <c r="B904" t="s">
        <v>8396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 t="s">
        <v>192</v>
      </c>
      <c r="Q904" t="s">
        <v>192</v>
      </c>
      <c r="R904">
        <v>1</v>
      </c>
      <c r="S904">
        <v>100</v>
      </c>
      <c r="T904">
        <v>1</v>
      </c>
      <c r="U904">
        <v>0</v>
      </c>
      <c r="V904">
        <v>0</v>
      </c>
      <c r="W904">
        <v>0</v>
      </c>
      <c r="X904" s="367"/>
    </row>
    <row r="905" spans="1:24">
      <c r="A905" t="s">
        <v>8397</v>
      </c>
      <c r="B905" t="s">
        <v>8398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 t="s">
        <v>192</v>
      </c>
      <c r="Q905" t="s">
        <v>192</v>
      </c>
      <c r="R905">
        <v>1</v>
      </c>
      <c r="S905">
        <v>2</v>
      </c>
      <c r="T905">
        <v>2</v>
      </c>
      <c r="U905">
        <v>0</v>
      </c>
      <c r="V905">
        <v>0</v>
      </c>
      <c r="W905">
        <v>0</v>
      </c>
      <c r="X905" s="367"/>
    </row>
    <row r="906" spans="1:24">
      <c r="A906" t="s">
        <v>8401</v>
      </c>
      <c r="B906" t="s">
        <v>8402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 t="s">
        <v>192</v>
      </c>
      <c r="Q906" t="s">
        <v>192</v>
      </c>
      <c r="R906">
        <v>1</v>
      </c>
      <c r="S906">
        <v>2</v>
      </c>
      <c r="T906">
        <v>7</v>
      </c>
      <c r="U906">
        <v>0</v>
      </c>
      <c r="V906">
        <v>0</v>
      </c>
      <c r="W906">
        <v>0</v>
      </c>
      <c r="X906" s="367"/>
    </row>
    <row r="907" spans="1:24">
      <c r="A907" t="s">
        <v>8403</v>
      </c>
      <c r="B907" t="s">
        <v>8404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 t="s">
        <v>192</v>
      </c>
      <c r="Q907" t="s">
        <v>192</v>
      </c>
      <c r="R907">
        <v>1</v>
      </c>
      <c r="S907">
        <v>222</v>
      </c>
      <c r="T907">
        <v>8</v>
      </c>
      <c r="U907">
        <v>0</v>
      </c>
      <c r="V907">
        <v>0</v>
      </c>
      <c r="W907">
        <v>0</v>
      </c>
      <c r="X907" s="367"/>
    </row>
    <row r="908" spans="1:24">
      <c r="A908" t="s">
        <v>8407</v>
      </c>
      <c r="B908" t="s">
        <v>8408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 t="s">
        <v>192</v>
      </c>
      <c r="Q908" t="s">
        <v>192</v>
      </c>
      <c r="R908">
        <v>1</v>
      </c>
      <c r="S908">
        <v>25</v>
      </c>
      <c r="T908">
        <v>15</v>
      </c>
      <c r="U908">
        <v>0</v>
      </c>
      <c r="V908">
        <v>0</v>
      </c>
      <c r="W908">
        <v>0</v>
      </c>
      <c r="X908" s="367"/>
    </row>
    <row r="909" spans="1:24">
      <c r="A909" t="s">
        <v>8409</v>
      </c>
      <c r="B909" t="s">
        <v>8410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1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 t="s">
        <v>192</v>
      </c>
      <c r="Q909" t="s">
        <v>192</v>
      </c>
      <c r="R909">
        <v>1</v>
      </c>
      <c r="S909">
        <v>12</v>
      </c>
      <c r="T909">
        <v>26</v>
      </c>
      <c r="U909">
        <v>0</v>
      </c>
      <c r="V909">
        <v>0</v>
      </c>
      <c r="W909">
        <v>0</v>
      </c>
      <c r="X909" s="367"/>
    </row>
    <row r="910" spans="1:24">
      <c r="A910" t="s">
        <v>8411</v>
      </c>
      <c r="B910" t="s">
        <v>8412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 t="s">
        <v>192</v>
      </c>
      <c r="Q910" t="s">
        <v>192</v>
      </c>
      <c r="R910">
        <v>1</v>
      </c>
      <c r="S910">
        <v>12</v>
      </c>
      <c r="T910">
        <v>47</v>
      </c>
      <c r="U910">
        <v>0</v>
      </c>
      <c r="V910">
        <v>0</v>
      </c>
      <c r="W910">
        <v>0</v>
      </c>
      <c r="X910" s="367"/>
    </row>
    <row r="911" spans="1:24">
      <c r="A911" t="s">
        <v>4430</v>
      </c>
      <c r="B911" t="s">
        <v>4431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1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 t="s">
        <v>192</v>
      </c>
      <c r="Q911" t="s">
        <v>192</v>
      </c>
      <c r="R911">
        <v>1</v>
      </c>
      <c r="S911">
        <v>100</v>
      </c>
      <c r="T911">
        <v>1</v>
      </c>
      <c r="U911">
        <v>0</v>
      </c>
      <c r="V911">
        <v>0</v>
      </c>
      <c r="W911">
        <v>0</v>
      </c>
      <c r="X911" s="367"/>
    </row>
    <row r="912" spans="1:24">
      <c r="A912" t="s">
        <v>4432</v>
      </c>
      <c r="B912" t="s">
        <v>4433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 t="s">
        <v>192</v>
      </c>
      <c r="Q912" t="s">
        <v>192</v>
      </c>
      <c r="R912">
        <v>1</v>
      </c>
      <c r="S912">
        <v>100</v>
      </c>
      <c r="T912">
        <v>1</v>
      </c>
      <c r="U912">
        <v>0</v>
      </c>
      <c r="V912">
        <v>0</v>
      </c>
      <c r="W912">
        <v>0</v>
      </c>
      <c r="X912" s="367"/>
    </row>
    <row r="913" spans="1:24">
      <c r="A913" t="s">
        <v>4436</v>
      </c>
      <c r="B913" t="s">
        <v>4437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 t="s">
        <v>192</v>
      </c>
      <c r="Q913" t="s">
        <v>192</v>
      </c>
      <c r="R913">
        <v>1</v>
      </c>
      <c r="S913">
        <v>100</v>
      </c>
      <c r="T913">
        <v>1</v>
      </c>
      <c r="U913">
        <v>0</v>
      </c>
      <c r="V913">
        <v>0</v>
      </c>
      <c r="W913">
        <v>0</v>
      </c>
      <c r="X913" s="367"/>
    </row>
    <row r="914" spans="1:24">
      <c r="A914" t="s">
        <v>4440</v>
      </c>
      <c r="B914" t="s">
        <v>4441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 t="s">
        <v>192</v>
      </c>
      <c r="Q914" t="s">
        <v>192</v>
      </c>
      <c r="R914">
        <v>1</v>
      </c>
      <c r="S914">
        <v>100</v>
      </c>
      <c r="T914">
        <v>1</v>
      </c>
      <c r="U914">
        <v>0</v>
      </c>
      <c r="V914">
        <v>0</v>
      </c>
      <c r="W914">
        <v>0</v>
      </c>
      <c r="X914" s="367"/>
    </row>
    <row r="915" spans="1:24">
      <c r="A915" t="s">
        <v>4442</v>
      </c>
      <c r="B915" t="s">
        <v>4443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 t="s">
        <v>192</v>
      </c>
      <c r="Q915" t="s">
        <v>192</v>
      </c>
      <c r="R915">
        <v>1</v>
      </c>
      <c r="S915">
        <v>100</v>
      </c>
      <c r="T915">
        <v>1</v>
      </c>
      <c r="U915">
        <v>0</v>
      </c>
      <c r="V915">
        <v>0</v>
      </c>
      <c r="W915">
        <v>0</v>
      </c>
      <c r="X915" s="367"/>
    </row>
    <row r="916" spans="1:24">
      <c r="A916" t="s">
        <v>4444</v>
      </c>
      <c r="B916" t="s">
        <v>8659</v>
      </c>
      <c r="C916">
        <v>0</v>
      </c>
      <c r="D916">
        <v>0</v>
      </c>
      <c r="E916">
        <v>0</v>
      </c>
      <c r="F916">
        <v>2</v>
      </c>
      <c r="G916">
        <v>0</v>
      </c>
      <c r="H916">
        <v>2</v>
      </c>
      <c r="I916">
        <v>0</v>
      </c>
      <c r="J916">
        <v>0</v>
      </c>
      <c r="K916">
        <v>2</v>
      </c>
      <c r="L916">
        <v>0</v>
      </c>
      <c r="M916">
        <v>0</v>
      </c>
      <c r="N916">
        <v>0</v>
      </c>
      <c r="O916">
        <v>0</v>
      </c>
      <c r="P916" t="s">
        <v>192</v>
      </c>
      <c r="Q916" t="s">
        <v>192</v>
      </c>
      <c r="R916">
        <v>0</v>
      </c>
      <c r="S916">
        <v>0</v>
      </c>
      <c r="T916">
        <v>0</v>
      </c>
      <c r="U916">
        <v>2</v>
      </c>
      <c r="V916">
        <v>69</v>
      </c>
      <c r="W916">
        <v>1</v>
      </c>
      <c r="X916" s="367"/>
    </row>
    <row r="917" spans="1:24">
      <c r="A917" t="s">
        <v>4445</v>
      </c>
      <c r="B917" t="s">
        <v>8660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 t="s">
        <v>192</v>
      </c>
      <c r="Q917" t="s">
        <v>192</v>
      </c>
      <c r="R917">
        <v>0</v>
      </c>
      <c r="S917">
        <v>0</v>
      </c>
      <c r="T917">
        <v>0</v>
      </c>
      <c r="U917">
        <v>3</v>
      </c>
      <c r="V917">
        <v>100</v>
      </c>
      <c r="W917">
        <v>1</v>
      </c>
      <c r="X917" s="367"/>
    </row>
    <row r="918" spans="1:24">
      <c r="A918" t="s">
        <v>4446</v>
      </c>
      <c r="B918" t="s">
        <v>8661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 t="s">
        <v>192</v>
      </c>
      <c r="Q918" t="s">
        <v>192</v>
      </c>
      <c r="R918">
        <v>0</v>
      </c>
      <c r="S918">
        <v>0</v>
      </c>
      <c r="T918">
        <v>0</v>
      </c>
      <c r="U918">
        <v>3</v>
      </c>
      <c r="V918">
        <v>100</v>
      </c>
      <c r="W918">
        <v>1</v>
      </c>
      <c r="X918" s="367"/>
    </row>
    <row r="919" spans="1:24">
      <c r="A919" t="s">
        <v>4447</v>
      </c>
      <c r="B919" t="s">
        <v>8605</v>
      </c>
      <c r="C919">
        <v>0</v>
      </c>
      <c r="D919">
        <v>0</v>
      </c>
      <c r="E919">
        <v>0</v>
      </c>
      <c r="F919">
        <v>3</v>
      </c>
      <c r="G919">
        <v>0</v>
      </c>
      <c r="H919">
        <v>3</v>
      </c>
      <c r="I919">
        <v>0</v>
      </c>
      <c r="J919">
        <v>0</v>
      </c>
      <c r="K919">
        <v>3</v>
      </c>
      <c r="L919">
        <v>0</v>
      </c>
      <c r="M919">
        <v>0</v>
      </c>
      <c r="N919">
        <v>0</v>
      </c>
      <c r="O919">
        <v>0</v>
      </c>
      <c r="P919" t="s">
        <v>192</v>
      </c>
      <c r="Q919" t="s">
        <v>192</v>
      </c>
      <c r="R919">
        <v>0</v>
      </c>
      <c r="S919">
        <v>0</v>
      </c>
      <c r="T919">
        <v>0</v>
      </c>
      <c r="U919">
        <v>2</v>
      </c>
      <c r="V919">
        <v>992</v>
      </c>
      <c r="W919">
        <v>1</v>
      </c>
      <c r="X919" s="367"/>
    </row>
    <row r="920" spans="1:24">
      <c r="A920" t="s">
        <v>4448</v>
      </c>
      <c r="B920" t="s">
        <v>8697</v>
      </c>
      <c r="C920">
        <v>0</v>
      </c>
      <c r="D920">
        <v>0</v>
      </c>
      <c r="E920">
        <v>0</v>
      </c>
      <c r="F920">
        <v>2</v>
      </c>
      <c r="G920">
        <v>0</v>
      </c>
      <c r="H920">
        <v>2</v>
      </c>
      <c r="I920">
        <v>0</v>
      </c>
      <c r="J920">
        <v>0</v>
      </c>
      <c r="K920">
        <v>2</v>
      </c>
      <c r="L920">
        <v>0</v>
      </c>
      <c r="M920">
        <v>0</v>
      </c>
      <c r="N920">
        <v>0</v>
      </c>
      <c r="O920">
        <v>0</v>
      </c>
      <c r="P920" t="s">
        <v>192</v>
      </c>
      <c r="Q920" t="s">
        <v>192</v>
      </c>
      <c r="R920">
        <v>0</v>
      </c>
      <c r="S920">
        <v>0</v>
      </c>
      <c r="T920">
        <v>0</v>
      </c>
      <c r="U920">
        <v>1</v>
      </c>
      <c r="V920">
        <v>950</v>
      </c>
      <c r="W920">
        <v>1</v>
      </c>
      <c r="X920" s="367"/>
    </row>
    <row r="921" spans="1:24">
      <c r="A921" t="s">
        <v>4449</v>
      </c>
      <c r="B921" t="s">
        <v>8606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 t="s">
        <v>192</v>
      </c>
      <c r="Q921" t="s">
        <v>192</v>
      </c>
      <c r="R921">
        <v>1</v>
      </c>
      <c r="S921">
        <v>100</v>
      </c>
      <c r="T921">
        <v>1</v>
      </c>
      <c r="U921">
        <v>0</v>
      </c>
      <c r="V921">
        <v>0</v>
      </c>
      <c r="W921">
        <v>0</v>
      </c>
      <c r="X921" s="367"/>
    </row>
    <row r="922" spans="1:24">
      <c r="A922" t="s">
        <v>4450</v>
      </c>
      <c r="B922" t="s">
        <v>8608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 t="s">
        <v>192</v>
      </c>
      <c r="Q922" t="s">
        <v>192</v>
      </c>
      <c r="R922">
        <v>1</v>
      </c>
      <c r="S922">
        <v>100</v>
      </c>
      <c r="T922">
        <v>1</v>
      </c>
      <c r="U922">
        <v>0</v>
      </c>
      <c r="V922">
        <v>0</v>
      </c>
      <c r="W922">
        <v>0</v>
      </c>
      <c r="X922" s="367"/>
    </row>
    <row r="923" spans="1:24">
      <c r="A923" t="s">
        <v>4451</v>
      </c>
      <c r="B923" t="s">
        <v>8610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 t="s">
        <v>192</v>
      </c>
      <c r="Q923" t="s">
        <v>192</v>
      </c>
      <c r="R923">
        <v>1</v>
      </c>
      <c r="S923">
        <v>100</v>
      </c>
      <c r="T923">
        <v>1</v>
      </c>
      <c r="U923">
        <v>0</v>
      </c>
      <c r="V923">
        <v>0</v>
      </c>
      <c r="W923">
        <v>0</v>
      </c>
      <c r="X923" s="367"/>
    </row>
    <row r="924" spans="1:24">
      <c r="A924" t="s">
        <v>4452</v>
      </c>
      <c r="B924" t="s">
        <v>8611</v>
      </c>
      <c r="C924">
        <v>0</v>
      </c>
      <c r="D924">
        <v>0</v>
      </c>
      <c r="E924">
        <v>0</v>
      </c>
      <c r="F924">
        <v>1</v>
      </c>
      <c r="G924">
        <v>0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 t="s">
        <v>192</v>
      </c>
      <c r="Q924" t="s">
        <v>192</v>
      </c>
      <c r="R924">
        <v>1</v>
      </c>
      <c r="S924">
        <v>100</v>
      </c>
      <c r="T924">
        <v>1</v>
      </c>
      <c r="U924">
        <v>0</v>
      </c>
      <c r="V924">
        <v>0</v>
      </c>
      <c r="W924">
        <v>0</v>
      </c>
      <c r="X924" s="367"/>
    </row>
    <row r="925" spans="1:24">
      <c r="A925" t="s">
        <v>4453</v>
      </c>
      <c r="B925" t="s">
        <v>8612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 t="s">
        <v>192</v>
      </c>
      <c r="Q925" t="s">
        <v>192</v>
      </c>
      <c r="R925">
        <v>1</v>
      </c>
      <c r="S925">
        <v>100</v>
      </c>
      <c r="T925">
        <v>1</v>
      </c>
      <c r="U925">
        <v>0</v>
      </c>
      <c r="V925">
        <v>0</v>
      </c>
      <c r="W925">
        <v>0</v>
      </c>
      <c r="X925" s="367"/>
    </row>
    <row r="926" spans="1:24">
      <c r="A926" t="s">
        <v>4455</v>
      </c>
      <c r="B926" t="s">
        <v>8615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 t="s">
        <v>192</v>
      </c>
      <c r="Q926" t="s">
        <v>192</v>
      </c>
      <c r="R926">
        <v>1</v>
      </c>
      <c r="S926">
        <v>10</v>
      </c>
      <c r="T926">
        <v>100</v>
      </c>
      <c r="U926">
        <v>0</v>
      </c>
      <c r="V926">
        <v>0</v>
      </c>
      <c r="W926">
        <v>0</v>
      </c>
      <c r="X926" s="367"/>
    </row>
    <row r="927" spans="1:24">
      <c r="A927" t="s">
        <v>4456</v>
      </c>
      <c r="B927" t="s">
        <v>8555</v>
      </c>
      <c r="C927">
        <v>0</v>
      </c>
      <c r="D927">
        <v>0</v>
      </c>
      <c r="E927">
        <v>0</v>
      </c>
      <c r="F927">
        <v>150</v>
      </c>
      <c r="G927">
        <v>0</v>
      </c>
      <c r="H927">
        <v>150</v>
      </c>
      <c r="I927">
        <v>0</v>
      </c>
      <c r="J927">
        <v>0</v>
      </c>
      <c r="K927">
        <v>150</v>
      </c>
      <c r="L927">
        <v>0</v>
      </c>
      <c r="M927">
        <v>0</v>
      </c>
      <c r="N927">
        <v>0</v>
      </c>
      <c r="O927">
        <v>0</v>
      </c>
      <c r="P927" t="s">
        <v>192</v>
      </c>
      <c r="Q927" t="s">
        <v>192</v>
      </c>
      <c r="R927">
        <v>0</v>
      </c>
      <c r="S927">
        <v>0</v>
      </c>
      <c r="T927">
        <v>0</v>
      </c>
      <c r="U927">
        <v>40</v>
      </c>
      <c r="V927">
        <v>31</v>
      </c>
      <c r="W927">
        <v>1</v>
      </c>
      <c r="X927" s="367"/>
    </row>
    <row r="928" spans="1:24">
      <c r="A928" t="s">
        <v>6607</v>
      </c>
      <c r="B928" t="s">
        <v>8531</v>
      </c>
      <c r="C928">
        <v>1</v>
      </c>
      <c r="D928">
        <v>59</v>
      </c>
      <c r="E928">
        <v>80889</v>
      </c>
      <c r="F928">
        <v>75</v>
      </c>
      <c r="G928">
        <v>1</v>
      </c>
      <c r="H928">
        <v>1</v>
      </c>
      <c r="I928">
        <v>-74</v>
      </c>
      <c r="J928">
        <v>-98.67</v>
      </c>
      <c r="K928">
        <v>1</v>
      </c>
      <c r="L928">
        <v>-74</v>
      </c>
      <c r="M928">
        <v>-98.67</v>
      </c>
      <c r="N928">
        <v>1</v>
      </c>
      <c r="O928">
        <v>1</v>
      </c>
      <c r="P928" t="s">
        <v>192</v>
      </c>
      <c r="Q928" t="s">
        <v>192</v>
      </c>
      <c r="R928">
        <v>0</v>
      </c>
      <c r="S928">
        <v>0</v>
      </c>
      <c r="T928">
        <v>0</v>
      </c>
      <c r="U928">
        <v>2</v>
      </c>
      <c r="V928">
        <v>256</v>
      </c>
      <c r="W928">
        <v>1</v>
      </c>
      <c r="X928" s="367"/>
    </row>
    <row r="929" spans="1:24">
      <c r="A929" t="s">
        <v>4458</v>
      </c>
      <c r="B929" t="s">
        <v>8532</v>
      </c>
      <c r="C929">
        <v>0</v>
      </c>
      <c r="D929">
        <v>0</v>
      </c>
      <c r="E929">
        <v>0</v>
      </c>
      <c r="F929">
        <v>2</v>
      </c>
      <c r="G929">
        <v>0</v>
      </c>
      <c r="H929">
        <v>2</v>
      </c>
      <c r="I929">
        <v>0</v>
      </c>
      <c r="J929">
        <v>0</v>
      </c>
      <c r="K929">
        <v>2</v>
      </c>
      <c r="L929">
        <v>0</v>
      </c>
      <c r="M929">
        <v>0</v>
      </c>
      <c r="N929">
        <v>0</v>
      </c>
      <c r="O929">
        <v>0</v>
      </c>
      <c r="P929" t="s">
        <v>192</v>
      </c>
      <c r="Q929" t="s">
        <v>192</v>
      </c>
      <c r="R929">
        <v>0</v>
      </c>
      <c r="S929">
        <v>0</v>
      </c>
      <c r="T929">
        <v>0</v>
      </c>
      <c r="U929">
        <v>1</v>
      </c>
      <c r="V929">
        <v>490</v>
      </c>
      <c r="W929">
        <v>1</v>
      </c>
      <c r="X929" s="367"/>
    </row>
    <row r="930" spans="1:24">
      <c r="A930" t="s">
        <v>4462</v>
      </c>
      <c r="B930" t="s">
        <v>8413</v>
      </c>
      <c r="C930">
        <v>45</v>
      </c>
      <c r="D930">
        <v>2971</v>
      </c>
      <c r="E930">
        <v>2023700196</v>
      </c>
      <c r="F930">
        <v>750</v>
      </c>
      <c r="G930">
        <v>600</v>
      </c>
      <c r="H930">
        <v>309</v>
      </c>
      <c r="I930">
        <v>-441</v>
      </c>
      <c r="J930">
        <v>-58.8</v>
      </c>
      <c r="K930">
        <v>497</v>
      </c>
      <c r="L930">
        <v>-253</v>
      </c>
      <c r="M930">
        <v>-33.729999999999997</v>
      </c>
      <c r="N930">
        <v>301</v>
      </c>
      <c r="O930">
        <v>655</v>
      </c>
      <c r="P930" t="s">
        <v>192</v>
      </c>
      <c r="Q930" t="s">
        <v>192</v>
      </c>
      <c r="R930">
        <v>1</v>
      </c>
      <c r="S930">
        <v>1</v>
      </c>
      <c r="T930">
        <v>203</v>
      </c>
      <c r="U930">
        <v>0</v>
      </c>
      <c r="V930">
        <v>0</v>
      </c>
      <c r="W930">
        <v>0</v>
      </c>
      <c r="X930" s="367"/>
    </row>
    <row r="931" spans="1:24">
      <c r="A931" t="s">
        <v>6601</v>
      </c>
      <c r="B931" t="s">
        <v>8454</v>
      </c>
      <c r="C931">
        <v>2</v>
      </c>
      <c r="D931">
        <v>3</v>
      </c>
      <c r="E931">
        <v>145326</v>
      </c>
      <c r="F931">
        <v>390</v>
      </c>
      <c r="G931">
        <v>33</v>
      </c>
      <c r="H931">
        <v>40</v>
      </c>
      <c r="I931">
        <v>-350</v>
      </c>
      <c r="J931">
        <v>-89.74</v>
      </c>
      <c r="K931">
        <v>35</v>
      </c>
      <c r="L931">
        <v>-355</v>
      </c>
      <c r="M931">
        <v>-91.03</v>
      </c>
      <c r="N931">
        <v>33</v>
      </c>
      <c r="O931">
        <v>40</v>
      </c>
      <c r="P931" t="s">
        <v>192</v>
      </c>
      <c r="Q931" t="s">
        <v>192</v>
      </c>
      <c r="R931">
        <v>1</v>
      </c>
      <c r="S931">
        <v>50</v>
      </c>
      <c r="T931">
        <v>41</v>
      </c>
      <c r="U931">
        <v>0</v>
      </c>
      <c r="V931">
        <v>0</v>
      </c>
      <c r="W931">
        <v>0</v>
      </c>
      <c r="X931" s="367"/>
    </row>
    <row r="932" spans="1:24">
      <c r="A932" t="s">
        <v>6599</v>
      </c>
      <c r="B932" t="s">
        <v>8455</v>
      </c>
      <c r="C932">
        <v>3</v>
      </c>
      <c r="D932">
        <v>5</v>
      </c>
      <c r="E932">
        <v>4729950</v>
      </c>
      <c r="F932">
        <v>1</v>
      </c>
      <c r="G932">
        <v>690</v>
      </c>
      <c r="H932">
        <v>690</v>
      </c>
      <c r="I932">
        <v>689</v>
      </c>
      <c r="J932">
        <v>68900</v>
      </c>
      <c r="K932">
        <v>690</v>
      </c>
      <c r="L932">
        <v>689</v>
      </c>
      <c r="M932">
        <v>68900</v>
      </c>
      <c r="N932">
        <v>690</v>
      </c>
      <c r="O932">
        <v>690</v>
      </c>
      <c r="P932" t="s">
        <v>192</v>
      </c>
      <c r="Q932" t="s">
        <v>192</v>
      </c>
      <c r="R932">
        <v>1</v>
      </c>
      <c r="S932">
        <v>444</v>
      </c>
      <c r="T932">
        <v>4</v>
      </c>
      <c r="U932">
        <v>1000</v>
      </c>
      <c r="V932">
        <v>5</v>
      </c>
      <c r="W932">
        <v>1</v>
      </c>
      <c r="X932" s="367"/>
    </row>
    <row r="933" spans="1:24">
      <c r="A933" t="s">
        <v>6597</v>
      </c>
      <c r="B933" t="s">
        <v>8456</v>
      </c>
      <c r="C933">
        <v>0</v>
      </c>
      <c r="D933">
        <v>0</v>
      </c>
      <c r="E933">
        <v>0</v>
      </c>
      <c r="F933">
        <v>1000</v>
      </c>
      <c r="G933">
        <v>0</v>
      </c>
      <c r="H933">
        <v>1000</v>
      </c>
      <c r="I933">
        <v>0</v>
      </c>
      <c r="J933">
        <v>0</v>
      </c>
      <c r="K933">
        <v>1000</v>
      </c>
      <c r="L933">
        <v>0</v>
      </c>
      <c r="M933">
        <v>0</v>
      </c>
      <c r="N933">
        <v>0</v>
      </c>
      <c r="O933">
        <v>0</v>
      </c>
      <c r="P933" t="s">
        <v>192</v>
      </c>
      <c r="Q933" t="s">
        <v>192</v>
      </c>
      <c r="R933">
        <v>1</v>
      </c>
      <c r="S933">
        <v>100</v>
      </c>
      <c r="T933">
        <v>1</v>
      </c>
      <c r="U933">
        <v>0</v>
      </c>
      <c r="V933">
        <v>0</v>
      </c>
      <c r="W933">
        <v>0</v>
      </c>
      <c r="X933" s="367"/>
    </row>
    <row r="934" spans="1:24">
      <c r="A934" t="s">
        <v>6595</v>
      </c>
      <c r="B934" t="s">
        <v>8457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 t="s">
        <v>192</v>
      </c>
      <c r="Q934" t="s">
        <v>192</v>
      </c>
      <c r="R934">
        <v>1</v>
      </c>
      <c r="S934">
        <v>444</v>
      </c>
      <c r="T934">
        <v>4</v>
      </c>
      <c r="U934">
        <v>0</v>
      </c>
      <c r="V934">
        <v>0</v>
      </c>
      <c r="W934">
        <v>0</v>
      </c>
      <c r="X934" s="367"/>
    </row>
    <row r="935" spans="1:24">
      <c r="A935" t="s">
        <v>6593</v>
      </c>
      <c r="B935" t="s">
        <v>8458</v>
      </c>
      <c r="C935">
        <v>0</v>
      </c>
      <c r="D935">
        <v>0</v>
      </c>
      <c r="E935">
        <v>0</v>
      </c>
      <c r="F935">
        <v>110</v>
      </c>
      <c r="G935">
        <v>0</v>
      </c>
      <c r="H935">
        <v>110</v>
      </c>
      <c r="I935">
        <v>0</v>
      </c>
      <c r="J935">
        <v>0</v>
      </c>
      <c r="K935">
        <v>110</v>
      </c>
      <c r="L935">
        <v>0</v>
      </c>
      <c r="M935">
        <v>0</v>
      </c>
      <c r="N935">
        <v>0</v>
      </c>
      <c r="O935">
        <v>0</v>
      </c>
      <c r="P935" t="s">
        <v>192</v>
      </c>
      <c r="Q935" t="s">
        <v>192</v>
      </c>
      <c r="R935">
        <v>1</v>
      </c>
      <c r="S935">
        <v>100</v>
      </c>
      <c r="T935">
        <v>1</v>
      </c>
      <c r="U935">
        <v>0</v>
      </c>
      <c r="V935">
        <v>0</v>
      </c>
      <c r="W935">
        <v>0</v>
      </c>
      <c r="X935" s="367"/>
    </row>
    <row r="936" spans="1:24">
      <c r="A936" t="s">
        <v>6589</v>
      </c>
      <c r="B936" t="s">
        <v>8415</v>
      </c>
      <c r="C936">
        <v>3</v>
      </c>
      <c r="D936">
        <v>40</v>
      </c>
      <c r="E936">
        <v>19810950</v>
      </c>
      <c r="F936">
        <v>838</v>
      </c>
      <c r="G936">
        <v>501</v>
      </c>
      <c r="H936">
        <v>222</v>
      </c>
      <c r="I936">
        <v>-616</v>
      </c>
      <c r="J936">
        <v>-73.510000000000005</v>
      </c>
      <c r="K936">
        <v>361</v>
      </c>
      <c r="L936">
        <v>-477</v>
      </c>
      <c r="M936">
        <v>-56.92</v>
      </c>
      <c r="N936">
        <v>222</v>
      </c>
      <c r="O936">
        <v>501</v>
      </c>
      <c r="P936" t="s">
        <v>192</v>
      </c>
      <c r="Q936" t="s">
        <v>192</v>
      </c>
      <c r="R936">
        <v>1</v>
      </c>
      <c r="S936">
        <v>56</v>
      </c>
      <c r="T936">
        <v>257</v>
      </c>
      <c r="U936">
        <v>1450</v>
      </c>
      <c r="V936">
        <v>5</v>
      </c>
      <c r="W936">
        <v>1</v>
      </c>
      <c r="X936" s="367"/>
    </row>
    <row r="937" spans="1:24">
      <c r="A937" t="s">
        <v>6587</v>
      </c>
      <c r="B937" t="s">
        <v>8416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 t="s">
        <v>192</v>
      </c>
      <c r="Q937" t="s">
        <v>192</v>
      </c>
      <c r="R937">
        <v>1</v>
      </c>
      <c r="S937">
        <v>56</v>
      </c>
      <c r="T937">
        <v>258</v>
      </c>
      <c r="U937">
        <v>0</v>
      </c>
      <c r="V937">
        <v>0</v>
      </c>
      <c r="W937">
        <v>0</v>
      </c>
      <c r="X937" s="367"/>
    </row>
    <row r="938" spans="1:24">
      <c r="A938" t="s">
        <v>6585</v>
      </c>
      <c r="B938" t="s">
        <v>8417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 t="s">
        <v>192</v>
      </c>
      <c r="Q938" t="s">
        <v>192</v>
      </c>
      <c r="R938">
        <v>1</v>
      </c>
      <c r="S938">
        <v>21</v>
      </c>
      <c r="T938">
        <v>671</v>
      </c>
      <c r="U938">
        <v>0</v>
      </c>
      <c r="V938">
        <v>0</v>
      </c>
      <c r="W938">
        <v>0</v>
      </c>
      <c r="X938" s="367"/>
    </row>
    <row r="939" spans="1:24">
      <c r="A939" t="s">
        <v>6581</v>
      </c>
      <c r="B939" t="s">
        <v>8419</v>
      </c>
      <c r="C939">
        <v>0</v>
      </c>
      <c r="D939">
        <v>0</v>
      </c>
      <c r="E939">
        <v>0</v>
      </c>
      <c r="F939">
        <v>3501</v>
      </c>
      <c r="G939">
        <v>0</v>
      </c>
      <c r="H939">
        <v>3501</v>
      </c>
      <c r="I939">
        <v>0</v>
      </c>
      <c r="J939">
        <v>0</v>
      </c>
      <c r="K939">
        <v>3501</v>
      </c>
      <c r="L939">
        <v>0</v>
      </c>
      <c r="M939">
        <v>0</v>
      </c>
      <c r="N939">
        <v>0</v>
      </c>
      <c r="O939">
        <v>0</v>
      </c>
      <c r="P939" t="s">
        <v>192</v>
      </c>
      <c r="Q939" t="s">
        <v>192</v>
      </c>
      <c r="R939">
        <v>1</v>
      </c>
      <c r="S939">
        <v>4</v>
      </c>
      <c r="T939">
        <v>3001</v>
      </c>
      <c r="U939">
        <v>0</v>
      </c>
      <c r="V939">
        <v>0</v>
      </c>
      <c r="W939">
        <v>0</v>
      </c>
      <c r="X939" s="367"/>
    </row>
    <row r="940" spans="1:24">
      <c r="A940" t="s">
        <v>7908</v>
      </c>
      <c r="B940" t="s">
        <v>7909</v>
      </c>
      <c r="C940">
        <v>0</v>
      </c>
      <c r="D940">
        <v>0</v>
      </c>
      <c r="E940">
        <v>0</v>
      </c>
      <c r="F940">
        <v>1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 t="s">
        <v>192</v>
      </c>
      <c r="Q940" t="s">
        <v>192</v>
      </c>
      <c r="R940">
        <v>1</v>
      </c>
      <c r="S940">
        <v>100</v>
      </c>
      <c r="T940">
        <v>1</v>
      </c>
      <c r="U940">
        <v>0</v>
      </c>
      <c r="V940">
        <v>0</v>
      </c>
      <c r="W940">
        <v>0</v>
      </c>
      <c r="X940" s="367"/>
    </row>
    <row r="941" spans="1:24">
      <c r="A941" t="s">
        <v>7910</v>
      </c>
      <c r="B941" t="s">
        <v>7911</v>
      </c>
      <c r="C941">
        <v>0</v>
      </c>
      <c r="D941">
        <v>0</v>
      </c>
      <c r="E941">
        <v>0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 t="s">
        <v>192</v>
      </c>
      <c r="Q941" t="s">
        <v>192</v>
      </c>
      <c r="R941">
        <v>1</v>
      </c>
      <c r="S941">
        <v>100</v>
      </c>
      <c r="T941">
        <v>1</v>
      </c>
      <c r="U941">
        <v>0</v>
      </c>
      <c r="V941">
        <v>0</v>
      </c>
      <c r="W941">
        <v>0</v>
      </c>
      <c r="X941" s="367"/>
    </row>
    <row r="942" spans="1:24">
      <c r="A942" t="s">
        <v>7912</v>
      </c>
      <c r="B942" t="s">
        <v>7913</v>
      </c>
      <c r="C942">
        <v>0</v>
      </c>
      <c r="D942">
        <v>0</v>
      </c>
      <c r="E942">
        <v>0</v>
      </c>
      <c r="F942">
        <v>25</v>
      </c>
      <c r="G942">
        <v>0</v>
      </c>
      <c r="H942">
        <v>25</v>
      </c>
      <c r="I942">
        <v>0</v>
      </c>
      <c r="J942">
        <v>0</v>
      </c>
      <c r="K942">
        <v>25</v>
      </c>
      <c r="L942">
        <v>0</v>
      </c>
      <c r="M942">
        <v>0</v>
      </c>
      <c r="N942">
        <v>0</v>
      </c>
      <c r="O942">
        <v>0</v>
      </c>
      <c r="P942" t="s">
        <v>192</v>
      </c>
      <c r="Q942" t="s">
        <v>192</v>
      </c>
      <c r="R942">
        <v>3</v>
      </c>
      <c r="S942">
        <v>2100</v>
      </c>
      <c r="T942">
        <v>1</v>
      </c>
      <c r="U942">
        <v>150</v>
      </c>
      <c r="V942">
        <v>10</v>
      </c>
      <c r="W942">
        <v>1</v>
      </c>
      <c r="X942" s="367"/>
    </row>
    <row r="943" spans="1:24">
      <c r="A943" t="s">
        <v>7914</v>
      </c>
      <c r="B943" t="s">
        <v>7915</v>
      </c>
      <c r="C943">
        <v>0</v>
      </c>
      <c r="D943">
        <v>0</v>
      </c>
      <c r="E943">
        <v>0</v>
      </c>
      <c r="F943">
        <v>15</v>
      </c>
      <c r="G943">
        <v>0</v>
      </c>
      <c r="H943">
        <v>15</v>
      </c>
      <c r="I943">
        <v>0</v>
      </c>
      <c r="J943">
        <v>0</v>
      </c>
      <c r="K943">
        <v>15</v>
      </c>
      <c r="L943">
        <v>0</v>
      </c>
      <c r="M943">
        <v>0</v>
      </c>
      <c r="N943">
        <v>0</v>
      </c>
      <c r="O943">
        <v>0</v>
      </c>
      <c r="P943" t="s">
        <v>192</v>
      </c>
      <c r="Q943" t="s">
        <v>192</v>
      </c>
      <c r="R943">
        <v>1</v>
      </c>
      <c r="S943">
        <v>99</v>
      </c>
      <c r="T943">
        <v>19</v>
      </c>
      <c r="U943">
        <v>0</v>
      </c>
      <c r="V943">
        <v>0</v>
      </c>
      <c r="W943">
        <v>0</v>
      </c>
      <c r="X943" s="367"/>
    </row>
    <row r="944" spans="1:24">
      <c r="A944" t="s">
        <v>7916</v>
      </c>
      <c r="B944" t="s">
        <v>7917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 t="s">
        <v>192</v>
      </c>
      <c r="Q944" t="s">
        <v>192</v>
      </c>
      <c r="R944">
        <v>1</v>
      </c>
      <c r="S944">
        <v>22</v>
      </c>
      <c r="T944">
        <v>88</v>
      </c>
      <c r="U944">
        <v>0</v>
      </c>
      <c r="V944">
        <v>0</v>
      </c>
      <c r="W944">
        <v>0</v>
      </c>
      <c r="X944" s="367"/>
    </row>
    <row r="945" spans="1:24">
      <c r="A945" t="s">
        <v>7922</v>
      </c>
      <c r="B945" t="s">
        <v>7923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 t="s">
        <v>192</v>
      </c>
      <c r="Q945" t="s">
        <v>192</v>
      </c>
      <c r="R945">
        <v>1</v>
      </c>
      <c r="S945">
        <v>44</v>
      </c>
      <c r="T945">
        <v>44</v>
      </c>
      <c r="U945">
        <v>0</v>
      </c>
      <c r="V945">
        <v>0</v>
      </c>
      <c r="W945">
        <v>0</v>
      </c>
      <c r="X945" s="367"/>
    </row>
    <row r="946" spans="1:24">
      <c r="A946" t="s">
        <v>7924</v>
      </c>
      <c r="B946" t="s">
        <v>7925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 t="s">
        <v>192</v>
      </c>
      <c r="Q946" t="s">
        <v>192</v>
      </c>
      <c r="R946">
        <v>1</v>
      </c>
      <c r="S946">
        <v>111</v>
      </c>
      <c r="T946">
        <v>11</v>
      </c>
      <c r="U946">
        <v>0</v>
      </c>
      <c r="V946">
        <v>0</v>
      </c>
      <c r="W946">
        <v>0</v>
      </c>
      <c r="X946" s="367"/>
    </row>
    <row r="947" spans="1:24">
      <c r="A947" t="s">
        <v>7928</v>
      </c>
      <c r="B947" t="s">
        <v>7929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 t="s">
        <v>192</v>
      </c>
      <c r="Q947" t="s">
        <v>192</v>
      </c>
      <c r="R947">
        <v>1</v>
      </c>
      <c r="S947">
        <v>44</v>
      </c>
      <c r="T947">
        <v>44</v>
      </c>
      <c r="U947">
        <v>0</v>
      </c>
      <c r="V947">
        <v>0</v>
      </c>
      <c r="W947">
        <v>0</v>
      </c>
      <c r="X947" s="367"/>
    </row>
    <row r="948" spans="1:24">
      <c r="A948" t="s">
        <v>7930</v>
      </c>
      <c r="B948" t="s">
        <v>7931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 t="s">
        <v>192</v>
      </c>
      <c r="Q948" t="s">
        <v>192</v>
      </c>
      <c r="R948">
        <v>1</v>
      </c>
      <c r="S948">
        <v>10</v>
      </c>
      <c r="T948">
        <v>210</v>
      </c>
      <c r="U948">
        <v>0</v>
      </c>
      <c r="V948">
        <v>0</v>
      </c>
      <c r="W948">
        <v>0</v>
      </c>
      <c r="X948" s="367"/>
    </row>
    <row r="949" spans="1:24">
      <c r="A949" t="s">
        <v>7932</v>
      </c>
      <c r="B949" t="s">
        <v>7933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 t="s">
        <v>192</v>
      </c>
      <c r="Q949" t="s">
        <v>192</v>
      </c>
      <c r="R949">
        <v>1</v>
      </c>
      <c r="S949">
        <v>44</v>
      </c>
      <c r="T949">
        <v>44</v>
      </c>
      <c r="U949">
        <v>0</v>
      </c>
      <c r="V949">
        <v>0</v>
      </c>
      <c r="W949">
        <v>0</v>
      </c>
      <c r="X949" s="367"/>
    </row>
    <row r="950" spans="1:24">
      <c r="A950" t="s">
        <v>6813</v>
      </c>
      <c r="B950" t="s">
        <v>7937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 t="s">
        <v>192</v>
      </c>
      <c r="Q950" t="s">
        <v>192</v>
      </c>
      <c r="R950">
        <v>1</v>
      </c>
      <c r="S950">
        <v>100</v>
      </c>
      <c r="T950">
        <v>1</v>
      </c>
      <c r="U950">
        <v>0</v>
      </c>
      <c r="V950">
        <v>0</v>
      </c>
      <c r="W950">
        <v>0</v>
      </c>
      <c r="X950" s="367"/>
    </row>
    <row r="951" spans="1:24">
      <c r="A951" t="s">
        <v>6809</v>
      </c>
      <c r="B951" t="s">
        <v>7939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1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 t="s">
        <v>192</v>
      </c>
      <c r="Q951" t="s">
        <v>192</v>
      </c>
      <c r="R951">
        <v>1</v>
      </c>
      <c r="S951">
        <v>100</v>
      </c>
      <c r="T951">
        <v>1</v>
      </c>
      <c r="U951">
        <v>0</v>
      </c>
      <c r="V951">
        <v>0</v>
      </c>
      <c r="W951">
        <v>0</v>
      </c>
      <c r="X951" s="367"/>
    </row>
    <row r="952" spans="1:24">
      <c r="A952" t="s">
        <v>6801</v>
      </c>
      <c r="B952" t="s">
        <v>7943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 t="s">
        <v>192</v>
      </c>
      <c r="Q952" t="s">
        <v>192</v>
      </c>
      <c r="R952">
        <v>1</v>
      </c>
      <c r="S952">
        <v>100</v>
      </c>
      <c r="T952">
        <v>1</v>
      </c>
      <c r="U952">
        <v>0</v>
      </c>
      <c r="V952">
        <v>0</v>
      </c>
      <c r="W952">
        <v>0</v>
      </c>
      <c r="X952" s="367"/>
    </row>
    <row r="953" spans="1:24">
      <c r="A953" t="s">
        <v>6799</v>
      </c>
      <c r="B953" t="s">
        <v>7944</v>
      </c>
      <c r="C953">
        <v>0</v>
      </c>
      <c r="D953">
        <v>0</v>
      </c>
      <c r="E953">
        <v>0</v>
      </c>
      <c r="F953">
        <v>181</v>
      </c>
      <c r="G953">
        <v>0</v>
      </c>
      <c r="H953">
        <v>130</v>
      </c>
      <c r="I953">
        <v>-51</v>
      </c>
      <c r="J953">
        <v>-28.18</v>
      </c>
      <c r="K953">
        <v>181</v>
      </c>
      <c r="L953">
        <v>0</v>
      </c>
      <c r="M953">
        <v>0</v>
      </c>
      <c r="N953">
        <v>0</v>
      </c>
      <c r="O953">
        <v>0</v>
      </c>
      <c r="P953" t="s">
        <v>192</v>
      </c>
      <c r="Q953" t="s">
        <v>192</v>
      </c>
      <c r="R953">
        <v>1</v>
      </c>
      <c r="S953">
        <v>100</v>
      </c>
      <c r="T953">
        <v>1</v>
      </c>
      <c r="U953">
        <v>100</v>
      </c>
      <c r="V953">
        <v>17</v>
      </c>
      <c r="W953">
        <v>1</v>
      </c>
      <c r="X953" s="367"/>
    </row>
    <row r="954" spans="1:24">
      <c r="A954" t="s">
        <v>6797</v>
      </c>
      <c r="B954" t="s">
        <v>7945</v>
      </c>
      <c r="C954">
        <v>22</v>
      </c>
      <c r="D954">
        <v>334</v>
      </c>
      <c r="E954">
        <v>39982000</v>
      </c>
      <c r="F954">
        <v>157</v>
      </c>
      <c r="G954">
        <v>195</v>
      </c>
      <c r="H954">
        <v>160</v>
      </c>
      <c r="I954">
        <v>3</v>
      </c>
      <c r="J954">
        <v>1.91</v>
      </c>
      <c r="K954">
        <v>120</v>
      </c>
      <c r="L954">
        <v>-37</v>
      </c>
      <c r="M954">
        <v>-23.57</v>
      </c>
      <c r="N954">
        <v>111</v>
      </c>
      <c r="O954">
        <v>195</v>
      </c>
      <c r="P954" t="s">
        <v>192</v>
      </c>
      <c r="Q954" t="s">
        <v>192</v>
      </c>
      <c r="R954">
        <v>1</v>
      </c>
      <c r="S954">
        <v>985</v>
      </c>
      <c r="T954">
        <v>133</v>
      </c>
      <c r="U954">
        <v>160</v>
      </c>
      <c r="V954">
        <v>6</v>
      </c>
      <c r="W954">
        <v>1</v>
      </c>
      <c r="X954" s="367"/>
    </row>
    <row r="955" spans="1:24">
      <c r="A955" t="s">
        <v>6795</v>
      </c>
      <c r="B955" t="s">
        <v>7946</v>
      </c>
      <c r="C955">
        <v>3</v>
      </c>
      <c r="D955">
        <v>34</v>
      </c>
      <c r="E955">
        <v>17000000</v>
      </c>
      <c r="F955">
        <v>282</v>
      </c>
      <c r="G955">
        <v>500</v>
      </c>
      <c r="H955">
        <v>500</v>
      </c>
      <c r="I955">
        <v>218</v>
      </c>
      <c r="J955">
        <v>77.3</v>
      </c>
      <c r="K955">
        <v>500</v>
      </c>
      <c r="L955">
        <v>218</v>
      </c>
      <c r="M955">
        <v>77.3</v>
      </c>
      <c r="N955">
        <v>500</v>
      </c>
      <c r="O955">
        <v>500</v>
      </c>
      <c r="P955" t="s">
        <v>192</v>
      </c>
      <c r="Q955" t="s">
        <v>192</v>
      </c>
      <c r="R955">
        <v>1</v>
      </c>
      <c r="S955">
        <v>55</v>
      </c>
      <c r="T955">
        <v>55</v>
      </c>
      <c r="U955">
        <v>0</v>
      </c>
      <c r="V955">
        <v>0</v>
      </c>
      <c r="W955">
        <v>0</v>
      </c>
      <c r="X955" s="367"/>
    </row>
    <row r="956" spans="1:24">
      <c r="A956" t="s">
        <v>4478</v>
      </c>
      <c r="B956" t="s">
        <v>4479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 t="s">
        <v>192</v>
      </c>
      <c r="Q956" t="s">
        <v>192</v>
      </c>
      <c r="R956">
        <v>1</v>
      </c>
      <c r="S956">
        <v>100</v>
      </c>
      <c r="T956">
        <v>1</v>
      </c>
      <c r="U956">
        <v>0</v>
      </c>
      <c r="V956">
        <v>0</v>
      </c>
      <c r="W956">
        <v>0</v>
      </c>
      <c r="X956" s="367"/>
    </row>
    <row r="957" spans="1:24">
      <c r="A957" t="s">
        <v>4480</v>
      </c>
      <c r="B957" t="s">
        <v>4481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 t="s">
        <v>192</v>
      </c>
      <c r="Q957" t="s">
        <v>192</v>
      </c>
      <c r="R957">
        <v>1</v>
      </c>
      <c r="S957">
        <v>100</v>
      </c>
      <c r="T957">
        <v>1</v>
      </c>
      <c r="U957">
        <v>0</v>
      </c>
      <c r="V957">
        <v>0</v>
      </c>
      <c r="W957">
        <v>0</v>
      </c>
      <c r="X957" s="367"/>
    </row>
    <row r="958" spans="1:24">
      <c r="A958" t="s">
        <v>4482</v>
      </c>
      <c r="B958" t="s">
        <v>4483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 t="s">
        <v>192</v>
      </c>
      <c r="Q958" t="s">
        <v>192</v>
      </c>
      <c r="R958">
        <v>1</v>
      </c>
      <c r="S958">
        <v>100</v>
      </c>
      <c r="T958">
        <v>1</v>
      </c>
      <c r="U958">
        <v>0</v>
      </c>
      <c r="V958">
        <v>0</v>
      </c>
      <c r="W958">
        <v>0</v>
      </c>
      <c r="X958" s="367"/>
    </row>
    <row r="959" spans="1:24">
      <c r="A959" t="s">
        <v>4484</v>
      </c>
      <c r="B959" t="s">
        <v>4485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 t="s">
        <v>192</v>
      </c>
      <c r="Q959" t="s">
        <v>192</v>
      </c>
      <c r="R959">
        <v>1</v>
      </c>
      <c r="S959">
        <v>100</v>
      </c>
      <c r="T959">
        <v>1</v>
      </c>
      <c r="U959">
        <v>0</v>
      </c>
      <c r="V959">
        <v>0</v>
      </c>
      <c r="W959">
        <v>0</v>
      </c>
      <c r="X959" s="367"/>
    </row>
    <row r="960" spans="1:24">
      <c r="A960" t="s">
        <v>4486</v>
      </c>
      <c r="B960" t="s">
        <v>4487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 t="s">
        <v>192</v>
      </c>
      <c r="Q960" t="s">
        <v>192</v>
      </c>
      <c r="R960">
        <v>1</v>
      </c>
      <c r="S960">
        <v>100</v>
      </c>
      <c r="T960">
        <v>1</v>
      </c>
      <c r="U960">
        <v>0</v>
      </c>
      <c r="V960">
        <v>0</v>
      </c>
      <c r="W960">
        <v>0</v>
      </c>
      <c r="X960" s="367"/>
    </row>
    <row r="961" spans="1:24">
      <c r="A961" t="s">
        <v>4488</v>
      </c>
      <c r="B961" t="s">
        <v>4489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 t="s">
        <v>192</v>
      </c>
      <c r="Q961" t="s">
        <v>192</v>
      </c>
      <c r="R961">
        <v>1</v>
      </c>
      <c r="S961">
        <v>100</v>
      </c>
      <c r="T961">
        <v>1</v>
      </c>
      <c r="U961">
        <v>0</v>
      </c>
      <c r="V961">
        <v>0</v>
      </c>
      <c r="W961">
        <v>0</v>
      </c>
      <c r="X961" s="367"/>
    </row>
    <row r="962" spans="1:24">
      <c r="A962" t="s">
        <v>4490</v>
      </c>
      <c r="B962" t="s">
        <v>4491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 t="s">
        <v>192</v>
      </c>
      <c r="Q962" t="s">
        <v>192</v>
      </c>
      <c r="R962">
        <v>1</v>
      </c>
      <c r="S962">
        <v>100</v>
      </c>
      <c r="T962">
        <v>1</v>
      </c>
      <c r="U962">
        <v>0</v>
      </c>
      <c r="V962">
        <v>0</v>
      </c>
      <c r="W962">
        <v>0</v>
      </c>
      <c r="X962" s="367"/>
    </row>
    <row r="963" spans="1:24">
      <c r="A963" t="s">
        <v>8422</v>
      </c>
      <c r="B963" t="s">
        <v>8423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 t="s">
        <v>192</v>
      </c>
      <c r="Q963" t="s">
        <v>192</v>
      </c>
      <c r="R963">
        <v>1</v>
      </c>
      <c r="S963">
        <v>100</v>
      </c>
      <c r="T963">
        <v>1</v>
      </c>
      <c r="U963">
        <v>0</v>
      </c>
      <c r="V963">
        <v>0</v>
      </c>
      <c r="W963">
        <v>0</v>
      </c>
      <c r="X963" s="367"/>
    </row>
    <row r="964" spans="1:24">
      <c r="A964" t="s">
        <v>8424</v>
      </c>
      <c r="B964" t="s">
        <v>8425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 t="s">
        <v>192</v>
      </c>
      <c r="Q964" t="s">
        <v>192</v>
      </c>
      <c r="R964">
        <v>1</v>
      </c>
      <c r="S964">
        <v>100</v>
      </c>
      <c r="T964">
        <v>1</v>
      </c>
      <c r="U964">
        <v>0</v>
      </c>
      <c r="V964">
        <v>0</v>
      </c>
      <c r="W964">
        <v>0</v>
      </c>
      <c r="X964" s="367"/>
    </row>
    <row r="965" spans="1:24">
      <c r="A965" t="s">
        <v>8426</v>
      </c>
      <c r="B965" t="s">
        <v>8427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 t="s">
        <v>192</v>
      </c>
      <c r="Q965" t="s">
        <v>192</v>
      </c>
      <c r="R965">
        <v>1</v>
      </c>
      <c r="S965">
        <v>100</v>
      </c>
      <c r="T965">
        <v>1</v>
      </c>
      <c r="U965">
        <v>0</v>
      </c>
      <c r="V965">
        <v>0</v>
      </c>
      <c r="W965">
        <v>0</v>
      </c>
      <c r="X965" s="367"/>
    </row>
    <row r="966" spans="1:24">
      <c r="A966" t="s">
        <v>8432</v>
      </c>
      <c r="B966" t="s">
        <v>8433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 t="s">
        <v>192</v>
      </c>
      <c r="Q966" t="s">
        <v>192</v>
      </c>
      <c r="R966">
        <v>1</v>
      </c>
      <c r="S966">
        <v>100</v>
      </c>
      <c r="T966">
        <v>1</v>
      </c>
      <c r="U966">
        <v>0</v>
      </c>
      <c r="V966">
        <v>0</v>
      </c>
      <c r="W966">
        <v>0</v>
      </c>
      <c r="X966" s="367"/>
    </row>
    <row r="967" spans="1:24">
      <c r="A967" t="s">
        <v>8436</v>
      </c>
      <c r="B967" t="s">
        <v>8437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 t="s">
        <v>192</v>
      </c>
      <c r="Q967" t="s">
        <v>192</v>
      </c>
      <c r="R967">
        <v>1</v>
      </c>
      <c r="S967">
        <v>100</v>
      </c>
      <c r="T967">
        <v>1</v>
      </c>
      <c r="U967">
        <v>0</v>
      </c>
      <c r="V967">
        <v>0</v>
      </c>
      <c r="W967">
        <v>0</v>
      </c>
      <c r="X967" s="367"/>
    </row>
    <row r="968" spans="1:24">
      <c r="A968" t="s">
        <v>4496</v>
      </c>
      <c r="B968" t="s">
        <v>4497</v>
      </c>
      <c r="C968">
        <v>0</v>
      </c>
      <c r="D968">
        <v>0</v>
      </c>
      <c r="E968">
        <v>0</v>
      </c>
      <c r="F968">
        <v>5</v>
      </c>
      <c r="G968">
        <v>0</v>
      </c>
      <c r="H968">
        <v>5</v>
      </c>
      <c r="I968">
        <v>0</v>
      </c>
      <c r="J968">
        <v>0</v>
      </c>
      <c r="K968">
        <v>5</v>
      </c>
      <c r="L968">
        <v>0</v>
      </c>
      <c r="M968">
        <v>0</v>
      </c>
      <c r="N968">
        <v>0</v>
      </c>
      <c r="O968">
        <v>0</v>
      </c>
      <c r="P968" t="s">
        <v>192</v>
      </c>
      <c r="Q968" t="s">
        <v>192</v>
      </c>
      <c r="R968">
        <v>0</v>
      </c>
      <c r="S968">
        <v>0</v>
      </c>
      <c r="T968">
        <v>0</v>
      </c>
      <c r="U968">
        <v>12</v>
      </c>
      <c r="V968">
        <v>120</v>
      </c>
      <c r="W968">
        <v>1</v>
      </c>
      <c r="X968" s="367"/>
    </row>
    <row r="969" spans="1:24">
      <c r="A969" t="s">
        <v>3970</v>
      </c>
      <c r="B969" t="s">
        <v>3971</v>
      </c>
      <c r="C969">
        <v>326</v>
      </c>
      <c r="D969">
        <v>6583324</v>
      </c>
      <c r="E969">
        <v>128434067916</v>
      </c>
      <c r="F969">
        <v>18759</v>
      </c>
      <c r="G969">
        <v>19509</v>
      </c>
      <c r="H969">
        <v>19509</v>
      </c>
      <c r="I969">
        <v>750</v>
      </c>
      <c r="J969">
        <v>4</v>
      </c>
      <c r="K969">
        <v>19509</v>
      </c>
      <c r="L969">
        <v>750</v>
      </c>
      <c r="M969">
        <v>4</v>
      </c>
      <c r="N969">
        <v>19509</v>
      </c>
      <c r="O969">
        <v>19509</v>
      </c>
      <c r="P969" t="s">
        <v>192</v>
      </c>
      <c r="Q969" t="s">
        <v>192</v>
      </c>
      <c r="R969">
        <v>679</v>
      </c>
      <c r="S969">
        <v>47211723</v>
      </c>
      <c r="T969">
        <v>19509</v>
      </c>
      <c r="U969">
        <v>19631</v>
      </c>
      <c r="V969">
        <v>100000</v>
      </c>
      <c r="W969">
        <v>1</v>
      </c>
      <c r="X969" s="367"/>
    </row>
    <row r="970" spans="1:24">
      <c r="A970" t="s">
        <v>3972</v>
      </c>
      <c r="B970" t="s">
        <v>3973</v>
      </c>
      <c r="C970">
        <v>0</v>
      </c>
      <c r="D970">
        <v>0</v>
      </c>
      <c r="E970">
        <v>0</v>
      </c>
      <c r="F970">
        <v>995000</v>
      </c>
      <c r="G970">
        <v>0</v>
      </c>
      <c r="H970">
        <v>995000</v>
      </c>
      <c r="I970">
        <v>0</v>
      </c>
      <c r="J970">
        <v>0</v>
      </c>
      <c r="K970">
        <v>995000</v>
      </c>
      <c r="L970">
        <v>0</v>
      </c>
      <c r="M970">
        <v>0</v>
      </c>
      <c r="N970">
        <v>0</v>
      </c>
      <c r="O970">
        <v>0</v>
      </c>
      <c r="P970" t="s">
        <v>192</v>
      </c>
      <c r="Q970" t="s">
        <v>192</v>
      </c>
      <c r="R970">
        <v>1</v>
      </c>
      <c r="S970">
        <v>6214</v>
      </c>
      <c r="T970">
        <v>995000</v>
      </c>
      <c r="U970">
        <v>0</v>
      </c>
      <c r="V970">
        <v>0</v>
      </c>
      <c r="W970">
        <v>0</v>
      </c>
      <c r="X970" s="367"/>
    </row>
    <row r="971" spans="1:24">
      <c r="A971" t="s">
        <v>3974</v>
      </c>
      <c r="B971" t="s">
        <v>3975</v>
      </c>
      <c r="C971">
        <v>35</v>
      </c>
      <c r="D971">
        <v>7867</v>
      </c>
      <c r="E971">
        <v>7917364000</v>
      </c>
      <c r="F971">
        <v>935</v>
      </c>
      <c r="G971">
        <v>1009</v>
      </c>
      <c r="H971">
        <v>1008</v>
      </c>
      <c r="I971">
        <v>73</v>
      </c>
      <c r="J971">
        <v>7.81</v>
      </c>
      <c r="K971">
        <v>1006</v>
      </c>
      <c r="L971">
        <v>71</v>
      </c>
      <c r="M971">
        <v>7.59</v>
      </c>
      <c r="N971">
        <v>1000</v>
      </c>
      <c r="O971">
        <v>1099</v>
      </c>
      <c r="P971" t="s">
        <v>192</v>
      </c>
      <c r="Q971" t="s">
        <v>192</v>
      </c>
      <c r="R971">
        <v>1</v>
      </c>
      <c r="S971">
        <v>5</v>
      </c>
      <c r="T971">
        <v>1008</v>
      </c>
      <c r="U971">
        <v>0</v>
      </c>
      <c r="V971">
        <v>0</v>
      </c>
      <c r="W971">
        <v>0</v>
      </c>
      <c r="X971" s="367"/>
    </row>
    <row r="972" spans="1:24">
      <c r="A972" t="s">
        <v>8788</v>
      </c>
      <c r="B972" t="s">
        <v>2152</v>
      </c>
      <c r="C972">
        <v>7</v>
      </c>
      <c r="D972">
        <v>148327</v>
      </c>
      <c r="E972">
        <v>664504960</v>
      </c>
      <c r="F972">
        <v>4400</v>
      </c>
      <c r="G972">
        <v>4480</v>
      </c>
      <c r="H972">
        <v>4480</v>
      </c>
      <c r="I972">
        <v>80</v>
      </c>
      <c r="J972">
        <v>1.82</v>
      </c>
      <c r="K972">
        <v>4480</v>
      </c>
      <c r="L972">
        <v>80</v>
      </c>
      <c r="M972">
        <v>1.82</v>
      </c>
      <c r="N972">
        <v>4480</v>
      </c>
      <c r="O972">
        <v>4480</v>
      </c>
      <c r="P972">
        <v>1533</v>
      </c>
      <c r="Q972">
        <v>2.92</v>
      </c>
      <c r="R972">
        <v>0</v>
      </c>
      <c r="S972">
        <v>0</v>
      </c>
      <c r="T972">
        <v>0</v>
      </c>
      <c r="U972">
        <v>4480</v>
      </c>
      <c r="V972">
        <v>2205754</v>
      </c>
      <c r="W972">
        <v>11</v>
      </c>
      <c r="X972" s="367"/>
    </row>
    <row r="973" spans="1:24">
      <c r="A973" t="s">
        <v>2536</v>
      </c>
      <c r="B973" t="s">
        <v>2535</v>
      </c>
      <c r="C973">
        <v>1617</v>
      </c>
      <c r="D973">
        <v>85529741</v>
      </c>
      <c r="E973">
        <v>537091767060</v>
      </c>
      <c r="F973">
        <v>6100</v>
      </c>
      <c r="G973">
        <v>6280</v>
      </c>
      <c r="H973">
        <v>6280</v>
      </c>
      <c r="I973">
        <v>180</v>
      </c>
      <c r="J973">
        <v>2.95</v>
      </c>
      <c r="K973">
        <v>6280</v>
      </c>
      <c r="L973">
        <v>180</v>
      </c>
      <c r="M973">
        <v>2.95</v>
      </c>
      <c r="N973">
        <v>6230</v>
      </c>
      <c r="O973">
        <v>6280</v>
      </c>
      <c r="P973">
        <v>441</v>
      </c>
      <c r="Q973">
        <v>14.24</v>
      </c>
      <c r="R973">
        <v>18</v>
      </c>
      <c r="S973">
        <v>1184867</v>
      </c>
      <c r="T973">
        <v>6280</v>
      </c>
      <c r="U973">
        <v>6390</v>
      </c>
      <c r="V973">
        <v>6000</v>
      </c>
      <c r="W973">
        <v>1</v>
      </c>
      <c r="X973" s="367"/>
    </row>
    <row r="974" spans="1:24">
      <c r="A974" t="s">
        <v>3976</v>
      </c>
      <c r="B974" t="s">
        <v>3977</v>
      </c>
      <c r="C974">
        <v>0</v>
      </c>
      <c r="D974">
        <v>0</v>
      </c>
      <c r="E974">
        <v>0</v>
      </c>
      <c r="F974">
        <v>1000000</v>
      </c>
      <c r="G974">
        <v>0</v>
      </c>
      <c r="H974">
        <v>1000000</v>
      </c>
      <c r="I974">
        <v>0</v>
      </c>
      <c r="J974">
        <v>0</v>
      </c>
      <c r="K974">
        <v>1000000</v>
      </c>
      <c r="L974">
        <v>0</v>
      </c>
      <c r="M974">
        <v>0</v>
      </c>
      <c r="N974">
        <v>0</v>
      </c>
      <c r="O974">
        <v>0</v>
      </c>
      <c r="P974" t="s">
        <v>192</v>
      </c>
      <c r="Q974" t="s">
        <v>192</v>
      </c>
      <c r="R974">
        <v>1</v>
      </c>
      <c r="S974">
        <v>7500</v>
      </c>
      <c r="T974">
        <v>995000</v>
      </c>
      <c r="U974">
        <v>1004950</v>
      </c>
      <c r="V974">
        <v>3750</v>
      </c>
      <c r="W974">
        <v>1</v>
      </c>
      <c r="X974" s="367"/>
    </row>
    <row r="975" spans="1:24">
      <c r="A975" t="s">
        <v>3978</v>
      </c>
      <c r="B975" t="s">
        <v>3979</v>
      </c>
      <c r="C975">
        <v>0</v>
      </c>
      <c r="D975">
        <v>0</v>
      </c>
      <c r="E975">
        <v>0</v>
      </c>
      <c r="F975">
        <v>573500</v>
      </c>
      <c r="G975">
        <v>0</v>
      </c>
      <c r="H975">
        <v>573500</v>
      </c>
      <c r="I975">
        <v>0</v>
      </c>
      <c r="J975">
        <v>0</v>
      </c>
      <c r="K975">
        <v>573500</v>
      </c>
      <c r="L975">
        <v>0</v>
      </c>
      <c r="M975">
        <v>0</v>
      </c>
      <c r="N975">
        <v>0</v>
      </c>
      <c r="O975">
        <v>0</v>
      </c>
      <c r="P975" t="s">
        <v>192</v>
      </c>
      <c r="Q975" t="s">
        <v>192</v>
      </c>
      <c r="R975">
        <v>0</v>
      </c>
      <c r="S975">
        <v>0</v>
      </c>
      <c r="T975">
        <v>0</v>
      </c>
      <c r="U975">
        <v>573500</v>
      </c>
      <c r="V975">
        <v>149020</v>
      </c>
      <c r="W975">
        <v>2</v>
      </c>
      <c r="X975" s="367"/>
    </row>
    <row r="976" spans="1:24">
      <c r="A976" t="s">
        <v>7179</v>
      </c>
      <c r="B976" t="s">
        <v>8104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 t="s">
        <v>192</v>
      </c>
      <c r="Q976" t="s">
        <v>192</v>
      </c>
      <c r="R976">
        <v>2</v>
      </c>
      <c r="S976">
        <v>1100</v>
      </c>
      <c r="T976">
        <v>1</v>
      </c>
      <c r="U976">
        <v>0</v>
      </c>
      <c r="V976">
        <v>0</v>
      </c>
      <c r="W976">
        <v>0</v>
      </c>
      <c r="X976" s="367"/>
    </row>
    <row r="977" spans="1:24">
      <c r="A977" t="s">
        <v>3980</v>
      </c>
      <c r="B977" t="s">
        <v>3981</v>
      </c>
      <c r="C977">
        <v>0</v>
      </c>
      <c r="D977">
        <v>0</v>
      </c>
      <c r="E977">
        <v>0</v>
      </c>
      <c r="F977">
        <v>1000</v>
      </c>
      <c r="G977">
        <v>0</v>
      </c>
      <c r="H977">
        <v>1000</v>
      </c>
      <c r="I977">
        <v>0</v>
      </c>
      <c r="J977">
        <v>0</v>
      </c>
      <c r="K977">
        <v>1000</v>
      </c>
      <c r="L977">
        <v>0</v>
      </c>
      <c r="M977">
        <v>0</v>
      </c>
      <c r="N977">
        <v>0</v>
      </c>
      <c r="O977">
        <v>0</v>
      </c>
      <c r="P977" t="s">
        <v>192</v>
      </c>
      <c r="Q977" t="s">
        <v>192</v>
      </c>
      <c r="R977">
        <v>1</v>
      </c>
      <c r="S977">
        <v>50</v>
      </c>
      <c r="T977">
        <v>30</v>
      </c>
      <c r="U977">
        <v>0</v>
      </c>
      <c r="V977">
        <v>0</v>
      </c>
      <c r="W977">
        <v>0</v>
      </c>
      <c r="X977" s="367"/>
    </row>
    <row r="978" spans="1:24">
      <c r="A978" t="s">
        <v>2299</v>
      </c>
      <c r="B978" t="s">
        <v>2298</v>
      </c>
      <c r="C978">
        <v>8</v>
      </c>
      <c r="D978">
        <v>25177</v>
      </c>
      <c r="E978">
        <v>292556830</v>
      </c>
      <c r="F978">
        <v>11598</v>
      </c>
      <c r="G978">
        <v>11620</v>
      </c>
      <c r="H978">
        <v>11621</v>
      </c>
      <c r="I978">
        <v>23</v>
      </c>
      <c r="J978">
        <v>0.2</v>
      </c>
      <c r="K978">
        <v>11620</v>
      </c>
      <c r="L978">
        <v>22</v>
      </c>
      <c r="M978">
        <v>0.19</v>
      </c>
      <c r="N978">
        <v>11620</v>
      </c>
      <c r="O978">
        <v>11621</v>
      </c>
      <c r="P978">
        <v>291</v>
      </c>
      <c r="Q978">
        <v>39.93</v>
      </c>
      <c r="R978">
        <v>1</v>
      </c>
      <c r="S978">
        <v>385910</v>
      </c>
      <c r="T978">
        <v>11620</v>
      </c>
      <c r="U978">
        <v>11621</v>
      </c>
      <c r="V978">
        <v>100010</v>
      </c>
      <c r="W978">
        <v>2</v>
      </c>
      <c r="X978" s="367"/>
    </row>
    <row r="979" spans="1:24">
      <c r="A979" t="s">
        <v>3982</v>
      </c>
      <c r="B979" t="s">
        <v>3983</v>
      </c>
      <c r="C979">
        <v>0</v>
      </c>
      <c r="D979">
        <v>0</v>
      </c>
      <c r="E979">
        <v>0</v>
      </c>
      <c r="F979">
        <v>1000000</v>
      </c>
      <c r="G979">
        <v>0</v>
      </c>
      <c r="H979">
        <v>1000000</v>
      </c>
      <c r="I979">
        <v>0</v>
      </c>
      <c r="J979">
        <v>0</v>
      </c>
      <c r="K979">
        <v>1000000</v>
      </c>
      <c r="L979">
        <v>0</v>
      </c>
      <c r="M979">
        <v>0</v>
      </c>
      <c r="N979">
        <v>0</v>
      </c>
      <c r="O979">
        <v>0</v>
      </c>
      <c r="P979" t="s">
        <v>192</v>
      </c>
      <c r="Q979" t="s">
        <v>192</v>
      </c>
      <c r="R979">
        <v>1</v>
      </c>
      <c r="S979">
        <v>10000</v>
      </c>
      <c r="T979">
        <v>995000</v>
      </c>
      <c r="U979">
        <v>0</v>
      </c>
      <c r="V979">
        <v>0</v>
      </c>
      <c r="W979">
        <v>0</v>
      </c>
      <c r="X979" s="367"/>
    </row>
    <row r="980" spans="1:24">
      <c r="A980" t="s">
        <v>3984</v>
      </c>
      <c r="B980" t="s">
        <v>3985</v>
      </c>
      <c r="C980">
        <v>44</v>
      </c>
      <c r="D980">
        <v>8273</v>
      </c>
      <c r="E980">
        <v>10832586000</v>
      </c>
      <c r="F980">
        <v>1238</v>
      </c>
      <c r="G980">
        <v>1309</v>
      </c>
      <c r="H980">
        <v>1321</v>
      </c>
      <c r="I980">
        <v>83</v>
      </c>
      <c r="J980">
        <v>6.7</v>
      </c>
      <c r="K980">
        <v>1309</v>
      </c>
      <c r="L980">
        <v>71</v>
      </c>
      <c r="M980">
        <v>5.74</v>
      </c>
      <c r="N980">
        <v>1301</v>
      </c>
      <c r="O980">
        <v>1321</v>
      </c>
      <c r="P980" t="s">
        <v>192</v>
      </c>
      <c r="Q980" t="s">
        <v>192</v>
      </c>
      <c r="R980">
        <v>1</v>
      </c>
      <c r="S980">
        <v>13</v>
      </c>
      <c r="T980">
        <v>1307</v>
      </c>
      <c r="U980">
        <v>1321</v>
      </c>
      <c r="V980">
        <v>200</v>
      </c>
      <c r="W980">
        <v>1</v>
      </c>
      <c r="X980" s="367"/>
    </row>
    <row r="981" spans="1:24">
      <c r="A981" t="s">
        <v>3986</v>
      </c>
      <c r="B981" t="s">
        <v>3987</v>
      </c>
      <c r="C981">
        <v>0</v>
      </c>
      <c r="D981">
        <v>0</v>
      </c>
      <c r="E981">
        <v>0</v>
      </c>
      <c r="F981">
        <v>1000000</v>
      </c>
      <c r="G981">
        <v>0</v>
      </c>
      <c r="H981">
        <v>1000000</v>
      </c>
      <c r="I981">
        <v>0</v>
      </c>
      <c r="J981">
        <v>0</v>
      </c>
      <c r="K981">
        <v>1000000</v>
      </c>
      <c r="L981">
        <v>0</v>
      </c>
      <c r="M981">
        <v>0</v>
      </c>
      <c r="N981">
        <v>0</v>
      </c>
      <c r="O981">
        <v>0</v>
      </c>
      <c r="P981" t="s">
        <v>192</v>
      </c>
      <c r="Q981" t="s">
        <v>192</v>
      </c>
      <c r="R981">
        <v>1</v>
      </c>
      <c r="S981">
        <v>10000</v>
      </c>
      <c r="T981">
        <v>1000000</v>
      </c>
      <c r="U981">
        <v>0</v>
      </c>
      <c r="V981">
        <v>0</v>
      </c>
      <c r="W981">
        <v>0</v>
      </c>
      <c r="X981" s="367"/>
    </row>
    <row r="982" spans="1:24">
      <c r="A982" t="s">
        <v>2992</v>
      </c>
      <c r="B982" t="s">
        <v>2991</v>
      </c>
      <c r="C982">
        <v>189</v>
      </c>
      <c r="D982">
        <v>13750460</v>
      </c>
      <c r="E982">
        <v>17091772484</v>
      </c>
      <c r="F982">
        <v>1219</v>
      </c>
      <c r="G982">
        <v>1204</v>
      </c>
      <c r="H982">
        <v>1226</v>
      </c>
      <c r="I982">
        <v>7</v>
      </c>
      <c r="J982">
        <v>0.56999999999999995</v>
      </c>
      <c r="K982">
        <v>1243</v>
      </c>
      <c r="L982">
        <v>24</v>
      </c>
      <c r="M982">
        <v>1.97</v>
      </c>
      <c r="N982">
        <v>1204</v>
      </c>
      <c r="O982">
        <v>1255</v>
      </c>
      <c r="P982">
        <v>1</v>
      </c>
      <c r="Q982">
        <v>1243</v>
      </c>
      <c r="R982">
        <v>2</v>
      </c>
      <c r="S982">
        <v>124448</v>
      </c>
      <c r="T982">
        <v>1225</v>
      </c>
      <c r="U982">
        <v>1226</v>
      </c>
      <c r="V982">
        <v>100000</v>
      </c>
      <c r="W982">
        <v>1</v>
      </c>
      <c r="X982" s="367"/>
    </row>
    <row r="983" spans="1:24">
      <c r="A983" t="s">
        <v>3988</v>
      </c>
      <c r="B983" t="s">
        <v>3989</v>
      </c>
      <c r="C983">
        <v>0</v>
      </c>
      <c r="D983">
        <v>0</v>
      </c>
      <c r="E983">
        <v>0</v>
      </c>
      <c r="F983">
        <v>1000000</v>
      </c>
      <c r="G983">
        <v>0</v>
      </c>
      <c r="H983">
        <v>1000000</v>
      </c>
      <c r="I983">
        <v>0</v>
      </c>
      <c r="J983">
        <v>0</v>
      </c>
      <c r="K983">
        <v>1000000</v>
      </c>
      <c r="L983">
        <v>0</v>
      </c>
      <c r="M983">
        <v>0</v>
      </c>
      <c r="N983">
        <v>0</v>
      </c>
      <c r="O983">
        <v>0</v>
      </c>
      <c r="P983" t="s">
        <v>192</v>
      </c>
      <c r="Q983" t="s">
        <v>192</v>
      </c>
      <c r="R983">
        <v>1</v>
      </c>
      <c r="S983">
        <v>12500</v>
      </c>
      <c r="T983">
        <v>990000</v>
      </c>
      <c r="U983">
        <v>1000000</v>
      </c>
      <c r="V983">
        <v>12500</v>
      </c>
      <c r="W983">
        <v>1</v>
      </c>
      <c r="X983" s="367"/>
    </row>
    <row r="984" spans="1:24">
      <c r="A984" t="s">
        <v>1934</v>
      </c>
      <c r="B984" t="s">
        <v>1933</v>
      </c>
      <c r="C984">
        <v>109</v>
      </c>
      <c r="D984">
        <v>4273640</v>
      </c>
      <c r="E984">
        <v>9292035012</v>
      </c>
      <c r="F984">
        <v>2112</v>
      </c>
      <c r="G984">
        <v>2170</v>
      </c>
      <c r="H984">
        <v>2175</v>
      </c>
      <c r="I984">
        <v>63</v>
      </c>
      <c r="J984">
        <v>2.98</v>
      </c>
      <c r="K984">
        <v>2174</v>
      </c>
      <c r="L984">
        <v>62</v>
      </c>
      <c r="M984">
        <v>2.94</v>
      </c>
      <c r="N984">
        <v>2160</v>
      </c>
      <c r="O984">
        <v>2175</v>
      </c>
      <c r="P984">
        <v>337</v>
      </c>
      <c r="Q984">
        <v>6.45</v>
      </c>
      <c r="R984">
        <v>3</v>
      </c>
      <c r="S984">
        <v>291277</v>
      </c>
      <c r="T984">
        <v>2175</v>
      </c>
      <c r="U984">
        <v>2337</v>
      </c>
      <c r="V984">
        <v>3000</v>
      </c>
      <c r="W984">
        <v>1</v>
      </c>
      <c r="X984" s="367"/>
    </row>
    <row r="985" spans="1:24">
      <c r="A985" t="s">
        <v>3990</v>
      </c>
      <c r="B985" t="s">
        <v>3991</v>
      </c>
      <c r="C985">
        <v>0</v>
      </c>
      <c r="D985">
        <v>0</v>
      </c>
      <c r="E985">
        <v>0</v>
      </c>
      <c r="F985">
        <v>965000</v>
      </c>
      <c r="G985">
        <v>0</v>
      </c>
      <c r="H985">
        <v>965000</v>
      </c>
      <c r="I985">
        <v>0</v>
      </c>
      <c r="J985">
        <v>0</v>
      </c>
      <c r="K985">
        <v>965000</v>
      </c>
      <c r="L985">
        <v>0</v>
      </c>
      <c r="M985">
        <v>0</v>
      </c>
      <c r="N985">
        <v>0</v>
      </c>
      <c r="O985">
        <v>0</v>
      </c>
      <c r="P985" t="s">
        <v>192</v>
      </c>
      <c r="Q985" t="s">
        <v>192</v>
      </c>
      <c r="R985">
        <v>1</v>
      </c>
      <c r="S985">
        <v>14947</v>
      </c>
      <c r="T985">
        <v>965000</v>
      </c>
      <c r="U985">
        <v>973000</v>
      </c>
      <c r="V985">
        <v>4972</v>
      </c>
      <c r="W985">
        <v>1</v>
      </c>
      <c r="X985" s="367"/>
    </row>
    <row r="986" spans="1:24">
      <c r="A986" t="s">
        <v>7960</v>
      </c>
      <c r="B986" t="s">
        <v>7961</v>
      </c>
      <c r="C986">
        <v>241</v>
      </c>
      <c r="D986">
        <v>4790771</v>
      </c>
      <c r="E986">
        <v>112535210790</v>
      </c>
      <c r="F986">
        <v>22810</v>
      </c>
      <c r="G986">
        <v>23490</v>
      </c>
      <c r="H986">
        <v>23490</v>
      </c>
      <c r="I986">
        <v>680</v>
      </c>
      <c r="J986">
        <v>2.98</v>
      </c>
      <c r="K986">
        <v>23490</v>
      </c>
      <c r="L986">
        <v>680</v>
      </c>
      <c r="M986">
        <v>2.98</v>
      </c>
      <c r="N986">
        <v>23490</v>
      </c>
      <c r="O986">
        <v>23490</v>
      </c>
      <c r="P986">
        <v>6145</v>
      </c>
      <c r="Q986">
        <v>3.82</v>
      </c>
      <c r="R986">
        <v>141</v>
      </c>
      <c r="S986">
        <v>3395582</v>
      </c>
      <c r="T986">
        <v>23490</v>
      </c>
      <c r="U986">
        <v>0</v>
      </c>
      <c r="V986">
        <v>0</v>
      </c>
      <c r="W986">
        <v>0</v>
      </c>
      <c r="X986" s="367"/>
    </row>
    <row r="987" spans="1:24">
      <c r="A987" t="s">
        <v>3992</v>
      </c>
      <c r="B987" t="s">
        <v>3993</v>
      </c>
      <c r="C987">
        <v>1</v>
      </c>
      <c r="D987">
        <v>47</v>
      </c>
      <c r="E987">
        <v>46809650</v>
      </c>
      <c r="F987">
        <v>986100</v>
      </c>
      <c r="G987">
        <v>995950</v>
      </c>
      <c r="H987">
        <v>995950</v>
      </c>
      <c r="I987">
        <v>9850</v>
      </c>
      <c r="J987">
        <v>1</v>
      </c>
      <c r="K987">
        <v>995950</v>
      </c>
      <c r="L987">
        <v>9850</v>
      </c>
      <c r="M987">
        <v>1</v>
      </c>
      <c r="N987">
        <v>995950</v>
      </c>
      <c r="O987">
        <v>995950</v>
      </c>
      <c r="P987" t="s">
        <v>192</v>
      </c>
      <c r="Q987" t="s">
        <v>192</v>
      </c>
      <c r="R987">
        <v>1</v>
      </c>
      <c r="S987">
        <v>15000</v>
      </c>
      <c r="T987">
        <v>986100</v>
      </c>
      <c r="U987">
        <v>995950</v>
      </c>
      <c r="V987">
        <v>15000</v>
      </c>
      <c r="W987">
        <v>1</v>
      </c>
      <c r="X987" s="367"/>
    </row>
    <row r="988" spans="1:24">
      <c r="A988" t="s">
        <v>8143</v>
      </c>
      <c r="B988" t="s">
        <v>8144</v>
      </c>
      <c r="C988">
        <v>305</v>
      </c>
      <c r="D988">
        <v>54138</v>
      </c>
      <c r="E988">
        <v>18184593000</v>
      </c>
      <c r="F988">
        <v>269</v>
      </c>
      <c r="G988">
        <v>300</v>
      </c>
      <c r="H988">
        <v>344</v>
      </c>
      <c r="I988">
        <v>75</v>
      </c>
      <c r="J988">
        <v>27.88</v>
      </c>
      <c r="K988">
        <v>336</v>
      </c>
      <c r="L988">
        <v>67</v>
      </c>
      <c r="M988">
        <v>24.91</v>
      </c>
      <c r="N988">
        <v>300</v>
      </c>
      <c r="O988">
        <v>368</v>
      </c>
      <c r="P988" t="s">
        <v>192</v>
      </c>
      <c r="Q988" t="s">
        <v>192</v>
      </c>
      <c r="R988">
        <v>1</v>
      </c>
      <c r="S988">
        <v>70</v>
      </c>
      <c r="T988">
        <v>366</v>
      </c>
      <c r="U988">
        <v>366</v>
      </c>
      <c r="V988">
        <v>333</v>
      </c>
      <c r="W988">
        <v>1</v>
      </c>
      <c r="X988" s="367"/>
    </row>
    <row r="989" spans="1:24">
      <c r="A989" t="s">
        <v>3994</v>
      </c>
      <c r="B989" t="s">
        <v>3995</v>
      </c>
      <c r="C989">
        <v>0</v>
      </c>
      <c r="D989">
        <v>0</v>
      </c>
      <c r="E989">
        <v>0</v>
      </c>
      <c r="F989">
        <v>3939052</v>
      </c>
      <c r="G989">
        <v>0</v>
      </c>
      <c r="H989">
        <v>3939052</v>
      </c>
      <c r="I989">
        <v>0</v>
      </c>
      <c r="J989">
        <v>0</v>
      </c>
      <c r="K989">
        <v>3939052</v>
      </c>
      <c r="L989">
        <v>0</v>
      </c>
      <c r="M989">
        <v>0</v>
      </c>
      <c r="N989">
        <v>0</v>
      </c>
      <c r="O989">
        <v>0</v>
      </c>
      <c r="P989" t="s">
        <v>192</v>
      </c>
      <c r="Q989" t="s">
        <v>192</v>
      </c>
      <c r="R989">
        <v>1</v>
      </c>
      <c r="S989">
        <v>5000</v>
      </c>
      <c r="T989">
        <v>4095199</v>
      </c>
      <c r="U989">
        <v>4173000</v>
      </c>
      <c r="V989">
        <v>5000</v>
      </c>
      <c r="W989">
        <v>1</v>
      </c>
      <c r="X989" s="367"/>
    </row>
    <row r="990" spans="1:24">
      <c r="A990" t="s">
        <v>7830</v>
      </c>
      <c r="B990" t="s">
        <v>7831</v>
      </c>
      <c r="C990">
        <v>5</v>
      </c>
      <c r="D990">
        <v>52</v>
      </c>
      <c r="E990">
        <v>1012100000</v>
      </c>
      <c r="F990">
        <v>19337</v>
      </c>
      <c r="G990">
        <v>16800</v>
      </c>
      <c r="H990">
        <v>23100</v>
      </c>
      <c r="I990">
        <v>3763</v>
      </c>
      <c r="J990">
        <v>19.46</v>
      </c>
      <c r="K990">
        <v>19463</v>
      </c>
      <c r="L990">
        <v>126</v>
      </c>
      <c r="M990">
        <v>0.65</v>
      </c>
      <c r="N990">
        <v>16800</v>
      </c>
      <c r="O990">
        <v>23100</v>
      </c>
      <c r="P990" t="s">
        <v>192</v>
      </c>
      <c r="Q990" t="s">
        <v>192</v>
      </c>
      <c r="R990">
        <v>1</v>
      </c>
      <c r="S990">
        <v>5</v>
      </c>
      <c r="T990">
        <v>21000</v>
      </c>
      <c r="U990">
        <v>0</v>
      </c>
      <c r="V990">
        <v>0</v>
      </c>
      <c r="W990">
        <v>0</v>
      </c>
      <c r="X990" s="367"/>
    </row>
    <row r="991" spans="1:24">
      <c r="A991" t="s">
        <v>1996</v>
      </c>
      <c r="B991" t="s">
        <v>1995</v>
      </c>
      <c r="C991">
        <v>30</v>
      </c>
      <c r="D991">
        <v>6697238</v>
      </c>
      <c r="E991">
        <v>10885957020</v>
      </c>
      <c r="F991">
        <v>1579</v>
      </c>
      <c r="G991">
        <v>1626</v>
      </c>
      <c r="H991">
        <v>1626</v>
      </c>
      <c r="I991">
        <v>47</v>
      </c>
      <c r="J991">
        <v>2.98</v>
      </c>
      <c r="K991">
        <v>1625</v>
      </c>
      <c r="L991">
        <v>46</v>
      </c>
      <c r="M991">
        <v>2.91</v>
      </c>
      <c r="N991">
        <v>1600</v>
      </c>
      <c r="O991">
        <v>1626</v>
      </c>
      <c r="P991">
        <v>-24</v>
      </c>
      <c r="Q991">
        <v>-67.709999999999994</v>
      </c>
      <c r="R991">
        <v>5</v>
      </c>
      <c r="S991">
        <v>1582158</v>
      </c>
      <c r="T991">
        <v>1626</v>
      </c>
      <c r="U991">
        <v>0</v>
      </c>
      <c r="V991">
        <v>0</v>
      </c>
      <c r="W991">
        <v>0</v>
      </c>
      <c r="X991" s="367"/>
    </row>
    <row r="992" spans="1:24">
      <c r="A992" t="s">
        <v>5208</v>
      </c>
      <c r="B992" t="s">
        <v>5209</v>
      </c>
      <c r="C992">
        <v>0</v>
      </c>
      <c r="D992">
        <v>0</v>
      </c>
      <c r="E992">
        <v>0</v>
      </c>
      <c r="F992">
        <v>1000000</v>
      </c>
      <c r="G992">
        <v>0</v>
      </c>
      <c r="H992">
        <v>1000000</v>
      </c>
      <c r="I992">
        <v>0</v>
      </c>
      <c r="J992">
        <v>0</v>
      </c>
      <c r="K992">
        <v>1000000</v>
      </c>
      <c r="L992">
        <v>0</v>
      </c>
      <c r="M992">
        <v>0</v>
      </c>
      <c r="N992">
        <v>0</v>
      </c>
      <c r="O992">
        <v>0</v>
      </c>
      <c r="P992" t="s">
        <v>192</v>
      </c>
      <c r="Q992" t="s">
        <v>192</v>
      </c>
      <c r="R992">
        <v>1</v>
      </c>
      <c r="S992">
        <v>5000</v>
      </c>
      <c r="T992">
        <v>995000</v>
      </c>
      <c r="U992">
        <v>0</v>
      </c>
      <c r="V992">
        <v>0</v>
      </c>
      <c r="W992">
        <v>0</v>
      </c>
      <c r="X992" s="367"/>
    </row>
    <row r="993" spans="1:24">
      <c r="A993" t="s">
        <v>5210</v>
      </c>
      <c r="B993" t="s">
        <v>5211</v>
      </c>
      <c r="C993">
        <v>4</v>
      </c>
      <c r="D993">
        <v>42</v>
      </c>
      <c r="E993">
        <v>71300000</v>
      </c>
      <c r="F993">
        <v>2421</v>
      </c>
      <c r="G993">
        <v>730</v>
      </c>
      <c r="H993">
        <v>2000</v>
      </c>
      <c r="I993">
        <v>-421</v>
      </c>
      <c r="J993">
        <v>-17.39</v>
      </c>
      <c r="K993">
        <v>1698</v>
      </c>
      <c r="L993">
        <v>-723</v>
      </c>
      <c r="M993">
        <v>-29.86</v>
      </c>
      <c r="N993">
        <v>730</v>
      </c>
      <c r="O993">
        <v>2000</v>
      </c>
      <c r="P993" t="s">
        <v>192</v>
      </c>
      <c r="Q993" t="s">
        <v>192</v>
      </c>
      <c r="R993">
        <v>1</v>
      </c>
      <c r="S993">
        <v>8</v>
      </c>
      <c r="T993">
        <v>2000</v>
      </c>
      <c r="U993">
        <v>0</v>
      </c>
      <c r="V993">
        <v>0</v>
      </c>
      <c r="W993">
        <v>0</v>
      </c>
      <c r="X993" s="367"/>
    </row>
    <row r="994" spans="1:24">
      <c r="A994" t="s">
        <v>5212</v>
      </c>
      <c r="B994" t="s">
        <v>5213</v>
      </c>
      <c r="C994">
        <v>103</v>
      </c>
      <c r="D994">
        <v>36219618</v>
      </c>
      <c r="E994">
        <v>982638236340</v>
      </c>
      <c r="F994">
        <v>26340</v>
      </c>
      <c r="G994">
        <v>27130</v>
      </c>
      <c r="H994">
        <v>27130</v>
      </c>
      <c r="I994">
        <v>790</v>
      </c>
      <c r="J994">
        <v>3</v>
      </c>
      <c r="K994">
        <v>27130</v>
      </c>
      <c r="L994">
        <v>790</v>
      </c>
      <c r="M994">
        <v>3</v>
      </c>
      <c r="N994">
        <v>27130</v>
      </c>
      <c r="O994">
        <v>27130</v>
      </c>
      <c r="P994" t="s">
        <v>192</v>
      </c>
      <c r="Q994" t="s">
        <v>192</v>
      </c>
      <c r="R994">
        <v>139</v>
      </c>
      <c r="S994">
        <v>63797565</v>
      </c>
      <c r="T994">
        <v>27130</v>
      </c>
      <c r="U994">
        <v>0</v>
      </c>
      <c r="V994">
        <v>0</v>
      </c>
      <c r="W994">
        <v>0</v>
      </c>
      <c r="X994" s="367"/>
    </row>
    <row r="995" spans="1:24">
      <c r="A995" t="s">
        <v>5214</v>
      </c>
      <c r="B995" t="s">
        <v>5215</v>
      </c>
      <c r="C995">
        <v>17</v>
      </c>
      <c r="D995">
        <v>419</v>
      </c>
      <c r="E995">
        <v>2719063000</v>
      </c>
      <c r="F995">
        <v>5556</v>
      </c>
      <c r="G995">
        <v>6500</v>
      </c>
      <c r="H995">
        <v>6499</v>
      </c>
      <c r="I995">
        <v>943</v>
      </c>
      <c r="J995">
        <v>16.97</v>
      </c>
      <c r="K995">
        <v>6489</v>
      </c>
      <c r="L995">
        <v>933</v>
      </c>
      <c r="M995">
        <v>16.79</v>
      </c>
      <c r="N995">
        <v>5000</v>
      </c>
      <c r="O995">
        <v>6500</v>
      </c>
      <c r="P995" t="s">
        <v>192</v>
      </c>
      <c r="Q995" t="s">
        <v>192</v>
      </c>
      <c r="R995">
        <v>1</v>
      </c>
      <c r="S995">
        <v>5</v>
      </c>
      <c r="T995">
        <v>5501</v>
      </c>
      <c r="U995">
        <v>6500</v>
      </c>
      <c r="V995">
        <v>18</v>
      </c>
      <c r="W995">
        <v>1</v>
      </c>
      <c r="X995" s="367"/>
    </row>
    <row r="996" spans="1:24">
      <c r="A996" t="s">
        <v>5216</v>
      </c>
      <c r="B996" t="s">
        <v>5217</v>
      </c>
      <c r="C996">
        <v>31</v>
      </c>
      <c r="D996">
        <v>265</v>
      </c>
      <c r="E996">
        <v>1224466000</v>
      </c>
      <c r="F996">
        <v>3256</v>
      </c>
      <c r="G996">
        <v>5000</v>
      </c>
      <c r="H996">
        <v>4530</v>
      </c>
      <c r="I996">
        <v>1274</v>
      </c>
      <c r="J996">
        <v>39.130000000000003</v>
      </c>
      <c r="K996">
        <v>4621</v>
      </c>
      <c r="L996">
        <v>1365</v>
      </c>
      <c r="M996">
        <v>41.92</v>
      </c>
      <c r="N996">
        <v>4000</v>
      </c>
      <c r="O996">
        <v>5900</v>
      </c>
      <c r="P996" t="s">
        <v>192</v>
      </c>
      <c r="Q996" t="s">
        <v>192</v>
      </c>
      <c r="R996">
        <v>1</v>
      </c>
      <c r="S996">
        <v>40</v>
      </c>
      <c r="T996">
        <v>4000</v>
      </c>
      <c r="U996">
        <v>6096</v>
      </c>
      <c r="V996">
        <v>14</v>
      </c>
      <c r="W996">
        <v>1</v>
      </c>
      <c r="X996" s="367"/>
    </row>
    <row r="997" spans="1:24">
      <c r="A997" t="s">
        <v>5218</v>
      </c>
      <c r="B997" t="s">
        <v>5219</v>
      </c>
      <c r="C997">
        <v>29</v>
      </c>
      <c r="D997">
        <v>1121556</v>
      </c>
      <c r="E997">
        <v>38495212684</v>
      </c>
      <c r="F997">
        <v>34282</v>
      </c>
      <c r="G997">
        <v>34323</v>
      </c>
      <c r="H997">
        <v>34323</v>
      </c>
      <c r="I997">
        <v>41</v>
      </c>
      <c r="J997">
        <v>0.12</v>
      </c>
      <c r="K997">
        <v>34323</v>
      </c>
      <c r="L997">
        <v>41</v>
      </c>
      <c r="M997">
        <v>0.12</v>
      </c>
      <c r="N997">
        <v>34323</v>
      </c>
      <c r="O997">
        <v>34324</v>
      </c>
      <c r="P997" t="s">
        <v>192</v>
      </c>
      <c r="Q997" t="s">
        <v>192</v>
      </c>
      <c r="R997">
        <v>2</v>
      </c>
      <c r="S997">
        <v>498931128</v>
      </c>
      <c r="T997">
        <v>34323</v>
      </c>
      <c r="U997">
        <v>34324</v>
      </c>
      <c r="V997">
        <v>49954304</v>
      </c>
      <c r="W997">
        <v>1</v>
      </c>
      <c r="X997" s="367"/>
    </row>
    <row r="998" spans="1:24">
      <c r="A998" t="s">
        <v>5220</v>
      </c>
      <c r="B998" t="s">
        <v>5221</v>
      </c>
      <c r="C998">
        <v>215</v>
      </c>
      <c r="D998">
        <v>80508</v>
      </c>
      <c r="E998">
        <v>89311618000</v>
      </c>
      <c r="F998">
        <v>1062</v>
      </c>
      <c r="G998">
        <v>1094</v>
      </c>
      <c r="H998">
        <v>1112</v>
      </c>
      <c r="I998">
        <v>50</v>
      </c>
      <c r="J998">
        <v>4.71</v>
      </c>
      <c r="K998">
        <v>1109</v>
      </c>
      <c r="L998">
        <v>47</v>
      </c>
      <c r="M998">
        <v>4.43</v>
      </c>
      <c r="N998">
        <v>1080</v>
      </c>
      <c r="O998">
        <v>1130</v>
      </c>
      <c r="P998" t="s">
        <v>192</v>
      </c>
      <c r="Q998" t="s">
        <v>192</v>
      </c>
      <c r="R998">
        <v>1</v>
      </c>
      <c r="S998">
        <v>1000</v>
      </c>
      <c r="T998">
        <v>1100</v>
      </c>
      <c r="U998">
        <v>1114</v>
      </c>
      <c r="V998">
        <v>100</v>
      </c>
      <c r="W998">
        <v>1</v>
      </c>
      <c r="X998" s="367"/>
    </row>
    <row r="999" spans="1:24">
      <c r="A999" t="s">
        <v>2371</v>
      </c>
      <c r="B999" t="s">
        <v>2370</v>
      </c>
      <c r="C999">
        <v>5146</v>
      </c>
      <c r="D999">
        <v>2078137761</v>
      </c>
      <c r="E999">
        <v>5157937922802</v>
      </c>
      <c r="F999">
        <v>2410</v>
      </c>
      <c r="G999">
        <v>2482</v>
      </c>
      <c r="H999">
        <v>2482</v>
      </c>
      <c r="I999">
        <v>72</v>
      </c>
      <c r="J999">
        <v>2.99</v>
      </c>
      <c r="K999">
        <v>2482</v>
      </c>
      <c r="L999">
        <v>72</v>
      </c>
      <c r="M999">
        <v>2.99</v>
      </c>
      <c r="N999">
        <v>2482</v>
      </c>
      <c r="O999">
        <v>2482</v>
      </c>
      <c r="P999">
        <v>194</v>
      </c>
      <c r="Q999">
        <v>12.79</v>
      </c>
      <c r="R999">
        <v>4159</v>
      </c>
      <c r="S999">
        <v>3208799352</v>
      </c>
      <c r="T999">
        <v>2482</v>
      </c>
      <c r="U999">
        <v>0</v>
      </c>
      <c r="V999">
        <v>0</v>
      </c>
      <c r="W999">
        <v>0</v>
      </c>
      <c r="X999" s="367"/>
    </row>
    <row r="1000" spans="1:24">
      <c r="A1000" t="s">
        <v>8789</v>
      </c>
      <c r="B1000" t="s">
        <v>27</v>
      </c>
      <c r="C1000">
        <v>1</v>
      </c>
      <c r="D1000">
        <v>39</v>
      </c>
      <c r="E1000">
        <v>2229630</v>
      </c>
      <c r="F1000">
        <v>55530</v>
      </c>
      <c r="G1000">
        <v>57170</v>
      </c>
      <c r="H1000">
        <v>57170</v>
      </c>
      <c r="I1000">
        <v>1640</v>
      </c>
      <c r="J1000">
        <v>2.95</v>
      </c>
      <c r="K1000">
        <v>57170</v>
      </c>
      <c r="L1000">
        <v>1640</v>
      </c>
      <c r="M1000">
        <v>2.95</v>
      </c>
      <c r="N1000">
        <v>57170</v>
      </c>
      <c r="O1000">
        <v>57170</v>
      </c>
      <c r="P1000">
        <v>11890</v>
      </c>
      <c r="Q1000">
        <v>4.8099999999999996</v>
      </c>
      <c r="R1000">
        <v>2</v>
      </c>
      <c r="S1000">
        <v>10400</v>
      </c>
      <c r="T1000">
        <v>57170</v>
      </c>
      <c r="U1000">
        <v>0</v>
      </c>
      <c r="V1000">
        <v>0</v>
      </c>
      <c r="W1000">
        <v>0</v>
      </c>
      <c r="X1000" s="367"/>
    </row>
    <row r="1001" spans="1:24">
      <c r="A1001" t="s">
        <v>5222</v>
      </c>
      <c r="B1001" t="s">
        <v>5223</v>
      </c>
      <c r="C1001">
        <v>0</v>
      </c>
      <c r="D1001">
        <v>0</v>
      </c>
      <c r="E1001">
        <v>0</v>
      </c>
      <c r="F1001">
        <v>996500</v>
      </c>
      <c r="G1001">
        <v>0</v>
      </c>
      <c r="H1001">
        <v>973000</v>
      </c>
      <c r="I1001">
        <v>-23500</v>
      </c>
      <c r="J1001">
        <v>-2.36</v>
      </c>
      <c r="K1001">
        <v>996500</v>
      </c>
      <c r="L1001">
        <v>0</v>
      </c>
      <c r="M1001">
        <v>0</v>
      </c>
      <c r="N1001">
        <v>0</v>
      </c>
      <c r="O1001">
        <v>0</v>
      </c>
      <c r="P1001" t="s">
        <v>192</v>
      </c>
      <c r="Q1001" t="s">
        <v>192</v>
      </c>
      <c r="R1001">
        <v>1</v>
      </c>
      <c r="S1001">
        <v>20000</v>
      </c>
      <c r="T1001">
        <v>991000</v>
      </c>
      <c r="U1001">
        <v>1000000</v>
      </c>
      <c r="V1001">
        <v>20000</v>
      </c>
      <c r="W1001">
        <v>1</v>
      </c>
      <c r="X1001" s="367"/>
    </row>
    <row r="1002" spans="1:24">
      <c r="A1002" t="s">
        <v>8790</v>
      </c>
      <c r="B1002" t="s">
        <v>1874</v>
      </c>
      <c r="C1002">
        <v>1</v>
      </c>
      <c r="D1002">
        <v>1606</v>
      </c>
      <c r="E1002">
        <v>9957200</v>
      </c>
      <c r="F1002">
        <v>6080</v>
      </c>
      <c r="G1002">
        <v>6200</v>
      </c>
      <c r="H1002">
        <v>6200</v>
      </c>
      <c r="I1002">
        <v>120</v>
      </c>
      <c r="J1002">
        <v>1.97</v>
      </c>
      <c r="K1002">
        <v>6200</v>
      </c>
      <c r="L1002">
        <v>120</v>
      </c>
      <c r="M1002">
        <v>1.97</v>
      </c>
      <c r="N1002">
        <v>6200</v>
      </c>
      <c r="O1002">
        <v>6200</v>
      </c>
      <c r="P1002">
        <v>471</v>
      </c>
      <c r="Q1002">
        <v>13.16</v>
      </c>
      <c r="R1002">
        <v>0</v>
      </c>
      <c r="S1002">
        <v>0</v>
      </c>
      <c r="T1002">
        <v>0</v>
      </c>
      <c r="U1002">
        <v>6200</v>
      </c>
      <c r="V1002">
        <v>296314</v>
      </c>
      <c r="W1002">
        <v>5</v>
      </c>
      <c r="X1002" s="367"/>
    </row>
    <row r="1003" spans="1:24">
      <c r="A1003" t="s">
        <v>5226</v>
      </c>
      <c r="B1003" t="s">
        <v>5227</v>
      </c>
      <c r="C1003">
        <v>0</v>
      </c>
      <c r="D1003">
        <v>0</v>
      </c>
      <c r="E1003">
        <v>0</v>
      </c>
      <c r="F1003">
        <v>9400</v>
      </c>
      <c r="G1003">
        <v>0</v>
      </c>
      <c r="H1003">
        <v>9400</v>
      </c>
      <c r="I1003">
        <v>0</v>
      </c>
      <c r="J1003">
        <v>0</v>
      </c>
      <c r="K1003">
        <v>9400</v>
      </c>
      <c r="L1003">
        <v>0</v>
      </c>
      <c r="M1003">
        <v>0</v>
      </c>
      <c r="N1003">
        <v>0</v>
      </c>
      <c r="O1003">
        <v>0</v>
      </c>
      <c r="P1003" t="s">
        <v>192</v>
      </c>
      <c r="Q1003" t="s">
        <v>192</v>
      </c>
      <c r="R1003">
        <v>1</v>
      </c>
      <c r="S1003">
        <v>17</v>
      </c>
      <c r="T1003">
        <v>9400</v>
      </c>
      <c r="U1003">
        <v>0</v>
      </c>
      <c r="V1003">
        <v>0</v>
      </c>
      <c r="W1003">
        <v>0</v>
      </c>
      <c r="X1003" s="367"/>
    </row>
    <row r="1004" spans="1:24">
      <c r="A1004" t="s">
        <v>5230</v>
      </c>
      <c r="B1004" t="s">
        <v>5231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 t="s">
        <v>192</v>
      </c>
      <c r="Q1004" t="s">
        <v>192</v>
      </c>
      <c r="R1004">
        <v>1</v>
      </c>
      <c r="S1004">
        <v>99</v>
      </c>
      <c r="T1004">
        <v>33</v>
      </c>
      <c r="U1004">
        <v>0</v>
      </c>
      <c r="V1004">
        <v>0</v>
      </c>
      <c r="W1004">
        <v>0</v>
      </c>
      <c r="X1004" s="367"/>
    </row>
    <row r="1005" spans="1:24">
      <c r="A1005" t="s">
        <v>5232</v>
      </c>
      <c r="B1005" t="s">
        <v>5233</v>
      </c>
      <c r="C1005">
        <v>0</v>
      </c>
      <c r="D1005">
        <v>0</v>
      </c>
      <c r="E1005">
        <v>0</v>
      </c>
      <c r="F1005">
        <v>1000000</v>
      </c>
      <c r="G1005">
        <v>0</v>
      </c>
      <c r="H1005">
        <v>1000000</v>
      </c>
      <c r="I1005">
        <v>0</v>
      </c>
      <c r="J1005">
        <v>0</v>
      </c>
      <c r="K1005">
        <v>1000000</v>
      </c>
      <c r="L1005">
        <v>0</v>
      </c>
      <c r="M1005">
        <v>0</v>
      </c>
      <c r="N1005">
        <v>0</v>
      </c>
      <c r="O1005">
        <v>0</v>
      </c>
      <c r="P1005" t="s">
        <v>192</v>
      </c>
      <c r="Q1005" t="s">
        <v>192</v>
      </c>
      <c r="R1005">
        <v>1</v>
      </c>
      <c r="S1005">
        <v>5000</v>
      </c>
      <c r="T1005">
        <v>995000</v>
      </c>
      <c r="U1005">
        <v>1005000</v>
      </c>
      <c r="V1005">
        <v>5000</v>
      </c>
      <c r="W1005">
        <v>1</v>
      </c>
      <c r="X1005" s="367"/>
    </row>
    <row r="1006" spans="1:24">
      <c r="A1006" t="s">
        <v>8629</v>
      </c>
      <c r="B1006" t="s">
        <v>8630</v>
      </c>
      <c r="C1006">
        <v>2</v>
      </c>
      <c r="D1006">
        <v>93473064</v>
      </c>
      <c r="E1006">
        <v>75611015781048</v>
      </c>
      <c r="F1006">
        <v>878640</v>
      </c>
      <c r="G1006">
        <v>808504</v>
      </c>
      <c r="H1006">
        <v>809310</v>
      </c>
      <c r="I1006">
        <v>-69330</v>
      </c>
      <c r="J1006">
        <v>-7.89</v>
      </c>
      <c r="K1006">
        <v>808907</v>
      </c>
      <c r="L1006">
        <v>-69733</v>
      </c>
      <c r="M1006">
        <v>-7.94</v>
      </c>
      <c r="N1006">
        <v>808504</v>
      </c>
      <c r="O1006">
        <v>809310</v>
      </c>
      <c r="P1006" t="s">
        <v>192</v>
      </c>
      <c r="Q1006" t="s">
        <v>192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 s="367"/>
    </row>
    <row r="1007" spans="1:24">
      <c r="A1007" t="s">
        <v>5236</v>
      </c>
      <c r="B1007" t="s">
        <v>5237</v>
      </c>
      <c r="C1007">
        <v>53</v>
      </c>
      <c r="D1007">
        <v>6261902</v>
      </c>
      <c r="E1007">
        <v>25047608000</v>
      </c>
      <c r="F1007">
        <v>3890</v>
      </c>
      <c r="G1007">
        <v>4000</v>
      </c>
      <c r="H1007">
        <v>4000</v>
      </c>
      <c r="I1007">
        <v>110</v>
      </c>
      <c r="J1007">
        <v>2.83</v>
      </c>
      <c r="K1007">
        <v>4000</v>
      </c>
      <c r="L1007">
        <v>110</v>
      </c>
      <c r="M1007">
        <v>2.83</v>
      </c>
      <c r="N1007">
        <v>4000</v>
      </c>
      <c r="O1007">
        <v>4000</v>
      </c>
      <c r="P1007">
        <v>308</v>
      </c>
      <c r="Q1007">
        <v>12.99</v>
      </c>
      <c r="R1007">
        <v>98</v>
      </c>
      <c r="S1007">
        <v>26669657</v>
      </c>
      <c r="T1007">
        <v>4000</v>
      </c>
      <c r="U1007">
        <v>0</v>
      </c>
      <c r="V1007">
        <v>0</v>
      </c>
      <c r="W1007">
        <v>0</v>
      </c>
      <c r="X1007" s="367"/>
    </row>
    <row r="1008" spans="1:24">
      <c r="A1008" t="s">
        <v>8791</v>
      </c>
      <c r="B1008" t="s">
        <v>98</v>
      </c>
      <c r="C1008">
        <v>7</v>
      </c>
      <c r="D1008">
        <v>143001</v>
      </c>
      <c r="E1008">
        <v>1196918370</v>
      </c>
      <c r="F1008">
        <v>8270</v>
      </c>
      <c r="G1008">
        <v>8370</v>
      </c>
      <c r="H1008">
        <v>8370</v>
      </c>
      <c r="I1008">
        <v>100</v>
      </c>
      <c r="J1008">
        <v>1.21</v>
      </c>
      <c r="K1008">
        <v>8370</v>
      </c>
      <c r="L1008">
        <v>100</v>
      </c>
      <c r="M1008">
        <v>1.21</v>
      </c>
      <c r="N1008">
        <v>8370</v>
      </c>
      <c r="O1008">
        <v>8370</v>
      </c>
      <c r="P1008">
        <v>1231</v>
      </c>
      <c r="Q1008">
        <v>6.8</v>
      </c>
      <c r="R1008">
        <v>10</v>
      </c>
      <c r="S1008">
        <v>293508</v>
      </c>
      <c r="T1008">
        <v>8370</v>
      </c>
      <c r="U1008">
        <v>0</v>
      </c>
      <c r="V1008">
        <v>0</v>
      </c>
      <c r="W1008">
        <v>0</v>
      </c>
      <c r="X1008" s="367"/>
    </row>
    <row r="1009" spans="1:24">
      <c r="A1009" t="s">
        <v>5238</v>
      </c>
      <c r="B1009" t="s">
        <v>5239</v>
      </c>
      <c r="C1009">
        <v>6602</v>
      </c>
      <c r="D1009">
        <v>3222164</v>
      </c>
      <c r="E1009">
        <v>133631439000</v>
      </c>
      <c r="F1009">
        <v>10</v>
      </c>
      <c r="G1009">
        <v>42</v>
      </c>
      <c r="H1009">
        <v>44</v>
      </c>
      <c r="I1009">
        <v>34</v>
      </c>
      <c r="J1009">
        <v>340</v>
      </c>
      <c r="K1009">
        <v>41</v>
      </c>
      <c r="L1009">
        <v>31</v>
      </c>
      <c r="M1009">
        <v>310</v>
      </c>
      <c r="N1009">
        <v>38</v>
      </c>
      <c r="O1009">
        <v>45</v>
      </c>
      <c r="P1009" t="s">
        <v>192</v>
      </c>
      <c r="Q1009" t="s">
        <v>192</v>
      </c>
      <c r="R1009">
        <v>1</v>
      </c>
      <c r="S1009">
        <v>1000</v>
      </c>
      <c r="T1009">
        <v>44</v>
      </c>
      <c r="U1009">
        <v>44</v>
      </c>
      <c r="V1009">
        <v>500</v>
      </c>
      <c r="W1009">
        <v>1</v>
      </c>
      <c r="X1009" s="367"/>
    </row>
    <row r="1010" spans="1:24">
      <c r="A1010" t="s">
        <v>63</v>
      </c>
      <c r="B1010" t="s">
        <v>62</v>
      </c>
      <c r="C1010">
        <v>108</v>
      </c>
      <c r="D1010">
        <v>703723</v>
      </c>
      <c r="E1010">
        <v>37508435900</v>
      </c>
      <c r="F1010">
        <v>51750</v>
      </c>
      <c r="G1010">
        <v>53300</v>
      </c>
      <c r="H1010">
        <v>53300</v>
      </c>
      <c r="I1010">
        <v>1550</v>
      </c>
      <c r="J1010">
        <v>3</v>
      </c>
      <c r="K1010">
        <v>53300</v>
      </c>
      <c r="L1010">
        <v>1550</v>
      </c>
      <c r="M1010">
        <v>3</v>
      </c>
      <c r="N1010">
        <v>53300</v>
      </c>
      <c r="O1010">
        <v>53300</v>
      </c>
      <c r="P1010">
        <v>8458</v>
      </c>
      <c r="Q1010">
        <v>6.3</v>
      </c>
      <c r="R1010">
        <v>174</v>
      </c>
      <c r="S1010">
        <v>2700998</v>
      </c>
      <c r="T1010">
        <v>53300</v>
      </c>
      <c r="U1010">
        <v>0</v>
      </c>
      <c r="V1010">
        <v>0</v>
      </c>
      <c r="W1010">
        <v>0</v>
      </c>
      <c r="X1010" s="367"/>
    </row>
    <row r="1011" spans="1:24">
      <c r="A1011" t="s">
        <v>5240</v>
      </c>
      <c r="B1011" t="s">
        <v>5241</v>
      </c>
      <c r="C1011">
        <v>47</v>
      </c>
      <c r="D1011">
        <v>681405</v>
      </c>
      <c r="E1011">
        <v>6990767386</v>
      </c>
      <c r="F1011">
        <v>10242</v>
      </c>
      <c r="G1011">
        <v>10259</v>
      </c>
      <c r="H1011">
        <v>10259</v>
      </c>
      <c r="I1011">
        <v>17</v>
      </c>
      <c r="J1011">
        <v>0.17</v>
      </c>
      <c r="K1011">
        <v>10259</v>
      </c>
      <c r="L1011">
        <v>17</v>
      </c>
      <c r="M1011">
        <v>0.17</v>
      </c>
      <c r="N1011">
        <v>10259</v>
      </c>
      <c r="O1011">
        <v>10260</v>
      </c>
      <c r="P1011" t="s">
        <v>192</v>
      </c>
      <c r="Q1011" t="s">
        <v>192</v>
      </c>
      <c r="R1011">
        <v>1</v>
      </c>
      <c r="S1011">
        <v>29998000</v>
      </c>
      <c r="T1011">
        <v>10259</v>
      </c>
      <c r="U1011">
        <v>10260</v>
      </c>
      <c r="V1011">
        <v>9996360</v>
      </c>
      <c r="W1011">
        <v>1</v>
      </c>
      <c r="X1011" s="367"/>
    </row>
    <row r="1012" spans="1:24">
      <c r="A1012" t="s">
        <v>2805</v>
      </c>
      <c r="B1012" t="s">
        <v>2804</v>
      </c>
      <c r="C1012">
        <v>103</v>
      </c>
      <c r="D1012">
        <v>637799</v>
      </c>
      <c r="E1012">
        <v>15319931980</v>
      </c>
      <c r="F1012">
        <v>23330</v>
      </c>
      <c r="G1012">
        <v>24020</v>
      </c>
      <c r="H1012">
        <v>24020</v>
      </c>
      <c r="I1012">
        <v>690</v>
      </c>
      <c r="J1012">
        <v>2.96</v>
      </c>
      <c r="K1012">
        <v>24020</v>
      </c>
      <c r="L1012">
        <v>690</v>
      </c>
      <c r="M1012">
        <v>2.96</v>
      </c>
      <c r="N1012">
        <v>24020</v>
      </c>
      <c r="O1012">
        <v>24020</v>
      </c>
      <c r="P1012">
        <v>1544</v>
      </c>
      <c r="Q1012">
        <v>15.56</v>
      </c>
      <c r="R1012">
        <v>45</v>
      </c>
      <c r="S1012">
        <v>328859</v>
      </c>
      <c r="T1012">
        <v>24020</v>
      </c>
      <c r="U1012">
        <v>0</v>
      </c>
      <c r="V1012">
        <v>0</v>
      </c>
      <c r="W1012">
        <v>0</v>
      </c>
      <c r="X1012" s="367"/>
    </row>
    <row r="1013" spans="1:24">
      <c r="A1013" t="s">
        <v>2170</v>
      </c>
      <c r="B1013" t="s">
        <v>2169</v>
      </c>
      <c r="C1013">
        <v>77</v>
      </c>
      <c r="D1013">
        <v>2751766</v>
      </c>
      <c r="E1013">
        <v>19922785840</v>
      </c>
      <c r="F1013">
        <v>7030</v>
      </c>
      <c r="G1013">
        <v>7240</v>
      </c>
      <c r="H1013">
        <v>7240</v>
      </c>
      <c r="I1013">
        <v>210</v>
      </c>
      <c r="J1013">
        <v>2.99</v>
      </c>
      <c r="K1013">
        <v>7240</v>
      </c>
      <c r="L1013">
        <v>210</v>
      </c>
      <c r="M1013">
        <v>2.99</v>
      </c>
      <c r="N1013">
        <v>7240</v>
      </c>
      <c r="O1013">
        <v>7240</v>
      </c>
      <c r="P1013">
        <v>760</v>
      </c>
      <c r="Q1013">
        <v>9.5299999999999994</v>
      </c>
      <c r="R1013">
        <v>64</v>
      </c>
      <c r="S1013">
        <v>5881033</v>
      </c>
      <c r="T1013">
        <v>7240</v>
      </c>
      <c r="U1013">
        <v>0</v>
      </c>
      <c r="V1013">
        <v>0</v>
      </c>
      <c r="W1013">
        <v>0</v>
      </c>
      <c r="X1013" s="367"/>
    </row>
    <row r="1014" spans="1:24">
      <c r="A1014" t="s">
        <v>2257</v>
      </c>
      <c r="B1014" t="s">
        <v>2256</v>
      </c>
      <c r="C1014">
        <v>198</v>
      </c>
      <c r="D1014">
        <v>12806018</v>
      </c>
      <c r="E1014">
        <v>98094097880</v>
      </c>
      <c r="F1014">
        <v>7440</v>
      </c>
      <c r="G1014">
        <v>7660</v>
      </c>
      <c r="H1014">
        <v>7660</v>
      </c>
      <c r="I1014">
        <v>220</v>
      </c>
      <c r="J1014">
        <v>2.96</v>
      </c>
      <c r="K1014">
        <v>7660</v>
      </c>
      <c r="L1014">
        <v>220</v>
      </c>
      <c r="M1014">
        <v>2.96</v>
      </c>
      <c r="N1014">
        <v>7660</v>
      </c>
      <c r="O1014">
        <v>7660</v>
      </c>
      <c r="P1014">
        <v>910</v>
      </c>
      <c r="Q1014">
        <v>8.42</v>
      </c>
      <c r="R1014">
        <v>60</v>
      </c>
      <c r="S1014">
        <v>1979044</v>
      </c>
      <c r="T1014">
        <v>7660</v>
      </c>
      <c r="U1014">
        <v>0</v>
      </c>
      <c r="V1014">
        <v>0</v>
      </c>
      <c r="W1014">
        <v>0</v>
      </c>
      <c r="X1014" s="367"/>
    </row>
    <row r="1015" spans="1:24">
      <c r="A1015" t="s">
        <v>153</v>
      </c>
      <c r="B1015" t="s">
        <v>152</v>
      </c>
      <c r="C1015">
        <v>2047</v>
      </c>
      <c r="D1015">
        <v>41655743</v>
      </c>
      <c r="E1015">
        <v>334136844860</v>
      </c>
      <c r="F1015">
        <v>7820</v>
      </c>
      <c r="G1015">
        <v>8010</v>
      </c>
      <c r="H1015">
        <v>8050</v>
      </c>
      <c r="I1015">
        <v>230</v>
      </c>
      <c r="J1015">
        <v>2.94</v>
      </c>
      <c r="K1015">
        <v>8020</v>
      </c>
      <c r="L1015">
        <v>200</v>
      </c>
      <c r="M1015">
        <v>2.56</v>
      </c>
      <c r="N1015">
        <v>7920</v>
      </c>
      <c r="O1015">
        <v>8050</v>
      </c>
      <c r="P1015">
        <v>1099</v>
      </c>
      <c r="Q1015">
        <v>7.3</v>
      </c>
      <c r="R1015">
        <v>17</v>
      </c>
      <c r="S1015">
        <v>234845</v>
      </c>
      <c r="T1015">
        <v>8050</v>
      </c>
      <c r="U1015">
        <v>8080</v>
      </c>
      <c r="V1015">
        <v>2000</v>
      </c>
      <c r="W1015">
        <v>1</v>
      </c>
      <c r="X1015" s="367"/>
    </row>
    <row r="1016" spans="1:24">
      <c r="A1016" t="s">
        <v>8062</v>
      </c>
      <c r="B1016" t="s">
        <v>8063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 t="s">
        <v>192</v>
      </c>
      <c r="Q1016" t="s">
        <v>192</v>
      </c>
      <c r="R1016">
        <v>2</v>
      </c>
      <c r="S1016">
        <v>30</v>
      </c>
      <c r="T1016">
        <v>100</v>
      </c>
      <c r="U1016">
        <v>0</v>
      </c>
      <c r="V1016">
        <v>0</v>
      </c>
      <c r="W1016">
        <v>0</v>
      </c>
      <c r="X1016" s="367"/>
    </row>
    <row r="1017" spans="1:24">
      <c r="A1017" t="s">
        <v>5242</v>
      </c>
      <c r="B1017" t="s">
        <v>5243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0</v>
      </c>
      <c r="P1017" t="s">
        <v>192</v>
      </c>
      <c r="Q1017" t="s">
        <v>192</v>
      </c>
      <c r="R1017">
        <v>1</v>
      </c>
      <c r="S1017">
        <v>10</v>
      </c>
      <c r="T1017">
        <v>1002</v>
      </c>
      <c r="U1017">
        <v>0</v>
      </c>
      <c r="V1017">
        <v>0</v>
      </c>
      <c r="W1017">
        <v>0</v>
      </c>
      <c r="X1017" s="367"/>
    </row>
    <row r="1018" spans="1:24">
      <c r="A1018" t="s">
        <v>1869</v>
      </c>
      <c r="B1018" t="s">
        <v>1868</v>
      </c>
      <c r="C1018">
        <v>753</v>
      </c>
      <c r="D1018">
        <v>6469215</v>
      </c>
      <c r="E1018">
        <v>51791510920</v>
      </c>
      <c r="F1018">
        <v>7780</v>
      </c>
      <c r="G1018">
        <v>8010</v>
      </c>
      <c r="H1018">
        <v>8010</v>
      </c>
      <c r="I1018">
        <v>230</v>
      </c>
      <c r="J1018">
        <v>2.96</v>
      </c>
      <c r="K1018">
        <v>8010</v>
      </c>
      <c r="L1018">
        <v>230</v>
      </c>
      <c r="M1018">
        <v>2.96</v>
      </c>
      <c r="N1018">
        <v>7890</v>
      </c>
      <c r="O1018">
        <v>8010</v>
      </c>
      <c r="P1018">
        <v>1012</v>
      </c>
      <c r="Q1018">
        <v>7.92</v>
      </c>
      <c r="R1018">
        <v>2</v>
      </c>
      <c r="S1018">
        <v>155692</v>
      </c>
      <c r="T1018">
        <v>8010</v>
      </c>
      <c r="U1018">
        <v>0</v>
      </c>
      <c r="V1018">
        <v>0</v>
      </c>
      <c r="W1018">
        <v>0</v>
      </c>
      <c r="X1018" s="367"/>
    </row>
    <row r="1019" spans="1:24">
      <c r="A1019" t="s">
        <v>8655</v>
      </c>
      <c r="B1019" t="s">
        <v>8656</v>
      </c>
      <c r="C1019">
        <v>0</v>
      </c>
      <c r="D1019">
        <v>0</v>
      </c>
      <c r="E1019">
        <v>0</v>
      </c>
      <c r="F1019">
        <v>4169569</v>
      </c>
      <c r="G1019">
        <v>0</v>
      </c>
      <c r="H1019">
        <v>4169569</v>
      </c>
      <c r="I1019">
        <v>0</v>
      </c>
      <c r="J1019">
        <v>0</v>
      </c>
      <c r="K1019">
        <v>4169569</v>
      </c>
      <c r="L1019">
        <v>0</v>
      </c>
      <c r="M1019">
        <v>0</v>
      </c>
      <c r="N1019">
        <v>0</v>
      </c>
      <c r="O1019">
        <v>0</v>
      </c>
      <c r="P1019" t="s">
        <v>192</v>
      </c>
      <c r="Q1019" t="s">
        <v>192</v>
      </c>
      <c r="R1019">
        <v>1</v>
      </c>
      <c r="S1019">
        <v>5000</v>
      </c>
      <c r="T1019">
        <v>4091994</v>
      </c>
      <c r="U1019">
        <v>4173833</v>
      </c>
      <c r="V1019">
        <v>4960</v>
      </c>
      <c r="W1019">
        <v>1</v>
      </c>
      <c r="X1019" s="367"/>
    </row>
    <row r="1020" spans="1:24">
      <c r="A1020" t="s">
        <v>5244</v>
      </c>
      <c r="B1020" t="s">
        <v>5245</v>
      </c>
      <c r="C1020">
        <v>0</v>
      </c>
      <c r="D1020">
        <v>0</v>
      </c>
      <c r="E1020">
        <v>0</v>
      </c>
      <c r="F1020">
        <v>1000000</v>
      </c>
      <c r="G1020">
        <v>0</v>
      </c>
      <c r="H1020">
        <v>1000000</v>
      </c>
      <c r="I1020">
        <v>0</v>
      </c>
      <c r="J1020">
        <v>0</v>
      </c>
      <c r="K1020">
        <v>1000000</v>
      </c>
      <c r="L1020">
        <v>0</v>
      </c>
      <c r="M1020">
        <v>0</v>
      </c>
      <c r="N1020">
        <v>0</v>
      </c>
      <c r="O1020">
        <v>0</v>
      </c>
      <c r="P1020" t="s">
        <v>192</v>
      </c>
      <c r="Q1020" t="s">
        <v>192</v>
      </c>
      <c r="R1020">
        <v>1</v>
      </c>
      <c r="S1020">
        <v>10000</v>
      </c>
      <c r="T1020">
        <v>990000</v>
      </c>
      <c r="U1020">
        <v>1000000</v>
      </c>
      <c r="V1020">
        <v>10000</v>
      </c>
      <c r="W1020">
        <v>1</v>
      </c>
      <c r="X1020" s="367"/>
    </row>
    <row r="1021" spans="1:24">
      <c r="A1021" t="s">
        <v>7365</v>
      </c>
      <c r="B1021" t="s">
        <v>7886</v>
      </c>
      <c r="C1021">
        <v>521</v>
      </c>
      <c r="D1021">
        <v>17109</v>
      </c>
      <c r="E1021">
        <v>31172950000</v>
      </c>
      <c r="F1021">
        <v>1401</v>
      </c>
      <c r="G1021">
        <v>1690</v>
      </c>
      <c r="H1021">
        <v>1850</v>
      </c>
      <c r="I1021">
        <v>449</v>
      </c>
      <c r="J1021">
        <v>32.049999999999997</v>
      </c>
      <c r="K1021">
        <v>1822</v>
      </c>
      <c r="L1021">
        <v>421</v>
      </c>
      <c r="M1021">
        <v>30.05</v>
      </c>
      <c r="N1021">
        <v>1500</v>
      </c>
      <c r="O1021">
        <v>1900</v>
      </c>
      <c r="P1021" t="s">
        <v>192</v>
      </c>
      <c r="Q1021" t="s">
        <v>192</v>
      </c>
      <c r="R1021">
        <v>1</v>
      </c>
      <c r="S1021">
        <v>100</v>
      </c>
      <c r="T1021">
        <v>1600</v>
      </c>
      <c r="U1021">
        <v>1850</v>
      </c>
      <c r="V1021">
        <v>185</v>
      </c>
      <c r="W1021">
        <v>1</v>
      </c>
      <c r="X1021" s="367"/>
    </row>
    <row r="1022" spans="1:24">
      <c r="A1022" t="s">
        <v>8064</v>
      </c>
      <c r="B1022" t="s">
        <v>8065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 t="s">
        <v>192</v>
      </c>
      <c r="Q1022" t="s">
        <v>192</v>
      </c>
      <c r="R1022">
        <v>1</v>
      </c>
      <c r="S1022">
        <v>111</v>
      </c>
      <c r="T1022">
        <v>11</v>
      </c>
      <c r="U1022">
        <v>100</v>
      </c>
      <c r="V1022">
        <v>500</v>
      </c>
      <c r="W1022">
        <v>1</v>
      </c>
      <c r="X1022" s="367"/>
    </row>
    <row r="1023" spans="1:24">
      <c r="A1023" t="s">
        <v>7874</v>
      </c>
      <c r="B1023" t="s">
        <v>7875</v>
      </c>
      <c r="C1023">
        <v>81</v>
      </c>
      <c r="D1023">
        <v>20033</v>
      </c>
      <c r="E1023">
        <v>4075271000</v>
      </c>
      <c r="F1023">
        <v>136</v>
      </c>
      <c r="G1023">
        <v>250</v>
      </c>
      <c r="H1023">
        <v>205</v>
      </c>
      <c r="I1023">
        <v>69</v>
      </c>
      <c r="J1023">
        <v>50.74</v>
      </c>
      <c r="K1023">
        <v>203</v>
      </c>
      <c r="L1023">
        <v>67</v>
      </c>
      <c r="M1023">
        <v>49.26</v>
      </c>
      <c r="N1023">
        <v>120</v>
      </c>
      <c r="O1023">
        <v>250</v>
      </c>
      <c r="P1023" t="s">
        <v>192</v>
      </c>
      <c r="Q1023" t="s">
        <v>192</v>
      </c>
      <c r="R1023">
        <v>2</v>
      </c>
      <c r="S1023">
        <v>28</v>
      </c>
      <c r="T1023">
        <v>200</v>
      </c>
      <c r="U1023">
        <v>205</v>
      </c>
      <c r="V1023">
        <v>249</v>
      </c>
      <c r="W1023">
        <v>1</v>
      </c>
      <c r="X1023" s="367"/>
    </row>
    <row r="1024" spans="1:24">
      <c r="A1024" t="s">
        <v>8792</v>
      </c>
      <c r="B1024" t="s">
        <v>8694</v>
      </c>
      <c r="C1024">
        <v>1</v>
      </c>
      <c r="D1024">
        <v>7000</v>
      </c>
      <c r="E1024">
        <v>36400000</v>
      </c>
      <c r="F1024">
        <v>5050</v>
      </c>
      <c r="G1024">
        <v>5200</v>
      </c>
      <c r="H1024">
        <v>5200</v>
      </c>
      <c r="I1024">
        <v>150</v>
      </c>
      <c r="J1024">
        <v>2.97</v>
      </c>
      <c r="K1024">
        <v>5200</v>
      </c>
      <c r="L1024">
        <v>150</v>
      </c>
      <c r="M1024">
        <v>2.97</v>
      </c>
      <c r="N1024">
        <v>5200</v>
      </c>
      <c r="O1024">
        <v>5200</v>
      </c>
      <c r="P1024">
        <v>567</v>
      </c>
      <c r="Q1024">
        <v>9.17</v>
      </c>
      <c r="R1024">
        <v>36</v>
      </c>
      <c r="S1024">
        <v>9407977</v>
      </c>
      <c r="T1024">
        <v>5200</v>
      </c>
      <c r="U1024">
        <v>0</v>
      </c>
      <c r="V1024">
        <v>0</v>
      </c>
      <c r="W1024">
        <v>0</v>
      </c>
      <c r="X1024" s="367"/>
    </row>
    <row r="1025" spans="1:24">
      <c r="A1025" t="s">
        <v>2950</v>
      </c>
      <c r="B1025" t="s">
        <v>2949</v>
      </c>
      <c r="C1025">
        <v>189</v>
      </c>
      <c r="D1025">
        <v>1683700</v>
      </c>
      <c r="E1025">
        <v>78763486000</v>
      </c>
      <c r="F1025">
        <v>45420</v>
      </c>
      <c r="G1025">
        <v>46780</v>
      </c>
      <c r="H1025">
        <v>46780</v>
      </c>
      <c r="I1025">
        <v>1360</v>
      </c>
      <c r="J1025">
        <v>2.99</v>
      </c>
      <c r="K1025">
        <v>46780</v>
      </c>
      <c r="L1025">
        <v>1360</v>
      </c>
      <c r="M1025">
        <v>2.99</v>
      </c>
      <c r="N1025">
        <v>46780</v>
      </c>
      <c r="O1025">
        <v>46780</v>
      </c>
      <c r="P1025">
        <v>3769</v>
      </c>
      <c r="Q1025">
        <v>12.41</v>
      </c>
      <c r="R1025">
        <v>75</v>
      </c>
      <c r="S1025">
        <v>1118071</v>
      </c>
      <c r="T1025">
        <v>46780</v>
      </c>
      <c r="U1025">
        <v>48840</v>
      </c>
      <c r="V1025">
        <v>8412</v>
      </c>
      <c r="W1025">
        <v>1</v>
      </c>
      <c r="X1025" s="367"/>
    </row>
    <row r="1026" spans="1:24">
      <c r="A1026" t="s">
        <v>5246</v>
      </c>
      <c r="B1026" t="s">
        <v>5247</v>
      </c>
      <c r="C1026">
        <v>3439</v>
      </c>
      <c r="D1026">
        <v>255361</v>
      </c>
      <c r="E1026">
        <v>99837926000</v>
      </c>
      <c r="F1026">
        <v>654</v>
      </c>
      <c r="G1026">
        <v>503</v>
      </c>
      <c r="H1026">
        <v>330</v>
      </c>
      <c r="I1026">
        <v>-324</v>
      </c>
      <c r="J1026">
        <v>-49.54</v>
      </c>
      <c r="K1026">
        <v>391</v>
      </c>
      <c r="L1026">
        <v>-263</v>
      </c>
      <c r="M1026">
        <v>-40.21</v>
      </c>
      <c r="N1026">
        <v>320</v>
      </c>
      <c r="O1026">
        <v>600</v>
      </c>
      <c r="P1026" t="s">
        <v>192</v>
      </c>
      <c r="Q1026" t="s">
        <v>192</v>
      </c>
      <c r="R1026">
        <v>1</v>
      </c>
      <c r="S1026">
        <v>267</v>
      </c>
      <c r="T1026">
        <v>320</v>
      </c>
      <c r="U1026">
        <v>340</v>
      </c>
      <c r="V1026">
        <v>100</v>
      </c>
      <c r="W1026">
        <v>1</v>
      </c>
      <c r="X1026" s="367"/>
    </row>
    <row r="1027" spans="1:24">
      <c r="A1027" t="s">
        <v>5248</v>
      </c>
      <c r="B1027" t="s">
        <v>5249</v>
      </c>
      <c r="C1027">
        <v>111</v>
      </c>
      <c r="D1027">
        <v>2073390</v>
      </c>
      <c r="E1027">
        <v>45453513160</v>
      </c>
      <c r="F1027">
        <v>21285</v>
      </c>
      <c r="G1027">
        <v>21923</v>
      </c>
      <c r="H1027">
        <v>21923</v>
      </c>
      <c r="I1027">
        <v>638</v>
      </c>
      <c r="J1027">
        <v>3</v>
      </c>
      <c r="K1027">
        <v>21922</v>
      </c>
      <c r="L1027">
        <v>637</v>
      </c>
      <c r="M1027">
        <v>2.99</v>
      </c>
      <c r="N1027">
        <v>21904</v>
      </c>
      <c r="O1027">
        <v>21923</v>
      </c>
      <c r="P1027" t="s">
        <v>192</v>
      </c>
      <c r="Q1027" t="s">
        <v>192</v>
      </c>
      <c r="R1027">
        <v>17</v>
      </c>
      <c r="S1027">
        <v>183998</v>
      </c>
      <c r="T1027">
        <v>21923</v>
      </c>
      <c r="U1027">
        <v>0</v>
      </c>
      <c r="V1027">
        <v>0</v>
      </c>
      <c r="W1027">
        <v>0</v>
      </c>
      <c r="X1027" s="367"/>
    </row>
    <row r="1028" spans="1:24">
      <c r="A1028" t="s">
        <v>2137</v>
      </c>
      <c r="B1028" t="s">
        <v>2136</v>
      </c>
      <c r="C1028">
        <v>394</v>
      </c>
      <c r="D1028">
        <v>18097888</v>
      </c>
      <c r="E1028">
        <v>87339242000</v>
      </c>
      <c r="F1028">
        <v>4690</v>
      </c>
      <c r="G1028">
        <v>4830</v>
      </c>
      <c r="H1028">
        <v>4830</v>
      </c>
      <c r="I1028">
        <v>140</v>
      </c>
      <c r="J1028">
        <v>2.99</v>
      </c>
      <c r="K1028">
        <v>4830</v>
      </c>
      <c r="L1028">
        <v>140</v>
      </c>
      <c r="M1028">
        <v>2.99</v>
      </c>
      <c r="N1028">
        <v>4740</v>
      </c>
      <c r="O1028">
        <v>4830</v>
      </c>
      <c r="P1028">
        <v>785</v>
      </c>
      <c r="Q1028">
        <v>6.15</v>
      </c>
      <c r="R1028">
        <v>18</v>
      </c>
      <c r="S1028">
        <v>2706609</v>
      </c>
      <c r="T1028">
        <v>4830</v>
      </c>
      <c r="U1028">
        <v>5360</v>
      </c>
      <c r="V1028">
        <v>1010</v>
      </c>
      <c r="W1028">
        <v>1</v>
      </c>
      <c r="X1028" s="367"/>
    </row>
    <row r="1029" spans="1:24">
      <c r="A1029" t="s">
        <v>1951</v>
      </c>
      <c r="B1029" t="s">
        <v>1950</v>
      </c>
      <c r="C1029">
        <v>13</v>
      </c>
      <c r="D1029">
        <v>100088</v>
      </c>
      <c r="E1029">
        <v>1222074480</v>
      </c>
      <c r="F1029">
        <v>11860</v>
      </c>
      <c r="G1029">
        <v>12210</v>
      </c>
      <c r="H1029">
        <v>12210</v>
      </c>
      <c r="I1029">
        <v>350</v>
      </c>
      <c r="J1029">
        <v>2.95</v>
      </c>
      <c r="K1029">
        <v>12210</v>
      </c>
      <c r="L1029">
        <v>350</v>
      </c>
      <c r="M1029">
        <v>2.95</v>
      </c>
      <c r="N1029">
        <v>12210</v>
      </c>
      <c r="O1029">
        <v>12210</v>
      </c>
      <c r="P1029">
        <v>8</v>
      </c>
      <c r="Q1029">
        <v>1526.25</v>
      </c>
      <c r="R1029">
        <v>4</v>
      </c>
      <c r="S1029">
        <v>118298</v>
      </c>
      <c r="T1029">
        <v>12210</v>
      </c>
      <c r="U1029">
        <v>14060</v>
      </c>
      <c r="V1029">
        <v>2000</v>
      </c>
      <c r="W1029">
        <v>1</v>
      </c>
      <c r="X1029" s="367"/>
    </row>
    <row r="1030" spans="1:24">
      <c r="A1030" t="s">
        <v>8637</v>
      </c>
      <c r="B1030" t="s">
        <v>5252</v>
      </c>
      <c r="C1030">
        <v>2</v>
      </c>
      <c r="D1030">
        <v>94527880</v>
      </c>
      <c r="E1030">
        <v>79036131122260</v>
      </c>
      <c r="F1030">
        <v>835100</v>
      </c>
      <c r="G1030">
        <v>835879</v>
      </c>
      <c r="H1030">
        <v>836350</v>
      </c>
      <c r="I1030">
        <v>1250</v>
      </c>
      <c r="J1030">
        <v>0.15</v>
      </c>
      <c r="K1030">
        <v>836114</v>
      </c>
      <c r="L1030">
        <v>1014</v>
      </c>
      <c r="M1030">
        <v>0.12</v>
      </c>
      <c r="N1030">
        <v>835879</v>
      </c>
      <c r="O1030">
        <v>836350</v>
      </c>
      <c r="P1030" t="s">
        <v>192</v>
      </c>
      <c r="Q1030" t="s">
        <v>192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 s="367"/>
    </row>
    <row r="1031" spans="1:24">
      <c r="A1031" t="s">
        <v>5253</v>
      </c>
      <c r="B1031" t="s">
        <v>5254</v>
      </c>
      <c r="C1031">
        <v>0</v>
      </c>
      <c r="D1031">
        <v>0</v>
      </c>
      <c r="E1031">
        <v>0</v>
      </c>
      <c r="F1031">
        <v>1000000</v>
      </c>
      <c r="G1031">
        <v>0</v>
      </c>
      <c r="H1031">
        <v>1000000</v>
      </c>
      <c r="I1031">
        <v>0</v>
      </c>
      <c r="J1031">
        <v>0</v>
      </c>
      <c r="K1031">
        <v>1000000</v>
      </c>
      <c r="L1031">
        <v>0</v>
      </c>
      <c r="M1031">
        <v>0</v>
      </c>
      <c r="N1031">
        <v>0</v>
      </c>
      <c r="O1031">
        <v>0</v>
      </c>
      <c r="P1031" t="s">
        <v>192</v>
      </c>
      <c r="Q1031" t="s">
        <v>192</v>
      </c>
      <c r="R1031">
        <v>1</v>
      </c>
      <c r="S1031">
        <v>5000</v>
      </c>
      <c r="T1031">
        <v>993000</v>
      </c>
      <c r="U1031">
        <v>1002000</v>
      </c>
      <c r="V1031">
        <v>5000</v>
      </c>
      <c r="W1031">
        <v>1</v>
      </c>
      <c r="X1031" s="367"/>
    </row>
    <row r="1032" spans="1:24">
      <c r="A1032" t="s">
        <v>5255</v>
      </c>
      <c r="B1032" t="s">
        <v>5256</v>
      </c>
      <c r="C1032">
        <v>0</v>
      </c>
      <c r="D1032">
        <v>0</v>
      </c>
      <c r="E1032">
        <v>0</v>
      </c>
      <c r="F1032">
        <v>1765</v>
      </c>
      <c r="G1032">
        <v>0</v>
      </c>
      <c r="H1032">
        <v>1765</v>
      </c>
      <c r="I1032">
        <v>0</v>
      </c>
      <c r="J1032">
        <v>0</v>
      </c>
      <c r="K1032">
        <v>1765</v>
      </c>
      <c r="L1032">
        <v>0</v>
      </c>
      <c r="M1032">
        <v>0</v>
      </c>
      <c r="N1032">
        <v>0</v>
      </c>
      <c r="O1032">
        <v>0</v>
      </c>
      <c r="P1032" t="s">
        <v>192</v>
      </c>
      <c r="Q1032" t="s">
        <v>192</v>
      </c>
      <c r="R1032">
        <v>1</v>
      </c>
      <c r="S1032">
        <v>1</v>
      </c>
      <c r="T1032">
        <v>2500</v>
      </c>
      <c r="U1032">
        <v>7500</v>
      </c>
      <c r="V1032">
        <v>10</v>
      </c>
      <c r="W1032">
        <v>1</v>
      </c>
      <c r="X1032" s="367"/>
    </row>
    <row r="1033" spans="1:24">
      <c r="A1033" t="s">
        <v>6471</v>
      </c>
      <c r="B1033" t="s">
        <v>3380</v>
      </c>
      <c r="C1033">
        <v>1</v>
      </c>
      <c r="D1033">
        <v>10000000</v>
      </c>
      <c r="E1033">
        <v>10000000</v>
      </c>
      <c r="F1033">
        <v>14823</v>
      </c>
      <c r="G1033">
        <v>1</v>
      </c>
      <c r="H1033">
        <v>1</v>
      </c>
      <c r="I1033">
        <v>-14822</v>
      </c>
      <c r="J1033">
        <v>-99.99</v>
      </c>
      <c r="K1033">
        <v>1</v>
      </c>
      <c r="L1033">
        <v>-14822</v>
      </c>
      <c r="M1033">
        <v>-99.99</v>
      </c>
      <c r="N1033">
        <v>1</v>
      </c>
      <c r="O1033">
        <v>1</v>
      </c>
      <c r="P1033" t="s">
        <v>192</v>
      </c>
      <c r="Q1033" t="s">
        <v>192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 s="367"/>
    </row>
    <row r="1034" spans="1:24">
      <c r="A1034" t="s">
        <v>8717</v>
      </c>
      <c r="B1034" t="s">
        <v>8718</v>
      </c>
      <c r="C1034">
        <v>17</v>
      </c>
      <c r="D1034">
        <v>2420</v>
      </c>
      <c r="E1034">
        <v>131000000</v>
      </c>
      <c r="F1034">
        <v>1</v>
      </c>
      <c r="G1034">
        <v>55</v>
      </c>
      <c r="H1034">
        <v>60</v>
      </c>
      <c r="I1034">
        <v>59</v>
      </c>
      <c r="J1034">
        <v>5900</v>
      </c>
      <c r="K1034">
        <v>54</v>
      </c>
      <c r="L1034">
        <v>53</v>
      </c>
      <c r="M1034">
        <v>5300</v>
      </c>
      <c r="N1034">
        <v>50</v>
      </c>
      <c r="O1034">
        <v>60</v>
      </c>
      <c r="P1034" t="s">
        <v>192</v>
      </c>
      <c r="Q1034" t="s">
        <v>192</v>
      </c>
      <c r="R1034">
        <v>2</v>
      </c>
      <c r="S1034">
        <v>1496</v>
      </c>
      <c r="T1034">
        <v>56</v>
      </c>
      <c r="U1034">
        <v>65</v>
      </c>
      <c r="V1034">
        <v>1000</v>
      </c>
      <c r="W1034">
        <v>1</v>
      </c>
      <c r="X1034" s="367"/>
    </row>
    <row r="1035" spans="1:24">
      <c r="A1035" t="s">
        <v>5257</v>
      </c>
      <c r="B1035" t="s">
        <v>5258</v>
      </c>
      <c r="C1035">
        <v>6</v>
      </c>
      <c r="D1035">
        <v>29</v>
      </c>
      <c r="E1035">
        <v>218040000</v>
      </c>
      <c r="F1035">
        <v>4910</v>
      </c>
      <c r="G1035">
        <v>6500</v>
      </c>
      <c r="H1035">
        <v>7977</v>
      </c>
      <c r="I1035">
        <v>3067</v>
      </c>
      <c r="J1035">
        <v>62.46</v>
      </c>
      <c r="K1035">
        <v>7519</v>
      </c>
      <c r="L1035">
        <v>2609</v>
      </c>
      <c r="M1035">
        <v>53.14</v>
      </c>
      <c r="N1035">
        <v>6500</v>
      </c>
      <c r="O1035">
        <v>7977</v>
      </c>
      <c r="P1035" t="s">
        <v>192</v>
      </c>
      <c r="Q1035" t="s">
        <v>192</v>
      </c>
      <c r="R1035">
        <v>1</v>
      </c>
      <c r="S1035">
        <v>5</v>
      </c>
      <c r="T1035">
        <v>6580</v>
      </c>
      <c r="U1035">
        <v>0</v>
      </c>
      <c r="V1035">
        <v>0</v>
      </c>
      <c r="W1035">
        <v>0</v>
      </c>
      <c r="X1035" s="367"/>
    </row>
    <row r="1036" spans="1:24">
      <c r="A1036" t="s">
        <v>8746</v>
      </c>
      <c r="B1036" t="s">
        <v>32</v>
      </c>
      <c r="C1036">
        <v>1</v>
      </c>
      <c r="D1036">
        <v>18000000</v>
      </c>
      <c r="E1036">
        <v>206100000000</v>
      </c>
      <c r="F1036">
        <v>11230</v>
      </c>
      <c r="G1036">
        <v>11450</v>
      </c>
      <c r="H1036">
        <v>11450</v>
      </c>
      <c r="I1036">
        <v>220</v>
      </c>
      <c r="J1036">
        <v>1.96</v>
      </c>
      <c r="K1036">
        <v>11450</v>
      </c>
      <c r="L1036">
        <v>220</v>
      </c>
      <c r="M1036">
        <v>1.96</v>
      </c>
      <c r="N1036">
        <v>11450</v>
      </c>
      <c r="O1036">
        <v>11450</v>
      </c>
      <c r="P1036">
        <v>1929</v>
      </c>
      <c r="Q1036">
        <v>5.94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 s="367"/>
    </row>
    <row r="1037" spans="1:24">
      <c r="A1037" t="s">
        <v>2857</v>
      </c>
      <c r="B1037" t="s">
        <v>2856</v>
      </c>
      <c r="C1037">
        <v>410</v>
      </c>
      <c r="D1037">
        <v>7456144</v>
      </c>
      <c r="E1037">
        <v>42201775040</v>
      </c>
      <c r="F1037">
        <v>5500</v>
      </c>
      <c r="G1037">
        <v>5660</v>
      </c>
      <c r="H1037">
        <v>5660</v>
      </c>
      <c r="I1037">
        <v>160</v>
      </c>
      <c r="J1037">
        <v>2.91</v>
      </c>
      <c r="K1037">
        <v>5660</v>
      </c>
      <c r="L1037">
        <v>160</v>
      </c>
      <c r="M1037">
        <v>2.91</v>
      </c>
      <c r="N1037">
        <v>5660</v>
      </c>
      <c r="O1037">
        <v>5660</v>
      </c>
      <c r="P1037">
        <v>929</v>
      </c>
      <c r="Q1037">
        <v>6.09</v>
      </c>
      <c r="R1037">
        <v>449</v>
      </c>
      <c r="S1037">
        <v>23806615</v>
      </c>
      <c r="T1037">
        <v>5660</v>
      </c>
      <c r="U1037">
        <v>5690</v>
      </c>
      <c r="V1037">
        <v>666</v>
      </c>
      <c r="W1037">
        <v>1</v>
      </c>
      <c r="X1037" s="367"/>
    </row>
    <row r="1038" spans="1:24">
      <c r="A1038" t="s">
        <v>5259</v>
      </c>
      <c r="B1038" t="s">
        <v>5260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 t="s">
        <v>192</v>
      </c>
      <c r="Q1038" t="s">
        <v>192</v>
      </c>
      <c r="R1038">
        <v>1</v>
      </c>
      <c r="S1038">
        <v>2</v>
      </c>
      <c r="T1038">
        <v>18</v>
      </c>
      <c r="U1038">
        <v>0</v>
      </c>
      <c r="V1038">
        <v>0</v>
      </c>
      <c r="W1038">
        <v>0</v>
      </c>
      <c r="X1038" s="367"/>
    </row>
    <row r="1039" spans="1:24">
      <c r="A1039" t="s">
        <v>8446</v>
      </c>
      <c r="B1039" t="s">
        <v>8447</v>
      </c>
      <c r="C1039">
        <v>0</v>
      </c>
      <c r="D1039">
        <v>0</v>
      </c>
      <c r="E1039">
        <v>0</v>
      </c>
      <c r="F1039">
        <v>300063</v>
      </c>
      <c r="G1039">
        <v>0</v>
      </c>
      <c r="H1039">
        <v>326700</v>
      </c>
      <c r="I1039">
        <v>26637</v>
      </c>
      <c r="J1039">
        <v>8.8800000000000008</v>
      </c>
      <c r="K1039">
        <v>300063</v>
      </c>
      <c r="L1039">
        <v>0</v>
      </c>
      <c r="M1039">
        <v>0</v>
      </c>
      <c r="N1039">
        <v>0</v>
      </c>
      <c r="O1039">
        <v>0</v>
      </c>
      <c r="P1039" t="s">
        <v>192</v>
      </c>
      <c r="Q1039" t="s">
        <v>192</v>
      </c>
      <c r="R1039">
        <v>1</v>
      </c>
      <c r="S1039">
        <v>1000</v>
      </c>
      <c r="T1039">
        <v>270057</v>
      </c>
      <c r="U1039">
        <v>0</v>
      </c>
      <c r="V1039">
        <v>0</v>
      </c>
      <c r="W1039">
        <v>0</v>
      </c>
      <c r="X1039" s="367"/>
    </row>
    <row r="1040" spans="1:24">
      <c r="A1040" t="s">
        <v>5261</v>
      </c>
      <c r="B1040" t="s">
        <v>5262</v>
      </c>
      <c r="C1040">
        <v>1</v>
      </c>
      <c r="D1040">
        <v>1</v>
      </c>
      <c r="E1040">
        <v>2000</v>
      </c>
      <c r="F1040">
        <v>1</v>
      </c>
      <c r="G1040">
        <v>2</v>
      </c>
      <c r="H1040">
        <v>2</v>
      </c>
      <c r="I1040">
        <v>1</v>
      </c>
      <c r="J1040">
        <v>100</v>
      </c>
      <c r="K1040">
        <v>2</v>
      </c>
      <c r="L1040">
        <v>1</v>
      </c>
      <c r="M1040">
        <v>100</v>
      </c>
      <c r="N1040">
        <v>2</v>
      </c>
      <c r="O1040">
        <v>2</v>
      </c>
      <c r="P1040" t="s">
        <v>192</v>
      </c>
      <c r="Q1040" t="s">
        <v>192</v>
      </c>
      <c r="R1040">
        <v>1</v>
      </c>
      <c r="S1040">
        <v>99</v>
      </c>
      <c r="T1040">
        <v>1</v>
      </c>
      <c r="U1040">
        <v>0</v>
      </c>
      <c r="V1040">
        <v>0</v>
      </c>
      <c r="W1040">
        <v>0</v>
      </c>
      <c r="X1040" s="367"/>
    </row>
    <row r="1041" spans="1:24">
      <c r="A1041" t="s">
        <v>6633</v>
      </c>
      <c r="B1041" t="s">
        <v>8208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1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 t="s">
        <v>192</v>
      </c>
      <c r="Q1041" t="s">
        <v>192</v>
      </c>
      <c r="R1041">
        <v>1</v>
      </c>
      <c r="S1041">
        <v>25</v>
      </c>
      <c r="T1041">
        <v>155</v>
      </c>
      <c r="U1041">
        <v>0</v>
      </c>
      <c r="V1041">
        <v>0</v>
      </c>
      <c r="W1041">
        <v>0</v>
      </c>
      <c r="X1041" s="367"/>
    </row>
    <row r="1042" spans="1:24">
      <c r="A1042" t="s">
        <v>6507</v>
      </c>
      <c r="B1042" t="s">
        <v>3193</v>
      </c>
      <c r="C1042">
        <v>14</v>
      </c>
      <c r="D1042">
        <v>14000000</v>
      </c>
      <c r="E1042">
        <v>14000000</v>
      </c>
      <c r="F1042">
        <v>27664</v>
      </c>
      <c r="G1042">
        <v>1</v>
      </c>
      <c r="H1042">
        <v>1</v>
      </c>
      <c r="I1042">
        <v>-27663</v>
      </c>
      <c r="J1042">
        <v>-100</v>
      </c>
      <c r="K1042">
        <v>1</v>
      </c>
      <c r="L1042">
        <v>-27663</v>
      </c>
      <c r="M1042">
        <v>-100</v>
      </c>
      <c r="N1042">
        <v>1</v>
      </c>
      <c r="O1042">
        <v>1</v>
      </c>
      <c r="P1042" t="s">
        <v>192</v>
      </c>
      <c r="Q1042" t="s">
        <v>192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 s="367"/>
    </row>
    <row r="1043" spans="1:24">
      <c r="A1043" t="s">
        <v>5263</v>
      </c>
      <c r="B1043" t="s">
        <v>5264</v>
      </c>
      <c r="C1043">
        <v>0</v>
      </c>
      <c r="D1043">
        <v>0</v>
      </c>
      <c r="E1043">
        <v>0</v>
      </c>
      <c r="F1043">
        <v>1000000</v>
      </c>
      <c r="G1043">
        <v>0</v>
      </c>
      <c r="H1043">
        <v>1000000</v>
      </c>
      <c r="I1043">
        <v>0</v>
      </c>
      <c r="J1043">
        <v>0</v>
      </c>
      <c r="K1043">
        <v>1000000</v>
      </c>
      <c r="L1043">
        <v>0</v>
      </c>
      <c r="M1043">
        <v>0</v>
      </c>
      <c r="N1043">
        <v>0</v>
      </c>
      <c r="O1043">
        <v>0</v>
      </c>
      <c r="P1043" t="s">
        <v>192</v>
      </c>
      <c r="Q1043" t="s">
        <v>192</v>
      </c>
      <c r="R1043">
        <v>1</v>
      </c>
      <c r="S1043">
        <v>5000</v>
      </c>
      <c r="T1043">
        <v>1000000</v>
      </c>
      <c r="U1043">
        <v>0</v>
      </c>
      <c r="V1043">
        <v>0</v>
      </c>
      <c r="W1043">
        <v>0</v>
      </c>
      <c r="X1043" s="367"/>
    </row>
    <row r="1044" spans="1:24">
      <c r="A1044" t="s">
        <v>5265</v>
      </c>
      <c r="B1044" t="s">
        <v>5266</v>
      </c>
      <c r="C1044">
        <v>8560</v>
      </c>
      <c r="D1044">
        <v>155433096</v>
      </c>
      <c r="E1044">
        <v>1855128225330</v>
      </c>
      <c r="F1044">
        <v>11765</v>
      </c>
      <c r="G1044">
        <v>12071</v>
      </c>
      <c r="H1044">
        <v>11951</v>
      </c>
      <c r="I1044">
        <v>186</v>
      </c>
      <c r="J1044">
        <v>1.58</v>
      </c>
      <c r="K1044">
        <v>11935</v>
      </c>
      <c r="L1044">
        <v>170</v>
      </c>
      <c r="M1044">
        <v>1.44</v>
      </c>
      <c r="N1044">
        <v>11829</v>
      </c>
      <c r="O1044">
        <v>12120</v>
      </c>
      <c r="P1044" t="s">
        <v>192</v>
      </c>
      <c r="Q1044" t="s">
        <v>192</v>
      </c>
      <c r="R1044">
        <v>5</v>
      </c>
      <c r="S1044">
        <v>132987</v>
      </c>
      <c r="T1044">
        <v>11948</v>
      </c>
      <c r="U1044">
        <v>11950</v>
      </c>
      <c r="V1044">
        <v>15379</v>
      </c>
      <c r="W1044">
        <v>2</v>
      </c>
      <c r="X1044" s="367"/>
    </row>
    <row r="1045" spans="1:24">
      <c r="A1045" t="s">
        <v>6506</v>
      </c>
      <c r="B1045" t="s">
        <v>2522</v>
      </c>
      <c r="C1045">
        <v>16</v>
      </c>
      <c r="D1045">
        <v>81733</v>
      </c>
      <c r="E1045">
        <v>2671851770</v>
      </c>
      <c r="F1045">
        <v>32450</v>
      </c>
      <c r="G1045">
        <v>32690</v>
      </c>
      <c r="H1045">
        <v>32690</v>
      </c>
      <c r="I1045">
        <v>240</v>
      </c>
      <c r="J1045">
        <v>0.74</v>
      </c>
      <c r="K1045">
        <v>32690</v>
      </c>
      <c r="L1045">
        <v>240</v>
      </c>
      <c r="M1045">
        <v>0.74</v>
      </c>
      <c r="N1045">
        <v>32690</v>
      </c>
      <c r="O1045">
        <v>32690</v>
      </c>
      <c r="P1045">
        <v>2473</v>
      </c>
      <c r="Q1045">
        <v>13.22</v>
      </c>
      <c r="R1045">
        <v>2</v>
      </c>
      <c r="S1045">
        <v>24453</v>
      </c>
      <c r="T1045">
        <v>32690</v>
      </c>
      <c r="U1045">
        <v>0</v>
      </c>
      <c r="V1045">
        <v>0</v>
      </c>
      <c r="W1045">
        <v>0</v>
      </c>
      <c r="X1045" s="367"/>
    </row>
    <row r="1046" spans="1:24">
      <c r="A1046" t="s">
        <v>2723</v>
      </c>
      <c r="B1046" t="s">
        <v>2722</v>
      </c>
      <c r="C1046">
        <v>52</v>
      </c>
      <c r="D1046">
        <v>1402595</v>
      </c>
      <c r="E1046">
        <v>17967241950</v>
      </c>
      <c r="F1046">
        <v>12440</v>
      </c>
      <c r="G1046">
        <v>12810</v>
      </c>
      <c r="H1046">
        <v>12810</v>
      </c>
      <c r="I1046">
        <v>370</v>
      </c>
      <c r="J1046">
        <v>2.97</v>
      </c>
      <c r="K1046">
        <v>12810</v>
      </c>
      <c r="L1046">
        <v>370</v>
      </c>
      <c r="M1046">
        <v>2.97</v>
      </c>
      <c r="N1046">
        <v>12810</v>
      </c>
      <c r="O1046">
        <v>12810</v>
      </c>
      <c r="P1046">
        <v>1904</v>
      </c>
      <c r="Q1046">
        <v>6.73</v>
      </c>
      <c r="R1046">
        <v>105</v>
      </c>
      <c r="S1046">
        <v>7621872</v>
      </c>
      <c r="T1046">
        <v>12810</v>
      </c>
      <c r="U1046">
        <v>0</v>
      </c>
      <c r="V1046">
        <v>0</v>
      </c>
      <c r="W1046">
        <v>0</v>
      </c>
      <c r="X1046" s="367"/>
    </row>
    <row r="1047" spans="1:24">
      <c r="A1047" t="s">
        <v>5267</v>
      </c>
      <c r="B1047" t="s">
        <v>5268</v>
      </c>
      <c r="C1047">
        <v>601</v>
      </c>
      <c r="D1047">
        <v>2548717</v>
      </c>
      <c r="E1047">
        <v>186101971531</v>
      </c>
      <c r="F1047">
        <v>73408</v>
      </c>
      <c r="G1047">
        <v>73696</v>
      </c>
      <c r="H1047">
        <v>72931</v>
      </c>
      <c r="I1047">
        <v>-477</v>
      </c>
      <c r="J1047">
        <v>-0.65</v>
      </c>
      <c r="K1047">
        <v>73018</v>
      </c>
      <c r="L1047">
        <v>-390</v>
      </c>
      <c r="M1047">
        <v>-0.53</v>
      </c>
      <c r="N1047">
        <v>72600</v>
      </c>
      <c r="O1047">
        <v>73696</v>
      </c>
      <c r="P1047" t="s">
        <v>192</v>
      </c>
      <c r="Q1047" t="s">
        <v>192</v>
      </c>
      <c r="R1047">
        <v>1</v>
      </c>
      <c r="S1047">
        <v>7594</v>
      </c>
      <c r="T1047">
        <v>72902</v>
      </c>
      <c r="U1047">
        <v>72931</v>
      </c>
      <c r="V1047">
        <v>194160</v>
      </c>
      <c r="W1047">
        <v>2</v>
      </c>
      <c r="X1047" s="367"/>
    </row>
    <row r="1048" spans="1:24">
      <c r="A1048" t="s">
        <v>1861</v>
      </c>
      <c r="B1048" t="s">
        <v>1860</v>
      </c>
      <c r="C1048">
        <v>309</v>
      </c>
      <c r="D1048">
        <v>35086543</v>
      </c>
      <c r="E1048">
        <v>48555575503</v>
      </c>
      <c r="F1048">
        <v>1346</v>
      </c>
      <c r="G1048">
        <v>1379</v>
      </c>
      <c r="H1048">
        <v>1386</v>
      </c>
      <c r="I1048">
        <v>40</v>
      </c>
      <c r="J1048">
        <v>2.97</v>
      </c>
      <c r="K1048">
        <v>1384</v>
      </c>
      <c r="L1048">
        <v>38</v>
      </c>
      <c r="M1048">
        <v>2.82</v>
      </c>
      <c r="N1048">
        <v>1349</v>
      </c>
      <c r="O1048">
        <v>1386</v>
      </c>
      <c r="P1048">
        <v>865</v>
      </c>
      <c r="Q1048">
        <v>1.6</v>
      </c>
      <c r="R1048">
        <v>19</v>
      </c>
      <c r="S1048">
        <v>1129021</v>
      </c>
      <c r="T1048">
        <v>1386</v>
      </c>
      <c r="U1048">
        <v>1410</v>
      </c>
      <c r="V1048">
        <v>12302</v>
      </c>
      <c r="W1048">
        <v>2</v>
      </c>
      <c r="X1048" s="367"/>
    </row>
    <row r="1049" spans="1:24">
      <c r="A1049" t="s">
        <v>5269</v>
      </c>
      <c r="B1049" t="s">
        <v>5270</v>
      </c>
      <c r="C1049">
        <v>0</v>
      </c>
      <c r="D1049">
        <v>0</v>
      </c>
      <c r="E1049">
        <v>0</v>
      </c>
      <c r="F1049">
        <v>1000000</v>
      </c>
      <c r="G1049">
        <v>0</v>
      </c>
      <c r="H1049">
        <v>1000000</v>
      </c>
      <c r="I1049">
        <v>0</v>
      </c>
      <c r="J1049">
        <v>0</v>
      </c>
      <c r="K1049">
        <v>1000000</v>
      </c>
      <c r="L1049">
        <v>0</v>
      </c>
      <c r="M1049">
        <v>0</v>
      </c>
      <c r="N1049">
        <v>0</v>
      </c>
      <c r="O1049">
        <v>0</v>
      </c>
      <c r="P1049" t="s">
        <v>192</v>
      </c>
      <c r="Q1049" t="s">
        <v>192</v>
      </c>
      <c r="R1049">
        <v>1</v>
      </c>
      <c r="S1049">
        <v>5000</v>
      </c>
      <c r="T1049">
        <v>1000000</v>
      </c>
      <c r="U1049">
        <v>1010000</v>
      </c>
      <c r="V1049">
        <v>5000</v>
      </c>
      <c r="W1049">
        <v>1</v>
      </c>
      <c r="X1049" s="367"/>
    </row>
    <row r="1050" spans="1:24">
      <c r="A1050" t="s">
        <v>5271</v>
      </c>
      <c r="B1050" t="s">
        <v>5272</v>
      </c>
      <c r="C1050">
        <v>5</v>
      </c>
      <c r="D1050">
        <v>1260</v>
      </c>
      <c r="E1050">
        <v>5020000</v>
      </c>
      <c r="F1050">
        <v>2</v>
      </c>
      <c r="G1050">
        <v>2</v>
      </c>
      <c r="H1050">
        <v>4</v>
      </c>
      <c r="I1050">
        <v>2</v>
      </c>
      <c r="J1050">
        <v>100</v>
      </c>
      <c r="K1050">
        <v>4</v>
      </c>
      <c r="L1050">
        <v>2</v>
      </c>
      <c r="M1050">
        <v>100</v>
      </c>
      <c r="N1050">
        <v>2</v>
      </c>
      <c r="O1050">
        <v>4</v>
      </c>
      <c r="P1050" t="s">
        <v>192</v>
      </c>
      <c r="Q1050" t="s">
        <v>192</v>
      </c>
      <c r="R1050">
        <v>3</v>
      </c>
      <c r="S1050">
        <v>3000</v>
      </c>
      <c r="T1050">
        <v>1</v>
      </c>
      <c r="U1050">
        <v>4</v>
      </c>
      <c r="V1050">
        <v>4752</v>
      </c>
      <c r="W1050">
        <v>5</v>
      </c>
      <c r="X1050" s="367"/>
    </row>
    <row r="1051" spans="1:24">
      <c r="A1051" t="s">
        <v>5273</v>
      </c>
      <c r="B1051" t="s">
        <v>5274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 t="s">
        <v>192</v>
      </c>
      <c r="Q1051" t="s">
        <v>192</v>
      </c>
      <c r="R1051">
        <v>1</v>
      </c>
      <c r="S1051">
        <v>100</v>
      </c>
      <c r="T1051">
        <v>1</v>
      </c>
      <c r="U1051">
        <v>0</v>
      </c>
      <c r="V1051">
        <v>0</v>
      </c>
      <c r="W1051">
        <v>0</v>
      </c>
      <c r="X1051" s="367"/>
    </row>
    <row r="1052" spans="1:24">
      <c r="A1052" t="s">
        <v>5275</v>
      </c>
      <c r="B1052" t="s">
        <v>5276</v>
      </c>
      <c r="C1052">
        <v>15</v>
      </c>
      <c r="D1052">
        <v>73</v>
      </c>
      <c r="E1052">
        <v>1830375000</v>
      </c>
      <c r="F1052">
        <v>28623</v>
      </c>
      <c r="G1052">
        <v>28623</v>
      </c>
      <c r="H1052">
        <v>24701</v>
      </c>
      <c r="I1052">
        <v>-3922</v>
      </c>
      <c r="J1052">
        <v>-13.7</v>
      </c>
      <c r="K1052">
        <v>25074</v>
      </c>
      <c r="L1052">
        <v>-3549</v>
      </c>
      <c r="M1052">
        <v>-12.4</v>
      </c>
      <c r="N1052">
        <v>24100</v>
      </c>
      <c r="O1052">
        <v>28623</v>
      </c>
      <c r="P1052" t="s">
        <v>192</v>
      </c>
      <c r="Q1052" t="s">
        <v>192</v>
      </c>
      <c r="R1052">
        <v>1</v>
      </c>
      <c r="S1052">
        <v>2</v>
      </c>
      <c r="T1052">
        <v>24000</v>
      </c>
      <c r="U1052">
        <v>0</v>
      </c>
      <c r="V1052">
        <v>0</v>
      </c>
      <c r="W1052">
        <v>0</v>
      </c>
      <c r="X1052" s="367"/>
    </row>
    <row r="1053" spans="1:24">
      <c r="A1053" t="s">
        <v>5277</v>
      </c>
      <c r="B1053" t="s">
        <v>5278</v>
      </c>
      <c r="C1053">
        <v>0</v>
      </c>
      <c r="D1053">
        <v>0</v>
      </c>
      <c r="E1053">
        <v>0</v>
      </c>
      <c r="F1053">
        <v>4119635</v>
      </c>
      <c r="G1053">
        <v>0</v>
      </c>
      <c r="H1053">
        <v>4119635</v>
      </c>
      <c r="I1053">
        <v>0</v>
      </c>
      <c r="J1053">
        <v>0</v>
      </c>
      <c r="K1053">
        <v>4119635</v>
      </c>
      <c r="L1053">
        <v>0</v>
      </c>
      <c r="M1053">
        <v>0</v>
      </c>
      <c r="N1053">
        <v>0</v>
      </c>
      <c r="O1053">
        <v>0</v>
      </c>
      <c r="P1053" t="s">
        <v>192</v>
      </c>
      <c r="Q1053" t="s">
        <v>192</v>
      </c>
      <c r="R1053">
        <v>1</v>
      </c>
      <c r="S1053">
        <v>22000</v>
      </c>
      <c r="T1053">
        <v>4289371</v>
      </c>
      <c r="U1053">
        <v>4375158</v>
      </c>
      <c r="V1053">
        <v>700</v>
      </c>
      <c r="W1053">
        <v>1</v>
      </c>
      <c r="X1053" s="367"/>
    </row>
    <row r="1054" spans="1:24">
      <c r="A1054" t="s">
        <v>2333</v>
      </c>
      <c r="B1054" t="s">
        <v>2332</v>
      </c>
      <c r="C1054">
        <v>668</v>
      </c>
      <c r="D1054">
        <v>4457793</v>
      </c>
      <c r="E1054">
        <v>144922850430</v>
      </c>
      <c r="F1054">
        <v>31570</v>
      </c>
      <c r="G1054">
        <v>32510</v>
      </c>
      <c r="H1054">
        <v>32510</v>
      </c>
      <c r="I1054">
        <v>940</v>
      </c>
      <c r="J1054">
        <v>2.98</v>
      </c>
      <c r="K1054">
        <v>32510</v>
      </c>
      <c r="L1054">
        <v>940</v>
      </c>
      <c r="M1054">
        <v>2.98</v>
      </c>
      <c r="N1054">
        <v>32510</v>
      </c>
      <c r="O1054">
        <v>32510</v>
      </c>
      <c r="P1054">
        <v>2269</v>
      </c>
      <c r="Q1054">
        <v>14.33</v>
      </c>
      <c r="R1054">
        <v>149</v>
      </c>
      <c r="S1054">
        <v>3155210</v>
      </c>
      <c r="T1054">
        <v>32510</v>
      </c>
      <c r="U1054">
        <v>0</v>
      </c>
      <c r="V1054">
        <v>0</v>
      </c>
      <c r="W1054">
        <v>0</v>
      </c>
      <c r="X1054" s="367"/>
    </row>
    <row r="1055" spans="1:24">
      <c r="A1055" t="s">
        <v>8793</v>
      </c>
      <c r="B1055" t="s">
        <v>1742</v>
      </c>
      <c r="C1055">
        <v>4</v>
      </c>
      <c r="D1055">
        <v>1006</v>
      </c>
      <c r="E1055">
        <v>2431502</v>
      </c>
      <c r="F1055">
        <v>2348</v>
      </c>
      <c r="G1055">
        <v>2417</v>
      </c>
      <c r="H1055">
        <v>2417</v>
      </c>
      <c r="I1055">
        <v>69</v>
      </c>
      <c r="J1055">
        <v>2.94</v>
      </c>
      <c r="K1055">
        <v>2417</v>
      </c>
      <c r="L1055">
        <v>69</v>
      </c>
      <c r="M1055">
        <v>2.94</v>
      </c>
      <c r="N1055">
        <v>2417</v>
      </c>
      <c r="O1055">
        <v>2417</v>
      </c>
      <c r="P1055">
        <v>469</v>
      </c>
      <c r="Q1055">
        <v>5.15</v>
      </c>
      <c r="R1055">
        <v>1</v>
      </c>
      <c r="S1055">
        <v>8994</v>
      </c>
      <c r="T1055">
        <v>2417</v>
      </c>
      <c r="U1055">
        <v>0</v>
      </c>
      <c r="V1055">
        <v>0</v>
      </c>
      <c r="W1055">
        <v>0</v>
      </c>
      <c r="X1055" s="367"/>
    </row>
    <row r="1056" spans="1:24">
      <c r="A1056" t="s">
        <v>5281</v>
      </c>
      <c r="B1056" t="s">
        <v>8607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1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 t="s">
        <v>192</v>
      </c>
      <c r="Q1056" t="s">
        <v>192</v>
      </c>
      <c r="R1056">
        <v>1</v>
      </c>
      <c r="S1056">
        <v>100</v>
      </c>
      <c r="T1056">
        <v>1</v>
      </c>
      <c r="U1056">
        <v>0</v>
      </c>
      <c r="V1056">
        <v>0</v>
      </c>
      <c r="W1056">
        <v>0</v>
      </c>
      <c r="X1056" s="367"/>
    </row>
    <row r="1057" spans="1:24">
      <c r="A1057" t="s">
        <v>5282</v>
      </c>
      <c r="B1057" t="s">
        <v>5283</v>
      </c>
      <c r="C1057">
        <v>7</v>
      </c>
      <c r="D1057">
        <v>14</v>
      </c>
      <c r="E1057">
        <v>223900000</v>
      </c>
      <c r="F1057">
        <v>14000</v>
      </c>
      <c r="G1057">
        <v>15990</v>
      </c>
      <c r="H1057">
        <v>15995</v>
      </c>
      <c r="I1057">
        <v>1995</v>
      </c>
      <c r="J1057">
        <v>14.25</v>
      </c>
      <c r="K1057">
        <v>15993</v>
      </c>
      <c r="L1057">
        <v>1993</v>
      </c>
      <c r="M1057">
        <v>14.24</v>
      </c>
      <c r="N1057">
        <v>15990</v>
      </c>
      <c r="O1057">
        <v>15995</v>
      </c>
      <c r="P1057" t="s">
        <v>192</v>
      </c>
      <c r="Q1057" t="s">
        <v>192</v>
      </c>
      <c r="R1057">
        <v>1</v>
      </c>
      <c r="S1057">
        <v>5</v>
      </c>
      <c r="T1057">
        <v>13129</v>
      </c>
      <c r="U1057">
        <v>15985</v>
      </c>
      <c r="V1057">
        <v>10</v>
      </c>
      <c r="W1057">
        <v>1</v>
      </c>
      <c r="X1057" s="367"/>
    </row>
    <row r="1058" spans="1:24">
      <c r="A1058" t="s">
        <v>2605</v>
      </c>
      <c r="B1058" t="s">
        <v>2604</v>
      </c>
      <c r="C1058">
        <v>6</v>
      </c>
      <c r="D1058">
        <v>3494</v>
      </c>
      <c r="E1058">
        <v>352300020</v>
      </c>
      <c r="F1058">
        <v>99840</v>
      </c>
      <c r="G1058">
        <v>100830</v>
      </c>
      <c r="H1058">
        <v>100830</v>
      </c>
      <c r="I1058">
        <v>990</v>
      </c>
      <c r="J1058">
        <v>0.99</v>
      </c>
      <c r="K1058">
        <v>100830</v>
      </c>
      <c r="L1058">
        <v>990</v>
      </c>
      <c r="M1058">
        <v>0.99</v>
      </c>
      <c r="N1058">
        <v>100830</v>
      </c>
      <c r="O1058">
        <v>100830</v>
      </c>
      <c r="P1058">
        <v>17284</v>
      </c>
      <c r="Q1058">
        <v>5.83</v>
      </c>
      <c r="R1058">
        <v>7</v>
      </c>
      <c r="S1058">
        <v>17864</v>
      </c>
      <c r="T1058">
        <v>100830</v>
      </c>
      <c r="U1058">
        <v>0</v>
      </c>
      <c r="V1058">
        <v>0</v>
      </c>
      <c r="W1058">
        <v>0</v>
      </c>
      <c r="X1058" s="367"/>
    </row>
    <row r="1059" spans="1:24">
      <c r="A1059" t="s">
        <v>3016</v>
      </c>
      <c r="B1059" t="s">
        <v>3015</v>
      </c>
      <c r="C1059">
        <v>615</v>
      </c>
      <c r="D1059">
        <v>34838137</v>
      </c>
      <c r="E1059">
        <v>110819373640</v>
      </c>
      <c r="F1059">
        <v>3110</v>
      </c>
      <c r="G1059">
        <v>3190</v>
      </c>
      <c r="H1059">
        <v>3200</v>
      </c>
      <c r="I1059">
        <v>90</v>
      </c>
      <c r="J1059">
        <v>2.89</v>
      </c>
      <c r="K1059">
        <v>3180</v>
      </c>
      <c r="L1059">
        <v>70</v>
      </c>
      <c r="M1059">
        <v>2.25</v>
      </c>
      <c r="N1059">
        <v>3120</v>
      </c>
      <c r="O1059">
        <v>3200</v>
      </c>
      <c r="P1059">
        <v>437</v>
      </c>
      <c r="Q1059">
        <v>7.28</v>
      </c>
      <c r="R1059">
        <v>2</v>
      </c>
      <c r="S1059">
        <v>11700</v>
      </c>
      <c r="T1059">
        <v>3200</v>
      </c>
      <c r="U1059">
        <v>0</v>
      </c>
      <c r="V1059">
        <v>0</v>
      </c>
      <c r="W1059">
        <v>0</v>
      </c>
      <c r="X1059" s="367"/>
    </row>
    <row r="1060" spans="1:24">
      <c r="A1060" t="s">
        <v>5284</v>
      </c>
      <c r="B1060" t="s">
        <v>5285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1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 t="s">
        <v>192</v>
      </c>
      <c r="Q1060" t="s">
        <v>192</v>
      </c>
      <c r="R1060">
        <v>1</v>
      </c>
      <c r="S1060">
        <v>5</v>
      </c>
      <c r="T1060">
        <v>1000</v>
      </c>
      <c r="U1060">
        <v>0</v>
      </c>
      <c r="V1060">
        <v>0</v>
      </c>
      <c r="W1060">
        <v>0</v>
      </c>
      <c r="X1060" s="367"/>
    </row>
    <row r="1061" spans="1:24">
      <c r="A1061" t="s">
        <v>5286</v>
      </c>
      <c r="B1061" t="s">
        <v>5287</v>
      </c>
      <c r="C1061">
        <v>2</v>
      </c>
      <c r="D1061">
        <v>192</v>
      </c>
      <c r="E1061">
        <v>512767244</v>
      </c>
      <c r="F1061">
        <v>2616784</v>
      </c>
      <c r="G1061">
        <v>2695000</v>
      </c>
      <c r="H1061">
        <v>2670012</v>
      </c>
      <c r="I1061">
        <v>53228</v>
      </c>
      <c r="J1061">
        <v>2.0299999999999998</v>
      </c>
      <c r="K1061">
        <v>2670663</v>
      </c>
      <c r="L1061">
        <v>53879</v>
      </c>
      <c r="M1061">
        <v>2.06</v>
      </c>
      <c r="N1061">
        <v>2670012</v>
      </c>
      <c r="O1061">
        <v>2695000</v>
      </c>
      <c r="P1061" t="s">
        <v>192</v>
      </c>
      <c r="Q1061" t="s">
        <v>192</v>
      </c>
      <c r="R1061">
        <v>1</v>
      </c>
      <c r="S1061">
        <v>897</v>
      </c>
      <c r="T1061">
        <v>2570010</v>
      </c>
      <c r="U1061">
        <v>2670012</v>
      </c>
      <c r="V1061">
        <v>956</v>
      </c>
      <c r="W1061">
        <v>2</v>
      </c>
      <c r="X1061" s="367"/>
    </row>
    <row r="1062" spans="1:24">
      <c r="A1062" t="s">
        <v>5288</v>
      </c>
      <c r="B1062" t="s">
        <v>5289</v>
      </c>
      <c r="C1062">
        <v>13</v>
      </c>
      <c r="D1062">
        <v>959</v>
      </c>
      <c r="E1062">
        <v>335764000</v>
      </c>
      <c r="F1062">
        <v>330</v>
      </c>
      <c r="G1062">
        <v>351</v>
      </c>
      <c r="H1062">
        <v>350</v>
      </c>
      <c r="I1062">
        <v>20</v>
      </c>
      <c r="J1062">
        <v>6.06</v>
      </c>
      <c r="K1062">
        <v>350</v>
      </c>
      <c r="L1062">
        <v>20</v>
      </c>
      <c r="M1062">
        <v>6.06</v>
      </c>
      <c r="N1062">
        <v>350</v>
      </c>
      <c r="O1062">
        <v>370</v>
      </c>
      <c r="P1062" t="s">
        <v>192</v>
      </c>
      <c r="Q1062" t="s">
        <v>192</v>
      </c>
      <c r="R1062">
        <v>1</v>
      </c>
      <c r="S1062">
        <v>8</v>
      </c>
      <c r="T1062">
        <v>285</v>
      </c>
      <c r="U1062">
        <v>399</v>
      </c>
      <c r="V1062">
        <v>995</v>
      </c>
      <c r="W1062">
        <v>1</v>
      </c>
      <c r="X1062" s="367"/>
    </row>
    <row r="1063" spans="1:24">
      <c r="A1063" t="s">
        <v>5290</v>
      </c>
      <c r="B1063" t="s">
        <v>5291</v>
      </c>
      <c r="C1063">
        <v>0</v>
      </c>
      <c r="D1063">
        <v>0</v>
      </c>
      <c r="E1063">
        <v>0</v>
      </c>
      <c r="F1063">
        <v>1000000</v>
      </c>
      <c r="G1063">
        <v>0</v>
      </c>
      <c r="H1063">
        <v>1000000</v>
      </c>
      <c r="I1063">
        <v>0</v>
      </c>
      <c r="J1063">
        <v>0</v>
      </c>
      <c r="K1063">
        <v>1000000</v>
      </c>
      <c r="L1063">
        <v>0</v>
      </c>
      <c r="M1063">
        <v>0</v>
      </c>
      <c r="N1063">
        <v>0</v>
      </c>
      <c r="O1063">
        <v>0</v>
      </c>
      <c r="P1063" t="s">
        <v>192</v>
      </c>
      <c r="Q1063" t="s">
        <v>192</v>
      </c>
      <c r="R1063">
        <v>1</v>
      </c>
      <c r="S1063">
        <v>2000</v>
      </c>
      <c r="T1063">
        <v>999000</v>
      </c>
      <c r="U1063">
        <v>1001000</v>
      </c>
      <c r="V1063">
        <v>2000</v>
      </c>
      <c r="W1063">
        <v>1</v>
      </c>
      <c r="X1063" s="367"/>
    </row>
    <row r="1064" spans="1:24">
      <c r="A1064" t="s">
        <v>8066</v>
      </c>
      <c r="B1064" t="s">
        <v>8067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 t="s">
        <v>192</v>
      </c>
      <c r="Q1064" t="s">
        <v>192</v>
      </c>
      <c r="R1064">
        <v>1</v>
      </c>
      <c r="S1064">
        <v>111</v>
      </c>
      <c r="T1064">
        <v>11</v>
      </c>
      <c r="U1064">
        <v>0</v>
      </c>
      <c r="V1064">
        <v>0</v>
      </c>
      <c r="W1064">
        <v>0</v>
      </c>
      <c r="X1064" s="367"/>
    </row>
    <row r="1065" spans="1:24">
      <c r="A1065" t="s">
        <v>5292</v>
      </c>
      <c r="B1065" t="s">
        <v>5293</v>
      </c>
      <c r="C1065">
        <v>74</v>
      </c>
      <c r="D1065">
        <v>5061656</v>
      </c>
      <c r="E1065">
        <v>71905885136</v>
      </c>
      <c r="F1065">
        <v>13793</v>
      </c>
      <c r="G1065">
        <v>14206</v>
      </c>
      <c r="H1065">
        <v>14206</v>
      </c>
      <c r="I1065">
        <v>413</v>
      </c>
      <c r="J1065">
        <v>2.99</v>
      </c>
      <c r="K1065">
        <v>14206</v>
      </c>
      <c r="L1065">
        <v>413</v>
      </c>
      <c r="M1065">
        <v>2.99</v>
      </c>
      <c r="N1065">
        <v>14206</v>
      </c>
      <c r="O1065">
        <v>14206</v>
      </c>
      <c r="P1065" t="s">
        <v>192</v>
      </c>
      <c r="Q1065" t="s">
        <v>192</v>
      </c>
      <c r="R1065">
        <v>13</v>
      </c>
      <c r="S1065">
        <v>6144912</v>
      </c>
      <c r="T1065">
        <v>14206</v>
      </c>
      <c r="U1065">
        <v>14300</v>
      </c>
      <c r="V1065">
        <v>2993</v>
      </c>
      <c r="W1065">
        <v>1</v>
      </c>
      <c r="X1065" s="367"/>
    </row>
    <row r="1066" spans="1:24">
      <c r="A1066" t="s">
        <v>8464</v>
      </c>
      <c r="B1066" t="s">
        <v>8465</v>
      </c>
      <c r="C1066">
        <v>2</v>
      </c>
      <c r="D1066">
        <v>12</v>
      </c>
      <c r="E1066">
        <v>39600000</v>
      </c>
      <c r="F1066">
        <v>3100</v>
      </c>
      <c r="G1066">
        <v>3300</v>
      </c>
      <c r="H1066">
        <v>3300</v>
      </c>
      <c r="I1066">
        <v>200</v>
      </c>
      <c r="J1066">
        <v>6.45</v>
      </c>
      <c r="K1066">
        <v>3300</v>
      </c>
      <c r="L1066">
        <v>200</v>
      </c>
      <c r="M1066">
        <v>6.45</v>
      </c>
      <c r="N1066">
        <v>3300</v>
      </c>
      <c r="O1066">
        <v>3300</v>
      </c>
      <c r="P1066" t="s">
        <v>192</v>
      </c>
      <c r="Q1066" t="s">
        <v>192</v>
      </c>
      <c r="R1066">
        <v>1</v>
      </c>
      <c r="S1066">
        <v>600</v>
      </c>
      <c r="T1066">
        <v>2465</v>
      </c>
      <c r="U1066">
        <v>3300</v>
      </c>
      <c r="V1066">
        <v>14</v>
      </c>
      <c r="W1066">
        <v>1</v>
      </c>
      <c r="X1066" s="367"/>
    </row>
    <row r="1067" spans="1:24">
      <c r="A1067" t="s">
        <v>2982</v>
      </c>
      <c r="B1067" t="s">
        <v>2981</v>
      </c>
      <c r="C1067">
        <v>512</v>
      </c>
      <c r="D1067">
        <v>53794956</v>
      </c>
      <c r="E1067">
        <v>67077771881</v>
      </c>
      <c r="F1067">
        <v>1214</v>
      </c>
      <c r="G1067">
        <v>1250</v>
      </c>
      <c r="H1067">
        <v>1250</v>
      </c>
      <c r="I1067">
        <v>36</v>
      </c>
      <c r="J1067">
        <v>2.97</v>
      </c>
      <c r="K1067">
        <v>1247</v>
      </c>
      <c r="L1067">
        <v>33</v>
      </c>
      <c r="M1067">
        <v>2.72</v>
      </c>
      <c r="N1067">
        <v>1180</v>
      </c>
      <c r="O1067">
        <v>1250</v>
      </c>
      <c r="P1067">
        <v>199</v>
      </c>
      <c r="Q1067">
        <v>6.27</v>
      </c>
      <c r="R1067">
        <v>50</v>
      </c>
      <c r="S1067">
        <v>50000000</v>
      </c>
      <c r="T1067">
        <v>1250</v>
      </c>
      <c r="U1067">
        <v>1260</v>
      </c>
      <c r="V1067">
        <v>240000</v>
      </c>
      <c r="W1067">
        <v>2</v>
      </c>
      <c r="X1067" s="367"/>
    </row>
    <row r="1068" spans="1:24">
      <c r="A1068" t="s">
        <v>5294</v>
      </c>
      <c r="B1068" t="s">
        <v>5295</v>
      </c>
      <c r="C1068">
        <v>0</v>
      </c>
      <c r="D1068">
        <v>0</v>
      </c>
      <c r="E1068">
        <v>0</v>
      </c>
      <c r="F1068">
        <v>857376</v>
      </c>
      <c r="G1068">
        <v>0</v>
      </c>
      <c r="H1068">
        <v>857376</v>
      </c>
      <c r="I1068">
        <v>0</v>
      </c>
      <c r="J1068">
        <v>0</v>
      </c>
      <c r="K1068">
        <v>857376</v>
      </c>
      <c r="L1068">
        <v>0</v>
      </c>
      <c r="M1068">
        <v>0</v>
      </c>
      <c r="N1068">
        <v>0</v>
      </c>
      <c r="O1068">
        <v>0</v>
      </c>
      <c r="P1068" t="s">
        <v>192</v>
      </c>
      <c r="Q1068" t="s">
        <v>192</v>
      </c>
      <c r="R1068">
        <v>1</v>
      </c>
      <c r="S1068">
        <v>2700</v>
      </c>
      <c r="T1068">
        <v>857375</v>
      </c>
      <c r="U1068">
        <v>0</v>
      </c>
      <c r="V1068">
        <v>0</v>
      </c>
      <c r="W1068">
        <v>0</v>
      </c>
      <c r="X1068" s="367"/>
    </row>
    <row r="1069" spans="1:24">
      <c r="A1069" t="s">
        <v>5296</v>
      </c>
      <c r="B1069" t="s">
        <v>5297</v>
      </c>
      <c r="C1069">
        <v>190</v>
      </c>
      <c r="D1069">
        <v>1237092</v>
      </c>
      <c r="E1069">
        <v>14076238163</v>
      </c>
      <c r="F1069">
        <v>11411</v>
      </c>
      <c r="G1069">
        <v>11413</v>
      </c>
      <c r="H1069">
        <v>11345</v>
      </c>
      <c r="I1069">
        <v>-66</v>
      </c>
      <c r="J1069">
        <v>-0.57999999999999996</v>
      </c>
      <c r="K1069">
        <v>11378</v>
      </c>
      <c r="L1069">
        <v>-33</v>
      </c>
      <c r="M1069">
        <v>-0.28999999999999998</v>
      </c>
      <c r="N1069">
        <v>11306</v>
      </c>
      <c r="O1069">
        <v>11531</v>
      </c>
      <c r="P1069" t="s">
        <v>192</v>
      </c>
      <c r="Q1069" t="s">
        <v>192</v>
      </c>
      <c r="R1069">
        <v>1</v>
      </c>
      <c r="S1069">
        <v>3000</v>
      </c>
      <c r="T1069">
        <v>11341</v>
      </c>
      <c r="U1069">
        <v>11348</v>
      </c>
      <c r="V1069">
        <v>30639</v>
      </c>
      <c r="W1069">
        <v>2</v>
      </c>
      <c r="X1069" s="367"/>
    </row>
    <row r="1070" spans="1:24">
      <c r="A1070" t="s">
        <v>2612</v>
      </c>
      <c r="B1070" t="s">
        <v>2611</v>
      </c>
      <c r="C1070">
        <v>346</v>
      </c>
      <c r="D1070">
        <v>6417611</v>
      </c>
      <c r="E1070">
        <v>64027025520</v>
      </c>
      <c r="F1070">
        <v>9800</v>
      </c>
      <c r="G1070">
        <v>9810</v>
      </c>
      <c r="H1070">
        <v>10000</v>
      </c>
      <c r="I1070">
        <v>200</v>
      </c>
      <c r="J1070">
        <v>2.04</v>
      </c>
      <c r="K1070">
        <v>9980</v>
      </c>
      <c r="L1070">
        <v>180</v>
      </c>
      <c r="M1070">
        <v>1.84</v>
      </c>
      <c r="N1070">
        <v>9780</v>
      </c>
      <c r="O1070">
        <v>10070</v>
      </c>
      <c r="P1070">
        <v>924</v>
      </c>
      <c r="Q1070">
        <v>10.8</v>
      </c>
      <c r="R1070">
        <v>1</v>
      </c>
      <c r="S1070">
        <v>10000</v>
      </c>
      <c r="T1070">
        <v>9760</v>
      </c>
      <c r="U1070">
        <v>10000</v>
      </c>
      <c r="V1070">
        <v>11732</v>
      </c>
      <c r="W1070">
        <v>1</v>
      </c>
      <c r="X1070" s="367"/>
    </row>
    <row r="1071" spans="1:24">
      <c r="A1071" t="s">
        <v>5298</v>
      </c>
      <c r="B1071" t="s">
        <v>8586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1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 t="s">
        <v>192</v>
      </c>
      <c r="Q1071" t="s">
        <v>192</v>
      </c>
      <c r="R1071">
        <v>1</v>
      </c>
      <c r="S1071">
        <v>44</v>
      </c>
      <c r="T1071">
        <v>44</v>
      </c>
      <c r="U1071">
        <v>0</v>
      </c>
      <c r="V1071">
        <v>0</v>
      </c>
      <c r="W1071">
        <v>0</v>
      </c>
      <c r="X1071" s="367"/>
    </row>
    <row r="1072" spans="1:24">
      <c r="A1072" t="s">
        <v>8698</v>
      </c>
      <c r="B1072" t="s">
        <v>2796</v>
      </c>
      <c r="C1072">
        <v>1</v>
      </c>
      <c r="D1072">
        <v>26500000</v>
      </c>
      <c r="E1072">
        <v>150520000000</v>
      </c>
      <c r="F1072">
        <v>5520</v>
      </c>
      <c r="G1072">
        <v>5680</v>
      </c>
      <c r="H1072">
        <v>5680</v>
      </c>
      <c r="I1072">
        <v>160</v>
      </c>
      <c r="J1072">
        <v>2.9</v>
      </c>
      <c r="K1072">
        <v>5680</v>
      </c>
      <c r="L1072">
        <v>160</v>
      </c>
      <c r="M1072">
        <v>2.9</v>
      </c>
      <c r="N1072">
        <v>5680</v>
      </c>
      <c r="O1072">
        <v>5680</v>
      </c>
      <c r="P1072">
        <v>725</v>
      </c>
      <c r="Q1072">
        <v>7.83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 s="367"/>
    </row>
    <row r="1073" spans="1:24">
      <c r="A1073" t="s">
        <v>2931</v>
      </c>
      <c r="B1073" t="s">
        <v>2930</v>
      </c>
      <c r="C1073">
        <v>176</v>
      </c>
      <c r="D1073">
        <v>8489318</v>
      </c>
      <c r="E1073">
        <v>44141641600</v>
      </c>
      <c r="F1073">
        <v>5050</v>
      </c>
      <c r="G1073">
        <v>5190</v>
      </c>
      <c r="H1073">
        <v>5200</v>
      </c>
      <c r="I1073">
        <v>150</v>
      </c>
      <c r="J1073">
        <v>2.97</v>
      </c>
      <c r="K1073">
        <v>5200</v>
      </c>
      <c r="L1073">
        <v>150</v>
      </c>
      <c r="M1073">
        <v>2.97</v>
      </c>
      <c r="N1073">
        <v>5190</v>
      </c>
      <c r="O1073">
        <v>5200</v>
      </c>
      <c r="P1073">
        <v>748</v>
      </c>
      <c r="Q1073">
        <v>6.95</v>
      </c>
      <c r="R1073">
        <v>55</v>
      </c>
      <c r="S1073">
        <v>7493862</v>
      </c>
      <c r="T1073">
        <v>5200</v>
      </c>
      <c r="U1073">
        <v>5360</v>
      </c>
      <c r="V1073">
        <v>300000</v>
      </c>
      <c r="W1073">
        <v>1</v>
      </c>
      <c r="X1073" s="367"/>
    </row>
    <row r="1074" spans="1:24">
      <c r="A1074" t="s">
        <v>8794</v>
      </c>
      <c r="B1074" t="s">
        <v>2921</v>
      </c>
      <c r="C1074">
        <v>1</v>
      </c>
      <c r="D1074">
        <v>33966</v>
      </c>
      <c r="E1074">
        <v>79582338</v>
      </c>
      <c r="F1074">
        <v>2279</v>
      </c>
      <c r="G1074">
        <v>2343</v>
      </c>
      <c r="H1074">
        <v>2343</v>
      </c>
      <c r="I1074">
        <v>64</v>
      </c>
      <c r="J1074">
        <v>2.81</v>
      </c>
      <c r="K1074">
        <v>2343</v>
      </c>
      <c r="L1074">
        <v>64</v>
      </c>
      <c r="M1074">
        <v>2.81</v>
      </c>
      <c r="N1074">
        <v>2343</v>
      </c>
      <c r="O1074">
        <v>2343</v>
      </c>
      <c r="P1074">
        <v>370</v>
      </c>
      <c r="Q1074">
        <v>6.33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 s="367"/>
    </row>
    <row r="1075" spans="1:24">
      <c r="A1075" t="s">
        <v>5299</v>
      </c>
      <c r="B1075" t="s">
        <v>5300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 t="s">
        <v>192</v>
      </c>
      <c r="Q1075" t="s">
        <v>192</v>
      </c>
      <c r="R1075">
        <v>1</v>
      </c>
      <c r="S1075">
        <v>1</v>
      </c>
      <c r="T1075">
        <v>8700</v>
      </c>
      <c r="U1075">
        <v>0</v>
      </c>
      <c r="V1075">
        <v>0</v>
      </c>
      <c r="W1075">
        <v>0</v>
      </c>
      <c r="X1075" s="367"/>
    </row>
    <row r="1076" spans="1:24">
      <c r="A1076" t="s">
        <v>5301</v>
      </c>
      <c r="B1076" t="s">
        <v>5302</v>
      </c>
      <c r="C1076">
        <v>0</v>
      </c>
      <c r="D1076">
        <v>0</v>
      </c>
      <c r="E1076">
        <v>0</v>
      </c>
      <c r="F1076">
        <v>1000000</v>
      </c>
      <c r="G1076">
        <v>0</v>
      </c>
      <c r="H1076">
        <v>1000000</v>
      </c>
      <c r="I1076">
        <v>0</v>
      </c>
      <c r="J1076">
        <v>0</v>
      </c>
      <c r="K1076">
        <v>1000000</v>
      </c>
      <c r="L1076">
        <v>0</v>
      </c>
      <c r="M1076">
        <v>0</v>
      </c>
      <c r="N1076">
        <v>0</v>
      </c>
      <c r="O1076">
        <v>0</v>
      </c>
      <c r="P1076" t="s">
        <v>192</v>
      </c>
      <c r="Q1076" t="s">
        <v>192</v>
      </c>
      <c r="R1076">
        <v>1</v>
      </c>
      <c r="S1076">
        <v>40000</v>
      </c>
      <c r="T1076">
        <v>995000</v>
      </c>
      <c r="U1076">
        <v>1004950</v>
      </c>
      <c r="V1076">
        <v>20000</v>
      </c>
      <c r="W1076">
        <v>1</v>
      </c>
      <c r="X1076" s="367"/>
    </row>
    <row r="1077" spans="1:24">
      <c r="A1077" t="s">
        <v>7988</v>
      </c>
      <c r="B1077" t="s">
        <v>7989</v>
      </c>
      <c r="C1077">
        <v>20</v>
      </c>
      <c r="D1077">
        <v>1251</v>
      </c>
      <c r="E1077">
        <v>288814000</v>
      </c>
      <c r="F1077">
        <v>216</v>
      </c>
      <c r="G1077">
        <v>230</v>
      </c>
      <c r="H1077">
        <v>230</v>
      </c>
      <c r="I1077">
        <v>14</v>
      </c>
      <c r="J1077">
        <v>6.48</v>
      </c>
      <c r="K1077">
        <v>231</v>
      </c>
      <c r="L1077">
        <v>15</v>
      </c>
      <c r="M1077">
        <v>6.94</v>
      </c>
      <c r="N1077">
        <v>230</v>
      </c>
      <c r="O1077">
        <v>231</v>
      </c>
      <c r="P1077" t="s">
        <v>192</v>
      </c>
      <c r="Q1077" t="s">
        <v>192</v>
      </c>
      <c r="R1077">
        <v>1</v>
      </c>
      <c r="S1077">
        <v>60</v>
      </c>
      <c r="T1077">
        <v>221</v>
      </c>
      <c r="U1077">
        <v>239</v>
      </c>
      <c r="V1077">
        <v>150</v>
      </c>
      <c r="W1077">
        <v>2</v>
      </c>
      <c r="X1077" s="367"/>
    </row>
    <row r="1078" spans="1:24">
      <c r="A1078" t="s">
        <v>5303</v>
      </c>
      <c r="B1078" t="s">
        <v>5304</v>
      </c>
      <c r="C1078">
        <v>0</v>
      </c>
      <c r="D1078">
        <v>0</v>
      </c>
      <c r="E1078">
        <v>0</v>
      </c>
      <c r="F1078">
        <v>1000000</v>
      </c>
      <c r="G1078">
        <v>0</v>
      </c>
      <c r="H1078">
        <v>1000000</v>
      </c>
      <c r="I1078">
        <v>0</v>
      </c>
      <c r="J1078">
        <v>0</v>
      </c>
      <c r="K1078">
        <v>1000000</v>
      </c>
      <c r="L1078">
        <v>0</v>
      </c>
      <c r="M1078">
        <v>0</v>
      </c>
      <c r="N1078">
        <v>0</v>
      </c>
      <c r="O1078">
        <v>0</v>
      </c>
      <c r="P1078" t="s">
        <v>192</v>
      </c>
      <c r="Q1078" t="s">
        <v>192</v>
      </c>
      <c r="R1078">
        <v>1</v>
      </c>
      <c r="S1078">
        <v>5000</v>
      </c>
      <c r="T1078">
        <v>995000</v>
      </c>
      <c r="U1078">
        <v>1004000</v>
      </c>
      <c r="V1078">
        <v>5000</v>
      </c>
      <c r="W1078">
        <v>1</v>
      </c>
      <c r="X1078" s="367"/>
    </row>
    <row r="1079" spans="1:24">
      <c r="A1079" t="s">
        <v>5305</v>
      </c>
      <c r="B1079" t="s">
        <v>5306</v>
      </c>
      <c r="C1079">
        <v>1</v>
      </c>
      <c r="D1079">
        <v>1</v>
      </c>
      <c r="E1079">
        <v>27000000</v>
      </c>
      <c r="F1079">
        <v>20154</v>
      </c>
      <c r="G1079">
        <v>27000</v>
      </c>
      <c r="H1079">
        <v>27000</v>
      </c>
      <c r="I1079">
        <v>6846</v>
      </c>
      <c r="J1079">
        <v>33.97</v>
      </c>
      <c r="K1079">
        <v>27000</v>
      </c>
      <c r="L1079">
        <v>6846</v>
      </c>
      <c r="M1079">
        <v>33.97</v>
      </c>
      <c r="N1079">
        <v>27000</v>
      </c>
      <c r="O1079">
        <v>27000</v>
      </c>
      <c r="P1079" t="s">
        <v>192</v>
      </c>
      <c r="Q1079" t="s">
        <v>192</v>
      </c>
      <c r="R1079">
        <v>1</v>
      </c>
      <c r="S1079">
        <v>1</v>
      </c>
      <c r="T1079">
        <v>21600</v>
      </c>
      <c r="U1079">
        <v>26999</v>
      </c>
      <c r="V1079">
        <v>1</v>
      </c>
      <c r="W1079">
        <v>1</v>
      </c>
      <c r="X1079" s="367"/>
    </row>
    <row r="1080" spans="1:24">
      <c r="A1080" t="s">
        <v>8375</v>
      </c>
      <c r="B1080" t="s">
        <v>8376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 t="s">
        <v>192</v>
      </c>
      <c r="Q1080" t="s">
        <v>192</v>
      </c>
      <c r="R1080">
        <v>1</v>
      </c>
      <c r="S1080">
        <v>51</v>
      </c>
      <c r="T1080">
        <v>3</v>
      </c>
      <c r="U1080">
        <v>0</v>
      </c>
      <c r="V1080">
        <v>0</v>
      </c>
      <c r="W1080">
        <v>0</v>
      </c>
      <c r="X1080" s="367"/>
    </row>
    <row r="1081" spans="1:24">
      <c r="A1081" t="s">
        <v>1930</v>
      </c>
      <c r="B1081" t="s">
        <v>1929</v>
      </c>
      <c r="C1081">
        <v>60</v>
      </c>
      <c r="D1081">
        <v>4098544</v>
      </c>
      <c r="E1081">
        <v>10361119232</v>
      </c>
      <c r="F1081">
        <v>2455</v>
      </c>
      <c r="G1081">
        <v>2528</v>
      </c>
      <c r="H1081">
        <v>2528</v>
      </c>
      <c r="I1081">
        <v>73</v>
      </c>
      <c r="J1081">
        <v>2.97</v>
      </c>
      <c r="K1081">
        <v>2528</v>
      </c>
      <c r="L1081">
        <v>73</v>
      </c>
      <c r="M1081">
        <v>2.97</v>
      </c>
      <c r="N1081">
        <v>2528</v>
      </c>
      <c r="O1081">
        <v>2528</v>
      </c>
      <c r="P1081">
        <v>663</v>
      </c>
      <c r="Q1081">
        <v>3.81</v>
      </c>
      <c r="R1081">
        <v>109</v>
      </c>
      <c r="S1081">
        <v>59792776</v>
      </c>
      <c r="T1081">
        <v>2528</v>
      </c>
      <c r="U1081">
        <v>2556</v>
      </c>
      <c r="V1081">
        <v>2000</v>
      </c>
      <c r="W1081">
        <v>1</v>
      </c>
      <c r="X1081" s="367"/>
    </row>
    <row r="1082" spans="1:24">
      <c r="A1082" t="s">
        <v>1785</v>
      </c>
      <c r="B1082" t="s">
        <v>1783</v>
      </c>
      <c r="C1082">
        <v>7</v>
      </c>
      <c r="D1082">
        <v>464</v>
      </c>
      <c r="E1082">
        <v>6718720</v>
      </c>
      <c r="F1082">
        <v>14100</v>
      </c>
      <c r="G1082">
        <v>14480</v>
      </c>
      <c r="H1082">
        <v>14480</v>
      </c>
      <c r="I1082">
        <v>380</v>
      </c>
      <c r="J1082">
        <v>2.7</v>
      </c>
      <c r="K1082">
        <v>14480</v>
      </c>
      <c r="L1082">
        <v>380</v>
      </c>
      <c r="M1082">
        <v>2.7</v>
      </c>
      <c r="N1082">
        <v>14480</v>
      </c>
      <c r="O1082">
        <v>14480</v>
      </c>
      <c r="P1082">
        <v>1652</v>
      </c>
      <c r="Q1082">
        <v>8.77</v>
      </c>
      <c r="R1082">
        <v>4</v>
      </c>
      <c r="S1082">
        <v>15950</v>
      </c>
      <c r="T1082">
        <v>14480</v>
      </c>
      <c r="U1082">
        <v>0</v>
      </c>
      <c r="V1082">
        <v>0</v>
      </c>
      <c r="W1082">
        <v>0</v>
      </c>
      <c r="X1082" s="367"/>
    </row>
    <row r="1083" spans="1:24">
      <c r="A1083" t="s">
        <v>5307</v>
      </c>
      <c r="B1083" t="s">
        <v>8539</v>
      </c>
      <c r="C1083">
        <v>77</v>
      </c>
      <c r="D1083">
        <v>36605</v>
      </c>
      <c r="E1083">
        <v>39605000</v>
      </c>
      <c r="F1083">
        <v>1</v>
      </c>
      <c r="G1083">
        <v>2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2</v>
      </c>
      <c r="P1083" t="s">
        <v>192</v>
      </c>
      <c r="Q1083" t="s">
        <v>192</v>
      </c>
      <c r="R1083">
        <v>0</v>
      </c>
      <c r="S1083">
        <v>0</v>
      </c>
      <c r="T1083">
        <v>0</v>
      </c>
      <c r="U1083">
        <v>2</v>
      </c>
      <c r="V1083">
        <v>18984</v>
      </c>
      <c r="W1083">
        <v>22</v>
      </c>
      <c r="X1083" s="367"/>
    </row>
    <row r="1084" spans="1:24">
      <c r="A1084" t="s">
        <v>5309</v>
      </c>
      <c r="B1084" t="s">
        <v>5310</v>
      </c>
      <c r="C1084">
        <v>2</v>
      </c>
      <c r="D1084">
        <v>8</v>
      </c>
      <c r="E1084">
        <v>51208000</v>
      </c>
      <c r="F1084">
        <v>5800</v>
      </c>
      <c r="G1084">
        <v>6401</v>
      </c>
      <c r="H1084">
        <v>6401</v>
      </c>
      <c r="I1084">
        <v>601</v>
      </c>
      <c r="J1084">
        <v>10.36</v>
      </c>
      <c r="K1084">
        <v>6401</v>
      </c>
      <c r="L1084">
        <v>601</v>
      </c>
      <c r="M1084">
        <v>10.36</v>
      </c>
      <c r="N1084">
        <v>6401</v>
      </c>
      <c r="O1084">
        <v>6401</v>
      </c>
      <c r="P1084" t="s">
        <v>192</v>
      </c>
      <c r="Q1084" t="s">
        <v>192</v>
      </c>
      <c r="R1084">
        <v>1</v>
      </c>
      <c r="S1084">
        <v>40</v>
      </c>
      <c r="T1084">
        <v>500</v>
      </c>
      <c r="U1084">
        <v>6401</v>
      </c>
      <c r="V1084">
        <v>42</v>
      </c>
      <c r="W1084">
        <v>1</v>
      </c>
      <c r="X1084" s="367"/>
    </row>
    <row r="1085" spans="1:24">
      <c r="A1085" t="s">
        <v>5311</v>
      </c>
      <c r="B1085" t="s">
        <v>5312</v>
      </c>
      <c r="C1085">
        <v>1695</v>
      </c>
      <c r="D1085">
        <v>94769784</v>
      </c>
      <c r="E1085">
        <v>960401012550</v>
      </c>
      <c r="F1085">
        <v>10121</v>
      </c>
      <c r="G1085">
        <v>10132</v>
      </c>
      <c r="H1085">
        <v>10140</v>
      </c>
      <c r="I1085">
        <v>19</v>
      </c>
      <c r="J1085">
        <v>0.19</v>
      </c>
      <c r="K1085">
        <v>10134</v>
      </c>
      <c r="L1085">
        <v>13</v>
      </c>
      <c r="M1085">
        <v>0.13</v>
      </c>
      <c r="N1085">
        <v>10131</v>
      </c>
      <c r="O1085">
        <v>10143</v>
      </c>
      <c r="P1085" t="s">
        <v>192</v>
      </c>
      <c r="Q1085" t="s">
        <v>192</v>
      </c>
      <c r="R1085">
        <v>1</v>
      </c>
      <c r="S1085">
        <v>350000</v>
      </c>
      <c r="T1085">
        <v>10141</v>
      </c>
      <c r="U1085">
        <v>10142</v>
      </c>
      <c r="V1085">
        <v>605848</v>
      </c>
      <c r="W1085">
        <v>5</v>
      </c>
      <c r="X1085" s="367"/>
    </row>
    <row r="1086" spans="1:24">
      <c r="A1086" t="s">
        <v>1679</v>
      </c>
      <c r="B1086" t="s">
        <v>1678</v>
      </c>
      <c r="C1086">
        <v>306</v>
      </c>
      <c r="D1086">
        <v>7453125</v>
      </c>
      <c r="E1086">
        <v>218152968750</v>
      </c>
      <c r="F1086">
        <v>28420</v>
      </c>
      <c r="G1086">
        <v>29270</v>
      </c>
      <c r="H1086">
        <v>29270</v>
      </c>
      <c r="I1086">
        <v>850</v>
      </c>
      <c r="J1086">
        <v>2.99</v>
      </c>
      <c r="K1086">
        <v>29270</v>
      </c>
      <c r="L1086">
        <v>850</v>
      </c>
      <c r="M1086">
        <v>2.99</v>
      </c>
      <c r="N1086">
        <v>29270</v>
      </c>
      <c r="O1086">
        <v>29270</v>
      </c>
      <c r="P1086">
        <v>3799</v>
      </c>
      <c r="Q1086">
        <v>7.7</v>
      </c>
      <c r="R1086">
        <v>204</v>
      </c>
      <c r="S1086">
        <v>8791335</v>
      </c>
      <c r="T1086">
        <v>29270</v>
      </c>
      <c r="U1086">
        <v>30080</v>
      </c>
      <c r="V1086">
        <v>20000</v>
      </c>
      <c r="W1086">
        <v>1</v>
      </c>
      <c r="X1086" s="367"/>
    </row>
    <row r="1087" spans="1:24">
      <c r="A1087" t="s">
        <v>5315</v>
      </c>
      <c r="B1087" t="s">
        <v>5316</v>
      </c>
      <c r="C1087">
        <v>0</v>
      </c>
      <c r="D1087">
        <v>0</v>
      </c>
      <c r="E1087">
        <v>0</v>
      </c>
      <c r="F1087">
        <v>871000</v>
      </c>
      <c r="G1087">
        <v>0</v>
      </c>
      <c r="H1087">
        <v>871000</v>
      </c>
      <c r="I1087">
        <v>0</v>
      </c>
      <c r="J1087">
        <v>0</v>
      </c>
      <c r="K1087">
        <v>871000</v>
      </c>
      <c r="L1087">
        <v>0</v>
      </c>
      <c r="M1087">
        <v>0</v>
      </c>
      <c r="N1087">
        <v>0</v>
      </c>
      <c r="O1087">
        <v>0</v>
      </c>
      <c r="P1087" t="s">
        <v>192</v>
      </c>
      <c r="Q1087" t="s">
        <v>192</v>
      </c>
      <c r="R1087">
        <v>1</v>
      </c>
      <c r="S1087">
        <v>5000</v>
      </c>
      <c r="T1087">
        <v>863000</v>
      </c>
      <c r="U1087">
        <v>0</v>
      </c>
      <c r="V1087">
        <v>0</v>
      </c>
      <c r="W1087">
        <v>0</v>
      </c>
      <c r="X1087" s="367"/>
    </row>
    <row r="1088" spans="1:24">
      <c r="A1088" t="s">
        <v>5317</v>
      </c>
      <c r="B1088" t="s">
        <v>5318</v>
      </c>
      <c r="C1088">
        <v>0</v>
      </c>
      <c r="D1088">
        <v>0</v>
      </c>
      <c r="E1088">
        <v>0</v>
      </c>
      <c r="F1088">
        <v>1000000</v>
      </c>
      <c r="G1088">
        <v>0</v>
      </c>
      <c r="H1088">
        <v>1000000</v>
      </c>
      <c r="I1088">
        <v>0</v>
      </c>
      <c r="J1088">
        <v>0</v>
      </c>
      <c r="K1088">
        <v>1000000</v>
      </c>
      <c r="L1088">
        <v>0</v>
      </c>
      <c r="M1088">
        <v>0</v>
      </c>
      <c r="N1088">
        <v>0</v>
      </c>
      <c r="O1088">
        <v>0</v>
      </c>
      <c r="P1088" t="s">
        <v>192</v>
      </c>
      <c r="Q1088" t="s">
        <v>192</v>
      </c>
      <c r="R1088">
        <v>1</v>
      </c>
      <c r="S1088">
        <v>4375</v>
      </c>
      <c r="T1088">
        <v>970000</v>
      </c>
      <c r="U1088">
        <v>0</v>
      </c>
      <c r="V1088">
        <v>0</v>
      </c>
      <c r="W1088">
        <v>0</v>
      </c>
      <c r="X1088" s="367"/>
    </row>
    <row r="1089" spans="1:24">
      <c r="A1089" t="s">
        <v>5319</v>
      </c>
      <c r="B1089" t="s">
        <v>5320</v>
      </c>
      <c r="C1089">
        <v>0</v>
      </c>
      <c r="D1089">
        <v>0</v>
      </c>
      <c r="E1089">
        <v>0</v>
      </c>
      <c r="F1089">
        <v>2329</v>
      </c>
      <c r="G1089">
        <v>0</v>
      </c>
      <c r="H1089">
        <v>2329</v>
      </c>
      <c r="I1089">
        <v>0</v>
      </c>
      <c r="J1089">
        <v>0</v>
      </c>
      <c r="K1089">
        <v>2329</v>
      </c>
      <c r="L1089">
        <v>0</v>
      </c>
      <c r="M1089">
        <v>0</v>
      </c>
      <c r="N1089">
        <v>0</v>
      </c>
      <c r="O1089">
        <v>0</v>
      </c>
      <c r="P1089" t="s">
        <v>192</v>
      </c>
      <c r="Q1089" t="s">
        <v>192</v>
      </c>
      <c r="R1089">
        <v>1</v>
      </c>
      <c r="S1089">
        <v>500</v>
      </c>
      <c r="T1089">
        <v>2</v>
      </c>
      <c r="U1089">
        <v>0</v>
      </c>
      <c r="V1089">
        <v>0</v>
      </c>
      <c r="W1089">
        <v>0</v>
      </c>
      <c r="X1089" s="367"/>
    </row>
    <row r="1090" spans="1:24">
      <c r="A1090" t="s">
        <v>7798</v>
      </c>
      <c r="B1090" t="s">
        <v>7799</v>
      </c>
      <c r="C1090">
        <v>0</v>
      </c>
      <c r="D1090">
        <v>0</v>
      </c>
      <c r="E1090">
        <v>0</v>
      </c>
      <c r="F1090">
        <v>1000000</v>
      </c>
      <c r="G1090">
        <v>0</v>
      </c>
      <c r="H1090">
        <v>1000000</v>
      </c>
      <c r="I1090">
        <v>0</v>
      </c>
      <c r="J1090">
        <v>0</v>
      </c>
      <c r="K1090">
        <v>1000000</v>
      </c>
      <c r="L1090">
        <v>0</v>
      </c>
      <c r="M1090">
        <v>0</v>
      </c>
      <c r="N1090">
        <v>0</v>
      </c>
      <c r="O1090">
        <v>0</v>
      </c>
      <c r="P1090" t="s">
        <v>192</v>
      </c>
      <c r="Q1090" t="s">
        <v>192</v>
      </c>
      <c r="R1090">
        <v>1</v>
      </c>
      <c r="S1090">
        <v>500</v>
      </c>
      <c r="T1090">
        <v>980000</v>
      </c>
      <c r="U1090">
        <v>1000000</v>
      </c>
      <c r="V1090">
        <v>500</v>
      </c>
      <c r="W1090">
        <v>1</v>
      </c>
      <c r="X1090" s="367"/>
    </row>
    <row r="1091" spans="1:24">
      <c r="A1091" t="s">
        <v>7479</v>
      </c>
      <c r="B1091" t="s">
        <v>7480</v>
      </c>
      <c r="C1091">
        <v>0</v>
      </c>
      <c r="D1091">
        <v>0</v>
      </c>
      <c r="E1091">
        <v>0</v>
      </c>
      <c r="F1091">
        <v>131</v>
      </c>
      <c r="G1091">
        <v>0</v>
      </c>
      <c r="H1091">
        <v>131</v>
      </c>
      <c r="I1091">
        <v>0</v>
      </c>
      <c r="J1091">
        <v>0</v>
      </c>
      <c r="K1091">
        <v>131</v>
      </c>
      <c r="L1091">
        <v>0</v>
      </c>
      <c r="M1091">
        <v>0</v>
      </c>
      <c r="N1091">
        <v>0</v>
      </c>
      <c r="O1091">
        <v>0</v>
      </c>
      <c r="P1091" t="s">
        <v>192</v>
      </c>
      <c r="Q1091" t="s">
        <v>192</v>
      </c>
      <c r="R1091">
        <v>1</v>
      </c>
      <c r="S1091">
        <v>20</v>
      </c>
      <c r="T1091">
        <v>100</v>
      </c>
      <c r="U1091">
        <v>189</v>
      </c>
      <c r="V1091">
        <v>174</v>
      </c>
      <c r="W1091">
        <v>1</v>
      </c>
      <c r="X1091" s="367"/>
    </row>
    <row r="1092" spans="1:24">
      <c r="A1092" t="s">
        <v>2384</v>
      </c>
      <c r="B1092" t="s">
        <v>2383</v>
      </c>
      <c r="C1092">
        <v>141</v>
      </c>
      <c r="D1092">
        <v>21803825</v>
      </c>
      <c r="E1092">
        <v>26615190149</v>
      </c>
      <c r="F1092">
        <v>1186</v>
      </c>
      <c r="G1092">
        <v>1214</v>
      </c>
      <c r="H1092">
        <v>1221</v>
      </c>
      <c r="I1092">
        <v>35</v>
      </c>
      <c r="J1092">
        <v>2.95</v>
      </c>
      <c r="K1092">
        <v>1221</v>
      </c>
      <c r="L1092">
        <v>35</v>
      </c>
      <c r="M1092">
        <v>2.95</v>
      </c>
      <c r="N1092">
        <v>1180</v>
      </c>
      <c r="O1092">
        <v>1221</v>
      </c>
      <c r="P1092">
        <v>126</v>
      </c>
      <c r="Q1092">
        <v>9.69</v>
      </c>
      <c r="R1092">
        <v>5</v>
      </c>
      <c r="S1092">
        <v>595621</v>
      </c>
      <c r="T1092">
        <v>1221</v>
      </c>
      <c r="U1092">
        <v>1267</v>
      </c>
      <c r="V1092">
        <v>279729</v>
      </c>
      <c r="W1092">
        <v>2</v>
      </c>
      <c r="X1092" s="367"/>
    </row>
    <row r="1093" spans="1:24">
      <c r="A1093" t="s">
        <v>5323</v>
      </c>
      <c r="B1093" t="s">
        <v>5324</v>
      </c>
      <c r="C1093">
        <v>177</v>
      </c>
      <c r="D1093">
        <v>485537</v>
      </c>
      <c r="E1093">
        <v>10064564600</v>
      </c>
      <c r="F1093">
        <v>20892</v>
      </c>
      <c r="G1093">
        <v>20724</v>
      </c>
      <c r="H1093">
        <v>20723</v>
      </c>
      <c r="I1093">
        <v>-169</v>
      </c>
      <c r="J1093">
        <v>-0.81</v>
      </c>
      <c r="K1093">
        <v>20729</v>
      </c>
      <c r="L1093">
        <v>-163</v>
      </c>
      <c r="M1093">
        <v>-0.78</v>
      </c>
      <c r="N1093">
        <v>20641</v>
      </c>
      <c r="O1093">
        <v>20799</v>
      </c>
      <c r="P1093" t="s">
        <v>192</v>
      </c>
      <c r="Q1093" t="s">
        <v>192</v>
      </c>
      <c r="R1093">
        <v>1</v>
      </c>
      <c r="S1093">
        <v>4000</v>
      </c>
      <c r="T1093">
        <v>20711</v>
      </c>
      <c r="U1093">
        <v>20725</v>
      </c>
      <c r="V1093">
        <v>2273</v>
      </c>
      <c r="W1093">
        <v>1</v>
      </c>
      <c r="X1093" s="367"/>
    </row>
    <row r="1094" spans="1:24">
      <c r="A1094" t="s">
        <v>5325</v>
      </c>
      <c r="B1094" t="s">
        <v>5326</v>
      </c>
      <c r="C1094">
        <v>0</v>
      </c>
      <c r="D1094">
        <v>0</v>
      </c>
      <c r="E1094">
        <v>0</v>
      </c>
      <c r="F1094">
        <v>1000000</v>
      </c>
      <c r="G1094">
        <v>0</v>
      </c>
      <c r="H1094">
        <v>1000000</v>
      </c>
      <c r="I1094">
        <v>0</v>
      </c>
      <c r="J1094">
        <v>0</v>
      </c>
      <c r="K1094">
        <v>1000000</v>
      </c>
      <c r="L1094">
        <v>0</v>
      </c>
      <c r="M1094">
        <v>0</v>
      </c>
      <c r="N1094">
        <v>0</v>
      </c>
      <c r="O1094">
        <v>0</v>
      </c>
      <c r="P1094" t="s">
        <v>192</v>
      </c>
      <c r="Q1094" t="s">
        <v>192</v>
      </c>
      <c r="R1094">
        <v>1</v>
      </c>
      <c r="S1094">
        <v>10000</v>
      </c>
      <c r="T1094">
        <v>990000</v>
      </c>
      <c r="U1094">
        <v>1000000</v>
      </c>
      <c r="V1094">
        <v>10000</v>
      </c>
      <c r="W1094">
        <v>1</v>
      </c>
      <c r="X1094" s="367"/>
    </row>
    <row r="1095" spans="1:24">
      <c r="A1095" t="s">
        <v>5327</v>
      </c>
      <c r="B1095" t="s">
        <v>5328</v>
      </c>
      <c r="C1095">
        <v>643</v>
      </c>
      <c r="D1095">
        <v>49419</v>
      </c>
      <c r="E1095">
        <v>42820525701</v>
      </c>
      <c r="F1095">
        <v>841242</v>
      </c>
      <c r="G1095">
        <v>866479</v>
      </c>
      <c r="H1095">
        <v>866479</v>
      </c>
      <c r="I1095">
        <v>25237</v>
      </c>
      <c r="J1095">
        <v>3</v>
      </c>
      <c r="K1095">
        <v>866479</v>
      </c>
      <c r="L1095">
        <v>25237</v>
      </c>
      <c r="M1095">
        <v>3</v>
      </c>
      <c r="N1095">
        <v>866479</v>
      </c>
      <c r="O1095">
        <v>866479</v>
      </c>
      <c r="P1095" t="s">
        <v>192</v>
      </c>
      <c r="Q1095" t="s">
        <v>192</v>
      </c>
      <c r="R1095">
        <v>66</v>
      </c>
      <c r="S1095">
        <v>31784</v>
      </c>
      <c r="T1095">
        <v>866479</v>
      </c>
      <c r="U1095">
        <v>888191</v>
      </c>
      <c r="V1095">
        <v>38</v>
      </c>
      <c r="W1095">
        <v>1</v>
      </c>
      <c r="X1095" s="367"/>
    </row>
    <row r="1096" spans="1:24">
      <c r="A1096" t="s">
        <v>8747</v>
      </c>
      <c r="B1096" t="s">
        <v>8748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 t="s">
        <v>192</v>
      </c>
      <c r="Q1096" t="s">
        <v>192</v>
      </c>
      <c r="R1096">
        <v>1</v>
      </c>
      <c r="S1096">
        <v>1000</v>
      </c>
      <c r="T1096">
        <v>120</v>
      </c>
      <c r="U1096">
        <v>217</v>
      </c>
      <c r="V1096">
        <v>10</v>
      </c>
      <c r="W1096">
        <v>1</v>
      </c>
      <c r="X1096" s="367"/>
    </row>
    <row r="1097" spans="1:24">
      <c r="A1097" t="s">
        <v>1987</v>
      </c>
      <c r="B1097" t="s">
        <v>1986</v>
      </c>
      <c r="C1097">
        <v>54</v>
      </c>
      <c r="D1097">
        <v>707173</v>
      </c>
      <c r="E1097">
        <v>7135375570</v>
      </c>
      <c r="F1097">
        <v>9800</v>
      </c>
      <c r="G1097">
        <v>10090</v>
      </c>
      <c r="H1097">
        <v>10090</v>
      </c>
      <c r="I1097">
        <v>290</v>
      </c>
      <c r="J1097">
        <v>2.96</v>
      </c>
      <c r="K1097">
        <v>10090</v>
      </c>
      <c r="L1097">
        <v>290</v>
      </c>
      <c r="M1097">
        <v>2.96</v>
      </c>
      <c r="N1097">
        <v>10090</v>
      </c>
      <c r="O1097">
        <v>10090</v>
      </c>
      <c r="P1097">
        <v>415</v>
      </c>
      <c r="Q1097">
        <v>24.31</v>
      </c>
      <c r="R1097">
        <v>66</v>
      </c>
      <c r="S1097">
        <v>8832987</v>
      </c>
      <c r="T1097">
        <v>10090</v>
      </c>
      <c r="U1097">
        <v>10150</v>
      </c>
      <c r="V1097">
        <v>742</v>
      </c>
      <c r="W1097">
        <v>1</v>
      </c>
      <c r="X1097" s="367"/>
    </row>
    <row r="1098" spans="1:24">
      <c r="A1098" t="s">
        <v>5329</v>
      </c>
      <c r="B1098" t="s">
        <v>5330</v>
      </c>
      <c r="C1098">
        <v>21954</v>
      </c>
      <c r="D1098">
        <v>9640889</v>
      </c>
      <c r="E1098">
        <v>987324985000</v>
      </c>
      <c r="F1098">
        <v>52</v>
      </c>
      <c r="G1098">
        <v>106</v>
      </c>
      <c r="H1098">
        <v>108</v>
      </c>
      <c r="I1098">
        <v>56</v>
      </c>
      <c r="J1098">
        <v>107.69</v>
      </c>
      <c r="K1098">
        <v>102</v>
      </c>
      <c r="L1098">
        <v>50</v>
      </c>
      <c r="M1098">
        <v>96.15</v>
      </c>
      <c r="N1098">
        <v>95</v>
      </c>
      <c r="O1098">
        <v>111</v>
      </c>
      <c r="P1098" t="s">
        <v>192</v>
      </c>
      <c r="Q1098" t="s">
        <v>192</v>
      </c>
      <c r="R1098">
        <v>2</v>
      </c>
      <c r="S1098">
        <v>2000</v>
      </c>
      <c r="T1098">
        <v>109</v>
      </c>
      <c r="U1098">
        <v>109</v>
      </c>
      <c r="V1098">
        <v>2000</v>
      </c>
      <c r="W1098">
        <v>2</v>
      </c>
      <c r="X1098" s="367"/>
    </row>
    <row r="1099" spans="1:24">
      <c r="A1099" t="s">
        <v>5331</v>
      </c>
      <c r="B1099" t="s">
        <v>2106</v>
      </c>
      <c r="C1099">
        <v>134</v>
      </c>
      <c r="D1099">
        <v>147762860</v>
      </c>
      <c r="E1099">
        <v>77427738640</v>
      </c>
      <c r="F1099">
        <v>509</v>
      </c>
      <c r="G1099">
        <v>524</v>
      </c>
      <c r="H1099">
        <v>524</v>
      </c>
      <c r="I1099">
        <v>15</v>
      </c>
      <c r="J1099">
        <v>2.95</v>
      </c>
      <c r="K1099">
        <v>524</v>
      </c>
      <c r="L1099">
        <v>15</v>
      </c>
      <c r="M1099">
        <v>2.95</v>
      </c>
      <c r="N1099">
        <v>524</v>
      </c>
      <c r="O1099">
        <v>524</v>
      </c>
      <c r="P1099">
        <v>-154</v>
      </c>
      <c r="Q1099">
        <v>-3.4</v>
      </c>
      <c r="R1099">
        <v>158</v>
      </c>
      <c r="S1099">
        <v>84065218</v>
      </c>
      <c r="T1099">
        <v>524</v>
      </c>
      <c r="U1099">
        <v>0</v>
      </c>
      <c r="V1099">
        <v>0</v>
      </c>
      <c r="W1099">
        <v>0</v>
      </c>
      <c r="X1099" s="367"/>
    </row>
    <row r="1100" spans="1:24">
      <c r="A1100" t="s">
        <v>2177</v>
      </c>
      <c r="B1100" t="s">
        <v>2176</v>
      </c>
      <c r="C1100">
        <v>185</v>
      </c>
      <c r="D1100">
        <v>7779761</v>
      </c>
      <c r="E1100">
        <v>33764162740</v>
      </c>
      <c r="F1100">
        <v>4220</v>
      </c>
      <c r="G1100">
        <v>4340</v>
      </c>
      <c r="H1100">
        <v>4340</v>
      </c>
      <c r="I1100">
        <v>120</v>
      </c>
      <c r="J1100">
        <v>2.84</v>
      </c>
      <c r="K1100">
        <v>4340</v>
      </c>
      <c r="L1100">
        <v>120</v>
      </c>
      <c r="M1100">
        <v>2.84</v>
      </c>
      <c r="N1100">
        <v>4340</v>
      </c>
      <c r="O1100">
        <v>4340</v>
      </c>
      <c r="P1100">
        <v>475</v>
      </c>
      <c r="Q1100">
        <v>9.14</v>
      </c>
      <c r="R1100">
        <v>97</v>
      </c>
      <c r="S1100">
        <v>5595987</v>
      </c>
      <c r="T1100">
        <v>4340</v>
      </c>
      <c r="U1100">
        <v>0</v>
      </c>
      <c r="V1100">
        <v>0</v>
      </c>
      <c r="W1100">
        <v>0</v>
      </c>
      <c r="X1100" s="367"/>
    </row>
    <row r="1101" spans="1:24">
      <c r="A1101" t="s">
        <v>5332</v>
      </c>
      <c r="B1101" t="s">
        <v>5333</v>
      </c>
      <c r="C1101">
        <v>5581</v>
      </c>
      <c r="D1101">
        <v>88126795</v>
      </c>
      <c r="E1101">
        <v>1044382344146</v>
      </c>
      <c r="F1101">
        <v>11627</v>
      </c>
      <c r="G1101">
        <v>11860</v>
      </c>
      <c r="H1101">
        <v>11865</v>
      </c>
      <c r="I1101">
        <v>238</v>
      </c>
      <c r="J1101">
        <v>2.0499999999999998</v>
      </c>
      <c r="K1101">
        <v>11851</v>
      </c>
      <c r="L1101">
        <v>224</v>
      </c>
      <c r="M1101">
        <v>1.93</v>
      </c>
      <c r="N1101">
        <v>11750</v>
      </c>
      <c r="O1101">
        <v>11949</v>
      </c>
      <c r="P1101" t="s">
        <v>192</v>
      </c>
      <c r="Q1101" t="s">
        <v>192</v>
      </c>
      <c r="R1101">
        <v>2</v>
      </c>
      <c r="S1101">
        <v>86873</v>
      </c>
      <c r="T1101">
        <v>11862</v>
      </c>
      <c r="U1101">
        <v>11865</v>
      </c>
      <c r="V1101">
        <v>39995</v>
      </c>
      <c r="W1101">
        <v>2</v>
      </c>
      <c r="X1101" s="367"/>
    </row>
    <row r="1102" spans="1:24">
      <c r="A1102" t="s">
        <v>5334</v>
      </c>
      <c r="B1102" t="s">
        <v>5058</v>
      </c>
      <c r="C1102">
        <v>1</v>
      </c>
      <c r="D1102">
        <v>3500000</v>
      </c>
      <c r="E1102">
        <v>3500000</v>
      </c>
      <c r="F1102">
        <v>13426</v>
      </c>
      <c r="G1102">
        <v>1</v>
      </c>
      <c r="H1102">
        <v>1</v>
      </c>
      <c r="I1102">
        <v>-13425</v>
      </c>
      <c r="J1102">
        <v>-99.99</v>
      </c>
      <c r="K1102">
        <v>1</v>
      </c>
      <c r="L1102">
        <v>-13425</v>
      </c>
      <c r="M1102">
        <v>-99.99</v>
      </c>
      <c r="N1102">
        <v>1</v>
      </c>
      <c r="O1102">
        <v>1</v>
      </c>
      <c r="P1102" t="s">
        <v>192</v>
      </c>
      <c r="Q1102" t="s">
        <v>192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 s="367"/>
    </row>
    <row r="1103" spans="1:24">
      <c r="A1103" t="s">
        <v>5335</v>
      </c>
      <c r="B1103" t="s">
        <v>5336</v>
      </c>
      <c r="C1103">
        <v>0</v>
      </c>
      <c r="D1103">
        <v>0</v>
      </c>
      <c r="E1103">
        <v>0</v>
      </c>
      <c r="F1103">
        <v>974490</v>
      </c>
      <c r="G1103">
        <v>0</v>
      </c>
      <c r="H1103">
        <v>974490</v>
      </c>
      <c r="I1103">
        <v>0</v>
      </c>
      <c r="J1103">
        <v>0</v>
      </c>
      <c r="K1103">
        <v>974490</v>
      </c>
      <c r="L1103">
        <v>0</v>
      </c>
      <c r="M1103">
        <v>0</v>
      </c>
      <c r="N1103">
        <v>0</v>
      </c>
      <c r="O1103">
        <v>0</v>
      </c>
      <c r="P1103" t="s">
        <v>192</v>
      </c>
      <c r="Q1103" t="s">
        <v>192</v>
      </c>
      <c r="R1103">
        <v>1</v>
      </c>
      <c r="S1103">
        <v>5000</v>
      </c>
      <c r="T1103">
        <v>1000000</v>
      </c>
      <c r="U1103">
        <v>0</v>
      </c>
      <c r="V1103">
        <v>0</v>
      </c>
      <c r="W1103">
        <v>0</v>
      </c>
      <c r="X1103" s="367"/>
    </row>
    <row r="1104" spans="1:24">
      <c r="A1104" t="s">
        <v>7992</v>
      </c>
      <c r="B1104" t="s">
        <v>7993</v>
      </c>
      <c r="C1104">
        <v>8</v>
      </c>
      <c r="D1104">
        <v>34271</v>
      </c>
      <c r="E1104">
        <v>100208404</v>
      </c>
      <c r="F1104">
        <v>2896</v>
      </c>
      <c r="G1104">
        <v>2924</v>
      </c>
      <c r="H1104">
        <v>2924</v>
      </c>
      <c r="I1104">
        <v>28</v>
      </c>
      <c r="J1104">
        <v>0.97</v>
      </c>
      <c r="K1104">
        <v>2924</v>
      </c>
      <c r="L1104">
        <v>28</v>
      </c>
      <c r="M1104">
        <v>0.97</v>
      </c>
      <c r="N1104">
        <v>2924</v>
      </c>
      <c r="O1104">
        <v>2924</v>
      </c>
      <c r="P1104">
        <v>1217</v>
      </c>
      <c r="Q1104">
        <v>2.4</v>
      </c>
      <c r="R1104">
        <v>134</v>
      </c>
      <c r="S1104">
        <v>41019243</v>
      </c>
      <c r="T1104">
        <v>2924</v>
      </c>
      <c r="U1104">
        <v>0</v>
      </c>
      <c r="V1104">
        <v>0</v>
      </c>
      <c r="W1104">
        <v>0</v>
      </c>
      <c r="X1104" s="367"/>
    </row>
    <row r="1105" spans="1:24">
      <c r="A1105" t="s">
        <v>5337</v>
      </c>
      <c r="B1105" t="s">
        <v>5338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 t="s">
        <v>192</v>
      </c>
      <c r="Q1105" t="s">
        <v>192</v>
      </c>
      <c r="R1105">
        <v>1</v>
      </c>
      <c r="S1105">
        <v>100</v>
      </c>
      <c r="T1105">
        <v>1</v>
      </c>
      <c r="U1105">
        <v>0</v>
      </c>
      <c r="V1105">
        <v>0</v>
      </c>
      <c r="W1105">
        <v>0</v>
      </c>
      <c r="X1105" s="367"/>
    </row>
    <row r="1106" spans="1:24">
      <c r="A1106" t="s">
        <v>1741</v>
      </c>
      <c r="B1106" t="s">
        <v>1740</v>
      </c>
      <c r="C1106">
        <v>296</v>
      </c>
      <c r="D1106">
        <v>15579101</v>
      </c>
      <c r="E1106">
        <v>51325146020</v>
      </c>
      <c r="F1106">
        <v>3240</v>
      </c>
      <c r="G1106">
        <v>3280</v>
      </c>
      <c r="H1106">
        <v>3320</v>
      </c>
      <c r="I1106">
        <v>80</v>
      </c>
      <c r="J1106">
        <v>2.4700000000000002</v>
      </c>
      <c r="K1106">
        <v>3290</v>
      </c>
      <c r="L1106">
        <v>50</v>
      </c>
      <c r="M1106">
        <v>1.54</v>
      </c>
      <c r="N1106">
        <v>3240</v>
      </c>
      <c r="O1106">
        <v>3330</v>
      </c>
      <c r="P1106">
        <v>746</v>
      </c>
      <c r="Q1106">
        <v>4.41</v>
      </c>
      <c r="R1106">
        <v>2</v>
      </c>
      <c r="S1106">
        <v>280000</v>
      </c>
      <c r="T1106">
        <v>3310</v>
      </c>
      <c r="U1106">
        <v>3320</v>
      </c>
      <c r="V1106">
        <v>105398</v>
      </c>
      <c r="W1106">
        <v>1</v>
      </c>
      <c r="X1106" s="367"/>
    </row>
    <row r="1107" spans="1:24">
      <c r="A1107" t="s">
        <v>89</v>
      </c>
      <c r="B1107" t="s">
        <v>88</v>
      </c>
      <c r="C1107">
        <v>902</v>
      </c>
      <c r="D1107">
        <v>1698859</v>
      </c>
      <c r="E1107">
        <v>259755541100</v>
      </c>
      <c r="F1107">
        <v>148500</v>
      </c>
      <c r="G1107">
        <v>152900</v>
      </c>
      <c r="H1107">
        <v>152900</v>
      </c>
      <c r="I1107">
        <v>4400</v>
      </c>
      <c r="J1107">
        <v>2.96</v>
      </c>
      <c r="K1107">
        <v>152900</v>
      </c>
      <c r="L1107">
        <v>4400</v>
      </c>
      <c r="M1107">
        <v>2.96</v>
      </c>
      <c r="N1107">
        <v>152900</v>
      </c>
      <c r="O1107">
        <v>152900</v>
      </c>
      <c r="P1107">
        <v>16822</v>
      </c>
      <c r="Q1107">
        <v>9.09</v>
      </c>
      <c r="R1107">
        <v>35</v>
      </c>
      <c r="S1107">
        <v>35286</v>
      </c>
      <c r="T1107">
        <v>152900</v>
      </c>
      <c r="U1107">
        <v>0</v>
      </c>
      <c r="V1107">
        <v>0</v>
      </c>
      <c r="W1107">
        <v>0</v>
      </c>
      <c r="X1107" s="367"/>
    </row>
    <row r="1108" spans="1:24">
      <c r="A1108" t="s">
        <v>1976</v>
      </c>
      <c r="B1108" t="s">
        <v>1975</v>
      </c>
      <c r="C1108">
        <v>46</v>
      </c>
      <c r="D1108">
        <v>1970393</v>
      </c>
      <c r="E1108">
        <v>8925880290</v>
      </c>
      <c r="F1108">
        <v>4400</v>
      </c>
      <c r="G1108">
        <v>4530</v>
      </c>
      <c r="H1108">
        <v>4530</v>
      </c>
      <c r="I1108">
        <v>130</v>
      </c>
      <c r="J1108">
        <v>2.95</v>
      </c>
      <c r="K1108">
        <v>4530</v>
      </c>
      <c r="L1108">
        <v>130</v>
      </c>
      <c r="M1108">
        <v>2.95</v>
      </c>
      <c r="N1108">
        <v>4530</v>
      </c>
      <c r="O1108">
        <v>4530</v>
      </c>
      <c r="P1108">
        <v>595</v>
      </c>
      <c r="Q1108">
        <v>7.61</v>
      </c>
      <c r="R1108">
        <v>13</v>
      </c>
      <c r="S1108">
        <v>2266500</v>
      </c>
      <c r="T1108">
        <v>4530</v>
      </c>
      <c r="U1108">
        <v>5040</v>
      </c>
      <c r="V1108">
        <v>996</v>
      </c>
      <c r="W1108">
        <v>1</v>
      </c>
      <c r="X1108" s="367"/>
    </row>
    <row r="1109" spans="1:24">
      <c r="A1109" t="s">
        <v>5339</v>
      </c>
      <c r="B1109" t="s">
        <v>5340</v>
      </c>
      <c r="C1109">
        <v>0</v>
      </c>
      <c r="D1109">
        <v>0</v>
      </c>
      <c r="E1109">
        <v>0</v>
      </c>
      <c r="F1109">
        <v>1000000</v>
      </c>
      <c r="G1109">
        <v>0</v>
      </c>
      <c r="H1109">
        <v>1000000</v>
      </c>
      <c r="I1109">
        <v>0</v>
      </c>
      <c r="J1109">
        <v>0</v>
      </c>
      <c r="K1109">
        <v>1000000</v>
      </c>
      <c r="L1109">
        <v>0</v>
      </c>
      <c r="M1109">
        <v>0</v>
      </c>
      <c r="N1109">
        <v>0</v>
      </c>
      <c r="O1109">
        <v>0</v>
      </c>
      <c r="P1109" t="s">
        <v>192</v>
      </c>
      <c r="Q1109" t="s">
        <v>192</v>
      </c>
      <c r="R1109">
        <v>1</v>
      </c>
      <c r="S1109">
        <v>5000</v>
      </c>
      <c r="T1109">
        <v>1000000</v>
      </c>
      <c r="U1109">
        <v>1000900</v>
      </c>
      <c r="V1109">
        <v>5000</v>
      </c>
      <c r="W1109">
        <v>1</v>
      </c>
      <c r="X1109" s="367"/>
    </row>
    <row r="1110" spans="1:24">
      <c r="A1110" t="s">
        <v>5341</v>
      </c>
      <c r="B1110" t="s">
        <v>5342</v>
      </c>
      <c r="C1110">
        <v>0</v>
      </c>
      <c r="D1110">
        <v>0</v>
      </c>
      <c r="E1110">
        <v>0</v>
      </c>
      <c r="F1110">
        <v>1000000</v>
      </c>
      <c r="G1110">
        <v>0</v>
      </c>
      <c r="H1110">
        <v>1000000</v>
      </c>
      <c r="I1110">
        <v>0</v>
      </c>
      <c r="J1110">
        <v>0</v>
      </c>
      <c r="K1110">
        <v>1000000</v>
      </c>
      <c r="L1110">
        <v>0</v>
      </c>
      <c r="M1110">
        <v>0</v>
      </c>
      <c r="N1110">
        <v>0</v>
      </c>
      <c r="O1110">
        <v>0</v>
      </c>
      <c r="P1110" t="s">
        <v>192</v>
      </c>
      <c r="Q1110" t="s">
        <v>192</v>
      </c>
      <c r="R1110">
        <v>1</v>
      </c>
      <c r="S1110">
        <v>10000</v>
      </c>
      <c r="T1110">
        <v>995000</v>
      </c>
      <c r="U1110">
        <v>1005000</v>
      </c>
      <c r="V1110">
        <v>10000</v>
      </c>
      <c r="W1110">
        <v>1</v>
      </c>
      <c r="X1110" s="367"/>
    </row>
    <row r="1111" spans="1:24">
      <c r="A1111" t="s">
        <v>5343</v>
      </c>
      <c r="B1111" t="s">
        <v>5344</v>
      </c>
      <c r="C1111">
        <v>6208</v>
      </c>
      <c r="D1111">
        <v>362837</v>
      </c>
      <c r="E1111">
        <v>1020853764000</v>
      </c>
      <c r="F1111">
        <v>946</v>
      </c>
      <c r="G1111">
        <v>2250</v>
      </c>
      <c r="H1111">
        <v>2900</v>
      </c>
      <c r="I1111">
        <v>1954</v>
      </c>
      <c r="J1111">
        <v>206.55</v>
      </c>
      <c r="K1111">
        <v>2814</v>
      </c>
      <c r="L1111">
        <v>1868</v>
      </c>
      <c r="M1111">
        <v>197.46</v>
      </c>
      <c r="N1111">
        <v>2250</v>
      </c>
      <c r="O1111">
        <v>3224</v>
      </c>
      <c r="P1111" t="s">
        <v>192</v>
      </c>
      <c r="Q1111" t="s">
        <v>192</v>
      </c>
      <c r="R1111">
        <v>1</v>
      </c>
      <c r="S1111">
        <v>100</v>
      </c>
      <c r="T1111">
        <v>2790</v>
      </c>
      <c r="U1111">
        <v>2900</v>
      </c>
      <c r="V1111">
        <v>354</v>
      </c>
      <c r="W1111">
        <v>2</v>
      </c>
      <c r="X1111" s="367"/>
    </row>
    <row r="1112" spans="1:24">
      <c r="A1112" t="s">
        <v>5345</v>
      </c>
      <c r="B1112" t="s">
        <v>5346</v>
      </c>
      <c r="C1112">
        <v>157</v>
      </c>
      <c r="D1112">
        <v>50109</v>
      </c>
      <c r="E1112">
        <v>293697000</v>
      </c>
      <c r="F1112">
        <v>18</v>
      </c>
      <c r="G1112">
        <v>59</v>
      </c>
      <c r="H1112">
        <v>8</v>
      </c>
      <c r="I1112">
        <v>-10</v>
      </c>
      <c r="J1112">
        <v>-55.56</v>
      </c>
      <c r="K1112">
        <v>6</v>
      </c>
      <c r="L1112">
        <v>-12</v>
      </c>
      <c r="M1112">
        <v>-66.67</v>
      </c>
      <c r="N1112">
        <v>4</v>
      </c>
      <c r="O1112">
        <v>59</v>
      </c>
      <c r="P1112" t="s">
        <v>192</v>
      </c>
      <c r="Q1112" t="s">
        <v>192</v>
      </c>
      <c r="R1112">
        <v>1</v>
      </c>
      <c r="S1112">
        <v>115</v>
      </c>
      <c r="T1112">
        <v>4</v>
      </c>
      <c r="U1112">
        <v>8</v>
      </c>
      <c r="V1112">
        <v>586</v>
      </c>
      <c r="W1112">
        <v>1</v>
      </c>
      <c r="X1112" s="367"/>
    </row>
    <row r="1113" spans="1:24">
      <c r="A1113" t="s">
        <v>5347</v>
      </c>
      <c r="B1113" t="s">
        <v>5348</v>
      </c>
      <c r="C1113">
        <v>0</v>
      </c>
      <c r="D1113">
        <v>0</v>
      </c>
      <c r="E1113">
        <v>0</v>
      </c>
      <c r="F1113">
        <v>1000000</v>
      </c>
      <c r="G1113">
        <v>0</v>
      </c>
      <c r="H1113">
        <v>1000000</v>
      </c>
      <c r="I1113">
        <v>0</v>
      </c>
      <c r="J1113">
        <v>0</v>
      </c>
      <c r="K1113">
        <v>1000000</v>
      </c>
      <c r="L1113">
        <v>0</v>
      </c>
      <c r="M1113">
        <v>0</v>
      </c>
      <c r="N1113">
        <v>0</v>
      </c>
      <c r="O1113">
        <v>0</v>
      </c>
      <c r="P1113" t="s">
        <v>192</v>
      </c>
      <c r="Q1113" t="s">
        <v>192</v>
      </c>
      <c r="R1113">
        <v>1</v>
      </c>
      <c r="S1113">
        <v>5000</v>
      </c>
      <c r="T1113">
        <v>950000</v>
      </c>
      <c r="U1113">
        <v>0</v>
      </c>
      <c r="V1113">
        <v>0</v>
      </c>
      <c r="W1113">
        <v>0</v>
      </c>
      <c r="X1113" s="367"/>
    </row>
    <row r="1114" spans="1:24">
      <c r="A1114" t="s">
        <v>7351</v>
      </c>
      <c r="B1114" t="s">
        <v>7352</v>
      </c>
      <c r="C1114">
        <v>0</v>
      </c>
      <c r="D1114">
        <v>0</v>
      </c>
      <c r="E1114">
        <v>0</v>
      </c>
      <c r="F1114">
        <v>233</v>
      </c>
      <c r="G1114">
        <v>0</v>
      </c>
      <c r="H1114">
        <v>230</v>
      </c>
      <c r="I1114">
        <v>-3</v>
      </c>
      <c r="J1114">
        <v>-1.29</v>
      </c>
      <c r="K1114">
        <v>233</v>
      </c>
      <c r="L1114">
        <v>0</v>
      </c>
      <c r="M1114">
        <v>0</v>
      </c>
      <c r="N1114">
        <v>0</v>
      </c>
      <c r="O1114">
        <v>0</v>
      </c>
      <c r="P1114" t="s">
        <v>192</v>
      </c>
      <c r="Q1114" t="s">
        <v>192</v>
      </c>
      <c r="R1114">
        <v>1</v>
      </c>
      <c r="S1114">
        <v>100</v>
      </c>
      <c r="T1114">
        <v>50</v>
      </c>
      <c r="U1114">
        <v>0</v>
      </c>
      <c r="V1114">
        <v>0</v>
      </c>
      <c r="W1114">
        <v>0</v>
      </c>
      <c r="X1114" s="367"/>
    </row>
    <row r="1115" spans="1:24">
      <c r="A1115" t="s">
        <v>6627</v>
      </c>
      <c r="B1115" t="s">
        <v>8209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 t="s">
        <v>192</v>
      </c>
      <c r="Q1115" t="s">
        <v>192</v>
      </c>
      <c r="R1115">
        <v>1</v>
      </c>
      <c r="S1115">
        <v>22</v>
      </c>
      <c r="T1115">
        <v>111</v>
      </c>
      <c r="U1115">
        <v>0</v>
      </c>
      <c r="V1115">
        <v>0</v>
      </c>
      <c r="W1115">
        <v>0</v>
      </c>
      <c r="X1115" s="367"/>
    </row>
    <row r="1116" spans="1:24">
      <c r="A1116" t="s">
        <v>5349</v>
      </c>
      <c r="B1116" t="s">
        <v>5350</v>
      </c>
      <c r="C1116">
        <v>213</v>
      </c>
      <c r="D1116">
        <v>5990</v>
      </c>
      <c r="E1116">
        <v>113292041000</v>
      </c>
      <c r="F1116">
        <v>14974</v>
      </c>
      <c r="G1116">
        <v>17000</v>
      </c>
      <c r="H1116">
        <v>19501</v>
      </c>
      <c r="I1116">
        <v>4527</v>
      </c>
      <c r="J1116">
        <v>30.23</v>
      </c>
      <c r="K1116">
        <v>18914</v>
      </c>
      <c r="L1116">
        <v>3940</v>
      </c>
      <c r="M1116">
        <v>26.31</v>
      </c>
      <c r="N1116">
        <v>17000</v>
      </c>
      <c r="O1116">
        <v>19877</v>
      </c>
      <c r="P1116" t="s">
        <v>192</v>
      </c>
      <c r="Q1116" t="s">
        <v>192</v>
      </c>
      <c r="R1116">
        <v>1</v>
      </c>
      <c r="S1116">
        <v>5</v>
      </c>
      <c r="T1116">
        <v>18851</v>
      </c>
      <c r="U1116">
        <v>19670</v>
      </c>
      <c r="V1116">
        <v>2</v>
      </c>
      <c r="W1116">
        <v>2</v>
      </c>
      <c r="X1116" s="367"/>
    </row>
    <row r="1117" spans="1:24">
      <c r="A1117" t="s">
        <v>2501</v>
      </c>
      <c r="B1117" t="s">
        <v>2500</v>
      </c>
      <c r="C1117">
        <v>227</v>
      </c>
      <c r="D1117">
        <v>18659038</v>
      </c>
      <c r="E1117">
        <v>40825975144</v>
      </c>
      <c r="F1117">
        <v>2125</v>
      </c>
      <c r="G1117">
        <v>2188</v>
      </c>
      <c r="H1117">
        <v>2188</v>
      </c>
      <c r="I1117">
        <v>63</v>
      </c>
      <c r="J1117">
        <v>2.96</v>
      </c>
      <c r="K1117">
        <v>2188</v>
      </c>
      <c r="L1117">
        <v>63</v>
      </c>
      <c r="M1117">
        <v>2.96</v>
      </c>
      <c r="N1117">
        <v>2188</v>
      </c>
      <c r="O1117">
        <v>2188</v>
      </c>
      <c r="P1117">
        <v>423</v>
      </c>
      <c r="Q1117">
        <v>5.17</v>
      </c>
      <c r="R1117">
        <v>799</v>
      </c>
      <c r="S1117">
        <v>466575789</v>
      </c>
      <c r="T1117">
        <v>2188</v>
      </c>
      <c r="U1117">
        <v>0</v>
      </c>
      <c r="V1117">
        <v>0</v>
      </c>
      <c r="W1117">
        <v>0</v>
      </c>
      <c r="X1117" s="367"/>
    </row>
    <row r="1118" spans="1:24">
      <c r="A1118" t="s">
        <v>2559</v>
      </c>
      <c r="B1118" t="s">
        <v>2558</v>
      </c>
      <c r="C1118">
        <v>104</v>
      </c>
      <c r="D1118">
        <v>491169</v>
      </c>
      <c r="E1118">
        <v>38114872190</v>
      </c>
      <c r="F1118">
        <v>76420</v>
      </c>
      <c r="G1118">
        <v>77940</v>
      </c>
      <c r="H1118">
        <v>77940</v>
      </c>
      <c r="I1118">
        <v>1520</v>
      </c>
      <c r="J1118">
        <v>1.99</v>
      </c>
      <c r="K1118">
        <v>77600</v>
      </c>
      <c r="L1118">
        <v>1180</v>
      </c>
      <c r="M1118">
        <v>1.54</v>
      </c>
      <c r="N1118">
        <v>74900</v>
      </c>
      <c r="O1118">
        <v>77940</v>
      </c>
      <c r="P1118">
        <v>-5806</v>
      </c>
      <c r="Q1118">
        <v>-13.37</v>
      </c>
      <c r="R1118">
        <v>3</v>
      </c>
      <c r="S1118">
        <v>42500</v>
      </c>
      <c r="T1118">
        <v>77940</v>
      </c>
      <c r="U1118">
        <v>0</v>
      </c>
      <c r="V1118">
        <v>0</v>
      </c>
      <c r="W1118">
        <v>0</v>
      </c>
      <c r="X1118" s="367"/>
    </row>
    <row r="1119" spans="1:24">
      <c r="A1119" t="s">
        <v>1830</v>
      </c>
      <c r="B1119" t="s">
        <v>1829</v>
      </c>
      <c r="C1119">
        <v>113</v>
      </c>
      <c r="D1119">
        <v>10418415</v>
      </c>
      <c r="E1119">
        <v>29213235660</v>
      </c>
      <c r="F1119">
        <v>2723</v>
      </c>
      <c r="G1119">
        <v>2804</v>
      </c>
      <c r="H1119">
        <v>2804</v>
      </c>
      <c r="I1119">
        <v>81</v>
      </c>
      <c r="J1119">
        <v>2.97</v>
      </c>
      <c r="K1119">
        <v>2804</v>
      </c>
      <c r="L1119">
        <v>81</v>
      </c>
      <c r="M1119">
        <v>2.97</v>
      </c>
      <c r="N1119">
        <v>2804</v>
      </c>
      <c r="O1119">
        <v>2804</v>
      </c>
      <c r="P1119">
        <v>484</v>
      </c>
      <c r="Q1119">
        <v>5.79</v>
      </c>
      <c r="R1119">
        <v>37</v>
      </c>
      <c r="S1119">
        <v>20730206</v>
      </c>
      <c r="T1119">
        <v>2804</v>
      </c>
      <c r="U1119">
        <v>0</v>
      </c>
      <c r="V1119">
        <v>0</v>
      </c>
      <c r="W1119">
        <v>0</v>
      </c>
      <c r="X1119" s="367"/>
    </row>
    <row r="1120" spans="1:24">
      <c r="A1120" t="s">
        <v>1727</v>
      </c>
      <c r="B1120" t="s">
        <v>1727</v>
      </c>
      <c r="C1120">
        <v>177</v>
      </c>
      <c r="D1120">
        <v>6075993</v>
      </c>
      <c r="E1120">
        <v>6375315046</v>
      </c>
      <c r="F1120">
        <v>1037</v>
      </c>
      <c r="G1120">
        <v>1057</v>
      </c>
      <c r="H1120">
        <v>1057</v>
      </c>
      <c r="I1120">
        <v>20</v>
      </c>
      <c r="J1120">
        <v>1.93</v>
      </c>
      <c r="K1120">
        <v>1049</v>
      </c>
      <c r="L1120">
        <v>12</v>
      </c>
      <c r="M1120">
        <v>1.1599999999999999</v>
      </c>
      <c r="N1120">
        <v>1028</v>
      </c>
      <c r="O1120">
        <v>1057</v>
      </c>
      <c r="P1120">
        <v>92</v>
      </c>
      <c r="Q1120">
        <v>11.4</v>
      </c>
      <c r="R1120">
        <v>2</v>
      </c>
      <c r="S1120">
        <v>113111</v>
      </c>
      <c r="T1120">
        <v>1057</v>
      </c>
      <c r="U1120">
        <v>1059</v>
      </c>
      <c r="V1120">
        <v>6027</v>
      </c>
      <c r="W1120">
        <v>2</v>
      </c>
      <c r="X1120" s="367"/>
    </row>
    <row r="1121" spans="1:24">
      <c r="A1121" t="s">
        <v>1936</v>
      </c>
      <c r="B1121" t="s">
        <v>1935</v>
      </c>
      <c r="C1121">
        <v>36</v>
      </c>
      <c r="D1121">
        <v>497730</v>
      </c>
      <c r="E1121">
        <v>3625687810</v>
      </c>
      <c r="F1121">
        <v>7150</v>
      </c>
      <c r="G1121">
        <v>7150</v>
      </c>
      <c r="H1121">
        <v>7290</v>
      </c>
      <c r="I1121">
        <v>140</v>
      </c>
      <c r="J1121">
        <v>1.96</v>
      </c>
      <c r="K1121">
        <v>7280</v>
      </c>
      <c r="L1121">
        <v>130</v>
      </c>
      <c r="M1121">
        <v>1.82</v>
      </c>
      <c r="N1121">
        <v>7150</v>
      </c>
      <c r="O1121">
        <v>7290</v>
      </c>
      <c r="P1121">
        <v>5</v>
      </c>
      <c r="Q1121">
        <v>1456</v>
      </c>
      <c r="R1121">
        <v>1</v>
      </c>
      <c r="S1121">
        <v>10000</v>
      </c>
      <c r="T1121">
        <v>7290</v>
      </c>
      <c r="U1121">
        <v>0</v>
      </c>
      <c r="V1121">
        <v>0</v>
      </c>
      <c r="W1121">
        <v>0</v>
      </c>
      <c r="X1121" s="367"/>
    </row>
    <row r="1122" spans="1:24">
      <c r="A1122" t="s">
        <v>2976</v>
      </c>
      <c r="B1122" t="s">
        <v>2975</v>
      </c>
      <c r="C1122">
        <v>219</v>
      </c>
      <c r="D1122">
        <v>15094551</v>
      </c>
      <c r="E1122">
        <v>69876410370</v>
      </c>
      <c r="F1122">
        <v>4500</v>
      </c>
      <c r="G1122">
        <v>4630</v>
      </c>
      <c r="H1122">
        <v>4630</v>
      </c>
      <c r="I1122">
        <v>130</v>
      </c>
      <c r="J1122">
        <v>2.89</v>
      </c>
      <c r="K1122">
        <v>4630</v>
      </c>
      <c r="L1122">
        <v>130</v>
      </c>
      <c r="M1122">
        <v>2.89</v>
      </c>
      <c r="N1122">
        <v>4590</v>
      </c>
      <c r="O1122">
        <v>4630</v>
      </c>
      <c r="P1122">
        <v>540</v>
      </c>
      <c r="Q1122">
        <v>8.57</v>
      </c>
      <c r="R1122">
        <v>3</v>
      </c>
      <c r="S1122">
        <v>208507</v>
      </c>
      <c r="T1122">
        <v>4630</v>
      </c>
      <c r="U1122">
        <v>0</v>
      </c>
      <c r="V1122">
        <v>0</v>
      </c>
      <c r="W1122">
        <v>0</v>
      </c>
      <c r="X1122" s="367"/>
    </row>
    <row r="1123" spans="1:24">
      <c r="A1123" t="s">
        <v>5351</v>
      </c>
      <c r="B1123" t="s">
        <v>5352</v>
      </c>
      <c r="C1123">
        <v>3</v>
      </c>
      <c r="D1123">
        <v>7</v>
      </c>
      <c r="E1123">
        <v>2615000</v>
      </c>
      <c r="F1123">
        <v>355</v>
      </c>
      <c r="G1123">
        <v>370</v>
      </c>
      <c r="H1123">
        <v>375</v>
      </c>
      <c r="I1123">
        <v>20</v>
      </c>
      <c r="J1123">
        <v>5.63</v>
      </c>
      <c r="K1123">
        <v>374</v>
      </c>
      <c r="L1123">
        <v>19</v>
      </c>
      <c r="M1123">
        <v>5.35</v>
      </c>
      <c r="N1123">
        <v>370</v>
      </c>
      <c r="O1123">
        <v>375</v>
      </c>
      <c r="P1123" t="s">
        <v>192</v>
      </c>
      <c r="Q1123" t="s">
        <v>192</v>
      </c>
      <c r="R1123">
        <v>1</v>
      </c>
      <c r="S1123">
        <v>1000</v>
      </c>
      <c r="T1123">
        <v>310</v>
      </c>
      <c r="U1123">
        <v>630</v>
      </c>
      <c r="V1123">
        <v>9</v>
      </c>
      <c r="W1123">
        <v>1</v>
      </c>
      <c r="X1123" s="367"/>
    </row>
    <row r="1124" spans="1:24">
      <c r="A1124" t="s">
        <v>5353</v>
      </c>
      <c r="B1124" t="s">
        <v>5354</v>
      </c>
      <c r="C1124">
        <v>56</v>
      </c>
      <c r="D1124">
        <v>134611</v>
      </c>
      <c r="E1124">
        <v>109416801407</v>
      </c>
      <c r="F1124">
        <v>789163</v>
      </c>
      <c r="G1124">
        <v>812837</v>
      </c>
      <c r="H1124">
        <v>812837</v>
      </c>
      <c r="I1124">
        <v>23674</v>
      </c>
      <c r="J1124">
        <v>3</v>
      </c>
      <c r="K1124">
        <v>812837</v>
      </c>
      <c r="L1124">
        <v>23674</v>
      </c>
      <c r="M1124">
        <v>3</v>
      </c>
      <c r="N1124">
        <v>812837</v>
      </c>
      <c r="O1124">
        <v>812837</v>
      </c>
      <c r="P1124" t="s">
        <v>192</v>
      </c>
      <c r="Q1124" t="s">
        <v>192</v>
      </c>
      <c r="R1124">
        <v>48</v>
      </c>
      <c r="S1124">
        <v>15650</v>
      </c>
      <c r="T1124">
        <v>812837</v>
      </c>
      <c r="U1124">
        <v>0</v>
      </c>
      <c r="V1124">
        <v>0</v>
      </c>
      <c r="W1124">
        <v>0</v>
      </c>
      <c r="X1124" s="367"/>
    </row>
    <row r="1125" spans="1:24">
      <c r="A1125" t="s">
        <v>8384</v>
      </c>
      <c r="B1125" t="s">
        <v>8385</v>
      </c>
      <c r="C1125">
        <v>52</v>
      </c>
      <c r="D1125">
        <v>14895</v>
      </c>
      <c r="E1125">
        <v>2257920000</v>
      </c>
      <c r="F1125">
        <v>129</v>
      </c>
      <c r="G1125">
        <v>154</v>
      </c>
      <c r="H1125">
        <v>150</v>
      </c>
      <c r="I1125">
        <v>21</v>
      </c>
      <c r="J1125">
        <v>16.28</v>
      </c>
      <c r="K1125">
        <v>152</v>
      </c>
      <c r="L1125">
        <v>23</v>
      </c>
      <c r="M1125">
        <v>17.829999999999998</v>
      </c>
      <c r="N1125">
        <v>134</v>
      </c>
      <c r="O1125">
        <v>155</v>
      </c>
      <c r="P1125" t="s">
        <v>192</v>
      </c>
      <c r="Q1125" t="s">
        <v>192</v>
      </c>
      <c r="R1125">
        <v>1</v>
      </c>
      <c r="S1125">
        <v>41</v>
      </c>
      <c r="T1125">
        <v>150</v>
      </c>
      <c r="U1125">
        <v>153</v>
      </c>
      <c r="V1125">
        <v>500</v>
      </c>
      <c r="W1125">
        <v>1</v>
      </c>
      <c r="X1125" s="367"/>
    </row>
    <row r="1126" spans="1:24">
      <c r="A1126" t="s">
        <v>3076</v>
      </c>
      <c r="B1126" t="s">
        <v>3075</v>
      </c>
      <c r="C1126">
        <v>121</v>
      </c>
      <c r="D1126">
        <v>3643651</v>
      </c>
      <c r="E1126">
        <v>9596500589</v>
      </c>
      <c r="F1126">
        <v>2558</v>
      </c>
      <c r="G1126">
        <v>2634</v>
      </c>
      <c r="H1126">
        <v>2634</v>
      </c>
      <c r="I1126">
        <v>76</v>
      </c>
      <c r="J1126">
        <v>2.97</v>
      </c>
      <c r="K1126">
        <v>2634</v>
      </c>
      <c r="L1126">
        <v>76</v>
      </c>
      <c r="M1126">
        <v>2.97</v>
      </c>
      <c r="N1126">
        <v>2601</v>
      </c>
      <c r="O1126">
        <v>2634</v>
      </c>
      <c r="P1126">
        <v>79</v>
      </c>
      <c r="Q1126">
        <v>33.340000000000003</v>
      </c>
      <c r="R1126">
        <v>4</v>
      </c>
      <c r="S1126">
        <v>1210000</v>
      </c>
      <c r="T1126">
        <v>2634</v>
      </c>
      <c r="U1126">
        <v>0</v>
      </c>
      <c r="V1126">
        <v>0</v>
      </c>
      <c r="W1126">
        <v>0</v>
      </c>
      <c r="X1126" s="367"/>
    </row>
    <row r="1127" spans="1:24">
      <c r="A1127" t="s">
        <v>2688</v>
      </c>
      <c r="B1127" t="s">
        <v>2687</v>
      </c>
      <c r="C1127">
        <v>431</v>
      </c>
      <c r="D1127">
        <v>1378186</v>
      </c>
      <c r="E1127">
        <v>20347058760</v>
      </c>
      <c r="F1127">
        <v>14340</v>
      </c>
      <c r="G1127">
        <v>14490</v>
      </c>
      <c r="H1127">
        <v>14770</v>
      </c>
      <c r="I1127">
        <v>430</v>
      </c>
      <c r="J1127">
        <v>3</v>
      </c>
      <c r="K1127">
        <v>14760</v>
      </c>
      <c r="L1127">
        <v>420</v>
      </c>
      <c r="M1127">
        <v>2.93</v>
      </c>
      <c r="N1127">
        <v>14490</v>
      </c>
      <c r="O1127">
        <v>14770</v>
      </c>
      <c r="P1127">
        <v>1794</v>
      </c>
      <c r="Q1127">
        <v>8.23</v>
      </c>
      <c r="R1127">
        <v>24</v>
      </c>
      <c r="S1127">
        <v>294931</v>
      </c>
      <c r="T1127">
        <v>14770</v>
      </c>
      <c r="U1127">
        <v>0</v>
      </c>
      <c r="V1127">
        <v>0</v>
      </c>
      <c r="W1127">
        <v>0</v>
      </c>
      <c r="X1127" s="367"/>
    </row>
    <row r="1128" spans="1:24">
      <c r="A1128" t="s">
        <v>123</v>
      </c>
      <c r="B1128" t="s">
        <v>122</v>
      </c>
      <c r="C1128">
        <v>529</v>
      </c>
      <c r="D1128">
        <v>54397183</v>
      </c>
      <c r="E1128">
        <v>152040126485</v>
      </c>
      <c r="F1128">
        <v>2714</v>
      </c>
      <c r="G1128">
        <v>2795</v>
      </c>
      <c r="H1128">
        <v>2795</v>
      </c>
      <c r="I1128">
        <v>81</v>
      </c>
      <c r="J1128">
        <v>2.98</v>
      </c>
      <c r="K1128">
        <v>2795</v>
      </c>
      <c r="L1128">
        <v>81</v>
      </c>
      <c r="M1128">
        <v>2.98</v>
      </c>
      <c r="N1128">
        <v>2795</v>
      </c>
      <c r="O1128">
        <v>2795</v>
      </c>
      <c r="P1128">
        <v>158</v>
      </c>
      <c r="Q1128">
        <v>17.690000000000001</v>
      </c>
      <c r="R1128">
        <v>75</v>
      </c>
      <c r="S1128">
        <v>9187315</v>
      </c>
      <c r="T1128">
        <v>2795</v>
      </c>
      <c r="U1128">
        <v>2827</v>
      </c>
      <c r="V1128">
        <v>4000</v>
      </c>
      <c r="W1128">
        <v>1</v>
      </c>
      <c r="X1128" s="367"/>
    </row>
    <row r="1129" spans="1:24">
      <c r="A1129" t="s">
        <v>5355</v>
      </c>
      <c r="B1129" t="s">
        <v>5356</v>
      </c>
      <c r="C1129">
        <v>0</v>
      </c>
      <c r="D1129">
        <v>0</v>
      </c>
      <c r="E1129">
        <v>0</v>
      </c>
      <c r="F1129">
        <v>8</v>
      </c>
      <c r="G1129">
        <v>0</v>
      </c>
      <c r="H1129">
        <v>8</v>
      </c>
      <c r="I1129">
        <v>0</v>
      </c>
      <c r="J1129">
        <v>0</v>
      </c>
      <c r="K1129">
        <v>8</v>
      </c>
      <c r="L1129">
        <v>0</v>
      </c>
      <c r="M1129">
        <v>0</v>
      </c>
      <c r="N1129">
        <v>0</v>
      </c>
      <c r="O1129">
        <v>0</v>
      </c>
      <c r="P1129" t="s">
        <v>192</v>
      </c>
      <c r="Q1129" t="s">
        <v>192</v>
      </c>
      <c r="R1129">
        <v>1</v>
      </c>
      <c r="S1129">
        <v>100</v>
      </c>
      <c r="T1129">
        <v>1</v>
      </c>
      <c r="U1129">
        <v>0</v>
      </c>
      <c r="V1129">
        <v>0</v>
      </c>
      <c r="W1129">
        <v>0</v>
      </c>
      <c r="X1129" s="367"/>
    </row>
    <row r="1130" spans="1:24">
      <c r="A1130" t="s">
        <v>1873</v>
      </c>
      <c r="B1130" t="s">
        <v>1872</v>
      </c>
      <c r="C1130">
        <v>83</v>
      </c>
      <c r="D1130">
        <v>6593881</v>
      </c>
      <c r="E1130">
        <v>35541018590</v>
      </c>
      <c r="F1130">
        <v>5240</v>
      </c>
      <c r="G1130">
        <v>5390</v>
      </c>
      <c r="H1130">
        <v>5390</v>
      </c>
      <c r="I1130">
        <v>150</v>
      </c>
      <c r="J1130">
        <v>2.86</v>
      </c>
      <c r="K1130">
        <v>5390</v>
      </c>
      <c r="L1130">
        <v>150</v>
      </c>
      <c r="M1130">
        <v>2.86</v>
      </c>
      <c r="N1130">
        <v>5390</v>
      </c>
      <c r="O1130">
        <v>5390</v>
      </c>
      <c r="P1130">
        <v>534</v>
      </c>
      <c r="Q1130">
        <v>10.09</v>
      </c>
      <c r="R1130">
        <v>138</v>
      </c>
      <c r="S1130">
        <v>38241341</v>
      </c>
      <c r="T1130">
        <v>5390</v>
      </c>
      <c r="U1130">
        <v>0</v>
      </c>
      <c r="V1130">
        <v>0</v>
      </c>
      <c r="W1130">
        <v>0</v>
      </c>
      <c r="X1130" s="367"/>
    </row>
    <row r="1131" spans="1:24">
      <c r="A1131" t="s">
        <v>5357</v>
      </c>
      <c r="B1131" t="s">
        <v>5358</v>
      </c>
      <c r="C1131">
        <v>0</v>
      </c>
      <c r="D1131">
        <v>0</v>
      </c>
      <c r="E1131">
        <v>0</v>
      </c>
      <c r="F1131">
        <v>8532</v>
      </c>
      <c r="G1131">
        <v>0</v>
      </c>
      <c r="H1131">
        <v>8888</v>
      </c>
      <c r="I1131">
        <v>356</v>
      </c>
      <c r="J1131">
        <v>4.17</v>
      </c>
      <c r="K1131">
        <v>8532</v>
      </c>
      <c r="L1131">
        <v>0</v>
      </c>
      <c r="M1131">
        <v>0</v>
      </c>
      <c r="N1131">
        <v>0</v>
      </c>
      <c r="O1131">
        <v>0</v>
      </c>
      <c r="P1131" t="s">
        <v>192</v>
      </c>
      <c r="Q1131" t="s">
        <v>192</v>
      </c>
      <c r="R1131">
        <v>1</v>
      </c>
      <c r="S1131">
        <v>10</v>
      </c>
      <c r="T1131">
        <v>9310</v>
      </c>
      <c r="U1131">
        <v>0</v>
      </c>
      <c r="V1131">
        <v>0</v>
      </c>
      <c r="W1131">
        <v>0</v>
      </c>
      <c r="X1131" s="367"/>
    </row>
    <row r="1132" spans="1:24">
      <c r="A1132" t="s">
        <v>5359</v>
      </c>
      <c r="B1132" t="s">
        <v>5360</v>
      </c>
      <c r="C1132">
        <v>0</v>
      </c>
      <c r="D1132">
        <v>0</v>
      </c>
      <c r="E1132">
        <v>0</v>
      </c>
      <c r="F1132">
        <v>921500</v>
      </c>
      <c r="G1132">
        <v>0</v>
      </c>
      <c r="H1132">
        <v>921500</v>
      </c>
      <c r="I1132">
        <v>0</v>
      </c>
      <c r="J1132">
        <v>0</v>
      </c>
      <c r="K1132">
        <v>921500</v>
      </c>
      <c r="L1132">
        <v>0</v>
      </c>
      <c r="M1132">
        <v>0</v>
      </c>
      <c r="N1132">
        <v>0</v>
      </c>
      <c r="O1132">
        <v>0</v>
      </c>
      <c r="P1132" t="s">
        <v>192</v>
      </c>
      <c r="Q1132" t="s">
        <v>192</v>
      </c>
      <c r="R1132">
        <v>1</v>
      </c>
      <c r="S1132">
        <v>5000</v>
      </c>
      <c r="T1132">
        <v>921500</v>
      </c>
      <c r="U1132">
        <v>0</v>
      </c>
      <c r="V1132">
        <v>0</v>
      </c>
      <c r="W1132">
        <v>0</v>
      </c>
      <c r="X1132" s="367"/>
    </row>
    <row r="1133" spans="1:24">
      <c r="A1133" t="s">
        <v>2956</v>
      </c>
      <c r="B1133" t="s">
        <v>2955</v>
      </c>
      <c r="C1133">
        <v>259</v>
      </c>
      <c r="D1133">
        <v>16570719</v>
      </c>
      <c r="E1133">
        <v>31003815249</v>
      </c>
      <c r="F1133">
        <v>1817</v>
      </c>
      <c r="G1133">
        <v>1871</v>
      </c>
      <c r="H1133">
        <v>1871</v>
      </c>
      <c r="I1133">
        <v>54</v>
      </c>
      <c r="J1133">
        <v>2.97</v>
      </c>
      <c r="K1133">
        <v>1871</v>
      </c>
      <c r="L1133">
        <v>54</v>
      </c>
      <c r="M1133">
        <v>2.97</v>
      </c>
      <c r="N1133">
        <v>1871</v>
      </c>
      <c r="O1133">
        <v>1871</v>
      </c>
      <c r="P1133">
        <v>469</v>
      </c>
      <c r="Q1133">
        <v>3.99</v>
      </c>
      <c r="R1133">
        <v>33</v>
      </c>
      <c r="S1133">
        <v>13082977</v>
      </c>
      <c r="T1133">
        <v>1871</v>
      </c>
      <c r="U1133">
        <v>1938</v>
      </c>
      <c r="V1133">
        <v>719</v>
      </c>
      <c r="W1133">
        <v>3</v>
      </c>
      <c r="X1133" s="367"/>
    </row>
    <row r="1134" spans="1:24">
      <c r="A1134" t="s">
        <v>8795</v>
      </c>
      <c r="B1134" t="s">
        <v>7963</v>
      </c>
      <c r="C1134">
        <v>37</v>
      </c>
      <c r="D1134">
        <v>167244</v>
      </c>
      <c r="E1134">
        <v>2016962640</v>
      </c>
      <c r="F1134">
        <v>12040</v>
      </c>
      <c r="G1134">
        <v>12060</v>
      </c>
      <c r="H1134">
        <v>12060</v>
      </c>
      <c r="I1134">
        <v>20</v>
      </c>
      <c r="J1134">
        <v>0.17</v>
      </c>
      <c r="K1134">
        <v>12060</v>
      </c>
      <c r="L1134">
        <v>20</v>
      </c>
      <c r="M1134">
        <v>0.17</v>
      </c>
      <c r="N1134">
        <v>12060</v>
      </c>
      <c r="O1134">
        <v>12060</v>
      </c>
      <c r="P1134">
        <v>1559</v>
      </c>
      <c r="Q1134">
        <v>7.74</v>
      </c>
      <c r="R1134">
        <v>0</v>
      </c>
      <c r="S1134">
        <v>0</v>
      </c>
      <c r="T1134">
        <v>0</v>
      </c>
      <c r="U1134">
        <v>12060</v>
      </c>
      <c r="V1134">
        <v>970295</v>
      </c>
      <c r="W1134">
        <v>132</v>
      </c>
      <c r="X1134" s="367"/>
    </row>
    <row r="1135" spans="1:24">
      <c r="A1135" t="s">
        <v>1940</v>
      </c>
      <c r="B1135" t="s">
        <v>1939</v>
      </c>
      <c r="C1135">
        <v>142</v>
      </c>
      <c r="D1135">
        <v>18829261</v>
      </c>
      <c r="E1135">
        <v>37424903898</v>
      </c>
      <c r="F1135">
        <v>1931</v>
      </c>
      <c r="G1135">
        <v>1988</v>
      </c>
      <c r="H1135">
        <v>1988</v>
      </c>
      <c r="I1135">
        <v>57</v>
      </c>
      <c r="J1135">
        <v>2.95</v>
      </c>
      <c r="K1135">
        <v>1988</v>
      </c>
      <c r="L1135">
        <v>57</v>
      </c>
      <c r="M1135">
        <v>2.95</v>
      </c>
      <c r="N1135">
        <v>1959</v>
      </c>
      <c r="O1135">
        <v>1988</v>
      </c>
      <c r="P1135">
        <v>605</v>
      </c>
      <c r="Q1135">
        <v>3.29</v>
      </c>
      <c r="R1135">
        <v>19</v>
      </c>
      <c r="S1135">
        <v>10232819</v>
      </c>
      <c r="T1135">
        <v>1988</v>
      </c>
      <c r="U1135">
        <v>0</v>
      </c>
      <c r="V1135">
        <v>0</v>
      </c>
      <c r="W1135">
        <v>0</v>
      </c>
      <c r="X1135" s="367"/>
    </row>
    <row r="1136" spans="1:24">
      <c r="A1136" t="s">
        <v>6973</v>
      </c>
      <c r="B1136" t="s">
        <v>6974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 t="s">
        <v>192</v>
      </c>
      <c r="Q1136" t="s">
        <v>192</v>
      </c>
      <c r="R1136">
        <v>1</v>
      </c>
      <c r="S1136">
        <v>1000</v>
      </c>
      <c r="T1136">
        <v>7</v>
      </c>
      <c r="U1136">
        <v>0</v>
      </c>
      <c r="V1136">
        <v>0</v>
      </c>
      <c r="W1136">
        <v>0</v>
      </c>
      <c r="X1136" s="367"/>
    </row>
    <row r="1137" spans="1:24">
      <c r="A1137" t="s">
        <v>8796</v>
      </c>
      <c r="B1137" t="s">
        <v>1750</v>
      </c>
      <c r="C1137">
        <v>2</v>
      </c>
      <c r="D1137">
        <v>6950</v>
      </c>
      <c r="E1137">
        <v>120652000</v>
      </c>
      <c r="F1137">
        <v>17310</v>
      </c>
      <c r="G1137">
        <v>17360</v>
      </c>
      <c r="H1137">
        <v>17360</v>
      </c>
      <c r="I1137">
        <v>50</v>
      </c>
      <c r="J1137">
        <v>0.28999999999999998</v>
      </c>
      <c r="K1137">
        <v>17360</v>
      </c>
      <c r="L1137">
        <v>50</v>
      </c>
      <c r="M1137">
        <v>0.28999999999999998</v>
      </c>
      <c r="N1137">
        <v>17360</v>
      </c>
      <c r="O1137">
        <v>17360</v>
      </c>
      <c r="P1137">
        <v>1024</v>
      </c>
      <c r="Q1137">
        <v>16.95</v>
      </c>
      <c r="R1137">
        <v>0</v>
      </c>
      <c r="S1137">
        <v>0</v>
      </c>
      <c r="T1137">
        <v>0</v>
      </c>
      <c r="U1137">
        <v>17360</v>
      </c>
      <c r="V1137">
        <v>32695</v>
      </c>
      <c r="W1137">
        <v>3</v>
      </c>
      <c r="X1137" s="367"/>
    </row>
    <row r="1138" spans="1:24">
      <c r="A1138" t="s">
        <v>5362</v>
      </c>
      <c r="B1138" t="s">
        <v>2758</v>
      </c>
      <c r="C1138">
        <v>2</v>
      </c>
      <c r="D1138">
        <v>3675</v>
      </c>
      <c r="E1138">
        <v>5229525</v>
      </c>
      <c r="F1138">
        <v>1383</v>
      </c>
      <c r="G1138">
        <v>1423</v>
      </c>
      <c r="H1138">
        <v>1423</v>
      </c>
      <c r="I1138">
        <v>40</v>
      </c>
      <c r="J1138">
        <v>2.89</v>
      </c>
      <c r="K1138">
        <v>1423</v>
      </c>
      <c r="L1138">
        <v>40</v>
      </c>
      <c r="M1138">
        <v>2.89</v>
      </c>
      <c r="N1138">
        <v>1423</v>
      </c>
      <c r="O1138">
        <v>1423</v>
      </c>
      <c r="P1138">
        <v>53</v>
      </c>
      <c r="Q1138">
        <v>26.85</v>
      </c>
      <c r="R1138">
        <v>5</v>
      </c>
      <c r="S1138">
        <v>66970</v>
      </c>
      <c r="T1138">
        <v>1423</v>
      </c>
      <c r="U1138">
        <v>0</v>
      </c>
      <c r="V1138">
        <v>0</v>
      </c>
      <c r="W1138">
        <v>0</v>
      </c>
      <c r="X1138" s="367"/>
    </row>
    <row r="1139" spans="1:24">
      <c r="A1139" t="s">
        <v>5363</v>
      </c>
      <c r="B1139" t="s">
        <v>5364</v>
      </c>
      <c r="C1139">
        <v>3272</v>
      </c>
      <c r="D1139">
        <v>90470</v>
      </c>
      <c r="E1139">
        <v>617410468000</v>
      </c>
      <c r="F1139">
        <v>4948</v>
      </c>
      <c r="G1139">
        <v>6425</v>
      </c>
      <c r="H1139">
        <v>7000</v>
      </c>
      <c r="I1139">
        <v>2052</v>
      </c>
      <c r="J1139">
        <v>41.47</v>
      </c>
      <c r="K1139">
        <v>6824</v>
      </c>
      <c r="L1139">
        <v>1876</v>
      </c>
      <c r="M1139">
        <v>37.909999999999997</v>
      </c>
      <c r="N1139">
        <v>6425</v>
      </c>
      <c r="O1139">
        <v>7092</v>
      </c>
      <c r="P1139" t="s">
        <v>192</v>
      </c>
      <c r="Q1139" t="s">
        <v>192</v>
      </c>
      <c r="R1139">
        <v>1</v>
      </c>
      <c r="S1139">
        <v>1</v>
      </c>
      <c r="T1139">
        <v>7000</v>
      </c>
      <c r="U1139">
        <v>7001</v>
      </c>
      <c r="V1139">
        <v>46</v>
      </c>
      <c r="W1139">
        <v>2</v>
      </c>
      <c r="X1139" s="367"/>
    </row>
    <row r="1140" spans="1:24">
      <c r="A1140" t="s">
        <v>7954</v>
      </c>
      <c r="B1140" t="s">
        <v>7955</v>
      </c>
      <c r="C1140">
        <v>0</v>
      </c>
      <c r="D1140">
        <v>0</v>
      </c>
      <c r="E1140">
        <v>0</v>
      </c>
      <c r="F1140">
        <v>1000000</v>
      </c>
      <c r="G1140">
        <v>0</v>
      </c>
      <c r="H1140">
        <v>1000000</v>
      </c>
      <c r="I1140">
        <v>0</v>
      </c>
      <c r="J1140">
        <v>0</v>
      </c>
      <c r="K1140">
        <v>1000000</v>
      </c>
      <c r="L1140">
        <v>0</v>
      </c>
      <c r="M1140">
        <v>0</v>
      </c>
      <c r="N1140">
        <v>0</v>
      </c>
      <c r="O1140">
        <v>0</v>
      </c>
      <c r="P1140" t="s">
        <v>192</v>
      </c>
      <c r="Q1140" t="s">
        <v>192</v>
      </c>
      <c r="R1140">
        <v>1</v>
      </c>
      <c r="S1140">
        <v>25000</v>
      </c>
      <c r="T1140">
        <v>1000000</v>
      </c>
      <c r="U1140">
        <v>1010000</v>
      </c>
      <c r="V1140">
        <v>25000</v>
      </c>
      <c r="W1140">
        <v>1</v>
      </c>
      <c r="X1140" s="367"/>
    </row>
    <row r="1141" spans="1:24">
      <c r="A1141" t="s">
        <v>6805</v>
      </c>
      <c r="B1141" t="s">
        <v>7941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 t="s">
        <v>192</v>
      </c>
      <c r="Q1141" t="s">
        <v>192</v>
      </c>
      <c r="R1141">
        <v>1</v>
      </c>
      <c r="S1141">
        <v>100</v>
      </c>
      <c r="T1141">
        <v>1</v>
      </c>
      <c r="U1141">
        <v>0</v>
      </c>
      <c r="V1141">
        <v>0</v>
      </c>
      <c r="W1141">
        <v>0</v>
      </c>
      <c r="X1141" s="367"/>
    </row>
    <row r="1142" spans="1:24">
      <c r="A1142" t="s">
        <v>5365</v>
      </c>
      <c r="B1142" t="s">
        <v>5366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1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 t="s">
        <v>192</v>
      </c>
      <c r="Q1142" t="s">
        <v>192</v>
      </c>
      <c r="R1142">
        <v>1</v>
      </c>
      <c r="S1142">
        <v>1</v>
      </c>
      <c r="T1142">
        <v>53900</v>
      </c>
      <c r="U1142">
        <v>0</v>
      </c>
      <c r="V1142">
        <v>0</v>
      </c>
      <c r="W1142">
        <v>0</v>
      </c>
      <c r="X1142" s="367"/>
    </row>
    <row r="1143" spans="1:24">
      <c r="A1143" t="s">
        <v>5367</v>
      </c>
      <c r="B1143" t="s">
        <v>5368</v>
      </c>
      <c r="C1143">
        <v>682</v>
      </c>
      <c r="D1143">
        <v>210226844</v>
      </c>
      <c r="E1143">
        <v>7580452304910</v>
      </c>
      <c r="F1143">
        <v>35990</v>
      </c>
      <c r="G1143">
        <v>36058</v>
      </c>
      <c r="H1143">
        <v>36068</v>
      </c>
      <c r="I1143">
        <v>78</v>
      </c>
      <c r="J1143">
        <v>0.22</v>
      </c>
      <c r="K1143">
        <v>36058</v>
      </c>
      <c r="L1143">
        <v>68</v>
      </c>
      <c r="M1143">
        <v>0.19</v>
      </c>
      <c r="N1143">
        <v>36058</v>
      </c>
      <c r="O1143">
        <v>36068</v>
      </c>
      <c r="P1143" t="s">
        <v>192</v>
      </c>
      <c r="Q1143" t="s">
        <v>192</v>
      </c>
      <c r="R1143">
        <v>1</v>
      </c>
      <c r="S1143">
        <v>84900</v>
      </c>
      <c r="T1143">
        <v>36061</v>
      </c>
      <c r="U1143">
        <v>36068</v>
      </c>
      <c r="V1143">
        <v>311802</v>
      </c>
      <c r="W1143">
        <v>1</v>
      </c>
      <c r="X1143" s="367"/>
    </row>
    <row r="1144" spans="1:24">
      <c r="A1144" t="s">
        <v>8749</v>
      </c>
      <c r="B1144" t="s">
        <v>8750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1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 t="s">
        <v>192</v>
      </c>
      <c r="Q1144" t="s">
        <v>192</v>
      </c>
      <c r="R1144">
        <v>1</v>
      </c>
      <c r="S1144">
        <v>1000</v>
      </c>
      <c r="T1144">
        <v>19</v>
      </c>
      <c r="U1144">
        <v>155</v>
      </c>
      <c r="V1144">
        <v>60</v>
      </c>
      <c r="W1144">
        <v>1</v>
      </c>
      <c r="X1144" s="367"/>
    </row>
    <row r="1145" spans="1:24">
      <c r="A1145" t="s">
        <v>5369</v>
      </c>
      <c r="B1145" t="s">
        <v>5370</v>
      </c>
      <c r="C1145">
        <v>0</v>
      </c>
      <c r="D1145">
        <v>0</v>
      </c>
      <c r="E1145">
        <v>0</v>
      </c>
      <c r="F1145">
        <v>1000000</v>
      </c>
      <c r="G1145">
        <v>0</v>
      </c>
      <c r="H1145">
        <v>1000000</v>
      </c>
      <c r="I1145">
        <v>0</v>
      </c>
      <c r="J1145">
        <v>0</v>
      </c>
      <c r="K1145">
        <v>1000000</v>
      </c>
      <c r="L1145">
        <v>0</v>
      </c>
      <c r="M1145">
        <v>0</v>
      </c>
      <c r="N1145">
        <v>0</v>
      </c>
      <c r="O1145">
        <v>0</v>
      </c>
      <c r="P1145" t="s">
        <v>192</v>
      </c>
      <c r="Q1145" t="s">
        <v>192</v>
      </c>
      <c r="R1145">
        <v>1</v>
      </c>
      <c r="S1145">
        <v>5000</v>
      </c>
      <c r="T1145">
        <v>1000000</v>
      </c>
      <c r="U1145">
        <v>0</v>
      </c>
      <c r="V1145">
        <v>0</v>
      </c>
      <c r="W1145">
        <v>0</v>
      </c>
      <c r="X1145" s="367"/>
    </row>
    <row r="1146" spans="1:24">
      <c r="A1146" t="s">
        <v>2588</v>
      </c>
      <c r="B1146" t="s">
        <v>2587</v>
      </c>
      <c r="C1146">
        <v>378</v>
      </c>
      <c r="D1146">
        <v>6794315</v>
      </c>
      <c r="E1146">
        <v>31429466830</v>
      </c>
      <c r="F1146">
        <v>4500</v>
      </c>
      <c r="G1146">
        <v>4630</v>
      </c>
      <c r="H1146">
        <v>4630</v>
      </c>
      <c r="I1146">
        <v>130</v>
      </c>
      <c r="J1146">
        <v>2.89</v>
      </c>
      <c r="K1146">
        <v>4630</v>
      </c>
      <c r="L1146">
        <v>130</v>
      </c>
      <c r="M1146">
        <v>2.89</v>
      </c>
      <c r="N1146">
        <v>4570</v>
      </c>
      <c r="O1146">
        <v>4630</v>
      </c>
      <c r="P1146">
        <v>636</v>
      </c>
      <c r="Q1146">
        <v>7.28</v>
      </c>
      <c r="R1146">
        <v>42</v>
      </c>
      <c r="S1146">
        <v>11818825</v>
      </c>
      <c r="T1146">
        <v>4630</v>
      </c>
      <c r="U1146">
        <v>0</v>
      </c>
      <c r="V1146">
        <v>0</v>
      </c>
      <c r="W1146">
        <v>0</v>
      </c>
      <c r="X1146" s="367"/>
    </row>
    <row r="1147" spans="1:24">
      <c r="A1147" t="s">
        <v>8797</v>
      </c>
      <c r="B1147" t="s">
        <v>2444</v>
      </c>
      <c r="C1147">
        <v>17</v>
      </c>
      <c r="D1147">
        <v>1195912</v>
      </c>
      <c r="E1147">
        <v>2071319584</v>
      </c>
      <c r="F1147">
        <v>1714</v>
      </c>
      <c r="G1147">
        <v>1732</v>
      </c>
      <c r="H1147">
        <v>1732</v>
      </c>
      <c r="I1147">
        <v>18</v>
      </c>
      <c r="J1147">
        <v>1.05</v>
      </c>
      <c r="K1147">
        <v>1732</v>
      </c>
      <c r="L1147">
        <v>18</v>
      </c>
      <c r="M1147">
        <v>1.05</v>
      </c>
      <c r="N1147">
        <v>1732</v>
      </c>
      <c r="O1147">
        <v>1732</v>
      </c>
      <c r="P1147">
        <v>275</v>
      </c>
      <c r="Q1147">
        <v>6.3</v>
      </c>
      <c r="R1147">
        <v>10</v>
      </c>
      <c r="S1147">
        <v>1346842</v>
      </c>
      <c r="T1147">
        <v>1732</v>
      </c>
      <c r="U1147">
        <v>0</v>
      </c>
      <c r="V1147">
        <v>0</v>
      </c>
      <c r="W1147">
        <v>0</v>
      </c>
      <c r="X1147" s="367"/>
    </row>
    <row r="1148" spans="1:24">
      <c r="A1148" t="s">
        <v>2238</v>
      </c>
      <c r="B1148" t="s">
        <v>2237</v>
      </c>
      <c r="C1148">
        <v>374</v>
      </c>
      <c r="D1148">
        <v>24702904</v>
      </c>
      <c r="E1148">
        <v>55430882168</v>
      </c>
      <c r="F1148">
        <v>2181</v>
      </c>
      <c r="G1148">
        <v>2246</v>
      </c>
      <c r="H1148">
        <v>2244</v>
      </c>
      <c r="I1148">
        <v>63</v>
      </c>
      <c r="J1148">
        <v>2.89</v>
      </c>
      <c r="K1148">
        <v>2244</v>
      </c>
      <c r="L1148">
        <v>63</v>
      </c>
      <c r="M1148">
        <v>2.89</v>
      </c>
      <c r="N1148">
        <v>2192</v>
      </c>
      <c r="O1148">
        <v>2246</v>
      </c>
      <c r="P1148">
        <v>141</v>
      </c>
      <c r="Q1148">
        <v>15.91</v>
      </c>
      <c r="R1148">
        <v>1</v>
      </c>
      <c r="S1148">
        <v>18958</v>
      </c>
      <c r="T1148">
        <v>2244</v>
      </c>
      <c r="U1148">
        <v>0</v>
      </c>
      <c r="V1148">
        <v>0</v>
      </c>
      <c r="W1148">
        <v>0</v>
      </c>
      <c r="X1148" s="367"/>
    </row>
    <row r="1149" spans="1:24">
      <c r="A1149" t="s">
        <v>8388</v>
      </c>
      <c r="B1149" t="s">
        <v>8389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 t="s">
        <v>192</v>
      </c>
      <c r="Q1149" t="s">
        <v>192</v>
      </c>
      <c r="R1149">
        <v>1</v>
      </c>
      <c r="S1149">
        <v>99</v>
      </c>
      <c r="T1149">
        <v>19</v>
      </c>
      <c r="U1149">
        <v>0</v>
      </c>
      <c r="V1149">
        <v>0</v>
      </c>
      <c r="W1149">
        <v>0</v>
      </c>
      <c r="X1149" s="367"/>
    </row>
    <row r="1150" spans="1:24">
      <c r="A1150" t="s">
        <v>79</v>
      </c>
      <c r="B1150" t="s">
        <v>78</v>
      </c>
      <c r="C1150">
        <v>2083</v>
      </c>
      <c r="D1150">
        <v>39105315</v>
      </c>
      <c r="E1150">
        <v>344849055090</v>
      </c>
      <c r="F1150">
        <v>8590</v>
      </c>
      <c r="G1150">
        <v>8800</v>
      </c>
      <c r="H1150">
        <v>8820</v>
      </c>
      <c r="I1150">
        <v>230</v>
      </c>
      <c r="J1150">
        <v>2.68</v>
      </c>
      <c r="K1150">
        <v>8820</v>
      </c>
      <c r="L1150">
        <v>230</v>
      </c>
      <c r="M1150">
        <v>2.68</v>
      </c>
      <c r="N1150">
        <v>8700</v>
      </c>
      <c r="O1150">
        <v>8840</v>
      </c>
      <c r="P1150">
        <v>1761</v>
      </c>
      <c r="Q1150">
        <v>5.01</v>
      </c>
      <c r="R1150">
        <v>2</v>
      </c>
      <c r="S1150">
        <v>35000</v>
      </c>
      <c r="T1150">
        <v>8790</v>
      </c>
      <c r="U1150">
        <v>8820</v>
      </c>
      <c r="V1150">
        <v>219078</v>
      </c>
      <c r="W1150">
        <v>1</v>
      </c>
      <c r="X1150" s="367"/>
    </row>
    <row r="1151" spans="1:24">
      <c r="A1151" t="s">
        <v>2937</v>
      </c>
      <c r="B1151" t="s">
        <v>2936</v>
      </c>
      <c r="C1151">
        <v>270</v>
      </c>
      <c r="D1151">
        <v>7583421</v>
      </c>
      <c r="E1151">
        <v>18882832793</v>
      </c>
      <c r="F1151">
        <v>2423</v>
      </c>
      <c r="G1151">
        <v>2473</v>
      </c>
      <c r="H1151">
        <v>2495</v>
      </c>
      <c r="I1151">
        <v>72</v>
      </c>
      <c r="J1151">
        <v>2.97</v>
      </c>
      <c r="K1151">
        <v>2490</v>
      </c>
      <c r="L1151">
        <v>67</v>
      </c>
      <c r="M1151">
        <v>2.77</v>
      </c>
      <c r="N1151">
        <v>2455</v>
      </c>
      <c r="O1151">
        <v>2495</v>
      </c>
      <c r="P1151">
        <v>542</v>
      </c>
      <c r="Q1151">
        <v>4.59</v>
      </c>
      <c r="R1151">
        <v>6</v>
      </c>
      <c r="S1151">
        <v>160748</v>
      </c>
      <c r="T1151">
        <v>2495</v>
      </c>
      <c r="U1151">
        <v>2549</v>
      </c>
      <c r="V1151">
        <v>2500</v>
      </c>
      <c r="W1151">
        <v>1</v>
      </c>
      <c r="X1151" s="367"/>
    </row>
    <row r="1152" spans="1:24">
      <c r="A1152" t="s">
        <v>165</v>
      </c>
      <c r="B1152" t="s">
        <v>164</v>
      </c>
      <c r="C1152">
        <v>194</v>
      </c>
      <c r="D1152">
        <v>1571145</v>
      </c>
      <c r="E1152">
        <v>48689783550</v>
      </c>
      <c r="F1152">
        <v>30090</v>
      </c>
      <c r="G1152">
        <v>30990</v>
      </c>
      <c r="H1152">
        <v>30990</v>
      </c>
      <c r="I1152">
        <v>900</v>
      </c>
      <c r="J1152">
        <v>2.99</v>
      </c>
      <c r="K1152">
        <v>30990</v>
      </c>
      <c r="L1152">
        <v>900</v>
      </c>
      <c r="M1152">
        <v>2.99</v>
      </c>
      <c r="N1152">
        <v>30990</v>
      </c>
      <c r="O1152">
        <v>30990</v>
      </c>
      <c r="P1152">
        <v>3831</v>
      </c>
      <c r="Q1152">
        <v>8.09</v>
      </c>
      <c r="R1152">
        <v>130</v>
      </c>
      <c r="S1152">
        <v>600978</v>
      </c>
      <c r="T1152">
        <v>30990</v>
      </c>
      <c r="U1152">
        <v>0</v>
      </c>
      <c r="V1152">
        <v>0</v>
      </c>
      <c r="W1152">
        <v>0</v>
      </c>
      <c r="X1152" s="367"/>
    </row>
    <row r="1153" spans="1:24">
      <c r="A1153" t="s">
        <v>2338</v>
      </c>
      <c r="B1153" t="s">
        <v>2338</v>
      </c>
      <c r="C1153">
        <v>423</v>
      </c>
      <c r="D1153">
        <v>23043548</v>
      </c>
      <c r="E1153">
        <v>85025180600</v>
      </c>
      <c r="F1153">
        <v>3590</v>
      </c>
      <c r="G1153">
        <v>3690</v>
      </c>
      <c r="H1153">
        <v>3690</v>
      </c>
      <c r="I1153">
        <v>100</v>
      </c>
      <c r="J1153">
        <v>2.79</v>
      </c>
      <c r="K1153">
        <v>3690</v>
      </c>
      <c r="L1153">
        <v>100</v>
      </c>
      <c r="M1153">
        <v>2.79</v>
      </c>
      <c r="N1153">
        <v>3630</v>
      </c>
      <c r="O1153">
        <v>3690</v>
      </c>
      <c r="P1153">
        <v>516</v>
      </c>
      <c r="Q1153">
        <v>7.15</v>
      </c>
      <c r="R1153">
        <v>44</v>
      </c>
      <c r="S1153">
        <v>7804864</v>
      </c>
      <c r="T1153">
        <v>3690</v>
      </c>
      <c r="U1153">
        <v>0</v>
      </c>
      <c r="V1153">
        <v>0</v>
      </c>
      <c r="W1153">
        <v>0</v>
      </c>
      <c r="X1153" s="367"/>
    </row>
    <row r="1154" spans="1:24">
      <c r="A1154" t="s">
        <v>7473</v>
      </c>
      <c r="B1154" t="s">
        <v>7474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1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 t="s">
        <v>192</v>
      </c>
      <c r="Q1154" t="s">
        <v>192</v>
      </c>
      <c r="R1154">
        <v>1</v>
      </c>
      <c r="S1154">
        <v>444</v>
      </c>
      <c r="T1154">
        <v>4</v>
      </c>
      <c r="U1154">
        <v>70</v>
      </c>
      <c r="V1154">
        <v>100</v>
      </c>
      <c r="W1154">
        <v>1</v>
      </c>
      <c r="X1154" s="367"/>
    </row>
    <row r="1155" spans="1:24">
      <c r="A1155" t="s">
        <v>5371</v>
      </c>
      <c r="B1155" t="s">
        <v>8609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1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 t="s">
        <v>192</v>
      </c>
      <c r="Q1155" t="s">
        <v>192</v>
      </c>
      <c r="R1155">
        <v>1</v>
      </c>
      <c r="S1155">
        <v>100</v>
      </c>
      <c r="T1155">
        <v>1</v>
      </c>
      <c r="U1155">
        <v>0</v>
      </c>
      <c r="V1155">
        <v>0</v>
      </c>
      <c r="W1155">
        <v>0</v>
      </c>
      <c r="X1155" s="367"/>
    </row>
    <row r="1156" spans="1:24">
      <c r="A1156" t="s">
        <v>2060</v>
      </c>
      <c r="B1156" t="s">
        <v>2059</v>
      </c>
      <c r="C1156">
        <v>277</v>
      </c>
      <c r="D1156">
        <v>28927607</v>
      </c>
      <c r="E1156">
        <v>126702918660</v>
      </c>
      <c r="F1156">
        <v>4260</v>
      </c>
      <c r="G1156">
        <v>4380</v>
      </c>
      <c r="H1156">
        <v>4380</v>
      </c>
      <c r="I1156">
        <v>120</v>
      </c>
      <c r="J1156">
        <v>2.82</v>
      </c>
      <c r="K1156">
        <v>4380</v>
      </c>
      <c r="L1156">
        <v>120</v>
      </c>
      <c r="M1156">
        <v>2.82</v>
      </c>
      <c r="N1156">
        <v>4380</v>
      </c>
      <c r="O1156">
        <v>4380</v>
      </c>
      <c r="P1156">
        <v>2511</v>
      </c>
      <c r="Q1156">
        <v>1.74</v>
      </c>
      <c r="R1156">
        <v>241</v>
      </c>
      <c r="S1156">
        <v>33015058</v>
      </c>
      <c r="T1156">
        <v>4380</v>
      </c>
      <c r="U1156">
        <v>0</v>
      </c>
      <c r="V1156">
        <v>0</v>
      </c>
      <c r="W1156">
        <v>0</v>
      </c>
      <c r="X1156" s="367"/>
    </row>
    <row r="1157" spans="1:24">
      <c r="A1157" t="s">
        <v>5372</v>
      </c>
      <c r="B1157" t="s">
        <v>5373</v>
      </c>
      <c r="C1157">
        <v>0</v>
      </c>
      <c r="D1157">
        <v>0</v>
      </c>
      <c r="E1157">
        <v>0</v>
      </c>
      <c r="F1157">
        <v>929575</v>
      </c>
      <c r="G1157">
        <v>0</v>
      </c>
      <c r="H1157">
        <v>929575</v>
      </c>
      <c r="I1157">
        <v>0</v>
      </c>
      <c r="J1157">
        <v>0</v>
      </c>
      <c r="K1157">
        <v>929575</v>
      </c>
      <c r="L1157">
        <v>0</v>
      </c>
      <c r="M1157">
        <v>0</v>
      </c>
      <c r="N1157">
        <v>0</v>
      </c>
      <c r="O1157">
        <v>0</v>
      </c>
      <c r="P1157" t="s">
        <v>192</v>
      </c>
      <c r="Q1157" t="s">
        <v>192</v>
      </c>
      <c r="R1157">
        <v>1</v>
      </c>
      <c r="S1157">
        <v>5000</v>
      </c>
      <c r="T1157">
        <v>929575</v>
      </c>
      <c r="U1157">
        <v>938875</v>
      </c>
      <c r="V1157">
        <v>5000</v>
      </c>
      <c r="W1157">
        <v>1</v>
      </c>
      <c r="X1157" s="367"/>
    </row>
    <row r="1158" spans="1:24">
      <c r="A1158" t="s">
        <v>8798</v>
      </c>
      <c r="B1158" t="s">
        <v>2291</v>
      </c>
      <c r="C1158">
        <v>2</v>
      </c>
      <c r="D1158">
        <v>1393</v>
      </c>
      <c r="E1158">
        <v>47473440</v>
      </c>
      <c r="F1158">
        <v>33090</v>
      </c>
      <c r="G1158">
        <v>34080</v>
      </c>
      <c r="H1158">
        <v>34080</v>
      </c>
      <c r="I1158">
        <v>990</v>
      </c>
      <c r="J1158">
        <v>2.99</v>
      </c>
      <c r="K1158">
        <v>34080</v>
      </c>
      <c r="L1158">
        <v>990</v>
      </c>
      <c r="M1158">
        <v>2.99</v>
      </c>
      <c r="N1158">
        <v>34080</v>
      </c>
      <c r="O1158">
        <v>34080</v>
      </c>
      <c r="P1158">
        <v>9010</v>
      </c>
      <c r="Q1158">
        <v>3.78</v>
      </c>
      <c r="R1158">
        <v>214</v>
      </c>
      <c r="S1158">
        <v>5846822</v>
      </c>
      <c r="T1158">
        <v>34080</v>
      </c>
      <c r="U1158">
        <v>0</v>
      </c>
      <c r="V1158">
        <v>0</v>
      </c>
      <c r="W1158">
        <v>0</v>
      </c>
      <c r="X1158" s="367"/>
    </row>
    <row r="1159" spans="1:24">
      <c r="A1159" t="s">
        <v>7958</v>
      </c>
      <c r="B1159" t="s">
        <v>7959</v>
      </c>
      <c r="C1159">
        <v>253</v>
      </c>
      <c r="D1159">
        <v>63603</v>
      </c>
      <c r="E1159">
        <v>13529743000</v>
      </c>
      <c r="F1159">
        <v>192</v>
      </c>
      <c r="G1159">
        <v>275</v>
      </c>
      <c r="H1159">
        <v>213</v>
      </c>
      <c r="I1159">
        <v>21</v>
      </c>
      <c r="J1159">
        <v>10.94</v>
      </c>
      <c r="K1159">
        <v>213</v>
      </c>
      <c r="L1159">
        <v>21</v>
      </c>
      <c r="M1159">
        <v>10.94</v>
      </c>
      <c r="N1159">
        <v>200</v>
      </c>
      <c r="O1159">
        <v>275</v>
      </c>
      <c r="P1159" t="s">
        <v>192</v>
      </c>
      <c r="Q1159" t="s">
        <v>192</v>
      </c>
      <c r="R1159">
        <v>1</v>
      </c>
      <c r="S1159">
        <v>1000</v>
      </c>
      <c r="T1159">
        <v>210</v>
      </c>
      <c r="U1159">
        <v>213</v>
      </c>
      <c r="V1159">
        <v>214</v>
      </c>
      <c r="W1159">
        <v>2</v>
      </c>
      <c r="X1159" s="367"/>
    </row>
    <row r="1160" spans="1:24">
      <c r="A1160" t="s">
        <v>2849</v>
      </c>
      <c r="B1160" t="s">
        <v>2848</v>
      </c>
      <c r="C1160">
        <v>617</v>
      </c>
      <c r="D1160">
        <v>8484636</v>
      </c>
      <c r="E1160">
        <v>27470030670</v>
      </c>
      <c r="F1160">
        <v>3170</v>
      </c>
      <c r="G1160">
        <v>3260</v>
      </c>
      <c r="H1160">
        <v>3250</v>
      </c>
      <c r="I1160">
        <v>80</v>
      </c>
      <c r="J1160">
        <v>2.52</v>
      </c>
      <c r="K1160">
        <v>3240</v>
      </c>
      <c r="L1160">
        <v>70</v>
      </c>
      <c r="M1160">
        <v>2.21</v>
      </c>
      <c r="N1160">
        <v>3190</v>
      </c>
      <c r="O1160">
        <v>3260</v>
      </c>
      <c r="P1160">
        <v>403</v>
      </c>
      <c r="Q1160">
        <v>8.0399999999999991</v>
      </c>
      <c r="R1160">
        <v>1</v>
      </c>
      <c r="S1160">
        <v>4000</v>
      </c>
      <c r="T1160">
        <v>3220</v>
      </c>
      <c r="U1160">
        <v>3250</v>
      </c>
      <c r="V1160">
        <v>65388</v>
      </c>
      <c r="W1160">
        <v>1</v>
      </c>
      <c r="X1160" s="367"/>
    </row>
    <row r="1161" spans="1:24">
      <c r="A1161" t="s">
        <v>2576</v>
      </c>
      <c r="B1161" t="s">
        <v>2575</v>
      </c>
      <c r="C1161">
        <v>19</v>
      </c>
      <c r="D1161">
        <v>245887</v>
      </c>
      <c r="E1161">
        <v>3496513140</v>
      </c>
      <c r="F1161">
        <v>13810</v>
      </c>
      <c r="G1161">
        <v>14220</v>
      </c>
      <c r="H1161">
        <v>14220</v>
      </c>
      <c r="I1161">
        <v>410</v>
      </c>
      <c r="J1161">
        <v>2.97</v>
      </c>
      <c r="K1161">
        <v>14220</v>
      </c>
      <c r="L1161">
        <v>410</v>
      </c>
      <c r="M1161">
        <v>2.97</v>
      </c>
      <c r="N1161">
        <v>14220</v>
      </c>
      <c r="O1161">
        <v>14220</v>
      </c>
      <c r="P1161">
        <v>-208</v>
      </c>
      <c r="Q1161">
        <v>-68.37</v>
      </c>
      <c r="R1161">
        <v>10</v>
      </c>
      <c r="S1161">
        <v>532534</v>
      </c>
      <c r="T1161">
        <v>14220</v>
      </c>
      <c r="U1161">
        <v>0</v>
      </c>
      <c r="V1161">
        <v>0</v>
      </c>
      <c r="W1161">
        <v>0</v>
      </c>
      <c r="X1161" s="367"/>
    </row>
    <row r="1162" spans="1:24">
      <c r="A1162" t="s">
        <v>5166</v>
      </c>
      <c r="B1162" t="s">
        <v>5167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 t="s">
        <v>192</v>
      </c>
      <c r="Q1162" t="s">
        <v>192</v>
      </c>
      <c r="R1162">
        <v>1</v>
      </c>
      <c r="S1162">
        <v>400</v>
      </c>
      <c r="T1162">
        <v>1000</v>
      </c>
      <c r="U1162">
        <v>0</v>
      </c>
      <c r="V1162">
        <v>0</v>
      </c>
      <c r="W1162">
        <v>0</v>
      </c>
      <c r="X1162" s="367"/>
    </row>
    <row r="1163" spans="1:24">
      <c r="A1163" t="s">
        <v>5168</v>
      </c>
      <c r="B1163" t="s">
        <v>5169</v>
      </c>
      <c r="C1163">
        <v>0</v>
      </c>
      <c r="D1163">
        <v>0</v>
      </c>
      <c r="E1163">
        <v>0</v>
      </c>
      <c r="F1163">
        <v>1000000</v>
      </c>
      <c r="G1163">
        <v>0</v>
      </c>
      <c r="H1163">
        <v>1000000</v>
      </c>
      <c r="I1163">
        <v>0</v>
      </c>
      <c r="J1163">
        <v>0</v>
      </c>
      <c r="K1163">
        <v>1000000</v>
      </c>
      <c r="L1163">
        <v>0</v>
      </c>
      <c r="M1163">
        <v>0</v>
      </c>
      <c r="N1163">
        <v>0</v>
      </c>
      <c r="O1163">
        <v>0</v>
      </c>
      <c r="P1163" t="s">
        <v>192</v>
      </c>
      <c r="Q1163" t="s">
        <v>192</v>
      </c>
      <c r="R1163">
        <v>1</v>
      </c>
      <c r="S1163">
        <v>100000</v>
      </c>
      <c r="T1163">
        <v>1000000</v>
      </c>
      <c r="U1163">
        <v>0</v>
      </c>
      <c r="V1163">
        <v>0</v>
      </c>
      <c r="W1163">
        <v>0</v>
      </c>
      <c r="X1163" s="367"/>
    </row>
    <row r="1164" spans="1:24">
      <c r="A1164" t="s">
        <v>2463</v>
      </c>
      <c r="B1164" t="s">
        <v>2462</v>
      </c>
      <c r="C1164">
        <v>311</v>
      </c>
      <c r="D1164">
        <v>6139450</v>
      </c>
      <c r="E1164">
        <v>125487226980</v>
      </c>
      <c r="F1164">
        <v>19850</v>
      </c>
      <c r="G1164">
        <v>20440</v>
      </c>
      <c r="H1164">
        <v>20440</v>
      </c>
      <c r="I1164">
        <v>590</v>
      </c>
      <c r="J1164">
        <v>2.97</v>
      </c>
      <c r="K1164">
        <v>20440</v>
      </c>
      <c r="L1164">
        <v>590</v>
      </c>
      <c r="M1164">
        <v>2.97</v>
      </c>
      <c r="N1164">
        <v>20110</v>
      </c>
      <c r="O1164">
        <v>20440</v>
      </c>
      <c r="P1164">
        <v>3565</v>
      </c>
      <c r="Q1164">
        <v>5.73</v>
      </c>
      <c r="R1164">
        <v>11</v>
      </c>
      <c r="S1164">
        <v>131285</v>
      </c>
      <c r="T1164">
        <v>20440</v>
      </c>
      <c r="U1164">
        <v>0</v>
      </c>
      <c r="V1164">
        <v>0</v>
      </c>
      <c r="W1164">
        <v>0</v>
      </c>
      <c r="X1164" s="367"/>
    </row>
    <row r="1165" spans="1:24">
      <c r="A1165" t="s">
        <v>971</v>
      </c>
      <c r="B1165" t="s">
        <v>5170</v>
      </c>
      <c r="C1165">
        <v>20</v>
      </c>
      <c r="D1165">
        <v>1219697</v>
      </c>
      <c r="E1165">
        <v>2857750071</v>
      </c>
      <c r="F1165">
        <v>2275</v>
      </c>
      <c r="G1165">
        <v>2343</v>
      </c>
      <c r="H1165">
        <v>2343</v>
      </c>
      <c r="I1165">
        <v>68</v>
      </c>
      <c r="J1165">
        <v>2.99</v>
      </c>
      <c r="K1165">
        <v>2343</v>
      </c>
      <c r="L1165">
        <v>68</v>
      </c>
      <c r="M1165">
        <v>2.99</v>
      </c>
      <c r="N1165">
        <v>2343</v>
      </c>
      <c r="O1165">
        <v>2343</v>
      </c>
      <c r="P1165">
        <v>114</v>
      </c>
      <c r="Q1165">
        <v>20.55</v>
      </c>
      <c r="R1165">
        <v>23</v>
      </c>
      <c r="S1165">
        <v>3917023</v>
      </c>
      <c r="T1165">
        <v>2343</v>
      </c>
      <c r="U1165">
        <v>2375</v>
      </c>
      <c r="V1165">
        <v>45000</v>
      </c>
      <c r="W1165">
        <v>1</v>
      </c>
      <c r="X1165" s="367"/>
    </row>
    <row r="1166" spans="1:24">
      <c r="A1166" t="s">
        <v>8799</v>
      </c>
      <c r="B1166" t="s">
        <v>2696</v>
      </c>
      <c r="C1166">
        <v>1</v>
      </c>
      <c r="D1166">
        <v>76</v>
      </c>
      <c r="E1166">
        <v>5782080</v>
      </c>
      <c r="F1166">
        <v>73980</v>
      </c>
      <c r="G1166">
        <v>76080</v>
      </c>
      <c r="H1166">
        <v>76080</v>
      </c>
      <c r="I1166">
        <v>2100</v>
      </c>
      <c r="J1166">
        <v>2.84</v>
      </c>
      <c r="K1166">
        <v>76080</v>
      </c>
      <c r="L1166">
        <v>2100</v>
      </c>
      <c r="M1166">
        <v>2.84</v>
      </c>
      <c r="N1166">
        <v>76080</v>
      </c>
      <c r="O1166">
        <v>76080</v>
      </c>
      <c r="P1166">
        <v>5671</v>
      </c>
      <c r="Q1166">
        <v>13.42</v>
      </c>
      <c r="R1166">
        <v>7</v>
      </c>
      <c r="S1166">
        <v>26730</v>
      </c>
      <c r="T1166">
        <v>76080</v>
      </c>
      <c r="U1166">
        <v>0</v>
      </c>
      <c r="V1166">
        <v>0</v>
      </c>
      <c r="W1166">
        <v>0</v>
      </c>
      <c r="X1166" s="367"/>
    </row>
    <row r="1167" spans="1:24">
      <c r="A1167" t="s">
        <v>6617</v>
      </c>
      <c r="B1167" t="s">
        <v>8235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 t="s">
        <v>192</v>
      </c>
      <c r="Q1167" t="s">
        <v>192</v>
      </c>
      <c r="R1167">
        <v>1</v>
      </c>
      <c r="S1167">
        <v>44</v>
      </c>
      <c r="T1167">
        <v>44</v>
      </c>
      <c r="U1167">
        <v>0</v>
      </c>
      <c r="V1167">
        <v>0</v>
      </c>
      <c r="W1167">
        <v>0</v>
      </c>
      <c r="X1167" s="367"/>
    </row>
    <row r="1168" spans="1:24">
      <c r="A1168" t="s">
        <v>8657</v>
      </c>
      <c r="B1168" t="s">
        <v>8658</v>
      </c>
      <c r="C1168">
        <v>0</v>
      </c>
      <c r="D1168">
        <v>0</v>
      </c>
      <c r="E1168">
        <v>0</v>
      </c>
      <c r="F1168">
        <v>1000000</v>
      </c>
      <c r="G1168">
        <v>0</v>
      </c>
      <c r="H1168">
        <v>1000000</v>
      </c>
      <c r="I1168">
        <v>0</v>
      </c>
      <c r="J1168">
        <v>0</v>
      </c>
      <c r="K1168">
        <v>1000000</v>
      </c>
      <c r="L1168">
        <v>0</v>
      </c>
      <c r="M1168">
        <v>0</v>
      </c>
      <c r="N1168">
        <v>0</v>
      </c>
      <c r="O1168">
        <v>0</v>
      </c>
      <c r="P1168" t="s">
        <v>192</v>
      </c>
      <c r="Q1168" t="s">
        <v>192</v>
      </c>
      <c r="R1168">
        <v>1</v>
      </c>
      <c r="S1168">
        <v>10000</v>
      </c>
      <c r="T1168">
        <v>1000000</v>
      </c>
      <c r="U1168">
        <v>0</v>
      </c>
      <c r="V1168">
        <v>0</v>
      </c>
      <c r="W1168">
        <v>0</v>
      </c>
      <c r="X1168" s="367"/>
    </row>
    <row r="1169" spans="1:24">
      <c r="A1169" t="s">
        <v>8638</v>
      </c>
      <c r="B1169" t="s">
        <v>5664</v>
      </c>
      <c r="C1169">
        <v>15</v>
      </c>
      <c r="D1169">
        <v>12000000</v>
      </c>
      <c r="E1169">
        <v>12000000</v>
      </c>
      <c r="F1169">
        <v>17175</v>
      </c>
      <c r="G1169">
        <v>1</v>
      </c>
      <c r="H1169">
        <v>1</v>
      </c>
      <c r="I1169">
        <v>-17174</v>
      </c>
      <c r="J1169">
        <v>-99.99</v>
      </c>
      <c r="K1169">
        <v>1</v>
      </c>
      <c r="L1169">
        <v>-17174</v>
      </c>
      <c r="M1169">
        <v>-99.99</v>
      </c>
      <c r="N1169">
        <v>1</v>
      </c>
      <c r="O1169">
        <v>1</v>
      </c>
      <c r="P1169" t="s">
        <v>192</v>
      </c>
      <c r="Q1169" t="s">
        <v>192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 s="367"/>
    </row>
    <row r="1170" spans="1:24">
      <c r="A1170" t="s">
        <v>5171</v>
      </c>
      <c r="B1170" t="s">
        <v>5172</v>
      </c>
      <c r="C1170">
        <v>168</v>
      </c>
      <c r="D1170">
        <v>3380</v>
      </c>
      <c r="E1170">
        <v>89028830000</v>
      </c>
      <c r="F1170">
        <v>22630</v>
      </c>
      <c r="G1170">
        <v>24201</v>
      </c>
      <c r="H1170">
        <v>27250</v>
      </c>
      <c r="I1170">
        <v>4620</v>
      </c>
      <c r="J1170">
        <v>20.420000000000002</v>
      </c>
      <c r="K1170">
        <v>26340</v>
      </c>
      <c r="L1170">
        <v>3710</v>
      </c>
      <c r="M1170">
        <v>16.39</v>
      </c>
      <c r="N1170">
        <v>24201</v>
      </c>
      <c r="O1170">
        <v>27500</v>
      </c>
      <c r="P1170" t="s">
        <v>192</v>
      </c>
      <c r="Q1170" t="s">
        <v>192</v>
      </c>
      <c r="R1170">
        <v>1</v>
      </c>
      <c r="S1170">
        <v>81</v>
      </c>
      <c r="T1170">
        <v>26500</v>
      </c>
      <c r="U1170">
        <v>27550</v>
      </c>
      <c r="V1170">
        <v>1</v>
      </c>
      <c r="W1170">
        <v>1</v>
      </c>
      <c r="X1170" s="367"/>
    </row>
    <row r="1171" spans="1:24">
      <c r="A1171" t="s">
        <v>5173</v>
      </c>
      <c r="B1171" t="s">
        <v>5174</v>
      </c>
      <c r="C1171">
        <v>772</v>
      </c>
      <c r="D1171">
        <v>1240076</v>
      </c>
      <c r="E1171">
        <v>542610134712</v>
      </c>
      <c r="F1171">
        <v>424818</v>
      </c>
      <c r="G1171">
        <v>437562</v>
      </c>
      <c r="H1171">
        <v>437562</v>
      </c>
      <c r="I1171">
        <v>12744</v>
      </c>
      <c r="J1171">
        <v>3</v>
      </c>
      <c r="K1171">
        <v>437562</v>
      </c>
      <c r="L1171">
        <v>12744</v>
      </c>
      <c r="M1171">
        <v>3</v>
      </c>
      <c r="N1171">
        <v>437562</v>
      </c>
      <c r="O1171">
        <v>437562</v>
      </c>
      <c r="P1171" t="s">
        <v>192</v>
      </c>
      <c r="Q1171" t="s">
        <v>192</v>
      </c>
      <c r="R1171">
        <v>539</v>
      </c>
      <c r="S1171">
        <v>10563080</v>
      </c>
      <c r="T1171">
        <v>437562</v>
      </c>
      <c r="U1171">
        <v>449195</v>
      </c>
      <c r="V1171">
        <v>40</v>
      </c>
      <c r="W1171">
        <v>2</v>
      </c>
      <c r="X1171" s="367"/>
    </row>
    <row r="1172" spans="1:24">
      <c r="A1172" t="s">
        <v>5175</v>
      </c>
      <c r="B1172" t="s">
        <v>5176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 t="s">
        <v>192</v>
      </c>
      <c r="Q1172" t="s">
        <v>192</v>
      </c>
      <c r="R1172">
        <v>1</v>
      </c>
      <c r="S1172">
        <v>111</v>
      </c>
      <c r="T1172">
        <v>11</v>
      </c>
      <c r="U1172">
        <v>0</v>
      </c>
      <c r="V1172">
        <v>0</v>
      </c>
      <c r="W1172">
        <v>0</v>
      </c>
      <c r="X1172" s="367"/>
    </row>
    <row r="1173" spans="1:24">
      <c r="A1173" t="s">
        <v>8377</v>
      </c>
      <c r="B1173" t="s">
        <v>8378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 t="s">
        <v>192</v>
      </c>
      <c r="Q1173" t="s">
        <v>192</v>
      </c>
      <c r="R1173">
        <v>1</v>
      </c>
      <c r="S1173">
        <v>111</v>
      </c>
      <c r="T1173">
        <v>11</v>
      </c>
      <c r="U1173">
        <v>0</v>
      </c>
      <c r="V1173">
        <v>0</v>
      </c>
      <c r="W1173">
        <v>0</v>
      </c>
      <c r="X1173" s="367"/>
    </row>
    <row r="1174" spans="1:24">
      <c r="A1174" t="s">
        <v>5177</v>
      </c>
      <c r="B1174" t="s">
        <v>5178</v>
      </c>
      <c r="C1174">
        <v>10</v>
      </c>
      <c r="D1174">
        <v>106076</v>
      </c>
      <c r="E1174">
        <v>4326839040</v>
      </c>
      <c r="F1174">
        <v>39602</v>
      </c>
      <c r="G1174">
        <v>40790</v>
      </c>
      <c r="H1174">
        <v>40790</v>
      </c>
      <c r="I1174">
        <v>1188</v>
      </c>
      <c r="J1174">
        <v>3</v>
      </c>
      <c r="K1174">
        <v>40790</v>
      </c>
      <c r="L1174">
        <v>1188</v>
      </c>
      <c r="M1174">
        <v>3</v>
      </c>
      <c r="N1174">
        <v>40750</v>
      </c>
      <c r="O1174">
        <v>40790</v>
      </c>
      <c r="P1174" t="s">
        <v>192</v>
      </c>
      <c r="Q1174" t="s">
        <v>192</v>
      </c>
      <c r="R1174">
        <v>1</v>
      </c>
      <c r="S1174">
        <v>3000</v>
      </c>
      <c r="T1174">
        <v>40750</v>
      </c>
      <c r="U1174">
        <v>0</v>
      </c>
      <c r="V1174">
        <v>0</v>
      </c>
      <c r="W1174">
        <v>0</v>
      </c>
      <c r="X1174" s="367"/>
    </row>
    <row r="1175" spans="1:24">
      <c r="A1175" t="s">
        <v>5179</v>
      </c>
      <c r="B1175" t="s">
        <v>5180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P1175" t="s">
        <v>192</v>
      </c>
      <c r="Q1175" t="s">
        <v>192</v>
      </c>
      <c r="R1175">
        <v>1</v>
      </c>
      <c r="S1175">
        <v>100</v>
      </c>
      <c r="T1175">
        <v>1</v>
      </c>
      <c r="U1175">
        <v>0</v>
      </c>
      <c r="V1175">
        <v>0</v>
      </c>
      <c r="W1175">
        <v>0</v>
      </c>
      <c r="X1175" s="367"/>
    </row>
    <row r="1176" spans="1:24">
      <c r="A1176" t="s">
        <v>7037</v>
      </c>
      <c r="B1176" t="s">
        <v>7038</v>
      </c>
      <c r="C1176">
        <v>0</v>
      </c>
      <c r="D1176">
        <v>0</v>
      </c>
      <c r="E1176">
        <v>0</v>
      </c>
      <c r="F1176">
        <v>302</v>
      </c>
      <c r="G1176">
        <v>0</v>
      </c>
      <c r="H1176">
        <v>290</v>
      </c>
      <c r="I1176">
        <v>-12</v>
      </c>
      <c r="J1176">
        <v>-3.97</v>
      </c>
      <c r="K1176">
        <v>302</v>
      </c>
      <c r="L1176">
        <v>0</v>
      </c>
      <c r="M1176">
        <v>0</v>
      </c>
      <c r="N1176">
        <v>0</v>
      </c>
      <c r="O1176">
        <v>0</v>
      </c>
      <c r="P1176" t="s">
        <v>192</v>
      </c>
      <c r="Q1176" t="s">
        <v>192</v>
      </c>
      <c r="R1176">
        <v>2</v>
      </c>
      <c r="S1176">
        <v>100</v>
      </c>
      <c r="T1176">
        <v>155</v>
      </c>
      <c r="U1176">
        <v>0</v>
      </c>
      <c r="V1176">
        <v>0</v>
      </c>
      <c r="W1176">
        <v>0</v>
      </c>
      <c r="X1176" s="367"/>
    </row>
    <row r="1177" spans="1:24">
      <c r="A1177" t="s">
        <v>2799</v>
      </c>
      <c r="B1177" t="s">
        <v>2798</v>
      </c>
      <c r="C1177">
        <v>37</v>
      </c>
      <c r="D1177">
        <v>1347354</v>
      </c>
      <c r="E1177">
        <v>6265196100</v>
      </c>
      <c r="F1177">
        <v>4520</v>
      </c>
      <c r="G1177">
        <v>4650</v>
      </c>
      <c r="H1177">
        <v>4650</v>
      </c>
      <c r="I1177">
        <v>130</v>
      </c>
      <c r="J1177">
        <v>2.88</v>
      </c>
      <c r="K1177">
        <v>4650</v>
      </c>
      <c r="L1177">
        <v>130</v>
      </c>
      <c r="M1177">
        <v>2.88</v>
      </c>
      <c r="N1177">
        <v>4650</v>
      </c>
      <c r="O1177">
        <v>4650</v>
      </c>
      <c r="P1177">
        <v>484</v>
      </c>
      <c r="Q1177">
        <v>9.61</v>
      </c>
      <c r="R1177">
        <v>70</v>
      </c>
      <c r="S1177">
        <v>11597663</v>
      </c>
      <c r="T1177">
        <v>4650</v>
      </c>
      <c r="U1177">
        <v>0</v>
      </c>
      <c r="V1177">
        <v>0</v>
      </c>
      <c r="W1177">
        <v>0</v>
      </c>
      <c r="X1177" s="367"/>
    </row>
    <row r="1178" spans="1:24">
      <c r="A1178" t="s">
        <v>5181</v>
      </c>
      <c r="B1178" t="s">
        <v>5182</v>
      </c>
      <c r="C1178">
        <v>10</v>
      </c>
      <c r="D1178">
        <v>499779</v>
      </c>
      <c r="E1178">
        <v>9931108509</v>
      </c>
      <c r="F1178">
        <v>19293</v>
      </c>
      <c r="G1178">
        <v>19871</v>
      </c>
      <c r="H1178">
        <v>19871</v>
      </c>
      <c r="I1178">
        <v>578</v>
      </c>
      <c r="J1178">
        <v>3</v>
      </c>
      <c r="K1178">
        <v>19871</v>
      </c>
      <c r="L1178">
        <v>578</v>
      </c>
      <c r="M1178">
        <v>3</v>
      </c>
      <c r="N1178">
        <v>19871</v>
      </c>
      <c r="O1178">
        <v>19871</v>
      </c>
      <c r="P1178" t="s">
        <v>192</v>
      </c>
      <c r="Q1178" t="s">
        <v>192</v>
      </c>
      <c r="R1178">
        <v>7</v>
      </c>
      <c r="S1178">
        <v>2327542</v>
      </c>
      <c r="T1178">
        <v>19871</v>
      </c>
      <c r="U1178">
        <v>0</v>
      </c>
      <c r="V1178">
        <v>0</v>
      </c>
      <c r="W1178">
        <v>0</v>
      </c>
      <c r="X1178" s="367"/>
    </row>
    <row r="1179" spans="1:24">
      <c r="A1179" t="s">
        <v>6913</v>
      </c>
      <c r="B1179" t="s">
        <v>6914</v>
      </c>
      <c r="C1179">
        <v>0</v>
      </c>
      <c r="D1179">
        <v>0</v>
      </c>
      <c r="E1179">
        <v>0</v>
      </c>
      <c r="F1179">
        <v>4</v>
      </c>
      <c r="G1179">
        <v>0</v>
      </c>
      <c r="H1179">
        <v>4</v>
      </c>
      <c r="I1179">
        <v>0</v>
      </c>
      <c r="J1179">
        <v>0</v>
      </c>
      <c r="K1179">
        <v>4</v>
      </c>
      <c r="L1179">
        <v>0</v>
      </c>
      <c r="M1179">
        <v>0</v>
      </c>
      <c r="N1179">
        <v>0</v>
      </c>
      <c r="O1179">
        <v>0</v>
      </c>
      <c r="P1179" t="s">
        <v>192</v>
      </c>
      <c r="Q1179" t="s">
        <v>192</v>
      </c>
      <c r="R1179">
        <v>2</v>
      </c>
      <c r="S1179">
        <v>1220</v>
      </c>
      <c r="T1179">
        <v>2</v>
      </c>
      <c r="U1179">
        <v>0</v>
      </c>
      <c r="V1179">
        <v>0</v>
      </c>
      <c r="W1179">
        <v>0</v>
      </c>
      <c r="X1179" s="367"/>
    </row>
    <row r="1180" spans="1:24">
      <c r="A1180" t="s">
        <v>1711</v>
      </c>
      <c r="B1180" t="s">
        <v>1710</v>
      </c>
      <c r="C1180">
        <v>510</v>
      </c>
      <c r="D1180">
        <v>17572826</v>
      </c>
      <c r="E1180">
        <v>84513561830</v>
      </c>
      <c r="F1180">
        <v>4680</v>
      </c>
      <c r="G1180">
        <v>4820</v>
      </c>
      <c r="H1180">
        <v>4820</v>
      </c>
      <c r="I1180">
        <v>140</v>
      </c>
      <c r="J1180">
        <v>2.99</v>
      </c>
      <c r="K1180">
        <v>4810</v>
      </c>
      <c r="L1180">
        <v>130</v>
      </c>
      <c r="M1180">
        <v>2.78</v>
      </c>
      <c r="N1180">
        <v>4750</v>
      </c>
      <c r="O1180">
        <v>4820</v>
      </c>
      <c r="P1180">
        <v>332</v>
      </c>
      <c r="Q1180">
        <v>14.49</v>
      </c>
      <c r="R1180">
        <v>2</v>
      </c>
      <c r="S1180">
        <v>92774</v>
      </c>
      <c r="T1180">
        <v>4820</v>
      </c>
      <c r="U1180">
        <v>0</v>
      </c>
      <c r="V1180">
        <v>0</v>
      </c>
      <c r="W1180">
        <v>0</v>
      </c>
      <c r="X1180" s="367"/>
    </row>
    <row r="1181" spans="1:24">
      <c r="A1181" t="s">
        <v>7361</v>
      </c>
      <c r="B1181" t="s">
        <v>7362</v>
      </c>
      <c r="C1181">
        <v>0</v>
      </c>
      <c r="D1181">
        <v>0</v>
      </c>
      <c r="E1181">
        <v>0</v>
      </c>
      <c r="F1181">
        <v>260</v>
      </c>
      <c r="G1181">
        <v>0</v>
      </c>
      <c r="H1181">
        <v>260</v>
      </c>
      <c r="I1181">
        <v>0</v>
      </c>
      <c r="J1181">
        <v>0</v>
      </c>
      <c r="K1181">
        <v>260</v>
      </c>
      <c r="L1181">
        <v>0</v>
      </c>
      <c r="M1181">
        <v>0</v>
      </c>
      <c r="N1181">
        <v>0</v>
      </c>
      <c r="O1181">
        <v>0</v>
      </c>
      <c r="P1181" t="s">
        <v>192</v>
      </c>
      <c r="Q1181" t="s">
        <v>192</v>
      </c>
      <c r="R1181">
        <v>1</v>
      </c>
      <c r="S1181">
        <v>1000</v>
      </c>
      <c r="T1181">
        <v>5</v>
      </c>
      <c r="U1181">
        <v>450</v>
      </c>
      <c r="V1181">
        <v>100</v>
      </c>
      <c r="W1181">
        <v>1</v>
      </c>
      <c r="X1181" s="367"/>
    </row>
    <row r="1182" spans="1:24">
      <c r="A1182" t="s">
        <v>8379</v>
      </c>
      <c r="B1182" t="s">
        <v>8380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1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 t="s">
        <v>192</v>
      </c>
      <c r="Q1182" t="s">
        <v>192</v>
      </c>
      <c r="R1182">
        <v>1</v>
      </c>
      <c r="S1182">
        <v>100</v>
      </c>
      <c r="T1182">
        <v>1</v>
      </c>
      <c r="U1182">
        <v>0</v>
      </c>
      <c r="V1182">
        <v>0</v>
      </c>
      <c r="W1182">
        <v>0</v>
      </c>
      <c r="X1182" s="367"/>
    </row>
    <row r="1183" spans="1:24">
      <c r="A1183" t="s">
        <v>5184</v>
      </c>
      <c r="B1183" t="s">
        <v>5185</v>
      </c>
      <c r="C1183">
        <v>0</v>
      </c>
      <c r="D1183">
        <v>0</v>
      </c>
      <c r="E1183">
        <v>0</v>
      </c>
      <c r="F1183">
        <v>844330</v>
      </c>
      <c r="G1183">
        <v>0</v>
      </c>
      <c r="H1183">
        <v>844330</v>
      </c>
      <c r="I1183">
        <v>0</v>
      </c>
      <c r="J1183">
        <v>0</v>
      </c>
      <c r="K1183">
        <v>844330</v>
      </c>
      <c r="L1183">
        <v>0</v>
      </c>
      <c r="M1183">
        <v>0</v>
      </c>
      <c r="N1183">
        <v>0</v>
      </c>
      <c r="O1183">
        <v>0</v>
      </c>
      <c r="P1183" t="s">
        <v>192</v>
      </c>
      <c r="Q1183" t="s">
        <v>192</v>
      </c>
      <c r="R1183">
        <v>1</v>
      </c>
      <c r="S1183">
        <v>7500</v>
      </c>
      <c r="T1183">
        <v>819001</v>
      </c>
      <c r="U1183">
        <v>0</v>
      </c>
      <c r="V1183">
        <v>0</v>
      </c>
      <c r="W1183">
        <v>0</v>
      </c>
      <c r="X1183" s="367"/>
    </row>
    <row r="1184" spans="1:24">
      <c r="A1184" t="s">
        <v>5188</v>
      </c>
      <c r="B1184" t="s">
        <v>5189</v>
      </c>
      <c r="C1184">
        <v>82</v>
      </c>
      <c r="D1184">
        <v>41022</v>
      </c>
      <c r="E1184">
        <v>41022000</v>
      </c>
      <c r="F1184">
        <v>1</v>
      </c>
      <c r="G1184">
        <v>1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1</v>
      </c>
      <c r="P1184" t="s">
        <v>192</v>
      </c>
      <c r="Q1184" t="s">
        <v>192</v>
      </c>
      <c r="R1184">
        <v>0</v>
      </c>
      <c r="S1184">
        <v>0</v>
      </c>
      <c r="T1184">
        <v>0</v>
      </c>
      <c r="U1184">
        <v>1</v>
      </c>
      <c r="V1184">
        <v>20050</v>
      </c>
      <c r="W1184">
        <v>21</v>
      </c>
      <c r="X1184" s="367"/>
    </row>
    <row r="1185" spans="1:24">
      <c r="A1185" t="s">
        <v>5190</v>
      </c>
      <c r="B1185" t="s">
        <v>5191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 t="s">
        <v>192</v>
      </c>
      <c r="Q1185" t="s">
        <v>192</v>
      </c>
      <c r="R1185">
        <v>1</v>
      </c>
      <c r="S1185">
        <v>20</v>
      </c>
      <c r="T1185">
        <v>1001</v>
      </c>
      <c r="U1185">
        <v>0</v>
      </c>
      <c r="V1185">
        <v>0</v>
      </c>
      <c r="W1185">
        <v>0</v>
      </c>
      <c r="X1185" s="367"/>
    </row>
    <row r="1186" spans="1:24">
      <c r="A1186" t="s">
        <v>2302</v>
      </c>
      <c r="B1186" t="s">
        <v>2301</v>
      </c>
      <c r="C1186">
        <v>333</v>
      </c>
      <c r="D1186">
        <v>1609668</v>
      </c>
      <c r="E1186">
        <v>53204077390</v>
      </c>
      <c r="F1186">
        <v>32170</v>
      </c>
      <c r="G1186">
        <v>33130</v>
      </c>
      <c r="H1186">
        <v>33130</v>
      </c>
      <c r="I1186">
        <v>960</v>
      </c>
      <c r="J1186">
        <v>2.98</v>
      </c>
      <c r="K1186">
        <v>33050</v>
      </c>
      <c r="L1186">
        <v>880</v>
      </c>
      <c r="M1186">
        <v>2.74</v>
      </c>
      <c r="N1186">
        <v>32430</v>
      </c>
      <c r="O1186">
        <v>33130</v>
      </c>
      <c r="P1186">
        <v>7407</v>
      </c>
      <c r="Q1186">
        <v>4.46</v>
      </c>
      <c r="R1186">
        <v>87</v>
      </c>
      <c r="S1186">
        <v>878750</v>
      </c>
      <c r="T1186">
        <v>33130</v>
      </c>
      <c r="U1186">
        <v>0</v>
      </c>
      <c r="V1186">
        <v>0</v>
      </c>
      <c r="W1186">
        <v>0</v>
      </c>
      <c r="X1186" s="367"/>
    </row>
    <row r="1187" spans="1:24">
      <c r="A1187" t="s">
        <v>2023</v>
      </c>
      <c r="B1187" t="s">
        <v>2022</v>
      </c>
      <c r="C1187">
        <v>541</v>
      </c>
      <c r="D1187">
        <v>11686572</v>
      </c>
      <c r="E1187">
        <v>67468769810</v>
      </c>
      <c r="F1187">
        <v>5620</v>
      </c>
      <c r="G1187">
        <v>5770</v>
      </c>
      <c r="H1187">
        <v>5780</v>
      </c>
      <c r="I1187">
        <v>160</v>
      </c>
      <c r="J1187">
        <v>2.85</v>
      </c>
      <c r="K1187">
        <v>5770</v>
      </c>
      <c r="L1187">
        <v>150</v>
      </c>
      <c r="M1187">
        <v>2.67</v>
      </c>
      <c r="N1187">
        <v>5670</v>
      </c>
      <c r="O1187">
        <v>5780</v>
      </c>
      <c r="P1187">
        <v>224</v>
      </c>
      <c r="Q1187">
        <v>25.76</v>
      </c>
      <c r="R1187">
        <v>13</v>
      </c>
      <c r="S1187">
        <v>417471</v>
      </c>
      <c r="T1187">
        <v>5780</v>
      </c>
      <c r="U1187">
        <v>5860</v>
      </c>
      <c r="V1187">
        <v>855</v>
      </c>
      <c r="W1187">
        <v>1</v>
      </c>
      <c r="X1187" s="367"/>
    </row>
    <row r="1188" spans="1:24">
      <c r="A1188" t="s">
        <v>11</v>
      </c>
      <c r="B1188" t="s">
        <v>2869</v>
      </c>
      <c r="C1188">
        <v>1551</v>
      </c>
      <c r="D1188">
        <v>84788140</v>
      </c>
      <c r="E1188">
        <v>286583913200</v>
      </c>
      <c r="F1188">
        <v>3290</v>
      </c>
      <c r="G1188">
        <v>3380</v>
      </c>
      <c r="H1188">
        <v>3380</v>
      </c>
      <c r="I1188">
        <v>90</v>
      </c>
      <c r="J1188">
        <v>2.74</v>
      </c>
      <c r="K1188">
        <v>3380</v>
      </c>
      <c r="L1188">
        <v>90</v>
      </c>
      <c r="M1188">
        <v>2.74</v>
      </c>
      <c r="N1188">
        <v>3380</v>
      </c>
      <c r="O1188">
        <v>3380</v>
      </c>
      <c r="P1188">
        <v>995</v>
      </c>
      <c r="Q1188">
        <v>3.4</v>
      </c>
      <c r="R1188">
        <v>148</v>
      </c>
      <c r="S1188">
        <v>19107726</v>
      </c>
      <c r="T1188">
        <v>3380</v>
      </c>
      <c r="U1188">
        <v>0</v>
      </c>
      <c r="V1188">
        <v>0</v>
      </c>
      <c r="W1188">
        <v>0</v>
      </c>
      <c r="X1188" s="367"/>
    </row>
    <row r="1189" spans="1:24">
      <c r="A1189" t="s">
        <v>8631</v>
      </c>
      <c r="B1189" t="s">
        <v>8632</v>
      </c>
      <c r="C1189">
        <v>0</v>
      </c>
      <c r="D1189">
        <v>0</v>
      </c>
      <c r="E1189">
        <v>0</v>
      </c>
      <c r="F1189">
        <v>818620</v>
      </c>
      <c r="G1189">
        <v>0</v>
      </c>
      <c r="H1189">
        <v>818620</v>
      </c>
      <c r="I1189">
        <v>0</v>
      </c>
      <c r="J1189">
        <v>0</v>
      </c>
      <c r="K1189">
        <v>818620</v>
      </c>
      <c r="L1189">
        <v>0</v>
      </c>
      <c r="M1189">
        <v>0</v>
      </c>
      <c r="N1189">
        <v>0</v>
      </c>
      <c r="O1189">
        <v>0</v>
      </c>
      <c r="P1189" t="s">
        <v>192</v>
      </c>
      <c r="Q1189" t="s">
        <v>192</v>
      </c>
      <c r="R1189">
        <v>0</v>
      </c>
      <c r="S1189">
        <v>0</v>
      </c>
      <c r="T1189">
        <v>0</v>
      </c>
      <c r="U1189">
        <v>841350</v>
      </c>
      <c r="V1189">
        <v>15000</v>
      </c>
      <c r="W1189">
        <v>1</v>
      </c>
      <c r="X1189" s="367"/>
    </row>
    <row r="1190" spans="1:24">
      <c r="A1190" t="s">
        <v>5192</v>
      </c>
      <c r="B1190" t="s">
        <v>8381</v>
      </c>
      <c r="C1190">
        <v>65</v>
      </c>
      <c r="D1190">
        <v>34229</v>
      </c>
      <c r="E1190">
        <v>46978686</v>
      </c>
      <c r="F1190">
        <v>32</v>
      </c>
      <c r="G1190">
        <v>2</v>
      </c>
      <c r="H1190">
        <v>1</v>
      </c>
      <c r="I1190">
        <v>-31</v>
      </c>
      <c r="J1190">
        <v>-96.88</v>
      </c>
      <c r="K1190">
        <v>1</v>
      </c>
      <c r="L1190">
        <v>-31</v>
      </c>
      <c r="M1190">
        <v>-96.88</v>
      </c>
      <c r="N1190">
        <v>1</v>
      </c>
      <c r="O1190">
        <v>2</v>
      </c>
      <c r="P1190" t="s">
        <v>192</v>
      </c>
      <c r="Q1190" t="s">
        <v>192</v>
      </c>
      <c r="R1190">
        <v>0</v>
      </c>
      <c r="S1190">
        <v>0</v>
      </c>
      <c r="T1190">
        <v>0</v>
      </c>
      <c r="U1190">
        <v>1</v>
      </c>
      <c r="V1190">
        <v>2598</v>
      </c>
      <c r="W1190">
        <v>5</v>
      </c>
      <c r="X1190" s="367"/>
    </row>
    <row r="1191" spans="1:24">
      <c r="A1191" t="s">
        <v>111</v>
      </c>
      <c r="B1191" t="s">
        <v>110</v>
      </c>
      <c r="C1191">
        <v>16</v>
      </c>
      <c r="D1191">
        <v>147821</v>
      </c>
      <c r="E1191">
        <v>499634980</v>
      </c>
      <c r="F1191">
        <v>3290</v>
      </c>
      <c r="G1191">
        <v>3380</v>
      </c>
      <c r="H1191">
        <v>3380</v>
      </c>
      <c r="I1191">
        <v>90</v>
      </c>
      <c r="J1191">
        <v>2.74</v>
      </c>
      <c r="K1191">
        <v>3380</v>
      </c>
      <c r="L1191">
        <v>90</v>
      </c>
      <c r="M1191">
        <v>2.74</v>
      </c>
      <c r="N1191">
        <v>3380</v>
      </c>
      <c r="O1191">
        <v>3380</v>
      </c>
      <c r="P1191">
        <v>1120</v>
      </c>
      <c r="Q1191">
        <v>3.02</v>
      </c>
      <c r="R1191">
        <v>218</v>
      </c>
      <c r="S1191">
        <v>49192465</v>
      </c>
      <c r="T1191">
        <v>3380</v>
      </c>
      <c r="U1191">
        <v>0</v>
      </c>
      <c r="V1191">
        <v>0</v>
      </c>
      <c r="W1191">
        <v>0</v>
      </c>
      <c r="X1191" s="367"/>
    </row>
    <row r="1192" spans="1:24">
      <c r="A1192" t="s">
        <v>5194</v>
      </c>
      <c r="B1192" t="s">
        <v>5195</v>
      </c>
      <c r="C1192">
        <v>14</v>
      </c>
      <c r="D1192">
        <v>331505</v>
      </c>
      <c r="E1192">
        <v>6548218265</v>
      </c>
      <c r="F1192">
        <v>19178</v>
      </c>
      <c r="G1192">
        <v>19753</v>
      </c>
      <c r="H1192">
        <v>19753</v>
      </c>
      <c r="I1192">
        <v>575</v>
      </c>
      <c r="J1192">
        <v>3</v>
      </c>
      <c r="K1192">
        <v>19753</v>
      </c>
      <c r="L1192">
        <v>575</v>
      </c>
      <c r="M1192">
        <v>3</v>
      </c>
      <c r="N1192">
        <v>19753</v>
      </c>
      <c r="O1192">
        <v>19753</v>
      </c>
      <c r="P1192" t="s">
        <v>192</v>
      </c>
      <c r="Q1192" t="s">
        <v>192</v>
      </c>
      <c r="R1192">
        <v>83</v>
      </c>
      <c r="S1192">
        <v>11006191</v>
      </c>
      <c r="T1192">
        <v>19753</v>
      </c>
      <c r="U1192">
        <v>0</v>
      </c>
      <c r="V1192">
        <v>0</v>
      </c>
      <c r="W1192">
        <v>0</v>
      </c>
      <c r="X1192" s="367"/>
    </row>
    <row r="1193" spans="1:24">
      <c r="A1193" t="s">
        <v>1770</v>
      </c>
      <c r="B1193" t="s">
        <v>1769</v>
      </c>
      <c r="C1193">
        <v>1737</v>
      </c>
      <c r="D1193">
        <v>70486344</v>
      </c>
      <c r="E1193">
        <v>158367885923</v>
      </c>
      <c r="F1193">
        <v>2226</v>
      </c>
      <c r="G1193">
        <v>2238</v>
      </c>
      <c r="H1193">
        <v>2218</v>
      </c>
      <c r="I1193">
        <v>-8</v>
      </c>
      <c r="J1193">
        <v>-0.36</v>
      </c>
      <c r="K1193">
        <v>2247</v>
      </c>
      <c r="L1193">
        <v>21</v>
      </c>
      <c r="M1193">
        <v>0.94</v>
      </c>
      <c r="N1193">
        <v>2180</v>
      </c>
      <c r="O1193">
        <v>2290</v>
      </c>
      <c r="P1193">
        <v>328</v>
      </c>
      <c r="Q1193">
        <v>6.85</v>
      </c>
      <c r="R1193">
        <v>1</v>
      </c>
      <c r="S1193">
        <v>10673</v>
      </c>
      <c r="T1193">
        <v>2218</v>
      </c>
      <c r="U1193">
        <v>2222</v>
      </c>
      <c r="V1193">
        <v>190000</v>
      </c>
      <c r="W1193">
        <v>2</v>
      </c>
      <c r="X1193" s="367"/>
    </row>
    <row r="1194" spans="1:24">
      <c r="A1194" t="s">
        <v>6631</v>
      </c>
      <c r="B1194" t="s">
        <v>8236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 t="s">
        <v>192</v>
      </c>
      <c r="Q1194" t="s">
        <v>192</v>
      </c>
      <c r="R1194">
        <v>1</v>
      </c>
      <c r="S1194">
        <v>22</v>
      </c>
      <c r="T1194">
        <v>88</v>
      </c>
      <c r="U1194">
        <v>0</v>
      </c>
      <c r="V1194">
        <v>0</v>
      </c>
      <c r="W1194">
        <v>0</v>
      </c>
      <c r="X1194" s="367"/>
    </row>
    <row r="1195" spans="1:24">
      <c r="A1195" t="s">
        <v>5196</v>
      </c>
      <c r="B1195" t="s">
        <v>8136</v>
      </c>
      <c r="C1195">
        <v>36</v>
      </c>
      <c r="D1195">
        <v>7210</v>
      </c>
      <c r="E1195">
        <v>556220000</v>
      </c>
      <c r="F1195">
        <v>95</v>
      </c>
      <c r="G1195">
        <v>66</v>
      </c>
      <c r="H1195">
        <v>70</v>
      </c>
      <c r="I1195">
        <v>-25</v>
      </c>
      <c r="J1195">
        <v>-26.32</v>
      </c>
      <c r="K1195">
        <v>77</v>
      </c>
      <c r="L1195">
        <v>-18</v>
      </c>
      <c r="M1195">
        <v>-18.95</v>
      </c>
      <c r="N1195">
        <v>52</v>
      </c>
      <c r="O1195">
        <v>89</v>
      </c>
      <c r="P1195" t="s">
        <v>192</v>
      </c>
      <c r="Q1195" t="s">
        <v>192</v>
      </c>
      <c r="R1195">
        <v>1</v>
      </c>
      <c r="S1195">
        <v>44</v>
      </c>
      <c r="T1195">
        <v>67</v>
      </c>
      <c r="U1195">
        <v>89</v>
      </c>
      <c r="V1195">
        <v>238</v>
      </c>
      <c r="W1195">
        <v>1</v>
      </c>
      <c r="X1195" s="367"/>
    </row>
    <row r="1196" spans="1:24">
      <c r="A1196" t="s">
        <v>5198</v>
      </c>
      <c r="B1196" t="s">
        <v>5199</v>
      </c>
      <c r="C1196">
        <v>14</v>
      </c>
      <c r="D1196">
        <v>356044</v>
      </c>
      <c r="E1196">
        <v>9448409254</v>
      </c>
      <c r="F1196">
        <v>26495</v>
      </c>
      <c r="G1196">
        <v>26537</v>
      </c>
      <c r="H1196">
        <v>26537</v>
      </c>
      <c r="I1196">
        <v>42</v>
      </c>
      <c r="J1196">
        <v>0.16</v>
      </c>
      <c r="K1196">
        <v>26537</v>
      </c>
      <c r="L1196">
        <v>42</v>
      </c>
      <c r="M1196">
        <v>0.16</v>
      </c>
      <c r="N1196">
        <v>26537</v>
      </c>
      <c r="O1196">
        <v>26538</v>
      </c>
      <c r="P1196" t="s">
        <v>192</v>
      </c>
      <c r="Q1196" t="s">
        <v>192</v>
      </c>
      <c r="R1196">
        <v>1</v>
      </c>
      <c r="S1196">
        <v>955327</v>
      </c>
      <c r="T1196">
        <v>26537</v>
      </c>
      <c r="U1196">
        <v>26538</v>
      </c>
      <c r="V1196">
        <v>440412</v>
      </c>
      <c r="W1196">
        <v>1</v>
      </c>
      <c r="X1196" s="367"/>
    </row>
    <row r="1197" spans="1:24">
      <c r="A1197" t="s">
        <v>5200</v>
      </c>
      <c r="B1197" t="s">
        <v>5201</v>
      </c>
      <c r="C1197">
        <v>105</v>
      </c>
      <c r="D1197">
        <v>1795544</v>
      </c>
      <c r="E1197">
        <v>59450412691</v>
      </c>
      <c r="F1197">
        <v>32146</v>
      </c>
      <c r="G1197">
        <v>33110</v>
      </c>
      <c r="H1197">
        <v>33110</v>
      </c>
      <c r="I1197">
        <v>964</v>
      </c>
      <c r="J1197">
        <v>3</v>
      </c>
      <c r="K1197">
        <v>33110</v>
      </c>
      <c r="L1197">
        <v>964</v>
      </c>
      <c r="M1197">
        <v>3</v>
      </c>
      <c r="N1197">
        <v>33100</v>
      </c>
      <c r="O1197">
        <v>33110</v>
      </c>
      <c r="P1197" t="s">
        <v>192</v>
      </c>
      <c r="Q1197" t="s">
        <v>192</v>
      </c>
      <c r="R1197">
        <v>10</v>
      </c>
      <c r="S1197">
        <v>562259</v>
      </c>
      <c r="T1197">
        <v>33110</v>
      </c>
      <c r="U1197">
        <v>0</v>
      </c>
      <c r="V1197">
        <v>0</v>
      </c>
      <c r="W1197">
        <v>0</v>
      </c>
      <c r="X1197" s="367"/>
    </row>
    <row r="1198" spans="1:24">
      <c r="A1198" t="s">
        <v>5202</v>
      </c>
      <c r="B1198" t="s">
        <v>5203</v>
      </c>
      <c r="C1198">
        <v>0</v>
      </c>
      <c r="D1198">
        <v>0</v>
      </c>
      <c r="E1198">
        <v>0</v>
      </c>
      <c r="F1198">
        <v>1000000</v>
      </c>
      <c r="G1198">
        <v>0</v>
      </c>
      <c r="H1198">
        <v>1000000</v>
      </c>
      <c r="I1198">
        <v>0</v>
      </c>
      <c r="J1198">
        <v>0</v>
      </c>
      <c r="K1198">
        <v>1000000</v>
      </c>
      <c r="L1198">
        <v>0</v>
      </c>
      <c r="M1198">
        <v>0</v>
      </c>
      <c r="N1198">
        <v>0</v>
      </c>
      <c r="O1198">
        <v>0</v>
      </c>
      <c r="P1198" t="s">
        <v>192</v>
      </c>
      <c r="Q1198" t="s">
        <v>192</v>
      </c>
      <c r="R1198">
        <v>1</v>
      </c>
      <c r="S1198">
        <v>5000</v>
      </c>
      <c r="T1198">
        <v>1000000</v>
      </c>
      <c r="U1198">
        <v>0</v>
      </c>
      <c r="V1198">
        <v>0</v>
      </c>
      <c r="W1198">
        <v>0</v>
      </c>
      <c r="X1198" s="367"/>
    </row>
    <row r="1199" spans="1:24">
      <c r="A1199" t="s">
        <v>6785</v>
      </c>
      <c r="B1199" t="s">
        <v>6786</v>
      </c>
      <c r="C1199">
        <v>0</v>
      </c>
      <c r="D1199">
        <v>0</v>
      </c>
      <c r="E1199">
        <v>0</v>
      </c>
      <c r="F1199">
        <v>2</v>
      </c>
      <c r="G1199">
        <v>0</v>
      </c>
      <c r="H1199">
        <v>2</v>
      </c>
      <c r="I1199">
        <v>0</v>
      </c>
      <c r="J1199">
        <v>0</v>
      </c>
      <c r="K1199">
        <v>2</v>
      </c>
      <c r="L1199">
        <v>0</v>
      </c>
      <c r="M1199">
        <v>0</v>
      </c>
      <c r="N1199">
        <v>0</v>
      </c>
      <c r="O1199">
        <v>0</v>
      </c>
      <c r="P1199" t="s">
        <v>192</v>
      </c>
      <c r="Q1199" t="s">
        <v>192</v>
      </c>
      <c r="R1199">
        <v>0</v>
      </c>
      <c r="S1199">
        <v>0</v>
      </c>
      <c r="T1199">
        <v>0</v>
      </c>
      <c r="U1199">
        <v>3</v>
      </c>
      <c r="V1199">
        <v>100</v>
      </c>
      <c r="W1199">
        <v>1</v>
      </c>
      <c r="X1199" s="367"/>
    </row>
    <row r="1200" spans="1:24">
      <c r="A1200" t="s">
        <v>2222</v>
      </c>
      <c r="B1200" t="s">
        <v>2221</v>
      </c>
      <c r="C1200">
        <v>3952</v>
      </c>
      <c r="D1200">
        <v>4237333</v>
      </c>
      <c r="E1200">
        <v>96907805710</v>
      </c>
      <c r="F1200">
        <v>22210</v>
      </c>
      <c r="G1200">
        <v>22870</v>
      </c>
      <c r="H1200">
        <v>22870</v>
      </c>
      <c r="I1200">
        <v>660</v>
      </c>
      <c r="J1200">
        <v>2.97</v>
      </c>
      <c r="K1200">
        <v>22870</v>
      </c>
      <c r="L1200">
        <v>660</v>
      </c>
      <c r="M1200">
        <v>2.97</v>
      </c>
      <c r="N1200">
        <v>22870</v>
      </c>
      <c r="O1200">
        <v>22870</v>
      </c>
      <c r="P1200">
        <v>3398</v>
      </c>
      <c r="Q1200">
        <v>6.73</v>
      </c>
      <c r="R1200">
        <v>237</v>
      </c>
      <c r="S1200">
        <v>1706411</v>
      </c>
      <c r="T1200">
        <v>22870</v>
      </c>
      <c r="U1200">
        <v>23000</v>
      </c>
      <c r="V1200">
        <v>120</v>
      </c>
      <c r="W1200">
        <v>1</v>
      </c>
      <c r="X1200" s="367"/>
    </row>
    <row r="1201" spans="1:24">
      <c r="A1201" t="s">
        <v>3058</v>
      </c>
      <c r="B1201" t="s">
        <v>3057</v>
      </c>
      <c r="C1201">
        <v>6</v>
      </c>
      <c r="D1201">
        <v>150691</v>
      </c>
      <c r="E1201">
        <v>539473780</v>
      </c>
      <c r="F1201">
        <v>3480</v>
      </c>
      <c r="G1201">
        <v>3580</v>
      </c>
      <c r="H1201">
        <v>3580</v>
      </c>
      <c r="I1201">
        <v>100</v>
      </c>
      <c r="J1201">
        <v>2.87</v>
      </c>
      <c r="K1201">
        <v>3580</v>
      </c>
      <c r="L1201">
        <v>100</v>
      </c>
      <c r="M1201">
        <v>2.87</v>
      </c>
      <c r="N1201">
        <v>3580</v>
      </c>
      <c r="O1201">
        <v>3580</v>
      </c>
      <c r="P1201">
        <v>-5</v>
      </c>
      <c r="Q1201">
        <v>-716</v>
      </c>
      <c r="R1201">
        <v>11</v>
      </c>
      <c r="S1201">
        <v>1528309</v>
      </c>
      <c r="T1201">
        <v>3580</v>
      </c>
      <c r="U1201">
        <v>0</v>
      </c>
      <c r="V1201">
        <v>0</v>
      </c>
      <c r="W1201">
        <v>0</v>
      </c>
      <c r="X1201" s="367"/>
    </row>
    <row r="1202" spans="1:24">
      <c r="A1202" t="s">
        <v>1990</v>
      </c>
      <c r="B1202" t="s">
        <v>1988</v>
      </c>
      <c r="C1202">
        <v>9</v>
      </c>
      <c r="D1202">
        <v>77544</v>
      </c>
      <c r="E1202">
        <v>1089493200</v>
      </c>
      <c r="F1202">
        <v>13730</v>
      </c>
      <c r="G1202">
        <v>14050</v>
      </c>
      <c r="H1202">
        <v>14050</v>
      </c>
      <c r="I1202">
        <v>320</v>
      </c>
      <c r="J1202">
        <v>2.33</v>
      </c>
      <c r="K1202">
        <v>14050</v>
      </c>
      <c r="L1202">
        <v>320</v>
      </c>
      <c r="M1202">
        <v>2.33</v>
      </c>
      <c r="N1202">
        <v>14050</v>
      </c>
      <c r="O1202">
        <v>14050</v>
      </c>
      <c r="P1202">
        <v>264</v>
      </c>
      <c r="Q1202">
        <v>53.22</v>
      </c>
      <c r="R1202">
        <v>0</v>
      </c>
      <c r="S1202">
        <v>0</v>
      </c>
      <c r="T1202">
        <v>0</v>
      </c>
      <c r="U1202">
        <v>14050</v>
      </c>
      <c r="V1202">
        <v>1802038</v>
      </c>
      <c r="W1202">
        <v>22</v>
      </c>
      <c r="X1202" s="367"/>
    </row>
    <row r="1203" spans="1:24">
      <c r="A1203" t="s">
        <v>5204</v>
      </c>
      <c r="B1203" t="s">
        <v>5205</v>
      </c>
      <c r="C1203">
        <v>0</v>
      </c>
      <c r="D1203">
        <v>0</v>
      </c>
      <c r="E1203">
        <v>0</v>
      </c>
      <c r="F1203">
        <v>1000000</v>
      </c>
      <c r="G1203">
        <v>0</v>
      </c>
      <c r="H1203">
        <v>1000000</v>
      </c>
      <c r="I1203">
        <v>0</v>
      </c>
      <c r="J1203">
        <v>0</v>
      </c>
      <c r="K1203">
        <v>1000000</v>
      </c>
      <c r="L1203">
        <v>0</v>
      </c>
      <c r="M1203">
        <v>0</v>
      </c>
      <c r="N1203">
        <v>0</v>
      </c>
      <c r="O1203">
        <v>0</v>
      </c>
      <c r="P1203" t="s">
        <v>192</v>
      </c>
      <c r="Q1203" t="s">
        <v>192</v>
      </c>
      <c r="R1203">
        <v>1</v>
      </c>
      <c r="S1203">
        <v>5000</v>
      </c>
      <c r="T1203">
        <v>990000</v>
      </c>
      <c r="U1203">
        <v>1010000</v>
      </c>
      <c r="V1203">
        <v>5000</v>
      </c>
      <c r="W1203">
        <v>1</v>
      </c>
      <c r="X1203" s="367"/>
    </row>
    <row r="1204" spans="1:24">
      <c r="A1204" t="s">
        <v>8533</v>
      </c>
      <c r="B1204" t="s">
        <v>8534</v>
      </c>
      <c r="C1204">
        <v>1</v>
      </c>
      <c r="D1204">
        <v>660000</v>
      </c>
      <c r="E1204">
        <v>560835000000</v>
      </c>
      <c r="F1204">
        <v>825000</v>
      </c>
      <c r="G1204">
        <v>849750</v>
      </c>
      <c r="H1204">
        <v>849750</v>
      </c>
      <c r="I1204">
        <v>24750</v>
      </c>
      <c r="J1204">
        <v>3</v>
      </c>
      <c r="K1204">
        <v>849750</v>
      </c>
      <c r="L1204">
        <v>24750</v>
      </c>
      <c r="M1204">
        <v>3</v>
      </c>
      <c r="N1204">
        <v>849750</v>
      </c>
      <c r="O1204">
        <v>849750</v>
      </c>
      <c r="P1204" t="s">
        <v>192</v>
      </c>
      <c r="Q1204" t="s">
        <v>192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 s="367"/>
    </row>
    <row r="1205" spans="1:24">
      <c r="A1205" t="s">
        <v>8800</v>
      </c>
      <c r="B1205" t="s">
        <v>216</v>
      </c>
      <c r="C1205">
        <v>5</v>
      </c>
      <c r="D1205">
        <v>19904</v>
      </c>
      <c r="E1205">
        <v>298560000</v>
      </c>
      <c r="F1205">
        <v>14810</v>
      </c>
      <c r="G1205">
        <v>15000</v>
      </c>
      <c r="H1205">
        <v>15000</v>
      </c>
      <c r="I1205">
        <v>190</v>
      </c>
      <c r="J1205">
        <v>1.28</v>
      </c>
      <c r="K1205">
        <v>15000</v>
      </c>
      <c r="L1205">
        <v>190</v>
      </c>
      <c r="M1205">
        <v>1.28</v>
      </c>
      <c r="N1205">
        <v>15000</v>
      </c>
      <c r="O1205">
        <v>15000</v>
      </c>
      <c r="P1205">
        <v>2531</v>
      </c>
      <c r="Q1205">
        <v>5.93</v>
      </c>
      <c r="R1205">
        <v>11</v>
      </c>
      <c r="S1205">
        <v>182899</v>
      </c>
      <c r="T1205">
        <v>15000</v>
      </c>
      <c r="U1205">
        <v>0</v>
      </c>
      <c r="V1205">
        <v>0</v>
      </c>
      <c r="W1205">
        <v>0</v>
      </c>
      <c r="X1205" s="367"/>
    </row>
    <row r="1206" spans="1:24">
      <c r="A1206" t="s">
        <v>8801</v>
      </c>
      <c r="B1206" t="s">
        <v>142</v>
      </c>
      <c r="C1206">
        <v>3</v>
      </c>
      <c r="D1206">
        <v>41986</v>
      </c>
      <c r="E1206">
        <v>458906980</v>
      </c>
      <c r="F1206">
        <v>10620</v>
      </c>
      <c r="G1206">
        <v>10930</v>
      </c>
      <c r="H1206">
        <v>10930</v>
      </c>
      <c r="I1206">
        <v>310</v>
      </c>
      <c r="J1206">
        <v>2.92</v>
      </c>
      <c r="K1206">
        <v>10930</v>
      </c>
      <c r="L1206">
        <v>310</v>
      </c>
      <c r="M1206">
        <v>2.92</v>
      </c>
      <c r="N1206">
        <v>10930</v>
      </c>
      <c r="O1206">
        <v>10930</v>
      </c>
      <c r="P1206">
        <v>1879</v>
      </c>
      <c r="Q1206">
        <v>5.82</v>
      </c>
      <c r="R1206">
        <v>269</v>
      </c>
      <c r="S1206">
        <v>21124505</v>
      </c>
      <c r="T1206">
        <v>10930</v>
      </c>
      <c r="U1206">
        <v>0</v>
      </c>
      <c r="V1206">
        <v>0</v>
      </c>
      <c r="W1206">
        <v>0</v>
      </c>
      <c r="X1206" s="367"/>
    </row>
    <row r="1207" spans="1:24">
      <c r="A1207" t="s">
        <v>5206</v>
      </c>
      <c r="B1207" t="s">
        <v>5207</v>
      </c>
      <c r="C1207">
        <v>0</v>
      </c>
      <c r="D1207">
        <v>0</v>
      </c>
      <c r="E1207">
        <v>0</v>
      </c>
      <c r="F1207">
        <v>811880</v>
      </c>
      <c r="G1207">
        <v>0</v>
      </c>
      <c r="H1207">
        <v>811880</v>
      </c>
      <c r="I1207">
        <v>0</v>
      </c>
      <c r="J1207">
        <v>0</v>
      </c>
      <c r="K1207">
        <v>811880</v>
      </c>
      <c r="L1207">
        <v>0</v>
      </c>
      <c r="M1207">
        <v>0</v>
      </c>
      <c r="N1207">
        <v>0</v>
      </c>
      <c r="O1207">
        <v>0</v>
      </c>
      <c r="P1207" t="s">
        <v>192</v>
      </c>
      <c r="Q1207" t="s">
        <v>192</v>
      </c>
      <c r="R1207">
        <v>1</v>
      </c>
      <c r="S1207">
        <v>3750</v>
      </c>
      <c r="T1207">
        <v>787524</v>
      </c>
      <c r="U1207">
        <v>0</v>
      </c>
      <c r="V1207">
        <v>0</v>
      </c>
      <c r="W1207">
        <v>0</v>
      </c>
      <c r="X1207" s="367"/>
    </row>
    <row r="1208" spans="1:24">
      <c r="A1208" t="s">
        <v>4697</v>
      </c>
      <c r="B1208" t="s">
        <v>4698</v>
      </c>
      <c r="C1208">
        <v>1767</v>
      </c>
      <c r="D1208">
        <v>22314837</v>
      </c>
      <c r="E1208">
        <v>333194558319</v>
      </c>
      <c r="F1208">
        <v>14556</v>
      </c>
      <c r="G1208">
        <v>14950</v>
      </c>
      <c r="H1208">
        <v>14990</v>
      </c>
      <c r="I1208">
        <v>434</v>
      </c>
      <c r="J1208">
        <v>2.98</v>
      </c>
      <c r="K1208">
        <v>14932</v>
      </c>
      <c r="L1208">
        <v>376</v>
      </c>
      <c r="M1208">
        <v>2.58</v>
      </c>
      <c r="N1208">
        <v>14800</v>
      </c>
      <c r="O1208">
        <v>14991</v>
      </c>
      <c r="P1208" t="s">
        <v>192</v>
      </c>
      <c r="Q1208" t="s">
        <v>192</v>
      </c>
      <c r="R1208">
        <v>4</v>
      </c>
      <c r="S1208">
        <v>79630</v>
      </c>
      <c r="T1208">
        <v>14984</v>
      </c>
      <c r="U1208">
        <v>14990</v>
      </c>
      <c r="V1208">
        <v>7644</v>
      </c>
      <c r="W1208">
        <v>1</v>
      </c>
      <c r="X1208" s="367"/>
    </row>
    <row r="1209" spans="1:24">
      <c r="A1209" t="s">
        <v>4699</v>
      </c>
      <c r="B1209" t="s">
        <v>4700</v>
      </c>
      <c r="C1209">
        <v>4</v>
      </c>
      <c r="D1209">
        <v>13</v>
      </c>
      <c r="E1209">
        <v>168096000</v>
      </c>
      <c r="F1209">
        <v>11283</v>
      </c>
      <c r="G1209">
        <v>12999</v>
      </c>
      <c r="H1209">
        <v>12999</v>
      </c>
      <c r="I1209">
        <v>1716</v>
      </c>
      <c r="J1209">
        <v>15.21</v>
      </c>
      <c r="K1209">
        <v>12930</v>
      </c>
      <c r="L1209">
        <v>1647</v>
      </c>
      <c r="M1209">
        <v>14.6</v>
      </c>
      <c r="N1209">
        <v>12900</v>
      </c>
      <c r="O1209">
        <v>12999</v>
      </c>
      <c r="P1209" t="s">
        <v>192</v>
      </c>
      <c r="Q1209" t="s">
        <v>192</v>
      </c>
      <c r="R1209">
        <v>1</v>
      </c>
      <c r="S1209">
        <v>1</v>
      </c>
      <c r="T1209">
        <v>8200</v>
      </c>
      <c r="U1209">
        <v>13999</v>
      </c>
      <c r="V1209">
        <v>14</v>
      </c>
      <c r="W1209">
        <v>1</v>
      </c>
      <c r="X1209" s="367"/>
    </row>
    <row r="1210" spans="1:24">
      <c r="A1210" t="s">
        <v>4701</v>
      </c>
      <c r="B1210" t="s">
        <v>4702</v>
      </c>
      <c r="C1210">
        <v>0</v>
      </c>
      <c r="D1210">
        <v>0</v>
      </c>
      <c r="E1210">
        <v>0</v>
      </c>
      <c r="F1210">
        <v>1005000</v>
      </c>
      <c r="G1210">
        <v>0</v>
      </c>
      <c r="H1210">
        <v>1005000</v>
      </c>
      <c r="I1210">
        <v>0</v>
      </c>
      <c r="J1210">
        <v>0</v>
      </c>
      <c r="K1210">
        <v>1005000</v>
      </c>
      <c r="L1210">
        <v>0</v>
      </c>
      <c r="M1210">
        <v>0</v>
      </c>
      <c r="N1210">
        <v>0</v>
      </c>
      <c r="O1210">
        <v>0</v>
      </c>
      <c r="P1210" t="s">
        <v>192</v>
      </c>
      <c r="Q1210" t="s">
        <v>192</v>
      </c>
      <c r="R1210">
        <v>1</v>
      </c>
      <c r="S1210">
        <v>4951</v>
      </c>
      <c r="T1210">
        <v>995000</v>
      </c>
      <c r="U1210">
        <v>1005000</v>
      </c>
      <c r="V1210">
        <v>4951</v>
      </c>
      <c r="W1210">
        <v>1</v>
      </c>
      <c r="X1210" s="367"/>
    </row>
    <row r="1211" spans="1:24">
      <c r="A1211" t="s">
        <v>4703</v>
      </c>
      <c r="B1211" t="s">
        <v>4704</v>
      </c>
      <c r="C1211">
        <v>1952</v>
      </c>
      <c r="D1211">
        <v>66524</v>
      </c>
      <c r="E1211">
        <v>782706567000</v>
      </c>
      <c r="F1211">
        <v>7097</v>
      </c>
      <c r="G1211">
        <v>10132</v>
      </c>
      <c r="H1211">
        <v>12000</v>
      </c>
      <c r="I1211">
        <v>4903</v>
      </c>
      <c r="J1211">
        <v>69.09</v>
      </c>
      <c r="K1211">
        <v>11766</v>
      </c>
      <c r="L1211">
        <v>4669</v>
      </c>
      <c r="M1211">
        <v>65.790000000000006</v>
      </c>
      <c r="N1211">
        <v>10131</v>
      </c>
      <c r="O1211">
        <v>12500</v>
      </c>
      <c r="P1211" t="s">
        <v>192</v>
      </c>
      <c r="Q1211" t="s">
        <v>192</v>
      </c>
      <c r="R1211">
        <v>1</v>
      </c>
      <c r="S1211">
        <v>20</v>
      </c>
      <c r="T1211">
        <v>11990</v>
      </c>
      <c r="U1211">
        <v>11990</v>
      </c>
      <c r="V1211">
        <v>90</v>
      </c>
      <c r="W1211">
        <v>1</v>
      </c>
      <c r="X1211" s="367"/>
    </row>
    <row r="1212" spans="1:24">
      <c r="A1212" t="s">
        <v>4705</v>
      </c>
      <c r="B1212" t="s">
        <v>4706</v>
      </c>
      <c r="C1212">
        <v>0</v>
      </c>
      <c r="D1212">
        <v>0</v>
      </c>
      <c r="E1212">
        <v>0</v>
      </c>
      <c r="F1212">
        <v>1000000</v>
      </c>
      <c r="G1212">
        <v>0</v>
      </c>
      <c r="H1212">
        <v>1000000</v>
      </c>
      <c r="I1212">
        <v>0</v>
      </c>
      <c r="J1212">
        <v>0</v>
      </c>
      <c r="K1212">
        <v>1000000</v>
      </c>
      <c r="L1212">
        <v>0</v>
      </c>
      <c r="M1212">
        <v>0</v>
      </c>
      <c r="N1212">
        <v>0</v>
      </c>
      <c r="O1212">
        <v>0</v>
      </c>
      <c r="P1212" t="s">
        <v>192</v>
      </c>
      <c r="Q1212" t="s">
        <v>192</v>
      </c>
      <c r="R1212">
        <v>1</v>
      </c>
      <c r="S1212">
        <v>20000</v>
      </c>
      <c r="T1212">
        <v>990000</v>
      </c>
      <c r="U1212">
        <v>1000000</v>
      </c>
      <c r="V1212">
        <v>20000</v>
      </c>
      <c r="W1212">
        <v>1</v>
      </c>
      <c r="X1212" s="367"/>
    </row>
    <row r="1213" spans="1:24">
      <c r="A1213" t="s">
        <v>4707</v>
      </c>
      <c r="B1213" t="s">
        <v>8613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 t="s">
        <v>192</v>
      </c>
      <c r="Q1213" t="s">
        <v>192</v>
      </c>
      <c r="R1213">
        <v>1</v>
      </c>
      <c r="S1213">
        <v>100</v>
      </c>
      <c r="T1213">
        <v>1</v>
      </c>
      <c r="U1213">
        <v>0</v>
      </c>
      <c r="V1213">
        <v>0</v>
      </c>
      <c r="W1213">
        <v>0</v>
      </c>
      <c r="X1213" s="367"/>
    </row>
    <row r="1214" spans="1:24">
      <c r="A1214" t="s">
        <v>1960</v>
      </c>
      <c r="B1214" t="s">
        <v>1959</v>
      </c>
      <c r="C1214">
        <v>364</v>
      </c>
      <c r="D1214">
        <v>4809082</v>
      </c>
      <c r="E1214">
        <v>28616901430</v>
      </c>
      <c r="F1214">
        <v>5810</v>
      </c>
      <c r="G1214">
        <v>5930</v>
      </c>
      <c r="H1214">
        <v>5980</v>
      </c>
      <c r="I1214">
        <v>170</v>
      </c>
      <c r="J1214">
        <v>2.93</v>
      </c>
      <c r="K1214">
        <v>5950</v>
      </c>
      <c r="L1214">
        <v>140</v>
      </c>
      <c r="M1214">
        <v>2.41</v>
      </c>
      <c r="N1214">
        <v>5840</v>
      </c>
      <c r="O1214">
        <v>5980</v>
      </c>
      <c r="P1214">
        <v>1129</v>
      </c>
      <c r="Q1214">
        <v>5.27</v>
      </c>
      <c r="R1214">
        <v>4</v>
      </c>
      <c r="S1214">
        <v>207813</v>
      </c>
      <c r="T1214">
        <v>5970</v>
      </c>
      <c r="U1214">
        <v>5990</v>
      </c>
      <c r="V1214">
        <v>1699</v>
      </c>
      <c r="W1214">
        <v>1</v>
      </c>
      <c r="X1214" s="367"/>
    </row>
    <row r="1215" spans="1:24">
      <c r="A1215" t="s">
        <v>7906</v>
      </c>
      <c r="B1215" t="s">
        <v>7907</v>
      </c>
      <c r="C1215">
        <v>5</v>
      </c>
      <c r="D1215">
        <v>5</v>
      </c>
      <c r="E1215">
        <v>73124000</v>
      </c>
      <c r="F1215">
        <v>18000</v>
      </c>
      <c r="G1215">
        <v>11125</v>
      </c>
      <c r="H1215">
        <v>16000</v>
      </c>
      <c r="I1215">
        <v>-2000</v>
      </c>
      <c r="J1215">
        <v>-11.11</v>
      </c>
      <c r="K1215">
        <v>14625</v>
      </c>
      <c r="L1215">
        <v>-3375</v>
      </c>
      <c r="M1215">
        <v>-18.75</v>
      </c>
      <c r="N1215">
        <v>11125</v>
      </c>
      <c r="O1215">
        <v>16000</v>
      </c>
      <c r="P1215" t="s">
        <v>192</v>
      </c>
      <c r="Q1215" t="s">
        <v>192</v>
      </c>
      <c r="R1215">
        <v>1</v>
      </c>
      <c r="S1215">
        <v>1</v>
      </c>
      <c r="T1215">
        <v>14101</v>
      </c>
      <c r="U1215">
        <v>21000</v>
      </c>
      <c r="V1215">
        <v>1</v>
      </c>
      <c r="W1215">
        <v>1</v>
      </c>
      <c r="X1215" s="367"/>
    </row>
    <row r="1216" spans="1:24">
      <c r="A1216" t="s">
        <v>6937</v>
      </c>
      <c r="B1216" t="s">
        <v>6938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 t="s">
        <v>192</v>
      </c>
      <c r="Q1216" t="s">
        <v>192</v>
      </c>
      <c r="R1216">
        <v>1</v>
      </c>
      <c r="S1216">
        <v>100</v>
      </c>
      <c r="T1216">
        <v>1</v>
      </c>
      <c r="U1216">
        <v>0</v>
      </c>
      <c r="V1216">
        <v>0</v>
      </c>
      <c r="W1216">
        <v>0</v>
      </c>
      <c r="X1216" s="367"/>
    </row>
    <row r="1217" spans="1:24">
      <c r="A1217" t="s">
        <v>4498</v>
      </c>
      <c r="B1217" t="s">
        <v>4499</v>
      </c>
      <c r="C1217">
        <v>40</v>
      </c>
      <c r="D1217">
        <v>4384</v>
      </c>
      <c r="E1217">
        <v>19113000</v>
      </c>
      <c r="F1217">
        <v>2</v>
      </c>
      <c r="G1217">
        <v>2</v>
      </c>
      <c r="H1217">
        <v>3</v>
      </c>
      <c r="I1217">
        <v>1</v>
      </c>
      <c r="J1217">
        <v>50</v>
      </c>
      <c r="K1217">
        <v>4</v>
      </c>
      <c r="L1217">
        <v>2</v>
      </c>
      <c r="M1217">
        <v>100</v>
      </c>
      <c r="N1217">
        <v>2</v>
      </c>
      <c r="O1217">
        <v>8</v>
      </c>
      <c r="P1217" t="s">
        <v>192</v>
      </c>
      <c r="Q1217" t="s">
        <v>192</v>
      </c>
      <c r="R1217">
        <v>1</v>
      </c>
      <c r="S1217">
        <v>62</v>
      </c>
      <c r="T1217">
        <v>3</v>
      </c>
      <c r="U1217">
        <v>4</v>
      </c>
      <c r="V1217">
        <v>38</v>
      </c>
      <c r="W1217">
        <v>1</v>
      </c>
      <c r="X1217" s="367"/>
    </row>
    <row r="1218" spans="1:24">
      <c r="A1218" t="s">
        <v>6935</v>
      </c>
      <c r="B1218" t="s">
        <v>6936</v>
      </c>
      <c r="C1218">
        <v>48</v>
      </c>
      <c r="D1218">
        <v>6005</v>
      </c>
      <c r="E1218">
        <v>68038000</v>
      </c>
      <c r="F1218">
        <v>10</v>
      </c>
      <c r="G1218">
        <v>10</v>
      </c>
      <c r="H1218">
        <v>11</v>
      </c>
      <c r="I1218">
        <v>1</v>
      </c>
      <c r="J1218">
        <v>10</v>
      </c>
      <c r="K1218">
        <v>11</v>
      </c>
      <c r="L1218">
        <v>1</v>
      </c>
      <c r="M1218">
        <v>10</v>
      </c>
      <c r="N1218">
        <v>10</v>
      </c>
      <c r="O1218">
        <v>17</v>
      </c>
      <c r="P1218" t="s">
        <v>192</v>
      </c>
      <c r="Q1218" t="s">
        <v>192</v>
      </c>
      <c r="R1218">
        <v>1</v>
      </c>
      <c r="S1218">
        <v>588</v>
      </c>
      <c r="T1218">
        <v>11</v>
      </c>
      <c r="U1218">
        <v>24</v>
      </c>
      <c r="V1218">
        <v>1000</v>
      </c>
      <c r="W1218">
        <v>2</v>
      </c>
      <c r="X1218" s="367"/>
    </row>
    <row r="1219" spans="1:24">
      <c r="A1219" t="s">
        <v>6933</v>
      </c>
      <c r="B1219" t="s">
        <v>6934</v>
      </c>
      <c r="C1219">
        <v>0</v>
      </c>
      <c r="D1219">
        <v>0</v>
      </c>
      <c r="E1219">
        <v>0</v>
      </c>
      <c r="F1219">
        <v>99</v>
      </c>
      <c r="G1219">
        <v>0</v>
      </c>
      <c r="H1219">
        <v>99</v>
      </c>
      <c r="I1219">
        <v>0</v>
      </c>
      <c r="J1219">
        <v>0</v>
      </c>
      <c r="K1219">
        <v>99</v>
      </c>
      <c r="L1219">
        <v>0</v>
      </c>
      <c r="M1219">
        <v>0</v>
      </c>
      <c r="N1219">
        <v>0</v>
      </c>
      <c r="O1219">
        <v>0</v>
      </c>
      <c r="P1219" t="s">
        <v>192</v>
      </c>
      <c r="Q1219" t="s">
        <v>192</v>
      </c>
      <c r="R1219">
        <v>1</v>
      </c>
      <c r="S1219">
        <v>1000</v>
      </c>
      <c r="T1219">
        <v>21</v>
      </c>
      <c r="U1219">
        <v>0</v>
      </c>
      <c r="V1219">
        <v>0</v>
      </c>
      <c r="W1219">
        <v>0</v>
      </c>
      <c r="X1219" s="367"/>
    </row>
    <row r="1220" spans="1:24">
      <c r="A1220" t="s">
        <v>6931</v>
      </c>
      <c r="B1220" t="s">
        <v>6932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 t="s">
        <v>192</v>
      </c>
      <c r="Q1220" t="s">
        <v>192</v>
      </c>
      <c r="R1220">
        <v>1</v>
      </c>
      <c r="S1220">
        <v>1000</v>
      </c>
      <c r="T1220">
        <v>5</v>
      </c>
      <c r="U1220">
        <v>0</v>
      </c>
      <c r="V1220">
        <v>0</v>
      </c>
      <c r="W1220">
        <v>0</v>
      </c>
      <c r="X1220" s="367"/>
    </row>
    <row r="1221" spans="1:24">
      <c r="A1221" t="s">
        <v>6929</v>
      </c>
      <c r="B1221" t="s">
        <v>6930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 t="s">
        <v>192</v>
      </c>
      <c r="Q1221" t="s">
        <v>192</v>
      </c>
      <c r="R1221">
        <v>2</v>
      </c>
      <c r="S1221">
        <v>1100</v>
      </c>
      <c r="T1221">
        <v>1</v>
      </c>
      <c r="U1221">
        <v>0</v>
      </c>
      <c r="V1221">
        <v>0</v>
      </c>
      <c r="W1221">
        <v>0</v>
      </c>
      <c r="X1221" s="367"/>
    </row>
    <row r="1222" spans="1:24">
      <c r="A1222" t="s">
        <v>6927</v>
      </c>
      <c r="B1222" t="s">
        <v>6928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 t="s">
        <v>192</v>
      </c>
      <c r="Q1222" t="s">
        <v>192</v>
      </c>
      <c r="R1222">
        <v>1</v>
      </c>
      <c r="S1222">
        <v>1000</v>
      </c>
      <c r="T1222">
        <v>2</v>
      </c>
      <c r="U1222">
        <v>0</v>
      </c>
      <c r="V1222">
        <v>0</v>
      </c>
      <c r="W1222">
        <v>0</v>
      </c>
      <c r="X1222" s="367"/>
    </row>
    <row r="1223" spans="1:24">
      <c r="A1223" t="s">
        <v>6925</v>
      </c>
      <c r="B1223" t="s">
        <v>6926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0</v>
      </c>
      <c r="P1223" t="s">
        <v>192</v>
      </c>
      <c r="Q1223" t="s">
        <v>192</v>
      </c>
      <c r="R1223">
        <v>1</v>
      </c>
      <c r="S1223">
        <v>99</v>
      </c>
      <c r="T1223">
        <v>25</v>
      </c>
      <c r="U1223">
        <v>0</v>
      </c>
      <c r="V1223">
        <v>0</v>
      </c>
      <c r="W1223">
        <v>0</v>
      </c>
      <c r="X1223" s="367"/>
    </row>
    <row r="1224" spans="1:24">
      <c r="A1224" t="s">
        <v>6923</v>
      </c>
      <c r="B1224" t="s">
        <v>6924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1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 t="s">
        <v>192</v>
      </c>
      <c r="Q1224" t="s">
        <v>192</v>
      </c>
      <c r="R1224">
        <v>1</v>
      </c>
      <c r="S1224">
        <v>111</v>
      </c>
      <c r="T1224">
        <v>11</v>
      </c>
      <c r="U1224">
        <v>0</v>
      </c>
      <c r="V1224">
        <v>0</v>
      </c>
      <c r="W1224">
        <v>0</v>
      </c>
      <c r="X1224" s="367"/>
    </row>
    <row r="1225" spans="1:24">
      <c r="A1225" t="s">
        <v>6921</v>
      </c>
      <c r="B1225" t="s">
        <v>6922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 t="s">
        <v>192</v>
      </c>
      <c r="Q1225" t="s">
        <v>192</v>
      </c>
      <c r="R1225">
        <v>1</v>
      </c>
      <c r="S1225">
        <v>111</v>
      </c>
      <c r="T1225">
        <v>11</v>
      </c>
      <c r="U1225">
        <v>0</v>
      </c>
      <c r="V1225">
        <v>0</v>
      </c>
      <c r="W1225">
        <v>0</v>
      </c>
      <c r="X1225" s="367"/>
    </row>
    <row r="1226" spans="1:24">
      <c r="A1226" t="s">
        <v>6919</v>
      </c>
      <c r="B1226" t="s">
        <v>6920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 t="s">
        <v>192</v>
      </c>
      <c r="Q1226" t="s">
        <v>192</v>
      </c>
      <c r="R1226">
        <v>1</v>
      </c>
      <c r="S1226">
        <v>100</v>
      </c>
      <c r="T1226">
        <v>1</v>
      </c>
      <c r="U1226">
        <v>0</v>
      </c>
      <c r="V1226">
        <v>0</v>
      </c>
      <c r="W1226">
        <v>0</v>
      </c>
      <c r="X1226" s="367"/>
    </row>
    <row r="1227" spans="1:24">
      <c r="A1227" t="s">
        <v>6907</v>
      </c>
      <c r="B1227" t="s">
        <v>6908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1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 t="s">
        <v>192</v>
      </c>
      <c r="Q1227" t="s">
        <v>192</v>
      </c>
      <c r="R1227">
        <v>1</v>
      </c>
      <c r="S1227">
        <v>100</v>
      </c>
      <c r="T1227">
        <v>1</v>
      </c>
      <c r="U1227">
        <v>0</v>
      </c>
      <c r="V1227">
        <v>0</v>
      </c>
      <c r="W1227">
        <v>0</v>
      </c>
      <c r="X1227" s="367"/>
    </row>
    <row r="1228" spans="1:24">
      <c r="A1228" t="s">
        <v>6905</v>
      </c>
      <c r="B1228" t="s">
        <v>6906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 t="s">
        <v>192</v>
      </c>
      <c r="Q1228" t="s">
        <v>192</v>
      </c>
      <c r="R1228">
        <v>1</v>
      </c>
      <c r="S1228">
        <v>100</v>
      </c>
      <c r="T1228">
        <v>1</v>
      </c>
      <c r="U1228">
        <v>0</v>
      </c>
      <c r="V1228">
        <v>0</v>
      </c>
      <c r="W1228">
        <v>0</v>
      </c>
      <c r="X1228" s="367"/>
    </row>
    <row r="1229" spans="1:24">
      <c r="A1229" t="s">
        <v>6901</v>
      </c>
      <c r="B1229" t="s">
        <v>6902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 t="s">
        <v>192</v>
      </c>
      <c r="Q1229" t="s">
        <v>192</v>
      </c>
      <c r="R1229">
        <v>2</v>
      </c>
      <c r="S1229">
        <v>136</v>
      </c>
      <c r="T1229">
        <v>11</v>
      </c>
      <c r="U1229">
        <v>0</v>
      </c>
      <c r="V1229">
        <v>0</v>
      </c>
      <c r="W1229">
        <v>0</v>
      </c>
      <c r="X1229" s="367"/>
    </row>
    <row r="1230" spans="1:24">
      <c r="A1230" t="s">
        <v>6899</v>
      </c>
      <c r="B1230" t="s">
        <v>6900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 t="s">
        <v>192</v>
      </c>
      <c r="Q1230" t="s">
        <v>192</v>
      </c>
      <c r="R1230">
        <v>1</v>
      </c>
      <c r="S1230">
        <v>111</v>
      </c>
      <c r="T1230">
        <v>11</v>
      </c>
      <c r="U1230">
        <v>0</v>
      </c>
      <c r="V1230">
        <v>0</v>
      </c>
      <c r="W1230">
        <v>0</v>
      </c>
      <c r="X1230" s="367"/>
    </row>
    <row r="1231" spans="1:24">
      <c r="A1231" t="s">
        <v>8012</v>
      </c>
      <c r="B1231" t="s">
        <v>8013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 t="s">
        <v>192</v>
      </c>
      <c r="Q1231" t="s">
        <v>192</v>
      </c>
      <c r="R1231">
        <v>1</v>
      </c>
      <c r="S1231">
        <v>100</v>
      </c>
      <c r="T1231">
        <v>1</v>
      </c>
      <c r="U1231">
        <v>0</v>
      </c>
      <c r="V1231">
        <v>0</v>
      </c>
      <c r="W1231">
        <v>0</v>
      </c>
      <c r="X1231" s="367"/>
    </row>
    <row r="1232" spans="1:24">
      <c r="A1232" t="s">
        <v>8014</v>
      </c>
      <c r="B1232" t="s">
        <v>8015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1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 t="s">
        <v>192</v>
      </c>
      <c r="Q1232" t="s">
        <v>192</v>
      </c>
      <c r="R1232">
        <v>1</v>
      </c>
      <c r="S1232">
        <v>100</v>
      </c>
      <c r="T1232">
        <v>1</v>
      </c>
      <c r="U1232">
        <v>0</v>
      </c>
      <c r="V1232">
        <v>0</v>
      </c>
      <c r="W1232">
        <v>0</v>
      </c>
      <c r="X1232" s="367"/>
    </row>
    <row r="1233" spans="1:24">
      <c r="A1233" t="s">
        <v>8016</v>
      </c>
      <c r="B1233" t="s">
        <v>8017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 t="s">
        <v>192</v>
      </c>
      <c r="Q1233" t="s">
        <v>192</v>
      </c>
      <c r="R1233">
        <v>1</v>
      </c>
      <c r="S1233">
        <v>100</v>
      </c>
      <c r="T1233">
        <v>1</v>
      </c>
      <c r="U1233">
        <v>0</v>
      </c>
      <c r="V1233">
        <v>0</v>
      </c>
      <c r="W1233">
        <v>0</v>
      </c>
      <c r="X1233" s="367"/>
    </row>
    <row r="1234" spans="1:24">
      <c r="A1234" t="s">
        <v>8018</v>
      </c>
      <c r="B1234" t="s">
        <v>8019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 t="s">
        <v>192</v>
      </c>
      <c r="Q1234" t="s">
        <v>192</v>
      </c>
      <c r="R1234">
        <v>1</v>
      </c>
      <c r="S1234">
        <v>111</v>
      </c>
      <c r="T1234">
        <v>11</v>
      </c>
      <c r="U1234">
        <v>0</v>
      </c>
      <c r="V1234">
        <v>0</v>
      </c>
      <c r="W1234">
        <v>0</v>
      </c>
      <c r="X1234" s="367"/>
    </row>
    <row r="1235" spans="1:24">
      <c r="A1235" t="s">
        <v>8020</v>
      </c>
      <c r="B1235" t="s">
        <v>8021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 t="s">
        <v>192</v>
      </c>
      <c r="Q1235" t="s">
        <v>192</v>
      </c>
      <c r="R1235">
        <v>1</v>
      </c>
      <c r="S1235">
        <v>111</v>
      </c>
      <c r="T1235">
        <v>11</v>
      </c>
      <c r="U1235">
        <v>0</v>
      </c>
      <c r="V1235">
        <v>0</v>
      </c>
      <c r="W1235">
        <v>0</v>
      </c>
      <c r="X1235" s="367"/>
    </row>
    <row r="1236" spans="1:24">
      <c r="A1236" t="s">
        <v>8022</v>
      </c>
      <c r="B1236" t="s">
        <v>8023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1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 t="s">
        <v>192</v>
      </c>
      <c r="Q1236" t="s">
        <v>192</v>
      </c>
      <c r="R1236">
        <v>1</v>
      </c>
      <c r="S1236">
        <v>100</v>
      </c>
      <c r="T1236">
        <v>1</v>
      </c>
      <c r="U1236">
        <v>0</v>
      </c>
      <c r="V1236">
        <v>0</v>
      </c>
      <c r="W1236">
        <v>0</v>
      </c>
      <c r="X1236" s="367"/>
    </row>
    <row r="1237" spans="1:24">
      <c r="A1237" t="s">
        <v>4500</v>
      </c>
      <c r="B1237" t="s">
        <v>4501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1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 t="s">
        <v>192</v>
      </c>
      <c r="Q1237" t="s">
        <v>192</v>
      </c>
      <c r="R1237">
        <v>0</v>
      </c>
      <c r="S1237">
        <v>0</v>
      </c>
      <c r="T1237">
        <v>0</v>
      </c>
      <c r="U1237">
        <v>1</v>
      </c>
      <c r="V1237">
        <v>3000</v>
      </c>
      <c r="W1237">
        <v>3</v>
      </c>
      <c r="X1237" s="367"/>
    </row>
    <row r="1238" spans="1:24">
      <c r="A1238" t="s">
        <v>4502</v>
      </c>
      <c r="B1238" t="s">
        <v>4503</v>
      </c>
      <c r="C1238">
        <v>7</v>
      </c>
      <c r="D1238">
        <v>3564</v>
      </c>
      <c r="E1238">
        <v>3564000</v>
      </c>
      <c r="F1238">
        <v>1</v>
      </c>
      <c r="G1238">
        <v>1</v>
      </c>
      <c r="H1238">
        <v>1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1</v>
      </c>
      <c r="P1238" t="s">
        <v>192</v>
      </c>
      <c r="Q1238" t="s">
        <v>192</v>
      </c>
      <c r="R1238">
        <v>0</v>
      </c>
      <c r="S1238">
        <v>0</v>
      </c>
      <c r="T1238">
        <v>0</v>
      </c>
      <c r="U1238">
        <v>3</v>
      </c>
      <c r="V1238">
        <v>6110</v>
      </c>
      <c r="W1238">
        <v>8</v>
      </c>
      <c r="X1238" s="367"/>
    </row>
    <row r="1239" spans="1:24">
      <c r="A1239" t="s">
        <v>4504</v>
      </c>
      <c r="B1239" t="s">
        <v>4505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 t="s">
        <v>192</v>
      </c>
      <c r="Q1239" t="s">
        <v>192</v>
      </c>
      <c r="R1239">
        <v>0</v>
      </c>
      <c r="S1239">
        <v>0</v>
      </c>
      <c r="T1239">
        <v>0</v>
      </c>
      <c r="U1239">
        <v>1</v>
      </c>
      <c r="V1239">
        <v>22719</v>
      </c>
      <c r="W1239">
        <v>24</v>
      </c>
      <c r="X1239" s="367"/>
    </row>
    <row r="1240" spans="1:24">
      <c r="A1240" t="s">
        <v>4508</v>
      </c>
      <c r="B1240" t="s">
        <v>4509</v>
      </c>
      <c r="C1240">
        <v>141</v>
      </c>
      <c r="D1240">
        <v>71000</v>
      </c>
      <c r="E1240">
        <v>71000000</v>
      </c>
      <c r="F1240">
        <v>1</v>
      </c>
      <c r="G1240">
        <v>1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1</v>
      </c>
      <c r="P1240" t="s">
        <v>192</v>
      </c>
      <c r="Q1240" t="s">
        <v>192</v>
      </c>
      <c r="R1240">
        <v>0</v>
      </c>
      <c r="S1240">
        <v>0</v>
      </c>
      <c r="T1240">
        <v>0</v>
      </c>
      <c r="U1240">
        <v>1</v>
      </c>
      <c r="V1240">
        <v>194380</v>
      </c>
      <c r="W1240">
        <v>200</v>
      </c>
      <c r="X1240" s="367"/>
    </row>
    <row r="1241" spans="1:24">
      <c r="A1241" t="s">
        <v>4510</v>
      </c>
      <c r="B1241" t="s">
        <v>4511</v>
      </c>
      <c r="C1241">
        <v>545</v>
      </c>
      <c r="D1241">
        <v>275921</v>
      </c>
      <c r="E1241">
        <v>275921000</v>
      </c>
      <c r="F1241">
        <v>1</v>
      </c>
      <c r="G1241">
        <v>1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1</v>
      </c>
      <c r="O1241">
        <v>1</v>
      </c>
      <c r="P1241" t="s">
        <v>192</v>
      </c>
      <c r="Q1241" t="s">
        <v>192</v>
      </c>
      <c r="R1241">
        <v>0</v>
      </c>
      <c r="S1241">
        <v>0</v>
      </c>
      <c r="T1241">
        <v>0</v>
      </c>
      <c r="U1241">
        <v>1</v>
      </c>
      <c r="V1241">
        <v>35000</v>
      </c>
      <c r="W1241">
        <v>35</v>
      </c>
      <c r="X1241" s="367"/>
    </row>
    <row r="1242" spans="1:24">
      <c r="A1242" t="s">
        <v>4512</v>
      </c>
      <c r="B1242" t="s">
        <v>4513</v>
      </c>
      <c r="C1242">
        <v>138</v>
      </c>
      <c r="D1242">
        <v>63557</v>
      </c>
      <c r="E1242">
        <v>63557000</v>
      </c>
      <c r="F1242">
        <v>1</v>
      </c>
      <c r="G1242">
        <v>1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1</v>
      </c>
      <c r="P1242" t="s">
        <v>192</v>
      </c>
      <c r="Q1242" t="s">
        <v>192</v>
      </c>
      <c r="R1242">
        <v>0</v>
      </c>
      <c r="S1242">
        <v>0</v>
      </c>
      <c r="T1242">
        <v>0</v>
      </c>
      <c r="U1242">
        <v>1</v>
      </c>
      <c r="V1242">
        <v>453551</v>
      </c>
      <c r="W1242">
        <v>478</v>
      </c>
      <c r="X1242" s="367"/>
    </row>
    <row r="1243" spans="1:24">
      <c r="A1243" t="s">
        <v>4518</v>
      </c>
      <c r="B1243" t="s">
        <v>4519</v>
      </c>
      <c r="C1243">
        <v>51</v>
      </c>
      <c r="D1243">
        <v>6630</v>
      </c>
      <c r="E1243">
        <v>1720178000</v>
      </c>
      <c r="F1243">
        <v>335</v>
      </c>
      <c r="G1243">
        <v>260</v>
      </c>
      <c r="H1243">
        <v>251</v>
      </c>
      <c r="I1243">
        <v>-84</v>
      </c>
      <c r="J1243">
        <v>-25.07</v>
      </c>
      <c r="K1243">
        <v>259</v>
      </c>
      <c r="L1243">
        <v>-76</v>
      </c>
      <c r="M1243">
        <v>-22.69</v>
      </c>
      <c r="N1243">
        <v>245</v>
      </c>
      <c r="O1243">
        <v>290</v>
      </c>
      <c r="P1243" t="s">
        <v>192</v>
      </c>
      <c r="Q1243" t="s">
        <v>192</v>
      </c>
      <c r="R1243">
        <v>2</v>
      </c>
      <c r="S1243">
        <v>403</v>
      </c>
      <c r="T1243">
        <v>200</v>
      </c>
      <c r="U1243">
        <v>0</v>
      </c>
      <c r="V1243">
        <v>0</v>
      </c>
      <c r="W1243">
        <v>0</v>
      </c>
      <c r="X1243" s="367"/>
    </row>
    <row r="1244" spans="1:24">
      <c r="A1244" t="s">
        <v>4520</v>
      </c>
      <c r="B1244" t="s">
        <v>4521</v>
      </c>
      <c r="C1244">
        <v>46</v>
      </c>
      <c r="D1244">
        <v>18713</v>
      </c>
      <c r="E1244">
        <v>56483000</v>
      </c>
      <c r="F1244">
        <v>3</v>
      </c>
      <c r="G1244">
        <v>3</v>
      </c>
      <c r="H1244">
        <v>3</v>
      </c>
      <c r="I1244">
        <v>0</v>
      </c>
      <c r="J1244">
        <v>0</v>
      </c>
      <c r="K1244">
        <v>3</v>
      </c>
      <c r="L1244">
        <v>0</v>
      </c>
      <c r="M1244">
        <v>0</v>
      </c>
      <c r="N1244">
        <v>2</v>
      </c>
      <c r="O1244">
        <v>4</v>
      </c>
      <c r="P1244" t="s">
        <v>192</v>
      </c>
      <c r="Q1244" t="s">
        <v>192</v>
      </c>
      <c r="R1244">
        <v>11</v>
      </c>
      <c r="S1244">
        <v>9990</v>
      </c>
      <c r="T1244">
        <v>2</v>
      </c>
      <c r="U1244">
        <v>5</v>
      </c>
      <c r="V1244">
        <v>1000</v>
      </c>
      <c r="W1244">
        <v>1</v>
      </c>
      <c r="X1244" s="367"/>
    </row>
    <row r="1245" spans="1:24">
      <c r="A1245" t="s">
        <v>4522</v>
      </c>
      <c r="B1245" t="s">
        <v>4523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 t="s">
        <v>192</v>
      </c>
      <c r="Q1245" t="s">
        <v>192</v>
      </c>
      <c r="R1245">
        <v>1</v>
      </c>
      <c r="S1245">
        <v>100</v>
      </c>
      <c r="T1245">
        <v>1</v>
      </c>
      <c r="U1245">
        <v>0</v>
      </c>
      <c r="V1245">
        <v>0</v>
      </c>
      <c r="W1245">
        <v>0</v>
      </c>
      <c r="X1245" s="367"/>
    </row>
    <row r="1246" spans="1:24">
      <c r="A1246" t="s">
        <v>4524</v>
      </c>
      <c r="B1246" t="s">
        <v>4525</v>
      </c>
      <c r="C1246">
        <v>0</v>
      </c>
      <c r="D1246">
        <v>0</v>
      </c>
      <c r="E1246">
        <v>0</v>
      </c>
      <c r="F1246">
        <v>15</v>
      </c>
      <c r="G1246">
        <v>0</v>
      </c>
      <c r="H1246">
        <v>2</v>
      </c>
      <c r="I1246">
        <v>-13</v>
      </c>
      <c r="J1246">
        <v>-86.67</v>
      </c>
      <c r="K1246">
        <v>15</v>
      </c>
      <c r="L1246">
        <v>0</v>
      </c>
      <c r="M1246">
        <v>0</v>
      </c>
      <c r="N1246">
        <v>0</v>
      </c>
      <c r="O1246">
        <v>0</v>
      </c>
      <c r="P1246" t="s">
        <v>192</v>
      </c>
      <c r="Q1246" t="s">
        <v>192</v>
      </c>
      <c r="R1246">
        <v>1</v>
      </c>
      <c r="S1246">
        <v>1000</v>
      </c>
      <c r="T1246">
        <v>2</v>
      </c>
      <c r="U1246">
        <v>0</v>
      </c>
      <c r="V1246">
        <v>0</v>
      </c>
      <c r="W1246">
        <v>0</v>
      </c>
      <c r="X1246" s="367"/>
    </row>
    <row r="1247" spans="1:24">
      <c r="A1247" t="s">
        <v>4526</v>
      </c>
      <c r="B1247" t="s">
        <v>4527</v>
      </c>
      <c r="C1247">
        <v>28</v>
      </c>
      <c r="D1247">
        <v>841</v>
      </c>
      <c r="E1247">
        <v>4759000</v>
      </c>
      <c r="F1247">
        <v>8</v>
      </c>
      <c r="G1247">
        <v>2</v>
      </c>
      <c r="H1247">
        <v>6</v>
      </c>
      <c r="I1247">
        <v>-2</v>
      </c>
      <c r="J1247">
        <v>-25</v>
      </c>
      <c r="K1247">
        <v>6</v>
      </c>
      <c r="L1247">
        <v>-2</v>
      </c>
      <c r="M1247">
        <v>-25</v>
      </c>
      <c r="N1247">
        <v>2</v>
      </c>
      <c r="O1247">
        <v>14</v>
      </c>
      <c r="P1247" t="s">
        <v>192</v>
      </c>
      <c r="Q1247" t="s">
        <v>192</v>
      </c>
      <c r="R1247">
        <v>2</v>
      </c>
      <c r="S1247">
        <v>15</v>
      </c>
      <c r="T1247">
        <v>5</v>
      </c>
      <c r="U1247">
        <v>7</v>
      </c>
      <c r="V1247">
        <v>1443</v>
      </c>
      <c r="W1247">
        <v>2</v>
      </c>
      <c r="X1247" s="367"/>
    </row>
    <row r="1248" spans="1:24">
      <c r="A1248" t="s">
        <v>4528</v>
      </c>
      <c r="B1248" t="s">
        <v>4529</v>
      </c>
      <c r="C1248">
        <v>36</v>
      </c>
      <c r="D1248">
        <v>3356</v>
      </c>
      <c r="E1248">
        <v>13722000</v>
      </c>
      <c r="F1248">
        <v>8</v>
      </c>
      <c r="G1248">
        <v>8</v>
      </c>
      <c r="H1248">
        <v>3</v>
      </c>
      <c r="I1248">
        <v>-5</v>
      </c>
      <c r="J1248">
        <v>-62.5</v>
      </c>
      <c r="K1248">
        <v>4</v>
      </c>
      <c r="L1248">
        <v>-4</v>
      </c>
      <c r="M1248">
        <v>-50</v>
      </c>
      <c r="N1248">
        <v>3</v>
      </c>
      <c r="O1248">
        <v>8</v>
      </c>
      <c r="P1248" t="s">
        <v>192</v>
      </c>
      <c r="Q1248" t="s">
        <v>192</v>
      </c>
      <c r="R1248">
        <v>3</v>
      </c>
      <c r="S1248">
        <v>3000</v>
      </c>
      <c r="T1248">
        <v>4</v>
      </c>
      <c r="U1248">
        <v>9</v>
      </c>
      <c r="V1248">
        <v>1000</v>
      </c>
      <c r="W1248">
        <v>1</v>
      </c>
      <c r="X1248" s="367"/>
    </row>
    <row r="1249" spans="1:24">
      <c r="A1249" t="s">
        <v>4530</v>
      </c>
      <c r="B1249" t="s">
        <v>4531</v>
      </c>
      <c r="C1249">
        <v>176</v>
      </c>
      <c r="D1249">
        <v>61734</v>
      </c>
      <c r="E1249">
        <v>487037000</v>
      </c>
      <c r="F1249">
        <v>17</v>
      </c>
      <c r="G1249">
        <v>10</v>
      </c>
      <c r="H1249">
        <v>9</v>
      </c>
      <c r="I1249">
        <v>-8</v>
      </c>
      <c r="J1249">
        <v>-47.06</v>
      </c>
      <c r="K1249">
        <v>8</v>
      </c>
      <c r="L1249">
        <v>-9</v>
      </c>
      <c r="M1249">
        <v>-52.94</v>
      </c>
      <c r="N1249">
        <v>6</v>
      </c>
      <c r="O1249">
        <v>10</v>
      </c>
      <c r="P1249" t="s">
        <v>192</v>
      </c>
      <c r="Q1249" t="s">
        <v>192</v>
      </c>
      <c r="R1249">
        <v>3</v>
      </c>
      <c r="S1249">
        <v>2251</v>
      </c>
      <c r="T1249">
        <v>8</v>
      </c>
      <c r="U1249">
        <v>10</v>
      </c>
      <c r="V1249">
        <v>999</v>
      </c>
      <c r="W1249">
        <v>1</v>
      </c>
      <c r="X1249" s="367"/>
    </row>
    <row r="1250" spans="1:24">
      <c r="A1250" t="s">
        <v>4532</v>
      </c>
      <c r="B1250" t="s">
        <v>4533</v>
      </c>
      <c r="C1250">
        <v>307</v>
      </c>
      <c r="D1250">
        <v>71362</v>
      </c>
      <c r="E1250">
        <v>991125000</v>
      </c>
      <c r="F1250">
        <v>24</v>
      </c>
      <c r="G1250">
        <v>24</v>
      </c>
      <c r="H1250">
        <v>16</v>
      </c>
      <c r="I1250">
        <v>-8</v>
      </c>
      <c r="J1250">
        <v>-33.33</v>
      </c>
      <c r="K1250">
        <v>14</v>
      </c>
      <c r="L1250">
        <v>-10</v>
      </c>
      <c r="M1250">
        <v>-41.67</v>
      </c>
      <c r="N1250">
        <v>11</v>
      </c>
      <c r="O1250">
        <v>24</v>
      </c>
      <c r="P1250" t="s">
        <v>192</v>
      </c>
      <c r="Q1250" t="s">
        <v>192</v>
      </c>
      <c r="R1250">
        <v>5</v>
      </c>
      <c r="S1250">
        <v>4271</v>
      </c>
      <c r="T1250">
        <v>14</v>
      </c>
      <c r="U1250">
        <v>16</v>
      </c>
      <c r="V1250">
        <v>651</v>
      </c>
      <c r="W1250">
        <v>1</v>
      </c>
      <c r="X1250" s="367"/>
    </row>
    <row r="1251" spans="1:24">
      <c r="A1251" t="s">
        <v>4534</v>
      </c>
      <c r="B1251" t="s">
        <v>4535</v>
      </c>
      <c r="C1251">
        <v>64</v>
      </c>
      <c r="D1251">
        <v>7704</v>
      </c>
      <c r="E1251">
        <v>1462701000</v>
      </c>
      <c r="F1251">
        <v>218</v>
      </c>
      <c r="G1251">
        <v>150</v>
      </c>
      <c r="H1251">
        <v>190</v>
      </c>
      <c r="I1251">
        <v>-28</v>
      </c>
      <c r="J1251">
        <v>-12.84</v>
      </c>
      <c r="K1251">
        <v>190</v>
      </c>
      <c r="L1251">
        <v>-28</v>
      </c>
      <c r="M1251">
        <v>-12.84</v>
      </c>
      <c r="N1251">
        <v>150</v>
      </c>
      <c r="O1251">
        <v>201</v>
      </c>
      <c r="P1251" t="s">
        <v>192</v>
      </c>
      <c r="Q1251" t="s">
        <v>192</v>
      </c>
      <c r="R1251">
        <v>1</v>
      </c>
      <c r="S1251">
        <v>11</v>
      </c>
      <c r="T1251">
        <v>180</v>
      </c>
      <c r="U1251">
        <v>185</v>
      </c>
      <c r="V1251">
        <v>27</v>
      </c>
      <c r="W1251">
        <v>1</v>
      </c>
      <c r="X1251" s="367"/>
    </row>
    <row r="1252" spans="1:24">
      <c r="A1252" t="s">
        <v>4536</v>
      </c>
      <c r="B1252" t="s">
        <v>4537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  <c r="P1252" t="s">
        <v>192</v>
      </c>
      <c r="Q1252" t="s">
        <v>192</v>
      </c>
      <c r="R1252">
        <v>1</v>
      </c>
      <c r="S1252">
        <v>50</v>
      </c>
      <c r="T1252">
        <v>150</v>
      </c>
      <c r="U1252">
        <v>0</v>
      </c>
      <c r="V1252">
        <v>0</v>
      </c>
      <c r="W1252">
        <v>0</v>
      </c>
      <c r="X1252" s="367"/>
    </row>
    <row r="1253" spans="1:24">
      <c r="A1253" t="s">
        <v>4538</v>
      </c>
      <c r="B1253" t="s">
        <v>4539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1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  <c r="P1253" t="s">
        <v>192</v>
      </c>
      <c r="Q1253" t="s">
        <v>192</v>
      </c>
      <c r="R1253">
        <v>1</v>
      </c>
      <c r="S1253">
        <v>100</v>
      </c>
      <c r="T1253">
        <v>1</v>
      </c>
      <c r="U1253">
        <v>0</v>
      </c>
      <c r="V1253">
        <v>0</v>
      </c>
      <c r="W1253">
        <v>0</v>
      </c>
      <c r="X1253" s="367"/>
    </row>
    <row r="1254" spans="1:24">
      <c r="A1254" t="s">
        <v>4540</v>
      </c>
      <c r="B1254" t="s">
        <v>4541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1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 t="s">
        <v>192</v>
      </c>
      <c r="Q1254" t="s">
        <v>192</v>
      </c>
      <c r="R1254">
        <v>1</v>
      </c>
      <c r="S1254">
        <v>100</v>
      </c>
      <c r="T1254">
        <v>1</v>
      </c>
      <c r="U1254">
        <v>0</v>
      </c>
      <c r="V1254">
        <v>0</v>
      </c>
      <c r="W1254">
        <v>0</v>
      </c>
      <c r="X1254" s="367"/>
    </row>
    <row r="1255" spans="1:24">
      <c r="A1255" t="s">
        <v>4542</v>
      </c>
      <c r="B1255" t="s">
        <v>4543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1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 t="s">
        <v>192</v>
      </c>
      <c r="Q1255" t="s">
        <v>192</v>
      </c>
      <c r="R1255">
        <v>1</v>
      </c>
      <c r="S1255">
        <v>100</v>
      </c>
      <c r="T1255">
        <v>1</v>
      </c>
      <c r="U1255">
        <v>0</v>
      </c>
      <c r="V1255">
        <v>0</v>
      </c>
      <c r="W1255">
        <v>0</v>
      </c>
      <c r="X1255" s="367"/>
    </row>
    <row r="1256" spans="1:24">
      <c r="A1256" t="s">
        <v>4546</v>
      </c>
      <c r="B1256" t="s">
        <v>4547</v>
      </c>
      <c r="C1256">
        <v>0</v>
      </c>
      <c r="D1256">
        <v>0</v>
      </c>
      <c r="E1256">
        <v>0</v>
      </c>
      <c r="F1256">
        <v>150</v>
      </c>
      <c r="G1256">
        <v>0</v>
      </c>
      <c r="H1256">
        <v>150</v>
      </c>
      <c r="I1256">
        <v>0</v>
      </c>
      <c r="J1256">
        <v>0</v>
      </c>
      <c r="K1256">
        <v>150</v>
      </c>
      <c r="L1256">
        <v>0</v>
      </c>
      <c r="M1256">
        <v>0</v>
      </c>
      <c r="N1256">
        <v>0</v>
      </c>
      <c r="O1256">
        <v>0</v>
      </c>
      <c r="P1256" t="s">
        <v>192</v>
      </c>
      <c r="Q1256" t="s">
        <v>192</v>
      </c>
      <c r="R1256">
        <v>1</v>
      </c>
      <c r="S1256">
        <v>25</v>
      </c>
      <c r="T1256">
        <v>12</v>
      </c>
      <c r="U1256">
        <v>200</v>
      </c>
      <c r="V1256">
        <v>10</v>
      </c>
      <c r="W1256">
        <v>1</v>
      </c>
      <c r="X1256" s="367"/>
    </row>
    <row r="1257" spans="1:24">
      <c r="A1257" t="s">
        <v>4552</v>
      </c>
      <c r="B1257" t="s">
        <v>4553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1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 t="s">
        <v>192</v>
      </c>
      <c r="Q1257" t="s">
        <v>192</v>
      </c>
      <c r="R1257">
        <v>1</v>
      </c>
      <c r="S1257">
        <v>99</v>
      </c>
      <c r="T1257">
        <v>35</v>
      </c>
      <c r="U1257">
        <v>0</v>
      </c>
      <c r="V1257">
        <v>0</v>
      </c>
      <c r="W1257">
        <v>0</v>
      </c>
      <c r="X1257" s="367"/>
    </row>
    <row r="1258" spans="1:24">
      <c r="A1258" t="s">
        <v>4554</v>
      </c>
      <c r="B1258" t="s">
        <v>4555</v>
      </c>
      <c r="C1258">
        <v>1</v>
      </c>
      <c r="D1258">
        <v>111</v>
      </c>
      <c r="E1258">
        <v>1221000</v>
      </c>
      <c r="F1258">
        <v>1</v>
      </c>
      <c r="G1258">
        <v>11</v>
      </c>
      <c r="H1258">
        <v>11</v>
      </c>
      <c r="I1258">
        <v>10</v>
      </c>
      <c r="J1258">
        <v>1000</v>
      </c>
      <c r="K1258">
        <v>11</v>
      </c>
      <c r="L1258">
        <v>10</v>
      </c>
      <c r="M1258">
        <v>1000</v>
      </c>
      <c r="N1258">
        <v>11</v>
      </c>
      <c r="O1258">
        <v>11</v>
      </c>
      <c r="P1258" t="s">
        <v>192</v>
      </c>
      <c r="Q1258" t="s">
        <v>192</v>
      </c>
      <c r="R1258">
        <v>1</v>
      </c>
      <c r="S1258">
        <v>100</v>
      </c>
      <c r="T1258">
        <v>100</v>
      </c>
      <c r="U1258">
        <v>0</v>
      </c>
      <c r="V1258">
        <v>0</v>
      </c>
      <c r="W1258">
        <v>0</v>
      </c>
      <c r="X1258" s="367"/>
    </row>
    <row r="1259" spans="1:24">
      <c r="A1259" t="s">
        <v>4556</v>
      </c>
      <c r="B1259" t="s">
        <v>4557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 t="s">
        <v>192</v>
      </c>
      <c r="Q1259" t="s">
        <v>192</v>
      </c>
      <c r="R1259">
        <v>1</v>
      </c>
      <c r="S1259">
        <v>100</v>
      </c>
      <c r="T1259">
        <v>1</v>
      </c>
      <c r="U1259">
        <v>0</v>
      </c>
      <c r="V1259">
        <v>0</v>
      </c>
      <c r="W1259">
        <v>0</v>
      </c>
      <c r="X1259" s="367"/>
    </row>
    <row r="1260" spans="1:24">
      <c r="A1260" t="s">
        <v>4558</v>
      </c>
      <c r="B1260" t="s">
        <v>4559</v>
      </c>
      <c r="C1260">
        <v>0</v>
      </c>
      <c r="D1260">
        <v>0</v>
      </c>
      <c r="E1260">
        <v>0</v>
      </c>
      <c r="F1260">
        <v>4</v>
      </c>
      <c r="G1260">
        <v>0</v>
      </c>
      <c r="H1260">
        <v>4</v>
      </c>
      <c r="I1260">
        <v>0</v>
      </c>
      <c r="J1260">
        <v>0</v>
      </c>
      <c r="K1260">
        <v>4</v>
      </c>
      <c r="L1260">
        <v>0</v>
      </c>
      <c r="M1260">
        <v>0</v>
      </c>
      <c r="N1260">
        <v>0</v>
      </c>
      <c r="O1260">
        <v>0</v>
      </c>
      <c r="P1260" t="s">
        <v>192</v>
      </c>
      <c r="Q1260" t="s">
        <v>192</v>
      </c>
      <c r="R1260">
        <v>1</v>
      </c>
      <c r="S1260">
        <v>100</v>
      </c>
      <c r="T1260">
        <v>1</v>
      </c>
      <c r="U1260">
        <v>0</v>
      </c>
      <c r="V1260">
        <v>0</v>
      </c>
      <c r="W1260">
        <v>0</v>
      </c>
      <c r="X1260" s="367"/>
    </row>
    <row r="1261" spans="1:24">
      <c r="A1261" t="s">
        <v>4560</v>
      </c>
      <c r="B1261" t="s">
        <v>4561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 t="s">
        <v>192</v>
      </c>
      <c r="Q1261" t="s">
        <v>192</v>
      </c>
      <c r="R1261">
        <v>1</v>
      </c>
      <c r="S1261">
        <v>100</v>
      </c>
      <c r="T1261">
        <v>1</v>
      </c>
      <c r="U1261">
        <v>0</v>
      </c>
      <c r="V1261">
        <v>0</v>
      </c>
      <c r="W1261">
        <v>0</v>
      </c>
      <c r="X1261" s="367"/>
    </row>
    <row r="1262" spans="1:24">
      <c r="A1262" t="s">
        <v>4562</v>
      </c>
      <c r="B1262" t="s">
        <v>4563</v>
      </c>
      <c r="C1262">
        <v>1</v>
      </c>
      <c r="D1262">
        <v>15</v>
      </c>
      <c r="E1262">
        <v>10350000</v>
      </c>
      <c r="F1262">
        <v>690</v>
      </c>
      <c r="G1262">
        <v>690</v>
      </c>
      <c r="H1262">
        <v>690</v>
      </c>
      <c r="I1262">
        <v>0</v>
      </c>
      <c r="J1262">
        <v>0</v>
      </c>
      <c r="K1262">
        <v>690</v>
      </c>
      <c r="L1262">
        <v>0</v>
      </c>
      <c r="M1262">
        <v>0</v>
      </c>
      <c r="N1262">
        <v>690</v>
      </c>
      <c r="O1262">
        <v>690</v>
      </c>
      <c r="P1262" t="s">
        <v>192</v>
      </c>
      <c r="Q1262" t="s">
        <v>192</v>
      </c>
      <c r="R1262">
        <v>1</v>
      </c>
      <c r="S1262">
        <v>100</v>
      </c>
      <c r="T1262">
        <v>2</v>
      </c>
      <c r="U1262">
        <v>0</v>
      </c>
      <c r="V1262">
        <v>0</v>
      </c>
      <c r="W1262">
        <v>0</v>
      </c>
      <c r="X1262" s="367"/>
    </row>
    <row r="1263" spans="1:24">
      <c r="A1263" t="s">
        <v>4564</v>
      </c>
      <c r="B1263" t="s">
        <v>4565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 t="s">
        <v>192</v>
      </c>
      <c r="Q1263" t="s">
        <v>192</v>
      </c>
      <c r="R1263">
        <v>1</v>
      </c>
      <c r="S1263">
        <v>444</v>
      </c>
      <c r="T1263">
        <v>4</v>
      </c>
      <c r="U1263">
        <v>0</v>
      </c>
      <c r="V1263">
        <v>0</v>
      </c>
      <c r="W1263">
        <v>0</v>
      </c>
      <c r="X1263" s="367"/>
    </row>
    <row r="1264" spans="1:24">
      <c r="A1264" t="s">
        <v>4566</v>
      </c>
      <c r="B1264" t="s">
        <v>4567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 t="s">
        <v>192</v>
      </c>
      <c r="Q1264" t="s">
        <v>192</v>
      </c>
      <c r="R1264">
        <v>1</v>
      </c>
      <c r="S1264">
        <v>99</v>
      </c>
      <c r="T1264">
        <v>19</v>
      </c>
      <c r="U1264">
        <v>0</v>
      </c>
      <c r="V1264">
        <v>0</v>
      </c>
      <c r="W1264">
        <v>0</v>
      </c>
      <c r="X1264" s="367"/>
    </row>
    <row r="1265" spans="1:24">
      <c r="A1265" t="s">
        <v>4890</v>
      </c>
      <c r="B1265" t="s">
        <v>4891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1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 t="s">
        <v>192</v>
      </c>
      <c r="Q1265" t="s">
        <v>192</v>
      </c>
      <c r="R1265">
        <v>1</v>
      </c>
      <c r="S1265">
        <v>100</v>
      </c>
      <c r="T1265">
        <v>1</v>
      </c>
      <c r="U1265">
        <v>0</v>
      </c>
      <c r="V1265">
        <v>0</v>
      </c>
      <c r="W1265">
        <v>0</v>
      </c>
      <c r="X1265" s="367"/>
    </row>
    <row r="1266" spans="1:24">
      <c r="A1266" t="s">
        <v>4892</v>
      </c>
      <c r="B1266" t="s">
        <v>4893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1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 t="s">
        <v>192</v>
      </c>
      <c r="Q1266" t="s">
        <v>192</v>
      </c>
      <c r="R1266">
        <v>1</v>
      </c>
      <c r="S1266">
        <v>100</v>
      </c>
      <c r="T1266">
        <v>1</v>
      </c>
      <c r="U1266">
        <v>0</v>
      </c>
      <c r="V1266">
        <v>0</v>
      </c>
      <c r="W1266">
        <v>0</v>
      </c>
      <c r="X1266" s="367"/>
    </row>
    <row r="1267" spans="1:24">
      <c r="A1267" t="s">
        <v>4894</v>
      </c>
      <c r="B1267" t="s">
        <v>4895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1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 t="s">
        <v>192</v>
      </c>
      <c r="Q1267" t="s">
        <v>192</v>
      </c>
      <c r="R1267">
        <v>1</v>
      </c>
      <c r="S1267">
        <v>100</v>
      </c>
      <c r="T1267">
        <v>1</v>
      </c>
      <c r="U1267">
        <v>0</v>
      </c>
      <c r="V1267">
        <v>0</v>
      </c>
      <c r="W1267">
        <v>0</v>
      </c>
      <c r="X1267" s="367"/>
    </row>
    <row r="1268" spans="1:24">
      <c r="A1268" t="s">
        <v>4898</v>
      </c>
      <c r="B1268" t="s">
        <v>4899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 t="s">
        <v>192</v>
      </c>
      <c r="Q1268" t="s">
        <v>192</v>
      </c>
      <c r="R1268">
        <v>1</v>
      </c>
      <c r="S1268">
        <v>100</v>
      </c>
      <c r="T1268">
        <v>1</v>
      </c>
      <c r="U1268">
        <v>0</v>
      </c>
      <c r="V1268">
        <v>0</v>
      </c>
      <c r="W1268">
        <v>0</v>
      </c>
      <c r="X1268" s="367"/>
    </row>
    <row r="1269" spans="1:24">
      <c r="A1269" t="s">
        <v>4900</v>
      </c>
      <c r="B1269" t="s">
        <v>4901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1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 t="s">
        <v>192</v>
      </c>
      <c r="Q1269" t="s">
        <v>192</v>
      </c>
      <c r="R1269">
        <v>1</v>
      </c>
      <c r="S1269">
        <v>100</v>
      </c>
      <c r="T1269">
        <v>1</v>
      </c>
      <c r="U1269">
        <v>0</v>
      </c>
      <c r="V1269">
        <v>0</v>
      </c>
      <c r="W1269">
        <v>0</v>
      </c>
      <c r="X1269" s="367"/>
    </row>
    <row r="1270" spans="1:24">
      <c r="A1270" t="s">
        <v>4904</v>
      </c>
      <c r="B1270" t="s">
        <v>4905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 t="s">
        <v>192</v>
      </c>
      <c r="Q1270" t="s">
        <v>192</v>
      </c>
      <c r="R1270">
        <v>1</v>
      </c>
      <c r="S1270">
        <v>44</v>
      </c>
      <c r="T1270">
        <v>44</v>
      </c>
      <c r="U1270">
        <v>0</v>
      </c>
      <c r="V1270">
        <v>0</v>
      </c>
      <c r="W1270">
        <v>0</v>
      </c>
      <c r="X1270" s="367"/>
    </row>
    <row r="1271" spans="1:24">
      <c r="A1271" t="s">
        <v>7013</v>
      </c>
      <c r="B1271" t="s">
        <v>7014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1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 t="s">
        <v>192</v>
      </c>
      <c r="Q1271" t="s">
        <v>192</v>
      </c>
      <c r="R1271">
        <v>0</v>
      </c>
      <c r="S1271">
        <v>0</v>
      </c>
      <c r="T1271">
        <v>0</v>
      </c>
      <c r="U1271">
        <v>2</v>
      </c>
      <c r="V1271">
        <v>100</v>
      </c>
      <c r="W1271">
        <v>1</v>
      </c>
      <c r="X1271" s="367"/>
    </row>
    <row r="1272" spans="1:24">
      <c r="A1272" t="s">
        <v>7011</v>
      </c>
      <c r="B1272" t="s">
        <v>7012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1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 t="s">
        <v>192</v>
      </c>
      <c r="Q1272" t="s">
        <v>192</v>
      </c>
      <c r="R1272">
        <v>0</v>
      </c>
      <c r="S1272">
        <v>0</v>
      </c>
      <c r="T1272">
        <v>0</v>
      </c>
      <c r="U1272">
        <v>3</v>
      </c>
      <c r="V1272">
        <v>100</v>
      </c>
      <c r="W1272">
        <v>1</v>
      </c>
      <c r="X1272" s="367"/>
    </row>
    <row r="1273" spans="1:24">
      <c r="A1273" t="s">
        <v>7003</v>
      </c>
      <c r="B1273" t="s">
        <v>7004</v>
      </c>
      <c r="C1273">
        <v>0</v>
      </c>
      <c r="D1273">
        <v>0</v>
      </c>
      <c r="E1273">
        <v>0</v>
      </c>
      <c r="F1273">
        <v>25</v>
      </c>
      <c r="G1273">
        <v>0</v>
      </c>
      <c r="H1273">
        <v>21</v>
      </c>
      <c r="I1273">
        <v>-4</v>
      </c>
      <c r="J1273">
        <v>-16</v>
      </c>
      <c r="K1273">
        <v>25</v>
      </c>
      <c r="L1273">
        <v>0</v>
      </c>
      <c r="M1273">
        <v>0</v>
      </c>
      <c r="N1273">
        <v>0</v>
      </c>
      <c r="O1273">
        <v>0</v>
      </c>
      <c r="P1273" t="s">
        <v>192</v>
      </c>
      <c r="Q1273" t="s">
        <v>192</v>
      </c>
      <c r="R1273">
        <v>1</v>
      </c>
      <c r="S1273">
        <v>100</v>
      </c>
      <c r="T1273">
        <v>1</v>
      </c>
      <c r="U1273">
        <v>0</v>
      </c>
      <c r="V1273">
        <v>0</v>
      </c>
      <c r="W1273">
        <v>0</v>
      </c>
      <c r="X1273" s="367"/>
    </row>
    <row r="1274" spans="1:24">
      <c r="A1274" t="s">
        <v>7001</v>
      </c>
      <c r="B1274" t="s">
        <v>7002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 t="s">
        <v>192</v>
      </c>
      <c r="Q1274" t="s">
        <v>192</v>
      </c>
      <c r="R1274">
        <v>1</v>
      </c>
      <c r="S1274">
        <v>100</v>
      </c>
      <c r="T1274">
        <v>1</v>
      </c>
      <c r="U1274">
        <v>0</v>
      </c>
      <c r="V1274">
        <v>0</v>
      </c>
      <c r="W1274">
        <v>0</v>
      </c>
      <c r="X1274" s="367"/>
    </row>
    <row r="1275" spans="1:24">
      <c r="A1275" t="s">
        <v>6991</v>
      </c>
      <c r="B1275" t="s">
        <v>6992</v>
      </c>
      <c r="C1275">
        <v>0</v>
      </c>
      <c r="D1275">
        <v>0</v>
      </c>
      <c r="E1275">
        <v>0</v>
      </c>
      <c r="F1275">
        <v>25</v>
      </c>
      <c r="G1275">
        <v>0</v>
      </c>
      <c r="H1275">
        <v>1</v>
      </c>
      <c r="I1275">
        <v>-24</v>
      </c>
      <c r="J1275">
        <v>-96</v>
      </c>
      <c r="K1275">
        <v>25</v>
      </c>
      <c r="L1275">
        <v>0</v>
      </c>
      <c r="M1275">
        <v>0</v>
      </c>
      <c r="N1275">
        <v>0</v>
      </c>
      <c r="O1275">
        <v>0</v>
      </c>
      <c r="P1275" t="s">
        <v>192</v>
      </c>
      <c r="Q1275" t="s">
        <v>192</v>
      </c>
      <c r="R1275">
        <v>0</v>
      </c>
      <c r="S1275">
        <v>0</v>
      </c>
      <c r="T1275">
        <v>0</v>
      </c>
      <c r="U1275">
        <v>4</v>
      </c>
      <c r="V1275">
        <v>1000</v>
      </c>
      <c r="W1275">
        <v>1</v>
      </c>
      <c r="X1275" s="367"/>
    </row>
    <row r="1276" spans="1:24">
      <c r="A1276" t="s">
        <v>6987</v>
      </c>
      <c r="B1276" t="s">
        <v>6988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1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 t="s">
        <v>192</v>
      </c>
      <c r="Q1276" t="s">
        <v>192</v>
      </c>
      <c r="R1276">
        <v>1</v>
      </c>
      <c r="S1276">
        <v>100</v>
      </c>
      <c r="T1276">
        <v>1</v>
      </c>
      <c r="U1276">
        <v>0</v>
      </c>
      <c r="V1276">
        <v>0</v>
      </c>
      <c r="W1276">
        <v>0</v>
      </c>
      <c r="X1276" s="367"/>
    </row>
    <row r="1277" spans="1:24">
      <c r="A1277" t="s">
        <v>6983</v>
      </c>
      <c r="B1277" t="s">
        <v>6984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 t="s">
        <v>192</v>
      </c>
      <c r="Q1277" t="s">
        <v>192</v>
      </c>
      <c r="R1277">
        <v>1</v>
      </c>
      <c r="S1277">
        <v>100</v>
      </c>
      <c r="T1277">
        <v>1</v>
      </c>
      <c r="U1277">
        <v>0</v>
      </c>
      <c r="V1277">
        <v>0</v>
      </c>
      <c r="W1277">
        <v>0</v>
      </c>
      <c r="X1277" s="367"/>
    </row>
    <row r="1278" spans="1:24">
      <c r="A1278" t="s">
        <v>6981</v>
      </c>
      <c r="B1278" t="s">
        <v>6982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1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 t="s">
        <v>192</v>
      </c>
      <c r="Q1278" t="s">
        <v>192</v>
      </c>
      <c r="R1278">
        <v>1</v>
      </c>
      <c r="S1278">
        <v>100</v>
      </c>
      <c r="T1278">
        <v>1</v>
      </c>
      <c r="U1278">
        <v>0</v>
      </c>
      <c r="V1278">
        <v>0</v>
      </c>
      <c r="W1278">
        <v>0</v>
      </c>
      <c r="X1278" s="367"/>
    </row>
    <row r="1279" spans="1:24">
      <c r="A1279" t="s">
        <v>6971</v>
      </c>
      <c r="B1279" t="s">
        <v>6972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P1279" t="s">
        <v>192</v>
      </c>
      <c r="Q1279" t="s">
        <v>192</v>
      </c>
      <c r="R1279">
        <v>1</v>
      </c>
      <c r="S1279">
        <v>1000</v>
      </c>
      <c r="T1279">
        <v>10</v>
      </c>
      <c r="U1279">
        <v>0</v>
      </c>
      <c r="V1279">
        <v>0</v>
      </c>
      <c r="W1279">
        <v>0</v>
      </c>
      <c r="X1279" s="367"/>
    </row>
    <row r="1280" spans="1:24">
      <c r="A1280" t="s">
        <v>6967</v>
      </c>
      <c r="B1280" t="s">
        <v>6968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 t="s">
        <v>192</v>
      </c>
      <c r="Q1280" t="s">
        <v>192</v>
      </c>
      <c r="R1280">
        <v>1</v>
      </c>
      <c r="S1280">
        <v>100</v>
      </c>
      <c r="T1280">
        <v>1</v>
      </c>
      <c r="U1280">
        <v>0</v>
      </c>
      <c r="V1280">
        <v>0</v>
      </c>
      <c r="W1280">
        <v>0</v>
      </c>
      <c r="X1280" s="367"/>
    </row>
    <row r="1281" spans="1:24">
      <c r="A1281" t="s">
        <v>8704</v>
      </c>
      <c r="B1281" t="s">
        <v>8705</v>
      </c>
      <c r="C1281">
        <v>0</v>
      </c>
      <c r="D1281">
        <v>0</v>
      </c>
      <c r="E1281">
        <v>0</v>
      </c>
      <c r="F1281">
        <v>8</v>
      </c>
      <c r="G1281">
        <v>0</v>
      </c>
      <c r="H1281">
        <v>8</v>
      </c>
      <c r="I1281">
        <v>0</v>
      </c>
      <c r="J1281">
        <v>0</v>
      </c>
      <c r="K1281">
        <v>8</v>
      </c>
      <c r="L1281">
        <v>0</v>
      </c>
      <c r="M1281">
        <v>0</v>
      </c>
      <c r="N1281">
        <v>0</v>
      </c>
      <c r="O1281">
        <v>0</v>
      </c>
      <c r="P1281" t="s">
        <v>192</v>
      </c>
      <c r="Q1281" t="s">
        <v>192</v>
      </c>
      <c r="R1281">
        <v>1</v>
      </c>
      <c r="S1281">
        <v>100</v>
      </c>
      <c r="T1281">
        <v>2</v>
      </c>
      <c r="U1281">
        <v>19</v>
      </c>
      <c r="V1281">
        <v>799</v>
      </c>
      <c r="W1281">
        <v>1</v>
      </c>
      <c r="X1281" s="367"/>
    </row>
    <row r="1282" spans="1:24">
      <c r="A1282" t="s">
        <v>8706</v>
      </c>
      <c r="B1282" t="s">
        <v>8707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0</v>
      </c>
      <c r="P1282" t="s">
        <v>192</v>
      </c>
      <c r="Q1282" t="s">
        <v>192</v>
      </c>
      <c r="R1282">
        <v>1</v>
      </c>
      <c r="S1282">
        <v>100</v>
      </c>
      <c r="T1282">
        <v>1</v>
      </c>
      <c r="U1282">
        <v>66</v>
      </c>
      <c r="V1282">
        <v>200</v>
      </c>
      <c r="W1282">
        <v>1</v>
      </c>
      <c r="X1282" s="367"/>
    </row>
    <row r="1283" spans="1:24">
      <c r="A1283" t="s">
        <v>8708</v>
      </c>
      <c r="B1283" t="s">
        <v>8709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1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 t="s">
        <v>192</v>
      </c>
      <c r="Q1283" t="s">
        <v>192</v>
      </c>
      <c r="R1283">
        <v>1</v>
      </c>
      <c r="S1283">
        <v>100</v>
      </c>
      <c r="T1283">
        <v>1</v>
      </c>
      <c r="U1283">
        <v>77</v>
      </c>
      <c r="V1283">
        <v>100</v>
      </c>
      <c r="W1283">
        <v>1</v>
      </c>
      <c r="X1283" s="367"/>
    </row>
    <row r="1284" spans="1:24">
      <c r="A1284" t="s">
        <v>8710</v>
      </c>
      <c r="B1284" t="s">
        <v>8711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1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 t="s">
        <v>192</v>
      </c>
      <c r="Q1284" t="s">
        <v>192</v>
      </c>
      <c r="R1284">
        <v>1</v>
      </c>
      <c r="S1284">
        <v>1000</v>
      </c>
      <c r="T1284">
        <v>2</v>
      </c>
      <c r="U1284">
        <v>99</v>
      </c>
      <c r="V1284">
        <v>80</v>
      </c>
      <c r="W1284">
        <v>1</v>
      </c>
      <c r="X1284" s="367"/>
    </row>
    <row r="1285" spans="1:24">
      <c r="A1285" t="s">
        <v>8712</v>
      </c>
      <c r="B1285" t="s">
        <v>8713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 t="s">
        <v>192</v>
      </c>
      <c r="Q1285" t="s">
        <v>192</v>
      </c>
      <c r="R1285">
        <v>1</v>
      </c>
      <c r="S1285">
        <v>1000</v>
      </c>
      <c r="T1285">
        <v>5</v>
      </c>
      <c r="U1285">
        <v>111</v>
      </c>
      <c r="V1285">
        <v>70</v>
      </c>
      <c r="W1285">
        <v>1</v>
      </c>
      <c r="X1285" s="367"/>
    </row>
    <row r="1286" spans="1:24">
      <c r="A1286" t="s">
        <v>8757</v>
      </c>
      <c r="B1286" t="s">
        <v>8758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 t="s">
        <v>192</v>
      </c>
      <c r="Q1286" t="s">
        <v>192</v>
      </c>
      <c r="R1286">
        <v>1</v>
      </c>
      <c r="S1286">
        <v>163</v>
      </c>
      <c r="T1286">
        <v>122</v>
      </c>
      <c r="U1286">
        <v>255</v>
      </c>
      <c r="V1286">
        <v>30</v>
      </c>
      <c r="W1286">
        <v>1</v>
      </c>
      <c r="X1286" s="367"/>
    </row>
    <row r="1287" spans="1:24">
      <c r="A1287" t="s">
        <v>8714</v>
      </c>
      <c r="B1287" t="s">
        <v>8715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1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0</v>
      </c>
      <c r="P1287" t="s">
        <v>192</v>
      </c>
      <c r="Q1287" t="s">
        <v>192</v>
      </c>
      <c r="R1287">
        <v>1</v>
      </c>
      <c r="S1287">
        <v>119</v>
      </c>
      <c r="T1287">
        <v>167</v>
      </c>
      <c r="U1287">
        <v>299</v>
      </c>
      <c r="V1287">
        <v>20</v>
      </c>
      <c r="W1287">
        <v>1</v>
      </c>
      <c r="X1287" s="367"/>
    </row>
    <row r="1288" spans="1:24">
      <c r="A1288" t="s">
        <v>67</v>
      </c>
      <c r="B1288" t="s">
        <v>66</v>
      </c>
      <c r="C1288">
        <v>221</v>
      </c>
      <c r="D1288">
        <v>1002068</v>
      </c>
      <c r="E1288">
        <v>68049177160</v>
      </c>
      <c r="F1288">
        <v>65940</v>
      </c>
      <c r="G1288">
        <v>67910</v>
      </c>
      <c r="H1288">
        <v>67910</v>
      </c>
      <c r="I1288">
        <v>1970</v>
      </c>
      <c r="J1288">
        <v>2.99</v>
      </c>
      <c r="K1288">
        <v>67910</v>
      </c>
      <c r="L1288">
        <v>1970</v>
      </c>
      <c r="M1288">
        <v>2.99</v>
      </c>
      <c r="N1288">
        <v>66890</v>
      </c>
      <c r="O1288">
        <v>67910</v>
      </c>
      <c r="P1288">
        <v>11726</v>
      </c>
      <c r="Q1288">
        <v>5.79</v>
      </c>
      <c r="R1288">
        <v>9</v>
      </c>
      <c r="S1288">
        <v>100146</v>
      </c>
      <c r="T1288">
        <v>67910</v>
      </c>
      <c r="U1288">
        <v>0</v>
      </c>
      <c r="V1288">
        <v>0</v>
      </c>
      <c r="W1288">
        <v>0</v>
      </c>
      <c r="X1288" s="367"/>
    </row>
    <row r="1289" spans="1:24">
      <c r="A1289" t="s">
        <v>5130</v>
      </c>
      <c r="B1289" t="s">
        <v>5131</v>
      </c>
      <c r="C1289">
        <v>0</v>
      </c>
      <c r="D1289">
        <v>0</v>
      </c>
      <c r="E1289">
        <v>0</v>
      </c>
      <c r="F1289">
        <v>1000000</v>
      </c>
      <c r="G1289">
        <v>0</v>
      </c>
      <c r="H1289">
        <v>1000000</v>
      </c>
      <c r="I1289">
        <v>0</v>
      </c>
      <c r="J1289">
        <v>0</v>
      </c>
      <c r="K1289">
        <v>1000000</v>
      </c>
      <c r="L1289">
        <v>0</v>
      </c>
      <c r="M1289">
        <v>0</v>
      </c>
      <c r="N1289">
        <v>0</v>
      </c>
      <c r="O1289">
        <v>0</v>
      </c>
      <c r="P1289" t="s">
        <v>192</v>
      </c>
      <c r="Q1289" t="s">
        <v>192</v>
      </c>
      <c r="R1289">
        <v>1</v>
      </c>
      <c r="S1289">
        <v>5000</v>
      </c>
      <c r="T1289">
        <v>999900</v>
      </c>
      <c r="U1289">
        <v>0</v>
      </c>
      <c r="V1289">
        <v>0</v>
      </c>
      <c r="W1289">
        <v>0</v>
      </c>
      <c r="X1289" s="367"/>
    </row>
    <row r="1290" spans="1:24">
      <c r="A1290" t="s">
        <v>1926</v>
      </c>
      <c r="B1290" t="s">
        <v>1925</v>
      </c>
      <c r="C1290">
        <v>59</v>
      </c>
      <c r="D1290">
        <v>137210</v>
      </c>
      <c r="E1290">
        <v>8505487540</v>
      </c>
      <c r="F1290">
        <v>60190</v>
      </c>
      <c r="G1290">
        <v>61990</v>
      </c>
      <c r="H1290">
        <v>61990</v>
      </c>
      <c r="I1290">
        <v>1800</v>
      </c>
      <c r="J1290">
        <v>2.99</v>
      </c>
      <c r="K1290">
        <v>61990</v>
      </c>
      <c r="L1290">
        <v>1800</v>
      </c>
      <c r="M1290">
        <v>2.99</v>
      </c>
      <c r="N1290">
        <v>60190</v>
      </c>
      <c r="O1290">
        <v>61990</v>
      </c>
      <c r="P1290">
        <v>-2961</v>
      </c>
      <c r="Q1290">
        <v>-20.94</v>
      </c>
      <c r="R1290">
        <v>3</v>
      </c>
      <c r="S1290">
        <v>17207</v>
      </c>
      <c r="T1290">
        <v>61990</v>
      </c>
      <c r="U1290">
        <v>0</v>
      </c>
      <c r="V1290">
        <v>0</v>
      </c>
      <c r="W1290">
        <v>0</v>
      </c>
      <c r="X1290" s="367"/>
    </row>
    <row r="1291" spans="1:24">
      <c r="A1291" t="s">
        <v>5133</v>
      </c>
      <c r="B1291" t="s">
        <v>5052</v>
      </c>
      <c r="C1291">
        <v>95</v>
      </c>
      <c r="D1291">
        <v>8639913</v>
      </c>
      <c r="E1291">
        <v>201751645528</v>
      </c>
      <c r="F1291">
        <v>23321</v>
      </c>
      <c r="G1291">
        <v>23351</v>
      </c>
      <c r="H1291">
        <v>23352</v>
      </c>
      <c r="I1291">
        <v>31</v>
      </c>
      <c r="J1291">
        <v>0.13</v>
      </c>
      <c r="K1291">
        <v>23351</v>
      </c>
      <c r="L1291">
        <v>30</v>
      </c>
      <c r="M1291">
        <v>0.13</v>
      </c>
      <c r="N1291">
        <v>23351</v>
      </c>
      <c r="O1291">
        <v>23352</v>
      </c>
      <c r="P1291" t="s">
        <v>192</v>
      </c>
      <c r="Q1291" t="s">
        <v>192</v>
      </c>
      <c r="R1291">
        <v>2</v>
      </c>
      <c r="S1291">
        <v>104039500</v>
      </c>
      <c r="T1291">
        <v>23351</v>
      </c>
      <c r="U1291">
        <v>23352</v>
      </c>
      <c r="V1291">
        <v>29029963</v>
      </c>
      <c r="W1291">
        <v>1</v>
      </c>
      <c r="X1291" s="367"/>
    </row>
    <row r="1292" spans="1:24">
      <c r="A1292" t="s">
        <v>8744</v>
      </c>
      <c r="B1292" t="s">
        <v>8640</v>
      </c>
      <c r="C1292">
        <v>2</v>
      </c>
      <c r="D1292">
        <v>1200000</v>
      </c>
      <c r="E1292">
        <v>997956000000</v>
      </c>
      <c r="F1292">
        <v>846140</v>
      </c>
      <c r="G1292">
        <v>830760</v>
      </c>
      <c r="H1292">
        <v>832500</v>
      </c>
      <c r="I1292">
        <v>-13640</v>
      </c>
      <c r="J1292">
        <v>-1.61</v>
      </c>
      <c r="K1292">
        <v>831630</v>
      </c>
      <c r="L1292">
        <v>-14510</v>
      </c>
      <c r="M1292">
        <v>-1.71</v>
      </c>
      <c r="N1292">
        <v>830760</v>
      </c>
      <c r="O1292">
        <v>832500</v>
      </c>
      <c r="P1292" t="s">
        <v>192</v>
      </c>
      <c r="Q1292" t="s">
        <v>192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 s="367"/>
    </row>
    <row r="1293" spans="1:24">
      <c r="A1293" t="s">
        <v>1942</v>
      </c>
      <c r="B1293" t="s">
        <v>1941</v>
      </c>
      <c r="C1293">
        <v>133</v>
      </c>
      <c r="D1293">
        <v>8454246</v>
      </c>
      <c r="E1293">
        <v>22496748606</v>
      </c>
      <c r="F1293">
        <v>2584</v>
      </c>
      <c r="G1293">
        <v>2661</v>
      </c>
      <c r="H1293">
        <v>2661</v>
      </c>
      <c r="I1293">
        <v>77</v>
      </c>
      <c r="J1293">
        <v>2.98</v>
      </c>
      <c r="K1293">
        <v>2661</v>
      </c>
      <c r="L1293">
        <v>77</v>
      </c>
      <c r="M1293">
        <v>2.98</v>
      </c>
      <c r="N1293">
        <v>2661</v>
      </c>
      <c r="O1293">
        <v>2661</v>
      </c>
      <c r="P1293">
        <v>616</v>
      </c>
      <c r="Q1293">
        <v>4.32</v>
      </c>
      <c r="R1293">
        <v>26</v>
      </c>
      <c r="S1293">
        <v>4592396</v>
      </c>
      <c r="T1293">
        <v>2661</v>
      </c>
      <c r="U1293">
        <v>2715</v>
      </c>
      <c r="V1293">
        <v>2000</v>
      </c>
      <c r="W1293">
        <v>1</v>
      </c>
      <c r="X1293" s="367"/>
    </row>
    <row r="1294" spans="1:24">
      <c r="A1294" t="s">
        <v>5134</v>
      </c>
      <c r="B1294" t="s">
        <v>5135</v>
      </c>
      <c r="C1294">
        <v>28</v>
      </c>
      <c r="D1294">
        <v>143857</v>
      </c>
      <c r="E1294">
        <v>4877453360</v>
      </c>
      <c r="F1294">
        <v>32919</v>
      </c>
      <c r="G1294">
        <v>33880</v>
      </c>
      <c r="H1294">
        <v>33906</v>
      </c>
      <c r="I1294">
        <v>987</v>
      </c>
      <c r="J1294">
        <v>3</v>
      </c>
      <c r="K1294">
        <v>33905</v>
      </c>
      <c r="L1294">
        <v>986</v>
      </c>
      <c r="M1294">
        <v>3</v>
      </c>
      <c r="N1294">
        <v>33302</v>
      </c>
      <c r="O1294">
        <v>33906</v>
      </c>
      <c r="P1294" t="s">
        <v>192</v>
      </c>
      <c r="Q1294" t="s">
        <v>192</v>
      </c>
      <c r="R1294">
        <v>1</v>
      </c>
      <c r="S1294">
        <v>197</v>
      </c>
      <c r="T1294">
        <v>33905</v>
      </c>
      <c r="U1294">
        <v>33906</v>
      </c>
      <c r="V1294">
        <v>494951</v>
      </c>
      <c r="W1294">
        <v>1</v>
      </c>
      <c r="X1294" s="367"/>
    </row>
    <row r="1295" spans="1:24">
      <c r="A1295" t="s">
        <v>5136</v>
      </c>
      <c r="B1295" t="s">
        <v>5137</v>
      </c>
      <c r="C1295">
        <v>0</v>
      </c>
      <c r="D1295">
        <v>0</v>
      </c>
      <c r="E1295">
        <v>0</v>
      </c>
      <c r="F1295">
        <v>2551496</v>
      </c>
      <c r="G1295">
        <v>0</v>
      </c>
      <c r="H1295">
        <v>2551496</v>
      </c>
      <c r="I1295">
        <v>0</v>
      </c>
      <c r="J1295">
        <v>0</v>
      </c>
      <c r="K1295">
        <v>2551496</v>
      </c>
      <c r="L1295">
        <v>0</v>
      </c>
      <c r="M1295">
        <v>0</v>
      </c>
      <c r="N1295">
        <v>0</v>
      </c>
      <c r="O1295">
        <v>0</v>
      </c>
      <c r="P1295" t="s">
        <v>192</v>
      </c>
      <c r="Q1295" t="s">
        <v>192</v>
      </c>
      <c r="R1295">
        <v>1</v>
      </c>
      <c r="S1295">
        <v>4837</v>
      </c>
      <c r="T1295">
        <v>2686196</v>
      </c>
      <c r="U1295">
        <v>2739920</v>
      </c>
      <c r="V1295">
        <v>4837</v>
      </c>
      <c r="W1295">
        <v>1</v>
      </c>
      <c r="X1295" s="367"/>
    </row>
    <row r="1296" spans="1:24">
      <c r="A1296" t="s">
        <v>8537</v>
      </c>
      <c r="B1296" t="s">
        <v>8538</v>
      </c>
      <c r="C1296">
        <v>0</v>
      </c>
      <c r="D1296">
        <v>0</v>
      </c>
      <c r="E1296">
        <v>0</v>
      </c>
      <c r="F1296">
        <v>1000000</v>
      </c>
      <c r="G1296">
        <v>0</v>
      </c>
      <c r="H1296">
        <v>1000000</v>
      </c>
      <c r="I1296">
        <v>0</v>
      </c>
      <c r="J1296">
        <v>0</v>
      </c>
      <c r="K1296">
        <v>1000000</v>
      </c>
      <c r="L1296">
        <v>0</v>
      </c>
      <c r="M1296">
        <v>0</v>
      </c>
      <c r="N1296">
        <v>0</v>
      </c>
      <c r="O1296">
        <v>0</v>
      </c>
      <c r="P1296" t="s">
        <v>192</v>
      </c>
      <c r="Q1296" t="s">
        <v>192</v>
      </c>
      <c r="R1296">
        <v>1</v>
      </c>
      <c r="S1296">
        <v>10000</v>
      </c>
      <c r="T1296">
        <v>1000000</v>
      </c>
      <c r="U1296">
        <v>1010000</v>
      </c>
      <c r="V1296">
        <v>10000</v>
      </c>
      <c r="W1296">
        <v>1</v>
      </c>
      <c r="X1296" s="367"/>
    </row>
    <row r="1297" spans="1:24">
      <c r="A1297" t="s">
        <v>71</v>
      </c>
      <c r="B1297" t="s">
        <v>5138</v>
      </c>
      <c r="C1297">
        <v>743</v>
      </c>
      <c r="D1297">
        <v>1126053</v>
      </c>
      <c r="E1297">
        <v>152783281000</v>
      </c>
      <c r="F1297">
        <v>131800</v>
      </c>
      <c r="G1297">
        <v>135700</v>
      </c>
      <c r="H1297">
        <v>135700</v>
      </c>
      <c r="I1297">
        <v>3900</v>
      </c>
      <c r="J1297">
        <v>2.96</v>
      </c>
      <c r="K1297">
        <v>135700</v>
      </c>
      <c r="L1297">
        <v>3900</v>
      </c>
      <c r="M1297">
        <v>2.96</v>
      </c>
      <c r="N1297">
        <v>134200</v>
      </c>
      <c r="O1297">
        <v>135700</v>
      </c>
      <c r="P1297">
        <v>26819</v>
      </c>
      <c r="Q1297">
        <v>5.0599999999999996</v>
      </c>
      <c r="R1297">
        <v>16</v>
      </c>
      <c r="S1297">
        <v>37659</v>
      </c>
      <c r="T1297">
        <v>135700</v>
      </c>
      <c r="U1297">
        <v>139100</v>
      </c>
      <c r="V1297">
        <v>50</v>
      </c>
      <c r="W1297">
        <v>1</v>
      </c>
      <c r="X1297" s="367"/>
    </row>
    <row r="1298" spans="1:24">
      <c r="A1298" t="s">
        <v>2399</v>
      </c>
      <c r="B1298" t="s">
        <v>2398</v>
      </c>
      <c r="C1298">
        <v>143</v>
      </c>
      <c r="D1298">
        <v>2901191</v>
      </c>
      <c r="E1298">
        <v>60286748980</v>
      </c>
      <c r="F1298">
        <v>20180</v>
      </c>
      <c r="G1298">
        <v>20780</v>
      </c>
      <c r="H1298">
        <v>20780</v>
      </c>
      <c r="I1298">
        <v>600</v>
      </c>
      <c r="J1298">
        <v>2.97</v>
      </c>
      <c r="K1298">
        <v>20780</v>
      </c>
      <c r="L1298">
        <v>600</v>
      </c>
      <c r="M1298">
        <v>2.97</v>
      </c>
      <c r="N1298">
        <v>20780</v>
      </c>
      <c r="O1298">
        <v>20780</v>
      </c>
      <c r="P1298">
        <v>3012</v>
      </c>
      <c r="Q1298">
        <v>6.9</v>
      </c>
      <c r="R1298">
        <v>49</v>
      </c>
      <c r="S1298">
        <v>2742376</v>
      </c>
      <c r="T1298">
        <v>20780</v>
      </c>
      <c r="U1298">
        <v>28950</v>
      </c>
      <c r="V1298">
        <v>50050</v>
      </c>
      <c r="W1298">
        <v>1</v>
      </c>
      <c r="X1298" s="367"/>
    </row>
    <row r="1299" spans="1:24">
      <c r="A1299" t="s">
        <v>8802</v>
      </c>
      <c r="B1299" t="s">
        <v>212</v>
      </c>
      <c r="C1299">
        <v>5</v>
      </c>
      <c r="D1299">
        <v>591</v>
      </c>
      <c r="E1299">
        <v>11134440</v>
      </c>
      <c r="F1299">
        <v>18350</v>
      </c>
      <c r="G1299">
        <v>18840</v>
      </c>
      <c r="H1299">
        <v>18840</v>
      </c>
      <c r="I1299">
        <v>490</v>
      </c>
      <c r="J1299">
        <v>2.67</v>
      </c>
      <c r="K1299">
        <v>18840</v>
      </c>
      <c r="L1299">
        <v>490</v>
      </c>
      <c r="M1299">
        <v>2.67</v>
      </c>
      <c r="N1299">
        <v>18840</v>
      </c>
      <c r="O1299">
        <v>18840</v>
      </c>
      <c r="P1299">
        <v>2921</v>
      </c>
      <c r="Q1299">
        <v>6.45</v>
      </c>
      <c r="R1299">
        <v>9</v>
      </c>
      <c r="S1299">
        <v>169620</v>
      </c>
      <c r="T1299">
        <v>18840</v>
      </c>
      <c r="U1299">
        <v>0</v>
      </c>
      <c r="V1299">
        <v>0</v>
      </c>
      <c r="W1299">
        <v>0</v>
      </c>
      <c r="X1299" s="367"/>
    </row>
    <row r="1300" spans="1:24">
      <c r="A1300" t="s">
        <v>2117</v>
      </c>
      <c r="B1300" t="s">
        <v>2116</v>
      </c>
      <c r="C1300">
        <v>236</v>
      </c>
      <c r="D1300">
        <v>3950584</v>
      </c>
      <c r="E1300">
        <v>52192928820</v>
      </c>
      <c r="F1300">
        <v>12840</v>
      </c>
      <c r="G1300">
        <v>13220</v>
      </c>
      <c r="H1300">
        <v>13220</v>
      </c>
      <c r="I1300">
        <v>380</v>
      </c>
      <c r="J1300">
        <v>2.96</v>
      </c>
      <c r="K1300">
        <v>13210</v>
      </c>
      <c r="L1300">
        <v>370</v>
      </c>
      <c r="M1300">
        <v>2.88</v>
      </c>
      <c r="N1300">
        <v>13030</v>
      </c>
      <c r="O1300">
        <v>13220</v>
      </c>
      <c r="P1300">
        <v>161</v>
      </c>
      <c r="Q1300">
        <v>82.05</v>
      </c>
      <c r="R1300">
        <v>3</v>
      </c>
      <c r="S1300">
        <v>198303</v>
      </c>
      <c r="T1300">
        <v>13220</v>
      </c>
      <c r="U1300">
        <v>0</v>
      </c>
      <c r="V1300">
        <v>0</v>
      </c>
      <c r="W1300">
        <v>0</v>
      </c>
      <c r="X1300" s="367"/>
    </row>
    <row r="1301" spans="1:24">
      <c r="A1301" t="s">
        <v>6465</v>
      </c>
      <c r="B1301" t="s">
        <v>5005</v>
      </c>
      <c r="C1301">
        <v>5</v>
      </c>
      <c r="D1301">
        <v>4600000</v>
      </c>
      <c r="E1301">
        <v>4600000</v>
      </c>
      <c r="F1301">
        <v>14510</v>
      </c>
      <c r="G1301">
        <v>1</v>
      </c>
      <c r="H1301">
        <v>1</v>
      </c>
      <c r="I1301">
        <v>-14509</v>
      </c>
      <c r="J1301">
        <v>-99.99</v>
      </c>
      <c r="K1301">
        <v>1</v>
      </c>
      <c r="L1301">
        <v>-14509</v>
      </c>
      <c r="M1301">
        <v>-99.99</v>
      </c>
      <c r="N1301">
        <v>1</v>
      </c>
      <c r="O1301">
        <v>1</v>
      </c>
      <c r="P1301" t="s">
        <v>192</v>
      </c>
      <c r="Q1301" t="s">
        <v>192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 s="367"/>
    </row>
    <row r="1302" spans="1:24">
      <c r="A1302" t="s">
        <v>5139</v>
      </c>
      <c r="B1302" t="s">
        <v>5140</v>
      </c>
      <c r="C1302">
        <v>18</v>
      </c>
      <c r="D1302">
        <v>1023724</v>
      </c>
      <c r="E1302">
        <v>15451070583</v>
      </c>
      <c r="F1302">
        <v>15073</v>
      </c>
      <c r="G1302">
        <v>15094</v>
      </c>
      <c r="H1302">
        <v>15093</v>
      </c>
      <c r="I1302">
        <v>20</v>
      </c>
      <c r="J1302">
        <v>0.13</v>
      </c>
      <c r="K1302">
        <v>15093</v>
      </c>
      <c r="L1302">
        <v>20</v>
      </c>
      <c r="M1302">
        <v>0.13</v>
      </c>
      <c r="N1302">
        <v>15093</v>
      </c>
      <c r="O1302">
        <v>15094</v>
      </c>
      <c r="P1302" t="s">
        <v>192</v>
      </c>
      <c r="Q1302" t="s">
        <v>192</v>
      </c>
      <c r="R1302">
        <v>17</v>
      </c>
      <c r="S1302">
        <v>15119270</v>
      </c>
      <c r="T1302">
        <v>15093</v>
      </c>
      <c r="U1302">
        <v>15094</v>
      </c>
      <c r="V1302">
        <v>3245749</v>
      </c>
      <c r="W1302">
        <v>4</v>
      </c>
      <c r="X1302" s="367"/>
    </row>
    <row r="1303" spans="1:24">
      <c r="A1303" t="s">
        <v>133</v>
      </c>
      <c r="B1303" t="s">
        <v>132</v>
      </c>
      <c r="C1303">
        <v>3708</v>
      </c>
      <c r="D1303">
        <v>147181687</v>
      </c>
      <c r="E1303">
        <v>690430902700</v>
      </c>
      <c r="F1303">
        <v>4770</v>
      </c>
      <c r="G1303">
        <v>4770</v>
      </c>
      <c r="H1303">
        <v>4720</v>
      </c>
      <c r="I1303">
        <v>-50</v>
      </c>
      <c r="J1303">
        <v>-1.05</v>
      </c>
      <c r="K1303">
        <v>4690</v>
      </c>
      <c r="L1303">
        <v>-80</v>
      </c>
      <c r="M1303">
        <v>-1.68</v>
      </c>
      <c r="N1303">
        <v>4640</v>
      </c>
      <c r="O1303">
        <v>4800</v>
      </c>
      <c r="P1303">
        <v>742</v>
      </c>
      <c r="Q1303">
        <v>6.32</v>
      </c>
      <c r="R1303">
        <v>2</v>
      </c>
      <c r="S1303">
        <v>243706</v>
      </c>
      <c r="T1303">
        <v>4720</v>
      </c>
      <c r="U1303">
        <v>4740</v>
      </c>
      <c r="V1303">
        <v>1147500</v>
      </c>
      <c r="W1303">
        <v>8</v>
      </c>
      <c r="X1303" s="367"/>
    </row>
    <row r="1304" spans="1:24">
      <c r="A1304" t="s">
        <v>1994</v>
      </c>
      <c r="B1304" t="s">
        <v>1993</v>
      </c>
      <c r="C1304">
        <v>617</v>
      </c>
      <c r="D1304">
        <v>124362594</v>
      </c>
      <c r="E1304">
        <v>344585165900</v>
      </c>
      <c r="F1304">
        <v>2691</v>
      </c>
      <c r="G1304">
        <v>2771</v>
      </c>
      <c r="H1304">
        <v>2771</v>
      </c>
      <c r="I1304">
        <v>80</v>
      </c>
      <c r="J1304">
        <v>2.97</v>
      </c>
      <c r="K1304">
        <v>2771</v>
      </c>
      <c r="L1304">
        <v>80</v>
      </c>
      <c r="M1304">
        <v>2.97</v>
      </c>
      <c r="N1304">
        <v>2750</v>
      </c>
      <c r="O1304">
        <v>2771</v>
      </c>
      <c r="P1304">
        <v>226</v>
      </c>
      <c r="Q1304">
        <v>12.26</v>
      </c>
      <c r="R1304">
        <v>17</v>
      </c>
      <c r="S1304">
        <v>3553035</v>
      </c>
      <c r="T1304">
        <v>2771</v>
      </c>
      <c r="U1304">
        <v>0</v>
      </c>
      <c r="V1304">
        <v>0</v>
      </c>
      <c r="W1304">
        <v>0</v>
      </c>
      <c r="X1304" s="367"/>
    </row>
    <row r="1305" spans="1:24">
      <c r="A1305" t="s">
        <v>2248</v>
      </c>
      <c r="B1305" t="s">
        <v>2247</v>
      </c>
      <c r="C1305">
        <v>201</v>
      </c>
      <c r="D1305">
        <v>5324074</v>
      </c>
      <c r="E1305">
        <v>65113425020</v>
      </c>
      <c r="F1305">
        <v>11880</v>
      </c>
      <c r="G1305">
        <v>12230</v>
      </c>
      <c r="H1305">
        <v>12230</v>
      </c>
      <c r="I1305">
        <v>350</v>
      </c>
      <c r="J1305">
        <v>2.95</v>
      </c>
      <c r="K1305">
        <v>12230</v>
      </c>
      <c r="L1305">
        <v>350</v>
      </c>
      <c r="M1305">
        <v>2.95</v>
      </c>
      <c r="N1305">
        <v>12230</v>
      </c>
      <c r="O1305">
        <v>12230</v>
      </c>
      <c r="P1305">
        <v>1911</v>
      </c>
      <c r="Q1305">
        <v>6.4</v>
      </c>
      <c r="R1305">
        <v>109</v>
      </c>
      <c r="S1305">
        <v>6171464</v>
      </c>
      <c r="T1305">
        <v>12230</v>
      </c>
      <c r="U1305">
        <v>0</v>
      </c>
      <c r="V1305">
        <v>0</v>
      </c>
      <c r="W1305">
        <v>0</v>
      </c>
      <c r="X1305" s="367"/>
    </row>
    <row r="1306" spans="1:24">
      <c r="A1306" t="s">
        <v>8803</v>
      </c>
      <c r="B1306" t="s">
        <v>2477</v>
      </c>
      <c r="C1306">
        <v>4</v>
      </c>
      <c r="D1306">
        <v>117540</v>
      </c>
      <c r="E1306">
        <v>782816400</v>
      </c>
      <c r="F1306">
        <v>6470</v>
      </c>
      <c r="G1306">
        <v>6660</v>
      </c>
      <c r="H1306">
        <v>6660</v>
      </c>
      <c r="I1306">
        <v>190</v>
      </c>
      <c r="J1306">
        <v>2.94</v>
      </c>
      <c r="K1306">
        <v>6660</v>
      </c>
      <c r="L1306">
        <v>190</v>
      </c>
      <c r="M1306">
        <v>2.94</v>
      </c>
      <c r="N1306">
        <v>6660</v>
      </c>
      <c r="O1306">
        <v>6660</v>
      </c>
      <c r="P1306">
        <v>706</v>
      </c>
      <c r="Q1306">
        <v>9.43</v>
      </c>
      <c r="R1306">
        <v>0</v>
      </c>
      <c r="S1306">
        <v>0</v>
      </c>
      <c r="T1306">
        <v>0</v>
      </c>
      <c r="U1306">
        <v>6660</v>
      </c>
      <c r="V1306">
        <v>82460</v>
      </c>
      <c r="W1306">
        <v>1</v>
      </c>
      <c r="X1306" s="367"/>
    </row>
    <row r="1307" spans="1:24">
      <c r="A1307" t="s">
        <v>5141</v>
      </c>
      <c r="B1307" t="s">
        <v>5142</v>
      </c>
      <c r="C1307">
        <v>0</v>
      </c>
      <c r="D1307">
        <v>0</v>
      </c>
      <c r="E1307">
        <v>0</v>
      </c>
      <c r="F1307">
        <v>781500</v>
      </c>
      <c r="G1307">
        <v>0</v>
      </c>
      <c r="H1307">
        <v>781500</v>
      </c>
      <c r="I1307">
        <v>0</v>
      </c>
      <c r="J1307">
        <v>0</v>
      </c>
      <c r="K1307">
        <v>781500</v>
      </c>
      <c r="L1307">
        <v>0</v>
      </c>
      <c r="M1307">
        <v>0</v>
      </c>
      <c r="N1307">
        <v>0</v>
      </c>
      <c r="O1307">
        <v>0</v>
      </c>
      <c r="P1307" t="s">
        <v>192</v>
      </c>
      <c r="Q1307" t="s">
        <v>192</v>
      </c>
      <c r="R1307">
        <v>1</v>
      </c>
      <c r="S1307">
        <v>5000</v>
      </c>
      <c r="T1307">
        <v>771141</v>
      </c>
      <c r="U1307">
        <v>0</v>
      </c>
      <c r="V1307">
        <v>0</v>
      </c>
      <c r="W1307">
        <v>0</v>
      </c>
      <c r="X1307" s="367"/>
    </row>
    <row r="1308" spans="1:24">
      <c r="A1308" t="s">
        <v>1970</v>
      </c>
      <c r="B1308" t="s">
        <v>1969</v>
      </c>
      <c r="C1308">
        <v>98</v>
      </c>
      <c r="D1308">
        <v>1729035</v>
      </c>
      <c r="E1308">
        <v>23618618100</v>
      </c>
      <c r="F1308">
        <v>13270</v>
      </c>
      <c r="G1308">
        <v>13660</v>
      </c>
      <c r="H1308">
        <v>13660</v>
      </c>
      <c r="I1308">
        <v>390</v>
      </c>
      <c r="J1308">
        <v>2.94</v>
      </c>
      <c r="K1308">
        <v>13660</v>
      </c>
      <c r="L1308">
        <v>390</v>
      </c>
      <c r="M1308">
        <v>2.94</v>
      </c>
      <c r="N1308">
        <v>13660</v>
      </c>
      <c r="O1308">
        <v>13660</v>
      </c>
      <c r="P1308">
        <v>-409</v>
      </c>
      <c r="Q1308">
        <v>-33.4</v>
      </c>
      <c r="R1308">
        <v>1</v>
      </c>
      <c r="S1308">
        <v>10000</v>
      </c>
      <c r="T1308">
        <v>13280</v>
      </c>
      <c r="U1308">
        <v>14080</v>
      </c>
      <c r="V1308">
        <v>711</v>
      </c>
      <c r="W1308">
        <v>1</v>
      </c>
      <c r="X1308" s="367"/>
    </row>
    <row r="1309" spans="1:24">
      <c r="A1309" t="s">
        <v>2801</v>
      </c>
      <c r="B1309" t="s">
        <v>2800</v>
      </c>
      <c r="C1309">
        <v>270</v>
      </c>
      <c r="D1309">
        <v>933788</v>
      </c>
      <c r="E1309">
        <v>104286662200</v>
      </c>
      <c r="F1309">
        <v>108500</v>
      </c>
      <c r="G1309">
        <v>111700</v>
      </c>
      <c r="H1309">
        <v>111700</v>
      </c>
      <c r="I1309">
        <v>3200</v>
      </c>
      <c r="J1309">
        <v>2.95</v>
      </c>
      <c r="K1309">
        <v>111700</v>
      </c>
      <c r="L1309">
        <v>3200</v>
      </c>
      <c r="M1309">
        <v>2.95</v>
      </c>
      <c r="N1309">
        <v>111000</v>
      </c>
      <c r="O1309">
        <v>111700</v>
      </c>
      <c r="P1309">
        <v>4304</v>
      </c>
      <c r="Q1309">
        <v>25.95</v>
      </c>
      <c r="R1309">
        <v>29</v>
      </c>
      <c r="S1309">
        <v>196744</v>
      </c>
      <c r="T1309">
        <v>111700</v>
      </c>
      <c r="U1309">
        <v>0</v>
      </c>
      <c r="V1309">
        <v>0</v>
      </c>
      <c r="W1309">
        <v>0</v>
      </c>
      <c r="X1309" s="367"/>
    </row>
    <row r="1310" spans="1:24">
      <c r="A1310" t="s">
        <v>213</v>
      </c>
      <c r="B1310" t="s">
        <v>212</v>
      </c>
      <c r="C1310">
        <v>1226</v>
      </c>
      <c r="D1310">
        <v>7624868</v>
      </c>
      <c r="E1310">
        <v>143686680940</v>
      </c>
      <c r="F1310">
        <v>18350</v>
      </c>
      <c r="G1310">
        <v>18390</v>
      </c>
      <c r="H1310">
        <v>18900</v>
      </c>
      <c r="I1310">
        <v>550</v>
      </c>
      <c r="J1310">
        <v>3</v>
      </c>
      <c r="K1310">
        <v>18840</v>
      </c>
      <c r="L1310">
        <v>490</v>
      </c>
      <c r="M1310">
        <v>2.67</v>
      </c>
      <c r="N1310">
        <v>18390</v>
      </c>
      <c r="O1310">
        <v>18900</v>
      </c>
      <c r="P1310">
        <v>2921</v>
      </c>
      <c r="Q1310">
        <v>6.45</v>
      </c>
      <c r="R1310">
        <v>32</v>
      </c>
      <c r="S1310">
        <v>358410</v>
      </c>
      <c r="T1310">
        <v>18900</v>
      </c>
      <c r="U1310">
        <v>19000</v>
      </c>
      <c r="V1310">
        <v>618</v>
      </c>
      <c r="W1310">
        <v>1</v>
      </c>
      <c r="X1310" s="367"/>
    </row>
    <row r="1311" spans="1:24">
      <c r="A1311" t="s">
        <v>2359</v>
      </c>
      <c r="B1311" t="s">
        <v>2358</v>
      </c>
      <c r="C1311">
        <v>291</v>
      </c>
      <c r="D1311">
        <v>6356800</v>
      </c>
      <c r="E1311">
        <v>56071831430</v>
      </c>
      <c r="F1311">
        <v>8580</v>
      </c>
      <c r="G1311">
        <v>8830</v>
      </c>
      <c r="H1311">
        <v>8830</v>
      </c>
      <c r="I1311">
        <v>250</v>
      </c>
      <c r="J1311">
        <v>2.91</v>
      </c>
      <c r="K1311">
        <v>8820</v>
      </c>
      <c r="L1311">
        <v>240</v>
      </c>
      <c r="M1311">
        <v>2.8</v>
      </c>
      <c r="N1311">
        <v>8750</v>
      </c>
      <c r="O1311">
        <v>8830</v>
      </c>
      <c r="P1311">
        <v>1969</v>
      </c>
      <c r="Q1311">
        <v>4.4800000000000004</v>
      </c>
      <c r="R1311">
        <v>24</v>
      </c>
      <c r="S1311">
        <v>830936</v>
      </c>
      <c r="T1311">
        <v>8830</v>
      </c>
      <c r="U1311">
        <v>8940</v>
      </c>
      <c r="V1311">
        <v>600</v>
      </c>
      <c r="W1311">
        <v>1</v>
      </c>
      <c r="X1311" s="367"/>
    </row>
    <row r="1312" spans="1:24">
      <c r="A1312" t="s">
        <v>8745</v>
      </c>
      <c r="B1312" t="s">
        <v>152</v>
      </c>
      <c r="C1312">
        <v>6</v>
      </c>
      <c r="D1312">
        <v>71169495</v>
      </c>
      <c r="E1312">
        <v>567932570100</v>
      </c>
      <c r="F1312">
        <v>7820</v>
      </c>
      <c r="G1312">
        <v>7980</v>
      </c>
      <c r="H1312">
        <v>7980</v>
      </c>
      <c r="I1312">
        <v>160</v>
      </c>
      <c r="J1312">
        <v>2.0499999999999998</v>
      </c>
      <c r="K1312">
        <v>7980</v>
      </c>
      <c r="L1312">
        <v>160</v>
      </c>
      <c r="M1312">
        <v>2.0499999999999998</v>
      </c>
      <c r="N1312">
        <v>7980</v>
      </c>
      <c r="O1312">
        <v>7980</v>
      </c>
      <c r="P1312">
        <v>1099</v>
      </c>
      <c r="Q1312">
        <v>7.26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 s="367"/>
    </row>
    <row r="1313" spans="1:24">
      <c r="A1313" t="s">
        <v>5145</v>
      </c>
      <c r="B1313" t="s">
        <v>5146</v>
      </c>
      <c r="C1313">
        <v>0</v>
      </c>
      <c r="D1313">
        <v>0</v>
      </c>
      <c r="E1313">
        <v>0</v>
      </c>
      <c r="F1313">
        <v>857400</v>
      </c>
      <c r="G1313">
        <v>0</v>
      </c>
      <c r="H1313">
        <v>857400</v>
      </c>
      <c r="I1313">
        <v>0</v>
      </c>
      <c r="J1313">
        <v>0</v>
      </c>
      <c r="K1313">
        <v>857400</v>
      </c>
      <c r="L1313">
        <v>0</v>
      </c>
      <c r="M1313">
        <v>0</v>
      </c>
      <c r="N1313">
        <v>0</v>
      </c>
      <c r="O1313">
        <v>0</v>
      </c>
      <c r="P1313" t="s">
        <v>192</v>
      </c>
      <c r="Q1313" t="s">
        <v>192</v>
      </c>
      <c r="R1313">
        <v>1</v>
      </c>
      <c r="S1313">
        <v>3750</v>
      </c>
      <c r="T1313">
        <v>857400</v>
      </c>
      <c r="U1313">
        <v>0</v>
      </c>
      <c r="V1313">
        <v>0</v>
      </c>
      <c r="W1313">
        <v>0</v>
      </c>
      <c r="X1313" s="367"/>
    </row>
    <row r="1314" spans="1:24">
      <c r="A1314" t="s">
        <v>5147</v>
      </c>
      <c r="B1314" t="s">
        <v>5148</v>
      </c>
      <c r="C1314">
        <v>93</v>
      </c>
      <c r="D1314">
        <v>12329315</v>
      </c>
      <c r="E1314">
        <v>249985679281</v>
      </c>
      <c r="F1314">
        <v>20239</v>
      </c>
      <c r="G1314">
        <v>20275</v>
      </c>
      <c r="H1314">
        <v>20276</v>
      </c>
      <c r="I1314">
        <v>37</v>
      </c>
      <c r="J1314">
        <v>0.18</v>
      </c>
      <c r="K1314">
        <v>20276</v>
      </c>
      <c r="L1314">
        <v>37</v>
      </c>
      <c r="M1314">
        <v>0.18</v>
      </c>
      <c r="N1314">
        <v>20275</v>
      </c>
      <c r="O1314">
        <v>20278</v>
      </c>
      <c r="P1314" t="s">
        <v>192</v>
      </c>
      <c r="Q1314" t="s">
        <v>192</v>
      </c>
      <c r="R1314">
        <v>27</v>
      </c>
      <c r="S1314">
        <v>7818284</v>
      </c>
      <c r="T1314">
        <v>20276</v>
      </c>
      <c r="U1314">
        <v>20278</v>
      </c>
      <c r="V1314">
        <v>43222</v>
      </c>
      <c r="W1314">
        <v>1</v>
      </c>
      <c r="X1314" s="367"/>
    </row>
    <row r="1315" spans="1:24">
      <c r="A1315" t="s">
        <v>5149</v>
      </c>
      <c r="B1315" t="s">
        <v>4723</v>
      </c>
      <c r="C1315">
        <v>5</v>
      </c>
      <c r="D1315">
        <v>246</v>
      </c>
      <c r="E1315">
        <v>5387400</v>
      </c>
      <c r="F1315">
        <v>21270</v>
      </c>
      <c r="G1315">
        <v>21900</v>
      </c>
      <c r="H1315">
        <v>21900</v>
      </c>
      <c r="I1315">
        <v>630</v>
      </c>
      <c r="J1315">
        <v>2.96</v>
      </c>
      <c r="K1315">
        <v>21900</v>
      </c>
      <c r="L1315">
        <v>630</v>
      </c>
      <c r="M1315">
        <v>2.96</v>
      </c>
      <c r="N1315">
        <v>21900</v>
      </c>
      <c r="O1315">
        <v>21900</v>
      </c>
      <c r="P1315">
        <v>2382</v>
      </c>
      <c r="Q1315">
        <v>9.19</v>
      </c>
      <c r="R1315">
        <v>2</v>
      </c>
      <c r="S1315">
        <v>1119</v>
      </c>
      <c r="T1315">
        <v>21900</v>
      </c>
      <c r="U1315">
        <v>0</v>
      </c>
      <c r="V1315">
        <v>0</v>
      </c>
      <c r="W1315">
        <v>0</v>
      </c>
      <c r="X1315" s="367"/>
    </row>
    <row r="1316" spans="1:24">
      <c r="A1316" t="s">
        <v>2119</v>
      </c>
      <c r="B1316" t="s">
        <v>2118</v>
      </c>
      <c r="C1316">
        <v>166</v>
      </c>
      <c r="D1316">
        <v>52262648</v>
      </c>
      <c r="E1316">
        <v>83149872968</v>
      </c>
      <c r="F1316">
        <v>1545</v>
      </c>
      <c r="G1316">
        <v>1591</v>
      </c>
      <c r="H1316">
        <v>1591</v>
      </c>
      <c r="I1316">
        <v>46</v>
      </c>
      <c r="J1316">
        <v>2.98</v>
      </c>
      <c r="K1316">
        <v>1591</v>
      </c>
      <c r="L1316">
        <v>46</v>
      </c>
      <c r="M1316">
        <v>2.98</v>
      </c>
      <c r="N1316">
        <v>1591</v>
      </c>
      <c r="O1316">
        <v>1591</v>
      </c>
      <c r="P1316">
        <v>504</v>
      </c>
      <c r="Q1316">
        <v>3.16</v>
      </c>
      <c r="R1316">
        <v>111</v>
      </c>
      <c r="S1316">
        <v>74152931</v>
      </c>
      <c r="T1316">
        <v>1591</v>
      </c>
      <c r="U1316">
        <v>0</v>
      </c>
      <c r="V1316">
        <v>0</v>
      </c>
      <c r="W1316">
        <v>0</v>
      </c>
      <c r="X1316" s="367"/>
    </row>
    <row r="1317" spans="1:24">
      <c r="A1317" t="s">
        <v>3171</v>
      </c>
      <c r="B1317" t="s">
        <v>3172</v>
      </c>
      <c r="C1317">
        <v>73</v>
      </c>
      <c r="D1317">
        <v>4259274</v>
      </c>
      <c r="E1317">
        <v>139278434537</v>
      </c>
      <c r="F1317">
        <v>32654</v>
      </c>
      <c r="G1317">
        <v>32701</v>
      </c>
      <c r="H1317">
        <v>32701</v>
      </c>
      <c r="I1317">
        <v>47</v>
      </c>
      <c r="J1317">
        <v>0.14000000000000001</v>
      </c>
      <c r="K1317">
        <v>32700</v>
      </c>
      <c r="L1317">
        <v>46</v>
      </c>
      <c r="M1317">
        <v>0.14000000000000001</v>
      </c>
      <c r="N1317">
        <v>32700</v>
      </c>
      <c r="O1317">
        <v>32701</v>
      </c>
      <c r="P1317" t="s">
        <v>192</v>
      </c>
      <c r="Q1317" t="s">
        <v>192</v>
      </c>
      <c r="R1317">
        <v>5</v>
      </c>
      <c r="S1317">
        <v>3912973</v>
      </c>
      <c r="T1317">
        <v>32700</v>
      </c>
      <c r="U1317">
        <v>32701</v>
      </c>
      <c r="V1317">
        <v>2989719</v>
      </c>
      <c r="W1317">
        <v>3</v>
      </c>
      <c r="X1317" s="367"/>
    </row>
    <row r="1318" spans="1:24">
      <c r="A1318" t="s">
        <v>3009</v>
      </c>
      <c r="B1318" t="s">
        <v>3008</v>
      </c>
      <c r="C1318">
        <v>481</v>
      </c>
      <c r="D1318">
        <v>17296799</v>
      </c>
      <c r="E1318">
        <v>63652220320</v>
      </c>
      <c r="F1318">
        <v>3580</v>
      </c>
      <c r="G1318">
        <v>3680</v>
      </c>
      <c r="H1318">
        <v>3680</v>
      </c>
      <c r="I1318">
        <v>100</v>
      </c>
      <c r="J1318">
        <v>2.79</v>
      </c>
      <c r="K1318">
        <v>3680</v>
      </c>
      <c r="L1318">
        <v>100</v>
      </c>
      <c r="M1318">
        <v>2.79</v>
      </c>
      <c r="N1318">
        <v>3680</v>
      </c>
      <c r="O1318">
        <v>3680</v>
      </c>
      <c r="P1318">
        <v>1149</v>
      </c>
      <c r="Q1318">
        <v>3.2</v>
      </c>
      <c r="R1318">
        <v>88</v>
      </c>
      <c r="S1318">
        <v>12978951</v>
      </c>
      <c r="T1318">
        <v>3680</v>
      </c>
      <c r="U1318">
        <v>3760</v>
      </c>
      <c r="V1318">
        <v>5804</v>
      </c>
      <c r="W1318">
        <v>3</v>
      </c>
      <c r="X1318" s="367"/>
    </row>
    <row r="1319" spans="1:24">
      <c r="A1319" t="s">
        <v>2940</v>
      </c>
      <c r="B1319" t="s">
        <v>2939</v>
      </c>
      <c r="C1319">
        <v>1104</v>
      </c>
      <c r="D1319">
        <v>86253197</v>
      </c>
      <c r="E1319">
        <v>167738047640</v>
      </c>
      <c r="F1319">
        <v>1919</v>
      </c>
      <c r="G1319">
        <v>1976</v>
      </c>
      <c r="H1319">
        <v>1881</v>
      </c>
      <c r="I1319">
        <v>-38</v>
      </c>
      <c r="J1319">
        <v>-1.98</v>
      </c>
      <c r="K1319">
        <v>1945</v>
      </c>
      <c r="L1319">
        <v>26</v>
      </c>
      <c r="M1319">
        <v>1.35</v>
      </c>
      <c r="N1319">
        <v>1881</v>
      </c>
      <c r="O1319">
        <v>1976</v>
      </c>
      <c r="P1319">
        <v>188</v>
      </c>
      <c r="Q1319">
        <v>10.35</v>
      </c>
      <c r="R1319">
        <v>1</v>
      </c>
      <c r="S1319">
        <v>1000000</v>
      </c>
      <c r="T1319">
        <v>1881</v>
      </c>
      <c r="U1319">
        <v>1881</v>
      </c>
      <c r="V1319">
        <v>90611</v>
      </c>
      <c r="W1319">
        <v>1</v>
      </c>
      <c r="X1319" s="367"/>
    </row>
    <row r="1320" spans="1:24">
      <c r="A1320" t="s">
        <v>3064</v>
      </c>
      <c r="B1320" t="s">
        <v>3063</v>
      </c>
      <c r="C1320">
        <v>50</v>
      </c>
      <c r="D1320">
        <v>3741319</v>
      </c>
      <c r="E1320">
        <v>10049182834</v>
      </c>
      <c r="F1320">
        <v>2608</v>
      </c>
      <c r="G1320">
        <v>2686</v>
      </c>
      <c r="H1320">
        <v>2686</v>
      </c>
      <c r="I1320">
        <v>78</v>
      </c>
      <c r="J1320">
        <v>2.99</v>
      </c>
      <c r="K1320">
        <v>2686</v>
      </c>
      <c r="L1320">
        <v>78</v>
      </c>
      <c r="M1320">
        <v>2.99</v>
      </c>
      <c r="N1320">
        <v>2686</v>
      </c>
      <c r="O1320">
        <v>2686</v>
      </c>
      <c r="P1320">
        <v>278</v>
      </c>
      <c r="Q1320">
        <v>9.66</v>
      </c>
      <c r="R1320">
        <v>34</v>
      </c>
      <c r="S1320">
        <v>6468966</v>
      </c>
      <c r="T1320">
        <v>2686</v>
      </c>
      <c r="U1320">
        <v>0</v>
      </c>
      <c r="V1320">
        <v>0</v>
      </c>
      <c r="W1320">
        <v>0</v>
      </c>
      <c r="X1320" s="367"/>
    </row>
    <row r="1321" spans="1:24">
      <c r="A1321" t="s">
        <v>157</v>
      </c>
      <c r="B1321" t="s">
        <v>156</v>
      </c>
      <c r="C1321">
        <v>330</v>
      </c>
      <c r="D1321">
        <v>12842095</v>
      </c>
      <c r="E1321">
        <v>164250395050</v>
      </c>
      <c r="F1321">
        <v>12420</v>
      </c>
      <c r="G1321">
        <v>12790</v>
      </c>
      <c r="H1321">
        <v>12790</v>
      </c>
      <c r="I1321">
        <v>370</v>
      </c>
      <c r="J1321">
        <v>2.98</v>
      </c>
      <c r="K1321">
        <v>12790</v>
      </c>
      <c r="L1321">
        <v>370</v>
      </c>
      <c r="M1321">
        <v>2.98</v>
      </c>
      <c r="N1321">
        <v>12790</v>
      </c>
      <c r="O1321">
        <v>12790</v>
      </c>
      <c r="P1321">
        <v>1956</v>
      </c>
      <c r="Q1321">
        <v>6.54</v>
      </c>
      <c r="R1321">
        <v>186</v>
      </c>
      <c r="S1321">
        <v>10287759</v>
      </c>
      <c r="T1321">
        <v>12790</v>
      </c>
      <c r="U1321">
        <v>12950</v>
      </c>
      <c r="V1321">
        <v>12000</v>
      </c>
      <c r="W1321">
        <v>1</v>
      </c>
      <c r="X1321" s="367"/>
    </row>
    <row r="1322" spans="1:24">
      <c r="A1322" t="s">
        <v>2593</v>
      </c>
      <c r="B1322" t="s">
        <v>2592</v>
      </c>
      <c r="C1322">
        <v>242</v>
      </c>
      <c r="D1322">
        <v>7784983</v>
      </c>
      <c r="E1322">
        <v>91940649230</v>
      </c>
      <c r="F1322">
        <v>11470</v>
      </c>
      <c r="G1322">
        <v>11810</v>
      </c>
      <c r="H1322">
        <v>11810</v>
      </c>
      <c r="I1322">
        <v>340</v>
      </c>
      <c r="J1322">
        <v>2.96</v>
      </c>
      <c r="K1322">
        <v>11810</v>
      </c>
      <c r="L1322">
        <v>340</v>
      </c>
      <c r="M1322">
        <v>2.96</v>
      </c>
      <c r="N1322">
        <v>11810</v>
      </c>
      <c r="O1322">
        <v>11810</v>
      </c>
      <c r="P1322">
        <v>1597</v>
      </c>
      <c r="Q1322">
        <v>7.4</v>
      </c>
      <c r="R1322">
        <v>115</v>
      </c>
      <c r="S1322">
        <v>7222530</v>
      </c>
      <c r="T1322">
        <v>11810</v>
      </c>
      <c r="U1322">
        <v>0</v>
      </c>
      <c r="V1322">
        <v>0</v>
      </c>
      <c r="W1322">
        <v>0</v>
      </c>
      <c r="X1322" s="367"/>
    </row>
    <row r="1323" spans="1:24">
      <c r="A1323" t="s">
        <v>3173</v>
      </c>
      <c r="B1323" t="s">
        <v>3174</v>
      </c>
      <c r="C1323">
        <v>0</v>
      </c>
      <c r="D1323">
        <v>0</v>
      </c>
      <c r="E1323">
        <v>0</v>
      </c>
      <c r="F1323">
        <v>1000000</v>
      </c>
      <c r="G1323">
        <v>0</v>
      </c>
      <c r="H1323">
        <v>1000000</v>
      </c>
      <c r="I1323">
        <v>0</v>
      </c>
      <c r="J1323">
        <v>0</v>
      </c>
      <c r="K1323">
        <v>1000000</v>
      </c>
      <c r="L1323">
        <v>0</v>
      </c>
      <c r="M1323">
        <v>0</v>
      </c>
      <c r="N1323">
        <v>0</v>
      </c>
      <c r="O1323">
        <v>0</v>
      </c>
      <c r="P1323" t="s">
        <v>192</v>
      </c>
      <c r="Q1323" t="s">
        <v>192</v>
      </c>
      <c r="R1323">
        <v>1</v>
      </c>
      <c r="S1323">
        <v>5000</v>
      </c>
      <c r="T1323">
        <v>1000000</v>
      </c>
      <c r="U1323">
        <v>0</v>
      </c>
      <c r="V1323">
        <v>0</v>
      </c>
      <c r="W1323">
        <v>0</v>
      </c>
      <c r="X1323" s="367"/>
    </row>
    <row r="1324" spans="1:24">
      <c r="A1324" t="s">
        <v>1824</v>
      </c>
      <c r="B1324" t="s">
        <v>1823</v>
      </c>
      <c r="C1324">
        <v>803</v>
      </c>
      <c r="D1324">
        <v>100011842</v>
      </c>
      <c r="E1324">
        <v>241820320709</v>
      </c>
      <c r="F1324">
        <v>2348</v>
      </c>
      <c r="G1324">
        <v>2418</v>
      </c>
      <c r="H1324">
        <v>2418</v>
      </c>
      <c r="I1324">
        <v>70</v>
      </c>
      <c r="J1324">
        <v>2.98</v>
      </c>
      <c r="K1324">
        <v>2418</v>
      </c>
      <c r="L1324">
        <v>70</v>
      </c>
      <c r="M1324">
        <v>2.98</v>
      </c>
      <c r="N1324">
        <v>2400</v>
      </c>
      <c r="O1324">
        <v>2418</v>
      </c>
      <c r="P1324">
        <v>24</v>
      </c>
      <c r="Q1324">
        <v>100.75</v>
      </c>
      <c r="R1324">
        <v>1</v>
      </c>
      <c r="S1324">
        <v>172806</v>
      </c>
      <c r="T1324">
        <v>2417</v>
      </c>
      <c r="U1324">
        <v>2485</v>
      </c>
      <c r="V1324">
        <v>18379</v>
      </c>
      <c r="W1324">
        <v>2</v>
      </c>
      <c r="X1324" s="367"/>
    </row>
    <row r="1325" spans="1:24">
      <c r="A1325" t="s">
        <v>3175</v>
      </c>
      <c r="B1325" t="s">
        <v>3176</v>
      </c>
      <c r="C1325">
        <v>334</v>
      </c>
      <c r="D1325">
        <v>31535653</v>
      </c>
      <c r="E1325">
        <v>45533342932</v>
      </c>
      <c r="F1325">
        <v>1402</v>
      </c>
      <c r="G1325">
        <v>1444</v>
      </c>
      <c r="H1325">
        <v>1444</v>
      </c>
      <c r="I1325">
        <v>42</v>
      </c>
      <c r="J1325">
        <v>3</v>
      </c>
      <c r="K1325">
        <v>1444</v>
      </c>
      <c r="L1325">
        <v>42</v>
      </c>
      <c r="M1325">
        <v>3</v>
      </c>
      <c r="N1325">
        <v>1434</v>
      </c>
      <c r="O1325">
        <v>1444</v>
      </c>
      <c r="P1325">
        <v>-293</v>
      </c>
      <c r="Q1325">
        <v>-4.93</v>
      </c>
      <c r="R1325">
        <v>162</v>
      </c>
      <c r="S1325">
        <v>49241754</v>
      </c>
      <c r="T1325">
        <v>1444</v>
      </c>
      <c r="U1325">
        <v>0</v>
      </c>
      <c r="V1325">
        <v>0</v>
      </c>
      <c r="W1325">
        <v>0</v>
      </c>
      <c r="X1325" s="367"/>
    </row>
    <row r="1326" spans="1:24">
      <c r="A1326" t="s">
        <v>2514</v>
      </c>
      <c r="B1326" t="s">
        <v>2513</v>
      </c>
      <c r="C1326">
        <v>21</v>
      </c>
      <c r="D1326">
        <v>367547</v>
      </c>
      <c r="E1326">
        <v>2484617720</v>
      </c>
      <c r="F1326">
        <v>6700</v>
      </c>
      <c r="G1326">
        <v>6760</v>
      </c>
      <c r="H1326">
        <v>6760</v>
      </c>
      <c r="I1326">
        <v>60</v>
      </c>
      <c r="J1326">
        <v>0.9</v>
      </c>
      <c r="K1326">
        <v>6710</v>
      </c>
      <c r="L1326">
        <v>10</v>
      </c>
      <c r="M1326">
        <v>0.15</v>
      </c>
      <c r="N1326">
        <v>6760</v>
      </c>
      <c r="O1326">
        <v>6760</v>
      </c>
      <c r="P1326">
        <v>1119</v>
      </c>
      <c r="Q1326">
        <v>6</v>
      </c>
      <c r="R1326">
        <v>9</v>
      </c>
      <c r="S1326">
        <v>218013</v>
      </c>
      <c r="T1326">
        <v>6760</v>
      </c>
      <c r="U1326">
        <v>0</v>
      </c>
      <c r="V1326">
        <v>0</v>
      </c>
      <c r="W1326">
        <v>0</v>
      </c>
      <c r="X1326" s="367"/>
    </row>
    <row r="1327" spans="1:24">
      <c r="A1327" t="s">
        <v>3179</v>
      </c>
      <c r="B1327" t="s">
        <v>3180</v>
      </c>
      <c r="C1327">
        <v>0</v>
      </c>
      <c r="D1327">
        <v>0</v>
      </c>
      <c r="E1327">
        <v>0</v>
      </c>
      <c r="F1327">
        <v>1000000</v>
      </c>
      <c r="G1327">
        <v>0</v>
      </c>
      <c r="H1327">
        <v>1000000</v>
      </c>
      <c r="I1327">
        <v>0</v>
      </c>
      <c r="J1327">
        <v>0</v>
      </c>
      <c r="K1327">
        <v>1000000</v>
      </c>
      <c r="L1327">
        <v>0</v>
      </c>
      <c r="M1327">
        <v>0</v>
      </c>
      <c r="N1327">
        <v>0</v>
      </c>
      <c r="O1327">
        <v>0</v>
      </c>
      <c r="P1327" t="s">
        <v>192</v>
      </c>
      <c r="Q1327" t="s">
        <v>192</v>
      </c>
      <c r="R1327">
        <v>1</v>
      </c>
      <c r="S1327">
        <v>5000</v>
      </c>
      <c r="T1327">
        <v>1000000</v>
      </c>
      <c r="U1327">
        <v>1010000</v>
      </c>
      <c r="V1327">
        <v>5000</v>
      </c>
      <c r="W1327">
        <v>1</v>
      </c>
      <c r="X1327" s="367"/>
    </row>
    <row r="1328" spans="1:24">
      <c r="A1328" t="s">
        <v>2684</v>
      </c>
      <c r="B1328" t="s">
        <v>2683</v>
      </c>
      <c r="C1328">
        <v>162</v>
      </c>
      <c r="D1328">
        <v>3248211</v>
      </c>
      <c r="E1328">
        <v>52945839300</v>
      </c>
      <c r="F1328">
        <v>15830</v>
      </c>
      <c r="G1328">
        <v>16300</v>
      </c>
      <c r="H1328">
        <v>16300</v>
      </c>
      <c r="I1328">
        <v>470</v>
      </c>
      <c r="J1328">
        <v>2.97</v>
      </c>
      <c r="K1328">
        <v>16300</v>
      </c>
      <c r="L1328">
        <v>470</v>
      </c>
      <c r="M1328">
        <v>2.97</v>
      </c>
      <c r="N1328">
        <v>16300</v>
      </c>
      <c r="O1328">
        <v>16300</v>
      </c>
      <c r="P1328">
        <v>1532</v>
      </c>
      <c r="Q1328">
        <v>10.64</v>
      </c>
      <c r="R1328">
        <v>80</v>
      </c>
      <c r="S1328">
        <v>1818485</v>
      </c>
      <c r="T1328">
        <v>16300</v>
      </c>
      <c r="U1328">
        <v>0</v>
      </c>
      <c r="V1328">
        <v>0</v>
      </c>
      <c r="W1328">
        <v>0</v>
      </c>
      <c r="X1328" s="367"/>
    </row>
    <row r="1329" spans="1:24">
      <c r="A1329" t="s">
        <v>2162</v>
      </c>
      <c r="B1329" t="s">
        <v>2161</v>
      </c>
      <c r="C1329">
        <v>45</v>
      </c>
      <c r="D1329">
        <v>371840</v>
      </c>
      <c r="E1329">
        <v>26315116800</v>
      </c>
      <c r="F1329">
        <v>68710</v>
      </c>
      <c r="G1329">
        <v>70770</v>
      </c>
      <c r="H1329">
        <v>70770</v>
      </c>
      <c r="I1329">
        <v>2060</v>
      </c>
      <c r="J1329">
        <v>3</v>
      </c>
      <c r="K1329">
        <v>70770</v>
      </c>
      <c r="L1329">
        <v>2060</v>
      </c>
      <c r="M1329">
        <v>3</v>
      </c>
      <c r="N1329">
        <v>70770</v>
      </c>
      <c r="O1329">
        <v>70770</v>
      </c>
      <c r="P1329">
        <v>6222</v>
      </c>
      <c r="Q1329">
        <v>11.37</v>
      </c>
      <c r="R1329">
        <v>97</v>
      </c>
      <c r="S1329">
        <v>918724</v>
      </c>
      <c r="T1329">
        <v>70770</v>
      </c>
      <c r="U1329">
        <v>0</v>
      </c>
      <c r="V1329">
        <v>0</v>
      </c>
      <c r="W1329">
        <v>0</v>
      </c>
      <c r="X1329" s="367"/>
    </row>
    <row r="1330" spans="1:24">
      <c r="A1330" t="s">
        <v>8804</v>
      </c>
      <c r="B1330" t="s">
        <v>2279</v>
      </c>
      <c r="C1330">
        <v>67</v>
      </c>
      <c r="D1330">
        <v>19444</v>
      </c>
      <c r="E1330">
        <v>936617480</v>
      </c>
      <c r="F1330">
        <v>46830</v>
      </c>
      <c r="G1330">
        <v>48170</v>
      </c>
      <c r="H1330">
        <v>48170</v>
      </c>
      <c r="I1330">
        <v>1340</v>
      </c>
      <c r="J1330">
        <v>2.86</v>
      </c>
      <c r="K1330">
        <v>48170</v>
      </c>
      <c r="L1330">
        <v>1340</v>
      </c>
      <c r="M1330">
        <v>2.86</v>
      </c>
      <c r="N1330">
        <v>48170</v>
      </c>
      <c r="O1330">
        <v>48170</v>
      </c>
      <c r="P1330">
        <v>6307</v>
      </c>
      <c r="Q1330">
        <v>7.64</v>
      </c>
      <c r="R1330">
        <v>14</v>
      </c>
      <c r="S1330">
        <v>153637</v>
      </c>
      <c r="T1330">
        <v>48170</v>
      </c>
      <c r="U1330">
        <v>0</v>
      </c>
      <c r="V1330">
        <v>0</v>
      </c>
      <c r="W1330">
        <v>0</v>
      </c>
      <c r="X1330" s="367"/>
    </row>
    <row r="1331" spans="1:24">
      <c r="A1331" t="s">
        <v>3181</v>
      </c>
      <c r="B1331" t="s">
        <v>3182</v>
      </c>
      <c r="C1331">
        <v>587</v>
      </c>
      <c r="D1331">
        <v>60131191</v>
      </c>
      <c r="E1331">
        <v>98574625250</v>
      </c>
      <c r="F1331">
        <v>1599</v>
      </c>
      <c r="G1331">
        <v>1644</v>
      </c>
      <c r="H1331">
        <v>1646</v>
      </c>
      <c r="I1331">
        <v>47</v>
      </c>
      <c r="J1331">
        <v>2.94</v>
      </c>
      <c r="K1331">
        <v>1639</v>
      </c>
      <c r="L1331">
        <v>40</v>
      </c>
      <c r="M1331">
        <v>2.5</v>
      </c>
      <c r="N1331">
        <v>1620</v>
      </c>
      <c r="O1331">
        <v>1646</v>
      </c>
      <c r="P1331">
        <v>348</v>
      </c>
      <c r="Q1331">
        <v>4.71</v>
      </c>
      <c r="R1331">
        <v>1</v>
      </c>
      <c r="S1331">
        <v>362152</v>
      </c>
      <c r="T1331">
        <v>1645</v>
      </c>
      <c r="U1331">
        <v>1646</v>
      </c>
      <c r="V1331">
        <v>208579</v>
      </c>
      <c r="W1331">
        <v>1</v>
      </c>
      <c r="X1331" s="367"/>
    </row>
    <row r="1332" spans="1:24">
      <c r="A1332" t="s">
        <v>2530</v>
      </c>
      <c r="B1332" t="s">
        <v>2529</v>
      </c>
      <c r="C1332">
        <v>1315</v>
      </c>
      <c r="D1332">
        <v>101306910</v>
      </c>
      <c r="E1332">
        <v>183291826296</v>
      </c>
      <c r="F1332">
        <v>1779</v>
      </c>
      <c r="G1332">
        <v>1793</v>
      </c>
      <c r="H1332">
        <v>1832</v>
      </c>
      <c r="I1332">
        <v>53</v>
      </c>
      <c r="J1332">
        <v>2.98</v>
      </c>
      <c r="K1332">
        <v>1809</v>
      </c>
      <c r="L1332">
        <v>30</v>
      </c>
      <c r="M1332">
        <v>1.69</v>
      </c>
      <c r="N1332">
        <v>1789</v>
      </c>
      <c r="O1332">
        <v>1832</v>
      </c>
      <c r="P1332">
        <v>194</v>
      </c>
      <c r="Q1332">
        <v>9.32</v>
      </c>
      <c r="R1332">
        <v>2</v>
      </c>
      <c r="S1332">
        <v>594677</v>
      </c>
      <c r="T1332">
        <v>1829</v>
      </c>
      <c r="U1332">
        <v>1832</v>
      </c>
      <c r="V1332">
        <v>3403838</v>
      </c>
      <c r="W1332">
        <v>64</v>
      </c>
      <c r="X1332" s="367"/>
    </row>
    <row r="1333" spans="1:24">
      <c r="A1333" t="s">
        <v>3183</v>
      </c>
      <c r="B1333" t="s">
        <v>3184</v>
      </c>
      <c r="C1333">
        <v>0</v>
      </c>
      <c r="D1333">
        <v>0</v>
      </c>
      <c r="E1333">
        <v>0</v>
      </c>
      <c r="F1333">
        <v>1000000</v>
      </c>
      <c r="G1333">
        <v>0</v>
      </c>
      <c r="H1333">
        <v>1000000</v>
      </c>
      <c r="I1333">
        <v>0</v>
      </c>
      <c r="J1333">
        <v>0</v>
      </c>
      <c r="K1333">
        <v>1000000</v>
      </c>
      <c r="L1333">
        <v>0</v>
      </c>
      <c r="M1333">
        <v>0</v>
      </c>
      <c r="N1333">
        <v>0</v>
      </c>
      <c r="O1333">
        <v>0</v>
      </c>
      <c r="P1333" t="s">
        <v>192</v>
      </c>
      <c r="Q1333" t="s">
        <v>192</v>
      </c>
      <c r="R1333">
        <v>1</v>
      </c>
      <c r="S1333">
        <v>5000</v>
      </c>
      <c r="T1333">
        <v>1000000</v>
      </c>
      <c r="U1333">
        <v>0</v>
      </c>
      <c r="V1333">
        <v>0</v>
      </c>
      <c r="W1333">
        <v>0</v>
      </c>
      <c r="X1333" s="367"/>
    </row>
    <row r="1334" spans="1:24">
      <c r="A1334" t="s">
        <v>8805</v>
      </c>
      <c r="B1334" t="s">
        <v>2309</v>
      </c>
      <c r="C1334">
        <v>1</v>
      </c>
      <c r="D1334">
        <v>1000</v>
      </c>
      <c r="E1334">
        <v>16660000</v>
      </c>
      <c r="F1334">
        <v>16180</v>
      </c>
      <c r="G1334">
        <v>16660</v>
      </c>
      <c r="H1334">
        <v>16660</v>
      </c>
      <c r="I1334">
        <v>480</v>
      </c>
      <c r="J1334">
        <v>2.97</v>
      </c>
      <c r="K1334">
        <v>16660</v>
      </c>
      <c r="L1334">
        <v>480</v>
      </c>
      <c r="M1334">
        <v>2.97</v>
      </c>
      <c r="N1334">
        <v>16660</v>
      </c>
      <c r="O1334">
        <v>16660</v>
      </c>
      <c r="P1334">
        <v>2424</v>
      </c>
      <c r="Q1334">
        <v>6.87</v>
      </c>
      <c r="R1334">
        <v>200</v>
      </c>
      <c r="S1334">
        <v>18321678</v>
      </c>
      <c r="T1334">
        <v>16660</v>
      </c>
      <c r="U1334">
        <v>0</v>
      </c>
      <c r="V1334">
        <v>0</v>
      </c>
      <c r="W1334">
        <v>0</v>
      </c>
      <c r="X1334" s="367"/>
    </row>
    <row r="1335" spans="1:24">
      <c r="A1335" t="s">
        <v>1768</v>
      </c>
      <c r="B1335" t="s">
        <v>1767</v>
      </c>
      <c r="C1335">
        <v>26</v>
      </c>
      <c r="D1335">
        <v>6099443</v>
      </c>
      <c r="E1335">
        <v>18395920088</v>
      </c>
      <c r="F1335">
        <v>2929</v>
      </c>
      <c r="G1335">
        <v>3016</v>
      </c>
      <c r="H1335">
        <v>3016</v>
      </c>
      <c r="I1335">
        <v>87</v>
      </c>
      <c r="J1335">
        <v>2.97</v>
      </c>
      <c r="K1335">
        <v>3016</v>
      </c>
      <c r="L1335">
        <v>87</v>
      </c>
      <c r="M1335">
        <v>2.97</v>
      </c>
      <c r="N1335">
        <v>3016</v>
      </c>
      <c r="O1335">
        <v>3016</v>
      </c>
      <c r="P1335">
        <v>1080</v>
      </c>
      <c r="Q1335">
        <v>2.79</v>
      </c>
      <c r="R1335">
        <v>16</v>
      </c>
      <c r="S1335">
        <v>3684911</v>
      </c>
      <c r="T1335">
        <v>3016</v>
      </c>
      <c r="U1335">
        <v>0</v>
      </c>
      <c r="V1335">
        <v>0</v>
      </c>
      <c r="W1335">
        <v>0</v>
      </c>
      <c r="X1335" s="367"/>
    </row>
    <row r="1336" spans="1:24">
      <c r="A1336" t="s">
        <v>3188</v>
      </c>
      <c r="B1336" t="s">
        <v>3189</v>
      </c>
      <c r="C1336">
        <v>0</v>
      </c>
      <c r="D1336">
        <v>0</v>
      </c>
      <c r="E1336">
        <v>0</v>
      </c>
      <c r="F1336">
        <v>1000000</v>
      </c>
      <c r="G1336">
        <v>0</v>
      </c>
      <c r="H1336">
        <v>1000000</v>
      </c>
      <c r="I1336">
        <v>0</v>
      </c>
      <c r="J1336">
        <v>0</v>
      </c>
      <c r="K1336">
        <v>1000000</v>
      </c>
      <c r="L1336">
        <v>0</v>
      </c>
      <c r="M1336">
        <v>0</v>
      </c>
      <c r="N1336">
        <v>0</v>
      </c>
      <c r="O1336">
        <v>0</v>
      </c>
      <c r="P1336" t="s">
        <v>192</v>
      </c>
      <c r="Q1336" t="s">
        <v>192</v>
      </c>
      <c r="R1336">
        <v>1</v>
      </c>
      <c r="S1336">
        <v>5000</v>
      </c>
      <c r="T1336">
        <v>1000000</v>
      </c>
      <c r="U1336">
        <v>1010000</v>
      </c>
      <c r="V1336">
        <v>5000</v>
      </c>
      <c r="W1336">
        <v>1</v>
      </c>
      <c r="X1336" s="367"/>
    </row>
    <row r="1337" spans="1:24">
      <c r="A1337" t="s">
        <v>2272</v>
      </c>
      <c r="B1337" t="s">
        <v>2271</v>
      </c>
      <c r="C1337">
        <v>519</v>
      </c>
      <c r="D1337">
        <v>32403044</v>
      </c>
      <c r="E1337">
        <v>39790938032</v>
      </c>
      <c r="F1337">
        <v>1193</v>
      </c>
      <c r="G1337">
        <v>1228</v>
      </c>
      <c r="H1337">
        <v>1228</v>
      </c>
      <c r="I1337">
        <v>35</v>
      </c>
      <c r="J1337">
        <v>2.93</v>
      </c>
      <c r="K1337">
        <v>1228</v>
      </c>
      <c r="L1337">
        <v>35</v>
      </c>
      <c r="M1337">
        <v>2.93</v>
      </c>
      <c r="N1337">
        <v>1228</v>
      </c>
      <c r="O1337">
        <v>1228</v>
      </c>
      <c r="P1337">
        <v>183</v>
      </c>
      <c r="Q1337">
        <v>6.71</v>
      </c>
      <c r="R1337">
        <v>71</v>
      </c>
      <c r="S1337">
        <v>23268877</v>
      </c>
      <c r="T1337">
        <v>1228</v>
      </c>
      <c r="U1337">
        <v>0</v>
      </c>
      <c r="V1337">
        <v>0</v>
      </c>
      <c r="W1337">
        <v>0</v>
      </c>
      <c r="X1337" s="367"/>
    </row>
    <row r="1338" spans="1:24">
      <c r="A1338" t="s">
        <v>8806</v>
      </c>
      <c r="B1338" t="s">
        <v>3042</v>
      </c>
      <c r="C1338">
        <v>26</v>
      </c>
      <c r="D1338">
        <v>37249</v>
      </c>
      <c r="E1338">
        <v>172090380</v>
      </c>
      <c r="F1338">
        <v>4500</v>
      </c>
      <c r="G1338">
        <v>4620</v>
      </c>
      <c r="H1338">
        <v>4620</v>
      </c>
      <c r="I1338">
        <v>120</v>
      </c>
      <c r="J1338">
        <v>2.67</v>
      </c>
      <c r="K1338">
        <v>4620</v>
      </c>
      <c r="L1338">
        <v>120</v>
      </c>
      <c r="M1338">
        <v>2.67</v>
      </c>
      <c r="N1338">
        <v>4620</v>
      </c>
      <c r="O1338">
        <v>4620</v>
      </c>
      <c r="P1338">
        <v>456</v>
      </c>
      <c r="Q1338">
        <v>10.130000000000001</v>
      </c>
      <c r="R1338">
        <v>26</v>
      </c>
      <c r="S1338">
        <v>3997499</v>
      </c>
      <c r="T1338">
        <v>4620</v>
      </c>
      <c r="U1338">
        <v>0</v>
      </c>
      <c r="V1338">
        <v>0</v>
      </c>
      <c r="W1338">
        <v>0</v>
      </c>
      <c r="X1338" s="367"/>
    </row>
    <row r="1339" spans="1:24">
      <c r="A1339" t="s">
        <v>3190</v>
      </c>
      <c r="B1339" t="s">
        <v>3191</v>
      </c>
      <c r="C1339">
        <v>145</v>
      </c>
      <c r="D1339">
        <v>10197651</v>
      </c>
      <c r="E1339">
        <v>301585330674</v>
      </c>
      <c r="F1339">
        <v>28713</v>
      </c>
      <c r="G1339">
        <v>29574</v>
      </c>
      <c r="H1339">
        <v>29574</v>
      </c>
      <c r="I1339">
        <v>861</v>
      </c>
      <c r="J1339">
        <v>3</v>
      </c>
      <c r="K1339">
        <v>29574</v>
      </c>
      <c r="L1339">
        <v>861</v>
      </c>
      <c r="M1339">
        <v>3</v>
      </c>
      <c r="N1339">
        <v>29574</v>
      </c>
      <c r="O1339">
        <v>29574</v>
      </c>
      <c r="P1339" t="s">
        <v>192</v>
      </c>
      <c r="Q1339" t="s">
        <v>192</v>
      </c>
      <c r="R1339">
        <v>43</v>
      </c>
      <c r="S1339">
        <v>5922633</v>
      </c>
      <c r="T1339">
        <v>29574</v>
      </c>
      <c r="U1339">
        <v>30132</v>
      </c>
      <c r="V1339">
        <v>500</v>
      </c>
      <c r="W1339">
        <v>1</v>
      </c>
      <c r="X1339" s="367"/>
    </row>
    <row r="1340" spans="1:24">
      <c r="A1340" t="s">
        <v>2833</v>
      </c>
      <c r="B1340" t="s">
        <v>2832</v>
      </c>
      <c r="C1340">
        <v>95</v>
      </c>
      <c r="D1340">
        <v>6216931</v>
      </c>
      <c r="E1340">
        <v>15258869183</v>
      </c>
      <c r="F1340">
        <v>2384</v>
      </c>
      <c r="G1340">
        <v>2455</v>
      </c>
      <c r="H1340">
        <v>2455</v>
      </c>
      <c r="I1340">
        <v>71</v>
      </c>
      <c r="J1340">
        <v>2.98</v>
      </c>
      <c r="K1340">
        <v>2454</v>
      </c>
      <c r="L1340">
        <v>70</v>
      </c>
      <c r="M1340">
        <v>2.94</v>
      </c>
      <c r="N1340">
        <v>2450</v>
      </c>
      <c r="O1340">
        <v>2455</v>
      </c>
      <c r="P1340">
        <v>80</v>
      </c>
      <c r="Q1340">
        <v>30.68</v>
      </c>
      <c r="R1340">
        <v>1</v>
      </c>
      <c r="S1340">
        <v>50618</v>
      </c>
      <c r="T1340">
        <v>2455</v>
      </c>
      <c r="U1340">
        <v>0</v>
      </c>
      <c r="V1340">
        <v>0</v>
      </c>
      <c r="W1340">
        <v>0</v>
      </c>
      <c r="X1340" s="367"/>
    </row>
    <row r="1341" spans="1:24">
      <c r="A1341" t="s">
        <v>1906</v>
      </c>
      <c r="B1341" t="s">
        <v>1905</v>
      </c>
      <c r="C1341">
        <v>179</v>
      </c>
      <c r="D1341">
        <v>2528196</v>
      </c>
      <c r="E1341">
        <v>43333279440</v>
      </c>
      <c r="F1341">
        <v>16650</v>
      </c>
      <c r="G1341">
        <v>17140</v>
      </c>
      <c r="H1341">
        <v>17140</v>
      </c>
      <c r="I1341">
        <v>490</v>
      </c>
      <c r="J1341">
        <v>2.94</v>
      </c>
      <c r="K1341">
        <v>17140</v>
      </c>
      <c r="L1341">
        <v>490</v>
      </c>
      <c r="M1341">
        <v>2.94</v>
      </c>
      <c r="N1341">
        <v>17140</v>
      </c>
      <c r="O1341">
        <v>17140</v>
      </c>
      <c r="P1341">
        <v>3437</v>
      </c>
      <c r="Q1341">
        <v>4.99</v>
      </c>
      <c r="R1341">
        <v>47</v>
      </c>
      <c r="S1341">
        <v>702583</v>
      </c>
      <c r="T1341">
        <v>17140</v>
      </c>
      <c r="U1341">
        <v>0</v>
      </c>
      <c r="V1341">
        <v>0</v>
      </c>
      <c r="W1341">
        <v>0</v>
      </c>
      <c r="X1341" s="367"/>
    </row>
    <row r="1342" spans="1:24">
      <c r="A1342" t="s">
        <v>3192</v>
      </c>
      <c r="B1342" t="s">
        <v>3193</v>
      </c>
      <c r="C1342">
        <v>1345</v>
      </c>
      <c r="D1342">
        <v>33919341</v>
      </c>
      <c r="E1342">
        <v>965338094427</v>
      </c>
      <c r="F1342">
        <v>27664</v>
      </c>
      <c r="G1342">
        <v>28493</v>
      </c>
      <c r="H1342">
        <v>28493</v>
      </c>
      <c r="I1342">
        <v>829</v>
      </c>
      <c r="J1342">
        <v>3</v>
      </c>
      <c r="K1342">
        <v>28460</v>
      </c>
      <c r="L1342">
        <v>796</v>
      </c>
      <c r="M1342">
        <v>2.88</v>
      </c>
      <c r="N1342">
        <v>28002</v>
      </c>
      <c r="O1342">
        <v>28493</v>
      </c>
      <c r="P1342" t="s">
        <v>192</v>
      </c>
      <c r="Q1342" t="s">
        <v>192</v>
      </c>
      <c r="R1342">
        <v>12</v>
      </c>
      <c r="S1342">
        <v>171151</v>
      </c>
      <c r="T1342">
        <v>28493</v>
      </c>
      <c r="U1342">
        <v>0</v>
      </c>
      <c r="V1342">
        <v>0</v>
      </c>
      <c r="W1342">
        <v>0</v>
      </c>
      <c r="X1342" s="367"/>
    </row>
    <row r="1343" spans="1:24">
      <c r="A1343" t="s">
        <v>3194</v>
      </c>
      <c r="B1343" t="s">
        <v>3195</v>
      </c>
      <c r="C1343">
        <v>0</v>
      </c>
      <c r="D1343">
        <v>0</v>
      </c>
      <c r="E1343">
        <v>0</v>
      </c>
      <c r="F1343">
        <v>1000000</v>
      </c>
      <c r="G1343">
        <v>0</v>
      </c>
      <c r="H1343">
        <v>1000000</v>
      </c>
      <c r="I1343">
        <v>0</v>
      </c>
      <c r="J1343">
        <v>0</v>
      </c>
      <c r="K1343">
        <v>1000000</v>
      </c>
      <c r="L1343">
        <v>0</v>
      </c>
      <c r="M1343">
        <v>0</v>
      </c>
      <c r="N1343">
        <v>0</v>
      </c>
      <c r="O1343">
        <v>0</v>
      </c>
      <c r="P1343" t="s">
        <v>192</v>
      </c>
      <c r="Q1343" t="s">
        <v>192</v>
      </c>
      <c r="R1343">
        <v>1</v>
      </c>
      <c r="S1343">
        <v>10100</v>
      </c>
      <c r="T1343">
        <v>1000000</v>
      </c>
      <c r="U1343">
        <v>1000010</v>
      </c>
      <c r="V1343">
        <v>10000</v>
      </c>
      <c r="W1343">
        <v>1</v>
      </c>
      <c r="X1343" s="367"/>
    </row>
    <row r="1344" spans="1:24">
      <c r="A1344" t="s">
        <v>3196</v>
      </c>
      <c r="B1344" t="s">
        <v>3197</v>
      </c>
      <c r="C1344">
        <v>1351</v>
      </c>
      <c r="D1344">
        <v>294851826</v>
      </c>
      <c r="E1344">
        <v>5209038979377</v>
      </c>
      <c r="F1344">
        <v>17642</v>
      </c>
      <c r="G1344">
        <v>17674</v>
      </c>
      <c r="H1344">
        <v>17667</v>
      </c>
      <c r="I1344">
        <v>25</v>
      </c>
      <c r="J1344">
        <v>0.14000000000000001</v>
      </c>
      <c r="K1344">
        <v>17667</v>
      </c>
      <c r="L1344">
        <v>25</v>
      </c>
      <c r="M1344">
        <v>0.14000000000000001</v>
      </c>
      <c r="N1344">
        <v>17666</v>
      </c>
      <c r="O1344">
        <v>17674</v>
      </c>
      <c r="P1344" t="s">
        <v>192</v>
      </c>
      <c r="Q1344" t="s">
        <v>192</v>
      </c>
      <c r="R1344">
        <v>1</v>
      </c>
      <c r="S1344">
        <v>298858336</v>
      </c>
      <c r="T1344">
        <v>17666</v>
      </c>
      <c r="U1344">
        <v>17667</v>
      </c>
      <c r="V1344">
        <v>68012357</v>
      </c>
      <c r="W1344">
        <v>1</v>
      </c>
      <c r="X1344" s="367"/>
    </row>
    <row r="1345" spans="1:24">
      <c r="A1345" t="s">
        <v>3198</v>
      </c>
      <c r="B1345" t="s">
        <v>3199</v>
      </c>
      <c r="C1345">
        <v>162</v>
      </c>
      <c r="D1345">
        <v>73788715</v>
      </c>
      <c r="E1345">
        <v>790751468268</v>
      </c>
      <c r="F1345">
        <v>10696</v>
      </c>
      <c r="G1345">
        <v>10717</v>
      </c>
      <c r="H1345">
        <v>10717</v>
      </c>
      <c r="I1345">
        <v>21</v>
      </c>
      <c r="J1345">
        <v>0.2</v>
      </c>
      <c r="K1345">
        <v>10716</v>
      </c>
      <c r="L1345">
        <v>20</v>
      </c>
      <c r="M1345">
        <v>0.19</v>
      </c>
      <c r="N1345">
        <v>10716</v>
      </c>
      <c r="O1345">
        <v>10718</v>
      </c>
      <c r="P1345" t="s">
        <v>192</v>
      </c>
      <c r="Q1345" t="s">
        <v>192</v>
      </c>
      <c r="R1345">
        <v>1</v>
      </c>
      <c r="S1345">
        <v>336212710</v>
      </c>
      <c r="T1345">
        <v>10717</v>
      </c>
      <c r="U1345">
        <v>10718</v>
      </c>
      <c r="V1345">
        <v>18895092</v>
      </c>
      <c r="W1345">
        <v>4</v>
      </c>
      <c r="X1345" s="367"/>
    </row>
    <row r="1346" spans="1:24">
      <c r="A1346" t="s">
        <v>3200</v>
      </c>
      <c r="B1346" t="s">
        <v>3201</v>
      </c>
      <c r="C1346">
        <v>0</v>
      </c>
      <c r="D1346">
        <v>0</v>
      </c>
      <c r="E1346">
        <v>0</v>
      </c>
      <c r="F1346">
        <v>1000000</v>
      </c>
      <c r="G1346">
        <v>0</v>
      </c>
      <c r="H1346">
        <v>1000000</v>
      </c>
      <c r="I1346">
        <v>0</v>
      </c>
      <c r="J1346">
        <v>0</v>
      </c>
      <c r="K1346">
        <v>1000000</v>
      </c>
      <c r="L1346">
        <v>0</v>
      </c>
      <c r="M1346">
        <v>0</v>
      </c>
      <c r="N1346">
        <v>0</v>
      </c>
      <c r="O1346">
        <v>0</v>
      </c>
      <c r="P1346" t="s">
        <v>192</v>
      </c>
      <c r="Q1346" t="s">
        <v>192</v>
      </c>
      <c r="R1346">
        <v>1</v>
      </c>
      <c r="S1346">
        <v>100000</v>
      </c>
      <c r="T1346">
        <v>970000</v>
      </c>
      <c r="U1346">
        <v>0</v>
      </c>
      <c r="V1346">
        <v>0</v>
      </c>
      <c r="W1346">
        <v>0</v>
      </c>
      <c r="X1346" s="367"/>
    </row>
    <row r="1347" spans="1:24">
      <c r="A1347" t="s">
        <v>3202</v>
      </c>
      <c r="B1347" t="s">
        <v>3203</v>
      </c>
      <c r="C1347">
        <v>0</v>
      </c>
      <c r="D1347">
        <v>0</v>
      </c>
      <c r="E1347">
        <v>0</v>
      </c>
      <c r="F1347">
        <v>1067500</v>
      </c>
      <c r="G1347">
        <v>0</v>
      </c>
      <c r="H1347">
        <v>1067500</v>
      </c>
      <c r="I1347">
        <v>0</v>
      </c>
      <c r="J1347">
        <v>0</v>
      </c>
      <c r="K1347">
        <v>1067500</v>
      </c>
      <c r="L1347">
        <v>0</v>
      </c>
      <c r="M1347">
        <v>0</v>
      </c>
      <c r="N1347">
        <v>0</v>
      </c>
      <c r="O1347">
        <v>0</v>
      </c>
      <c r="P1347" t="s">
        <v>192</v>
      </c>
      <c r="Q1347" t="s">
        <v>192</v>
      </c>
      <c r="R1347">
        <v>1</v>
      </c>
      <c r="S1347">
        <v>5000</v>
      </c>
      <c r="T1347">
        <v>1050000</v>
      </c>
      <c r="U1347">
        <v>1070000</v>
      </c>
      <c r="V1347">
        <v>5000</v>
      </c>
      <c r="W1347">
        <v>1</v>
      </c>
      <c r="X1347" s="367"/>
    </row>
    <row r="1348" spans="1:24">
      <c r="A1348" t="s">
        <v>3204</v>
      </c>
      <c r="B1348" t="s">
        <v>3205</v>
      </c>
      <c r="C1348">
        <v>70</v>
      </c>
      <c r="D1348">
        <v>244086</v>
      </c>
      <c r="E1348">
        <v>7004427706</v>
      </c>
      <c r="F1348">
        <v>28320</v>
      </c>
      <c r="G1348">
        <v>29167</v>
      </c>
      <c r="H1348">
        <v>28936</v>
      </c>
      <c r="I1348">
        <v>616</v>
      </c>
      <c r="J1348">
        <v>2.1800000000000002</v>
      </c>
      <c r="K1348">
        <v>28697</v>
      </c>
      <c r="L1348">
        <v>377</v>
      </c>
      <c r="M1348">
        <v>1.33</v>
      </c>
      <c r="N1348">
        <v>28601</v>
      </c>
      <c r="O1348">
        <v>29167</v>
      </c>
      <c r="P1348" t="s">
        <v>192</v>
      </c>
      <c r="Q1348" t="s">
        <v>192</v>
      </c>
      <c r="R1348">
        <v>1</v>
      </c>
      <c r="S1348">
        <v>50</v>
      </c>
      <c r="T1348">
        <v>28712</v>
      </c>
      <c r="U1348">
        <v>28936</v>
      </c>
      <c r="V1348">
        <v>100552</v>
      </c>
      <c r="W1348">
        <v>2</v>
      </c>
      <c r="X1348" s="367"/>
    </row>
    <row r="1349" spans="1:24">
      <c r="A1349" t="s">
        <v>3045</v>
      </c>
      <c r="B1349" t="s">
        <v>3044</v>
      </c>
      <c r="C1349">
        <v>101</v>
      </c>
      <c r="D1349">
        <v>6556180</v>
      </c>
      <c r="E1349">
        <v>22553259200</v>
      </c>
      <c r="F1349">
        <v>3340</v>
      </c>
      <c r="G1349">
        <v>3440</v>
      </c>
      <c r="H1349">
        <v>3440</v>
      </c>
      <c r="I1349">
        <v>100</v>
      </c>
      <c r="J1349">
        <v>2.99</v>
      </c>
      <c r="K1349">
        <v>3410</v>
      </c>
      <c r="L1349">
        <v>70</v>
      </c>
      <c r="M1349">
        <v>2.1</v>
      </c>
      <c r="N1349">
        <v>3440</v>
      </c>
      <c r="O1349">
        <v>3440</v>
      </c>
      <c r="P1349">
        <v>437</v>
      </c>
      <c r="Q1349">
        <v>7.8</v>
      </c>
      <c r="R1349">
        <v>21</v>
      </c>
      <c r="S1349">
        <v>4575749</v>
      </c>
      <c r="T1349">
        <v>3440</v>
      </c>
      <c r="U1349">
        <v>0</v>
      </c>
      <c r="V1349">
        <v>0</v>
      </c>
      <c r="W1349">
        <v>0</v>
      </c>
      <c r="X1349" s="367"/>
    </row>
    <row r="1350" spans="1:24">
      <c r="A1350" t="s">
        <v>3206</v>
      </c>
      <c r="B1350" t="s">
        <v>3207</v>
      </c>
      <c r="C1350">
        <v>0</v>
      </c>
      <c r="D1350">
        <v>0</v>
      </c>
      <c r="E1350">
        <v>0</v>
      </c>
      <c r="F1350">
        <v>1000000</v>
      </c>
      <c r="G1350">
        <v>0</v>
      </c>
      <c r="H1350">
        <v>1000000</v>
      </c>
      <c r="I1350">
        <v>0</v>
      </c>
      <c r="J1350">
        <v>0</v>
      </c>
      <c r="K1350">
        <v>1000000</v>
      </c>
      <c r="L1350">
        <v>0</v>
      </c>
      <c r="M1350">
        <v>0</v>
      </c>
      <c r="N1350">
        <v>0</v>
      </c>
      <c r="O1350">
        <v>0</v>
      </c>
      <c r="P1350" t="s">
        <v>192</v>
      </c>
      <c r="Q1350" t="s">
        <v>192</v>
      </c>
      <c r="R1350">
        <v>1</v>
      </c>
      <c r="S1350">
        <v>5000</v>
      </c>
      <c r="T1350">
        <v>1000000</v>
      </c>
      <c r="U1350">
        <v>1010000</v>
      </c>
      <c r="V1350">
        <v>5000</v>
      </c>
      <c r="W1350">
        <v>1</v>
      </c>
      <c r="X1350" s="367"/>
    </row>
    <row r="1351" spans="1:24">
      <c r="A1351" t="s">
        <v>1848</v>
      </c>
      <c r="B1351" t="s">
        <v>1847</v>
      </c>
      <c r="C1351">
        <v>2108</v>
      </c>
      <c r="D1351">
        <v>151807980</v>
      </c>
      <c r="E1351">
        <v>652617763130</v>
      </c>
      <c r="F1351">
        <v>4180</v>
      </c>
      <c r="G1351">
        <v>4290</v>
      </c>
      <c r="H1351">
        <v>4300</v>
      </c>
      <c r="I1351">
        <v>120</v>
      </c>
      <c r="J1351">
        <v>2.87</v>
      </c>
      <c r="K1351">
        <v>4300</v>
      </c>
      <c r="L1351">
        <v>120</v>
      </c>
      <c r="M1351">
        <v>2.87</v>
      </c>
      <c r="N1351">
        <v>4260</v>
      </c>
      <c r="O1351">
        <v>4300</v>
      </c>
      <c r="P1351">
        <v>280</v>
      </c>
      <c r="Q1351">
        <v>15.36</v>
      </c>
      <c r="R1351">
        <v>34</v>
      </c>
      <c r="S1351">
        <v>5939717</v>
      </c>
      <c r="T1351">
        <v>4300</v>
      </c>
      <c r="U1351">
        <v>4400</v>
      </c>
      <c r="V1351">
        <v>12000</v>
      </c>
      <c r="W1351">
        <v>1</v>
      </c>
      <c r="X1351" s="367"/>
    </row>
    <row r="1352" spans="1:24">
      <c r="A1352" t="s">
        <v>3208</v>
      </c>
      <c r="B1352" t="s">
        <v>3209</v>
      </c>
      <c r="C1352">
        <v>11</v>
      </c>
      <c r="D1352">
        <v>103728</v>
      </c>
      <c r="E1352">
        <v>1317472288</v>
      </c>
      <c r="F1352">
        <v>12362</v>
      </c>
      <c r="G1352">
        <v>12500</v>
      </c>
      <c r="H1352">
        <v>12732</v>
      </c>
      <c r="I1352">
        <v>370</v>
      </c>
      <c r="J1352">
        <v>2.99</v>
      </c>
      <c r="K1352">
        <v>12701</v>
      </c>
      <c r="L1352">
        <v>339</v>
      </c>
      <c r="M1352">
        <v>2.74</v>
      </c>
      <c r="N1352">
        <v>12500</v>
      </c>
      <c r="O1352">
        <v>12732</v>
      </c>
      <c r="P1352" t="s">
        <v>192</v>
      </c>
      <c r="Q1352" t="s">
        <v>192</v>
      </c>
      <c r="R1352">
        <v>3</v>
      </c>
      <c r="S1352">
        <v>860016</v>
      </c>
      <c r="T1352">
        <v>12732</v>
      </c>
      <c r="U1352">
        <v>13392</v>
      </c>
      <c r="V1352">
        <v>383</v>
      </c>
      <c r="W1352">
        <v>1</v>
      </c>
      <c r="X1352" s="367"/>
    </row>
    <row r="1353" spans="1:24">
      <c r="A1353" t="s">
        <v>3210</v>
      </c>
      <c r="B1353" t="s">
        <v>3211</v>
      </c>
      <c r="C1353">
        <v>24</v>
      </c>
      <c r="D1353">
        <v>1576071</v>
      </c>
      <c r="E1353">
        <v>27436232028</v>
      </c>
      <c r="F1353">
        <v>17381</v>
      </c>
      <c r="G1353">
        <v>17407</v>
      </c>
      <c r="H1353">
        <v>17408</v>
      </c>
      <c r="I1353">
        <v>27</v>
      </c>
      <c r="J1353">
        <v>0.16</v>
      </c>
      <c r="K1353">
        <v>17408</v>
      </c>
      <c r="L1353">
        <v>27</v>
      </c>
      <c r="M1353">
        <v>0.16</v>
      </c>
      <c r="N1353">
        <v>17407</v>
      </c>
      <c r="O1353">
        <v>17408</v>
      </c>
      <c r="P1353" t="s">
        <v>192</v>
      </c>
      <c r="Q1353" t="s">
        <v>192</v>
      </c>
      <c r="R1353">
        <v>4</v>
      </c>
      <c r="S1353">
        <v>19992214</v>
      </c>
      <c r="T1353">
        <v>17407</v>
      </c>
      <c r="U1353">
        <v>17408</v>
      </c>
      <c r="V1353">
        <v>8437581</v>
      </c>
      <c r="W1353">
        <v>1</v>
      </c>
      <c r="X1353" s="367"/>
    </row>
    <row r="1354" spans="1:24">
      <c r="A1354" t="s">
        <v>3212</v>
      </c>
      <c r="B1354" t="s">
        <v>3213</v>
      </c>
      <c r="C1354">
        <v>0</v>
      </c>
      <c r="D1354">
        <v>0</v>
      </c>
      <c r="E1354">
        <v>0</v>
      </c>
      <c r="F1354">
        <v>1000000</v>
      </c>
      <c r="G1354">
        <v>0</v>
      </c>
      <c r="H1354">
        <v>1000000</v>
      </c>
      <c r="I1354">
        <v>0</v>
      </c>
      <c r="J1354">
        <v>0</v>
      </c>
      <c r="K1354">
        <v>1000000</v>
      </c>
      <c r="L1354">
        <v>0</v>
      </c>
      <c r="M1354">
        <v>0</v>
      </c>
      <c r="N1354">
        <v>0</v>
      </c>
      <c r="O1354">
        <v>0</v>
      </c>
      <c r="P1354" t="s">
        <v>192</v>
      </c>
      <c r="Q1354" t="s">
        <v>192</v>
      </c>
      <c r="R1354">
        <v>1</v>
      </c>
      <c r="S1354">
        <v>5000</v>
      </c>
      <c r="T1354">
        <v>1000000</v>
      </c>
      <c r="U1354">
        <v>0</v>
      </c>
      <c r="V1354">
        <v>0</v>
      </c>
      <c r="W1354">
        <v>0</v>
      </c>
      <c r="X1354" s="367"/>
    </row>
    <row r="1355" spans="1:24">
      <c r="A1355" t="s">
        <v>3214</v>
      </c>
      <c r="B1355" t="s">
        <v>3215</v>
      </c>
      <c r="C1355">
        <v>282</v>
      </c>
      <c r="D1355">
        <v>39068918</v>
      </c>
      <c r="E1355">
        <v>959612137855</v>
      </c>
      <c r="F1355">
        <v>24528</v>
      </c>
      <c r="G1355">
        <v>24562</v>
      </c>
      <c r="H1355">
        <v>24563</v>
      </c>
      <c r="I1355">
        <v>35</v>
      </c>
      <c r="J1355">
        <v>0.14000000000000001</v>
      </c>
      <c r="K1355">
        <v>24562</v>
      </c>
      <c r="L1355">
        <v>34</v>
      </c>
      <c r="M1355">
        <v>0.14000000000000001</v>
      </c>
      <c r="N1355">
        <v>24562</v>
      </c>
      <c r="O1355">
        <v>24563</v>
      </c>
      <c r="P1355" t="s">
        <v>192</v>
      </c>
      <c r="Q1355" t="s">
        <v>192</v>
      </c>
      <c r="R1355">
        <v>2</v>
      </c>
      <c r="S1355">
        <v>197551502</v>
      </c>
      <c r="T1355">
        <v>24562</v>
      </c>
      <c r="U1355">
        <v>24563</v>
      </c>
      <c r="V1355">
        <v>49044094</v>
      </c>
      <c r="W1355">
        <v>1</v>
      </c>
      <c r="X1355" s="367"/>
    </row>
    <row r="1356" spans="1:24">
      <c r="A1356" t="s">
        <v>2988</v>
      </c>
      <c r="B1356" t="s">
        <v>2987</v>
      </c>
      <c r="C1356">
        <v>85</v>
      </c>
      <c r="D1356">
        <v>2416967</v>
      </c>
      <c r="E1356">
        <v>10373820000</v>
      </c>
      <c r="F1356">
        <v>4220</v>
      </c>
      <c r="G1356">
        <v>4300</v>
      </c>
      <c r="H1356">
        <v>4300</v>
      </c>
      <c r="I1356">
        <v>80</v>
      </c>
      <c r="J1356">
        <v>1.9</v>
      </c>
      <c r="K1356">
        <v>4290</v>
      </c>
      <c r="L1356">
        <v>70</v>
      </c>
      <c r="M1356">
        <v>1.66</v>
      </c>
      <c r="N1356">
        <v>4230</v>
      </c>
      <c r="O1356">
        <v>4300</v>
      </c>
      <c r="P1356">
        <v>487</v>
      </c>
      <c r="Q1356">
        <v>8.81</v>
      </c>
      <c r="R1356">
        <v>1</v>
      </c>
      <c r="S1356">
        <v>39585</v>
      </c>
      <c r="T1356">
        <v>4270</v>
      </c>
      <c r="U1356">
        <v>4300</v>
      </c>
      <c r="V1356">
        <v>1317223</v>
      </c>
      <c r="W1356">
        <v>5</v>
      </c>
      <c r="X1356" s="367"/>
    </row>
    <row r="1357" spans="1:24">
      <c r="A1357" t="s">
        <v>2918</v>
      </c>
      <c r="B1357" t="s">
        <v>2917</v>
      </c>
      <c r="C1357">
        <v>92</v>
      </c>
      <c r="D1357">
        <v>11914463</v>
      </c>
      <c r="E1357">
        <v>21814936564</v>
      </c>
      <c r="F1357">
        <v>1778</v>
      </c>
      <c r="G1357">
        <v>1831</v>
      </c>
      <c r="H1357">
        <v>1831</v>
      </c>
      <c r="I1357">
        <v>53</v>
      </c>
      <c r="J1357">
        <v>2.98</v>
      </c>
      <c r="K1357">
        <v>1831</v>
      </c>
      <c r="L1357">
        <v>53</v>
      </c>
      <c r="M1357">
        <v>2.98</v>
      </c>
      <c r="N1357">
        <v>1821</v>
      </c>
      <c r="O1357">
        <v>1831</v>
      </c>
      <c r="P1357">
        <v>62</v>
      </c>
      <c r="Q1357">
        <v>29.53</v>
      </c>
      <c r="R1357">
        <v>1</v>
      </c>
      <c r="S1357">
        <v>27400</v>
      </c>
      <c r="T1357">
        <v>1831</v>
      </c>
      <c r="U1357">
        <v>0</v>
      </c>
      <c r="V1357">
        <v>0</v>
      </c>
      <c r="W1357">
        <v>0</v>
      </c>
      <c r="X1357" s="367"/>
    </row>
    <row r="1358" spans="1:24">
      <c r="A1358" t="s">
        <v>3018</v>
      </c>
      <c r="B1358" t="s">
        <v>3017</v>
      </c>
      <c r="C1358">
        <v>275</v>
      </c>
      <c r="D1358">
        <v>8339813</v>
      </c>
      <c r="E1358">
        <v>170048787070</v>
      </c>
      <c r="F1358">
        <v>19800</v>
      </c>
      <c r="G1358">
        <v>20390</v>
      </c>
      <c r="H1358">
        <v>20390</v>
      </c>
      <c r="I1358">
        <v>590</v>
      </c>
      <c r="J1358">
        <v>2.98</v>
      </c>
      <c r="K1358">
        <v>20390</v>
      </c>
      <c r="L1358">
        <v>590</v>
      </c>
      <c r="M1358">
        <v>2.98</v>
      </c>
      <c r="N1358">
        <v>20390</v>
      </c>
      <c r="O1358">
        <v>20390</v>
      </c>
      <c r="P1358">
        <v>998</v>
      </c>
      <c r="Q1358">
        <v>20.43</v>
      </c>
      <c r="R1358">
        <v>108</v>
      </c>
      <c r="S1358">
        <v>4932180</v>
      </c>
      <c r="T1358">
        <v>20390</v>
      </c>
      <c r="U1358">
        <v>0</v>
      </c>
      <c r="V1358">
        <v>0</v>
      </c>
      <c r="W1358">
        <v>0</v>
      </c>
      <c r="X1358" s="367"/>
    </row>
    <row r="1359" spans="1:24">
      <c r="A1359" t="s">
        <v>3216</v>
      </c>
      <c r="B1359" t="s">
        <v>3217</v>
      </c>
      <c r="C1359">
        <v>0</v>
      </c>
      <c r="D1359">
        <v>0</v>
      </c>
      <c r="E1359">
        <v>0</v>
      </c>
      <c r="F1359">
        <v>1000000</v>
      </c>
      <c r="G1359">
        <v>0</v>
      </c>
      <c r="H1359">
        <v>1000000</v>
      </c>
      <c r="I1359">
        <v>0</v>
      </c>
      <c r="J1359">
        <v>0</v>
      </c>
      <c r="K1359">
        <v>1000000</v>
      </c>
      <c r="L1359">
        <v>0</v>
      </c>
      <c r="M1359">
        <v>0</v>
      </c>
      <c r="N1359">
        <v>0</v>
      </c>
      <c r="O1359">
        <v>0</v>
      </c>
      <c r="P1359" t="s">
        <v>192</v>
      </c>
      <c r="Q1359" t="s">
        <v>192</v>
      </c>
      <c r="R1359">
        <v>1</v>
      </c>
      <c r="S1359">
        <v>5000</v>
      </c>
      <c r="T1359">
        <v>1000000</v>
      </c>
      <c r="U1359">
        <v>0</v>
      </c>
      <c r="V1359">
        <v>0</v>
      </c>
      <c r="W1359">
        <v>0</v>
      </c>
      <c r="X1359" s="367"/>
    </row>
    <row r="1360" spans="1:24">
      <c r="A1360" t="s">
        <v>3218</v>
      </c>
      <c r="B1360" t="s">
        <v>3219</v>
      </c>
      <c r="C1360">
        <v>0</v>
      </c>
      <c r="D1360">
        <v>0</v>
      </c>
      <c r="E1360">
        <v>0</v>
      </c>
      <c r="F1360">
        <v>1030000</v>
      </c>
      <c r="G1360">
        <v>0</v>
      </c>
      <c r="H1360">
        <v>1030000</v>
      </c>
      <c r="I1360">
        <v>0</v>
      </c>
      <c r="J1360">
        <v>0</v>
      </c>
      <c r="K1360">
        <v>1030000</v>
      </c>
      <c r="L1360">
        <v>0</v>
      </c>
      <c r="M1360">
        <v>0</v>
      </c>
      <c r="N1360">
        <v>0</v>
      </c>
      <c r="O1360">
        <v>0</v>
      </c>
      <c r="P1360" t="s">
        <v>192</v>
      </c>
      <c r="Q1360" t="s">
        <v>192</v>
      </c>
      <c r="R1360">
        <v>1</v>
      </c>
      <c r="S1360">
        <v>5000</v>
      </c>
      <c r="T1360">
        <v>1024850</v>
      </c>
      <c r="U1360">
        <v>1035150</v>
      </c>
      <c r="V1360">
        <v>5000</v>
      </c>
      <c r="W1360">
        <v>1</v>
      </c>
      <c r="X1360" s="367"/>
    </row>
    <row r="1361" spans="1:24">
      <c r="A1361" t="s">
        <v>3220</v>
      </c>
      <c r="B1361" t="s">
        <v>3221</v>
      </c>
      <c r="C1361">
        <v>0</v>
      </c>
      <c r="D1361">
        <v>0</v>
      </c>
      <c r="E1361">
        <v>0</v>
      </c>
      <c r="F1361">
        <v>1000000</v>
      </c>
      <c r="G1361">
        <v>0</v>
      </c>
      <c r="H1361">
        <v>1000000</v>
      </c>
      <c r="I1361">
        <v>0</v>
      </c>
      <c r="J1361">
        <v>0</v>
      </c>
      <c r="K1361">
        <v>1000000</v>
      </c>
      <c r="L1361">
        <v>0</v>
      </c>
      <c r="M1361">
        <v>0</v>
      </c>
      <c r="N1361">
        <v>0</v>
      </c>
      <c r="O1361">
        <v>0</v>
      </c>
      <c r="P1361" t="s">
        <v>192</v>
      </c>
      <c r="Q1361" t="s">
        <v>192</v>
      </c>
      <c r="R1361">
        <v>1</v>
      </c>
      <c r="S1361">
        <v>5000</v>
      </c>
      <c r="T1361">
        <v>1000000</v>
      </c>
      <c r="U1361">
        <v>0</v>
      </c>
      <c r="V1361">
        <v>0</v>
      </c>
      <c r="W1361">
        <v>0</v>
      </c>
      <c r="X1361" s="367"/>
    </row>
    <row r="1362" spans="1:24">
      <c r="A1362" t="s">
        <v>35</v>
      </c>
      <c r="B1362" t="s">
        <v>34</v>
      </c>
      <c r="C1362">
        <v>261</v>
      </c>
      <c r="D1362">
        <v>9483832</v>
      </c>
      <c r="E1362">
        <v>51781722720</v>
      </c>
      <c r="F1362">
        <v>5310</v>
      </c>
      <c r="G1362">
        <v>5460</v>
      </c>
      <c r="H1362">
        <v>5460</v>
      </c>
      <c r="I1362">
        <v>150</v>
      </c>
      <c r="J1362">
        <v>2.82</v>
      </c>
      <c r="K1362">
        <v>5460</v>
      </c>
      <c r="L1362">
        <v>150</v>
      </c>
      <c r="M1362">
        <v>2.82</v>
      </c>
      <c r="N1362">
        <v>5460</v>
      </c>
      <c r="O1362">
        <v>5460</v>
      </c>
      <c r="P1362">
        <v>989</v>
      </c>
      <c r="Q1362">
        <v>5.52</v>
      </c>
      <c r="R1362">
        <v>81</v>
      </c>
      <c r="S1362">
        <v>4597242</v>
      </c>
      <c r="T1362">
        <v>5460</v>
      </c>
      <c r="U1362">
        <v>5470</v>
      </c>
      <c r="V1362">
        <v>38722</v>
      </c>
      <c r="W1362">
        <v>1</v>
      </c>
      <c r="X1362" s="367"/>
    </row>
    <row r="1363" spans="1:24">
      <c r="A1363" t="s">
        <v>3222</v>
      </c>
      <c r="B1363" t="s">
        <v>3223</v>
      </c>
      <c r="C1363">
        <v>0</v>
      </c>
      <c r="D1363">
        <v>0</v>
      </c>
      <c r="E1363">
        <v>0</v>
      </c>
      <c r="F1363">
        <v>1000000</v>
      </c>
      <c r="G1363">
        <v>0</v>
      </c>
      <c r="H1363">
        <v>1000000</v>
      </c>
      <c r="I1363">
        <v>0</v>
      </c>
      <c r="J1363">
        <v>0</v>
      </c>
      <c r="K1363">
        <v>1000000</v>
      </c>
      <c r="L1363">
        <v>0</v>
      </c>
      <c r="M1363">
        <v>0</v>
      </c>
      <c r="N1363">
        <v>0</v>
      </c>
      <c r="O1363">
        <v>0</v>
      </c>
      <c r="P1363" t="s">
        <v>192</v>
      </c>
      <c r="Q1363" t="s">
        <v>192</v>
      </c>
      <c r="R1363">
        <v>1</v>
      </c>
      <c r="S1363">
        <v>5000</v>
      </c>
      <c r="T1363">
        <v>1000000</v>
      </c>
      <c r="U1363">
        <v>1010000</v>
      </c>
      <c r="V1363">
        <v>5000</v>
      </c>
      <c r="W1363">
        <v>1</v>
      </c>
      <c r="X1363" s="367"/>
    </row>
    <row r="1364" spans="1:24">
      <c r="A1364" t="s">
        <v>3224</v>
      </c>
      <c r="B1364" t="s">
        <v>3225</v>
      </c>
      <c r="C1364">
        <v>0</v>
      </c>
      <c r="D1364">
        <v>0</v>
      </c>
      <c r="E1364">
        <v>0</v>
      </c>
      <c r="F1364">
        <v>1000000</v>
      </c>
      <c r="G1364">
        <v>0</v>
      </c>
      <c r="H1364">
        <v>1000000</v>
      </c>
      <c r="I1364">
        <v>0</v>
      </c>
      <c r="J1364">
        <v>0</v>
      </c>
      <c r="K1364">
        <v>1000000</v>
      </c>
      <c r="L1364">
        <v>0</v>
      </c>
      <c r="M1364">
        <v>0</v>
      </c>
      <c r="N1364">
        <v>0</v>
      </c>
      <c r="O1364">
        <v>0</v>
      </c>
      <c r="P1364" t="s">
        <v>192</v>
      </c>
      <c r="Q1364" t="s">
        <v>192</v>
      </c>
      <c r="R1364">
        <v>1</v>
      </c>
      <c r="S1364">
        <v>27000</v>
      </c>
      <c r="T1364">
        <v>970000</v>
      </c>
      <c r="U1364">
        <v>0</v>
      </c>
      <c r="V1364">
        <v>0</v>
      </c>
      <c r="W1364">
        <v>0</v>
      </c>
      <c r="X1364" s="367"/>
    </row>
    <row r="1365" spans="1:24">
      <c r="A1365" t="s">
        <v>2809</v>
      </c>
      <c r="B1365" t="s">
        <v>2808</v>
      </c>
      <c r="C1365">
        <v>20</v>
      </c>
      <c r="D1365">
        <v>170232</v>
      </c>
      <c r="E1365">
        <v>1715938560</v>
      </c>
      <c r="F1365">
        <v>9790</v>
      </c>
      <c r="G1365">
        <v>10080</v>
      </c>
      <c r="H1365">
        <v>10080</v>
      </c>
      <c r="I1365">
        <v>290</v>
      </c>
      <c r="J1365">
        <v>2.96</v>
      </c>
      <c r="K1365">
        <v>10080</v>
      </c>
      <c r="L1365">
        <v>290</v>
      </c>
      <c r="M1365">
        <v>2.96</v>
      </c>
      <c r="N1365">
        <v>10080</v>
      </c>
      <c r="O1365">
        <v>10080</v>
      </c>
      <c r="P1365">
        <v>-579</v>
      </c>
      <c r="Q1365">
        <v>-17.41</v>
      </c>
      <c r="R1365">
        <v>7</v>
      </c>
      <c r="S1365">
        <v>366000</v>
      </c>
      <c r="T1365">
        <v>10080</v>
      </c>
      <c r="U1365">
        <v>11850</v>
      </c>
      <c r="V1365">
        <v>3870</v>
      </c>
      <c r="W1365">
        <v>1</v>
      </c>
      <c r="X1365" s="367"/>
    </row>
    <row r="1366" spans="1:24">
      <c r="A1366" t="s">
        <v>1949</v>
      </c>
      <c r="B1366" t="s">
        <v>1948</v>
      </c>
      <c r="C1366">
        <v>2339</v>
      </c>
      <c r="D1366">
        <v>454896339</v>
      </c>
      <c r="E1366">
        <v>313317104806</v>
      </c>
      <c r="F1366">
        <v>672</v>
      </c>
      <c r="G1366">
        <v>692</v>
      </c>
      <c r="H1366">
        <v>692</v>
      </c>
      <c r="I1366">
        <v>20</v>
      </c>
      <c r="J1366">
        <v>2.98</v>
      </c>
      <c r="K1366">
        <v>689</v>
      </c>
      <c r="L1366">
        <v>17</v>
      </c>
      <c r="M1366">
        <v>2.5299999999999998</v>
      </c>
      <c r="N1366">
        <v>680</v>
      </c>
      <c r="O1366">
        <v>692</v>
      </c>
      <c r="P1366">
        <v>199</v>
      </c>
      <c r="Q1366">
        <v>3.46</v>
      </c>
      <c r="R1366">
        <v>21</v>
      </c>
      <c r="S1366">
        <v>20990322</v>
      </c>
      <c r="T1366">
        <v>692</v>
      </c>
      <c r="U1366">
        <v>0</v>
      </c>
      <c r="V1366">
        <v>0</v>
      </c>
      <c r="W1366">
        <v>0</v>
      </c>
      <c r="X1366" s="367"/>
    </row>
    <row r="1367" spans="1:24">
      <c r="A1367" t="s">
        <v>1839</v>
      </c>
      <c r="B1367" t="s">
        <v>1838</v>
      </c>
      <c r="C1367">
        <v>652</v>
      </c>
      <c r="D1367">
        <v>30437002</v>
      </c>
      <c r="E1367">
        <v>107416579040</v>
      </c>
      <c r="F1367">
        <v>3440</v>
      </c>
      <c r="G1367">
        <v>3540</v>
      </c>
      <c r="H1367">
        <v>3540</v>
      </c>
      <c r="I1367">
        <v>100</v>
      </c>
      <c r="J1367">
        <v>2.91</v>
      </c>
      <c r="K1367">
        <v>3530</v>
      </c>
      <c r="L1367">
        <v>90</v>
      </c>
      <c r="M1367">
        <v>2.62</v>
      </c>
      <c r="N1367">
        <v>3490</v>
      </c>
      <c r="O1367">
        <v>3540</v>
      </c>
      <c r="P1367">
        <v>830</v>
      </c>
      <c r="Q1367">
        <v>4.25</v>
      </c>
      <c r="R1367">
        <v>3</v>
      </c>
      <c r="S1367">
        <v>69210</v>
      </c>
      <c r="T1367">
        <v>3520</v>
      </c>
      <c r="U1367">
        <v>3540</v>
      </c>
      <c r="V1367">
        <v>498243</v>
      </c>
      <c r="W1367">
        <v>10</v>
      </c>
      <c r="X1367" s="367"/>
    </row>
    <row r="1368" spans="1:24">
      <c r="A1368" t="s">
        <v>2115</v>
      </c>
      <c r="B1368" t="s">
        <v>2114</v>
      </c>
      <c r="C1368">
        <v>96</v>
      </c>
      <c r="D1368">
        <v>11436992</v>
      </c>
      <c r="E1368">
        <v>22816799040</v>
      </c>
      <c r="F1368">
        <v>1937</v>
      </c>
      <c r="G1368">
        <v>1995</v>
      </c>
      <c r="H1368">
        <v>1995</v>
      </c>
      <c r="I1368">
        <v>58</v>
      </c>
      <c r="J1368">
        <v>2.99</v>
      </c>
      <c r="K1368">
        <v>1995</v>
      </c>
      <c r="L1368">
        <v>58</v>
      </c>
      <c r="M1368">
        <v>2.99</v>
      </c>
      <c r="N1368">
        <v>1995</v>
      </c>
      <c r="O1368">
        <v>1995</v>
      </c>
      <c r="P1368">
        <v>130</v>
      </c>
      <c r="Q1368">
        <v>15.35</v>
      </c>
      <c r="R1368">
        <v>18</v>
      </c>
      <c r="S1368">
        <v>4070391</v>
      </c>
      <c r="T1368">
        <v>1995</v>
      </c>
      <c r="U1368">
        <v>2033</v>
      </c>
      <c r="V1368">
        <v>40000</v>
      </c>
      <c r="W1368">
        <v>1</v>
      </c>
      <c r="X1368" s="367"/>
    </row>
    <row r="1369" spans="1:24">
      <c r="A1369" t="s">
        <v>3226</v>
      </c>
      <c r="B1369" t="s">
        <v>3227</v>
      </c>
      <c r="C1369">
        <v>0</v>
      </c>
      <c r="D1369">
        <v>0</v>
      </c>
      <c r="E1369">
        <v>0</v>
      </c>
      <c r="F1369">
        <v>1000000</v>
      </c>
      <c r="G1369">
        <v>0</v>
      </c>
      <c r="H1369">
        <v>1000000</v>
      </c>
      <c r="I1369">
        <v>0</v>
      </c>
      <c r="J1369">
        <v>0</v>
      </c>
      <c r="K1369">
        <v>1000000</v>
      </c>
      <c r="L1369">
        <v>0</v>
      </c>
      <c r="M1369">
        <v>0</v>
      </c>
      <c r="N1369">
        <v>0</v>
      </c>
      <c r="O1369">
        <v>0</v>
      </c>
      <c r="P1369" t="s">
        <v>192</v>
      </c>
      <c r="Q1369" t="s">
        <v>192</v>
      </c>
      <c r="R1369">
        <v>1</v>
      </c>
      <c r="S1369">
        <v>40000</v>
      </c>
      <c r="T1369">
        <v>995000</v>
      </c>
      <c r="U1369">
        <v>1004950</v>
      </c>
      <c r="V1369">
        <v>5000</v>
      </c>
      <c r="W1369">
        <v>1</v>
      </c>
      <c r="X1369" s="367"/>
    </row>
    <row r="1370" spans="1:24">
      <c r="A1370" t="s">
        <v>3228</v>
      </c>
      <c r="B1370" t="s">
        <v>3229</v>
      </c>
      <c r="C1370">
        <v>0</v>
      </c>
      <c r="D1370">
        <v>0</v>
      </c>
      <c r="E1370">
        <v>0</v>
      </c>
      <c r="F1370">
        <v>830000</v>
      </c>
      <c r="G1370">
        <v>0</v>
      </c>
      <c r="H1370">
        <v>830000</v>
      </c>
      <c r="I1370">
        <v>0</v>
      </c>
      <c r="J1370">
        <v>0</v>
      </c>
      <c r="K1370">
        <v>830000</v>
      </c>
      <c r="L1370">
        <v>0</v>
      </c>
      <c r="M1370">
        <v>0</v>
      </c>
      <c r="N1370">
        <v>0</v>
      </c>
      <c r="O1370">
        <v>0</v>
      </c>
      <c r="P1370" t="s">
        <v>192</v>
      </c>
      <c r="Q1370" t="s">
        <v>192</v>
      </c>
      <c r="R1370">
        <v>1</v>
      </c>
      <c r="S1370">
        <v>1875</v>
      </c>
      <c r="T1370">
        <v>805100</v>
      </c>
      <c r="U1370">
        <v>0</v>
      </c>
      <c r="V1370">
        <v>0</v>
      </c>
      <c r="W1370">
        <v>0</v>
      </c>
      <c r="X1370" s="367"/>
    </row>
    <row r="1371" spans="1:24">
      <c r="A1371" t="s">
        <v>2234</v>
      </c>
      <c r="B1371" t="s">
        <v>2233</v>
      </c>
      <c r="C1371">
        <v>55</v>
      </c>
      <c r="D1371">
        <v>198979</v>
      </c>
      <c r="E1371">
        <v>2855141000</v>
      </c>
      <c r="F1371">
        <v>13940</v>
      </c>
      <c r="G1371">
        <v>14340</v>
      </c>
      <c r="H1371">
        <v>14350</v>
      </c>
      <c r="I1371">
        <v>410</v>
      </c>
      <c r="J1371">
        <v>2.94</v>
      </c>
      <c r="K1371">
        <v>14350</v>
      </c>
      <c r="L1371">
        <v>410</v>
      </c>
      <c r="M1371">
        <v>2.94</v>
      </c>
      <c r="N1371">
        <v>14340</v>
      </c>
      <c r="O1371">
        <v>14350</v>
      </c>
      <c r="P1371">
        <v>-478</v>
      </c>
      <c r="Q1371">
        <v>-30.02</v>
      </c>
      <c r="R1371">
        <v>5</v>
      </c>
      <c r="S1371">
        <v>264753</v>
      </c>
      <c r="T1371">
        <v>14350</v>
      </c>
      <c r="U1371">
        <v>0</v>
      </c>
      <c r="V1371">
        <v>0</v>
      </c>
      <c r="W1371">
        <v>0</v>
      </c>
      <c r="X1371" s="367"/>
    </row>
    <row r="1372" spans="1:24">
      <c r="A1372" t="s">
        <v>3230</v>
      </c>
      <c r="B1372" t="s">
        <v>3231</v>
      </c>
      <c r="C1372">
        <v>178</v>
      </c>
      <c r="D1372">
        <v>2113713</v>
      </c>
      <c r="E1372">
        <v>43068313393</v>
      </c>
      <c r="F1372">
        <v>19806</v>
      </c>
      <c r="G1372">
        <v>20400</v>
      </c>
      <c r="H1372">
        <v>20400</v>
      </c>
      <c r="I1372">
        <v>594</v>
      </c>
      <c r="J1372">
        <v>3</v>
      </c>
      <c r="K1372">
        <v>20376</v>
      </c>
      <c r="L1372">
        <v>570</v>
      </c>
      <c r="M1372">
        <v>2.88</v>
      </c>
      <c r="N1372">
        <v>20008</v>
      </c>
      <c r="O1372">
        <v>20400</v>
      </c>
      <c r="P1372" t="s">
        <v>192</v>
      </c>
      <c r="Q1372" t="s">
        <v>192</v>
      </c>
      <c r="R1372">
        <v>2</v>
      </c>
      <c r="S1372">
        <v>5050</v>
      </c>
      <c r="T1372">
        <v>20344</v>
      </c>
      <c r="U1372">
        <v>21659</v>
      </c>
      <c r="V1372">
        <v>5</v>
      </c>
      <c r="W1372">
        <v>1</v>
      </c>
      <c r="X1372" s="367"/>
    </row>
    <row r="1373" spans="1:24">
      <c r="A1373" t="s">
        <v>3232</v>
      </c>
      <c r="B1373" t="s">
        <v>3233</v>
      </c>
      <c r="C1373">
        <v>0</v>
      </c>
      <c r="D1373">
        <v>0</v>
      </c>
      <c r="E1373">
        <v>0</v>
      </c>
      <c r="F1373">
        <v>1000000</v>
      </c>
      <c r="G1373">
        <v>0</v>
      </c>
      <c r="H1373">
        <v>1000000</v>
      </c>
      <c r="I1373">
        <v>0</v>
      </c>
      <c r="J1373">
        <v>0</v>
      </c>
      <c r="K1373">
        <v>1000000</v>
      </c>
      <c r="L1373">
        <v>0</v>
      </c>
      <c r="M1373">
        <v>0</v>
      </c>
      <c r="N1373">
        <v>0</v>
      </c>
      <c r="O1373">
        <v>0</v>
      </c>
      <c r="P1373" t="s">
        <v>192</v>
      </c>
      <c r="Q1373" t="s">
        <v>192</v>
      </c>
      <c r="R1373">
        <v>1</v>
      </c>
      <c r="S1373">
        <v>5000</v>
      </c>
      <c r="T1373">
        <v>995000</v>
      </c>
      <c r="U1373">
        <v>0</v>
      </c>
      <c r="V1373">
        <v>0</v>
      </c>
      <c r="W1373">
        <v>0</v>
      </c>
      <c r="X1373" s="367"/>
    </row>
    <row r="1374" spans="1:24">
      <c r="A1374" t="s">
        <v>3234</v>
      </c>
      <c r="B1374" t="s">
        <v>3235</v>
      </c>
      <c r="C1374">
        <v>0</v>
      </c>
      <c r="D1374">
        <v>0</v>
      </c>
      <c r="E1374">
        <v>0</v>
      </c>
      <c r="F1374">
        <v>1000000</v>
      </c>
      <c r="G1374">
        <v>0</v>
      </c>
      <c r="H1374">
        <v>1000000</v>
      </c>
      <c r="I1374">
        <v>0</v>
      </c>
      <c r="J1374">
        <v>0</v>
      </c>
      <c r="K1374">
        <v>1000000</v>
      </c>
      <c r="L1374">
        <v>0</v>
      </c>
      <c r="M1374">
        <v>0</v>
      </c>
      <c r="N1374">
        <v>0</v>
      </c>
      <c r="O1374">
        <v>0</v>
      </c>
      <c r="P1374" t="s">
        <v>192</v>
      </c>
      <c r="Q1374" t="s">
        <v>192</v>
      </c>
      <c r="R1374">
        <v>1</v>
      </c>
      <c r="S1374">
        <v>20000</v>
      </c>
      <c r="T1374">
        <v>995000</v>
      </c>
      <c r="U1374">
        <v>1004950</v>
      </c>
      <c r="V1374">
        <v>20000</v>
      </c>
      <c r="W1374">
        <v>1</v>
      </c>
      <c r="X1374" s="367"/>
    </row>
    <row r="1375" spans="1:24">
      <c r="A1375" t="s">
        <v>3236</v>
      </c>
      <c r="B1375" t="s">
        <v>3237</v>
      </c>
      <c r="C1375">
        <v>0</v>
      </c>
      <c r="D1375">
        <v>0</v>
      </c>
      <c r="E1375">
        <v>0</v>
      </c>
      <c r="F1375">
        <v>1000000</v>
      </c>
      <c r="G1375">
        <v>0</v>
      </c>
      <c r="H1375">
        <v>1000000</v>
      </c>
      <c r="I1375">
        <v>0</v>
      </c>
      <c r="J1375">
        <v>0</v>
      </c>
      <c r="K1375">
        <v>1000000</v>
      </c>
      <c r="L1375">
        <v>0</v>
      </c>
      <c r="M1375">
        <v>0</v>
      </c>
      <c r="N1375">
        <v>0</v>
      </c>
      <c r="O1375">
        <v>0</v>
      </c>
      <c r="P1375" t="s">
        <v>192</v>
      </c>
      <c r="Q1375" t="s">
        <v>192</v>
      </c>
      <c r="R1375">
        <v>1</v>
      </c>
      <c r="S1375">
        <v>5000</v>
      </c>
      <c r="T1375">
        <v>1000000</v>
      </c>
      <c r="U1375">
        <v>1010000</v>
      </c>
      <c r="V1375">
        <v>5000</v>
      </c>
      <c r="W1375">
        <v>1</v>
      </c>
      <c r="X1375" s="367"/>
    </row>
    <row r="1376" spans="1:24">
      <c r="A1376" t="s">
        <v>3238</v>
      </c>
      <c r="B1376" t="s">
        <v>3239</v>
      </c>
      <c r="C1376">
        <v>0</v>
      </c>
      <c r="D1376">
        <v>0</v>
      </c>
      <c r="E1376">
        <v>0</v>
      </c>
      <c r="F1376">
        <v>990000</v>
      </c>
      <c r="G1376">
        <v>0</v>
      </c>
      <c r="H1376">
        <v>990000</v>
      </c>
      <c r="I1376">
        <v>0</v>
      </c>
      <c r="J1376">
        <v>0</v>
      </c>
      <c r="K1376">
        <v>990000</v>
      </c>
      <c r="L1376">
        <v>0</v>
      </c>
      <c r="M1376">
        <v>0</v>
      </c>
      <c r="N1376">
        <v>0</v>
      </c>
      <c r="O1376">
        <v>0</v>
      </c>
      <c r="P1376" t="s">
        <v>192</v>
      </c>
      <c r="Q1376" t="s">
        <v>192</v>
      </c>
      <c r="R1376">
        <v>1</v>
      </c>
      <c r="S1376">
        <v>50000</v>
      </c>
      <c r="T1376">
        <v>990000</v>
      </c>
      <c r="U1376">
        <v>1000000</v>
      </c>
      <c r="V1376">
        <v>49853</v>
      </c>
      <c r="W1376">
        <v>1</v>
      </c>
      <c r="X1376" s="367"/>
    </row>
    <row r="1377" spans="1:24">
      <c r="A1377" t="s">
        <v>3240</v>
      </c>
      <c r="B1377" t="s">
        <v>3241</v>
      </c>
      <c r="C1377">
        <v>0</v>
      </c>
      <c r="D1377">
        <v>0</v>
      </c>
      <c r="E1377">
        <v>0</v>
      </c>
      <c r="F1377">
        <v>1000000</v>
      </c>
      <c r="G1377">
        <v>0</v>
      </c>
      <c r="H1377">
        <v>1000000</v>
      </c>
      <c r="I1377">
        <v>0</v>
      </c>
      <c r="J1377">
        <v>0</v>
      </c>
      <c r="K1377">
        <v>1000000</v>
      </c>
      <c r="L1377">
        <v>0</v>
      </c>
      <c r="M1377">
        <v>0</v>
      </c>
      <c r="N1377">
        <v>0</v>
      </c>
      <c r="O1377">
        <v>0</v>
      </c>
      <c r="P1377" t="s">
        <v>192</v>
      </c>
      <c r="Q1377" t="s">
        <v>192</v>
      </c>
      <c r="R1377">
        <v>1</v>
      </c>
      <c r="S1377">
        <v>100000</v>
      </c>
      <c r="T1377">
        <v>1000000</v>
      </c>
      <c r="U1377">
        <v>0</v>
      </c>
      <c r="V1377">
        <v>0</v>
      </c>
      <c r="W1377">
        <v>0</v>
      </c>
      <c r="X1377" s="367"/>
    </row>
    <row r="1378" spans="1:24">
      <c r="A1378" t="s">
        <v>7679</v>
      </c>
      <c r="B1378" t="s">
        <v>7680</v>
      </c>
      <c r="C1378">
        <v>2</v>
      </c>
      <c r="D1378">
        <v>44500</v>
      </c>
      <c r="E1378">
        <v>44500000000</v>
      </c>
      <c r="F1378">
        <v>1000000</v>
      </c>
      <c r="G1378">
        <v>1000000</v>
      </c>
      <c r="H1378">
        <v>1000000</v>
      </c>
      <c r="I1378">
        <v>0</v>
      </c>
      <c r="J1378">
        <v>0</v>
      </c>
      <c r="K1378">
        <v>1000000</v>
      </c>
      <c r="L1378">
        <v>0</v>
      </c>
      <c r="M1378">
        <v>0</v>
      </c>
      <c r="N1378">
        <v>1000000</v>
      </c>
      <c r="O1378">
        <v>1000000</v>
      </c>
      <c r="P1378" t="s">
        <v>192</v>
      </c>
      <c r="Q1378" t="s">
        <v>192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 s="367"/>
    </row>
    <row r="1379" spans="1:24">
      <c r="A1379" t="s">
        <v>3242</v>
      </c>
      <c r="B1379" t="s">
        <v>3243</v>
      </c>
      <c r="C1379">
        <v>0</v>
      </c>
      <c r="D1379">
        <v>0</v>
      </c>
      <c r="E1379">
        <v>0</v>
      </c>
      <c r="F1379">
        <v>1000000</v>
      </c>
      <c r="G1379">
        <v>0</v>
      </c>
      <c r="H1379">
        <v>1000000</v>
      </c>
      <c r="I1379">
        <v>0</v>
      </c>
      <c r="J1379">
        <v>0</v>
      </c>
      <c r="K1379">
        <v>1000000</v>
      </c>
      <c r="L1379">
        <v>0</v>
      </c>
      <c r="M1379">
        <v>0</v>
      </c>
      <c r="N1379">
        <v>0</v>
      </c>
      <c r="O1379">
        <v>0</v>
      </c>
      <c r="P1379" t="s">
        <v>192</v>
      </c>
      <c r="Q1379" t="s">
        <v>192</v>
      </c>
      <c r="R1379">
        <v>1</v>
      </c>
      <c r="S1379">
        <v>5000</v>
      </c>
      <c r="T1379">
        <v>995000</v>
      </c>
      <c r="U1379">
        <v>1005000</v>
      </c>
      <c r="V1379">
        <v>5000</v>
      </c>
      <c r="W1379">
        <v>1</v>
      </c>
      <c r="X1379" s="367"/>
    </row>
    <row r="1380" spans="1:24">
      <c r="A1380" t="s">
        <v>2855</v>
      </c>
      <c r="B1380" t="s">
        <v>2854</v>
      </c>
      <c r="C1380">
        <v>699</v>
      </c>
      <c r="D1380">
        <v>24985537</v>
      </c>
      <c r="E1380">
        <v>98017764440</v>
      </c>
      <c r="F1380">
        <v>3820</v>
      </c>
      <c r="G1380">
        <v>3930</v>
      </c>
      <c r="H1380">
        <v>3910</v>
      </c>
      <c r="I1380">
        <v>90</v>
      </c>
      <c r="J1380">
        <v>2.36</v>
      </c>
      <c r="K1380">
        <v>3920</v>
      </c>
      <c r="L1380">
        <v>100</v>
      </c>
      <c r="M1380">
        <v>2.62</v>
      </c>
      <c r="N1380">
        <v>3870</v>
      </c>
      <c r="O1380">
        <v>3930</v>
      </c>
      <c r="P1380">
        <v>586</v>
      </c>
      <c r="Q1380">
        <v>6.69</v>
      </c>
      <c r="R1380">
        <v>2</v>
      </c>
      <c r="S1380">
        <v>13191</v>
      </c>
      <c r="T1380">
        <v>3890</v>
      </c>
      <c r="U1380">
        <v>3930</v>
      </c>
      <c r="V1380">
        <v>101874</v>
      </c>
      <c r="W1380">
        <v>1</v>
      </c>
      <c r="X1380" s="367"/>
    </row>
    <row r="1381" spans="1:24">
      <c r="A1381" t="s">
        <v>3119</v>
      </c>
      <c r="B1381" t="s">
        <v>3118</v>
      </c>
      <c r="C1381">
        <v>870</v>
      </c>
      <c r="D1381">
        <v>41792690</v>
      </c>
      <c r="E1381">
        <v>59190364524</v>
      </c>
      <c r="F1381">
        <v>1376</v>
      </c>
      <c r="G1381">
        <v>1417</v>
      </c>
      <c r="H1381">
        <v>1417</v>
      </c>
      <c r="I1381">
        <v>41</v>
      </c>
      <c r="J1381">
        <v>2.98</v>
      </c>
      <c r="K1381">
        <v>1416</v>
      </c>
      <c r="L1381">
        <v>40</v>
      </c>
      <c r="M1381">
        <v>2.91</v>
      </c>
      <c r="N1381">
        <v>1404</v>
      </c>
      <c r="O1381">
        <v>1417</v>
      </c>
      <c r="P1381">
        <v>427</v>
      </c>
      <c r="Q1381">
        <v>3.32</v>
      </c>
      <c r="R1381">
        <v>9</v>
      </c>
      <c r="S1381">
        <v>3719250</v>
      </c>
      <c r="T1381">
        <v>1417</v>
      </c>
      <c r="U1381">
        <v>1515</v>
      </c>
      <c r="V1381">
        <v>380</v>
      </c>
      <c r="W1381">
        <v>1</v>
      </c>
      <c r="X1381" s="367"/>
    </row>
    <row r="1382" spans="1:24">
      <c r="A1382" t="s">
        <v>2472</v>
      </c>
      <c r="B1382" t="s">
        <v>2470</v>
      </c>
      <c r="C1382">
        <v>1</v>
      </c>
      <c r="D1382">
        <v>10000</v>
      </c>
      <c r="E1382">
        <v>56800000</v>
      </c>
      <c r="F1382">
        <v>5520</v>
      </c>
      <c r="G1382">
        <v>5680</v>
      </c>
      <c r="H1382">
        <v>5680</v>
      </c>
      <c r="I1382">
        <v>160</v>
      </c>
      <c r="J1382">
        <v>2.9</v>
      </c>
      <c r="K1382">
        <v>5680</v>
      </c>
      <c r="L1382">
        <v>160</v>
      </c>
      <c r="M1382">
        <v>2.9</v>
      </c>
      <c r="N1382">
        <v>5680</v>
      </c>
      <c r="O1382">
        <v>5680</v>
      </c>
      <c r="P1382">
        <v>698</v>
      </c>
      <c r="Q1382">
        <v>8.14</v>
      </c>
      <c r="R1382">
        <v>10</v>
      </c>
      <c r="S1382">
        <v>223936</v>
      </c>
      <c r="T1382">
        <v>5680</v>
      </c>
      <c r="U1382">
        <v>0</v>
      </c>
      <c r="V1382">
        <v>0</v>
      </c>
      <c r="W1382">
        <v>0</v>
      </c>
      <c r="X1382" s="367"/>
    </row>
    <row r="1383" spans="1:24">
      <c r="A1383" t="s">
        <v>2076</v>
      </c>
      <c r="B1383" t="s">
        <v>2075</v>
      </c>
      <c r="C1383">
        <v>36</v>
      </c>
      <c r="D1383">
        <v>493776</v>
      </c>
      <c r="E1383">
        <v>11035855200</v>
      </c>
      <c r="F1383">
        <v>21700</v>
      </c>
      <c r="G1383">
        <v>22350</v>
      </c>
      <c r="H1383">
        <v>22350</v>
      </c>
      <c r="I1383">
        <v>650</v>
      </c>
      <c r="J1383">
        <v>3</v>
      </c>
      <c r="K1383">
        <v>22350</v>
      </c>
      <c r="L1383">
        <v>650</v>
      </c>
      <c r="M1383">
        <v>3</v>
      </c>
      <c r="N1383">
        <v>22050</v>
      </c>
      <c r="O1383">
        <v>22350</v>
      </c>
      <c r="P1383">
        <v>2944</v>
      </c>
      <c r="Q1383">
        <v>7.59</v>
      </c>
      <c r="R1383">
        <v>1</v>
      </c>
      <c r="S1383">
        <v>100000</v>
      </c>
      <c r="T1383">
        <v>22120</v>
      </c>
      <c r="U1383">
        <v>0</v>
      </c>
      <c r="V1383">
        <v>0</v>
      </c>
      <c r="W1383">
        <v>0</v>
      </c>
      <c r="X1383" s="367"/>
    </row>
    <row r="1384" spans="1:24">
      <c r="A1384" t="s">
        <v>8807</v>
      </c>
      <c r="B1384" t="s">
        <v>134</v>
      </c>
      <c r="C1384">
        <v>21</v>
      </c>
      <c r="D1384">
        <v>411461</v>
      </c>
      <c r="E1384">
        <v>5781027050</v>
      </c>
      <c r="F1384">
        <v>13680</v>
      </c>
      <c r="G1384">
        <v>14050</v>
      </c>
      <c r="H1384">
        <v>14050</v>
      </c>
      <c r="I1384">
        <v>370</v>
      </c>
      <c r="J1384">
        <v>2.7</v>
      </c>
      <c r="K1384">
        <v>14050</v>
      </c>
      <c r="L1384">
        <v>370</v>
      </c>
      <c r="M1384">
        <v>2.7</v>
      </c>
      <c r="N1384">
        <v>14050</v>
      </c>
      <c r="O1384">
        <v>14050</v>
      </c>
      <c r="P1384">
        <v>1506</v>
      </c>
      <c r="Q1384">
        <v>9.33</v>
      </c>
      <c r="R1384">
        <v>0</v>
      </c>
      <c r="S1384">
        <v>0</v>
      </c>
      <c r="T1384">
        <v>0</v>
      </c>
      <c r="U1384">
        <v>14050</v>
      </c>
      <c r="V1384">
        <v>28395</v>
      </c>
      <c r="W1384">
        <v>4</v>
      </c>
      <c r="X1384" s="367"/>
    </row>
    <row r="1385" spans="1:24">
      <c r="A1385" t="s">
        <v>3245</v>
      </c>
      <c r="B1385" t="s">
        <v>3246</v>
      </c>
      <c r="C1385">
        <v>193</v>
      </c>
      <c r="D1385">
        <v>2495938</v>
      </c>
      <c r="E1385">
        <v>34903643781</v>
      </c>
      <c r="F1385">
        <v>14003</v>
      </c>
      <c r="G1385">
        <v>13960</v>
      </c>
      <c r="H1385">
        <v>13906</v>
      </c>
      <c r="I1385">
        <v>-97</v>
      </c>
      <c r="J1385">
        <v>-0.69</v>
      </c>
      <c r="K1385">
        <v>13984</v>
      </c>
      <c r="L1385">
        <v>-19</v>
      </c>
      <c r="M1385">
        <v>-0.14000000000000001</v>
      </c>
      <c r="N1385">
        <v>13877</v>
      </c>
      <c r="O1385">
        <v>14170</v>
      </c>
      <c r="P1385" t="s">
        <v>192</v>
      </c>
      <c r="Q1385" t="s">
        <v>192</v>
      </c>
      <c r="R1385">
        <v>1</v>
      </c>
      <c r="S1385">
        <v>500</v>
      </c>
      <c r="T1385">
        <v>13908</v>
      </c>
      <c r="U1385">
        <v>13910</v>
      </c>
      <c r="V1385">
        <v>3000</v>
      </c>
      <c r="W1385">
        <v>1</v>
      </c>
      <c r="X1385" s="367"/>
    </row>
    <row r="1386" spans="1:24">
      <c r="A1386" t="s">
        <v>3247</v>
      </c>
      <c r="B1386" t="s">
        <v>3248</v>
      </c>
      <c r="C1386">
        <v>0</v>
      </c>
      <c r="D1386">
        <v>0</v>
      </c>
      <c r="E1386">
        <v>0</v>
      </c>
      <c r="F1386">
        <v>1000000</v>
      </c>
      <c r="G1386">
        <v>0</v>
      </c>
      <c r="H1386">
        <v>1000000</v>
      </c>
      <c r="I1386">
        <v>0</v>
      </c>
      <c r="J1386">
        <v>0</v>
      </c>
      <c r="K1386">
        <v>1000000</v>
      </c>
      <c r="L1386">
        <v>0</v>
      </c>
      <c r="M1386">
        <v>0</v>
      </c>
      <c r="N1386">
        <v>0</v>
      </c>
      <c r="O1386">
        <v>0</v>
      </c>
      <c r="P1386" t="s">
        <v>192</v>
      </c>
      <c r="Q1386" t="s">
        <v>192</v>
      </c>
      <c r="R1386">
        <v>1</v>
      </c>
      <c r="S1386">
        <v>5000</v>
      </c>
      <c r="T1386">
        <v>1000000</v>
      </c>
      <c r="U1386">
        <v>0</v>
      </c>
      <c r="V1386">
        <v>0</v>
      </c>
      <c r="W1386">
        <v>0</v>
      </c>
      <c r="X1386" s="367"/>
    </row>
    <row r="1387" spans="1:24">
      <c r="A1387" t="s">
        <v>8808</v>
      </c>
      <c r="B1387" t="s">
        <v>2550</v>
      </c>
      <c r="C1387">
        <v>11</v>
      </c>
      <c r="D1387">
        <v>150000</v>
      </c>
      <c r="E1387">
        <v>940500000</v>
      </c>
      <c r="F1387">
        <v>6210</v>
      </c>
      <c r="G1387">
        <v>6270</v>
      </c>
      <c r="H1387">
        <v>6270</v>
      </c>
      <c r="I1387">
        <v>60</v>
      </c>
      <c r="J1387">
        <v>0.97</v>
      </c>
      <c r="K1387">
        <v>6270</v>
      </c>
      <c r="L1387">
        <v>60</v>
      </c>
      <c r="M1387">
        <v>0.97</v>
      </c>
      <c r="N1387">
        <v>6270</v>
      </c>
      <c r="O1387">
        <v>6270</v>
      </c>
      <c r="P1387">
        <v>1184</v>
      </c>
      <c r="Q1387">
        <v>5.3</v>
      </c>
      <c r="R1387">
        <v>0</v>
      </c>
      <c r="S1387">
        <v>0</v>
      </c>
      <c r="T1387">
        <v>0</v>
      </c>
      <c r="U1387">
        <v>6270</v>
      </c>
      <c r="V1387">
        <v>595748</v>
      </c>
      <c r="W1387">
        <v>2</v>
      </c>
      <c r="X1387" s="367"/>
    </row>
    <row r="1388" spans="1:24">
      <c r="A1388" t="s">
        <v>223</v>
      </c>
      <c r="B1388" t="s">
        <v>222</v>
      </c>
      <c r="C1388">
        <v>4527</v>
      </c>
      <c r="D1388">
        <v>3398819177</v>
      </c>
      <c r="E1388">
        <v>1978112761014</v>
      </c>
      <c r="F1388">
        <v>566</v>
      </c>
      <c r="G1388">
        <v>582</v>
      </c>
      <c r="H1388">
        <v>582</v>
      </c>
      <c r="I1388">
        <v>16</v>
      </c>
      <c r="J1388">
        <v>2.83</v>
      </c>
      <c r="K1388">
        <v>582</v>
      </c>
      <c r="L1388">
        <v>16</v>
      </c>
      <c r="M1388">
        <v>2.83</v>
      </c>
      <c r="N1388">
        <v>582</v>
      </c>
      <c r="O1388">
        <v>582</v>
      </c>
      <c r="P1388">
        <v>-49</v>
      </c>
      <c r="Q1388">
        <v>-11.88</v>
      </c>
      <c r="R1388">
        <v>402</v>
      </c>
      <c r="S1388">
        <v>281346572</v>
      </c>
      <c r="T1388">
        <v>582</v>
      </c>
      <c r="U1388">
        <v>582</v>
      </c>
      <c r="V1388">
        <v>3000000</v>
      </c>
      <c r="W1388">
        <v>1</v>
      </c>
      <c r="X1388" s="367"/>
    </row>
    <row r="1389" spans="1:24">
      <c r="A1389" t="s">
        <v>51</v>
      </c>
      <c r="B1389" t="s">
        <v>50</v>
      </c>
      <c r="C1389">
        <v>80</v>
      </c>
      <c r="D1389">
        <v>1798081</v>
      </c>
      <c r="E1389">
        <v>26269963410</v>
      </c>
      <c r="F1389">
        <v>14190</v>
      </c>
      <c r="G1389">
        <v>14610</v>
      </c>
      <c r="H1389">
        <v>14610</v>
      </c>
      <c r="I1389">
        <v>420</v>
      </c>
      <c r="J1389">
        <v>2.96</v>
      </c>
      <c r="K1389">
        <v>14610</v>
      </c>
      <c r="L1389">
        <v>420</v>
      </c>
      <c r="M1389">
        <v>2.96</v>
      </c>
      <c r="N1389">
        <v>14610</v>
      </c>
      <c r="O1389">
        <v>14610</v>
      </c>
      <c r="P1389">
        <v>2372</v>
      </c>
      <c r="Q1389">
        <v>6.16</v>
      </c>
      <c r="R1389">
        <v>69</v>
      </c>
      <c r="S1389">
        <v>1603405</v>
      </c>
      <c r="T1389">
        <v>14610</v>
      </c>
      <c r="U1389">
        <v>14870</v>
      </c>
      <c r="V1389">
        <v>3040</v>
      </c>
      <c r="W1389">
        <v>1</v>
      </c>
      <c r="X1389" s="367"/>
    </row>
    <row r="1390" spans="1:24">
      <c r="A1390" t="s">
        <v>8809</v>
      </c>
      <c r="B1390" t="s">
        <v>2195</v>
      </c>
      <c r="C1390">
        <v>11</v>
      </c>
      <c r="D1390">
        <v>599580</v>
      </c>
      <c r="E1390">
        <v>1647645840</v>
      </c>
      <c r="F1390">
        <v>2719</v>
      </c>
      <c r="G1390">
        <v>2748</v>
      </c>
      <c r="H1390">
        <v>2748</v>
      </c>
      <c r="I1390">
        <v>29</v>
      </c>
      <c r="J1390">
        <v>1.07</v>
      </c>
      <c r="K1390">
        <v>2748</v>
      </c>
      <c r="L1390">
        <v>29</v>
      </c>
      <c r="M1390">
        <v>1.07</v>
      </c>
      <c r="N1390">
        <v>2748</v>
      </c>
      <c r="O1390">
        <v>2748</v>
      </c>
      <c r="P1390">
        <v>100</v>
      </c>
      <c r="Q1390">
        <v>27.48</v>
      </c>
      <c r="R1390">
        <v>11</v>
      </c>
      <c r="S1390">
        <v>361957</v>
      </c>
      <c r="T1390">
        <v>2748</v>
      </c>
      <c r="U1390">
        <v>0</v>
      </c>
      <c r="V1390">
        <v>0</v>
      </c>
      <c r="W1390">
        <v>0</v>
      </c>
      <c r="X1390" s="367"/>
    </row>
    <row r="1391" spans="1:24">
      <c r="A1391" t="s">
        <v>2382</v>
      </c>
      <c r="B1391" t="s">
        <v>2381</v>
      </c>
      <c r="C1391">
        <v>53</v>
      </c>
      <c r="D1391">
        <v>55177</v>
      </c>
      <c r="E1391">
        <v>2132591050</v>
      </c>
      <c r="F1391">
        <v>37530</v>
      </c>
      <c r="G1391">
        <v>38650</v>
      </c>
      <c r="H1391">
        <v>38650</v>
      </c>
      <c r="I1391">
        <v>1120</v>
      </c>
      <c r="J1391">
        <v>2.98</v>
      </c>
      <c r="K1391">
        <v>38650</v>
      </c>
      <c r="L1391">
        <v>1120</v>
      </c>
      <c r="M1391">
        <v>2.98</v>
      </c>
      <c r="N1391">
        <v>38650</v>
      </c>
      <c r="O1391">
        <v>38650</v>
      </c>
      <c r="P1391">
        <v>2066</v>
      </c>
      <c r="Q1391">
        <v>18.71</v>
      </c>
      <c r="R1391">
        <v>183</v>
      </c>
      <c r="S1391">
        <v>4050804</v>
      </c>
      <c r="T1391">
        <v>38650</v>
      </c>
      <c r="U1391">
        <v>0</v>
      </c>
      <c r="V1391">
        <v>0</v>
      </c>
      <c r="W1391">
        <v>0</v>
      </c>
      <c r="X1391" s="367"/>
    </row>
    <row r="1392" spans="1:24">
      <c r="A1392" t="s">
        <v>3249</v>
      </c>
      <c r="B1392" t="s">
        <v>3250</v>
      </c>
      <c r="C1392">
        <v>0</v>
      </c>
      <c r="D1392">
        <v>0</v>
      </c>
      <c r="E1392">
        <v>0</v>
      </c>
      <c r="F1392">
        <v>959540</v>
      </c>
      <c r="G1392">
        <v>0</v>
      </c>
      <c r="H1392">
        <v>959540</v>
      </c>
      <c r="I1392">
        <v>0</v>
      </c>
      <c r="J1392">
        <v>0</v>
      </c>
      <c r="K1392">
        <v>959540</v>
      </c>
      <c r="L1392">
        <v>0</v>
      </c>
      <c r="M1392">
        <v>0</v>
      </c>
      <c r="N1392">
        <v>0</v>
      </c>
      <c r="O1392">
        <v>0</v>
      </c>
      <c r="P1392" t="s">
        <v>192</v>
      </c>
      <c r="Q1392" t="s">
        <v>192</v>
      </c>
      <c r="R1392">
        <v>1</v>
      </c>
      <c r="S1392">
        <v>5000</v>
      </c>
      <c r="T1392">
        <v>990000</v>
      </c>
      <c r="U1392">
        <v>1000000</v>
      </c>
      <c r="V1392">
        <v>5000</v>
      </c>
      <c r="W1392">
        <v>1</v>
      </c>
      <c r="X1392" s="367"/>
    </row>
    <row r="1393" spans="1:24">
      <c r="A1393" t="s">
        <v>3251</v>
      </c>
      <c r="B1393" t="s">
        <v>3252</v>
      </c>
      <c r="C1393">
        <v>3</v>
      </c>
      <c r="D1393">
        <v>105190</v>
      </c>
      <c r="E1393">
        <v>2584312110</v>
      </c>
      <c r="F1393">
        <v>24561</v>
      </c>
      <c r="G1393">
        <v>24569</v>
      </c>
      <c r="H1393">
        <v>24568</v>
      </c>
      <c r="I1393">
        <v>7</v>
      </c>
      <c r="J1393">
        <v>0.03</v>
      </c>
      <c r="K1393">
        <v>24568</v>
      </c>
      <c r="L1393">
        <v>7</v>
      </c>
      <c r="M1393">
        <v>0.03</v>
      </c>
      <c r="N1393">
        <v>24568</v>
      </c>
      <c r="O1393">
        <v>24569</v>
      </c>
      <c r="P1393" t="s">
        <v>192</v>
      </c>
      <c r="Q1393" t="s">
        <v>192</v>
      </c>
      <c r="R1393">
        <v>2</v>
      </c>
      <c r="S1393">
        <v>1899000</v>
      </c>
      <c r="T1393">
        <v>24568</v>
      </c>
      <c r="U1393">
        <v>24569</v>
      </c>
      <c r="V1393">
        <v>595810</v>
      </c>
      <c r="W1393">
        <v>3</v>
      </c>
      <c r="X1393" s="367"/>
    </row>
    <row r="1394" spans="1:24">
      <c r="A1394" t="s">
        <v>3253</v>
      </c>
      <c r="B1394" t="s">
        <v>3254</v>
      </c>
      <c r="C1394">
        <v>0</v>
      </c>
      <c r="D1394">
        <v>0</v>
      </c>
      <c r="E1394">
        <v>0</v>
      </c>
      <c r="F1394">
        <v>1000000</v>
      </c>
      <c r="G1394">
        <v>0</v>
      </c>
      <c r="H1394">
        <v>1000000</v>
      </c>
      <c r="I1394">
        <v>0</v>
      </c>
      <c r="J1394">
        <v>0</v>
      </c>
      <c r="K1394">
        <v>1000000</v>
      </c>
      <c r="L1394">
        <v>0</v>
      </c>
      <c r="M1394">
        <v>0</v>
      </c>
      <c r="N1394">
        <v>0</v>
      </c>
      <c r="O1394">
        <v>0</v>
      </c>
      <c r="P1394" t="s">
        <v>192</v>
      </c>
      <c r="Q1394" t="s">
        <v>192</v>
      </c>
      <c r="R1394">
        <v>1</v>
      </c>
      <c r="S1394">
        <v>4000</v>
      </c>
      <c r="T1394">
        <v>1000000</v>
      </c>
      <c r="U1394">
        <v>0</v>
      </c>
      <c r="V1394">
        <v>0</v>
      </c>
      <c r="W1394">
        <v>0</v>
      </c>
      <c r="X1394" s="367"/>
    </row>
    <row r="1395" spans="1:24">
      <c r="A1395" t="s">
        <v>3255</v>
      </c>
      <c r="B1395" t="s">
        <v>3256</v>
      </c>
      <c r="C1395">
        <v>0</v>
      </c>
      <c r="D1395">
        <v>0</v>
      </c>
      <c r="E1395">
        <v>0</v>
      </c>
      <c r="F1395">
        <v>940900</v>
      </c>
      <c r="G1395">
        <v>0</v>
      </c>
      <c r="H1395">
        <v>940900</v>
      </c>
      <c r="I1395">
        <v>0</v>
      </c>
      <c r="J1395">
        <v>0</v>
      </c>
      <c r="K1395">
        <v>940900</v>
      </c>
      <c r="L1395">
        <v>0</v>
      </c>
      <c r="M1395">
        <v>0</v>
      </c>
      <c r="N1395">
        <v>0</v>
      </c>
      <c r="O1395">
        <v>0</v>
      </c>
      <c r="P1395" t="s">
        <v>192</v>
      </c>
      <c r="Q1395" t="s">
        <v>192</v>
      </c>
      <c r="R1395">
        <v>1</v>
      </c>
      <c r="S1395">
        <v>5000</v>
      </c>
      <c r="T1395">
        <v>940900</v>
      </c>
      <c r="U1395">
        <v>0</v>
      </c>
      <c r="V1395">
        <v>0</v>
      </c>
      <c r="W1395">
        <v>0</v>
      </c>
      <c r="X1395" s="367"/>
    </row>
    <row r="1396" spans="1:24">
      <c r="A1396" t="s">
        <v>3257</v>
      </c>
      <c r="B1396" t="s">
        <v>3258</v>
      </c>
      <c r="C1396">
        <v>0</v>
      </c>
      <c r="D1396">
        <v>0</v>
      </c>
      <c r="E1396">
        <v>0</v>
      </c>
      <c r="F1396">
        <v>1000000</v>
      </c>
      <c r="G1396">
        <v>0</v>
      </c>
      <c r="H1396">
        <v>1000000</v>
      </c>
      <c r="I1396">
        <v>0</v>
      </c>
      <c r="J1396">
        <v>0</v>
      </c>
      <c r="K1396">
        <v>1000000</v>
      </c>
      <c r="L1396">
        <v>0</v>
      </c>
      <c r="M1396">
        <v>0</v>
      </c>
      <c r="N1396">
        <v>0</v>
      </c>
      <c r="O1396">
        <v>0</v>
      </c>
      <c r="P1396" t="s">
        <v>192</v>
      </c>
      <c r="Q1396" t="s">
        <v>192</v>
      </c>
      <c r="R1396">
        <v>1</v>
      </c>
      <c r="S1396">
        <v>7500</v>
      </c>
      <c r="T1396">
        <v>1000000</v>
      </c>
      <c r="U1396">
        <v>1010000</v>
      </c>
      <c r="V1396">
        <v>7500</v>
      </c>
      <c r="W1396">
        <v>1</v>
      </c>
      <c r="X1396" s="367"/>
    </row>
    <row r="1397" spans="1:24">
      <c r="A1397" t="s">
        <v>3259</v>
      </c>
      <c r="B1397" t="s">
        <v>3260</v>
      </c>
      <c r="C1397">
        <v>4900</v>
      </c>
      <c r="D1397">
        <v>98423186</v>
      </c>
      <c r="E1397">
        <v>1080490604243</v>
      </c>
      <c r="F1397">
        <v>10812</v>
      </c>
      <c r="G1397">
        <v>11100</v>
      </c>
      <c r="H1397">
        <v>10992</v>
      </c>
      <c r="I1397">
        <v>180</v>
      </c>
      <c r="J1397">
        <v>1.66</v>
      </c>
      <c r="K1397">
        <v>10978</v>
      </c>
      <c r="L1397">
        <v>166</v>
      </c>
      <c r="M1397">
        <v>1.54</v>
      </c>
      <c r="N1397">
        <v>10890</v>
      </c>
      <c r="O1397">
        <v>11107</v>
      </c>
      <c r="P1397" t="s">
        <v>192</v>
      </c>
      <c r="Q1397" t="s">
        <v>192</v>
      </c>
      <c r="R1397">
        <v>1</v>
      </c>
      <c r="S1397">
        <v>13643</v>
      </c>
      <c r="T1397">
        <v>10992</v>
      </c>
      <c r="U1397">
        <v>10994</v>
      </c>
      <c r="V1397">
        <v>176791</v>
      </c>
      <c r="W1397">
        <v>3</v>
      </c>
      <c r="X1397" s="367"/>
    </row>
    <row r="1398" spans="1:24">
      <c r="A1398" t="s">
        <v>3261</v>
      </c>
      <c r="B1398" t="s">
        <v>3262</v>
      </c>
      <c r="C1398">
        <v>1542</v>
      </c>
      <c r="D1398">
        <v>14369418</v>
      </c>
      <c r="E1398">
        <v>470483468225</v>
      </c>
      <c r="F1398">
        <v>32971</v>
      </c>
      <c r="G1398">
        <v>32950</v>
      </c>
      <c r="H1398">
        <v>32726</v>
      </c>
      <c r="I1398">
        <v>-245</v>
      </c>
      <c r="J1398">
        <v>-0.74</v>
      </c>
      <c r="K1398">
        <v>32742</v>
      </c>
      <c r="L1398">
        <v>-229</v>
      </c>
      <c r="M1398">
        <v>-0.69</v>
      </c>
      <c r="N1398">
        <v>32680</v>
      </c>
      <c r="O1398">
        <v>32950</v>
      </c>
      <c r="P1398" t="s">
        <v>192</v>
      </c>
      <c r="Q1398" t="s">
        <v>192</v>
      </c>
      <c r="R1398">
        <v>1</v>
      </c>
      <c r="S1398">
        <v>8486</v>
      </c>
      <c r="T1398">
        <v>32726</v>
      </c>
      <c r="U1398">
        <v>32751</v>
      </c>
      <c r="V1398">
        <v>38025</v>
      </c>
      <c r="W1398">
        <v>2</v>
      </c>
      <c r="X1398" s="367"/>
    </row>
    <row r="1399" spans="1:24">
      <c r="A1399" t="s">
        <v>3263</v>
      </c>
      <c r="B1399" t="s">
        <v>3264</v>
      </c>
      <c r="C1399">
        <v>0</v>
      </c>
      <c r="D1399">
        <v>0</v>
      </c>
      <c r="E1399">
        <v>0</v>
      </c>
      <c r="F1399">
        <v>1000000</v>
      </c>
      <c r="G1399">
        <v>0</v>
      </c>
      <c r="H1399">
        <v>1000000</v>
      </c>
      <c r="I1399">
        <v>0</v>
      </c>
      <c r="J1399">
        <v>0</v>
      </c>
      <c r="K1399">
        <v>1000000</v>
      </c>
      <c r="L1399">
        <v>0</v>
      </c>
      <c r="M1399">
        <v>0</v>
      </c>
      <c r="N1399">
        <v>0</v>
      </c>
      <c r="O1399">
        <v>0</v>
      </c>
      <c r="P1399" t="s">
        <v>192</v>
      </c>
      <c r="Q1399" t="s">
        <v>192</v>
      </c>
      <c r="R1399">
        <v>1</v>
      </c>
      <c r="S1399">
        <v>10000</v>
      </c>
      <c r="T1399">
        <v>1000000</v>
      </c>
      <c r="U1399">
        <v>0</v>
      </c>
      <c r="V1399">
        <v>0</v>
      </c>
      <c r="W1399">
        <v>0</v>
      </c>
      <c r="X1399" s="367"/>
    </row>
    <row r="1400" spans="1:24">
      <c r="A1400" t="s">
        <v>3265</v>
      </c>
      <c r="B1400" t="s">
        <v>3266</v>
      </c>
      <c r="C1400">
        <v>0</v>
      </c>
      <c r="D1400">
        <v>0</v>
      </c>
      <c r="E1400">
        <v>0</v>
      </c>
      <c r="F1400">
        <v>957000</v>
      </c>
      <c r="G1400">
        <v>0</v>
      </c>
      <c r="H1400">
        <v>957000</v>
      </c>
      <c r="I1400">
        <v>0</v>
      </c>
      <c r="J1400">
        <v>0</v>
      </c>
      <c r="K1400">
        <v>957000</v>
      </c>
      <c r="L1400">
        <v>0</v>
      </c>
      <c r="M1400">
        <v>0</v>
      </c>
      <c r="N1400">
        <v>0</v>
      </c>
      <c r="O1400">
        <v>0</v>
      </c>
      <c r="P1400" t="s">
        <v>192</v>
      </c>
      <c r="Q1400" t="s">
        <v>192</v>
      </c>
      <c r="R1400">
        <v>1</v>
      </c>
      <c r="S1400">
        <v>20000</v>
      </c>
      <c r="T1400">
        <v>915680</v>
      </c>
      <c r="U1400">
        <v>0</v>
      </c>
      <c r="V1400">
        <v>0</v>
      </c>
      <c r="W1400">
        <v>0</v>
      </c>
      <c r="X1400" s="367"/>
    </row>
    <row r="1401" spans="1:24">
      <c r="A1401" t="s">
        <v>8810</v>
      </c>
      <c r="B1401" t="s">
        <v>2150</v>
      </c>
      <c r="C1401">
        <v>1</v>
      </c>
      <c r="D1401">
        <v>1000</v>
      </c>
      <c r="E1401">
        <v>15290000</v>
      </c>
      <c r="F1401">
        <v>14850</v>
      </c>
      <c r="G1401">
        <v>15290</v>
      </c>
      <c r="H1401">
        <v>15290</v>
      </c>
      <c r="I1401">
        <v>440</v>
      </c>
      <c r="J1401">
        <v>2.96</v>
      </c>
      <c r="K1401">
        <v>15290</v>
      </c>
      <c r="L1401">
        <v>440</v>
      </c>
      <c r="M1401">
        <v>2.96</v>
      </c>
      <c r="N1401">
        <v>15290</v>
      </c>
      <c r="O1401">
        <v>15290</v>
      </c>
      <c r="P1401">
        <v>-286</v>
      </c>
      <c r="Q1401">
        <v>-53.46</v>
      </c>
      <c r="R1401">
        <v>1</v>
      </c>
      <c r="S1401">
        <v>6242</v>
      </c>
      <c r="T1401">
        <v>15290</v>
      </c>
      <c r="U1401">
        <v>0</v>
      </c>
      <c r="V1401">
        <v>0</v>
      </c>
      <c r="W1401">
        <v>0</v>
      </c>
      <c r="X1401" s="367"/>
    </row>
    <row r="1402" spans="1:24">
      <c r="A1402" t="s">
        <v>7794</v>
      </c>
      <c r="B1402" t="s">
        <v>7795</v>
      </c>
      <c r="C1402">
        <v>0</v>
      </c>
      <c r="D1402">
        <v>0</v>
      </c>
      <c r="E1402">
        <v>0</v>
      </c>
      <c r="F1402">
        <v>1000000</v>
      </c>
      <c r="G1402">
        <v>0</v>
      </c>
      <c r="H1402">
        <v>1000000</v>
      </c>
      <c r="I1402">
        <v>0</v>
      </c>
      <c r="J1402">
        <v>0</v>
      </c>
      <c r="K1402">
        <v>1000000</v>
      </c>
      <c r="L1402">
        <v>0</v>
      </c>
      <c r="M1402">
        <v>0</v>
      </c>
      <c r="N1402">
        <v>0</v>
      </c>
      <c r="O1402">
        <v>0</v>
      </c>
      <c r="P1402" t="s">
        <v>192</v>
      </c>
      <c r="Q1402" t="s">
        <v>192</v>
      </c>
      <c r="R1402">
        <v>1</v>
      </c>
      <c r="S1402">
        <v>50000</v>
      </c>
      <c r="T1402">
        <v>970000</v>
      </c>
      <c r="U1402">
        <v>0</v>
      </c>
      <c r="V1402">
        <v>0</v>
      </c>
      <c r="W1402">
        <v>0</v>
      </c>
      <c r="X1402" s="367"/>
    </row>
    <row r="1403" spans="1:24">
      <c r="A1403" t="s">
        <v>8811</v>
      </c>
      <c r="B1403" t="s">
        <v>106</v>
      </c>
      <c r="C1403">
        <v>1</v>
      </c>
      <c r="D1403">
        <v>71</v>
      </c>
      <c r="E1403">
        <v>3249670</v>
      </c>
      <c r="F1403">
        <v>44440</v>
      </c>
      <c r="G1403">
        <v>45770</v>
      </c>
      <c r="H1403">
        <v>45770</v>
      </c>
      <c r="I1403">
        <v>1330</v>
      </c>
      <c r="J1403">
        <v>2.99</v>
      </c>
      <c r="K1403">
        <v>45770</v>
      </c>
      <c r="L1403">
        <v>1330</v>
      </c>
      <c r="M1403">
        <v>2.99</v>
      </c>
      <c r="N1403">
        <v>45770</v>
      </c>
      <c r="O1403">
        <v>45770</v>
      </c>
      <c r="P1403">
        <v>7903</v>
      </c>
      <c r="Q1403">
        <v>5.79</v>
      </c>
      <c r="R1403">
        <v>10</v>
      </c>
      <c r="S1403">
        <v>46694</v>
      </c>
      <c r="T1403">
        <v>45770</v>
      </c>
      <c r="U1403">
        <v>0</v>
      </c>
      <c r="V1403">
        <v>0</v>
      </c>
      <c r="W1403">
        <v>0</v>
      </c>
      <c r="X1403" s="367"/>
    </row>
    <row r="1404" spans="1:24">
      <c r="A1404" t="s">
        <v>3268</v>
      </c>
      <c r="B1404" t="s">
        <v>3269</v>
      </c>
      <c r="C1404">
        <v>0</v>
      </c>
      <c r="D1404">
        <v>0</v>
      </c>
      <c r="E1404">
        <v>0</v>
      </c>
      <c r="F1404">
        <v>1000000</v>
      </c>
      <c r="G1404">
        <v>0</v>
      </c>
      <c r="H1404">
        <v>1000000</v>
      </c>
      <c r="I1404">
        <v>0</v>
      </c>
      <c r="J1404">
        <v>0</v>
      </c>
      <c r="K1404">
        <v>1000000</v>
      </c>
      <c r="L1404">
        <v>0</v>
      </c>
      <c r="M1404">
        <v>0</v>
      </c>
      <c r="N1404">
        <v>0</v>
      </c>
      <c r="O1404">
        <v>0</v>
      </c>
      <c r="P1404" t="s">
        <v>192</v>
      </c>
      <c r="Q1404" t="s">
        <v>192</v>
      </c>
      <c r="R1404">
        <v>1</v>
      </c>
      <c r="S1404">
        <v>5000</v>
      </c>
      <c r="T1404">
        <v>995000</v>
      </c>
      <c r="U1404">
        <v>1005000</v>
      </c>
      <c r="V1404">
        <v>5000</v>
      </c>
      <c r="W1404">
        <v>1</v>
      </c>
      <c r="X1404" s="367"/>
    </row>
    <row r="1405" spans="1:24">
      <c r="A1405" t="s">
        <v>2907</v>
      </c>
      <c r="B1405" t="s">
        <v>2906</v>
      </c>
      <c r="C1405">
        <v>569</v>
      </c>
      <c r="D1405">
        <v>44132881</v>
      </c>
      <c r="E1405">
        <v>209516128490</v>
      </c>
      <c r="F1405">
        <v>4620</v>
      </c>
      <c r="G1405">
        <v>4740</v>
      </c>
      <c r="H1405">
        <v>4750</v>
      </c>
      <c r="I1405">
        <v>130</v>
      </c>
      <c r="J1405">
        <v>2.81</v>
      </c>
      <c r="K1405">
        <v>4750</v>
      </c>
      <c r="L1405">
        <v>130</v>
      </c>
      <c r="M1405">
        <v>2.81</v>
      </c>
      <c r="N1405">
        <v>4650</v>
      </c>
      <c r="O1405">
        <v>4750</v>
      </c>
      <c r="P1405">
        <v>935</v>
      </c>
      <c r="Q1405">
        <v>5.08</v>
      </c>
      <c r="R1405">
        <v>84</v>
      </c>
      <c r="S1405">
        <v>5891844</v>
      </c>
      <c r="T1405">
        <v>4750</v>
      </c>
      <c r="U1405">
        <v>4770</v>
      </c>
      <c r="V1405">
        <v>1435</v>
      </c>
      <c r="W1405">
        <v>1</v>
      </c>
      <c r="X1405" s="367"/>
    </row>
    <row r="1406" spans="1:24">
      <c r="A1406" t="s">
        <v>2610</v>
      </c>
      <c r="B1406" t="s">
        <v>2609</v>
      </c>
      <c r="C1406">
        <v>383</v>
      </c>
      <c r="D1406">
        <v>4353916</v>
      </c>
      <c r="E1406">
        <v>73717930850</v>
      </c>
      <c r="F1406">
        <v>16620</v>
      </c>
      <c r="G1406">
        <v>17100</v>
      </c>
      <c r="H1406">
        <v>17110</v>
      </c>
      <c r="I1406">
        <v>490</v>
      </c>
      <c r="J1406">
        <v>2.95</v>
      </c>
      <c r="K1406">
        <v>16930</v>
      </c>
      <c r="L1406">
        <v>310</v>
      </c>
      <c r="M1406">
        <v>1.87</v>
      </c>
      <c r="N1406">
        <v>16580</v>
      </c>
      <c r="O1406">
        <v>17110</v>
      </c>
      <c r="P1406">
        <v>1836</v>
      </c>
      <c r="Q1406">
        <v>9.2200000000000006</v>
      </c>
      <c r="R1406">
        <v>5</v>
      </c>
      <c r="S1406">
        <v>309258</v>
      </c>
      <c r="T1406">
        <v>17110</v>
      </c>
      <c r="U1406">
        <v>0</v>
      </c>
      <c r="V1406">
        <v>0</v>
      </c>
      <c r="W1406">
        <v>0</v>
      </c>
      <c r="X1406" s="367"/>
    </row>
    <row r="1407" spans="1:24">
      <c r="A1407" t="s">
        <v>3270</v>
      </c>
      <c r="B1407" t="s">
        <v>3271</v>
      </c>
      <c r="C1407">
        <v>20</v>
      </c>
      <c r="D1407">
        <v>86573</v>
      </c>
      <c r="E1407">
        <v>3278086645</v>
      </c>
      <c r="F1407">
        <v>36763</v>
      </c>
      <c r="G1407">
        <v>37865</v>
      </c>
      <c r="H1407">
        <v>37865</v>
      </c>
      <c r="I1407">
        <v>1102</v>
      </c>
      <c r="J1407">
        <v>3</v>
      </c>
      <c r="K1407">
        <v>37865</v>
      </c>
      <c r="L1407">
        <v>1102</v>
      </c>
      <c r="M1407">
        <v>3</v>
      </c>
      <c r="N1407">
        <v>37865</v>
      </c>
      <c r="O1407">
        <v>37865</v>
      </c>
      <c r="P1407" t="s">
        <v>192</v>
      </c>
      <c r="Q1407" t="s">
        <v>192</v>
      </c>
      <c r="R1407">
        <v>7</v>
      </c>
      <c r="S1407">
        <v>79631</v>
      </c>
      <c r="T1407">
        <v>37865</v>
      </c>
      <c r="U1407">
        <v>0</v>
      </c>
      <c r="V1407">
        <v>0</v>
      </c>
      <c r="W1407">
        <v>0</v>
      </c>
      <c r="X1407" s="367"/>
    </row>
    <row r="1408" spans="1:24">
      <c r="A1408" t="s">
        <v>2228</v>
      </c>
      <c r="B1408" t="s">
        <v>2227</v>
      </c>
      <c r="C1408">
        <v>389</v>
      </c>
      <c r="D1408">
        <v>12145250</v>
      </c>
      <c r="E1408">
        <v>67718011800</v>
      </c>
      <c r="F1408">
        <v>5500</v>
      </c>
      <c r="G1408">
        <v>5620</v>
      </c>
      <c r="H1408">
        <v>5560</v>
      </c>
      <c r="I1408">
        <v>60</v>
      </c>
      <c r="J1408">
        <v>1.0900000000000001</v>
      </c>
      <c r="K1408">
        <v>5580</v>
      </c>
      <c r="L1408">
        <v>80</v>
      </c>
      <c r="M1408">
        <v>1.45</v>
      </c>
      <c r="N1408">
        <v>5440</v>
      </c>
      <c r="O1408">
        <v>5630</v>
      </c>
      <c r="P1408">
        <v>154</v>
      </c>
      <c r="Q1408">
        <v>36.229999999999997</v>
      </c>
      <c r="R1408">
        <v>1</v>
      </c>
      <c r="S1408">
        <v>14992</v>
      </c>
      <c r="T1408">
        <v>5560</v>
      </c>
      <c r="U1408">
        <v>5580</v>
      </c>
      <c r="V1408">
        <v>1901</v>
      </c>
      <c r="W1408">
        <v>1</v>
      </c>
      <c r="X1408" s="367"/>
    </row>
    <row r="1409" spans="1:24">
      <c r="A1409" t="s">
        <v>3274</v>
      </c>
      <c r="B1409" t="s">
        <v>3275</v>
      </c>
      <c r="C1409">
        <v>0</v>
      </c>
      <c r="D1409">
        <v>0</v>
      </c>
      <c r="E1409">
        <v>0</v>
      </c>
      <c r="F1409">
        <v>1000000</v>
      </c>
      <c r="G1409">
        <v>0</v>
      </c>
      <c r="H1409">
        <v>1000000</v>
      </c>
      <c r="I1409">
        <v>0</v>
      </c>
      <c r="J1409">
        <v>0</v>
      </c>
      <c r="K1409">
        <v>1000000</v>
      </c>
      <c r="L1409">
        <v>0</v>
      </c>
      <c r="M1409">
        <v>0</v>
      </c>
      <c r="N1409">
        <v>0</v>
      </c>
      <c r="O1409">
        <v>0</v>
      </c>
      <c r="P1409" t="s">
        <v>192</v>
      </c>
      <c r="Q1409" t="s">
        <v>192</v>
      </c>
      <c r="R1409">
        <v>1</v>
      </c>
      <c r="S1409">
        <v>24000</v>
      </c>
      <c r="T1409">
        <v>995000</v>
      </c>
      <c r="U1409">
        <v>1004950</v>
      </c>
      <c r="V1409">
        <v>4500</v>
      </c>
      <c r="W1409">
        <v>1</v>
      </c>
      <c r="X1409" s="367"/>
    </row>
    <row r="1410" spans="1:24">
      <c r="A1410" t="s">
        <v>2063</v>
      </c>
      <c r="B1410" t="s">
        <v>2062</v>
      </c>
      <c r="C1410">
        <v>277</v>
      </c>
      <c r="D1410">
        <v>11108348</v>
      </c>
      <c r="E1410">
        <v>86534030920</v>
      </c>
      <c r="F1410">
        <v>7570</v>
      </c>
      <c r="G1410">
        <v>7790</v>
      </c>
      <c r="H1410">
        <v>7790</v>
      </c>
      <c r="I1410">
        <v>220</v>
      </c>
      <c r="J1410">
        <v>2.91</v>
      </c>
      <c r="K1410">
        <v>7790</v>
      </c>
      <c r="L1410">
        <v>220</v>
      </c>
      <c r="M1410">
        <v>2.91</v>
      </c>
      <c r="N1410">
        <v>7790</v>
      </c>
      <c r="O1410">
        <v>7790</v>
      </c>
      <c r="P1410">
        <v>1478</v>
      </c>
      <c r="Q1410">
        <v>5.27</v>
      </c>
      <c r="R1410">
        <v>957</v>
      </c>
      <c r="S1410">
        <v>232901010</v>
      </c>
      <c r="T1410">
        <v>7790</v>
      </c>
      <c r="U1410">
        <v>7880</v>
      </c>
      <c r="V1410">
        <v>1515</v>
      </c>
      <c r="W1410">
        <v>1</v>
      </c>
      <c r="X1410" s="367"/>
    </row>
    <row r="1411" spans="1:24">
      <c r="A1411" t="s">
        <v>1983</v>
      </c>
      <c r="B1411" t="s">
        <v>1982</v>
      </c>
      <c r="C1411">
        <v>102</v>
      </c>
      <c r="D1411">
        <v>1033465</v>
      </c>
      <c r="E1411">
        <v>42253737780</v>
      </c>
      <c r="F1411">
        <v>39720</v>
      </c>
      <c r="G1411">
        <v>40910</v>
      </c>
      <c r="H1411">
        <v>40910</v>
      </c>
      <c r="I1411">
        <v>1190</v>
      </c>
      <c r="J1411">
        <v>3</v>
      </c>
      <c r="K1411">
        <v>40890</v>
      </c>
      <c r="L1411">
        <v>1170</v>
      </c>
      <c r="M1411">
        <v>2.95</v>
      </c>
      <c r="N1411">
        <v>39720</v>
      </c>
      <c r="O1411">
        <v>40910</v>
      </c>
      <c r="P1411">
        <v>-163</v>
      </c>
      <c r="Q1411">
        <v>-250.86</v>
      </c>
      <c r="R1411">
        <v>1</v>
      </c>
      <c r="S1411">
        <v>11111</v>
      </c>
      <c r="T1411">
        <v>40000</v>
      </c>
      <c r="U1411">
        <v>0</v>
      </c>
      <c r="V1411">
        <v>0</v>
      </c>
      <c r="W1411">
        <v>0</v>
      </c>
      <c r="X1411" s="367"/>
    </row>
    <row r="1412" spans="1:24">
      <c r="A1412" t="s">
        <v>3276</v>
      </c>
      <c r="B1412" t="s">
        <v>3277</v>
      </c>
      <c r="C1412">
        <v>136</v>
      </c>
      <c r="D1412">
        <v>803814</v>
      </c>
      <c r="E1412">
        <v>8472857451</v>
      </c>
      <c r="F1412">
        <v>10561</v>
      </c>
      <c r="G1412">
        <v>10651</v>
      </c>
      <c r="H1412">
        <v>10492</v>
      </c>
      <c r="I1412">
        <v>-69</v>
      </c>
      <c r="J1412">
        <v>-0.65</v>
      </c>
      <c r="K1412">
        <v>10541</v>
      </c>
      <c r="L1412">
        <v>-20</v>
      </c>
      <c r="M1412">
        <v>-0.19</v>
      </c>
      <c r="N1412">
        <v>10452</v>
      </c>
      <c r="O1412">
        <v>10651</v>
      </c>
      <c r="P1412" t="s">
        <v>192</v>
      </c>
      <c r="Q1412" t="s">
        <v>192</v>
      </c>
      <c r="R1412">
        <v>5</v>
      </c>
      <c r="S1412">
        <v>13717</v>
      </c>
      <c r="T1412">
        <v>10492</v>
      </c>
      <c r="U1412">
        <v>10499</v>
      </c>
      <c r="V1412">
        <v>50000</v>
      </c>
      <c r="W1412">
        <v>1</v>
      </c>
      <c r="X1412" s="367"/>
    </row>
    <row r="1413" spans="1:24">
      <c r="A1413" t="s">
        <v>3278</v>
      </c>
      <c r="B1413" t="s">
        <v>3279</v>
      </c>
      <c r="C1413">
        <v>27</v>
      </c>
      <c r="D1413">
        <v>29014</v>
      </c>
      <c r="E1413">
        <v>806792298</v>
      </c>
      <c r="F1413">
        <v>26998</v>
      </c>
      <c r="G1413">
        <v>27807</v>
      </c>
      <c r="H1413">
        <v>27807</v>
      </c>
      <c r="I1413">
        <v>809</v>
      </c>
      <c r="J1413">
        <v>3</v>
      </c>
      <c r="K1413">
        <v>27807</v>
      </c>
      <c r="L1413">
        <v>809</v>
      </c>
      <c r="M1413">
        <v>3</v>
      </c>
      <c r="N1413">
        <v>27807</v>
      </c>
      <c r="O1413">
        <v>27807</v>
      </c>
      <c r="P1413" t="s">
        <v>192</v>
      </c>
      <c r="Q1413" t="s">
        <v>192</v>
      </c>
      <c r="R1413">
        <v>27</v>
      </c>
      <c r="S1413">
        <v>251880</v>
      </c>
      <c r="T1413">
        <v>27807</v>
      </c>
      <c r="U1413">
        <v>0</v>
      </c>
      <c r="V1413">
        <v>0</v>
      </c>
      <c r="W1413">
        <v>0</v>
      </c>
      <c r="X1413" s="367"/>
    </row>
    <row r="1414" spans="1:24">
      <c r="A1414" t="s">
        <v>8654</v>
      </c>
      <c r="B1414" t="s">
        <v>3280</v>
      </c>
      <c r="C1414">
        <v>5</v>
      </c>
      <c r="D1414">
        <v>19980000</v>
      </c>
      <c r="E1414">
        <v>19980000</v>
      </c>
      <c r="F1414">
        <v>8987</v>
      </c>
      <c r="G1414">
        <v>1</v>
      </c>
      <c r="H1414">
        <v>1</v>
      </c>
      <c r="I1414">
        <v>-8986</v>
      </c>
      <c r="J1414">
        <v>-99.99</v>
      </c>
      <c r="K1414">
        <v>1</v>
      </c>
      <c r="L1414">
        <v>-8986</v>
      </c>
      <c r="M1414">
        <v>-99.99</v>
      </c>
      <c r="N1414">
        <v>1</v>
      </c>
      <c r="O1414">
        <v>1</v>
      </c>
      <c r="P1414" t="s">
        <v>192</v>
      </c>
      <c r="Q1414" t="s">
        <v>192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 s="367"/>
    </row>
    <row r="1415" spans="1:24">
      <c r="A1415" t="s">
        <v>3281</v>
      </c>
      <c r="B1415" t="s">
        <v>3282</v>
      </c>
      <c r="C1415">
        <v>0</v>
      </c>
      <c r="D1415">
        <v>0</v>
      </c>
      <c r="E1415">
        <v>0</v>
      </c>
      <c r="F1415">
        <v>814520</v>
      </c>
      <c r="G1415">
        <v>0</v>
      </c>
      <c r="H1415">
        <v>814520</v>
      </c>
      <c r="I1415">
        <v>0</v>
      </c>
      <c r="J1415">
        <v>0</v>
      </c>
      <c r="K1415">
        <v>814520</v>
      </c>
      <c r="L1415">
        <v>0</v>
      </c>
      <c r="M1415">
        <v>0</v>
      </c>
      <c r="N1415">
        <v>0</v>
      </c>
      <c r="O1415">
        <v>0</v>
      </c>
      <c r="P1415" t="s">
        <v>192</v>
      </c>
      <c r="Q1415" t="s">
        <v>192</v>
      </c>
      <c r="R1415">
        <v>1</v>
      </c>
      <c r="S1415">
        <v>5000</v>
      </c>
      <c r="T1415">
        <v>814520</v>
      </c>
      <c r="U1415">
        <v>0</v>
      </c>
      <c r="V1415">
        <v>0</v>
      </c>
      <c r="W1415">
        <v>0</v>
      </c>
      <c r="X1415" s="367"/>
    </row>
    <row r="1416" spans="1:24">
      <c r="A1416" t="s">
        <v>2123</v>
      </c>
      <c r="B1416" t="s">
        <v>2122</v>
      </c>
      <c r="C1416">
        <v>304</v>
      </c>
      <c r="D1416">
        <v>19575274</v>
      </c>
      <c r="E1416">
        <v>41158377822</v>
      </c>
      <c r="F1416">
        <v>2042</v>
      </c>
      <c r="G1416">
        <v>2103</v>
      </c>
      <c r="H1416">
        <v>2103</v>
      </c>
      <c r="I1416">
        <v>61</v>
      </c>
      <c r="J1416">
        <v>2.99</v>
      </c>
      <c r="K1416">
        <v>2103</v>
      </c>
      <c r="L1416">
        <v>61</v>
      </c>
      <c r="M1416">
        <v>2.99</v>
      </c>
      <c r="N1416">
        <v>2094</v>
      </c>
      <c r="O1416">
        <v>2103</v>
      </c>
      <c r="P1416">
        <v>47</v>
      </c>
      <c r="Q1416">
        <v>44.74</v>
      </c>
      <c r="R1416">
        <v>23</v>
      </c>
      <c r="S1416">
        <v>1373305</v>
      </c>
      <c r="T1416">
        <v>2103</v>
      </c>
      <c r="U1416">
        <v>2300</v>
      </c>
      <c r="V1416">
        <v>31015</v>
      </c>
      <c r="W1416">
        <v>1</v>
      </c>
      <c r="X1416" s="367"/>
    </row>
    <row r="1417" spans="1:24">
      <c r="A1417" t="s">
        <v>3283</v>
      </c>
      <c r="B1417" t="s">
        <v>3284</v>
      </c>
      <c r="C1417">
        <v>0</v>
      </c>
      <c r="D1417">
        <v>0</v>
      </c>
      <c r="E1417">
        <v>0</v>
      </c>
      <c r="F1417">
        <v>891230</v>
      </c>
      <c r="G1417">
        <v>0</v>
      </c>
      <c r="H1417">
        <v>891230</v>
      </c>
      <c r="I1417">
        <v>0</v>
      </c>
      <c r="J1417">
        <v>0</v>
      </c>
      <c r="K1417">
        <v>891230</v>
      </c>
      <c r="L1417">
        <v>0</v>
      </c>
      <c r="M1417">
        <v>0</v>
      </c>
      <c r="N1417">
        <v>0</v>
      </c>
      <c r="O1417">
        <v>0</v>
      </c>
      <c r="P1417" t="s">
        <v>192</v>
      </c>
      <c r="Q1417" t="s">
        <v>192</v>
      </c>
      <c r="R1417">
        <v>1</v>
      </c>
      <c r="S1417">
        <v>15000</v>
      </c>
      <c r="T1417">
        <v>891070</v>
      </c>
      <c r="U1417">
        <v>900020</v>
      </c>
      <c r="V1417">
        <v>15000</v>
      </c>
      <c r="W1417">
        <v>1</v>
      </c>
      <c r="X1417" s="367"/>
    </row>
    <row r="1418" spans="1:24">
      <c r="A1418" t="s">
        <v>3285</v>
      </c>
      <c r="B1418" t="s">
        <v>3286</v>
      </c>
      <c r="C1418">
        <v>35</v>
      </c>
      <c r="D1418">
        <v>715362</v>
      </c>
      <c r="E1418">
        <v>31495241826</v>
      </c>
      <c r="F1418">
        <v>42745</v>
      </c>
      <c r="G1418">
        <v>44025</v>
      </c>
      <c r="H1418">
        <v>44027</v>
      </c>
      <c r="I1418">
        <v>1282</v>
      </c>
      <c r="J1418">
        <v>3</v>
      </c>
      <c r="K1418">
        <v>44027</v>
      </c>
      <c r="L1418">
        <v>1282</v>
      </c>
      <c r="M1418">
        <v>3</v>
      </c>
      <c r="N1418">
        <v>44025</v>
      </c>
      <c r="O1418">
        <v>44027</v>
      </c>
      <c r="P1418" t="s">
        <v>192</v>
      </c>
      <c r="Q1418" t="s">
        <v>192</v>
      </c>
      <c r="R1418">
        <v>2</v>
      </c>
      <c r="S1418">
        <v>3023</v>
      </c>
      <c r="T1418">
        <v>44027</v>
      </c>
      <c r="U1418">
        <v>0</v>
      </c>
      <c r="V1418">
        <v>0</v>
      </c>
      <c r="W1418">
        <v>0</v>
      </c>
      <c r="X1418" s="367"/>
    </row>
    <row r="1419" spans="1:24">
      <c r="A1419" t="s">
        <v>8812</v>
      </c>
      <c r="B1419" t="s">
        <v>100</v>
      </c>
      <c r="C1419">
        <v>2</v>
      </c>
      <c r="D1419">
        <v>606</v>
      </c>
      <c r="E1419">
        <v>10817100</v>
      </c>
      <c r="F1419">
        <v>17340</v>
      </c>
      <c r="G1419">
        <v>17850</v>
      </c>
      <c r="H1419">
        <v>17850</v>
      </c>
      <c r="I1419">
        <v>510</v>
      </c>
      <c r="J1419">
        <v>2.94</v>
      </c>
      <c r="K1419">
        <v>17850</v>
      </c>
      <c r="L1419">
        <v>510</v>
      </c>
      <c r="M1419">
        <v>2.94</v>
      </c>
      <c r="N1419">
        <v>17850</v>
      </c>
      <c r="O1419">
        <v>17850</v>
      </c>
      <c r="P1419">
        <v>2564</v>
      </c>
      <c r="Q1419">
        <v>6.96</v>
      </c>
      <c r="R1419">
        <v>6</v>
      </c>
      <c r="S1419">
        <v>60503</v>
      </c>
      <c r="T1419">
        <v>17850</v>
      </c>
      <c r="U1419">
        <v>0</v>
      </c>
      <c r="V1419">
        <v>0</v>
      </c>
      <c r="W1419">
        <v>0</v>
      </c>
      <c r="X1419" s="367"/>
    </row>
    <row r="1420" spans="1:24">
      <c r="A1420" t="s">
        <v>1793</v>
      </c>
      <c r="B1420" t="s">
        <v>1792</v>
      </c>
      <c r="C1420">
        <v>736</v>
      </c>
      <c r="D1420">
        <v>995099</v>
      </c>
      <c r="E1420">
        <v>15593201330</v>
      </c>
      <c r="F1420">
        <v>15220</v>
      </c>
      <c r="G1420">
        <v>15670</v>
      </c>
      <c r="H1420">
        <v>15670</v>
      </c>
      <c r="I1420">
        <v>450</v>
      </c>
      <c r="J1420">
        <v>2.96</v>
      </c>
      <c r="K1420">
        <v>15670</v>
      </c>
      <c r="L1420">
        <v>450</v>
      </c>
      <c r="M1420">
        <v>2.96</v>
      </c>
      <c r="N1420">
        <v>15670</v>
      </c>
      <c r="O1420">
        <v>15670</v>
      </c>
      <c r="P1420">
        <v>1762</v>
      </c>
      <c r="Q1420">
        <v>8.89</v>
      </c>
      <c r="R1420">
        <v>14</v>
      </c>
      <c r="S1420">
        <v>186947</v>
      </c>
      <c r="T1420">
        <v>15670</v>
      </c>
      <c r="U1420">
        <v>15700</v>
      </c>
      <c r="V1420">
        <v>350</v>
      </c>
      <c r="W1420">
        <v>1</v>
      </c>
      <c r="X1420" s="367"/>
    </row>
    <row r="1421" spans="1:24">
      <c r="A1421" t="s">
        <v>3287</v>
      </c>
      <c r="B1421" t="s">
        <v>3288</v>
      </c>
      <c r="C1421">
        <v>0</v>
      </c>
      <c r="D1421">
        <v>0</v>
      </c>
      <c r="E1421">
        <v>0</v>
      </c>
      <c r="F1421">
        <v>1000000</v>
      </c>
      <c r="G1421">
        <v>0</v>
      </c>
      <c r="H1421">
        <v>1000000</v>
      </c>
      <c r="I1421">
        <v>0</v>
      </c>
      <c r="J1421">
        <v>0</v>
      </c>
      <c r="K1421">
        <v>1000000</v>
      </c>
      <c r="L1421">
        <v>0</v>
      </c>
      <c r="M1421">
        <v>0</v>
      </c>
      <c r="N1421">
        <v>0</v>
      </c>
      <c r="O1421">
        <v>0</v>
      </c>
      <c r="P1421" t="s">
        <v>192</v>
      </c>
      <c r="Q1421" t="s">
        <v>192</v>
      </c>
      <c r="R1421">
        <v>1</v>
      </c>
      <c r="S1421">
        <v>4971</v>
      </c>
      <c r="T1421">
        <v>1000000</v>
      </c>
      <c r="U1421">
        <v>0</v>
      </c>
      <c r="V1421">
        <v>0</v>
      </c>
      <c r="W1421">
        <v>0</v>
      </c>
      <c r="X1421" s="367"/>
    </row>
    <row r="1422" spans="1:24">
      <c r="A1422" t="s">
        <v>3291</v>
      </c>
      <c r="B1422" t="s">
        <v>3292</v>
      </c>
      <c r="C1422">
        <v>0</v>
      </c>
      <c r="D1422">
        <v>0</v>
      </c>
      <c r="E1422">
        <v>0</v>
      </c>
      <c r="F1422">
        <v>1000000</v>
      </c>
      <c r="G1422">
        <v>0</v>
      </c>
      <c r="H1422">
        <v>1000000</v>
      </c>
      <c r="I1422">
        <v>0</v>
      </c>
      <c r="J1422">
        <v>0</v>
      </c>
      <c r="K1422">
        <v>1000000</v>
      </c>
      <c r="L1422">
        <v>0</v>
      </c>
      <c r="M1422">
        <v>0</v>
      </c>
      <c r="N1422">
        <v>0</v>
      </c>
      <c r="O1422">
        <v>0</v>
      </c>
      <c r="P1422" t="s">
        <v>192</v>
      </c>
      <c r="Q1422" t="s">
        <v>192</v>
      </c>
      <c r="R1422">
        <v>1</v>
      </c>
      <c r="S1422">
        <v>5000</v>
      </c>
      <c r="T1422">
        <v>1000000</v>
      </c>
      <c r="U1422">
        <v>1010000</v>
      </c>
      <c r="V1422">
        <v>5000</v>
      </c>
      <c r="W1422">
        <v>1</v>
      </c>
      <c r="X1422" s="367"/>
    </row>
    <row r="1423" spans="1:24">
      <c r="A1423" t="s">
        <v>3293</v>
      </c>
      <c r="B1423" t="s">
        <v>3294</v>
      </c>
      <c r="C1423">
        <v>1355</v>
      </c>
      <c r="D1423">
        <v>19177106</v>
      </c>
      <c r="E1423">
        <v>486982688224</v>
      </c>
      <c r="F1423">
        <v>24708</v>
      </c>
      <c r="G1423">
        <v>25420</v>
      </c>
      <c r="H1423">
        <v>25449</v>
      </c>
      <c r="I1423">
        <v>741</v>
      </c>
      <c r="J1423">
        <v>3</v>
      </c>
      <c r="K1423">
        <v>25394</v>
      </c>
      <c r="L1423">
        <v>686</v>
      </c>
      <c r="M1423">
        <v>2.78</v>
      </c>
      <c r="N1423">
        <v>25250</v>
      </c>
      <c r="O1423">
        <v>25449</v>
      </c>
      <c r="P1423" t="s">
        <v>192</v>
      </c>
      <c r="Q1423" t="s">
        <v>192</v>
      </c>
      <c r="R1423">
        <v>2</v>
      </c>
      <c r="S1423">
        <v>1040</v>
      </c>
      <c r="T1423">
        <v>25445</v>
      </c>
      <c r="U1423">
        <v>0</v>
      </c>
      <c r="V1423">
        <v>0</v>
      </c>
      <c r="W1423">
        <v>0</v>
      </c>
      <c r="X1423" s="367"/>
    </row>
    <row r="1424" spans="1:24">
      <c r="A1424" t="s">
        <v>2728</v>
      </c>
      <c r="B1424" t="s">
        <v>2727</v>
      </c>
      <c r="C1424">
        <v>84</v>
      </c>
      <c r="D1424">
        <v>11915196</v>
      </c>
      <c r="E1424">
        <v>31408456656</v>
      </c>
      <c r="F1424">
        <v>2560</v>
      </c>
      <c r="G1424">
        <v>2636</v>
      </c>
      <c r="H1424">
        <v>2636</v>
      </c>
      <c r="I1424">
        <v>76</v>
      </c>
      <c r="J1424">
        <v>2.97</v>
      </c>
      <c r="K1424">
        <v>2636</v>
      </c>
      <c r="L1424">
        <v>76</v>
      </c>
      <c r="M1424">
        <v>2.97</v>
      </c>
      <c r="N1424">
        <v>2636</v>
      </c>
      <c r="O1424">
        <v>2636</v>
      </c>
      <c r="P1424">
        <v>-70</v>
      </c>
      <c r="Q1424">
        <v>-37.659999999999997</v>
      </c>
      <c r="R1424">
        <v>64</v>
      </c>
      <c r="S1424">
        <v>35853788</v>
      </c>
      <c r="T1424">
        <v>2636</v>
      </c>
      <c r="U1424">
        <v>0</v>
      </c>
      <c r="V1424">
        <v>0</v>
      </c>
      <c r="W1424">
        <v>0</v>
      </c>
      <c r="X1424" s="367"/>
    </row>
    <row r="1425" spans="1:24">
      <c r="A1425" t="s">
        <v>2025</v>
      </c>
      <c r="B1425" t="s">
        <v>2024</v>
      </c>
      <c r="C1425">
        <v>62</v>
      </c>
      <c r="D1425">
        <v>2652329</v>
      </c>
      <c r="E1425">
        <v>10211466650</v>
      </c>
      <c r="F1425">
        <v>3740</v>
      </c>
      <c r="G1425">
        <v>3850</v>
      </c>
      <c r="H1425">
        <v>3850</v>
      </c>
      <c r="I1425">
        <v>110</v>
      </c>
      <c r="J1425">
        <v>2.94</v>
      </c>
      <c r="K1425">
        <v>3850</v>
      </c>
      <c r="L1425">
        <v>110</v>
      </c>
      <c r="M1425">
        <v>2.94</v>
      </c>
      <c r="N1425">
        <v>3850</v>
      </c>
      <c r="O1425">
        <v>3850</v>
      </c>
      <c r="P1425">
        <v>476</v>
      </c>
      <c r="Q1425">
        <v>8.09</v>
      </c>
      <c r="R1425">
        <v>37</v>
      </c>
      <c r="S1425">
        <v>4575295</v>
      </c>
      <c r="T1425">
        <v>3850</v>
      </c>
      <c r="U1425">
        <v>0</v>
      </c>
      <c r="V1425">
        <v>0</v>
      </c>
      <c r="W1425">
        <v>0</v>
      </c>
      <c r="X1425" s="367"/>
    </row>
    <row r="1426" spans="1:24">
      <c r="A1426" t="s">
        <v>3295</v>
      </c>
      <c r="B1426" t="s">
        <v>3296</v>
      </c>
      <c r="C1426">
        <v>0</v>
      </c>
      <c r="D1426">
        <v>0</v>
      </c>
      <c r="E1426">
        <v>0</v>
      </c>
      <c r="F1426">
        <v>6611239</v>
      </c>
      <c r="G1426">
        <v>0</v>
      </c>
      <c r="H1426">
        <v>6608944</v>
      </c>
      <c r="I1426">
        <v>-2295</v>
      </c>
      <c r="J1426">
        <v>-0.03</v>
      </c>
      <c r="K1426">
        <v>6611239</v>
      </c>
      <c r="L1426">
        <v>0</v>
      </c>
      <c r="M1426">
        <v>0</v>
      </c>
      <c r="N1426">
        <v>0</v>
      </c>
      <c r="O1426">
        <v>0</v>
      </c>
      <c r="P1426" t="s">
        <v>192</v>
      </c>
      <c r="Q1426" t="s">
        <v>192</v>
      </c>
      <c r="R1426">
        <v>1</v>
      </c>
      <c r="S1426">
        <v>7970</v>
      </c>
      <c r="T1426">
        <v>6692053</v>
      </c>
      <c r="U1426">
        <v>6696701</v>
      </c>
      <c r="V1426">
        <v>7970</v>
      </c>
      <c r="W1426">
        <v>1</v>
      </c>
      <c r="X1426" s="367"/>
    </row>
    <row r="1427" spans="1:24">
      <c r="A1427" t="s">
        <v>3297</v>
      </c>
      <c r="B1427" t="s">
        <v>3298</v>
      </c>
      <c r="C1427">
        <v>0</v>
      </c>
      <c r="D1427">
        <v>0</v>
      </c>
      <c r="E1427">
        <v>0</v>
      </c>
      <c r="F1427">
        <v>970000</v>
      </c>
      <c r="G1427">
        <v>0</v>
      </c>
      <c r="H1427">
        <v>970000</v>
      </c>
      <c r="I1427">
        <v>0</v>
      </c>
      <c r="J1427">
        <v>0</v>
      </c>
      <c r="K1427">
        <v>970000</v>
      </c>
      <c r="L1427">
        <v>0</v>
      </c>
      <c r="M1427">
        <v>0</v>
      </c>
      <c r="N1427">
        <v>0</v>
      </c>
      <c r="O1427">
        <v>0</v>
      </c>
      <c r="P1427" t="s">
        <v>192</v>
      </c>
      <c r="Q1427" t="s">
        <v>192</v>
      </c>
      <c r="R1427">
        <v>1</v>
      </c>
      <c r="S1427">
        <v>20000</v>
      </c>
      <c r="T1427">
        <v>970000</v>
      </c>
      <c r="U1427">
        <v>0</v>
      </c>
      <c r="V1427">
        <v>0</v>
      </c>
      <c r="W1427">
        <v>0</v>
      </c>
      <c r="X1427" s="367"/>
    </row>
    <row r="1428" spans="1:24">
      <c r="A1428" t="s">
        <v>3301</v>
      </c>
      <c r="B1428" t="s">
        <v>3302</v>
      </c>
      <c r="C1428">
        <v>0</v>
      </c>
      <c r="D1428">
        <v>0</v>
      </c>
      <c r="E1428">
        <v>0</v>
      </c>
      <c r="F1428">
        <v>833200</v>
      </c>
      <c r="G1428">
        <v>0</v>
      </c>
      <c r="H1428">
        <v>833200</v>
      </c>
      <c r="I1428">
        <v>0</v>
      </c>
      <c r="J1428">
        <v>0</v>
      </c>
      <c r="K1428">
        <v>833200</v>
      </c>
      <c r="L1428">
        <v>0</v>
      </c>
      <c r="M1428">
        <v>0</v>
      </c>
      <c r="N1428">
        <v>0</v>
      </c>
      <c r="O1428">
        <v>0</v>
      </c>
      <c r="P1428" t="s">
        <v>192</v>
      </c>
      <c r="Q1428" t="s">
        <v>192</v>
      </c>
      <c r="R1428">
        <v>1</v>
      </c>
      <c r="S1428">
        <v>25000</v>
      </c>
      <c r="T1428">
        <v>833133</v>
      </c>
      <c r="U1428">
        <v>0</v>
      </c>
      <c r="V1428">
        <v>0</v>
      </c>
      <c r="W1428">
        <v>0</v>
      </c>
      <c r="X1428" s="367"/>
    </row>
    <row r="1429" spans="1:24">
      <c r="A1429" t="s">
        <v>2512</v>
      </c>
      <c r="B1429" t="s">
        <v>2511</v>
      </c>
      <c r="C1429">
        <v>39</v>
      </c>
      <c r="D1429">
        <v>1808942</v>
      </c>
      <c r="E1429">
        <v>9117067680</v>
      </c>
      <c r="F1429">
        <v>4900</v>
      </c>
      <c r="G1429">
        <v>5040</v>
      </c>
      <c r="H1429">
        <v>5040</v>
      </c>
      <c r="I1429">
        <v>140</v>
      </c>
      <c r="J1429">
        <v>2.86</v>
      </c>
      <c r="K1429">
        <v>5040</v>
      </c>
      <c r="L1429">
        <v>140</v>
      </c>
      <c r="M1429">
        <v>2.86</v>
      </c>
      <c r="N1429">
        <v>5040</v>
      </c>
      <c r="O1429">
        <v>5040</v>
      </c>
      <c r="P1429">
        <v>922</v>
      </c>
      <c r="Q1429">
        <v>5.47</v>
      </c>
      <c r="R1429">
        <v>51</v>
      </c>
      <c r="S1429">
        <v>2365504</v>
      </c>
      <c r="T1429">
        <v>5040</v>
      </c>
      <c r="U1429">
        <v>0</v>
      </c>
      <c r="V1429">
        <v>0</v>
      </c>
      <c r="W1429">
        <v>0</v>
      </c>
      <c r="X1429" s="367"/>
    </row>
    <row r="1430" spans="1:24">
      <c r="A1430" t="s">
        <v>2990</v>
      </c>
      <c r="B1430" t="s">
        <v>2989</v>
      </c>
      <c r="C1430">
        <v>181</v>
      </c>
      <c r="D1430">
        <v>11019101</v>
      </c>
      <c r="E1430">
        <v>52076758690</v>
      </c>
      <c r="F1430">
        <v>4600</v>
      </c>
      <c r="G1430">
        <v>4730</v>
      </c>
      <c r="H1430">
        <v>4730</v>
      </c>
      <c r="I1430">
        <v>130</v>
      </c>
      <c r="J1430">
        <v>2.83</v>
      </c>
      <c r="K1430">
        <v>4730</v>
      </c>
      <c r="L1430">
        <v>130</v>
      </c>
      <c r="M1430">
        <v>2.83</v>
      </c>
      <c r="N1430">
        <v>4630</v>
      </c>
      <c r="O1430">
        <v>4730</v>
      </c>
      <c r="P1430">
        <v>1197</v>
      </c>
      <c r="Q1430">
        <v>3.95</v>
      </c>
      <c r="R1430">
        <v>23</v>
      </c>
      <c r="S1430">
        <v>2756994</v>
      </c>
      <c r="T1430">
        <v>4730</v>
      </c>
      <c r="U1430">
        <v>0</v>
      </c>
      <c r="V1430">
        <v>0</v>
      </c>
      <c r="W1430">
        <v>0</v>
      </c>
      <c r="X1430" s="367"/>
    </row>
    <row r="1431" spans="1:24">
      <c r="A1431" t="s">
        <v>3303</v>
      </c>
      <c r="B1431" t="s">
        <v>3304</v>
      </c>
      <c r="C1431">
        <v>1085</v>
      </c>
      <c r="D1431">
        <v>25702842</v>
      </c>
      <c r="E1431">
        <v>327154113454</v>
      </c>
      <c r="F1431">
        <v>12360</v>
      </c>
      <c r="G1431">
        <v>12730</v>
      </c>
      <c r="H1431">
        <v>12730</v>
      </c>
      <c r="I1431">
        <v>370</v>
      </c>
      <c r="J1431">
        <v>2.99</v>
      </c>
      <c r="K1431">
        <v>12728</v>
      </c>
      <c r="L1431">
        <v>368</v>
      </c>
      <c r="M1431">
        <v>2.98</v>
      </c>
      <c r="N1431">
        <v>12610</v>
      </c>
      <c r="O1431">
        <v>12730</v>
      </c>
      <c r="P1431" t="s">
        <v>192</v>
      </c>
      <c r="Q1431" t="s">
        <v>192</v>
      </c>
      <c r="R1431">
        <v>38</v>
      </c>
      <c r="S1431">
        <v>1111294</v>
      </c>
      <c r="T1431">
        <v>12730</v>
      </c>
      <c r="U1431">
        <v>12820</v>
      </c>
      <c r="V1431">
        <v>2000</v>
      </c>
      <c r="W1431">
        <v>1</v>
      </c>
      <c r="X1431" s="367"/>
    </row>
    <row r="1432" spans="1:24">
      <c r="A1432" t="s">
        <v>1708</v>
      </c>
      <c r="B1432" t="s">
        <v>1707</v>
      </c>
      <c r="C1432">
        <v>352</v>
      </c>
      <c r="D1432">
        <v>2006329</v>
      </c>
      <c r="E1432">
        <v>21593879620</v>
      </c>
      <c r="F1432">
        <v>10470</v>
      </c>
      <c r="G1432">
        <v>10770</v>
      </c>
      <c r="H1432">
        <v>10780</v>
      </c>
      <c r="I1432">
        <v>310</v>
      </c>
      <c r="J1432">
        <v>2.96</v>
      </c>
      <c r="K1432">
        <v>10760</v>
      </c>
      <c r="L1432">
        <v>290</v>
      </c>
      <c r="M1432">
        <v>2.77</v>
      </c>
      <c r="N1432">
        <v>10600</v>
      </c>
      <c r="O1432">
        <v>10780</v>
      </c>
      <c r="P1432">
        <v>1542</v>
      </c>
      <c r="Q1432">
        <v>6.98</v>
      </c>
      <c r="R1432">
        <v>14</v>
      </c>
      <c r="S1432">
        <v>292145</v>
      </c>
      <c r="T1432">
        <v>10780</v>
      </c>
      <c r="U1432">
        <v>10790</v>
      </c>
      <c r="V1432">
        <v>2310</v>
      </c>
      <c r="W1432">
        <v>2</v>
      </c>
      <c r="X1432" s="367"/>
    </row>
    <row r="1433" spans="1:24">
      <c r="A1433" t="s">
        <v>8683</v>
      </c>
      <c r="B1433" t="s">
        <v>8682</v>
      </c>
      <c r="C1433">
        <v>5</v>
      </c>
      <c r="D1433">
        <v>2600000</v>
      </c>
      <c r="E1433">
        <v>2064920000000</v>
      </c>
      <c r="F1433">
        <v>818220</v>
      </c>
      <c r="G1433">
        <v>794200</v>
      </c>
      <c r="H1433">
        <v>794200</v>
      </c>
      <c r="I1433">
        <v>-24020</v>
      </c>
      <c r="J1433">
        <v>-2.94</v>
      </c>
      <c r="K1433">
        <v>794200</v>
      </c>
      <c r="L1433">
        <v>-24020</v>
      </c>
      <c r="M1433">
        <v>-2.94</v>
      </c>
      <c r="N1433">
        <v>794200</v>
      </c>
      <c r="O1433">
        <v>794200</v>
      </c>
      <c r="P1433" t="s">
        <v>192</v>
      </c>
      <c r="Q1433" t="s">
        <v>192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 s="367"/>
    </row>
    <row r="1434" spans="1:24">
      <c r="A1434" t="s">
        <v>1863</v>
      </c>
      <c r="B1434" t="s">
        <v>1862</v>
      </c>
      <c r="C1434">
        <v>2693</v>
      </c>
      <c r="D1434">
        <v>2747873</v>
      </c>
      <c r="E1434">
        <v>138163054440</v>
      </c>
      <c r="F1434">
        <v>48820</v>
      </c>
      <c r="G1434">
        <v>50280</v>
      </c>
      <c r="H1434">
        <v>50280</v>
      </c>
      <c r="I1434">
        <v>1460</v>
      </c>
      <c r="J1434">
        <v>2.99</v>
      </c>
      <c r="K1434">
        <v>50280</v>
      </c>
      <c r="L1434">
        <v>1460</v>
      </c>
      <c r="M1434">
        <v>2.99</v>
      </c>
      <c r="N1434">
        <v>50280</v>
      </c>
      <c r="O1434">
        <v>50280</v>
      </c>
      <c r="P1434">
        <v>911</v>
      </c>
      <c r="Q1434">
        <v>55.19</v>
      </c>
      <c r="R1434">
        <v>326</v>
      </c>
      <c r="S1434">
        <v>4104221</v>
      </c>
      <c r="T1434">
        <v>50280</v>
      </c>
      <c r="U1434">
        <v>0</v>
      </c>
      <c r="V1434">
        <v>0</v>
      </c>
      <c r="W1434">
        <v>0</v>
      </c>
      <c r="X1434" s="367"/>
    </row>
    <row r="1435" spans="1:24">
      <c r="A1435" t="s">
        <v>3305</v>
      </c>
      <c r="B1435" t="s">
        <v>3306</v>
      </c>
      <c r="C1435">
        <v>78</v>
      </c>
      <c r="D1435">
        <v>1639526</v>
      </c>
      <c r="E1435">
        <v>28148784980</v>
      </c>
      <c r="F1435">
        <v>16680</v>
      </c>
      <c r="G1435">
        <v>17179</v>
      </c>
      <c r="H1435">
        <v>17150</v>
      </c>
      <c r="I1435">
        <v>470</v>
      </c>
      <c r="J1435">
        <v>2.82</v>
      </c>
      <c r="K1435">
        <v>17169</v>
      </c>
      <c r="L1435">
        <v>489</v>
      </c>
      <c r="M1435">
        <v>2.93</v>
      </c>
      <c r="N1435">
        <v>17100</v>
      </c>
      <c r="O1435">
        <v>17180</v>
      </c>
      <c r="P1435" t="s">
        <v>192</v>
      </c>
      <c r="Q1435" t="s">
        <v>192</v>
      </c>
      <c r="R1435">
        <v>1</v>
      </c>
      <c r="S1435">
        <v>497</v>
      </c>
      <c r="T1435">
        <v>17131</v>
      </c>
      <c r="U1435">
        <v>17150</v>
      </c>
      <c r="V1435">
        <v>35866</v>
      </c>
      <c r="W1435">
        <v>1</v>
      </c>
      <c r="X1435" s="367"/>
    </row>
    <row r="1436" spans="1:24">
      <c r="A1436" t="s">
        <v>174</v>
      </c>
      <c r="B1436" t="s">
        <v>173</v>
      </c>
      <c r="C1436">
        <v>6672</v>
      </c>
      <c r="D1436">
        <v>274090720</v>
      </c>
      <c r="E1436">
        <v>3489174865600</v>
      </c>
      <c r="F1436">
        <v>12360</v>
      </c>
      <c r="G1436">
        <v>12730</v>
      </c>
      <c r="H1436">
        <v>12730</v>
      </c>
      <c r="I1436">
        <v>370</v>
      </c>
      <c r="J1436">
        <v>2.99</v>
      </c>
      <c r="K1436">
        <v>12730</v>
      </c>
      <c r="L1436">
        <v>370</v>
      </c>
      <c r="M1436">
        <v>2.99</v>
      </c>
      <c r="N1436">
        <v>12730</v>
      </c>
      <c r="O1436">
        <v>12730</v>
      </c>
      <c r="P1436">
        <v>2555</v>
      </c>
      <c r="Q1436">
        <v>4.9800000000000004</v>
      </c>
      <c r="R1436">
        <v>2476</v>
      </c>
      <c r="S1436">
        <v>139679406</v>
      </c>
      <c r="T1436">
        <v>12730</v>
      </c>
      <c r="U1436">
        <v>12730</v>
      </c>
      <c r="V1436">
        <v>100000</v>
      </c>
      <c r="W1436">
        <v>1</v>
      </c>
      <c r="X1436" s="367"/>
    </row>
    <row r="1437" spans="1:24">
      <c r="A1437" t="s">
        <v>3307</v>
      </c>
      <c r="B1437" t="s">
        <v>3308</v>
      </c>
      <c r="C1437">
        <v>0</v>
      </c>
      <c r="D1437">
        <v>0</v>
      </c>
      <c r="E1437">
        <v>0</v>
      </c>
      <c r="F1437">
        <v>1000000</v>
      </c>
      <c r="G1437">
        <v>0</v>
      </c>
      <c r="H1437">
        <v>1000000</v>
      </c>
      <c r="I1437">
        <v>0</v>
      </c>
      <c r="J1437">
        <v>0</v>
      </c>
      <c r="K1437">
        <v>1000000</v>
      </c>
      <c r="L1437">
        <v>0</v>
      </c>
      <c r="M1437">
        <v>0</v>
      </c>
      <c r="N1437">
        <v>0</v>
      </c>
      <c r="O1437">
        <v>0</v>
      </c>
      <c r="P1437" t="s">
        <v>192</v>
      </c>
      <c r="Q1437" t="s">
        <v>192</v>
      </c>
      <c r="R1437">
        <v>1</v>
      </c>
      <c r="S1437">
        <v>10000</v>
      </c>
      <c r="T1437">
        <v>1000000</v>
      </c>
      <c r="U1437">
        <v>0</v>
      </c>
      <c r="V1437">
        <v>0</v>
      </c>
      <c r="W1437">
        <v>0</v>
      </c>
      <c r="X1437" s="367"/>
    </row>
    <row r="1438" spans="1:24">
      <c r="A1438" t="s">
        <v>1209</v>
      </c>
      <c r="B1438" t="s">
        <v>3309</v>
      </c>
      <c r="C1438">
        <v>130</v>
      </c>
      <c r="D1438">
        <v>43310346</v>
      </c>
      <c r="E1438">
        <v>444195674001</v>
      </c>
      <c r="F1438">
        <v>10240</v>
      </c>
      <c r="G1438">
        <v>10256</v>
      </c>
      <c r="H1438">
        <v>10256</v>
      </c>
      <c r="I1438">
        <v>16</v>
      </c>
      <c r="J1438">
        <v>0.16</v>
      </c>
      <c r="K1438">
        <v>10256</v>
      </c>
      <c r="L1438">
        <v>16</v>
      </c>
      <c r="M1438">
        <v>0.16</v>
      </c>
      <c r="N1438">
        <v>10256</v>
      </c>
      <c r="O1438">
        <v>10257</v>
      </c>
      <c r="P1438" t="s">
        <v>192</v>
      </c>
      <c r="Q1438" t="s">
        <v>192</v>
      </c>
      <c r="R1438">
        <v>3</v>
      </c>
      <c r="S1438">
        <v>11351000</v>
      </c>
      <c r="T1438">
        <v>10256</v>
      </c>
      <c r="U1438">
        <v>10257</v>
      </c>
      <c r="V1438">
        <v>14539959</v>
      </c>
      <c r="W1438">
        <v>15</v>
      </c>
      <c r="X1438" s="367"/>
    </row>
    <row r="1439" spans="1:24">
      <c r="A1439" t="s">
        <v>6504</v>
      </c>
      <c r="B1439" t="s">
        <v>2596</v>
      </c>
      <c r="C1439">
        <v>16</v>
      </c>
      <c r="D1439">
        <v>3024</v>
      </c>
      <c r="E1439">
        <v>13305600</v>
      </c>
      <c r="F1439">
        <v>4280</v>
      </c>
      <c r="G1439">
        <v>4400</v>
      </c>
      <c r="H1439">
        <v>4400</v>
      </c>
      <c r="I1439">
        <v>120</v>
      </c>
      <c r="J1439">
        <v>2.8</v>
      </c>
      <c r="K1439">
        <v>4400</v>
      </c>
      <c r="L1439">
        <v>120</v>
      </c>
      <c r="M1439">
        <v>2.8</v>
      </c>
      <c r="N1439">
        <v>4400</v>
      </c>
      <c r="O1439">
        <v>4400</v>
      </c>
      <c r="P1439">
        <v>596</v>
      </c>
      <c r="Q1439">
        <v>7.38</v>
      </c>
      <c r="R1439">
        <v>6</v>
      </c>
      <c r="S1439">
        <v>93013</v>
      </c>
      <c r="T1439">
        <v>4400</v>
      </c>
      <c r="U1439">
        <v>0</v>
      </c>
      <c r="V1439">
        <v>0</v>
      </c>
      <c r="W1439">
        <v>0</v>
      </c>
      <c r="X1439" s="367"/>
    </row>
    <row r="1440" spans="1:24">
      <c r="A1440" t="s">
        <v>2841</v>
      </c>
      <c r="B1440" t="s">
        <v>2840</v>
      </c>
      <c r="C1440">
        <v>10</v>
      </c>
      <c r="D1440">
        <v>734377</v>
      </c>
      <c r="E1440">
        <v>5735484370</v>
      </c>
      <c r="F1440">
        <v>7590</v>
      </c>
      <c r="G1440">
        <v>7810</v>
      </c>
      <c r="H1440">
        <v>7810</v>
      </c>
      <c r="I1440">
        <v>220</v>
      </c>
      <c r="J1440">
        <v>2.9</v>
      </c>
      <c r="K1440">
        <v>7810</v>
      </c>
      <c r="L1440">
        <v>220</v>
      </c>
      <c r="M1440">
        <v>2.9</v>
      </c>
      <c r="N1440">
        <v>7810</v>
      </c>
      <c r="O1440">
        <v>7810</v>
      </c>
      <c r="P1440">
        <v>-92</v>
      </c>
      <c r="Q1440">
        <v>-84.89</v>
      </c>
      <c r="R1440">
        <v>3</v>
      </c>
      <c r="S1440">
        <v>325936</v>
      </c>
      <c r="T1440">
        <v>7810</v>
      </c>
      <c r="U1440">
        <v>8020</v>
      </c>
      <c r="V1440">
        <v>18100</v>
      </c>
      <c r="W1440">
        <v>1</v>
      </c>
      <c r="X1440" s="367"/>
    </row>
    <row r="1441" spans="1:24">
      <c r="A1441" t="s">
        <v>3310</v>
      </c>
      <c r="B1441" t="s">
        <v>3311</v>
      </c>
      <c r="C1441">
        <v>39</v>
      </c>
      <c r="D1441">
        <v>107400</v>
      </c>
      <c r="E1441">
        <v>75467006960</v>
      </c>
      <c r="F1441">
        <v>699230</v>
      </c>
      <c r="G1441">
        <v>700000</v>
      </c>
      <c r="H1441">
        <v>703000</v>
      </c>
      <c r="I1441">
        <v>3770</v>
      </c>
      <c r="J1441">
        <v>0.54</v>
      </c>
      <c r="K1441">
        <v>702670</v>
      </c>
      <c r="L1441">
        <v>3440</v>
      </c>
      <c r="M1441">
        <v>0.49</v>
      </c>
      <c r="N1441">
        <v>699000</v>
      </c>
      <c r="O1441">
        <v>705000</v>
      </c>
      <c r="P1441" t="s">
        <v>192</v>
      </c>
      <c r="Q1441" t="s">
        <v>192</v>
      </c>
      <c r="R1441">
        <v>1</v>
      </c>
      <c r="S1441">
        <v>5080</v>
      </c>
      <c r="T1441">
        <v>703000</v>
      </c>
      <c r="U1441">
        <v>705000</v>
      </c>
      <c r="V1441">
        <v>1000</v>
      </c>
      <c r="W1441">
        <v>1</v>
      </c>
      <c r="X1441" s="367"/>
    </row>
    <row r="1442" spans="1:24">
      <c r="A1442" t="s">
        <v>7728</v>
      </c>
      <c r="B1442" t="s">
        <v>3286</v>
      </c>
      <c r="C1442">
        <v>1</v>
      </c>
      <c r="D1442">
        <v>704853</v>
      </c>
      <c r="E1442">
        <v>704853</v>
      </c>
      <c r="F1442">
        <v>42745</v>
      </c>
      <c r="G1442">
        <v>1</v>
      </c>
      <c r="H1442">
        <v>1</v>
      </c>
      <c r="I1442">
        <v>-42744</v>
      </c>
      <c r="J1442">
        <v>-100</v>
      </c>
      <c r="K1442">
        <v>1</v>
      </c>
      <c r="L1442">
        <v>-42744</v>
      </c>
      <c r="M1442">
        <v>-100</v>
      </c>
      <c r="N1442">
        <v>1</v>
      </c>
      <c r="O1442">
        <v>1</v>
      </c>
      <c r="P1442" t="s">
        <v>192</v>
      </c>
      <c r="Q1442" t="s">
        <v>192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 s="367"/>
    </row>
    <row r="1443" spans="1:24">
      <c r="A1443" t="s">
        <v>203</v>
      </c>
      <c r="B1443" t="s">
        <v>202</v>
      </c>
      <c r="C1443">
        <v>433</v>
      </c>
      <c r="D1443">
        <v>170633425</v>
      </c>
      <c r="E1443">
        <v>477602956575</v>
      </c>
      <c r="F1443">
        <v>2718</v>
      </c>
      <c r="G1443">
        <v>2799</v>
      </c>
      <c r="H1443">
        <v>2799</v>
      </c>
      <c r="I1443">
        <v>81</v>
      </c>
      <c r="J1443">
        <v>2.98</v>
      </c>
      <c r="K1443">
        <v>2799</v>
      </c>
      <c r="L1443">
        <v>81</v>
      </c>
      <c r="M1443">
        <v>2.98</v>
      </c>
      <c r="N1443">
        <v>2799</v>
      </c>
      <c r="O1443">
        <v>2799</v>
      </c>
      <c r="P1443">
        <v>584</v>
      </c>
      <c r="Q1443">
        <v>4.79</v>
      </c>
      <c r="R1443">
        <v>284</v>
      </c>
      <c r="S1443">
        <v>231484336</v>
      </c>
      <c r="T1443">
        <v>2799</v>
      </c>
      <c r="U1443">
        <v>0</v>
      </c>
      <c r="V1443">
        <v>0</v>
      </c>
      <c r="W1443">
        <v>0</v>
      </c>
      <c r="X1443" s="367"/>
    </row>
    <row r="1444" spans="1:24">
      <c r="A1444" t="s">
        <v>3312</v>
      </c>
      <c r="B1444" t="s">
        <v>3313</v>
      </c>
      <c r="C1444">
        <v>0</v>
      </c>
      <c r="D1444">
        <v>0</v>
      </c>
      <c r="E1444">
        <v>0</v>
      </c>
      <c r="F1444">
        <v>1000000</v>
      </c>
      <c r="G1444">
        <v>0</v>
      </c>
      <c r="H1444">
        <v>1000000</v>
      </c>
      <c r="I1444">
        <v>0</v>
      </c>
      <c r="J1444">
        <v>0</v>
      </c>
      <c r="K1444">
        <v>1000000</v>
      </c>
      <c r="L1444">
        <v>0</v>
      </c>
      <c r="M1444">
        <v>0</v>
      </c>
      <c r="N1444">
        <v>0</v>
      </c>
      <c r="O1444">
        <v>0</v>
      </c>
      <c r="P1444" t="s">
        <v>192</v>
      </c>
      <c r="Q1444" t="s">
        <v>192</v>
      </c>
      <c r="R1444">
        <v>1</v>
      </c>
      <c r="S1444">
        <v>750</v>
      </c>
      <c r="T1444">
        <v>1000000</v>
      </c>
      <c r="U1444">
        <v>0</v>
      </c>
      <c r="V1444">
        <v>0</v>
      </c>
      <c r="W1444">
        <v>0</v>
      </c>
      <c r="X1444" s="367"/>
    </row>
    <row r="1445" spans="1:24">
      <c r="A1445" t="s">
        <v>2147</v>
      </c>
      <c r="B1445" t="s">
        <v>222</v>
      </c>
      <c r="C1445">
        <v>16</v>
      </c>
      <c r="D1445">
        <v>4153445</v>
      </c>
      <c r="E1445">
        <v>2417304990</v>
      </c>
      <c r="F1445">
        <v>566</v>
      </c>
      <c r="G1445">
        <v>582</v>
      </c>
      <c r="H1445">
        <v>582</v>
      </c>
      <c r="I1445">
        <v>16</v>
      </c>
      <c r="J1445">
        <v>2.83</v>
      </c>
      <c r="K1445">
        <v>582</v>
      </c>
      <c r="L1445">
        <v>16</v>
      </c>
      <c r="M1445">
        <v>2.83</v>
      </c>
      <c r="N1445">
        <v>582</v>
      </c>
      <c r="O1445">
        <v>582</v>
      </c>
      <c r="P1445">
        <v>-49</v>
      </c>
      <c r="Q1445">
        <v>-11.88</v>
      </c>
      <c r="R1445">
        <v>374</v>
      </c>
      <c r="S1445">
        <v>732487502</v>
      </c>
      <c r="T1445">
        <v>582</v>
      </c>
      <c r="U1445">
        <v>0</v>
      </c>
      <c r="V1445">
        <v>0</v>
      </c>
      <c r="W1445">
        <v>0</v>
      </c>
      <c r="X1445" s="367"/>
    </row>
    <row r="1446" spans="1:24">
      <c r="A1446" t="s">
        <v>3314</v>
      </c>
      <c r="B1446" t="s">
        <v>3315</v>
      </c>
      <c r="C1446">
        <v>2006</v>
      </c>
      <c r="D1446">
        <v>15981899</v>
      </c>
      <c r="E1446">
        <v>601267562382</v>
      </c>
      <c r="F1446">
        <v>36527</v>
      </c>
      <c r="G1446">
        <v>37622</v>
      </c>
      <c r="H1446">
        <v>37622</v>
      </c>
      <c r="I1446">
        <v>1095</v>
      </c>
      <c r="J1446">
        <v>3</v>
      </c>
      <c r="K1446">
        <v>37622</v>
      </c>
      <c r="L1446">
        <v>1095</v>
      </c>
      <c r="M1446">
        <v>3</v>
      </c>
      <c r="N1446">
        <v>37210</v>
      </c>
      <c r="O1446">
        <v>37622</v>
      </c>
      <c r="P1446" t="s">
        <v>192</v>
      </c>
      <c r="Q1446" t="s">
        <v>192</v>
      </c>
      <c r="R1446">
        <v>24</v>
      </c>
      <c r="S1446">
        <v>228610</v>
      </c>
      <c r="T1446">
        <v>37622</v>
      </c>
      <c r="U1446">
        <v>37632</v>
      </c>
      <c r="V1446">
        <v>1000</v>
      </c>
      <c r="W1446">
        <v>1</v>
      </c>
      <c r="X1446" s="367"/>
    </row>
    <row r="1447" spans="1:24">
      <c r="A1447" t="s">
        <v>3316</v>
      </c>
      <c r="B1447" t="s">
        <v>3317</v>
      </c>
      <c r="C1447">
        <v>0</v>
      </c>
      <c r="D1447">
        <v>0</v>
      </c>
      <c r="E1447">
        <v>0</v>
      </c>
      <c r="F1447">
        <v>1000000</v>
      </c>
      <c r="G1447">
        <v>0</v>
      </c>
      <c r="H1447">
        <v>1000000</v>
      </c>
      <c r="I1447">
        <v>0</v>
      </c>
      <c r="J1447">
        <v>0</v>
      </c>
      <c r="K1447">
        <v>1000000</v>
      </c>
      <c r="L1447">
        <v>0</v>
      </c>
      <c r="M1447">
        <v>0</v>
      </c>
      <c r="N1447">
        <v>0</v>
      </c>
      <c r="O1447">
        <v>0</v>
      </c>
      <c r="P1447" t="s">
        <v>192</v>
      </c>
      <c r="Q1447" t="s">
        <v>192</v>
      </c>
      <c r="R1447">
        <v>1</v>
      </c>
      <c r="S1447">
        <v>5000</v>
      </c>
      <c r="T1447">
        <v>1000000</v>
      </c>
      <c r="U1447">
        <v>0</v>
      </c>
      <c r="V1447">
        <v>0</v>
      </c>
      <c r="W1447">
        <v>0</v>
      </c>
      <c r="X1447" s="367"/>
    </row>
    <row r="1448" spans="1:24">
      <c r="A1448" t="s">
        <v>2294</v>
      </c>
      <c r="B1448" t="s">
        <v>2293</v>
      </c>
      <c r="C1448">
        <v>301</v>
      </c>
      <c r="D1448">
        <v>1363102</v>
      </c>
      <c r="E1448">
        <v>12090714740</v>
      </c>
      <c r="F1448">
        <v>8620</v>
      </c>
      <c r="G1448">
        <v>8870</v>
      </c>
      <c r="H1448">
        <v>8870</v>
      </c>
      <c r="I1448">
        <v>250</v>
      </c>
      <c r="J1448">
        <v>2.9</v>
      </c>
      <c r="K1448">
        <v>8870</v>
      </c>
      <c r="L1448">
        <v>250</v>
      </c>
      <c r="M1448">
        <v>2.9</v>
      </c>
      <c r="N1448">
        <v>8870</v>
      </c>
      <c r="O1448">
        <v>8870</v>
      </c>
      <c r="P1448">
        <v>830</v>
      </c>
      <c r="Q1448">
        <v>10.69</v>
      </c>
      <c r="R1448">
        <v>100</v>
      </c>
      <c r="S1448">
        <v>7649590</v>
      </c>
      <c r="T1448">
        <v>8870</v>
      </c>
      <c r="U1448">
        <v>0</v>
      </c>
      <c r="V1448">
        <v>0</v>
      </c>
      <c r="W1448">
        <v>0</v>
      </c>
      <c r="X1448" s="367"/>
    </row>
    <row r="1449" spans="1:24">
      <c r="A1449" t="s">
        <v>6476</v>
      </c>
      <c r="B1449" t="s">
        <v>6477</v>
      </c>
      <c r="C1449">
        <v>9</v>
      </c>
      <c r="D1449">
        <v>148918</v>
      </c>
      <c r="E1449">
        <v>476387600</v>
      </c>
      <c r="F1449">
        <v>3150</v>
      </c>
      <c r="G1449">
        <v>3200</v>
      </c>
      <c r="H1449">
        <v>3170</v>
      </c>
      <c r="I1449">
        <v>20</v>
      </c>
      <c r="J1449">
        <v>0.63</v>
      </c>
      <c r="K1449">
        <v>3200</v>
      </c>
      <c r="L1449">
        <v>50</v>
      </c>
      <c r="M1449">
        <v>1.59</v>
      </c>
      <c r="N1449">
        <v>3170</v>
      </c>
      <c r="O1449">
        <v>3200</v>
      </c>
      <c r="P1449" t="s">
        <v>192</v>
      </c>
      <c r="Q1449" t="s">
        <v>192</v>
      </c>
      <c r="R1449">
        <v>4</v>
      </c>
      <c r="S1449">
        <v>208800</v>
      </c>
      <c r="T1449">
        <v>3100</v>
      </c>
      <c r="U1449">
        <v>3170</v>
      </c>
      <c r="V1449">
        <v>3851082</v>
      </c>
      <c r="W1449">
        <v>15</v>
      </c>
      <c r="X1449" s="367"/>
    </row>
    <row r="1450" spans="1:24">
      <c r="A1450" t="s">
        <v>3318</v>
      </c>
      <c r="B1450" t="s">
        <v>3319</v>
      </c>
      <c r="C1450">
        <v>0</v>
      </c>
      <c r="D1450">
        <v>0</v>
      </c>
      <c r="E1450">
        <v>0</v>
      </c>
      <c r="F1450">
        <v>1000000</v>
      </c>
      <c r="G1450">
        <v>0</v>
      </c>
      <c r="H1450">
        <v>1000000</v>
      </c>
      <c r="I1450">
        <v>0</v>
      </c>
      <c r="J1450">
        <v>0</v>
      </c>
      <c r="K1450">
        <v>1000000</v>
      </c>
      <c r="L1450">
        <v>0</v>
      </c>
      <c r="M1450">
        <v>0</v>
      </c>
      <c r="N1450">
        <v>0</v>
      </c>
      <c r="O1450">
        <v>0</v>
      </c>
      <c r="P1450" t="s">
        <v>192</v>
      </c>
      <c r="Q1450" t="s">
        <v>192</v>
      </c>
      <c r="R1450">
        <v>1</v>
      </c>
      <c r="S1450">
        <v>5000</v>
      </c>
      <c r="T1450">
        <v>1000000</v>
      </c>
      <c r="U1450">
        <v>0</v>
      </c>
      <c r="V1450">
        <v>0</v>
      </c>
      <c r="W1450">
        <v>0</v>
      </c>
      <c r="X1450" s="367"/>
    </row>
    <row r="1451" spans="1:24">
      <c r="A1451" t="s">
        <v>1715</v>
      </c>
      <c r="B1451" t="s">
        <v>1714</v>
      </c>
      <c r="C1451">
        <v>167</v>
      </c>
      <c r="D1451">
        <v>15271634</v>
      </c>
      <c r="E1451">
        <v>39109460663</v>
      </c>
      <c r="F1451">
        <v>2487</v>
      </c>
      <c r="G1451">
        <v>2561</v>
      </c>
      <c r="H1451">
        <v>2561</v>
      </c>
      <c r="I1451">
        <v>74</v>
      </c>
      <c r="J1451">
        <v>2.98</v>
      </c>
      <c r="K1451">
        <v>2561</v>
      </c>
      <c r="L1451">
        <v>74</v>
      </c>
      <c r="M1451">
        <v>2.98</v>
      </c>
      <c r="N1451">
        <v>2541</v>
      </c>
      <c r="O1451">
        <v>2561</v>
      </c>
      <c r="P1451">
        <v>925</v>
      </c>
      <c r="Q1451">
        <v>2.77</v>
      </c>
      <c r="R1451">
        <v>2</v>
      </c>
      <c r="S1451">
        <v>40000</v>
      </c>
      <c r="T1451">
        <v>2553</v>
      </c>
      <c r="U1451">
        <v>0</v>
      </c>
      <c r="V1451">
        <v>0</v>
      </c>
      <c r="W1451">
        <v>0</v>
      </c>
      <c r="X1451" s="367"/>
    </row>
    <row r="1452" spans="1:24">
      <c r="A1452" t="s">
        <v>3320</v>
      </c>
      <c r="B1452" t="s">
        <v>3321</v>
      </c>
      <c r="C1452">
        <v>251</v>
      </c>
      <c r="D1452">
        <v>26325560</v>
      </c>
      <c r="E1452">
        <v>266813157365</v>
      </c>
      <c r="F1452">
        <v>10117</v>
      </c>
      <c r="G1452">
        <v>10135</v>
      </c>
      <c r="H1452">
        <v>10136</v>
      </c>
      <c r="I1452">
        <v>19</v>
      </c>
      <c r="J1452">
        <v>0.19</v>
      </c>
      <c r="K1452">
        <v>10135</v>
      </c>
      <c r="L1452">
        <v>18</v>
      </c>
      <c r="M1452">
        <v>0.18</v>
      </c>
      <c r="N1452">
        <v>10135</v>
      </c>
      <c r="O1452">
        <v>10136</v>
      </c>
      <c r="P1452" t="s">
        <v>192</v>
      </c>
      <c r="Q1452" t="s">
        <v>192</v>
      </c>
      <c r="R1452">
        <v>5</v>
      </c>
      <c r="S1452">
        <v>69703893</v>
      </c>
      <c r="T1452">
        <v>10135</v>
      </c>
      <c r="U1452">
        <v>10136</v>
      </c>
      <c r="V1452">
        <v>18138693</v>
      </c>
      <c r="W1452">
        <v>1</v>
      </c>
      <c r="X1452" s="367"/>
    </row>
    <row r="1453" spans="1:24">
      <c r="A1453" t="s">
        <v>8684</v>
      </c>
      <c r="B1453" t="s">
        <v>8628</v>
      </c>
      <c r="C1453">
        <v>1</v>
      </c>
      <c r="D1453">
        <v>610000</v>
      </c>
      <c r="E1453">
        <v>560095900000</v>
      </c>
      <c r="F1453">
        <v>891450</v>
      </c>
      <c r="G1453">
        <v>918190</v>
      </c>
      <c r="H1453">
        <v>918190</v>
      </c>
      <c r="I1453">
        <v>26740</v>
      </c>
      <c r="J1453">
        <v>3</v>
      </c>
      <c r="K1453">
        <v>918190</v>
      </c>
      <c r="L1453">
        <v>26740</v>
      </c>
      <c r="M1453">
        <v>3</v>
      </c>
      <c r="N1453">
        <v>918190</v>
      </c>
      <c r="O1453">
        <v>918190</v>
      </c>
      <c r="P1453" t="s">
        <v>192</v>
      </c>
      <c r="Q1453" t="s">
        <v>192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 s="367"/>
    </row>
    <row r="1454" spans="1:24">
      <c r="A1454" t="s">
        <v>2523</v>
      </c>
      <c r="B1454" t="s">
        <v>2522</v>
      </c>
      <c r="C1454">
        <v>1041</v>
      </c>
      <c r="D1454">
        <v>2358981</v>
      </c>
      <c r="E1454">
        <v>77117159910</v>
      </c>
      <c r="F1454">
        <v>32450</v>
      </c>
      <c r="G1454">
        <v>33400</v>
      </c>
      <c r="H1454">
        <v>32000</v>
      </c>
      <c r="I1454">
        <v>-450</v>
      </c>
      <c r="J1454">
        <v>-1.39</v>
      </c>
      <c r="K1454">
        <v>32690</v>
      </c>
      <c r="L1454">
        <v>240</v>
      </c>
      <c r="M1454">
        <v>0.74</v>
      </c>
      <c r="N1454">
        <v>32000</v>
      </c>
      <c r="O1454">
        <v>33400</v>
      </c>
      <c r="P1454">
        <v>2473</v>
      </c>
      <c r="Q1454">
        <v>13.22</v>
      </c>
      <c r="R1454">
        <v>1</v>
      </c>
      <c r="S1454">
        <v>1182</v>
      </c>
      <c r="T1454">
        <v>32000</v>
      </c>
      <c r="U1454">
        <v>32400</v>
      </c>
      <c r="V1454">
        <v>12064</v>
      </c>
      <c r="W1454">
        <v>1</v>
      </c>
      <c r="X1454" s="367"/>
    </row>
    <row r="1455" spans="1:24">
      <c r="A1455" t="s">
        <v>2787</v>
      </c>
      <c r="B1455" t="s">
        <v>2786</v>
      </c>
      <c r="C1455">
        <v>151</v>
      </c>
      <c r="D1455">
        <v>1554155</v>
      </c>
      <c r="E1455">
        <v>38480877800</v>
      </c>
      <c r="F1455">
        <v>24040</v>
      </c>
      <c r="G1455">
        <v>24760</v>
      </c>
      <c r="H1455">
        <v>24760</v>
      </c>
      <c r="I1455">
        <v>720</v>
      </c>
      <c r="J1455">
        <v>3</v>
      </c>
      <c r="K1455">
        <v>24760</v>
      </c>
      <c r="L1455">
        <v>720</v>
      </c>
      <c r="M1455">
        <v>3</v>
      </c>
      <c r="N1455">
        <v>24760</v>
      </c>
      <c r="O1455">
        <v>24760</v>
      </c>
      <c r="P1455">
        <v>3153</v>
      </c>
      <c r="Q1455">
        <v>7.85</v>
      </c>
      <c r="R1455">
        <v>47</v>
      </c>
      <c r="S1455">
        <v>1838175</v>
      </c>
      <c r="T1455">
        <v>24760</v>
      </c>
      <c r="U1455">
        <v>0</v>
      </c>
      <c r="V1455">
        <v>0</v>
      </c>
      <c r="W1455">
        <v>0</v>
      </c>
      <c r="X1455" s="367"/>
    </row>
    <row r="1456" spans="1:24">
      <c r="A1456" t="s">
        <v>97</v>
      </c>
      <c r="B1456" t="s">
        <v>96</v>
      </c>
      <c r="C1456">
        <v>220</v>
      </c>
      <c r="D1456">
        <v>4660501</v>
      </c>
      <c r="E1456">
        <v>37936478140</v>
      </c>
      <c r="F1456">
        <v>7910</v>
      </c>
      <c r="G1456">
        <v>8140</v>
      </c>
      <c r="H1456">
        <v>8140</v>
      </c>
      <c r="I1456">
        <v>230</v>
      </c>
      <c r="J1456">
        <v>2.91</v>
      </c>
      <c r="K1456">
        <v>8140</v>
      </c>
      <c r="L1456">
        <v>230</v>
      </c>
      <c r="M1456">
        <v>2.91</v>
      </c>
      <c r="N1456">
        <v>8140</v>
      </c>
      <c r="O1456">
        <v>8140</v>
      </c>
      <c r="P1456">
        <v>1348</v>
      </c>
      <c r="Q1456">
        <v>6.04</v>
      </c>
      <c r="R1456">
        <v>40</v>
      </c>
      <c r="S1456">
        <v>5359518</v>
      </c>
      <c r="T1456">
        <v>8140</v>
      </c>
      <c r="U1456">
        <v>0</v>
      </c>
      <c r="V1456">
        <v>0</v>
      </c>
      <c r="W1456">
        <v>0</v>
      </c>
      <c r="X1456" s="367"/>
    </row>
    <row r="1457" spans="1:24">
      <c r="A1457" t="s">
        <v>2204</v>
      </c>
      <c r="B1457" t="s">
        <v>2203</v>
      </c>
      <c r="C1457">
        <v>1380</v>
      </c>
      <c r="D1457">
        <v>1256762</v>
      </c>
      <c r="E1457">
        <v>212624495300</v>
      </c>
      <c r="F1457">
        <v>166500</v>
      </c>
      <c r="G1457">
        <v>171400</v>
      </c>
      <c r="H1457">
        <v>168800</v>
      </c>
      <c r="I1457">
        <v>2300</v>
      </c>
      <c r="J1457">
        <v>1.38</v>
      </c>
      <c r="K1457">
        <v>169200</v>
      </c>
      <c r="L1457">
        <v>2700</v>
      </c>
      <c r="M1457">
        <v>1.62</v>
      </c>
      <c r="N1457">
        <v>167500</v>
      </c>
      <c r="O1457">
        <v>171400</v>
      </c>
      <c r="P1457">
        <v>20406</v>
      </c>
      <c r="Q1457">
        <v>8.2899999999999991</v>
      </c>
      <c r="R1457">
        <v>1</v>
      </c>
      <c r="S1457">
        <v>100</v>
      </c>
      <c r="T1457">
        <v>168800</v>
      </c>
      <c r="U1457">
        <v>169300</v>
      </c>
      <c r="V1457">
        <v>4904</v>
      </c>
      <c r="W1457">
        <v>2</v>
      </c>
      <c r="X1457" s="367"/>
    </row>
    <row r="1458" spans="1:24">
      <c r="A1458" t="s">
        <v>3322</v>
      </c>
      <c r="B1458" t="s">
        <v>3323</v>
      </c>
      <c r="C1458">
        <v>0</v>
      </c>
      <c r="D1458">
        <v>0</v>
      </c>
      <c r="E1458">
        <v>0</v>
      </c>
      <c r="F1458">
        <v>1000000</v>
      </c>
      <c r="G1458">
        <v>0</v>
      </c>
      <c r="H1458">
        <v>1000000</v>
      </c>
      <c r="I1458">
        <v>0</v>
      </c>
      <c r="J1458">
        <v>0</v>
      </c>
      <c r="K1458">
        <v>1000000</v>
      </c>
      <c r="L1458">
        <v>0</v>
      </c>
      <c r="M1458">
        <v>0</v>
      </c>
      <c r="N1458">
        <v>0</v>
      </c>
      <c r="O1458">
        <v>0</v>
      </c>
      <c r="P1458" t="s">
        <v>192</v>
      </c>
      <c r="Q1458" t="s">
        <v>192</v>
      </c>
      <c r="R1458">
        <v>1</v>
      </c>
      <c r="S1458">
        <v>15000</v>
      </c>
      <c r="T1458">
        <v>990000</v>
      </c>
      <c r="U1458">
        <v>1000000</v>
      </c>
      <c r="V1458">
        <v>15000</v>
      </c>
      <c r="W1458">
        <v>1</v>
      </c>
      <c r="X1458" s="367"/>
    </row>
    <row r="1459" spans="1:24">
      <c r="A1459" t="s">
        <v>2922</v>
      </c>
      <c r="B1459" t="s">
        <v>2921</v>
      </c>
      <c r="C1459">
        <v>300</v>
      </c>
      <c r="D1459">
        <v>19192252</v>
      </c>
      <c r="E1459">
        <v>44965355353</v>
      </c>
      <c r="F1459">
        <v>2279</v>
      </c>
      <c r="G1459">
        <v>2240</v>
      </c>
      <c r="H1459">
        <v>2326</v>
      </c>
      <c r="I1459">
        <v>47</v>
      </c>
      <c r="J1459">
        <v>2.06</v>
      </c>
      <c r="K1459">
        <v>2343</v>
      </c>
      <c r="L1459">
        <v>64</v>
      </c>
      <c r="M1459">
        <v>2.81</v>
      </c>
      <c r="N1459">
        <v>2240</v>
      </c>
      <c r="O1459">
        <v>2347</v>
      </c>
      <c r="P1459">
        <v>370</v>
      </c>
      <c r="Q1459">
        <v>6.33</v>
      </c>
      <c r="R1459">
        <v>1</v>
      </c>
      <c r="S1459">
        <v>348316</v>
      </c>
      <c r="T1459">
        <v>2326</v>
      </c>
      <c r="U1459">
        <v>2347</v>
      </c>
      <c r="V1459">
        <v>116369</v>
      </c>
      <c r="W1459">
        <v>3</v>
      </c>
      <c r="X1459" s="367"/>
    </row>
    <row r="1460" spans="1:24">
      <c r="A1460" t="s">
        <v>3324</v>
      </c>
      <c r="B1460" t="s">
        <v>3325</v>
      </c>
      <c r="C1460">
        <v>0</v>
      </c>
      <c r="D1460">
        <v>0</v>
      </c>
      <c r="E1460">
        <v>0</v>
      </c>
      <c r="F1460">
        <v>970000</v>
      </c>
      <c r="G1460">
        <v>0</v>
      </c>
      <c r="H1460">
        <v>970000</v>
      </c>
      <c r="I1460">
        <v>0</v>
      </c>
      <c r="J1460">
        <v>0</v>
      </c>
      <c r="K1460">
        <v>970000</v>
      </c>
      <c r="L1460">
        <v>0</v>
      </c>
      <c r="M1460">
        <v>0</v>
      </c>
      <c r="N1460">
        <v>0</v>
      </c>
      <c r="O1460">
        <v>0</v>
      </c>
      <c r="P1460" t="s">
        <v>192</v>
      </c>
      <c r="Q1460" t="s">
        <v>192</v>
      </c>
      <c r="R1460">
        <v>1</v>
      </c>
      <c r="S1460">
        <v>6250</v>
      </c>
      <c r="T1460">
        <v>965000</v>
      </c>
      <c r="U1460">
        <v>0</v>
      </c>
      <c r="V1460">
        <v>0</v>
      </c>
      <c r="W1460">
        <v>0</v>
      </c>
      <c r="X1460" s="367"/>
    </row>
    <row r="1461" spans="1:24">
      <c r="A1461" t="s">
        <v>3326</v>
      </c>
      <c r="B1461" t="s">
        <v>3327</v>
      </c>
      <c r="C1461">
        <v>0</v>
      </c>
      <c r="D1461">
        <v>0</v>
      </c>
      <c r="E1461">
        <v>0</v>
      </c>
      <c r="F1461">
        <v>1000000</v>
      </c>
      <c r="G1461">
        <v>0</v>
      </c>
      <c r="H1461">
        <v>1000000</v>
      </c>
      <c r="I1461">
        <v>0</v>
      </c>
      <c r="J1461">
        <v>0</v>
      </c>
      <c r="K1461">
        <v>1000000</v>
      </c>
      <c r="L1461">
        <v>0</v>
      </c>
      <c r="M1461">
        <v>0</v>
      </c>
      <c r="N1461">
        <v>0</v>
      </c>
      <c r="O1461">
        <v>0</v>
      </c>
      <c r="P1461" t="s">
        <v>192</v>
      </c>
      <c r="Q1461" t="s">
        <v>192</v>
      </c>
      <c r="R1461">
        <v>1</v>
      </c>
      <c r="S1461">
        <v>5000</v>
      </c>
      <c r="T1461">
        <v>1000000</v>
      </c>
      <c r="U1461">
        <v>0</v>
      </c>
      <c r="V1461">
        <v>0</v>
      </c>
      <c r="W1461">
        <v>0</v>
      </c>
      <c r="X1461" s="367"/>
    </row>
    <row r="1462" spans="1:24">
      <c r="A1462" t="s">
        <v>7964</v>
      </c>
      <c r="B1462" t="s">
        <v>7965</v>
      </c>
      <c r="C1462">
        <v>0</v>
      </c>
      <c r="D1462">
        <v>0</v>
      </c>
      <c r="E1462">
        <v>0</v>
      </c>
      <c r="F1462">
        <v>1</v>
      </c>
      <c r="G1462">
        <v>0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 t="s">
        <v>192</v>
      </c>
      <c r="Q1462" t="s">
        <v>192</v>
      </c>
      <c r="R1462">
        <v>1</v>
      </c>
      <c r="S1462">
        <v>100</v>
      </c>
      <c r="T1462">
        <v>1</v>
      </c>
      <c r="U1462">
        <v>0</v>
      </c>
      <c r="V1462">
        <v>0</v>
      </c>
      <c r="W1462">
        <v>0</v>
      </c>
      <c r="X1462" s="367"/>
    </row>
    <row r="1463" spans="1:24">
      <c r="A1463" t="s">
        <v>8813</v>
      </c>
      <c r="B1463" t="s">
        <v>1746</v>
      </c>
      <c r="C1463">
        <v>28</v>
      </c>
      <c r="D1463">
        <v>580224</v>
      </c>
      <c r="E1463">
        <v>11053267200</v>
      </c>
      <c r="F1463">
        <v>18510</v>
      </c>
      <c r="G1463">
        <v>19050</v>
      </c>
      <c r="H1463">
        <v>19050</v>
      </c>
      <c r="I1463">
        <v>540</v>
      </c>
      <c r="J1463">
        <v>2.92</v>
      </c>
      <c r="K1463">
        <v>19050</v>
      </c>
      <c r="L1463">
        <v>540</v>
      </c>
      <c r="M1463">
        <v>2.92</v>
      </c>
      <c r="N1463">
        <v>19050</v>
      </c>
      <c r="O1463">
        <v>19050</v>
      </c>
      <c r="P1463">
        <v>522</v>
      </c>
      <c r="Q1463">
        <v>36.49</v>
      </c>
      <c r="R1463">
        <v>0</v>
      </c>
      <c r="S1463">
        <v>0</v>
      </c>
      <c r="T1463">
        <v>0</v>
      </c>
      <c r="U1463">
        <v>19050</v>
      </c>
      <c r="V1463">
        <v>165776</v>
      </c>
      <c r="W1463">
        <v>2</v>
      </c>
      <c r="X1463" s="367"/>
    </row>
    <row r="1464" spans="1:24">
      <c r="A1464" t="s">
        <v>4710</v>
      </c>
      <c r="B1464" t="s">
        <v>8239</v>
      </c>
      <c r="C1464">
        <v>606</v>
      </c>
      <c r="D1464">
        <v>263202</v>
      </c>
      <c r="E1464">
        <v>7338898000</v>
      </c>
      <c r="F1464">
        <v>17</v>
      </c>
      <c r="G1464">
        <v>23</v>
      </c>
      <c r="H1464">
        <v>32</v>
      </c>
      <c r="I1464">
        <v>15</v>
      </c>
      <c r="J1464">
        <v>88.24</v>
      </c>
      <c r="K1464">
        <v>28</v>
      </c>
      <c r="L1464">
        <v>11</v>
      </c>
      <c r="M1464">
        <v>64.709999999999994</v>
      </c>
      <c r="N1464">
        <v>20</v>
      </c>
      <c r="O1464">
        <v>34</v>
      </c>
      <c r="P1464" t="s">
        <v>192</v>
      </c>
      <c r="Q1464" t="s">
        <v>192</v>
      </c>
      <c r="R1464">
        <v>1</v>
      </c>
      <c r="S1464">
        <v>92</v>
      </c>
      <c r="T1464">
        <v>30</v>
      </c>
      <c r="U1464">
        <v>32</v>
      </c>
      <c r="V1464">
        <v>1130</v>
      </c>
      <c r="W1464">
        <v>2</v>
      </c>
      <c r="X1464" s="367"/>
    </row>
    <row r="1465" spans="1:24">
      <c r="A1465" t="s">
        <v>8635</v>
      </c>
      <c r="B1465" t="s">
        <v>1771</v>
      </c>
      <c r="C1465">
        <v>14</v>
      </c>
      <c r="D1465">
        <v>2500000</v>
      </c>
      <c r="E1465">
        <v>2500000</v>
      </c>
      <c r="F1465">
        <v>53785</v>
      </c>
      <c r="G1465">
        <v>1</v>
      </c>
      <c r="H1465">
        <v>1</v>
      </c>
      <c r="I1465">
        <v>-53784</v>
      </c>
      <c r="J1465">
        <v>-100</v>
      </c>
      <c r="K1465">
        <v>1</v>
      </c>
      <c r="L1465">
        <v>-53784</v>
      </c>
      <c r="M1465">
        <v>-100</v>
      </c>
      <c r="N1465">
        <v>1</v>
      </c>
      <c r="O1465">
        <v>1</v>
      </c>
      <c r="P1465" t="s">
        <v>192</v>
      </c>
      <c r="Q1465" t="s">
        <v>192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 s="367"/>
    </row>
    <row r="1466" spans="1:24">
      <c r="A1466" t="s">
        <v>2542</v>
      </c>
      <c r="B1466" t="s">
        <v>2541</v>
      </c>
      <c r="C1466">
        <v>160</v>
      </c>
      <c r="D1466">
        <v>33152371</v>
      </c>
      <c r="E1466">
        <v>34843141921</v>
      </c>
      <c r="F1466">
        <v>1021</v>
      </c>
      <c r="G1466">
        <v>1051</v>
      </c>
      <c r="H1466">
        <v>1051</v>
      </c>
      <c r="I1466">
        <v>30</v>
      </c>
      <c r="J1466">
        <v>2.94</v>
      </c>
      <c r="K1466">
        <v>1051</v>
      </c>
      <c r="L1466">
        <v>30</v>
      </c>
      <c r="M1466">
        <v>2.94</v>
      </c>
      <c r="N1466">
        <v>1051</v>
      </c>
      <c r="O1466">
        <v>1051</v>
      </c>
      <c r="P1466">
        <v>46</v>
      </c>
      <c r="Q1466">
        <v>22.85</v>
      </c>
      <c r="R1466">
        <v>71</v>
      </c>
      <c r="S1466">
        <v>20680983</v>
      </c>
      <c r="T1466">
        <v>1051</v>
      </c>
      <c r="U1466">
        <v>0</v>
      </c>
      <c r="V1466">
        <v>0</v>
      </c>
      <c r="W1466">
        <v>0</v>
      </c>
      <c r="X1466" s="367"/>
    </row>
    <row r="1467" spans="1:24">
      <c r="A1467" t="s">
        <v>4712</v>
      </c>
      <c r="B1467" t="s">
        <v>4713</v>
      </c>
      <c r="C1467">
        <v>0</v>
      </c>
      <c r="D1467">
        <v>0</v>
      </c>
      <c r="E1467">
        <v>0</v>
      </c>
      <c r="F1467">
        <v>1000000</v>
      </c>
      <c r="G1467">
        <v>0</v>
      </c>
      <c r="H1467">
        <v>1000000</v>
      </c>
      <c r="I1467">
        <v>0</v>
      </c>
      <c r="J1467">
        <v>0</v>
      </c>
      <c r="K1467">
        <v>1000000</v>
      </c>
      <c r="L1467">
        <v>0</v>
      </c>
      <c r="M1467">
        <v>0</v>
      </c>
      <c r="N1467">
        <v>0</v>
      </c>
      <c r="O1467">
        <v>0</v>
      </c>
      <c r="P1467" t="s">
        <v>192</v>
      </c>
      <c r="Q1467" t="s">
        <v>192</v>
      </c>
      <c r="R1467">
        <v>1</v>
      </c>
      <c r="S1467">
        <v>5000</v>
      </c>
      <c r="T1467">
        <v>1000000</v>
      </c>
      <c r="U1467">
        <v>0</v>
      </c>
      <c r="V1467">
        <v>0</v>
      </c>
      <c r="W1467">
        <v>0</v>
      </c>
      <c r="X1467" s="367"/>
    </row>
    <row r="1468" spans="1:24">
      <c r="A1468" t="s">
        <v>4714</v>
      </c>
      <c r="B1468" t="s">
        <v>4715</v>
      </c>
      <c r="C1468">
        <v>1081</v>
      </c>
      <c r="D1468">
        <v>68775</v>
      </c>
      <c r="E1468">
        <v>5579490000</v>
      </c>
      <c r="F1468">
        <v>217</v>
      </c>
      <c r="G1468">
        <v>199</v>
      </c>
      <c r="H1468">
        <v>62</v>
      </c>
      <c r="I1468">
        <v>-155</v>
      </c>
      <c r="J1468">
        <v>-71.430000000000007</v>
      </c>
      <c r="K1468">
        <v>81</v>
      </c>
      <c r="L1468">
        <v>-136</v>
      </c>
      <c r="M1468">
        <v>-62.67</v>
      </c>
      <c r="N1468">
        <v>57</v>
      </c>
      <c r="O1468">
        <v>199</v>
      </c>
      <c r="P1468" t="s">
        <v>192</v>
      </c>
      <c r="Q1468" t="s">
        <v>192</v>
      </c>
      <c r="R1468">
        <v>1</v>
      </c>
      <c r="S1468">
        <v>58</v>
      </c>
      <c r="T1468">
        <v>62</v>
      </c>
      <c r="U1468">
        <v>66</v>
      </c>
      <c r="V1468">
        <v>150</v>
      </c>
      <c r="W1468">
        <v>1</v>
      </c>
      <c r="X1468" s="367"/>
    </row>
    <row r="1469" spans="1:24">
      <c r="A1469" t="s">
        <v>6753</v>
      </c>
      <c r="B1469" t="s">
        <v>6754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 t="s">
        <v>192</v>
      </c>
      <c r="Q1469" t="s">
        <v>192</v>
      </c>
      <c r="R1469">
        <v>1</v>
      </c>
      <c r="S1469">
        <v>333</v>
      </c>
      <c r="T1469">
        <v>3</v>
      </c>
      <c r="U1469">
        <v>0</v>
      </c>
      <c r="V1469">
        <v>0</v>
      </c>
      <c r="W1469">
        <v>0</v>
      </c>
      <c r="X1469" s="367"/>
    </row>
    <row r="1470" spans="1:24">
      <c r="A1470" t="s">
        <v>4716</v>
      </c>
      <c r="B1470" t="s">
        <v>4717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1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 t="s">
        <v>192</v>
      </c>
      <c r="Q1470" t="s">
        <v>192</v>
      </c>
      <c r="R1470">
        <v>1</v>
      </c>
      <c r="S1470">
        <v>44</v>
      </c>
      <c r="T1470">
        <v>44</v>
      </c>
      <c r="U1470">
        <v>0</v>
      </c>
      <c r="V1470">
        <v>0</v>
      </c>
      <c r="W1470">
        <v>0</v>
      </c>
      <c r="X1470" s="367"/>
    </row>
    <row r="1471" spans="1:24">
      <c r="A1471" t="s">
        <v>4718</v>
      </c>
      <c r="B1471" t="s">
        <v>4719</v>
      </c>
      <c r="C1471">
        <v>28</v>
      </c>
      <c r="D1471">
        <v>1767</v>
      </c>
      <c r="E1471">
        <v>1159317000</v>
      </c>
      <c r="F1471">
        <v>615</v>
      </c>
      <c r="G1471">
        <v>611</v>
      </c>
      <c r="H1471">
        <v>732</v>
      </c>
      <c r="I1471">
        <v>117</v>
      </c>
      <c r="J1471">
        <v>19.02</v>
      </c>
      <c r="K1471">
        <v>656</v>
      </c>
      <c r="L1471">
        <v>41</v>
      </c>
      <c r="M1471">
        <v>6.67</v>
      </c>
      <c r="N1471">
        <v>600</v>
      </c>
      <c r="O1471">
        <v>737</v>
      </c>
      <c r="P1471" t="s">
        <v>192</v>
      </c>
      <c r="Q1471" t="s">
        <v>192</v>
      </c>
      <c r="R1471">
        <v>1</v>
      </c>
      <c r="S1471">
        <v>40</v>
      </c>
      <c r="T1471">
        <v>645</v>
      </c>
      <c r="U1471">
        <v>740</v>
      </c>
      <c r="V1471">
        <v>10</v>
      </c>
      <c r="W1471">
        <v>1</v>
      </c>
      <c r="X1471" s="367"/>
    </row>
    <row r="1472" spans="1:24">
      <c r="A1472" t="s">
        <v>69</v>
      </c>
      <c r="B1472" t="s">
        <v>68</v>
      </c>
      <c r="C1472">
        <v>257</v>
      </c>
      <c r="D1472">
        <v>803597</v>
      </c>
      <c r="E1472">
        <v>55351761360</v>
      </c>
      <c r="F1472">
        <v>66880</v>
      </c>
      <c r="G1472">
        <v>68880</v>
      </c>
      <c r="H1472">
        <v>68880</v>
      </c>
      <c r="I1472">
        <v>2000</v>
      </c>
      <c r="J1472">
        <v>2.99</v>
      </c>
      <c r="K1472">
        <v>68880</v>
      </c>
      <c r="L1472">
        <v>2000</v>
      </c>
      <c r="M1472">
        <v>2.99</v>
      </c>
      <c r="N1472">
        <v>68880</v>
      </c>
      <c r="O1472">
        <v>68880</v>
      </c>
      <c r="P1472">
        <v>10205</v>
      </c>
      <c r="Q1472">
        <v>6.75</v>
      </c>
      <c r="R1472">
        <v>131</v>
      </c>
      <c r="S1472">
        <v>1065162</v>
      </c>
      <c r="T1472">
        <v>68880</v>
      </c>
      <c r="U1472">
        <v>69000</v>
      </c>
      <c r="V1472">
        <v>1000</v>
      </c>
      <c r="W1472">
        <v>1</v>
      </c>
      <c r="X1472" s="367"/>
    </row>
    <row r="1473" spans="1:24">
      <c r="A1473" t="s">
        <v>4722</v>
      </c>
      <c r="B1473" t="s">
        <v>4723</v>
      </c>
      <c r="C1473">
        <v>565</v>
      </c>
      <c r="D1473">
        <v>807380</v>
      </c>
      <c r="E1473">
        <v>17681622000</v>
      </c>
      <c r="F1473">
        <v>21270</v>
      </c>
      <c r="G1473">
        <v>21900</v>
      </c>
      <c r="H1473">
        <v>21900</v>
      </c>
      <c r="I1473">
        <v>630</v>
      </c>
      <c r="J1473">
        <v>2.96</v>
      </c>
      <c r="K1473">
        <v>21900</v>
      </c>
      <c r="L1473">
        <v>630</v>
      </c>
      <c r="M1473">
        <v>2.96</v>
      </c>
      <c r="N1473">
        <v>21900</v>
      </c>
      <c r="O1473">
        <v>21900</v>
      </c>
      <c r="P1473">
        <v>2382</v>
      </c>
      <c r="Q1473">
        <v>9.19</v>
      </c>
      <c r="R1473">
        <v>9</v>
      </c>
      <c r="S1473">
        <v>45984</v>
      </c>
      <c r="T1473">
        <v>21900</v>
      </c>
      <c r="U1473">
        <v>21990</v>
      </c>
      <c r="V1473">
        <v>50</v>
      </c>
      <c r="W1473">
        <v>1</v>
      </c>
      <c r="X1473" s="367"/>
    </row>
    <row r="1474" spans="1:24">
      <c r="A1474" t="s">
        <v>4724</v>
      </c>
      <c r="B1474" t="s">
        <v>4725</v>
      </c>
      <c r="C1474">
        <v>217</v>
      </c>
      <c r="D1474">
        <v>47325135</v>
      </c>
      <c r="E1474">
        <v>1856330390348</v>
      </c>
      <c r="F1474">
        <v>39163</v>
      </c>
      <c r="G1474">
        <v>39225</v>
      </c>
      <c r="H1474">
        <v>39225</v>
      </c>
      <c r="I1474">
        <v>62</v>
      </c>
      <c r="J1474">
        <v>0.16</v>
      </c>
      <c r="K1474">
        <v>39225</v>
      </c>
      <c r="L1474">
        <v>62</v>
      </c>
      <c r="M1474">
        <v>0.16</v>
      </c>
      <c r="N1474">
        <v>39225</v>
      </c>
      <c r="O1474">
        <v>39226</v>
      </c>
      <c r="P1474" t="s">
        <v>192</v>
      </c>
      <c r="Q1474" t="s">
        <v>192</v>
      </c>
      <c r="R1474">
        <v>4</v>
      </c>
      <c r="S1474">
        <v>97423588</v>
      </c>
      <c r="T1474">
        <v>39225</v>
      </c>
      <c r="U1474">
        <v>39226</v>
      </c>
      <c r="V1474">
        <v>4754017</v>
      </c>
      <c r="W1474">
        <v>11</v>
      </c>
      <c r="X1474" s="367"/>
    </row>
    <row r="1475" spans="1:24">
      <c r="A1475" t="s">
        <v>8240</v>
      </c>
      <c r="B1475" t="s">
        <v>8241</v>
      </c>
      <c r="C1475">
        <v>67</v>
      </c>
      <c r="D1475">
        <v>12519</v>
      </c>
      <c r="E1475">
        <v>424590000</v>
      </c>
      <c r="F1475">
        <v>18</v>
      </c>
      <c r="G1475">
        <v>67</v>
      </c>
      <c r="H1475">
        <v>29</v>
      </c>
      <c r="I1475">
        <v>11</v>
      </c>
      <c r="J1475">
        <v>61.11</v>
      </c>
      <c r="K1475">
        <v>34</v>
      </c>
      <c r="L1475">
        <v>16</v>
      </c>
      <c r="M1475">
        <v>88.89</v>
      </c>
      <c r="N1475">
        <v>25</v>
      </c>
      <c r="O1475">
        <v>67</v>
      </c>
      <c r="P1475" t="s">
        <v>192</v>
      </c>
      <c r="Q1475" t="s">
        <v>192</v>
      </c>
      <c r="R1475">
        <v>101</v>
      </c>
      <c r="S1475">
        <v>101000</v>
      </c>
      <c r="T1475">
        <v>28</v>
      </c>
      <c r="U1475">
        <v>29</v>
      </c>
      <c r="V1475">
        <v>1278</v>
      </c>
      <c r="W1475">
        <v>2</v>
      </c>
      <c r="X1475" s="367"/>
    </row>
    <row r="1476" spans="1:24">
      <c r="A1476" t="s">
        <v>4726</v>
      </c>
      <c r="B1476" t="s">
        <v>4727</v>
      </c>
      <c r="C1476">
        <v>0</v>
      </c>
      <c r="D1476">
        <v>0</v>
      </c>
      <c r="E1476">
        <v>0</v>
      </c>
      <c r="F1476">
        <v>1000000</v>
      </c>
      <c r="G1476">
        <v>0</v>
      </c>
      <c r="H1476">
        <v>1000000</v>
      </c>
      <c r="I1476">
        <v>0</v>
      </c>
      <c r="J1476">
        <v>0</v>
      </c>
      <c r="K1476">
        <v>1000000</v>
      </c>
      <c r="L1476">
        <v>0</v>
      </c>
      <c r="M1476">
        <v>0</v>
      </c>
      <c r="N1476">
        <v>0</v>
      </c>
      <c r="O1476">
        <v>0</v>
      </c>
      <c r="P1476" t="s">
        <v>192</v>
      </c>
      <c r="Q1476" t="s">
        <v>192</v>
      </c>
      <c r="R1476">
        <v>1</v>
      </c>
      <c r="S1476">
        <v>5000</v>
      </c>
      <c r="T1476">
        <v>959860</v>
      </c>
      <c r="U1476">
        <v>0</v>
      </c>
      <c r="V1476">
        <v>0</v>
      </c>
      <c r="W1476">
        <v>0</v>
      </c>
      <c r="X1476" s="367"/>
    </row>
    <row r="1477" spans="1:24">
      <c r="A1477" t="s">
        <v>2510</v>
      </c>
      <c r="B1477" t="s">
        <v>2509</v>
      </c>
      <c r="C1477">
        <v>127</v>
      </c>
      <c r="D1477">
        <v>6443829</v>
      </c>
      <c r="E1477">
        <v>39693986640</v>
      </c>
      <c r="F1477">
        <v>5990</v>
      </c>
      <c r="G1477">
        <v>6160</v>
      </c>
      <c r="H1477">
        <v>6160</v>
      </c>
      <c r="I1477">
        <v>170</v>
      </c>
      <c r="J1477">
        <v>2.84</v>
      </c>
      <c r="K1477">
        <v>6160</v>
      </c>
      <c r="L1477">
        <v>170</v>
      </c>
      <c r="M1477">
        <v>2.84</v>
      </c>
      <c r="N1477">
        <v>6160</v>
      </c>
      <c r="O1477">
        <v>6160</v>
      </c>
      <c r="P1477">
        <v>-66</v>
      </c>
      <c r="Q1477">
        <v>-93.33</v>
      </c>
      <c r="R1477">
        <v>102</v>
      </c>
      <c r="S1477">
        <v>5109299</v>
      </c>
      <c r="T1477">
        <v>6160</v>
      </c>
      <c r="U1477">
        <v>6650</v>
      </c>
      <c r="V1477">
        <v>1000</v>
      </c>
      <c r="W1477">
        <v>1</v>
      </c>
      <c r="X1477" s="367"/>
    </row>
    <row r="1478" spans="1:24">
      <c r="A1478" t="s">
        <v>4728</v>
      </c>
      <c r="B1478" t="s">
        <v>4729</v>
      </c>
      <c r="C1478">
        <v>0</v>
      </c>
      <c r="D1478">
        <v>0</v>
      </c>
      <c r="E1478">
        <v>0</v>
      </c>
      <c r="F1478">
        <v>902500</v>
      </c>
      <c r="G1478">
        <v>0</v>
      </c>
      <c r="H1478">
        <v>902500</v>
      </c>
      <c r="I1478">
        <v>0</v>
      </c>
      <c r="J1478">
        <v>0</v>
      </c>
      <c r="K1478">
        <v>902500</v>
      </c>
      <c r="L1478">
        <v>0</v>
      </c>
      <c r="M1478">
        <v>0</v>
      </c>
      <c r="N1478">
        <v>0</v>
      </c>
      <c r="O1478">
        <v>0</v>
      </c>
      <c r="P1478" t="s">
        <v>192</v>
      </c>
      <c r="Q1478" t="s">
        <v>192</v>
      </c>
      <c r="R1478">
        <v>1</v>
      </c>
      <c r="S1478">
        <v>10000</v>
      </c>
      <c r="T1478">
        <v>902500</v>
      </c>
      <c r="U1478">
        <v>911520</v>
      </c>
      <c r="V1478">
        <v>5000</v>
      </c>
      <c r="W1478">
        <v>1</v>
      </c>
      <c r="X1478" s="367"/>
    </row>
    <row r="1479" spans="1:24">
      <c r="A1479" t="s">
        <v>5376</v>
      </c>
      <c r="B1479" t="s">
        <v>4026</v>
      </c>
      <c r="C1479">
        <v>8</v>
      </c>
      <c r="D1479">
        <v>64000000</v>
      </c>
      <c r="E1479">
        <v>64000000</v>
      </c>
      <c r="F1479">
        <v>134192</v>
      </c>
      <c r="G1479">
        <v>1</v>
      </c>
      <c r="H1479">
        <v>1</v>
      </c>
      <c r="I1479">
        <v>-134191</v>
      </c>
      <c r="J1479">
        <v>-100</v>
      </c>
      <c r="K1479">
        <v>1</v>
      </c>
      <c r="L1479">
        <v>-134191</v>
      </c>
      <c r="M1479">
        <v>-100</v>
      </c>
      <c r="N1479">
        <v>1</v>
      </c>
      <c r="O1479">
        <v>1</v>
      </c>
      <c r="P1479" t="s">
        <v>192</v>
      </c>
      <c r="Q1479" t="s">
        <v>192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 s="367"/>
    </row>
    <row r="1480" spans="1:24">
      <c r="A1480" t="s">
        <v>5377</v>
      </c>
      <c r="B1480" t="s">
        <v>5378</v>
      </c>
      <c r="C1480">
        <v>0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 t="s">
        <v>192</v>
      </c>
      <c r="Q1480" t="s">
        <v>192</v>
      </c>
      <c r="R1480">
        <v>1</v>
      </c>
      <c r="S1480">
        <v>44</v>
      </c>
      <c r="T1480">
        <v>44</v>
      </c>
      <c r="U1480">
        <v>0</v>
      </c>
      <c r="V1480">
        <v>0</v>
      </c>
      <c r="W1480">
        <v>0</v>
      </c>
      <c r="X1480" s="367"/>
    </row>
    <row r="1481" spans="1:24">
      <c r="A1481" t="s">
        <v>5379</v>
      </c>
      <c r="B1481" t="s">
        <v>3178</v>
      </c>
      <c r="C1481">
        <v>610</v>
      </c>
      <c r="D1481">
        <v>3845181</v>
      </c>
      <c r="E1481">
        <v>237939971999</v>
      </c>
      <c r="F1481">
        <v>62200</v>
      </c>
      <c r="G1481">
        <v>62163</v>
      </c>
      <c r="H1481">
        <v>61800</v>
      </c>
      <c r="I1481">
        <v>-400</v>
      </c>
      <c r="J1481">
        <v>-0.64</v>
      </c>
      <c r="K1481">
        <v>61880</v>
      </c>
      <c r="L1481">
        <v>-320</v>
      </c>
      <c r="M1481">
        <v>-0.51</v>
      </c>
      <c r="N1481">
        <v>61751</v>
      </c>
      <c r="O1481">
        <v>62163</v>
      </c>
      <c r="P1481" t="s">
        <v>192</v>
      </c>
      <c r="Q1481" t="s">
        <v>192</v>
      </c>
      <c r="R1481">
        <v>6</v>
      </c>
      <c r="S1481">
        <v>1598</v>
      </c>
      <c r="T1481">
        <v>61800</v>
      </c>
      <c r="U1481">
        <v>61830</v>
      </c>
      <c r="V1481">
        <v>40413</v>
      </c>
      <c r="W1481">
        <v>2</v>
      </c>
      <c r="X1481" s="367"/>
    </row>
    <row r="1482" spans="1:24">
      <c r="A1482" t="s">
        <v>8814</v>
      </c>
      <c r="B1482" t="s">
        <v>2428</v>
      </c>
      <c r="C1482">
        <v>2</v>
      </c>
      <c r="D1482">
        <v>30009</v>
      </c>
      <c r="E1482">
        <v>172251660</v>
      </c>
      <c r="F1482">
        <v>5580</v>
      </c>
      <c r="G1482">
        <v>5740</v>
      </c>
      <c r="H1482">
        <v>5740</v>
      </c>
      <c r="I1482">
        <v>160</v>
      </c>
      <c r="J1482">
        <v>2.87</v>
      </c>
      <c r="K1482">
        <v>5740</v>
      </c>
      <c r="L1482">
        <v>160</v>
      </c>
      <c r="M1482">
        <v>2.87</v>
      </c>
      <c r="N1482">
        <v>5740</v>
      </c>
      <c r="O1482">
        <v>5740</v>
      </c>
      <c r="P1482">
        <v>1000</v>
      </c>
      <c r="Q1482">
        <v>5.74</v>
      </c>
      <c r="R1482">
        <v>35</v>
      </c>
      <c r="S1482">
        <v>8120523</v>
      </c>
      <c r="T1482">
        <v>5740</v>
      </c>
      <c r="U1482">
        <v>0</v>
      </c>
      <c r="V1482">
        <v>0</v>
      </c>
      <c r="W1482">
        <v>0</v>
      </c>
      <c r="X1482" s="367"/>
    </row>
    <row r="1483" spans="1:24">
      <c r="A1483" t="s">
        <v>5380</v>
      </c>
      <c r="B1483" t="s">
        <v>5381</v>
      </c>
      <c r="C1483">
        <v>0</v>
      </c>
      <c r="D1483">
        <v>0</v>
      </c>
      <c r="E1483">
        <v>0</v>
      </c>
      <c r="F1483">
        <v>955000</v>
      </c>
      <c r="G1483">
        <v>0</v>
      </c>
      <c r="H1483">
        <v>955000</v>
      </c>
      <c r="I1483">
        <v>0</v>
      </c>
      <c r="J1483">
        <v>0</v>
      </c>
      <c r="K1483">
        <v>955000</v>
      </c>
      <c r="L1483">
        <v>0</v>
      </c>
      <c r="M1483">
        <v>0</v>
      </c>
      <c r="N1483">
        <v>0</v>
      </c>
      <c r="O1483">
        <v>0</v>
      </c>
      <c r="P1483" t="s">
        <v>192</v>
      </c>
      <c r="Q1483" t="s">
        <v>192</v>
      </c>
      <c r="R1483">
        <v>0</v>
      </c>
      <c r="S1483">
        <v>0</v>
      </c>
      <c r="T1483">
        <v>0</v>
      </c>
      <c r="U1483">
        <v>994450</v>
      </c>
      <c r="V1483">
        <v>100000</v>
      </c>
      <c r="W1483">
        <v>1</v>
      </c>
      <c r="X1483" s="367"/>
    </row>
    <row r="1484" spans="1:24">
      <c r="A1484" t="s">
        <v>2803</v>
      </c>
      <c r="B1484" t="s">
        <v>2802</v>
      </c>
      <c r="C1484">
        <v>421</v>
      </c>
      <c r="D1484">
        <v>13564957</v>
      </c>
      <c r="E1484">
        <v>51156766020</v>
      </c>
      <c r="F1484">
        <v>3670</v>
      </c>
      <c r="G1484">
        <v>3780</v>
      </c>
      <c r="H1484">
        <v>3780</v>
      </c>
      <c r="I1484">
        <v>110</v>
      </c>
      <c r="J1484">
        <v>3</v>
      </c>
      <c r="K1484">
        <v>3770</v>
      </c>
      <c r="L1484">
        <v>100</v>
      </c>
      <c r="M1484">
        <v>2.72</v>
      </c>
      <c r="N1484">
        <v>3710</v>
      </c>
      <c r="O1484">
        <v>3780</v>
      </c>
      <c r="P1484">
        <v>849</v>
      </c>
      <c r="Q1484">
        <v>4.4400000000000004</v>
      </c>
      <c r="R1484">
        <v>7</v>
      </c>
      <c r="S1484">
        <v>353644</v>
      </c>
      <c r="T1484">
        <v>3780</v>
      </c>
      <c r="U1484">
        <v>3920</v>
      </c>
      <c r="V1484">
        <v>1296</v>
      </c>
      <c r="W1484">
        <v>1</v>
      </c>
      <c r="X1484" s="367"/>
    </row>
    <row r="1485" spans="1:24">
      <c r="A1485" t="s">
        <v>5382</v>
      </c>
      <c r="B1485" t="s">
        <v>5383</v>
      </c>
      <c r="C1485">
        <v>1724</v>
      </c>
      <c r="D1485">
        <v>37226104</v>
      </c>
      <c r="E1485">
        <v>306800503563</v>
      </c>
      <c r="F1485">
        <v>8095</v>
      </c>
      <c r="G1485">
        <v>8210</v>
      </c>
      <c r="H1485">
        <v>8288</v>
      </c>
      <c r="I1485">
        <v>193</v>
      </c>
      <c r="J1485">
        <v>2.38</v>
      </c>
      <c r="K1485">
        <v>8242</v>
      </c>
      <c r="L1485">
        <v>147</v>
      </c>
      <c r="M1485">
        <v>1.82</v>
      </c>
      <c r="N1485">
        <v>8185</v>
      </c>
      <c r="O1485">
        <v>8307</v>
      </c>
      <c r="P1485" t="s">
        <v>192</v>
      </c>
      <c r="Q1485" t="s">
        <v>192</v>
      </c>
      <c r="R1485">
        <v>1</v>
      </c>
      <c r="S1485">
        <v>200</v>
      </c>
      <c r="T1485">
        <v>8290</v>
      </c>
      <c r="U1485">
        <v>8292</v>
      </c>
      <c r="V1485">
        <v>40020</v>
      </c>
      <c r="W1485">
        <v>4</v>
      </c>
      <c r="X1485" s="367"/>
    </row>
    <row r="1486" spans="1:24">
      <c r="A1486" t="s">
        <v>5384</v>
      </c>
      <c r="B1486" t="s">
        <v>5385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 t="s">
        <v>192</v>
      </c>
      <c r="Q1486" t="s">
        <v>192</v>
      </c>
      <c r="R1486">
        <v>1</v>
      </c>
      <c r="S1486">
        <v>100</v>
      </c>
      <c r="T1486">
        <v>1</v>
      </c>
      <c r="U1486">
        <v>0</v>
      </c>
      <c r="V1486">
        <v>0</v>
      </c>
      <c r="W1486">
        <v>0</v>
      </c>
      <c r="X1486" s="367"/>
    </row>
    <row r="1487" spans="1:24">
      <c r="A1487" t="s">
        <v>2375</v>
      </c>
      <c r="B1487" t="s">
        <v>2374</v>
      </c>
      <c r="C1487">
        <v>478</v>
      </c>
      <c r="D1487">
        <v>21632285</v>
      </c>
      <c r="E1487">
        <v>70951858270</v>
      </c>
      <c r="F1487">
        <v>3190</v>
      </c>
      <c r="G1487">
        <v>3280</v>
      </c>
      <c r="H1487">
        <v>3280</v>
      </c>
      <c r="I1487">
        <v>90</v>
      </c>
      <c r="J1487">
        <v>2.82</v>
      </c>
      <c r="K1487">
        <v>3280</v>
      </c>
      <c r="L1487">
        <v>90</v>
      </c>
      <c r="M1487">
        <v>2.82</v>
      </c>
      <c r="N1487">
        <v>3270</v>
      </c>
      <c r="O1487">
        <v>3280</v>
      </c>
      <c r="P1487">
        <v>523</v>
      </c>
      <c r="Q1487">
        <v>6.27</v>
      </c>
      <c r="R1487">
        <v>30</v>
      </c>
      <c r="S1487">
        <v>3759763</v>
      </c>
      <c r="T1487">
        <v>3280</v>
      </c>
      <c r="U1487">
        <v>3490</v>
      </c>
      <c r="V1487">
        <v>8001</v>
      </c>
      <c r="W1487">
        <v>1</v>
      </c>
      <c r="X1487" s="367"/>
    </row>
    <row r="1488" spans="1:24">
      <c r="A1488" t="s">
        <v>5386</v>
      </c>
      <c r="B1488" t="s">
        <v>5387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 t="s">
        <v>192</v>
      </c>
      <c r="Q1488" t="s">
        <v>192</v>
      </c>
      <c r="R1488">
        <v>0</v>
      </c>
      <c r="S1488">
        <v>0</v>
      </c>
      <c r="T1488">
        <v>0</v>
      </c>
      <c r="U1488">
        <v>1</v>
      </c>
      <c r="V1488">
        <v>22172</v>
      </c>
      <c r="W1488">
        <v>23</v>
      </c>
      <c r="X1488" s="367"/>
    </row>
    <row r="1489" spans="1:24">
      <c r="A1489" t="s">
        <v>7814</v>
      </c>
      <c r="B1489" t="s">
        <v>7815</v>
      </c>
      <c r="C1489">
        <v>213</v>
      </c>
      <c r="D1489">
        <v>6548900</v>
      </c>
      <c r="E1489">
        <v>23883698130</v>
      </c>
      <c r="F1489">
        <v>3560</v>
      </c>
      <c r="G1489">
        <v>3610</v>
      </c>
      <c r="H1489">
        <v>3660</v>
      </c>
      <c r="I1489">
        <v>100</v>
      </c>
      <c r="J1489">
        <v>2.81</v>
      </c>
      <c r="K1489">
        <v>3650</v>
      </c>
      <c r="L1489">
        <v>90</v>
      </c>
      <c r="M1489">
        <v>2.5299999999999998</v>
      </c>
      <c r="N1489">
        <v>3520</v>
      </c>
      <c r="O1489">
        <v>3660</v>
      </c>
      <c r="P1489">
        <v>2</v>
      </c>
      <c r="Q1489">
        <v>1825</v>
      </c>
      <c r="R1489">
        <v>6</v>
      </c>
      <c r="S1489">
        <v>294890</v>
      </c>
      <c r="T1489">
        <v>3660</v>
      </c>
      <c r="U1489">
        <v>0</v>
      </c>
      <c r="V1489">
        <v>0</v>
      </c>
      <c r="W1489">
        <v>0</v>
      </c>
      <c r="X1489" s="367"/>
    </row>
    <row r="1490" spans="1:24">
      <c r="A1490" t="s">
        <v>1915</v>
      </c>
      <c r="B1490" t="s">
        <v>1914</v>
      </c>
      <c r="C1490">
        <v>22</v>
      </c>
      <c r="D1490">
        <v>2928733</v>
      </c>
      <c r="E1490">
        <v>5397654919</v>
      </c>
      <c r="F1490">
        <v>1790</v>
      </c>
      <c r="G1490">
        <v>1843</v>
      </c>
      <c r="H1490">
        <v>1843</v>
      </c>
      <c r="I1490">
        <v>53</v>
      </c>
      <c r="J1490">
        <v>2.96</v>
      </c>
      <c r="K1490">
        <v>1843</v>
      </c>
      <c r="L1490">
        <v>53</v>
      </c>
      <c r="M1490">
        <v>2.96</v>
      </c>
      <c r="N1490">
        <v>1843</v>
      </c>
      <c r="O1490">
        <v>1843</v>
      </c>
      <c r="P1490">
        <v>659</v>
      </c>
      <c r="Q1490">
        <v>2.8</v>
      </c>
      <c r="R1490">
        <v>135</v>
      </c>
      <c r="S1490">
        <v>105459972</v>
      </c>
      <c r="T1490">
        <v>1843</v>
      </c>
      <c r="U1490">
        <v>0</v>
      </c>
      <c r="V1490">
        <v>0</v>
      </c>
      <c r="W1490">
        <v>0</v>
      </c>
      <c r="X1490" s="367"/>
    </row>
    <row r="1491" spans="1:24">
      <c r="A1491" t="s">
        <v>5388</v>
      </c>
      <c r="B1491" t="s">
        <v>5389</v>
      </c>
      <c r="C1491">
        <v>18</v>
      </c>
      <c r="D1491">
        <v>9613</v>
      </c>
      <c r="E1491">
        <v>34165000</v>
      </c>
      <c r="F1491">
        <v>3</v>
      </c>
      <c r="G1491">
        <v>3</v>
      </c>
      <c r="H1491">
        <v>3</v>
      </c>
      <c r="I1491">
        <v>0</v>
      </c>
      <c r="J1491">
        <v>0</v>
      </c>
      <c r="K1491">
        <v>4</v>
      </c>
      <c r="L1491">
        <v>1</v>
      </c>
      <c r="M1491">
        <v>33.33</v>
      </c>
      <c r="N1491">
        <v>3</v>
      </c>
      <c r="O1491">
        <v>6</v>
      </c>
      <c r="P1491" t="s">
        <v>192</v>
      </c>
      <c r="Q1491" t="s">
        <v>192</v>
      </c>
      <c r="R1491">
        <v>1</v>
      </c>
      <c r="S1491">
        <v>100</v>
      </c>
      <c r="T1491">
        <v>3</v>
      </c>
      <c r="U1491">
        <v>4</v>
      </c>
      <c r="V1491">
        <v>1000</v>
      </c>
      <c r="W1491">
        <v>1</v>
      </c>
      <c r="X1491" s="367"/>
    </row>
    <row r="1492" spans="1:24">
      <c r="A1492" t="s">
        <v>5390</v>
      </c>
      <c r="B1492" t="s">
        <v>5391</v>
      </c>
      <c r="C1492">
        <v>0</v>
      </c>
      <c r="D1492">
        <v>0</v>
      </c>
      <c r="E1492">
        <v>0</v>
      </c>
      <c r="F1492">
        <v>867800</v>
      </c>
      <c r="G1492">
        <v>0</v>
      </c>
      <c r="H1492">
        <v>867800</v>
      </c>
      <c r="I1492">
        <v>0</v>
      </c>
      <c r="J1492">
        <v>0</v>
      </c>
      <c r="K1492">
        <v>867800</v>
      </c>
      <c r="L1492">
        <v>0</v>
      </c>
      <c r="M1492">
        <v>0</v>
      </c>
      <c r="N1492">
        <v>0</v>
      </c>
      <c r="O1492">
        <v>0</v>
      </c>
      <c r="P1492" t="s">
        <v>192</v>
      </c>
      <c r="Q1492" t="s">
        <v>192</v>
      </c>
      <c r="R1492">
        <v>1</v>
      </c>
      <c r="S1492">
        <v>10000</v>
      </c>
      <c r="T1492">
        <v>859750</v>
      </c>
      <c r="U1492">
        <v>0</v>
      </c>
      <c r="V1492">
        <v>0</v>
      </c>
      <c r="W1492">
        <v>0</v>
      </c>
      <c r="X1492" s="367"/>
    </row>
    <row r="1493" spans="1:24">
      <c r="A1493" t="s">
        <v>5392</v>
      </c>
      <c r="B1493" t="s">
        <v>5393</v>
      </c>
      <c r="C1493">
        <v>0</v>
      </c>
      <c r="D1493">
        <v>0</v>
      </c>
      <c r="E1493">
        <v>0</v>
      </c>
      <c r="F1493">
        <v>9600</v>
      </c>
      <c r="G1493">
        <v>0</v>
      </c>
      <c r="H1493">
        <v>9600</v>
      </c>
      <c r="I1493">
        <v>0</v>
      </c>
      <c r="J1493">
        <v>0</v>
      </c>
      <c r="K1493">
        <v>9600</v>
      </c>
      <c r="L1493">
        <v>0</v>
      </c>
      <c r="M1493">
        <v>0</v>
      </c>
      <c r="N1493">
        <v>0</v>
      </c>
      <c r="O1493">
        <v>0</v>
      </c>
      <c r="P1493" t="s">
        <v>192</v>
      </c>
      <c r="Q1493" t="s">
        <v>192</v>
      </c>
      <c r="R1493">
        <v>1</v>
      </c>
      <c r="S1493">
        <v>1</v>
      </c>
      <c r="T1493">
        <v>11400</v>
      </c>
      <c r="U1493">
        <v>0</v>
      </c>
      <c r="V1493">
        <v>0</v>
      </c>
      <c r="W1493">
        <v>0</v>
      </c>
      <c r="X1493" s="367"/>
    </row>
    <row r="1494" spans="1:24">
      <c r="A1494" t="s">
        <v>5394</v>
      </c>
      <c r="B1494" t="s">
        <v>5395</v>
      </c>
      <c r="C1494">
        <v>0</v>
      </c>
      <c r="D1494">
        <v>0</v>
      </c>
      <c r="E1494">
        <v>0</v>
      </c>
      <c r="F1494">
        <v>400</v>
      </c>
      <c r="G1494">
        <v>0</v>
      </c>
      <c r="H1494">
        <v>400</v>
      </c>
      <c r="I1494">
        <v>0</v>
      </c>
      <c r="J1494">
        <v>0</v>
      </c>
      <c r="K1494">
        <v>400</v>
      </c>
      <c r="L1494">
        <v>0</v>
      </c>
      <c r="M1494">
        <v>0</v>
      </c>
      <c r="N1494">
        <v>0</v>
      </c>
      <c r="O1494">
        <v>0</v>
      </c>
      <c r="P1494" t="s">
        <v>192</v>
      </c>
      <c r="Q1494" t="s">
        <v>192</v>
      </c>
      <c r="R1494">
        <v>1</v>
      </c>
      <c r="S1494">
        <v>100</v>
      </c>
      <c r="T1494">
        <v>1</v>
      </c>
      <c r="U1494">
        <v>0</v>
      </c>
      <c r="V1494">
        <v>0</v>
      </c>
      <c r="W1494">
        <v>0</v>
      </c>
      <c r="X1494" s="367"/>
    </row>
    <row r="1495" spans="1:24">
      <c r="A1495" t="s">
        <v>5396</v>
      </c>
      <c r="B1495" t="s">
        <v>5397</v>
      </c>
      <c r="C1495">
        <v>0</v>
      </c>
      <c r="D1495">
        <v>0</v>
      </c>
      <c r="E1495">
        <v>0</v>
      </c>
      <c r="F1495">
        <v>123</v>
      </c>
      <c r="G1495">
        <v>0</v>
      </c>
      <c r="H1495">
        <v>100</v>
      </c>
      <c r="I1495">
        <v>-23</v>
      </c>
      <c r="J1495">
        <v>-18.7</v>
      </c>
      <c r="K1495">
        <v>123</v>
      </c>
      <c r="L1495">
        <v>0</v>
      </c>
      <c r="M1495">
        <v>0</v>
      </c>
      <c r="N1495">
        <v>0</v>
      </c>
      <c r="O1495">
        <v>0</v>
      </c>
      <c r="P1495" t="s">
        <v>192</v>
      </c>
      <c r="Q1495" t="s">
        <v>192</v>
      </c>
      <c r="R1495">
        <v>1</v>
      </c>
      <c r="S1495">
        <v>300</v>
      </c>
      <c r="T1495">
        <v>3</v>
      </c>
      <c r="U1495">
        <v>12000</v>
      </c>
      <c r="V1495">
        <v>1</v>
      </c>
      <c r="W1495">
        <v>1</v>
      </c>
      <c r="X1495" s="367"/>
    </row>
    <row r="1496" spans="1:24">
      <c r="A1496" t="s">
        <v>5398</v>
      </c>
      <c r="B1496" t="s">
        <v>5399</v>
      </c>
      <c r="C1496">
        <v>0</v>
      </c>
      <c r="D1496">
        <v>0</v>
      </c>
      <c r="E1496">
        <v>0</v>
      </c>
      <c r="F1496">
        <v>500</v>
      </c>
      <c r="G1496">
        <v>0</v>
      </c>
      <c r="H1496">
        <v>500</v>
      </c>
      <c r="I1496">
        <v>0</v>
      </c>
      <c r="J1496">
        <v>0</v>
      </c>
      <c r="K1496">
        <v>500</v>
      </c>
      <c r="L1496">
        <v>0</v>
      </c>
      <c r="M1496">
        <v>0</v>
      </c>
      <c r="N1496">
        <v>0</v>
      </c>
      <c r="O1496">
        <v>0</v>
      </c>
      <c r="P1496" t="s">
        <v>192</v>
      </c>
      <c r="Q1496" t="s">
        <v>192</v>
      </c>
      <c r="R1496">
        <v>1</v>
      </c>
      <c r="S1496">
        <v>100</v>
      </c>
      <c r="T1496">
        <v>3</v>
      </c>
      <c r="U1496">
        <v>501</v>
      </c>
      <c r="V1496">
        <v>1</v>
      </c>
      <c r="W1496">
        <v>1</v>
      </c>
      <c r="X1496" s="367"/>
    </row>
    <row r="1497" spans="1:24">
      <c r="A1497" t="s">
        <v>5400</v>
      </c>
      <c r="B1497" t="s">
        <v>5401</v>
      </c>
      <c r="C1497">
        <v>6208</v>
      </c>
      <c r="D1497">
        <v>349912</v>
      </c>
      <c r="E1497">
        <v>1905362890000</v>
      </c>
      <c r="F1497">
        <v>2340</v>
      </c>
      <c r="G1497">
        <v>4400</v>
      </c>
      <c r="H1497">
        <v>5600</v>
      </c>
      <c r="I1497">
        <v>3260</v>
      </c>
      <c r="J1497">
        <v>139.32</v>
      </c>
      <c r="K1497">
        <v>5445</v>
      </c>
      <c r="L1497">
        <v>3105</v>
      </c>
      <c r="M1497">
        <v>132.69</v>
      </c>
      <c r="N1497">
        <v>4400</v>
      </c>
      <c r="O1497">
        <v>5829</v>
      </c>
      <c r="P1497" t="s">
        <v>192</v>
      </c>
      <c r="Q1497" t="s">
        <v>192</v>
      </c>
      <c r="R1497">
        <v>1</v>
      </c>
      <c r="S1497">
        <v>4</v>
      </c>
      <c r="T1497">
        <v>5591</v>
      </c>
      <c r="U1497">
        <v>5600</v>
      </c>
      <c r="V1497">
        <v>8</v>
      </c>
      <c r="W1497">
        <v>1</v>
      </c>
      <c r="X1497" s="367"/>
    </row>
    <row r="1498" spans="1:24">
      <c r="A1498" t="s">
        <v>5402</v>
      </c>
      <c r="B1498" t="s">
        <v>5403</v>
      </c>
      <c r="C1498">
        <v>0</v>
      </c>
      <c r="D1498">
        <v>0</v>
      </c>
      <c r="E1498">
        <v>0</v>
      </c>
      <c r="F1498">
        <v>1000000</v>
      </c>
      <c r="G1498">
        <v>0</v>
      </c>
      <c r="H1498">
        <v>1000000</v>
      </c>
      <c r="I1498">
        <v>0</v>
      </c>
      <c r="J1498">
        <v>0</v>
      </c>
      <c r="K1498">
        <v>1000000</v>
      </c>
      <c r="L1498">
        <v>0</v>
      </c>
      <c r="M1498">
        <v>0</v>
      </c>
      <c r="N1498">
        <v>0</v>
      </c>
      <c r="O1498">
        <v>0</v>
      </c>
      <c r="P1498" t="s">
        <v>192</v>
      </c>
      <c r="Q1498" t="s">
        <v>192</v>
      </c>
      <c r="R1498">
        <v>1</v>
      </c>
      <c r="S1498">
        <v>5000</v>
      </c>
      <c r="T1498">
        <v>970000</v>
      </c>
      <c r="U1498">
        <v>0</v>
      </c>
      <c r="V1498">
        <v>0</v>
      </c>
      <c r="W1498">
        <v>0</v>
      </c>
      <c r="X1498" s="367"/>
    </row>
    <row r="1499" spans="1:24">
      <c r="A1499" t="s">
        <v>8681</v>
      </c>
      <c r="B1499" t="s">
        <v>8682</v>
      </c>
      <c r="C1499">
        <v>1</v>
      </c>
      <c r="D1499">
        <v>1005</v>
      </c>
      <c r="E1499">
        <v>798171000</v>
      </c>
      <c r="F1499">
        <v>818220</v>
      </c>
      <c r="G1499">
        <v>794200</v>
      </c>
      <c r="H1499">
        <v>794200</v>
      </c>
      <c r="I1499">
        <v>-24020</v>
      </c>
      <c r="J1499">
        <v>-2.94</v>
      </c>
      <c r="K1499">
        <v>794200</v>
      </c>
      <c r="L1499">
        <v>-24020</v>
      </c>
      <c r="M1499">
        <v>-2.94</v>
      </c>
      <c r="N1499">
        <v>794200</v>
      </c>
      <c r="O1499">
        <v>794200</v>
      </c>
      <c r="P1499" t="s">
        <v>192</v>
      </c>
      <c r="Q1499" t="s">
        <v>192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 s="367"/>
    </row>
    <row r="1500" spans="1:24">
      <c r="A1500" t="s">
        <v>5404</v>
      </c>
      <c r="B1500" t="s">
        <v>5405</v>
      </c>
      <c r="C1500">
        <v>42</v>
      </c>
      <c r="D1500">
        <v>2068</v>
      </c>
      <c r="E1500">
        <v>571866000</v>
      </c>
      <c r="F1500">
        <v>216</v>
      </c>
      <c r="G1500">
        <v>249</v>
      </c>
      <c r="H1500">
        <v>288</v>
      </c>
      <c r="I1500">
        <v>72</v>
      </c>
      <c r="J1500">
        <v>33.33</v>
      </c>
      <c r="K1500">
        <v>277</v>
      </c>
      <c r="L1500">
        <v>61</v>
      </c>
      <c r="M1500">
        <v>28.24</v>
      </c>
      <c r="N1500">
        <v>249</v>
      </c>
      <c r="O1500">
        <v>320</v>
      </c>
      <c r="P1500" t="s">
        <v>192</v>
      </c>
      <c r="Q1500" t="s">
        <v>192</v>
      </c>
      <c r="R1500">
        <v>1</v>
      </c>
      <c r="S1500">
        <v>10</v>
      </c>
      <c r="T1500">
        <v>266</v>
      </c>
      <c r="U1500">
        <v>310</v>
      </c>
      <c r="V1500">
        <v>3000</v>
      </c>
      <c r="W1500">
        <v>3</v>
      </c>
      <c r="X1500" s="367"/>
    </row>
    <row r="1501" spans="1:24">
      <c r="A1501" t="s">
        <v>2198</v>
      </c>
      <c r="B1501" t="s">
        <v>2197</v>
      </c>
      <c r="C1501">
        <v>217</v>
      </c>
      <c r="D1501">
        <v>2775031</v>
      </c>
      <c r="E1501">
        <v>94489805550</v>
      </c>
      <c r="F1501">
        <v>33060</v>
      </c>
      <c r="G1501">
        <v>34050</v>
      </c>
      <c r="H1501">
        <v>34050</v>
      </c>
      <c r="I1501">
        <v>990</v>
      </c>
      <c r="J1501">
        <v>2.99</v>
      </c>
      <c r="K1501">
        <v>34050</v>
      </c>
      <c r="L1501">
        <v>990</v>
      </c>
      <c r="M1501">
        <v>2.99</v>
      </c>
      <c r="N1501">
        <v>34050</v>
      </c>
      <c r="O1501">
        <v>34050</v>
      </c>
      <c r="P1501">
        <v>2096</v>
      </c>
      <c r="Q1501">
        <v>16.25</v>
      </c>
      <c r="R1501">
        <v>89</v>
      </c>
      <c r="S1501">
        <v>1646866</v>
      </c>
      <c r="T1501">
        <v>34050</v>
      </c>
      <c r="U1501">
        <v>0</v>
      </c>
      <c r="V1501">
        <v>0</v>
      </c>
      <c r="W1501">
        <v>0</v>
      </c>
      <c r="X1501" s="367"/>
    </row>
    <row r="1502" spans="1:24">
      <c r="A1502" t="s">
        <v>5406</v>
      </c>
      <c r="B1502" t="s">
        <v>5407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 t="s">
        <v>192</v>
      </c>
      <c r="Q1502" t="s">
        <v>192</v>
      </c>
      <c r="R1502">
        <v>1</v>
      </c>
      <c r="S1502">
        <v>100</v>
      </c>
      <c r="T1502">
        <v>100</v>
      </c>
      <c r="U1502">
        <v>0</v>
      </c>
      <c r="V1502">
        <v>0</v>
      </c>
      <c r="W1502">
        <v>0</v>
      </c>
      <c r="X1502" s="367"/>
    </row>
    <row r="1503" spans="1:24">
      <c r="A1503" t="s">
        <v>6615</v>
      </c>
      <c r="B1503" t="s">
        <v>8244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 t="s">
        <v>192</v>
      </c>
      <c r="Q1503" t="s">
        <v>192</v>
      </c>
      <c r="R1503">
        <v>1</v>
      </c>
      <c r="S1503">
        <v>44</v>
      </c>
      <c r="T1503">
        <v>44</v>
      </c>
      <c r="U1503">
        <v>0</v>
      </c>
      <c r="V1503">
        <v>0</v>
      </c>
      <c r="W1503">
        <v>0</v>
      </c>
      <c r="X1503" s="367"/>
    </row>
    <row r="1504" spans="1:24">
      <c r="A1504" t="s">
        <v>2429</v>
      </c>
      <c r="B1504" t="s">
        <v>2428</v>
      </c>
      <c r="C1504">
        <v>875</v>
      </c>
      <c r="D1504">
        <v>80079775</v>
      </c>
      <c r="E1504">
        <v>459657908500</v>
      </c>
      <c r="F1504">
        <v>5580</v>
      </c>
      <c r="G1504">
        <v>5740</v>
      </c>
      <c r="H1504">
        <v>5740</v>
      </c>
      <c r="I1504">
        <v>160</v>
      </c>
      <c r="J1504">
        <v>2.87</v>
      </c>
      <c r="K1504">
        <v>5740</v>
      </c>
      <c r="L1504">
        <v>160</v>
      </c>
      <c r="M1504">
        <v>2.87</v>
      </c>
      <c r="N1504">
        <v>5740</v>
      </c>
      <c r="O1504">
        <v>5740</v>
      </c>
      <c r="P1504">
        <v>1000</v>
      </c>
      <c r="Q1504">
        <v>5.74</v>
      </c>
      <c r="R1504">
        <v>184</v>
      </c>
      <c r="S1504">
        <v>21217342</v>
      </c>
      <c r="T1504">
        <v>5740</v>
      </c>
      <c r="U1504">
        <v>0</v>
      </c>
      <c r="V1504">
        <v>0</v>
      </c>
      <c r="W1504">
        <v>0</v>
      </c>
      <c r="X1504" s="367"/>
    </row>
    <row r="1505" spans="1:24">
      <c r="A1505" t="s">
        <v>1807</v>
      </c>
      <c r="B1505" t="s">
        <v>1806</v>
      </c>
      <c r="C1505">
        <v>1798</v>
      </c>
      <c r="D1505">
        <v>83096042</v>
      </c>
      <c r="E1505">
        <v>288287075590</v>
      </c>
      <c r="F1505">
        <v>3370</v>
      </c>
      <c r="G1505">
        <v>3470</v>
      </c>
      <c r="H1505">
        <v>3470</v>
      </c>
      <c r="I1505">
        <v>100</v>
      </c>
      <c r="J1505">
        <v>2.97</v>
      </c>
      <c r="K1505">
        <v>3470</v>
      </c>
      <c r="L1505">
        <v>100</v>
      </c>
      <c r="M1505">
        <v>2.97</v>
      </c>
      <c r="N1505">
        <v>3440</v>
      </c>
      <c r="O1505">
        <v>3470</v>
      </c>
      <c r="P1505">
        <v>47</v>
      </c>
      <c r="Q1505">
        <v>73.83</v>
      </c>
      <c r="R1505">
        <v>280</v>
      </c>
      <c r="S1505">
        <v>14372148</v>
      </c>
      <c r="T1505">
        <v>3470</v>
      </c>
      <c r="U1505">
        <v>0</v>
      </c>
      <c r="V1505">
        <v>0</v>
      </c>
      <c r="W1505">
        <v>0</v>
      </c>
      <c r="X1505" s="367"/>
    </row>
    <row r="1506" spans="1:24">
      <c r="A1506" t="s">
        <v>170</v>
      </c>
      <c r="B1506" t="s">
        <v>169</v>
      </c>
      <c r="C1506">
        <v>781</v>
      </c>
      <c r="D1506">
        <v>5828506</v>
      </c>
      <c r="E1506">
        <v>260331049150</v>
      </c>
      <c r="F1506">
        <v>43470</v>
      </c>
      <c r="G1506">
        <v>44450</v>
      </c>
      <c r="H1506">
        <v>44770</v>
      </c>
      <c r="I1506">
        <v>1300</v>
      </c>
      <c r="J1506">
        <v>2.99</v>
      </c>
      <c r="K1506">
        <v>44670</v>
      </c>
      <c r="L1506">
        <v>1200</v>
      </c>
      <c r="M1506">
        <v>2.76</v>
      </c>
      <c r="N1506">
        <v>43500</v>
      </c>
      <c r="O1506">
        <v>44770</v>
      </c>
      <c r="P1506">
        <v>5718</v>
      </c>
      <c r="Q1506">
        <v>7.81</v>
      </c>
      <c r="R1506">
        <v>87</v>
      </c>
      <c r="S1506">
        <v>1689470</v>
      </c>
      <c r="T1506">
        <v>44770</v>
      </c>
      <c r="U1506">
        <v>0</v>
      </c>
      <c r="V1506">
        <v>0</v>
      </c>
      <c r="W1506">
        <v>0</v>
      </c>
      <c r="X1506" s="367"/>
    </row>
    <row r="1507" spans="1:24">
      <c r="A1507" t="s">
        <v>8815</v>
      </c>
      <c r="B1507" t="s">
        <v>7821</v>
      </c>
      <c r="C1507">
        <v>3</v>
      </c>
      <c r="D1507">
        <v>22241</v>
      </c>
      <c r="E1507">
        <v>1092477920</v>
      </c>
      <c r="F1507">
        <v>48590</v>
      </c>
      <c r="G1507">
        <v>49120</v>
      </c>
      <c r="H1507">
        <v>49120</v>
      </c>
      <c r="I1507">
        <v>530</v>
      </c>
      <c r="J1507">
        <v>1.0900000000000001</v>
      </c>
      <c r="K1507">
        <v>49120</v>
      </c>
      <c r="L1507">
        <v>530</v>
      </c>
      <c r="M1507">
        <v>1.0900000000000001</v>
      </c>
      <c r="N1507">
        <v>49120</v>
      </c>
      <c r="O1507">
        <v>49120</v>
      </c>
      <c r="P1507">
        <v>3353</v>
      </c>
      <c r="Q1507">
        <v>14.65</v>
      </c>
      <c r="R1507">
        <v>0</v>
      </c>
      <c r="S1507">
        <v>0</v>
      </c>
      <c r="T1507">
        <v>0</v>
      </c>
      <c r="U1507">
        <v>49120</v>
      </c>
      <c r="V1507">
        <v>19389</v>
      </c>
      <c r="W1507">
        <v>5</v>
      </c>
      <c r="X1507" s="367"/>
    </row>
    <row r="1508" spans="1:24">
      <c r="A1508" t="s">
        <v>6793</v>
      </c>
      <c r="B1508" t="s">
        <v>7947</v>
      </c>
      <c r="C1508">
        <v>1</v>
      </c>
      <c r="D1508">
        <v>1</v>
      </c>
      <c r="E1508">
        <v>720000</v>
      </c>
      <c r="F1508">
        <v>720</v>
      </c>
      <c r="G1508">
        <v>720</v>
      </c>
      <c r="H1508">
        <v>720</v>
      </c>
      <c r="I1508">
        <v>0</v>
      </c>
      <c r="J1508">
        <v>0</v>
      </c>
      <c r="K1508">
        <v>720</v>
      </c>
      <c r="L1508">
        <v>0</v>
      </c>
      <c r="M1508">
        <v>0</v>
      </c>
      <c r="N1508">
        <v>720</v>
      </c>
      <c r="O1508">
        <v>720</v>
      </c>
      <c r="P1508" t="s">
        <v>192</v>
      </c>
      <c r="Q1508" t="s">
        <v>192</v>
      </c>
      <c r="R1508">
        <v>1</v>
      </c>
      <c r="S1508">
        <v>100</v>
      </c>
      <c r="T1508">
        <v>520</v>
      </c>
      <c r="U1508">
        <v>0</v>
      </c>
      <c r="V1508">
        <v>0</v>
      </c>
      <c r="W1508">
        <v>0</v>
      </c>
      <c r="X1508" s="367"/>
    </row>
    <row r="1509" spans="1:24">
      <c r="A1509" t="s">
        <v>4730</v>
      </c>
      <c r="B1509" t="s">
        <v>4731</v>
      </c>
      <c r="C1509">
        <v>0</v>
      </c>
      <c r="D1509">
        <v>0</v>
      </c>
      <c r="E1509">
        <v>0</v>
      </c>
      <c r="F1509">
        <v>1000000</v>
      </c>
      <c r="G1509">
        <v>0</v>
      </c>
      <c r="H1509">
        <v>1000000</v>
      </c>
      <c r="I1509">
        <v>0</v>
      </c>
      <c r="J1509">
        <v>0</v>
      </c>
      <c r="K1509">
        <v>1000000</v>
      </c>
      <c r="L1509">
        <v>0</v>
      </c>
      <c r="M1509">
        <v>0</v>
      </c>
      <c r="N1509">
        <v>0</v>
      </c>
      <c r="O1509">
        <v>0</v>
      </c>
      <c r="P1509" t="s">
        <v>192</v>
      </c>
      <c r="Q1509" t="s">
        <v>192</v>
      </c>
      <c r="R1509">
        <v>1</v>
      </c>
      <c r="S1509">
        <v>5000</v>
      </c>
      <c r="T1509">
        <v>1000000</v>
      </c>
      <c r="U1509">
        <v>1010000</v>
      </c>
      <c r="V1509">
        <v>5000</v>
      </c>
      <c r="W1509">
        <v>1</v>
      </c>
      <c r="X1509" s="367"/>
    </row>
    <row r="1510" spans="1:24">
      <c r="A1510" t="s">
        <v>8026</v>
      </c>
      <c r="B1510" t="s">
        <v>8027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 t="s">
        <v>192</v>
      </c>
      <c r="Q1510" t="s">
        <v>192</v>
      </c>
      <c r="R1510">
        <v>1</v>
      </c>
      <c r="S1510">
        <v>44</v>
      </c>
      <c r="T1510">
        <v>44</v>
      </c>
      <c r="U1510">
        <v>0</v>
      </c>
      <c r="V1510">
        <v>0</v>
      </c>
      <c r="W1510">
        <v>0</v>
      </c>
      <c r="X1510" s="367"/>
    </row>
    <row r="1511" spans="1:24">
      <c r="A1511" t="s">
        <v>4734</v>
      </c>
      <c r="B1511" t="s">
        <v>4735</v>
      </c>
      <c r="C1511">
        <v>5</v>
      </c>
      <c r="D1511">
        <v>1025</v>
      </c>
      <c r="E1511">
        <v>912270860</v>
      </c>
      <c r="F1511">
        <v>892890</v>
      </c>
      <c r="G1511">
        <v>900000</v>
      </c>
      <c r="H1511">
        <v>893230</v>
      </c>
      <c r="I1511">
        <v>340</v>
      </c>
      <c r="J1511">
        <v>0.04</v>
      </c>
      <c r="K1511">
        <v>890020</v>
      </c>
      <c r="L1511">
        <v>-2870</v>
      </c>
      <c r="M1511">
        <v>-0.32</v>
      </c>
      <c r="N1511">
        <v>887100</v>
      </c>
      <c r="O1511">
        <v>900000</v>
      </c>
      <c r="P1511" t="s">
        <v>192</v>
      </c>
      <c r="Q1511" t="s">
        <v>192</v>
      </c>
      <c r="R1511">
        <v>1</v>
      </c>
      <c r="S1511">
        <v>1000</v>
      </c>
      <c r="T1511">
        <v>893310</v>
      </c>
      <c r="U1511">
        <v>898000</v>
      </c>
      <c r="V1511">
        <v>102</v>
      </c>
      <c r="W1511">
        <v>2</v>
      </c>
      <c r="X1511" s="367"/>
    </row>
    <row r="1512" spans="1:24">
      <c r="A1512" t="s">
        <v>8482</v>
      </c>
      <c r="B1512" t="s">
        <v>8483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 t="s">
        <v>192</v>
      </c>
      <c r="Q1512" t="s">
        <v>192</v>
      </c>
      <c r="R1512">
        <v>1</v>
      </c>
      <c r="S1512">
        <v>444</v>
      </c>
      <c r="T1512">
        <v>4</v>
      </c>
      <c r="U1512">
        <v>0</v>
      </c>
      <c r="V1512">
        <v>0</v>
      </c>
      <c r="W1512">
        <v>0</v>
      </c>
      <c r="X1512" s="367"/>
    </row>
    <row r="1513" spans="1:24">
      <c r="A1513" t="s">
        <v>4736</v>
      </c>
      <c r="B1513" t="s">
        <v>4737</v>
      </c>
      <c r="C1513">
        <v>3</v>
      </c>
      <c r="D1513">
        <v>268</v>
      </c>
      <c r="E1513">
        <v>1476855000</v>
      </c>
      <c r="F1513">
        <v>4455</v>
      </c>
      <c r="G1513">
        <v>5606</v>
      </c>
      <c r="H1513">
        <v>5505</v>
      </c>
      <c r="I1513">
        <v>1050</v>
      </c>
      <c r="J1513">
        <v>23.57</v>
      </c>
      <c r="K1513">
        <v>5511</v>
      </c>
      <c r="L1513">
        <v>1056</v>
      </c>
      <c r="M1513">
        <v>23.7</v>
      </c>
      <c r="N1513">
        <v>5505</v>
      </c>
      <c r="O1513">
        <v>5606</v>
      </c>
      <c r="P1513" t="s">
        <v>192</v>
      </c>
      <c r="Q1513" t="s">
        <v>192</v>
      </c>
      <c r="R1513">
        <v>1</v>
      </c>
      <c r="S1513">
        <v>200</v>
      </c>
      <c r="T1513">
        <v>4960</v>
      </c>
      <c r="U1513">
        <v>5525</v>
      </c>
      <c r="V1513">
        <v>24</v>
      </c>
      <c r="W1513">
        <v>1</v>
      </c>
      <c r="X1513" s="367"/>
    </row>
    <row r="1514" spans="1:24">
      <c r="A1514" t="s">
        <v>4738</v>
      </c>
      <c r="B1514" t="s">
        <v>4739</v>
      </c>
      <c r="C1514">
        <v>309</v>
      </c>
      <c r="D1514">
        <v>70061114</v>
      </c>
      <c r="E1514">
        <v>798353676955</v>
      </c>
      <c r="F1514">
        <v>11374</v>
      </c>
      <c r="G1514">
        <v>11395</v>
      </c>
      <c r="H1514">
        <v>11395</v>
      </c>
      <c r="I1514">
        <v>21</v>
      </c>
      <c r="J1514">
        <v>0.18</v>
      </c>
      <c r="K1514">
        <v>11395</v>
      </c>
      <c r="L1514">
        <v>21</v>
      </c>
      <c r="M1514">
        <v>0.18</v>
      </c>
      <c r="N1514">
        <v>11395</v>
      </c>
      <c r="O1514">
        <v>11396</v>
      </c>
      <c r="P1514" t="s">
        <v>192</v>
      </c>
      <c r="Q1514" t="s">
        <v>192</v>
      </c>
      <c r="R1514">
        <v>60</v>
      </c>
      <c r="S1514">
        <v>500527472</v>
      </c>
      <c r="T1514">
        <v>11395</v>
      </c>
      <c r="U1514">
        <v>11396</v>
      </c>
      <c r="V1514">
        <v>46754627</v>
      </c>
      <c r="W1514">
        <v>48</v>
      </c>
      <c r="X1514" s="367"/>
    </row>
    <row r="1515" spans="1:24">
      <c r="A1515" t="s">
        <v>4740</v>
      </c>
      <c r="B1515" t="s">
        <v>8392</v>
      </c>
      <c r="C1515">
        <v>222</v>
      </c>
      <c r="D1515">
        <v>43215</v>
      </c>
      <c r="E1515">
        <v>474730354218</v>
      </c>
      <c r="F1515">
        <v>7861</v>
      </c>
      <c r="G1515">
        <v>7980</v>
      </c>
      <c r="H1515">
        <v>8028</v>
      </c>
      <c r="I1515">
        <v>167</v>
      </c>
      <c r="J1515">
        <v>2.12</v>
      </c>
      <c r="K1515">
        <v>8013</v>
      </c>
      <c r="L1515">
        <v>152</v>
      </c>
      <c r="M1515">
        <v>1.93</v>
      </c>
      <c r="N1515">
        <v>7980</v>
      </c>
      <c r="O1515">
        <v>8100</v>
      </c>
      <c r="P1515" t="s">
        <v>192</v>
      </c>
      <c r="Q1515" t="s">
        <v>192</v>
      </c>
      <c r="R1515">
        <v>1</v>
      </c>
      <c r="S1515">
        <v>2</v>
      </c>
      <c r="T1515">
        <v>7991</v>
      </c>
      <c r="U1515">
        <v>8030</v>
      </c>
      <c r="V1515">
        <v>1076</v>
      </c>
      <c r="W1515">
        <v>2</v>
      </c>
      <c r="X1515" s="367"/>
    </row>
    <row r="1516" spans="1:24">
      <c r="A1516" t="s">
        <v>3028</v>
      </c>
      <c r="B1516" t="s">
        <v>3027</v>
      </c>
      <c r="C1516">
        <v>365</v>
      </c>
      <c r="D1516">
        <v>12743563</v>
      </c>
      <c r="E1516">
        <v>224669015690</v>
      </c>
      <c r="F1516">
        <v>17120</v>
      </c>
      <c r="G1516">
        <v>17630</v>
      </c>
      <c r="H1516">
        <v>17630</v>
      </c>
      <c r="I1516">
        <v>510</v>
      </c>
      <c r="J1516">
        <v>2.98</v>
      </c>
      <c r="K1516">
        <v>17630</v>
      </c>
      <c r="L1516">
        <v>510</v>
      </c>
      <c r="M1516">
        <v>2.98</v>
      </c>
      <c r="N1516">
        <v>17630</v>
      </c>
      <c r="O1516">
        <v>17630</v>
      </c>
      <c r="P1516">
        <v>3357</v>
      </c>
      <c r="Q1516">
        <v>5.25</v>
      </c>
      <c r="R1516">
        <v>262</v>
      </c>
      <c r="S1516">
        <v>22082784</v>
      </c>
      <c r="T1516">
        <v>17630</v>
      </c>
      <c r="U1516">
        <v>19680</v>
      </c>
      <c r="V1516">
        <v>500</v>
      </c>
      <c r="W1516">
        <v>1</v>
      </c>
      <c r="X1516" s="367"/>
    </row>
    <row r="1517" spans="1:24">
      <c r="A1517" t="s">
        <v>4742</v>
      </c>
      <c r="B1517" t="s">
        <v>8583</v>
      </c>
      <c r="C1517">
        <v>90</v>
      </c>
      <c r="D1517">
        <v>31675</v>
      </c>
      <c r="E1517">
        <v>1974740000</v>
      </c>
      <c r="F1517">
        <v>42</v>
      </c>
      <c r="G1517">
        <v>44</v>
      </c>
      <c r="H1517">
        <v>62</v>
      </c>
      <c r="I1517">
        <v>20</v>
      </c>
      <c r="J1517">
        <v>47.62</v>
      </c>
      <c r="K1517">
        <v>62</v>
      </c>
      <c r="L1517">
        <v>20</v>
      </c>
      <c r="M1517">
        <v>47.62</v>
      </c>
      <c r="N1517">
        <v>44</v>
      </c>
      <c r="O1517">
        <v>69</v>
      </c>
      <c r="P1517" t="s">
        <v>192</v>
      </c>
      <c r="Q1517" t="s">
        <v>192</v>
      </c>
      <c r="R1517">
        <v>1</v>
      </c>
      <c r="S1517">
        <v>135</v>
      </c>
      <c r="T1517">
        <v>62</v>
      </c>
      <c r="U1517">
        <v>65</v>
      </c>
      <c r="V1517">
        <v>2131</v>
      </c>
      <c r="W1517">
        <v>4</v>
      </c>
      <c r="X1517" s="367"/>
    </row>
    <row r="1518" spans="1:24">
      <c r="A1518" t="s">
        <v>2340</v>
      </c>
      <c r="B1518" t="s">
        <v>2338</v>
      </c>
      <c r="C1518">
        <v>1</v>
      </c>
      <c r="D1518">
        <v>16416</v>
      </c>
      <c r="E1518">
        <v>60575040</v>
      </c>
      <c r="F1518">
        <v>3590</v>
      </c>
      <c r="G1518">
        <v>3690</v>
      </c>
      <c r="H1518">
        <v>3690</v>
      </c>
      <c r="I1518">
        <v>100</v>
      </c>
      <c r="J1518">
        <v>2.79</v>
      </c>
      <c r="K1518">
        <v>3690</v>
      </c>
      <c r="L1518">
        <v>100</v>
      </c>
      <c r="M1518">
        <v>2.79</v>
      </c>
      <c r="N1518">
        <v>3690</v>
      </c>
      <c r="O1518">
        <v>3690</v>
      </c>
      <c r="P1518">
        <v>516</v>
      </c>
      <c r="Q1518">
        <v>7.15</v>
      </c>
      <c r="R1518">
        <v>38</v>
      </c>
      <c r="S1518">
        <v>11083584</v>
      </c>
      <c r="T1518">
        <v>3690</v>
      </c>
      <c r="U1518">
        <v>0</v>
      </c>
      <c r="V1518">
        <v>0</v>
      </c>
      <c r="W1518">
        <v>0</v>
      </c>
      <c r="X1518" s="367"/>
    </row>
    <row r="1519" spans="1:24">
      <c r="A1519" t="s">
        <v>4743</v>
      </c>
      <c r="B1519" t="s">
        <v>4744</v>
      </c>
      <c r="C1519">
        <v>10</v>
      </c>
      <c r="D1519">
        <v>140</v>
      </c>
      <c r="E1519">
        <v>183480000</v>
      </c>
      <c r="F1519">
        <v>1157</v>
      </c>
      <c r="G1519">
        <v>1340</v>
      </c>
      <c r="H1519">
        <v>1300</v>
      </c>
      <c r="I1519">
        <v>143</v>
      </c>
      <c r="J1519">
        <v>12.36</v>
      </c>
      <c r="K1519">
        <v>1311</v>
      </c>
      <c r="L1519">
        <v>154</v>
      </c>
      <c r="M1519">
        <v>13.31</v>
      </c>
      <c r="N1519">
        <v>1300</v>
      </c>
      <c r="O1519">
        <v>1350</v>
      </c>
      <c r="P1519" t="s">
        <v>192</v>
      </c>
      <c r="Q1519" t="s">
        <v>192</v>
      </c>
      <c r="R1519">
        <v>1</v>
      </c>
      <c r="S1519">
        <v>10</v>
      </c>
      <c r="T1519">
        <v>1260</v>
      </c>
      <c r="U1519">
        <v>1300</v>
      </c>
      <c r="V1519">
        <v>1000</v>
      </c>
      <c r="W1519">
        <v>1</v>
      </c>
      <c r="X1519" s="367"/>
    </row>
    <row r="1520" spans="1:24">
      <c r="A1520" t="s">
        <v>4745</v>
      </c>
      <c r="B1520" t="s">
        <v>4746</v>
      </c>
      <c r="C1520">
        <v>0</v>
      </c>
      <c r="D1520">
        <v>0</v>
      </c>
      <c r="E1520">
        <v>0</v>
      </c>
      <c r="F1520">
        <v>2435000</v>
      </c>
      <c r="G1520">
        <v>0</v>
      </c>
      <c r="H1520">
        <v>2435000</v>
      </c>
      <c r="I1520">
        <v>0</v>
      </c>
      <c r="J1520">
        <v>0</v>
      </c>
      <c r="K1520">
        <v>2435000</v>
      </c>
      <c r="L1520">
        <v>0</v>
      </c>
      <c r="M1520">
        <v>0</v>
      </c>
      <c r="N1520">
        <v>0</v>
      </c>
      <c r="O1520">
        <v>0</v>
      </c>
      <c r="P1520" t="s">
        <v>192</v>
      </c>
      <c r="Q1520" t="s">
        <v>192</v>
      </c>
      <c r="R1520">
        <v>1</v>
      </c>
      <c r="S1520">
        <v>20518</v>
      </c>
      <c r="T1520">
        <v>2435000</v>
      </c>
      <c r="U1520">
        <v>2480000</v>
      </c>
      <c r="V1520">
        <v>20518</v>
      </c>
      <c r="W1520">
        <v>1</v>
      </c>
      <c r="X1520" s="367"/>
    </row>
    <row r="1521" spans="1:24">
      <c r="A1521" t="s">
        <v>4747</v>
      </c>
      <c r="B1521" t="s">
        <v>8138</v>
      </c>
      <c r="C1521">
        <v>2464</v>
      </c>
      <c r="D1521">
        <v>889015</v>
      </c>
      <c r="E1521">
        <v>106256788000</v>
      </c>
      <c r="F1521">
        <v>80</v>
      </c>
      <c r="G1521">
        <v>112</v>
      </c>
      <c r="H1521">
        <v>123</v>
      </c>
      <c r="I1521">
        <v>43</v>
      </c>
      <c r="J1521">
        <v>53.75</v>
      </c>
      <c r="K1521">
        <v>120</v>
      </c>
      <c r="L1521">
        <v>40</v>
      </c>
      <c r="M1521">
        <v>50</v>
      </c>
      <c r="N1521">
        <v>105</v>
      </c>
      <c r="O1521">
        <v>123</v>
      </c>
      <c r="P1521" t="s">
        <v>192</v>
      </c>
      <c r="Q1521" t="s">
        <v>192</v>
      </c>
      <c r="R1521">
        <v>1</v>
      </c>
      <c r="S1521">
        <v>500</v>
      </c>
      <c r="T1521">
        <v>121</v>
      </c>
      <c r="U1521">
        <v>123</v>
      </c>
      <c r="V1521">
        <v>1698</v>
      </c>
      <c r="W1521">
        <v>5</v>
      </c>
      <c r="X1521" s="367"/>
    </row>
    <row r="1522" spans="1:24">
      <c r="A1522" t="s">
        <v>4751</v>
      </c>
      <c r="B1522" t="s">
        <v>4752</v>
      </c>
      <c r="C1522">
        <v>0</v>
      </c>
      <c r="D1522">
        <v>0</v>
      </c>
      <c r="E1522">
        <v>0</v>
      </c>
      <c r="F1522">
        <v>1000000</v>
      </c>
      <c r="G1522">
        <v>0</v>
      </c>
      <c r="H1522">
        <v>1000000</v>
      </c>
      <c r="I1522">
        <v>0</v>
      </c>
      <c r="J1522">
        <v>0</v>
      </c>
      <c r="K1522">
        <v>1000000</v>
      </c>
      <c r="L1522">
        <v>0</v>
      </c>
      <c r="M1522">
        <v>0</v>
      </c>
      <c r="N1522">
        <v>0</v>
      </c>
      <c r="O1522">
        <v>0</v>
      </c>
      <c r="P1522" t="s">
        <v>192</v>
      </c>
      <c r="Q1522" t="s">
        <v>192</v>
      </c>
      <c r="R1522">
        <v>1</v>
      </c>
      <c r="S1522">
        <v>5000</v>
      </c>
      <c r="T1522">
        <v>970000</v>
      </c>
      <c r="U1522">
        <v>0</v>
      </c>
      <c r="V1522">
        <v>0</v>
      </c>
      <c r="W1522">
        <v>0</v>
      </c>
      <c r="X1522" s="367"/>
    </row>
    <row r="1523" spans="1:24">
      <c r="A1523" t="s">
        <v>8686</v>
      </c>
      <c r="B1523" t="s">
        <v>4788</v>
      </c>
      <c r="C1523">
        <v>9</v>
      </c>
      <c r="D1523">
        <v>8350000</v>
      </c>
      <c r="E1523">
        <v>8350000</v>
      </c>
      <c r="F1523">
        <v>26061</v>
      </c>
      <c r="G1523">
        <v>1</v>
      </c>
      <c r="H1523">
        <v>1</v>
      </c>
      <c r="I1523">
        <v>-26060</v>
      </c>
      <c r="J1523">
        <v>-100</v>
      </c>
      <c r="K1523">
        <v>1</v>
      </c>
      <c r="L1523">
        <v>-26060</v>
      </c>
      <c r="M1523">
        <v>-100</v>
      </c>
      <c r="N1523">
        <v>1</v>
      </c>
      <c r="O1523">
        <v>1</v>
      </c>
      <c r="P1523" t="s">
        <v>192</v>
      </c>
      <c r="Q1523" t="s">
        <v>192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 s="367"/>
    </row>
    <row r="1524" spans="1:24">
      <c r="A1524" t="s">
        <v>2621</v>
      </c>
      <c r="B1524" t="s">
        <v>2620</v>
      </c>
      <c r="C1524">
        <v>128</v>
      </c>
      <c r="D1524">
        <v>1771866</v>
      </c>
      <c r="E1524">
        <v>38290024260</v>
      </c>
      <c r="F1524">
        <v>20990</v>
      </c>
      <c r="G1524">
        <v>21610</v>
      </c>
      <c r="H1524">
        <v>21610</v>
      </c>
      <c r="I1524">
        <v>620</v>
      </c>
      <c r="J1524">
        <v>2.95</v>
      </c>
      <c r="K1524">
        <v>21610</v>
      </c>
      <c r="L1524">
        <v>620</v>
      </c>
      <c r="M1524">
        <v>2.95</v>
      </c>
      <c r="N1524">
        <v>21610</v>
      </c>
      <c r="O1524">
        <v>21610</v>
      </c>
      <c r="P1524">
        <v>2371</v>
      </c>
      <c r="Q1524">
        <v>9.11</v>
      </c>
      <c r="R1524">
        <v>146</v>
      </c>
      <c r="S1524">
        <v>9464041</v>
      </c>
      <c r="T1524">
        <v>21610</v>
      </c>
      <c r="U1524">
        <v>21770</v>
      </c>
      <c r="V1524">
        <v>2654</v>
      </c>
      <c r="W1524">
        <v>3</v>
      </c>
      <c r="X1524" s="367"/>
    </row>
    <row r="1525" spans="1:24">
      <c r="A1525" t="s">
        <v>1808</v>
      </c>
      <c r="B1525" t="s">
        <v>1806</v>
      </c>
      <c r="C1525">
        <v>3</v>
      </c>
      <c r="D1525">
        <v>38000</v>
      </c>
      <c r="E1525">
        <v>131860000</v>
      </c>
      <c r="F1525">
        <v>3370</v>
      </c>
      <c r="G1525">
        <v>3470</v>
      </c>
      <c r="H1525">
        <v>3470</v>
      </c>
      <c r="I1525">
        <v>100</v>
      </c>
      <c r="J1525">
        <v>2.97</v>
      </c>
      <c r="K1525">
        <v>3470</v>
      </c>
      <c r="L1525">
        <v>100</v>
      </c>
      <c r="M1525">
        <v>2.97</v>
      </c>
      <c r="N1525">
        <v>3470</v>
      </c>
      <c r="O1525">
        <v>3470</v>
      </c>
      <c r="P1525">
        <v>47</v>
      </c>
      <c r="Q1525">
        <v>73.83</v>
      </c>
      <c r="R1525">
        <v>35</v>
      </c>
      <c r="S1525">
        <v>3638025</v>
      </c>
      <c r="T1525">
        <v>3470</v>
      </c>
      <c r="U1525">
        <v>0</v>
      </c>
      <c r="V1525">
        <v>0</v>
      </c>
      <c r="W1525">
        <v>0</v>
      </c>
      <c r="X1525" s="367"/>
    </row>
    <row r="1526" spans="1:24">
      <c r="A1526" t="s">
        <v>4753</v>
      </c>
      <c r="B1526" t="s">
        <v>4754</v>
      </c>
      <c r="C1526">
        <v>0</v>
      </c>
      <c r="D1526">
        <v>0</v>
      </c>
      <c r="E1526">
        <v>0</v>
      </c>
      <c r="F1526">
        <v>3458805</v>
      </c>
      <c r="G1526">
        <v>0</v>
      </c>
      <c r="H1526">
        <v>3458805</v>
      </c>
      <c r="I1526">
        <v>0</v>
      </c>
      <c r="J1526">
        <v>0</v>
      </c>
      <c r="K1526">
        <v>3458805</v>
      </c>
      <c r="L1526">
        <v>0</v>
      </c>
      <c r="M1526">
        <v>0</v>
      </c>
      <c r="N1526">
        <v>0</v>
      </c>
      <c r="O1526">
        <v>0</v>
      </c>
      <c r="P1526" t="s">
        <v>192</v>
      </c>
      <c r="Q1526" t="s">
        <v>192</v>
      </c>
      <c r="R1526">
        <v>1</v>
      </c>
      <c r="S1526">
        <v>12500</v>
      </c>
      <c r="T1526">
        <v>3410590</v>
      </c>
      <c r="U1526">
        <v>3478801</v>
      </c>
      <c r="V1526">
        <v>12500</v>
      </c>
      <c r="W1526">
        <v>1</v>
      </c>
      <c r="X1526" s="367"/>
    </row>
    <row r="1527" spans="1:24">
      <c r="A1527" t="s">
        <v>2783</v>
      </c>
      <c r="B1527" t="s">
        <v>2782</v>
      </c>
      <c r="C1527">
        <v>516</v>
      </c>
      <c r="D1527">
        <v>17122776</v>
      </c>
      <c r="E1527">
        <v>276177270050</v>
      </c>
      <c r="F1527">
        <v>15670</v>
      </c>
      <c r="G1527">
        <v>16140</v>
      </c>
      <c r="H1527">
        <v>16140</v>
      </c>
      <c r="I1527">
        <v>470</v>
      </c>
      <c r="J1527">
        <v>3</v>
      </c>
      <c r="K1527">
        <v>16130</v>
      </c>
      <c r="L1527">
        <v>460</v>
      </c>
      <c r="M1527">
        <v>2.94</v>
      </c>
      <c r="N1527">
        <v>15760</v>
      </c>
      <c r="O1527">
        <v>16140</v>
      </c>
      <c r="P1527">
        <v>1968</v>
      </c>
      <c r="Q1527">
        <v>8.1999999999999993</v>
      </c>
      <c r="R1527">
        <v>11</v>
      </c>
      <c r="S1527">
        <v>128311</v>
      </c>
      <c r="T1527">
        <v>16140</v>
      </c>
      <c r="U1527">
        <v>16250</v>
      </c>
      <c r="V1527">
        <v>714</v>
      </c>
      <c r="W1527">
        <v>1</v>
      </c>
      <c r="X1527" s="367"/>
    </row>
    <row r="1528" spans="1:24">
      <c r="A1528" t="s">
        <v>4755</v>
      </c>
      <c r="B1528" t="s">
        <v>4756</v>
      </c>
      <c r="C1528">
        <v>83</v>
      </c>
      <c r="D1528">
        <v>2759</v>
      </c>
      <c r="E1528">
        <v>430315000</v>
      </c>
      <c r="F1528">
        <v>182</v>
      </c>
      <c r="G1528">
        <v>197</v>
      </c>
      <c r="H1528">
        <v>167</v>
      </c>
      <c r="I1528">
        <v>-15</v>
      </c>
      <c r="J1528">
        <v>-8.24</v>
      </c>
      <c r="K1528">
        <v>156</v>
      </c>
      <c r="L1528">
        <v>-26</v>
      </c>
      <c r="M1528">
        <v>-14.29</v>
      </c>
      <c r="N1528">
        <v>113</v>
      </c>
      <c r="O1528">
        <v>197</v>
      </c>
      <c r="P1528" t="s">
        <v>192</v>
      </c>
      <c r="Q1528" t="s">
        <v>192</v>
      </c>
      <c r="R1528">
        <v>1</v>
      </c>
      <c r="S1528">
        <v>221</v>
      </c>
      <c r="T1528">
        <v>140</v>
      </c>
      <c r="U1528">
        <v>167</v>
      </c>
      <c r="V1528">
        <v>190</v>
      </c>
      <c r="W1528">
        <v>1</v>
      </c>
      <c r="X1528" s="367"/>
    </row>
    <row r="1529" spans="1:24">
      <c r="A1529" t="s">
        <v>2974</v>
      </c>
      <c r="B1529" t="s">
        <v>2973</v>
      </c>
      <c r="C1529">
        <v>193</v>
      </c>
      <c r="D1529">
        <v>9724246</v>
      </c>
      <c r="E1529">
        <v>45186415410</v>
      </c>
      <c r="F1529">
        <v>4520</v>
      </c>
      <c r="G1529">
        <v>4640</v>
      </c>
      <c r="H1529">
        <v>4650</v>
      </c>
      <c r="I1529">
        <v>130</v>
      </c>
      <c r="J1529">
        <v>2.88</v>
      </c>
      <c r="K1529">
        <v>4650</v>
      </c>
      <c r="L1529">
        <v>130</v>
      </c>
      <c r="M1529">
        <v>2.88</v>
      </c>
      <c r="N1529">
        <v>4560</v>
      </c>
      <c r="O1529">
        <v>4650</v>
      </c>
      <c r="P1529">
        <v>-109</v>
      </c>
      <c r="Q1529">
        <v>-42.66</v>
      </c>
      <c r="R1529">
        <v>11</v>
      </c>
      <c r="S1529">
        <v>1009332</v>
      </c>
      <c r="T1529">
        <v>4650</v>
      </c>
      <c r="U1529">
        <v>5210</v>
      </c>
      <c r="V1529">
        <v>100000</v>
      </c>
      <c r="W1529">
        <v>1</v>
      </c>
      <c r="X1529" s="367"/>
    </row>
    <row r="1530" spans="1:24">
      <c r="A1530" t="s">
        <v>2637</v>
      </c>
      <c r="B1530" t="s">
        <v>2636</v>
      </c>
      <c r="C1530">
        <v>126</v>
      </c>
      <c r="D1530">
        <v>26353511</v>
      </c>
      <c r="E1530">
        <v>51336639428</v>
      </c>
      <c r="F1530">
        <v>1892</v>
      </c>
      <c r="G1530">
        <v>1948</v>
      </c>
      <c r="H1530">
        <v>1948</v>
      </c>
      <c r="I1530">
        <v>56</v>
      </c>
      <c r="J1530">
        <v>2.96</v>
      </c>
      <c r="K1530">
        <v>1948</v>
      </c>
      <c r="L1530">
        <v>56</v>
      </c>
      <c r="M1530">
        <v>2.96</v>
      </c>
      <c r="N1530">
        <v>1948</v>
      </c>
      <c r="O1530">
        <v>1948</v>
      </c>
      <c r="P1530">
        <v>264</v>
      </c>
      <c r="Q1530">
        <v>7.38</v>
      </c>
      <c r="R1530">
        <v>217</v>
      </c>
      <c r="S1530">
        <v>83445704</v>
      </c>
      <c r="T1530">
        <v>1948</v>
      </c>
      <c r="U1530">
        <v>0</v>
      </c>
      <c r="V1530">
        <v>0</v>
      </c>
      <c r="W1530">
        <v>0</v>
      </c>
      <c r="X1530" s="367"/>
    </row>
    <row r="1531" spans="1:24">
      <c r="A1531" t="s">
        <v>4757</v>
      </c>
      <c r="B1531" t="s">
        <v>4758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1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 t="s">
        <v>192</v>
      </c>
      <c r="Q1531" t="s">
        <v>192</v>
      </c>
      <c r="R1531">
        <v>1</v>
      </c>
      <c r="S1531">
        <v>100</v>
      </c>
      <c r="T1531">
        <v>1</v>
      </c>
      <c r="U1531">
        <v>0</v>
      </c>
      <c r="V1531">
        <v>0</v>
      </c>
      <c r="W1531">
        <v>0</v>
      </c>
      <c r="X1531" s="367"/>
    </row>
    <row r="1532" spans="1:24">
      <c r="A1532" t="s">
        <v>3052</v>
      </c>
      <c r="B1532" t="s">
        <v>3051</v>
      </c>
      <c r="C1532">
        <v>421</v>
      </c>
      <c r="D1532">
        <v>45619544</v>
      </c>
      <c r="E1532">
        <v>174722853520</v>
      </c>
      <c r="F1532">
        <v>3720</v>
      </c>
      <c r="G1532">
        <v>3830</v>
      </c>
      <c r="H1532">
        <v>3830</v>
      </c>
      <c r="I1532">
        <v>110</v>
      </c>
      <c r="J1532">
        <v>2.96</v>
      </c>
      <c r="K1532">
        <v>3830</v>
      </c>
      <c r="L1532">
        <v>110</v>
      </c>
      <c r="M1532">
        <v>2.96</v>
      </c>
      <c r="N1532">
        <v>3830</v>
      </c>
      <c r="O1532">
        <v>3830</v>
      </c>
      <c r="P1532">
        <v>311</v>
      </c>
      <c r="Q1532">
        <v>12.32</v>
      </c>
      <c r="R1532">
        <v>418</v>
      </c>
      <c r="S1532">
        <v>114607919</v>
      </c>
      <c r="T1532">
        <v>3830</v>
      </c>
      <c r="U1532">
        <v>0</v>
      </c>
      <c r="V1532">
        <v>0</v>
      </c>
      <c r="W1532">
        <v>0</v>
      </c>
      <c r="X1532" s="367"/>
    </row>
    <row r="1533" spans="1:24">
      <c r="A1533" t="s">
        <v>2361</v>
      </c>
      <c r="B1533" t="s">
        <v>2360</v>
      </c>
      <c r="C1533">
        <v>139</v>
      </c>
      <c r="D1533">
        <v>9903067</v>
      </c>
      <c r="E1533">
        <v>63082536790</v>
      </c>
      <c r="F1533">
        <v>6190</v>
      </c>
      <c r="G1533">
        <v>6370</v>
      </c>
      <c r="H1533">
        <v>6370</v>
      </c>
      <c r="I1533">
        <v>180</v>
      </c>
      <c r="J1533">
        <v>2.91</v>
      </c>
      <c r="K1533">
        <v>6370</v>
      </c>
      <c r="L1533">
        <v>180</v>
      </c>
      <c r="M1533">
        <v>2.91</v>
      </c>
      <c r="N1533">
        <v>6370</v>
      </c>
      <c r="O1533">
        <v>6370</v>
      </c>
      <c r="P1533">
        <v>1044</v>
      </c>
      <c r="Q1533">
        <v>6.1</v>
      </c>
      <c r="R1533">
        <v>116</v>
      </c>
      <c r="S1533">
        <v>12029609</v>
      </c>
      <c r="T1533">
        <v>6370</v>
      </c>
      <c r="U1533">
        <v>0</v>
      </c>
      <c r="V1533">
        <v>0</v>
      </c>
      <c r="W1533">
        <v>0</v>
      </c>
      <c r="X1533" s="367"/>
    </row>
    <row r="1534" spans="1:24">
      <c r="A1534" t="s">
        <v>4759</v>
      </c>
      <c r="B1534" t="s">
        <v>4760</v>
      </c>
      <c r="C1534">
        <v>8</v>
      </c>
      <c r="D1534">
        <v>195</v>
      </c>
      <c r="E1534">
        <v>110710000</v>
      </c>
      <c r="F1534">
        <v>400</v>
      </c>
      <c r="G1534">
        <v>425</v>
      </c>
      <c r="H1534">
        <v>577</v>
      </c>
      <c r="I1534">
        <v>177</v>
      </c>
      <c r="J1534">
        <v>44.25</v>
      </c>
      <c r="K1534">
        <v>568</v>
      </c>
      <c r="L1534">
        <v>168</v>
      </c>
      <c r="M1534">
        <v>42</v>
      </c>
      <c r="N1534">
        <v>425</v>
      </c>
      <c r="O1534">
        <v>674</v>
      </c>
      <c r="P1534" t="s">
        <v>192</v>
      </c>
      <c r="Q1534" t="s">
        <v>192</v>
      </c>
      <c r="R1534">
        <v>2</v>
      </c>
      <c r="S1534">
        <v>20</v>
      </c>
      <c r="T1534">
        <v>517</v>
      </c>
      <c r="U1534">
        <v>580</v>
      </c>
      <c r="V1534">
        <v>80</v>
      </c>
      <c r="W1534">
        <v>1</v>
      </c>
      <c r="X1534" s="367"/>
    </row>
    <row r="1535" spans="1:24">
      <c r="A1535" t="s">
        <v>4761</v>
      </c>
      <c r="B1535" t="s">
        <v>4762</v>
      </c>
      <c r="C1535">
        <v>64</v>
      </c>
      <c r="D1535">
        <v>254855</v>
      </c>
      <c r="E1535">
        <v>11646319524</v>
      </c>
      <c r="F1535">
        <v>44373</v>
      </c>
      <c r="G1535">
        <v>45703</v>
      </c>
      <c r="H1535">
        <v>45704</v>
      </c>
      <c r="I1535">
        <v>1331</v>
      </c>
      <c r="J1535">
        <v>3</v>
      </c>
      <c r="K1535">
        <v>45698</v>
      </c>
      <c r="L1535">
        <v>1325</v>
      </c>
      <c r="M1535">
        <v>2.99</v>
      </c>
      <c r="N1535">
        <v>45594</v>
      </c>
      <c r="O1535">
        <v>45704</v>
      </c>
      <c r="P1535" t="s">
        <v>192</v>
      </c>
      <c r="Q1535" t="s">
        <v>192</v>
      </c>
      <c r="R1535">
        <v>1</v>
      </c>
      <c r="S1535">
        <v>1125</v>
      </c>
      <c r="T1535">
        <v>45704</v>
      </c>
      <c r="U1535">
        <v>0</v>
      </c>
      <c r="V1535">
        <v>0</v>
      </c>
      <c r="W1535">
        <v>0</v>
      </c>
      <c r="X1535" s="367"/>
    </row>
    <row r="1536" spans="1:24">
      <c r="A1536" t="s">
        <v>8030</v>
      </c>
      <c r="B1536" t="s">
        <v>8031</v>
      </c>
      <c r="C1536">
        <v>1</v>
      </c>
      <c r="D1536">
        <v>28</v>
      </c>
      <c r="E1536">
        <v>10472000</v>
      </c>
      <c r="F1536">
        <v>217</v>
      </c>
      <c r="G1536">
        <v>374</v>
      </c>
      <c r="H1536">
        <v>374</v>
      </c>
      <c r="I1536">
        <v>157</v>
      </c>
      <c r="J1536">
        <v>72.349999999999994</v>
      </c>
      <c r="K1536">
        <v>374</v>
      </c>
      <c r="L1536">
        <v>157</v>
      </c>
      <c r="M1536">
        <v>72.349999999999994</v>
      </c>
      <c r="N1536">
        <v>374</v>
      </c>
      <c r="O1536">
        <v>374</v>
      </c>
      <c r="P1536" t="s">
        <v>192</v>
      </c>
      <c r="Q1536" t="s">
        <v>192</v>
      </c>
      <c r="R1536">
        <v>1</v>
      </c>
      <c r="S1536">
        <v>1000</v>
      </c>
      <c r="T1536">
        <v>220</v>
      </c>
      <c r="U1536">
        <v>374</v>
      </c>
      <c r="V1536">
        <v>172</v>
      </c>
      <c r="W1536">
        <v>1</v>
      </c>
      <c r="X1536" s="367"/>
    </row>
    <row r="1537" spans="1:24">
      <c r="A1537" t="s">
        <v>7045</v>
      </c>
      <c r="B1537" t="s">
        <v>7046</v>
      </c>
      <c r="C1537">
        <v>3158</v>
      </c>
      <c r="D1537">
        <v>1267085</v>
      </c>
      <c r="E1537">
        <v>22541085000</v>
      </c>
      <c r="F1537">
        <v>25</v>
      </c>
      <c r="G1537">
        <v>18</v>
      </c>
      <c r="H1537">
        <v>17</v>
      </c>
      <c r="I1537">
        <v>-8</v>
      </c>
      <c r="J1537">
        <v>-32</v>
      </c>
      <c r="K1537">
        <v>18</v>
      </c>
      <c r="L1537">
        <v>-7</v>
      </c>
      <c r="M1537">
        <v>-28</v>
      </c>
      <c r="N1537">
        <v>16</v>
      </c>
      <c r="O1537">
        <v>20</v>
      </c>
      <c r="P1537" t="s">
        <v>192</v>
      </c>
      <c r="Q1537" t="s">
        <v>192</v>
      </c>
      <c r="R1537">
        <v>6</v>
      </c>
      <c r="S1537">
        <v>5100</v>
      </c>
      <c r="T1537">
        <v>16</v>
      </c>
      <c r="U1537">
        <v>17</v>
      </c>
      <c r="V1537">
        <v>8450</v>
      </c>
      <c r="W1537">
        <v>11</v>
      </c>
      <c r="X1537" s="367"/>
    </row>
    <row r="1538" spans="1:24">
      <c r="A1538" t="s">
        <v>4763</v>
      </c>
      <c r="B1538" t="s">
        <v>4764</v>
      </c>
      <c r="C1538">
        <v>13891</v>
      </c>
      <c r="D1538">
        <v>6261467</v>
      </c>
      <c r="E1538">
        <v>350248553000</v>
      </c>
      <c r="F1538">
        <v>40</v>
      </c>
      <c r="G1538">
        <v>53</v>
      </c>
      <c r="H1538">
        <v>58</v>
      </c>
      <c r="I1538">
        <v>18</v>
      </c>
      <c r="J1538">
        <v>45</v>
      </c>
      <c r="K1538">
        <v>56</v>
      </c>
      <c r="L1538">
        <v>16</v>
      </c>
      <c r="M1538">
        <v>40</v>
      </c>
      <c r="N1538">
        <v>53</v>
      </c>
      <c r="O1538">
        <v>59</v>
      </c>
      <c r="P1538" t="s">
        <v>192</v>
      </c>
      <c r="Q1538" t="s">
        <v>192</v>
      </c>
      <c r="R1538">
        <v>40</v>
      </c>
      <c r="S1538">
        <v>39400</v>
      </c>
      <c r="T1538">
        <v>57</v>
      </c>
      <c r="U1538">
        <v>58</v>
      </c>
      <c r="V1538">
        <v>102903</v>
      </c>
      <c r="W1538">
        <v>110</v>
      </c>
      <c r="X1538" s="367"/>
    </row>
    <row r="1539" spans="1:24">
      <c r="A1539" t="s">
        <v>4765</v>
      </c>
      <c r="B1539" t="s">
        <v>4012</v>
      </c>
      <c r="C1539">
        <v>2154</v>
      </c>
      <c r="D1539">
        <v>13093868</v>
      </c>
      <c r="E1539">
        <v>98597673540</v>
      </c>
      <c r="F1539">
        <v>7380</v>
      </c>
      <c r="G1539">
        <v>7590</v>
      </c>
      <c r="H1539">
        <v>7530</v>
      </c>
      <c r="I1539">
        <v>150</v>
      </c>
      <c r="J1539">
        <v>2.0299999999999998</v>
      </c>
      <c r="K1539">
        <v>7530</v>
      </c>
      <c r="L1539">
        <v>150</v>
      </c>
      <c r="M1539">
        <v>2.0299999999999998</v>
      </c>
      <c r="N1539">
        <v>7500</v>
      </c>
      <c r="O1539">
        <v>7590</v>
      </c>
      <c r="P1539">
        <v>762</v>
      </c>
      <c r="Q1539">
        <v>9.8800000000000008</v>
      </c>
      <c r="R1539">
        <v>5</v>
      </c>
      <c r="S1539">
        <v>238187</v>
      </c>
      <c r="T1539">
        <v>7510</v>
      </c>
      <c r="U1539">
        <v>7530</v>
      </c>
      <c r="V1539">
        <v>15942</v>
      </c>
      <c r="W1539">
        <v>1</v>
      </c>
      <c r="X1539" s="367"/>
    </row>
    <row r="1540" spans="1:24">
      <c r="A1540" t="s">
        <v>4766</v>
      </c>
      <c r="B1540" t="s">
        <v>4767</v>
      </c>
      <c r="C1540">
        <v>969</v>
      </c>
      <c r="D1540">
        <v>185470</v>
      </c>
      <c r="E1540">
        <v>7214744000</v>
      </c>
      <c r="F1540">
        <v>61</v>
      </c>
      <c r="G1540">
        <v>46</v>
      </c>
      <c r="H1540">
        <v>39</v>
      </c>
      <c r="I1540">
        <v>-22</v>
      </c>
      <c r="J1540">
        <v>-36.07</v>
      </c>
      <c r="K1540">
        <v>39</v>
      </c>
      <c r="L1540">
        <v>-22</v>
      </c>
      <c r="M1540">
        <v>-36.07</v>
      </c>
      <c r="N1540">
        <v>34</v>
      </c>
      <c r="O1540">
        <v>46</v>
      </c>
      <c r="P1540" t="s">
        <v>192</v>
      </c>
      <c r="Q1540" t="s">
        <v>192</v>
      </c>
      <c r="R1540">
        <v>2</v>
      </c>
      <c r="S1540">
        <v>28</v>
      </c>
      <c r="T1540">
        <v>38</v>
      </c>
      <c r="U1540">
        <v>39</v>
      </c>
      <c r="V1540">
        <v>969</v>
      </c>
      <c r="W1540">
        <v>1</v>
      </c>
      <c r="X1540" s="367"/>
    </row>
    <row r="1541" spans="1:24">
      <c r="A1541" t="s">
        <v>2072</v>
      </c>
      <c r="B1541" t="s">
        <v>2071</v>
      </c>
      <c r="C1541">
        <v>122</v>
      </c>
      <c r="D1541">
        <v>12768718</v>
      </c>
      <c r="E1541">
        <v>26992966265</v>
      </c>
      <c r="F1541">
        <v>2053</v>
      </c>
      <c r="G1541">
        <v>2114</v>
      </c>
      <c r="H1541">
        <v>2114</v>
      </c>
      <c r="I1541">
        <v>61</v>
      </c>
      <c r="J1541">
        <v>2.97</v>
      </c>
      <c r="K1541">
        <v>2114</v>
      </c>
      <c r="L1541">
        <v>61</v>
      </c>
      <c r="M1541">
        <v>2.97</v>
      </c>
      <c r="N1541">
        <v>2071</v>
      </c>
      <c r="O1541">
        <v>2114</v>
      </c>
      <c r="P1541">
        <v>-96</v>
      </c>
      <c r="Q1541">
        <v>-22.02</v>
      </c>
      <c r="R1541">
        <v>16</v>
      </c>
      <c r="S1541">
        <v>467225</v>
      </c>
      <c r="T1541">
        <v>2114</v>
      </c>
      <c r="U1541">
        <v>0</v>
      </c>
      <c r="V1541">
        <v>0</v>
      </c>
      <c r="W1541">
        <v>0</v>
      </c>
      <c r="X1541" s="367"/>
    </row>
    <row r="1542" spans="1:24">
      <c r="A1542" t="s">
        <v>8245</v>
      </c>
      <c r="B1542" t="s">
        <v>8246</v>
      </c>
      <c r="C1542">
        <v>60</v>
      </c>
      <c r="D1542">
        <v>12035</v>
      </c>
      <c r="E1542">
        <v>2326347000</v>
      </c>
      <c r="F1542">
        <v>141</v>
      </c>
      <c r="G1542">
        <v>348</v>
      </c>
      <c r="H1542">
        <v>195</v>
      </c>
      <c r="I1542">
        <v>54</v>
      </c>
      <c r="J1542">
        <v>38.299999999999997</v>
      </c>
      <c r="K1542">
        <v>193</v>
      </c>
      <c r="L1542">
        <v>52</v>
      </c>
      <c r="M1542">
        <v>36.880000000000003</v>
      </c>
      <c r="N1542">
        <v>180</v>
      </c>
      <c r="O1542">
        <v>348</v>
      </c>
      <c r="P1542" t="s">
        <v>192</v>
      </c>
      <c r="Q1542" t="s">
        <v>192</v>
      </c>
      <c r="R1542">
        <v>1</v>
      </c>
      <c r="S1542">
        <v>23</v>
      </c>
      <c r="T1542">
        <v>193</v>
      </c>
      <c r="U1542">
        <v>250</v>
      </c>
      <c r="V1542">
        <v>1000</v>
      </c>
      <c r="W1542">
        <v>1</v>
      </c>
      <c r="X1542" s="367"/>
    </row>
    <row r="1543" spans="1:24">
      <c r="A1543" t="s">
        <v>7862</v>
      </c>
      <c r="B1543" t="s">
        <v>7863</v>
      </c>
      <c r="C1543">
        <v>6</v>
      </c>
      <c r="D1543">
        <v>30</v>
      </c>
      <c r="E1543">
        <v>38505000</v>
      </c>
      <c r="F1543">
        <v>1327</v>
      </c>
      <c r="G1543">
        <v>1470</v>
      </c>
      <c r="H1543">
        <v>1251</v>
      </c>
      <c r="I1543">
        <v>-76</v>
      </c>
      <c r="J1543">
        <v>-5.73</v>
      </c>
      <c r="K1543">
        <v>1283</v>
      </c>
      <c r="L1543">
        <v>-44</v>
      </c>
      <c r="M1543">
        <v>-3.32</v>
      </c>
      <c r="N1543">
        <v>1240</v>
      </c>
      <c r="O1543">
        <v>1470</v>
      </c>
      <c r="P1543" t="s">
        <v>192</v>
      </c>
      <c r="Q1543" t="s">
        <v>192</v>
      </c>
      <c r="R1543">
        <v>1</v>
      </c>
      <c r="S1543">
        <v>10</v>
      </c>
      <c r="T1543">
        <v>1000</v>
      </c>
      <c r="U1543">
        <v>1497</v>
      </c>
      <c r="V1543">
        <v>10</v>
      </c>
      <c r="W1543">
        <v>1</v>
      </c>
      <c r="X1543" s="367"/>
    </row>
    <row r="1544" spans="1:24">
      <c r="A1544" t="s">
        <v>2264</v>
      </c>
      <c r="B1544" t="s">
        <v>2263</v>
      </c>
      <c r="C1544">
        <v>80</v>
      </c>
      <c r="D1544">
        <v>101928</v>
      </c>
      <c r="E1544">
        <v>6758845680</v>
      </c>
      <c r="F1544">
        <v>64380</v>
      </c>
      <c r="G1544">
        <v>66310</v>
      </c>
      <c r="H1544">
        <v>66310</v>
      </c>
      <c r="I1544">
        <v>1930</v>
      </c>
      <c r="J1544">
        <v>3</v>
      </c>
      <c r="K1544">
        <v>66310</v>
      </c>
      <c r="L1544">
        <v>1930</v>
      </c>
      <c r="M1544">
        <v>3</v>
      </c>
      <c r="N1544">
        <v>66310</v>
      </c>
      <c r="O1544">
        <v>66310</v>
      </c>
      <c r="P1544">
        <v>6364</v>
      </c>
      <c r="Q1544">
        <v>10.42</v>
      </c>
      <c r="R1544">
        <v>499</v>
      </c>
      <c r="S1544">
        <v>13699780</v>
      </c>
      <c r="T1544">
        <v>66310</v>
      </c>
      <c r="U1544">
        <v>0</v>
      </c>
      <c r="V1544">
        <v>0</v>
      </c>
      <c r="W1544">
        <v>0</v>
      </c>
      <c r="X1544" s="367"/>
    </row>
    <row r="1545" spans="1:24">
      <c r="A1545" t="s">
        <v>6909</v>
      </c>
      <c r="B1545" t="s">
        <v>6910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 t="s">
        <v>192</v>
      </c>
      <c r="Q1545" t="s">
        <v>192</v>
      </c>
      <c r="R1545">
        <v>1</v>
      </c>
      <c r="S1545">
        <v>340</v>
      </c>
      <c r="T1545">
        <v>40</v>
      </c>
      <c r="U1545">
        <v>0</v>
      </c>
      <c r="V1545">
        <v>0</v>
      </c>
      <c r="W1545">
        <v>0</v>
      </c>
      <c r="X1545" s="367"/>
    </row>
    <row r="1546" spans="1:24">
      <c r="A1546" t="s">
        <v>4768</v>
      </c>
      <c r="B1546" t="s">
        <v>4769</v>
      </c>
      <c r="C1546">
        <v>28</v>
      </c>
      <c r="D1546">
        <v>57</v>
      </c>
      <c r="E1546">
        <v>808260000</v>
      </c>
      <c r="F1546">
        <v>11929</v>
      </c>
      <c r="G1546">
        <v>13000</v>
      </c>
      <c r="H1546">
        <v>14620</v>
      </c>
      <c r="I1546">
        <v>2691</v>
      </c>
      <c r="J1546">
        <v>22.56</v>
      </c>
      <c r="K1546">
        <v>14180</v>
      </c>
      <c r="L1546">
        <v>2251</v>
      </c>
      <c r="M1546">
        <v>18.87</v>
      </c>
      <c r="N1546">
        <v>13000</v>
      </c>
      <c r="O1546">
        <v>14630</v>
      </c>
      <c r="P1546" t="s">
        <v>192</v>
      </c>
      <c r="Q1546" t="s">
        <v>192</v>
      </c>
      <c r="R1546">
        <v>1</v>
      </c>
      <c r="S1546">
        <v>10</v>
      </c>
      <c r="T1546">
        <v>14620</v>
      </c>
      <c r="U1546">
        <v>15555</v>
      </c>
      <c r="V1546">
        <v>1</v>
      </c>
      <c r="W1546">
        <v>1</v>
      </c>
      <c r="X1546" s="367"/>
    </row>
    <row r="1547" spans="1:24">
      <c r="A1547" t="s">
        <v>3155</v>
      </c>
      <c r="B1547" t="s">
        <v>4772</v>
      </c>
      <c r="C1547">
        <v>132</v>
      </c>
      <c r="D1547">
        <v>6176768</v>
      </c>
      <c r="E1547">
        <v>278422829861</v>
      </c>
      <c r="F1547">
        <v>43764</v>
      </c>
      <c r="G1547">
        <v>45070</v>
      </c>
      <c r="H1547">
        <v>45076</v>
      </c>
      <c r="I1547">
        <v>1312</v>
      </c>
      <c r="J1547">
        <v>3</v>
      </c>
      <c r="K1547">
        <v>45076</v>
      </c>
      <c r="L1547">
        <v>1312</v>
      </c>
      <c r="M1547">
        <v>3</v>
      </c>
      <c r="N1547">
        <v>45070</v>
      </c>
      <c r="O1547">
        <v>45076</v>
      </c>
      <c r="P1547" t="s">
        <v>192</v>
      </c>
      <c r="Q1547" t="s">
        <v>192</v>
      </c>
      <c r="R1547">
        <v>1</v>
      </c>
      <c r="S1547">
        <v>5390</v>
      </c>
      <c r="T1547">
        <v>45076</v>
      </c>
      <c r="U1547">
        <v>0</v>
      </c>
      <c r="V1547">
        <v>0</v>
      </c>
      <c r="W1547">
        <v>0</v>
      </c>
      <c r="X1547" s="367"/>
    </row>
    <row r="1548" spans="1:24">
      <c r="A1548" t="s">
        <v>161</v>
      </c>
      <c r="B1548" t="s">
        <v>160</v>
      </c>
      <c r="C1548">
        <v>2869</v>
      </c>
      <c r="D1548">
        <v>57041489</v>
      </c>
      <c r="E1548">
        <v>1205130275350</v>
      </c>
      <c r="F1548">
        <v>20580</v>
      </c>
      <c r="G1548">
        <v>21150</v>
      </c>
      <c r="H1548">
        <v>21190</v>
      </c>
      <c r="I1548">
        <v>610</v>
      </c>
      <c r="J1548">
        <v>2.96</v>
      </c>
      <c r="K1548">
        <v>21130</v>
      </c>
      <c r="L1548">
        <v>550</v>
      </c>
      <c r="M1548">
        <v>2.67</v>
      </c>
      <c r="N1548">
        <v>20800</v>
      </c>
      <c r="O1548">
        <v>21190</v>
      </c>
      <c r="P1548">
        <v>3000</v>
      </c>
      <c r="Q1548">
        <v>7.04</v>
      </c>
      <c r="R1548">
        <v>10</v>
      </c>
      <c r="S1548">
        <v>579742</v>
      </c>
      <c r="T1548">
        <v>21190</v>
      </c>
      <c r="U1548">
        <v>0</v>
      </c>
      <c r="V1548">
        <v>0</v>
      </c>
      <c r="W1548">
        <v>0</v>
      </c>
      <c r="X1548" s="367"/>
    </row>
    <row r="1549" spans="1:24">
      <c r="A1549" t="s">
        <v>4773</v>
      </c>
      <c r="B1549" t="s">
        <v>4774</v>
      </c>
      <c r="C1549">
        <v>0</v>
      </c>
      <c r="D1549">
        <v>0</v>
      </c>
      <c r="E1549">
        <v>0</v>
      </c>
      <c r="F1549">
        <v>100</v>
      </c>
      <c r="G1549">
        <v>0</v>
      </c>
      <c r="H1549">
        <v>100</v>
      </c>
      <c r="I1549">
        <v>0</v>
      </c>
      <c r="J1549">
        <v>0</v>
      </c>
      <c r="K1549">
        <v>100</v>
      </c>
      <c r="L1549">
        <v>0</v>
      </c>
      <c r="M1549">
        <v>0</v>
      </c>
      <c r="N1549">
        <v>0</v>
      </c>
      <c r="O1549">
        <v>0</v>
      </c>
      <c r="P1549" t="s">
        <v>192</v>
      </c>
      <c r="Q1549" t="s">
        <v>192</v>
      </c>
      <c r="R1549">
        <v>1</v>
      </c>
      <c r="S1549">
        <v>100</v>
      </c>
      <c r="T1549">
        <v>1</v>
      </c>
      <c r="U1549">
        <v>0</v>
      </c>
      <c r="V1549">
        <v>0</v>
      </c>
      <c r="W1549">
        <v>0</v>
      </c>
      <c r="X1549" s="367"/>
    </row>
    <row r="1550" spans="1:24">
      <c r="A1550" t="s">
        <v>4775</v>
      </c>
      <c r="B1550" t="s">
        <v>4776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 t="s">
        <v>192</v>
      </c>
      <c r="Q1550" t="s">
        <v>192</v>
      </c>
      <c r="R1550">
        <v>1</v>
      </c>
      <c r="S1550">
        <v>100</v>
      </c>
      <c r="T1550">
        <v>1</v>
      </c>
      <c r="U1550">
        <v>0</v>
      </c>
      <c r="V1550">
        <v>0</v>
      </c>
      <c r="W1550">
        <v>0</v>
      </c>
      <c r="X1550" s="367"/>
    </row>
    <row r="1551" spans="1:24">
      <c r="A1551" t="s">
        <v>1882</v>
      </c>
      <c r="B1551" t="s">
        <v>1881</v>
      </c>
      <c r="C1551">
        <v>4</v>
      </c>
      <c r="D1551">
        <v>1958</v>
      </c>
      <c r="E1551">
        <v>141308860</v>
      </c>
      <c r="F1551">
        <v>70070</v>
      </c>
      <c r="G1551">
        <v>72170</v>
      </c>
      <c r="H1551">
        <v>72170</v>
      </c>
      <c r="I1551">
        <v>2100</v>
      </c>
      <c r="J1551">
        <v>3</v>
      </c>
      <c r="K1551">
        <v>72170</v>
      </c>
      <c r="L1551">
        <v>2100</v>
      </c>
      <c r="M1551">
        <v>3</v>
      </c>
      <c r="N1551">
        <v>72170</v>
      </c>
      <c r="O1551">
        <v>72170</v>
      </c>
      <c r="P1551">
        <v>7250</v>
      </c>
      <c r="Q1551">
        <v>9.9499999999999993</v>
      </c>
      <c r="R1551">
        <v>11</v>
      </c>
      <c r="S1551">
        <v>110006</v>
      </c>
      <c r="T1551">
        <v>72170</v>
      </c>
      <c r="U1551">
        <v>0</v>
      </c>
      <c r="V1551">
        <v>0</v>
      </c>
      <c r="W1551">
        <v>0</v>
      </c>
      <c r="X1551" s="367"/>
    </row>
    <row r="1552" spans="1:24">
      <c r="A1552" t="s">
        <v>2779</v>
      </c>
      <c r="B1552" t="s">
        <v>2778</v>
      </c>
      <c r="C1552">
        <v>1005</v>
      </c>
      <c r="D1552">
        <v>4656176</v>
      </c>
      <c r="E1552">
        <v>80400328450</v>
      </c>
      <c r="F1552">
        <v>16780</v>
      </c>
      <c r="G1552">
        <v>16860</v>
      </c>
      <c r="H1552">
        <v>17230</v>
      </c>
      <c r="I1552">
        <v>450</v>
      </c>
      <c r="J1552">
        <v>2.68</v>
      </c>
      <c r="K1552">
        <v>17270</v>
      </c>
      <c r="L1552">
        <v>490</v>
      </c>
      <c r="M1552">
        <v>2.92</v>
      </c>
      <c r="N1552">
        <v>16860</v>
      </c>
      <c r="O1552">
        <v>17280</v>
      </c>
      <c r="P1552">
        <v>2213</v>
      </c>
      <c r="Q1552">
        <v>7.8</v>
      </c>
      <c r="R1552">
        <v>1</v>
      </c>
      <c r="S1552">
        <v>400</v>
      </c>
      <c r="T1552">
        <v>17170</v>
      </c>
      <c r="U1552">
        <v>17240</v>
      </c>
      <c r="V1552">
        <v>5228</v>
      </c>
      <c r="W1552">
        <v>3</v>
      </c>
      <c r="X1552" s="367"/>
    </row>
    <row r="1553" spans="1:24">
      <c r="A1553" t="s">
        <v>4777</v>
      </c>
      <c r="B1553" t="s">
        <v>4778</v>
      </c>
      <c r="C1553">
        <v>664</v>
      </c>
      <c r="D1553">
        <v>8173278</v>
      </c>
      <c r="E1553">
        <v>288394114230</v>
      </c>
      <c r="F1553">
        <v>33928</v>
      </c>
      <c r="G1553">
        <v>35285</v>
      </c>
      <c r="H1553">
        <v>35285</v>
      </c>
      <c r="I1553">
        <v>1357</v>
      </c>
      <c r="J1553">
        <v>4</v>
      </c>
      <c r="K1553">
        <v>35285</v>
      </c>
      <c r="L1553">
        <v>1357</v>
      </c>
      <c r="M1553">
        <v>4</v>
      </c>
      <c r="N1553">
        <v>35285</v>
      </c>
      <c r="O1553">
        <v>35285</v>
      </c>
      <c r="P1553" t="s">
        <v>192</v>
      </c>
      <c r="Q1553" t="s">
        <v>192</v>
      </c>
      <c r="R1553">
        <v>683</v>
      </c>
      <c r="S1553">
        <v>46941186</v>
      </c>
      <c r="T1553">
        <v>35285</v>
      </c>
      <c r="U1553">
        <v>36100</v>
      </c>
      <c r="V1553">
        <v>1797</v>
      </c>
      <c r="W1553">
        <v>1</v>
      </c>
      <c r="X1553" s="367"/>
    </row>
    <row r="1554" spans="1:24">
      <c r="A1554" t="s">
        <v>4779</v>
      </c>
      <c r="B1554" t="s">
        <v>4780</v>
      </c>
      <c r="C1554">
        <v>0</v>
      </c>
      <c r="D1554">
        <v>0</v>
      </c>
      <c r="E1554">
        <v>0</v>
      </c>
      <c r="F1554">
        <v>1080000</v>
      </c>
      <c r="G1554">
        <v>0</v>
      </c>
      <c r="H1554">
        <v>1080000</v>
      </c>
      <c r="I1554">
        <v>0</v>
      </c>
      <c r="J1554">
        <v>0</v>
      </c>
      <c r="K1554">
        <v>1080000</v>
      </c>
      <c r="L1554">
        <v>0</v>
      </c>
      <c r="M1554">
        <v>0</v>
      </c>
      <c r="N1554">
        <v>0</v>
      </c>
      <c r="O1554">
        <v>0</v>
      </c>
      <c r="P1554" t="s">
        <v>192</v>
      </c>
      <c r="Q1554" t="s">
        <v>192</v>
      </c>
      <c r="R1554">
        <v>1</v>
      </c>
      <c r="S1554">
        <v>5000</v>
      </c>
      <c r="T1554">
        <v>1075000</v>
      </c>
      <c r="U1554">
        <v>1085000</v>
      </c>
      <c r="V1554">
        <v>5000</v>
      </c>
      <c r="W1554">
        <v>1</v>
      </c>
      <c r="X1554" s="367"/>
    </row>
    <row r="1555" spans="1:24">
      <c r="A1555" t="s">
        <v>4781</v>
      </c>
      <c r="B1555" t="s">
        <v>4782</v>
      </c>
      <c r="C1555">
        <v>0</v>
      </c>
      <c r="D1555">
        <v>0</v>
      </c>
      <c r="E1555">
        <v>0</v>
      </c>
      <c r="F1555">
        <v>1000000</v>
      </c>
      <c r="G1555">
        <v>0</v>
      </c>
      <c r="H1555">
        <v>1000000</v>
      </c>
      <c r="I1555">
        <v>0</v>
      </c>
      <c r="J1555">
        <v>0</v>
      </c>
      <c r="K1555">
        <v>1000000</v>
      </c>
      <c r="L1555">
        <v>0</v>
      </c>
      <c r="M1555">
        <v>0</v>
      </c>
      <c r="N1555">
        <v>0</v>
      </c>
      <c r="O1555">
        <v>0</v>
      </c>
      <c r="P1555" t="s">
        <v>192</v>
      </c>
      <c r="Q1555" t="s">
        <v>192</v>
      </c>
      <c r="R1555">
        <v>1</v>
      </c>
      <c r="S1555">
        <v>2000</v>
      </c>
      <c r="T1555">
        <v>995000</v>
      </c>
      <c r="U1555">
        <v>1005000</v>
      </c>
      <c r="V1555">
        <v>2000</v>
      </c>
      <c r="W1555">
        <v>1</v>
      </c>
      <c r="X1555" s="367"/>
    </row>
    <row r="1556" spans="1:24">
      <c r="A1556" t="s">
        <v>2614</v>
      </c>
      <c r="B1556" t="s">
        <v>2613</v>
      </c>
      <c r="C1556">
        <v>266</v>
      </c>
      <c r="D1556">
        <v>18628414</v>
      </c>
      <c r="E1556">
        <v>78611907080</v>
      </c>
      <c r="F1556">
        <v>4100</v>
      </c>
      <c r="G1556">
        <v>4220</v>
      </c>
      <c r="H1556">
        <v>4220</v>
      </c>
      <c r="I1556">
        <v>120</v>
      </c>
      <c r="J1556">
        <v>2.93</v>
      </c>
      <c r="K1556">
        <v>4220</v>
      </c>
      <c r="L1556">
        <v>120</v>
      </c>
      <c r="M1556">
        <v>2.93</v>
      </c>
      <c r="N1556">
        <v>4220</v>
      </c>
      <c r="O1556">
        <v>4220</v>
      </c>
      <c r="P1556">
        <v>150</v>
      </c>
      <c r="Q1556">
        <v>28.13</v>
      </c>
      <c r="R1556">
        <v>96</v>
      </c>
      <c r="S1556">
        <v>13763226</v>
      </c>
      <c r="T1556">
        <v>4220</v>
      </c>
      <c r="U1556">
        <v>0</v>
      </c>
      <c r="V1556">
        <v>0</v>
      </c>
      <c r="W1556">
        <v>0</v>
      </c>
      <c r="X1556" s="367"/>
    </row>
    <row r="1557" spans="1:24">
      <c r="A1557" t="s">
        <v>8816</v>
      </c>
      <c r="B1557" t="s">
        <v>56</v>
      </c>
      <c r="C1557">
        <v>3</v>
      </c>
      <c r="D1557">
        <v>2902</v>
      </c>
      <c r="E1557">
        <v>485504600</v>
      </c>
      <c r="F1557">
        <v>162500</v>
      </c>
      <c r="G1557">
        <v>167300</v>
      </c>
      <c r="H1557">
        <v>167300</v>
      </c>
      <c r="I1557">
        <v>4800</v>
      </c>
      <c r="J1557">
        <v>2.95</v>
      </c>
      <c r="K1557">
        <v>167300</v>
      </c>
      <c r="L1557">
        <v>4800</v>
      </c>
      <c r="M1557">
        <v>2.95</v>
      </c>
      <c r="N1557">
        <v>167300</v>
      </c>
      <c r="O1557">
        <v>167300</v>
      </c>
      <c r="P1557">
        <v>30922</v>
      </c>
      <c r="Q1557">
        <v>5.41</v>
      </c>
      <c r="R1557">
        <v>18</v>
      </c>
      <c r="S1557">
        <v>32957</v>
      </c>
      <c r="T1557">
        <v>167300</v>
      </c>
      <c r="U1557">
        <v>0</v>
      </c>
      <c r="V1557">
        <v>0</v>
      </c>
      <c r="W1557">
        <v>0</v>
      </c>
      <c r="X1557" s="367"/>
    </row>
    <row r="1558" spans="1:24">
      <c r="A1558" t="s">
        <v>4783</v>
      </c>
      <c r="B1558" t="s">
        <v>4784</v>
      </c>
      <c r="C1558">
        <v>0</v>
      </c>
      <c r="D1558">
        <v>0</v>
      </c>
      <c r="E1558">
        <v>0</v>
      </c>
      <c r="F1558">
        <v>831290</v>
      </c>
      <c r="G1558">
        <v>0</v>
      </c>
      <c r="H1558">
        <v>831290</v>
      </c>
      <c r="I1558">
        <v>0</v>
      </c>
      <c r="J1558">
        <v>0</v>
      </c>
      <c r="K1558">
        <v>831290</v>
      </c>
      <c r="L1558">
        <v>0</v>
      </c>
      <c r="M1558">
        <v>0</v>
      </c>
      <c r="N1558">
        <v>0</v>
      </c>
      <c r="O1558">
        <v>0</v>
      </c>
      <c r="P1558" t="s">
        <v>192</v>
      </c>
      <c r="Q1558" t="s">
        <v>192</v>
      </c>
      <c r="R1558">
        <v>1</v>
      </c>
      <c r="S1558">
        <v>5000</v>
      </c>
      <c r="T1558">
        <v>831290</v>
      </c>
      <c r="U1558">
        <v>0</v>
      </c>
      <c r="V1558">
        <v>0</v>
      </c>
      <c r="W1558">
        <v>0</v>
      </c>
      <c r="X1558" s="367"/>
    </row>
    <row r="1559" spans="1:24">
      <c r="A1559" t="s">
        <v>2773</v>
      </c>
      <c r="B1559" t="s">
        <v>2772</v>
      </c>
      <c r="C1559">
        <v>264</v>
      </c>
      <c r="D1559">
        <v>9415657</v>
      </c>
      <c r="E1559">
        <v>156770689050</v>
      </c>
      <c r="F1559">
        <v>16170</v>
      </c>
      <c r="G1559">
        <v>16650</v>
      </c>
      <c r="H1559">
        <v>16650</v>
      </c>
      <c r="I1559">
        <v>480</v>
      </c>
      <c r="J1559">
        <v>2.97</v>
      </c>
      <c r="K1559">
        <v>16650</v>
      </c>
      <c r="L1559">
        <v>480</v>
      </c>
      <c r="M1559">
        <v>2.97</v>
      </c>
      <c r="N1559">
        <v>16650</v>
      </c>
      <c r="O1559">
        <v>16650</v>
      </c>
      <c r="P1559">
        <v>2248</v>
      </c>
      <c r="Q1559">
        <v>7.41</v>
      </c>
      <c r="R1559">
        <v>28</v>
      </c>
      <c r="S1559">
        <v>1330844</v>
      </c>
      <c r="T1559">
        <v>16650</v>
      </c>
      <c r="U1559">
        <v>0</v>
      </c>
      <c r="V1559">
        <v>0</v>
      </c>
      <c r="W1559">
        <v>0</v>
      </c>
      <c r="X1559" s="367"/>
    </row>
    <row r="1560" spans="1:24">
      <c r="A1560" t="s">
        <v>4785</v>
      </c>
      <c r="B1560" t="s">
        <v>4786</v>
      </c>
      <c r="C1560">
        <v>2</v>
      </c>
      <c r="D1560">
        <v>2</v>
      </c>
      <c r="E1560">
        <v>14430000</v>
      </c>
      <c r="F1560">
        <v>4514</v>
      </c>
      <c r="G1560">
        <v>5430</v>
      </c>
      <c r="H1560">
        <v>9000</v>
      </c>
      <c r="I1560">
        <v>4486</v>
      </c>
      <c r="J1560">
        <v>99.38</v>
      </c>
      <c r="K1560">
        <v>7215</v>
      </c>
      <c r="L1560">
        <v>2701</v>
      </c>
      <c r="M1560">
        <v>59.84</v>
      </c>
      <c r="N1560">
        <v>5430</v>
      </c>
      <c r="O1560">
        <v>9000</v>
      </c>
      <c r="P1560" t="s">
        <v>192</v>
      </c>
      <c r="Q1560" t="s">
        <v>192</v>
      </c>
      <c r="R1560">
        <v>1</v>
      </c>
      <c r="S1560">
        <v>1</v>
      </c>
      <c r="T1560">
        <v>5550</v>
      </c>
      <c r="U1560">
        <v>8500</v>
      </c>
      <c r="V1560">
        <v>15</v>
      </c>
      <c r="W1560">
        <v>1</v>
      </c>
      <c r="X1560" s="367"/>
    </row>
    <row r="1561" spans="1:24">
      <c r="A1561" t="s">
        <v>4787</v>
      </c>
      <c r="B1561" t="s">
        <v>4788</v>
      </c>
      <c r="C1561">
        <v>97</v>
      </c>
      <c r="D1561">
        <v>2338813</v>
      </c>
      <c r="E1561">
        <v>62513026535</v>
      </c>
      <c r="F1561">
        <v>26061</v>
      </c>
      <c r="G1561">
        <v>26781</v>
      </c>
      <c r="H1561">
        <v>26745</v>
      </c>
      <c r="I1561">
        <v>684</v>
      </c>
      <c r="J1561">
        <v>2.62</v>
      </c>
      <c r="K1561">
        <v>26729</v>
      </c>
      <c r="L1561">
        <v>668</v>
      </c>
      <c r="M1561">
        <v>2.56</v>
      </c>
      <c r="N1561">
        <v>26522</v>
      </c>
      <c r="O1561">
        <v>26842</v>
      </c>
      <c r="P1561" t="s">
        <v>192</v>
      </c>
      <c r="Q1561" t="s">
        <v>192</v>
      </c>
      <c r="R1561">
        <v>1</v>
      </c>
      <c r="S1561">
        <v>8190</v>
      </c>
      <c r="T1561">
        <v>26610</v>
      </c>
      <c r="U1561">
        <v>0</v>
      </c>
      <c r="V1561">
        <v>0</v>
      </c>
      <c r="W1561">
        <v>0</v>
      </c>
      <c r="X1561" s="367"/>
    </row>
    <row r="1562" spans="1:24">
      <c r="A1562" t="s">
        <v>8817</v>
      </c>
      <c r="B1562" t="s">
        <v>34</v>
      </c>
      <c r="C1562">
        <v>1</v>
      </c>
      <c r="D1562">
        <v>2664</v>
      </c>
      <c r="E1562">
        <v>14545440</v>
      </c>
      <c r="F1562">
        <v>5310</v>
      </c>
      <c r="G1562">
        <v>5460</v>
      </c>
      <c r="H1562">
        <v>5460</v>
      </c>
      <c r="I1562">
        <v>150</v>
      </c>
      <c r="J1562">
        <v>2.82</v>
      </c>
      <c r="K1562">
        <v>5460</v>
      </c>
      <c r="L1562">
        <v>150</v>
      </c>
      <c r="M1562">
        <v>2.82</v>
      </c>
      <c r="N1562">
        <v>5460</v>
      </c>
      <c r="O1562">
        <v>5460</v>
      </c>
      <c r="P1562">
        <v>989</v>
      </c>
      <c r="Q1562">
        <v>5.52</v>
      </c>
      <c r="R1562">
        <v>22</v>
      </c>
      <c r="S1562">
        <v>981299</v>
      </c>
      <c r="T1562">
        <v>5460</v>
      </c>
      <c r="U1562">
        <v>0</v>
      </c>
      <c r="V1562">
        <v>0</v>
      </c>
      <c r="W1562">
        <v>0</v>
      </c>
      <c r="X1562" s="367"/>
    </row>
    <row r="1563" spans="1:24">
      <c r="A1563" t="s">
        <v>4789</v>
      </c>
      <c r="B1563" t="s">
        <v>4790</v>
      </c>
      <c r="C1563">
        <v>0</v>
      </c>
      <c r="D1563">
        <v>0</v>
      </c>
      <c r="E1563">
        <v>0</v>
      </c>
      <c r="F1563">
        <v>4103858</v>
      </c>
      <c r="G1563">
        <v>0</v>
      </c>
      <c r="H1563">
        <v>4103858</v>
      </c>
      <c r="I1563">
        <v>0</v>
      </c>
      <c r="J1563">
        <v>0</v>
      </c>
      <c r="K1563">
        <v>4103858</v>
      </c>
      <c r="L1563">
        <v>0</v>
      </c>
      <c r="M1563">
        <v>0</v>
      </c>
      <c r="N1563">
        <v>0</v>
      </c>
      <c r="O1563">
        <v>0</v>
      </c>
      <c r="P1563" t="s">
        <v>192</v>
      </c>
      <c r="Q1563" t="s">
        <v>192</v>
      </c>
      <c r="R1563">
        <v>1</v>
      </c>
      <c r="S1563">
        <v>5229</v>
      </c>
      <c r="T1563">
        <v>4062174</v>
      </c>
      <c r="U1563">
        <v>4143417</v>
      </c>
      <c r="V1563">
        <v>5229</v>
      </c>
      <c r="W1563">
        <v>1</v>
      </c>
      <c r="X1563" s="367"/>
    </row>
    <row r="1564" spans="1:24">
      <c r="A1564" t="s">
        <v>4791</v>
      </c>
      <c r="B1564" t="s">
        <v>8140</v>
      </c>
      <c r="C1564">
        <v>970</v>
      </c>
      <c r="D1564">
        <v>402235</v>
      </c>
      <c r="E1564">
        <v>19640575000</v>
      </c>
      <c r="F1564">
        <v>29</v>
      </c>
      <c r="G1564">
        <v>41</v>
      </c>
      <c r="H1564">
        <v>52</v>
      </c>
      <c r="I1564">
        <v>23</v>
      </c>
      <c r="J1564">
        <v>79.31</v>
      </c>
      <c r="K1564">
        <v>49</v>
      </c>
      <c r="L1564">
        <v>20</v>
      </c>
      <c r="M1564">
        <v>68.97</v>
      </c>
      <c r="N1564">
        <v>41</v>
      </c>
      <c r="O1564">
        <v>320</v>
      </c>
      <c r="P1564" t="s">
        <v>192</v>
      </c>
      <c r="Q1564" t="s">
        <v>192</v>
      </c>
      <c r="R1564">
        <v>1</v>
      </c>
      <c r="S1564">
        <v>128</v>
      </c>
      <c r="T1564">
        <v>53</v>
      </c>
      <c r="U1564">
        <v>53</v>
      </c>
      <c r="V1564">
        <v>2000</v>
      </c>
      <c r="W1564">
        <v>2</v>
      </c>
      <c r="X1564" s="367"/>
    </row>
    <row r="1565" spans="1:24">
      <c r="A1565" t="s">
        <v>4793</v>
      </c>
      <c r="B1565" t="s">
        <v>4794</v>
      </c>
      <c r="C1565">
        <v>44</v>
      </c>
      <c r="D1565">
        <v>6541</v>
      </c>
      <c r="E1565">
        <v>719674000</v>
      </c>
      <c r="F1565">
        <v>74</v>
      </c>
      <c r="G1565">
        <v>82</v>
      </c>
      <c r="H1565">
        <v>118</v>
      </c>
      <c r="I1565">
        <v>44</v>
      </c>
      <c r="J1565">
        <v>59.46</v>
      </c>
      <c r="K1565">
        <v>110</v>
      </c>
      <c r="L1565">
        <v>36</v>
      </c>
      <c r="M1565">
        <v>48.65</v>
      </c>
      <c r="N1565">
        <v>81</v>
      </c>
      <c r="O1565">
        <v>119</v>
      </c>
      <c r="P1565" t="s">
        <v>192</v>
      </c>
      <c r="Q1565" t="s">
        <v>192</v>
      </c>
      <c r="R1565">
        <v>1</v>
      </c>
      <c r="S1565">
        <v>1000</v>
      </c>
      <c r="T1565">
        <v>118</v>
      </c>
      <c r="U1565">
        <v>123</v>
      </c>
      <c r="V1565">
        <v>300</v>
      </c>
      <c r="W1565">
        <v>1</v>
      </c>
      <c r="X1565" s="367"/>
    </row>
    <row r="1566" spans="1:24">
      <c r="A1566" t="s">
        <v>4795</v>
      </c>
      <c r="B1566" t="s">
        <v>4796</v>
      </c>
      <c r="C1566">
        <v>0</v>
      </c>
      <c r="D1566">
        <v>0</v>
      </c>
      <c r="E1566">
        <v>0</v>
      </c>
      <c r="F1566">
        <v>1</v>
      </c>
      <c r="G1566">
        <v>0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 t="s">
        <v>192</v>
      </c>
      <c r="Q1566" t="s">
        <v>192</v>
      </c>
      <c r="R1566">
        <v>1</v>
      </c>
      <c r="S1566">
        <v>111</v>
      </c>
      <c r="T1566">
        <v>11</v>
      </c>
      <c r="U1566">
        <v>0</v>
      </c>
      <c r="V1566">
        <v>0</v>
      </c>
      <c r="W1566">
        <v>0</v>
      </c>
      <c r="X1566" s="367"/>
    </row>
    <row r="1567" spans="1:24">
      <c r="A1567" t="s">
        <v>2202</v>
      </c>
      <c r="B1567" t="s">
        <v>2201</v>
      </c>
      <c r="C1567">
        <v>4405</v>
      </c>
      <c r="D1567">
        <v>51774822</v>
      </c>
      <c r="E1567">
        <v>1026021275910</v>
      </c>
      <c r="F1567">
        <v>19540</v>
      </c>
      <c r="G1567">
        <v>19540</v>
      </c>
      <c r="H1567">
        <v>20120</v>
      </c>
      <c r="I1567">
        <v>580</v>
      </c>
      <c r="J1567">
        <v>2.97</v>
      </c>
      <c r="K1567">
        <v>19820</v>
      </c>
      <c r="L1567">
        <v>280</v>
      </c>
      <c r="M1567">
        <v>1.43</v>
      </c>
      <c r="N1567">
        <v>19210</v>
      </c>
      <c r="O1567">
        <v>20120</v>
      </c>
      <c r="P1567">
        <v>2413</v>
      </c>
      <c r="Q1567">
        <v>8.2100000000000009</v>
      </c>
      <c r="R1567">
        <v>6</v>
      </c>
      <c r="S1567">
        <v>54755</v>
      </c>
      <c r="T1567">
        <v>20110</v>
      </c>
      <c r="U1567">
        <v>20120</v>
      </c>
      <c r="V1567">
        <v>340599</v>
      </c>
      <c r="W1567">
        <v>4</v>
      </c>
      <c r="X1567" s="367"/>
    </row>
    <row r="1568" spans="1:24">
      <c r="A1568" t="s">
        <v>4797</v>
      </c>
      <c r="B1568" t="s">
        <v>4798</v>
      </c>
      <c r="C1568">
        <v>0</v>
      </c>
      <c r="D1568">
        <v>0</v>
      </c>
      <c r="E1568">
        <v>0</v>
      </c>
      <c r="F1568">
        <v>1822193</v>
      </c>
      <c r="G1568">
        <v>0</v>
      </c>
      <c r="H1568">
        <v>1822193</v>
      </c>
      <c r="I1568">
        <v>0</v>
      </c>
      <c r="J1568">
        <v>0</v>
      </c>
      <c r="K1568">
        <v>1822193</v>
      </c>
      <c r="L1568">
        <v>0</v>
      </c>
      <c r="M1568">
        <v>0</v>
      </c>
      <c r="N1568">
        <v>0</v>
      </c>
      <c r="O1568">
        <v>0</v>
      </c>
      <c r="P1568" t="s">
        <v>192</v>
      </c>
      <c r="Q1568" t="s">
        <v>192</v>
      </c>
      <c r="R1568">
        <v>1</v>
      </c>
      <c r="S1568">
        <v>50000</v>
      </c>
      <c r="T1568">
        <v>2152541</v>
      </c>
      <c r="U1568">
        <v>2193430</v>
      </c>
      <c r="V1568">
        <v>50000</v>
      </c>
      <c r="W1568">
        <v>1</v>
      </c>
      <c r="X1568" s="367"/>
    </row>
    <row r="1569" spans="1:24">
      <c r="A1569" t="s">
        <v>3026</v>
      </c>
      <c r="B1569" t="s">
        <v>3025</v>
      </c>
      <c r="C1569">
        <v>1051</v>
      </c>
      <c r="D1569">
        <v>65471794</v>
      </c>
      <c r="E1569">
        <v>290559036900</v>
      </c>
      <c r="F1569">
        <v>4350</v>
      </c>
      <c r="G1569">
        <v>4460</v>
      </c>
      <c r="H1569">
        <v>4480</v>
      </c>
      <c r="I1569">
        <v>130</v>
      </c>
      <c r="J1569">
        <v>2.99</v>
      </c>
      <c r="K1569">
        <v>4440</v>
      </c>
      <c r="L1569">
        <v>90</v>
      </c>
      <c r="M1569">
        <v>2.0699999999999998</v>
      </c>
      <c r="N1569">
        <v>4370</v>
      </c>
      <c r="O1569">
        <v>4480</v>
      </c>
      <c r="P1569">
        <v>841</v>
      </c>
      <c r="Q1569">
        <v>5.28</v>
      </c>
      <c r="R1569">
        <v>3</v>
      </c>
      <c r="S1569">
        <v>501117</v>
      </c>
      <c r="T1569">
        <v>4480</v>
      </c>
      <c r="U1569">
        <v>0</v>
      </c>
      <c r="V1569">
        <v>0</v>
      </c>
      <c r="W1569">
        <v>0</v>
      </c>
      <c r="X1569" s="367"/>
    </row>
    <row r="1570" spans="1:24">
      <c r="A1570" t="s">
        <v>3111</v>
      </c>
      <c r="B1570" t="s">
        <v>3110</v>
      </c>
      <c r="C1570">
        <v>2143</v>
      </c>
      <c r="D1570">
        <v>280332910</v>
      </c>
      <c r="E1570">
        <v>916688615700</v>
      </c>
      <c r="F1570">
        <v>3180</v>
      </c>
      <c r="G1570">
        <v>3270</v>
      </c>
      <c r="H1570">
        <v>3270</v>
      </c>
      <c r="I1570">
        <v>90</v>
      </c>
      <c r="J1570">
        <v>2.83</v>
      </c>
      <c r="K1570">
        <v>3270</v>
      </c>
      <c r="L1570">
        <v>90</v>
      </c>
      <c r="M1570">
        <v>2.83</v>
      </c>
      <c r="N1570">
        <v>3270</v>
      </c>
      <c r="O1570">
        <v>3270</v>
      </c>
      <c r="P1570">
        <v>711</v>
      </c>
      <c r="Q1570">
        <v>4.5999999999999996</v>
      </c>
      <c r="R1570">
        <v>553</v>
      </c>
      <c r="S1570">
        <v>107555449</v>
      </c>
      <c r="T1570">
        <v>3270</v>
      </c>
      <c r="U1570">
        <v>3290</v>
      </c>
      <c r="V1570">
        <v>24776</v>
      </c>
      <c r="W1570">
        <v>5</v>
      </c>
      <c r="X1570" s="367"/>
    </row>
    <row r="1571" spans="1:24">
      <c r="A1571" t="s">
        <v>2986</v>
      </c>
      <c r="B1571" t="s">
        <v>2985</v>
      </c>
      <c r="C1571">
        <v>1485</v>
      </c>
      <c r="D1571">
        <v>194541806</v>
      </c>
      <c r="E1571">
        <v>1161407435940</v>
      </c>
      <c r="F1571">
        <v>5800</v>
      </c>
      <c r="G1571">
        <v>5970</v>
      </c>
      <c r="H1571">
        <v>5970</v>
      </c>
      <c r="I1571">
        <v>170</v>
      </c>
      <c r="J1571">
        <v>2.93</v>
      </c>
      <c r="K1571">
        <v>5970</v>
      </c>
      <c r="L1571">
        <v>170</v>
      </c>
      <c r="M1571">
        <v>2.93</v>
      </c>
      <c r="N1571">
        <v>5950</v>
      </c>
      <c r="O1571">
        <v>5970</v>
      </c>
      <c r="P1571">
        <v>1045</v>
      </c>
      <c r="Q1571">
        <v>5.71</v>
      </c>
      <c r="R1571">
        <v>2</v>
      </c>
      <c r="S1571">
        <v>52909</v>
      </c>
      <c r="T1571">
        <v>5970</v>
      </c>
      <c r="U1571">
        <v>0</v>
      </c>
      <c r="V1571">
        <v>0</v>
      </c>
      <c r="W1571">
        <v>0</v>
      </c>
      <c r="X1571" s="367"/>
    </row>
    <row r="1572" spans="1:24">
      <c r="A1572" t="s">
        <v>8524</v>
      </c>
      <c r="B1572" t="s">
        <v>8525</v>
      </c>
      <c r="C1572">
        <v>0</v>
      </c>
      <c r="D1572">
        <v>0</v>
      </c>
      <c r="E1572">
        <v>0</v>
      </c>
      <c r="F1572">
        <v>1000000</v>
      </c>
      <c r="G1572">
        <v>0</v>
      </c>
      <c r="H1572">
        <v>1000000</v>
      </c>
      <c r="I1572">
        <v>0</v>
      </c>
      <c r="J1572">
        <v>0</v>
      </c>
      <c r="K1572">
        <v>1000000</v>
      </c>
      <c r="L1572">
        <v>0</v>
      </c>
      <c r="M1572">
        <v>0</v>
      </c>
      <c r="N1572">
        <v>0</v>
      </c>
      <c r="O1572">
        <v>0</v>
      </c>
      <c r="P1572" t="s">
        <v>192</v>
      </c>
      <c r="Q1572" t="s">
        <v>192</v>
      </c>
      <c r="R1572">
        <v>1</v>
      </c>
      <c r="S1572">
        <v>10000</v>
      </c>
      <c r="T1572">
        <v>1000000</v>
      </c>
      <c r="U1572">
        <v>0</v>
      </c>
      <c r="V1572">
        <v>0</v>
      </c>
      <c r="W1572">
        <v>0</v>
      </c>
      <c r="X1572" s="367"/>
    </row>
    <row r="1573" spans="1:24">
      <c r="A1573" t="s">
        <v>4799</v>
      </c>
      <c r="B1573" t="s">
        <v>4800</v>
      </c>
      <c r="C1573">
        <v>0</v>
      </c>
      <c r="D1573">
        <v>0</v>
      </c>
      <c r="E1573">
        <v>0</v>
      </c>
      <c r="F1573">
        <v>912673</v>
      </c>
      <c r="G1573">
        <v>0</v>
      </c>
      <c r="H1573">
        <v>912673</v>
      </c>
      <c r="I1573">
        <v>0</v>
      </c>
      <c r="J1573">
        <v>0</v>
      </c>
      <c r="K1573">
        <v>912673</v>
      </c>
      <c r="L1573">
        <v>0</v>
      </c>
      <c r="M1573">
        <v>0</v>
      </c>
      <c r="N1573">
        <v>0</v>
      </c>
      <c r="O1573">
        <v>0</v>
      </c>
      <c r="P1573" t="s">
        <v>192</v>
      </c>
      <c r="Q1573" t="s">
        <v>192</v>
      </c>
      <c r="R1573">
        <v>1</v>
      </c>
      <c r="S1573">
        <v>10400</v>
      </c>
      <c r="T1573">
        <v>912673</v>
      </c>
      <c r="U1573">
        <v>0</v>
      </c>
      <c r="V1573">
        <v>0</v>
      </c>
      <c r="W1573">
        <v>0</v>
      </c>
      <c r="X1573" s="367"/>
    </row>
    <row r="1574" spans="1:24">
      <c r="A1574" t="s">
        <v>4801</v>
      </c>
      <c r="B1574" t="s">
        <v>4802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 t="s">
        <v>192</v>
      </c>
      <c r="Q1574" t="s">
        <v>192</v>
      </c>
      <c r="R1574">
        <v>1</v>
      </c>
      <c r="S1574">
        <v>444</v>
      </c>
      <c r="T1574">
        <v>4</v>
      </c>
      <c r="U1574">
        <v>0</v>
      </c>
      <c r="V1574">
        <v>0</v>
      </c>
      <c r="W1574">
        <v>0</v>
      </c>
      <c r="X1574" s="367"/>
    </row>
    <row r="1575" spans="1:24">
      <c r="A1575" t="s">
        <v>4803</v>
      </c>
      <c r="B1575" t="s">
        <v>4804</v>
      </c>
      <c r="C1575">
        <v>0</v>
      </c>
      <c r="D1575">
        <v>0</v>
      </c>
      <c r="E1575">
        <v>0</v>
      </c>
      <c r="F1575">
        <v>1000000</v>
      </c>
      <c r="G1575">
        <v>0</v>
      </c>
      <c r="H1575">
        <v>1000000</v>
      </c>
      <c r="I1575">
        <v>0</v>
      </c>
      <c r="J1575">
        <v>0</v>
      </c>
      <c r="K1575">
        <v>1000000</v>
      </c>
      <c r="L1575">
        <v>0</v>
      </c>
      <c r="M1575">
        <v>0</v>
      </c>
      <c r="N1575">
        <v>0</v>
      </c>
      <c r="O1575">
        <v>0</v>
      </c>
      <c r="P1575" t="s">
        <v>192</v>
      </c>
      <c r="Q1575" t="s">
        <v>192</v>
      </c>
      <c r="R1575">
        <v>1</v>
      </c>
      <c r="S1575">
        <v>5000</v>
      </c>
      <c r="T1575">
        <v>1000000</v>
      </c>
      <c r="U1575">
        <v>0</v>
      </c>
      <c r="V1575">
        <v>0</v>
      </c>
      <c r="W1575">
        <v>0</v>
      </c>
      <c r="X1575" s="367"/>
    </row>
    <row r="1576" spans="1:24">
      <c r="A1576" t="s">
        <v>4805</v>
      </c>
      <c r="B1576" t="s">
        <v>4806</v>
      </c>
      <c r="C1576">
        <v>0</v>
      </c>
      <c r="D1576">
        <v>0</v>
      </c>
      <c r="E1576">
        <v>0</v>
      </c>
      <c r="F1576">
        <v>1000000</v>
      </c>
      <c r="G1576">
        <v>0</v>
      </c>
      <c r="H1576">
        <v>1000000</v>
      </c>
      <c r="I1576">
        <v>0</v>
      </c>
      <c r="J1576">
        <v>0</v>
      </c>
      <c r="K1576">
        <v>1000000</v>
      </c>
      <c r="L1576">
        <v>0</v>
      </c>
      <c r="M1576">
        <v>0</v>
      </c>
      <c r="N1576">
        <v>0</v>
      </c>
      <c r="O1576">
        <v>0</v>
      </c>
      <c r="P1576" t="s">
        <v>192</v>
      </c>
      <c r="Q1576" t="s">
        <v>192</v>
      </c>
      <c r="R1576">
        <v>1</v>
      </c>
      <c r="S1576">
        <v>6000</v>
      </c>
      <c r="T1576">
        <v>990000</v>
      </c>
      <c r="U1576">
        <v>1000000</v>
      </c>
      <c r="V1576">
        <v>1410</v>
      </c>
      <c r="W1576">
        <v>1</v>
      </c>
      <c r="X1576" s="367"/>
    </row>
    <row r="1577" spans="1:24">
      <c r="A1577" t="s">
        <v>4807</v>
      </c>
      <c r="B1577" t="s">
        <v>4808</v>
      </c>
      <c r="C1577">
        <v>1187</v>
      </c>
      <c r="D1577">
        <v>18380562</v>
      </c>
      <c r="E1577">
        <v>158537675285</v>
      </c>
      <c r="F1577">
        <v>8518</v>
      </c>
      <c r="G1577">
        <v>8675</v>
      </c>
      <c r="H1577">
        <v>8640</v>
      </c>
      <c r="I1577">
        <v>122</v>
      </c>
      <c r="J1577">
        <v>1.43</v>
      </c>
      <c r="K1577">
        <v>8625</v>
      </c>
      <c r="L1577">
        <v>107</v>
      </c>
      <c r="M1577">
        <v>1.26</v>
      </c>
      <c r="N1577">
        <v>8578</v>
      </c>
      <c r="O1577">
        <v>8688</v>
      </c>
      <c r="P1577" t="s">
        <v>192</v>
      </c>
      <c r="Q1577" t="s">
        <v>192</v>
      </c>
      <c r="R1577">
        <v>6</v>
      </c>
      <c r="S1577">
        <v>11478</v>
      </c>
      <c r="T1577">
        <v>8630</v>
      </c>
      <c r="U1577">
        <v>8638</v>
      </c>
      <c r="V1577">
        <v>5000</v>
      </c>
      <c r="W1577">
        <v>1</v>
      </c>
      <c r="X1577" s="367"/>
    </row>
    <row r="1578" spans="1:24">
      <c r="A1578" t="s">
        <v>4809</v>
      </c>
      <c r="B1578" t="s">
        <v>8566</v>
      </c>
      <c r="C1578">
        <v>39</v>
      </c>
      <c r="D1578">
        <v>10331</v>
      </c>
      <c r="E1578">
        <v>2990433000</v>
      </c>
      <c r="F1578">
        <v>271</v>
      </c>
      <c r="G1578">
        <v>300</v>
      </c>
      <c r="H1578">
        <v>296</v>
      </c>
      <c r="I1578">
        <v>25</v>
      </c>
      <c r="J1578">
        <v>9.23</v>
      </c>
      <c r="K1578">
        <v>289</v>
      </c>
      <c r="L1578">
        <v>18</v>
      </c>
      <c r="M1578">
        <v>6.64</v>
      </c>
      <c r="N1578">
        <v>282</v>
      </c>
      <c r="O1578">
        <v>300</v>
      </c>
      <c r="P1578" t="s">
        <v>192</v>
      </c>
      <c r="Q1578" t="s">
        <v>192</v>
      </c>
      <c r="R1578">
        <v>1</v>
      </c>
      <c r="S1578">
        <v>1000</v>
      </c>
      <c r="T1578">
        <v>286</v>
      </c>
      <c r="U1578">
        <v>293</v>
      </c>
      <c r="V1578">
        <v>10</v>
      </c>
      <c r="W1578">
        <v>1</v>
      </c>
      <c r="X1578" s="367"/>
    </row>
    <row r="1579" spans="1:24">
      <c r="A1579" t="s">
        <v>8818</v>
      </c>
      <c r="B1579" t="s">
        <v>1804</v>
      </c>
      <c r="C1579">
        <v>2</v>
      </c>
      <c r="D1579">
        <v>22942</v>
      </c>
      <c r="E1579">
        <v>150728940</v>
      </c>
      <c r="F1579">
        <v>6380</v>
      </c>
      <c r="G1579">
        <v>6570</v>
      </c>
      <c r="H1579">
        <v>6570</v>
      </c>
      <c r="I1579">
        <v>190</v>
      </c>
      <c r="J1579">
        <v>2.98</v>
      </c>
      <c r="K1579">
        <v>6570</v>
      </c>
      <c r="L1579">
        <v>190</v>
      </c>
      <c r="M1579">
        <v>2.98</v>
      </c>
      <c r="N1579">
        <v>6570</v>
      </c>
      <c r="O1579">
        <v>6570</v>
      </c>
      <c r="P1579">
        <v>813</v>
      </c>
      <c r="Q1579">
        <v>8.08</v>
      </c>
      <c r="R1579">
        <v>0</v>
      </c>
      <c r="S1579">
        <v>0</v>
      </c>
      <c r="T1579">
        <v>0</v>
      </c>
      <c r="U1579">
        <v>6570</v>
      </c>
      <c r="V1579">
        <v>27058</v>
      </c>
      <c r="W1579">
        <v>1</v>
      </c>
      <c r="X1579" s="367"/>
    </row>
    <row r="1580" spans="1:24">
      <c r="A1580" t="s">
        <v>2926</v>
      </c>
      <c r="B1580" t="s">
        <v>2925</v>
      </c>
      <c r="C1580">
        <v>265</v>
      </c>
      <c r="D1580">
        <v>9766793</v>
      </c>
      <c r="E1580">
        <v>83310744290</v>
      </c>
      <c r="F1580">
        <v>8290</v>
      </c>
      <c r="G1580">
        <v>8530</v>
      </c>
      <c r="H1580">
        <v>8530</v>
      </c>
      <c r="I1580">
        <v>240</v>
      </c>
      <c r="J1580">
        <v>2.9</v>
      </c>
      <c r="K1580">
        <v>8530</v>
      </c>
      <c r="L1580">
        <v>240</v>
      </c>
      <c r="M1580">
        <v>2.9</v>
      </c>
      <c r="N1580">
        <v>8530</v>
      </c>
      <c r="O1580">
        <v>8530</v>
      </c>
      <c r="P1580">
        <v>2109</v>
      </c>
      <c r="Q1580">
        <v>4.04</v>
      </c>
      <c r="R1580">
        <v>98</v>
      </c>
      <c r="S1580">
        <v>4930821</v>
      </c>
      <c r="T1580">
        <v>8530</v>
      </c>
      <c r="U1580">
        <v>8610</v>
      </c>
      <c r="V1580">
        <v>2593</v>
      </c>
      <c r="W1580">
        <v>2</v>
      </c>
      <c r="X1580" s="367"/>
    </row>
    <row r="1581" spans="1:24">
      <c r="A1581" t="s">
        <v>4813</v>
      </c>
      <c r="B1581" t="s">
        <v>4814</v>
      </c>
      <c r="C1581">
        <v>0</v>
      </c>
      <c r="D1581">
        <v>0</v>
      </c>
      <c r="E1581">
        <v>0</v>
      </c>
      <c r="F1581">
        <v>1002159</v>
      </c>
      <c r="G1581">
        <v>0</v>
      </c>
      <c r="H1581">
        <v>1000000</v>
      </c>
      <c r="I1581">
        <v>-2159</v>
      </c>
      <c r="J1581">
        <v>-0.22</v>
      </c>
      <c r="K1581">
        <v>1002159</v>
      </c>
      <c r="L1581">
        <v>0</v>
      </c>
      <c r="M1581">
        <v>0</v>
      </c>
      <c r="N1581">
        <v>0</v>
      </c>
      <c r="O1581">
        <v>0</v>
      </c>
      <c r="P1581" t="s">
        <v>192</v>
      </c>
      <c r="Q1581" t="s">
        <v>192</v>
      </c>
      <c r="R1581">
        <v>1</v>
      </c>
      <c r="S1581">
        <v>931</v>
      </c>
      <c r="T1581">
        <v>1000000</v>
      </c>
      <c r="U1581">
        <v>1010000</v>
      </c>
      <c r="V1581">
        <v>925</v>
      </c>
      <c r="W1581">
        <v>1</v>
      </c>
      <c r="X1581" s="367"/>
    </row>
    <row r="1582" spans="1:24">
      <c r="A1582" t="s">
        <v>3060</v>
      </c>
      <c r="B1582" t="s">
        <v>3059</v>
      </c>
      <c r="C1582">
        <v>303</v>
      </c>
      <c r="D1582">
        <v>16068898</v>
      </c>
      <c r="E1582">
        <v>35298179092</v>
      </c>
      <c r="F1582">
        <v>2155</v>
      </c>
      <c r="G1582">
        <v>2198</v>
      </c>
      <c r="H1582">
        <v>2219</v>
      </c>
      <c r="I1582">
        <v>64</v>
      </c>
      <c r="J1582">
        <v>2.97</v>
      </c>
      <c r="K1582">
        <v>2197</v>
      </c>
      <c r="L1582">
        <v>42</v>
      </c>
      <c r="M1582">
        <v>1.95</v>
      </c>
      <c r="N1582">
        <v>2160</v>
      </c>
      <c r="O1582">
        <v>2219</v>
      </c>
      <c r="P1582">
        <v>776</v>
      </c>
      <c r="Q1582">
        <v>2.83</v>
      </c>
      <c r="R1582">
        <v>1</v>
      </c>
      <c r="S1582">
        <v>180000</v>
      </c>
      <c r="T1582">
        <v>2201</v>
      </c>
      <c r="U1582">
        <v>2219</v>
      </c>
      <c r="V1582">
        <v>156575</v>
      </c>
      <c r="W1582">
        <v>1</v>
      </c>
      <c r="X1582" s="367"/>
    </row>
    <row r="1583" spans="1:24">
      <c r="A1583" t="s">
        <v>8819</v>
      </c>
      <c r="B1583" t="s">
        <v>2203</v>
      </c>
      <c r="C1583">
        <v>12</v>
      </c>
      <c r="D1583">
        <v>17348</v>
      </c>
      <c r="E1583">
        <v>2935281600</v>
      </c>
      <c r="F1583">
        <v>166500</v>
      </c>
      <c r="G1583">
        <v>169200</v>
      </c>
      <c r="H1583">
        <v>169200</v>
      </c>
      <c r="I1583">
        <v>2700</v>
      </c>
      <c r="J1583">
        <v>1.62</v>
      </c>
      <c r="K1583">
        <v>169200</v>
      </c>
      <c r="L1583">
        <v>2700</v>
      </c>
      <c r="M1583">
        <v>1.62</v>
      </c>
      <c r="N1583">
        <v>169200</v>
      </c>
      <c r="O1583">
        <v>169200</v>
      </c>
      <c r="P1583">
        <v>20406</v>
      </c>
      <c r="Q1583">
        <v>8.2899999999999991</v>
      </c>
      <c r="R1583">
        <v>0</v>
      </c>
      <c r="S1583">
        <v>0</v>
      </c>
      <c r="T1583">
        <v>0</v>
      </c>
      <c r="U1583">
        <v>169200</v>
      </c>
      <c r="V1583">
        <v>403810</v>
      </c>
      <c r="W1583">
        <v>43</v>
      </c>
      <c r="X1583" s="367"/>
    </row>
    <row r="1584" spans="1:24">
      <c r="A1584" t="s">
        <v>2346</v>
      </c>
      <c r="B1584" t="s">
        <v>2345</v>
      </c>
      <c r="C1584">
        <v>3023</v>
      </c>
      <c r="D1584">
        <v>31619484</v>
      </c>
      <c r="E1584">
        <v>1335290708380</v>
      </c>
      <c r="F1584">
        <v>41000</v>
      </c>
      <c r="G1584">
        <v>42230</v>
      </c>
      <c r="H1584">
        <v>42230</v>
      </c>
      <c r="I1584">
        <v>1230</v>
      </c>
      <c r="J1584">
        <v>3</v>
      </c>
      <c r="K1584">
        <v>42230</v>
      </c>
      <c r="L1584">
        <v>1230</v>
      </c>
      <c r="M1584">
        <v>3</v>
      </c>
      <c r="N1584">
        <v>42200</v>
      </c>
      <c r="O1584">
        <v>42230</v>
      </c>
      <c r="P1584">
        <v>9661</v>
      </c>
      <c r="Q1584">
        <v>4.37</v>
      </c>
      <c r="R1584">
        <v>2</v>
      </c>
      <c r="S1584">
        <v>45000</v>
      </c>
      <c r="T1584">
        <v>42230</v>
      </c>
      <c r="U1584">
        <v>42310</v>
      </c>
      <c r="V1584">
        <v>4130</v>
      </c>
      <c r="W1584">
        <v>2</v>
      </c>
      <c r="X1584" s="367"/>
    </row>
    <row r="1585" spans="1:24">
      <c r="A1585" t="s">
        <v>4815</v>
      </c>
      <c r="B1585" t="s">
        <v>4816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 t="s">
        <v>192</v>
      </c>
      <c r="Q1585" t="s">
        <v>192</v>
      </c>
      <c r="R1585">
        <v>1</v>
      </c>
      <c r="S1585">
        <v>44</v>
      </c>
      <c r="T1585">
        <v>44</v>
      </c>
      <c r="U1585">
        <v>0</v>
      </c>
      <c r="V1585">
        <v>0</v>
      </c>
      <c r="W1585">
        <v>0</v>
      </c>
      <c r="X1585" s="367"/>
    </row>
    <row r="1586" spans="1:24">
      <c r="A1586" t="s">
        <v>4817</v>
      </c>
      <c r="B1586" t="s">
        <v>4818</v>
      </c>
      <c r="C1586">
        <v>2</v>
      </c>
      <c r="D1586">
        <v>72</v>
      </c>
      <c r="E1586">
        <v>79000</v>
      </c>
      <c r="F1586">
        <v>8</v>
      </c>
      <c r="G1586">
        <v>1</v>
      </c>
      <c r="H1586">
        <v>8</v>
      </c>
      <c r="I1586">
        <v>0</v>
      </c>
      <c r="J1586">
        <v>0</v>
      </c>
      <c r="K1586">
        <v>1</v>
      </c>
      <c r="L1586">
        <v>-7</v>
      </c>
      <c r="M1586">
        <v>-87.5</v>
      </c>
      <c r="N1586">
        <v>1</v>
      </c>
      <c r="O1586">
        <v>8</v>
      </c>
      <c r="P1586" t="s">
        <v>192</v>
      </c>
      <c r="Q1586" t="s">
        <v>192</v>
      </c>
      <c r="R1586">
        <v>1</v>
      </c>
      <c r="S1586">
        <v>29</v>
      </c>
      <c r="T1586">
        <v>1</v>
      </c>
      <c r="U1586">
        <v>30</v>
      </c>
      <c r="V1586">
        <v>241</v>
      </c>
      <c r="W1586">
        <v>1</v>
      </c>
      <c r="X1586" s="367"/>
    </row>
    <row r="1587" spans="1:24">
      <c r="A1587" t="s">
        <v>2731</v>
      </c>
      <c r="B1587" t="s">
        <v>2730</v>
      </c>
      <c r="C1587">
        <v>82</v>
      </c>
      <c r="D1587">
        <v>331224</v>
      </c>
      <c r="E1587">
        <v>10493377220</v>
      </c>
      <c r="F1587">
        <v>30770</v>
      </c>
      <c r="G1587">
        <v>31690</v>
      </c>
      <c r="H1587">
        <v>31690</v>
      </c>
      <c r="I1587">
        <v>920</v>
      </c>
      <c r="J1587">
        <v>2.99</v>
      </c>
      <c r="K1587">
        <v>31680</v>
      </c>
      <c r="L1587">
        <v>910</v>
      </c>
      <c r="M1587">
        <v>2.96</v>
      </c>
      <c r="N1587">
        <v>31550</v>
      </c>
      <c r="O1587">
        <v>31690</v>
      </c>
      <c r="P1587">
        <v>3367</v>
      </c>
      <c r="Q1587">
        <v>9.41</v>
      </c>
      <c r="R1587">
        <v>2</v>
      </c>
      <c r="S1587">
        <v>11838</v>
      </c>
      <c r="T1587">
        <v>31300</v>
      </c>
      <c r="U1587">
        <v>34150</v>
      </c>
      <c r="V1587">
        <v>1000</v>
      </c>
      <c r="W1587">
        <v>1</v>
      </c>
      <c r="X1587" s="367"/>
    </row>
    <row r="1588" spans="1:24">
      <c r="A1588" t="s">
        <v>4819</v>
      </c>
      <c r="B1588" t="s">
        <v>4820</v>
      </c>
      <c r="C1588">
        <v>0</v>
      </c>
      <c r="D1588">
        <v>0</v>
      </c>
      <c r="E1588">
        <v>0</v>
      </c>
      <c r="F1588">
        <v>1000000</v>
      </c>
      <c r="G1588">
        <v>0</v>
      </c>
      <c r="H1588">
        <v>1000000</v>
      </c>
      <c r="I1588">
        <v>0</v>
      </c>
      <c r="J1588">
        <v>0</v>
      </c>
      <c r="K1588">
        <v>1000000</v>
      </c>
      <c r="L1588">
        <v>0</v>
      </c>
      <c r="M1588">
        <v>0</v>
      </c>
      <c r="N1588">
        <v>0</v>
      </c>
      <c r="O1588">
        <v>0</v>
      </c>
      <c r="P1588" t="s">
        <v>192</v>
      </c>
      <c r="Q1588" t="s">
        <v>192</v>
      </c>
      <c r="R1588">
        <v>1</v>
      </c>
      <c r="S1588">
        <v>3000</v>
      </c>
      <c r="T1588">
        <v>995000</v>
      </c>
      <c r="U1588">
        <v>1004900</v>
      </c>
      <c r="V1588">
        <v>3000</v>
      </c>
      <c r="W1588">
        <v>1</v>
      </c>
      <c r="X1588" s="367"/>
    </row>
    <row r="1589" spans="1:24">
      <c r="A1589" t="s">
        <v>7115</v>
      </c>
      <c r="B1589" t="s">
        <v>8099</v>
      </c>
      <c r="C1589">
        <v>5</v>
      </c>
      <c r="D1589">
        <v>1040</v>
      </c>
      <c r="E1589">
        <v>4320000</v>
      </c>
      <c r="F1589">
        <v>9</v>
      </c>
      <c r="G1589">
        <v>4</v>
      </c>
      <c r="H1589">
        <v>8</v>
      </c>
      <c r="I1589">
        <v>-1</v>
      </c>
      <c r="J1589">
        <v>-11.11</v>
      </c>
      <c r="K1589">
        <v>4</v>
      </c>
      <c r="L1589">
        <v>-5</v>
      </c>
      <c r="M1589">
        <v>-55.56</v>
      </c>
      <c r="N1589">
        <v>4</v>
      </c>
      <c r="O1589">
        <v>8</v>
      </c>
      <c r="P1589" t="s">
        <v>192</v>
      </c>
      <c r="Q1589" t="s">
        <v>192</v>
      </c>
      <c r="R1589">
        <v>3</v>
      </c>
      <c r="S1589">
        <v>3000</v>
      </c>
      <c r="T1589">
        <v>3</v>
      </c>
      <c r="U1589">
        <v>8</v>
      </c>
      <c r="V1589">
        <v>1960</v>
      </c>
      <c r="W1589">
        <v>2</v>
      </c>
      <c r="X1589" s="367"/>
    </row>
    <row r="1590" spans="1:24">
      <c r="A1590" t="s">
        <v>2166</v>
      </c>
      <c r="B1590" t="s">
        <v>2165</v>
      </c>
      <c r="C1590">
        <v>1021</v>
      </c>
      <c r="D1590">
        <v>21424923</v>
      </c>
      <c r="E1590">
        <v>327977618190</v>
      </c>
      <c r="F1590">
        <v>14870</v>
      </c>
      <c r="G1590">
        <v>15310</v>
      </c>
      <c r="H1590">
        <v>15310</v>
      </c>
      <c r="I1590">
        <v>440</v>
      </c>
      <c r="J1590">
        <v>2.96</v>
      </c>
      <c r="K1590">
        <v>15310</v>
      </c>
      <c r="L1590">
        <v>440</v>
      </c>
      <c r="M1590">
        <v>2.96</v>
      </c>
      <c r="N1590">
        <v>15250</v>
      </c>
      <c r="O1590">
        <v>15310</v>
      </c>
      <c r="P1590">
        <v>341</v>
      </c>
      <c r="Q1590">
        <v>44.9</v>
      </c>
      <c r="R1590">
        <v>66</v>
      </c>
      <c r="S1590">
        <v>2919308</v>
      </c>
      <c r="T1590">
        <v>15310</v>
      </c>
      <c r="U1590">
        <v>0</v>
      </c>
      <c r="V1590">
        <v>0</v>
      </c>
      <c r="W1590">
        <v>0</v>
      </c>
      <c r="X1590" s="367"/>
    </row>
    <row r="1591" spans="1:24">
      <c r="A1591" t="s">
        <v>2132</v>
      </c>
      <c r="B1591" t="s">
        <v>2131</v>
      </c>
      <c r="C1591">
        <v>11</v>
      </c>
      <c r="D1591">
        <v>162252</v>
      </c>
      <c r="E1591">
        <v>248407812</v>
      </c>
      <c r="F1591">
        <v>1487</v>
      </c>
      <c r="G1591">
        <v>1531</v>
      </c>
      <c r="H1591">
        <v>1531</v>
      </c>
      <c r="I1591">
        <v>44</v>
      </c>
      <c r="J1591">
        <v>2.96</v>
      </c>
      <c r="K1591">
        <v>1531</v>
      </c>
      <c r="L1591">
        <v>44</v>
      </c>
      <c r="M1591">
        <v>2.96</v>
      </c>
      <c r="N1591">
        <v>1531</v>
      </c>
      <c r="O1591">
        <v>1531</v>
      </c>
      <c r="P1591">
        <v>-111</v>
      </c>
      <c r="Q1591">
        <v>-13.79</v>
      </c>
      <c r="R1591">
        <v>3</v>
      </c>
      <c r="S1591">
        <v>720588</v>
      </c>
      <c r="T1591">
        <v>1531</v>
      </c>
      <c r="U1591">
        <v>0</v>
      </c>
      <c r="V1591">
        <v>0</v>
      </c>
      <c r="W1591">
        <v>0</v>
      </c>
      <c r="X1591" s="367"/>
    </row>
    <row r="1592" spans="1:24">
      <c r="A1592" t="s">
        <v>4822</v>
      </c>
      <c r="B1592" t="s">
        <v>4823</v>
      </c>
      <c r="C1592">
        <v>132</v>
      </c>
      <c r="D1592">
        <v>28436014</v>
      </c>
      <c r="E1592">
        <v>500707576731</v>
      </c>
      <c r="F1592">
        <v>17584</v>
      </c>
      <c r="G1592">
        <v>17609</v>
      </c>
      <c r="H1592">
        <v>17609</v>
      </c>
      <c r="I1592">
        <v>25</v>
      </c>
      <c r="J1592">
        <v>0.14000000000000001</v>
      </c>
      <c r="K1592">
        <v>17608</v>
      </c>
      <c r="L1592">
        <v>24</v>
      </c>
      <c r="M1592">
        <v>0.14000000000000001</v>
      </c>
      <c r="N1592">
        <v>17608</v>
      </c>
      <c r="O1592">
        <v>17610</v>
      </c>
      <c r="P1592" t="s">
        <v>192</v>
      </c>
      <c r="Q1592" t="s">
        <v>192</v>
      </c>
      <c r="R1592">
        <v>2</v>
      </c>
      <c r="S1592">
        <v>1004575</v>
      </c>
      <c r="T1592">
        <v>17609</v>
      </c>
      <c r="U1592">
        <v>17610</v>
      </c>
      <c r="V1592">
        <v>860000</v>
      </c>
      <c r="W1592">
        <v>1</v>
      </c>
      <c r="X1592" s="367"/>
    </row>
    <row r="1593" spans="1:24">
      <c r="A1593" t="s">
        <v>4824</v>
      </c>
      <c r="B1593" t="s">
        <v>4825</v>
      </c>
      <c r="C1593">
        <v>0</v>
      </c>
      <c r="D1593">
        <v>0</v>
      </c>
      <c r="E1593">
        <v>0</v>
      </c>
      <c r="F1593">
        <v>1000000</v>
      </c>
      <c r="G1593">
        <v>0</v>
      </c>
      <c r="H1593">
        <v>1000000</v>
      </c>
      <c r="I1593">
        <v>0</v>
      </c>
      <c r="J1593">
        <v>0</v>
      </c>
      <c r="K1593">
        <v>1000000</v>
      </c>
      <c r="L1593">
        <v>0</v>
      </c>
      <c r="M1593">
        <v>0</v>
      </c>
      <c r="N1593">
        <v>0</v>
      </c>
      <c r="O1593">
        <v>0</v>
      </c>
      <c r="P1593" t="s">
        <v>192</v>
      </c>
      <c r="Q1593" t="s">
        <v>192</v>
      </c>
      <c r="R1593">
        <v>1</v>
      </c>
      <c r="S1593">
        <v>5000</v>
      </c>
      <c r="T1593">
        <v>1000000</v>
      </c>
      <c r="U1593">
        <v>0</v>
      </c>
      <c r="V1593">
        <v>0</v>
      </c>
      <c r="W1593">
        <v>0</v>
      </c>
      <c r="X1593" s="367"/>
    </row>
    <row r="1594" spans="1:24">
      <c r="A1594" t="s">
        <v>4826</v>
      </c>
      <c r="B1594" t="s">
        <v>4827</v>
      </c>
      <c r="C1594">
        <v>36</v>
      </c>
      <c r="D1594">
        <v>603</v>
      </c>
      <c r="E1594">
        <v>3773245000</v>
      </c>
      <c r="F1594">
        <v>4194</v>
      </c>
      <c r="G1594">
        <v>4120</v>
      </c>
      <c r="H1594">
        <v>5500</v>
      </c>
      <c r="I1594">
        <v>1306</v>
      </c>
      <c r="J1594">
        <v>31.14</v>
      </c>
      <c r="K1594">
        <v>6257</v>
      </c>
      <c r="L1594">
        <v>2063</v>
      </c>
      <c r="M1594">
        <v>49.19</v>
      </c>
      <c r="N1594">
        <v>4120</v>
      </c>
      <c r="O1594">
        <v>6800</v>
      </c>
      <c r="P1594" t="s">
        <v>192</v>
      </c>
      <c r="Q1594" t="s">
        <v>192</v>
      </c>
      <c r="R1594">
        <v>1</v>
      </c>
      <c r="S1594">
        <v>15</v>
      </c>
      <c r="T1594">
        <v>5251</v>
      </c>
      <c r="U1594">
        <v>6489</v>
      </c>
      <c r="V1594">
        <v>1</v>
      </c>
      <c r="W1594">
        <v>1</v>
      </c>
      <c r="X1594" s="367"/>
    </row>
    <row r="1595" spans="1:24">
      <c r="A1595" t="s">
        <v>4829</v>
      </c>
      <c r="B1595" t="s">
        <v>4830</v>
      </c>
      <c r="C1595">
        <v>6713</v>
      </c>
      <c r="D1595">
        <v>3442336</v>
      </c>
      <c r="E1595">
        <v>3744307000</v>
      </c>
      <c r="F1595">
        <v>1</v>
      </c>
      <c r="G1595">
        <v>2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2</v>
      </c>
      <c r="P1595" t="s">
        <v>192</v>
      </c>
      <c r="Q1595" t="s">
        <v>192</v>
      </c>
      <c r="R1595">
        <v>0</v>
      </c>
      <c r="S1595">
        <v>0</v>
      </c>
      <c r="T1595">
        <v>0</v>
      </c>
      <c r="U1595">
        <v>1</v>
      </c>
      <c r="V1595">
        <v>283424</v>
      </c>
      <c r="W1595">
        <v>292</v>
      </c>
      <c r="X1595" s="367"/>
    </row>
    <row r="1596" spans="1:24">
      <c r="A1596" t="s">
        <v>8000</v>
      </c>
      <c r="B1596" t="s">
        <v>8001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 t="s">
        <v>192</v>
      </c>
      <c r="Q1596" t="s">
        <v>192</v>
      </c>
      <c r="R1596">
        <v>1</v>
      </c>
      <c r="S1596">
        <v>200</v>
      </c>
      <c r="T1596">
        <v>30</v>
      </c>
      <c r="U1596">
        <v>0</v>
      </c>
      <c r="V1596">
        <v>0</v>
      </c>
      <c r="W1596">
        <v>0</v>
      </c>
      <c r="X1596" s="367"/>
    </row>
    <row r="1597" spans="1:24">
      <c r="A1597" t="s">
        <v>4831</v>
      </c>
      <c r="B1597" t="s">
        <v>4832</v>
      </c>
      <c r="C1597">
        <v>0</v>
      </c>
      <c r="D1597">
        <v>0</v>
      </c>
      <c r="E1597">
        <v>0</v>
      </c>
      <c r="F1597">
        <v>1</v>
      </c>
      <c r="G1597">
        <v>0</v>
      </c>
      <c r="H1597">
        <v>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 t="s">
        <v>192</v>
      </c>
      <c r="Q1597" t="s">
        <v>192</v>
      </c>
      <c r="R1597">
        <v>1</v>
      </c>
      <c r="S1597">
        <v>111</v>
      </c>
      <c r="T1597">
        <v>11</v>
      </c>
      <c r="U1597">
        <v>0</v>
      </c>
      <c r="V1597">
        <v>0</v>
      </c>
      <c r="W1597">
        <v>0</v>
      </c>
      <c r="X1597" s="367"/>
    </row>
    <row r="1598" spans="1:24">
      <c r="A1598" t="s">
        <v>6609</v>
      </c>
      <c r="B1598" t="s">
        <v>8616</v>
      </c>
      <c r="C1598">
        <v>1</v>
      </c>
      <c r="D1598">
        <v>81</v>
      </c>
      <c r="E1598">
        <v>111051</v>
      </c>
      <c r="F1598">
        <v>1</v>
      </c>
      <c r="G1598">
        <v>1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1</v>
      </c>
      <c r="P1598" t="s">
        <v>192</v>
      </c>
      <c r="Q1598" t="s">
        <v>192</v>
      </c>
      <c r="R1598">
        <v>0</v>
      </c>
      <c r="S1598">
        <v>0</v>
      </c>
      <c r="T1598">
        <v>0</v>
      </c>
      <c r="U1598">
        <v>50</v>
      </c>
      <c r="V1598">
        <v>24</v>
      </c>
      <c r="W1598">
        <v>1</v>
      </c>
      <c r="X1598" s="367"/>
    </row>
    <row r="1599" spans="1:24">
      <c r="A1599" t="s">
        <v>8526</v>
      </c>
      <c r="B1599" t="s">
        <v>8527</v>
      </c>
      <c r="C1599">
        <v>157</v>
      </c>
      <c r="D1599">
        <v>456707</v>
      </c>
      <c r="E1599">
        <v>15045436260</v>
      </c>
      <c r="F1599">
        <v>32510</v>
      </c>
      <c r="G1599">
        <v>32430</v>
      </c>
      <c r="H1599">
        <v>33000</v>
      </c>
      <c r="I1599">
        <v>490</v>
      </c>
      <c r="J1599">
        <v>1.51</v>
      </c>
      <c r="K1599">
        <v>32940</v>
      </c>
      <c r="L1599">
        <v>430</v>
      </c>
      <c r="M1599">
        <v>1.32</v>
      </c>
      <c r="N1599">
        <v>32430</v>
      </c>
      <c r="O1599">
        <v>33320</v>
      </c>
      <c r="P1599">
        <v>-2104</v>
      </c>
      <c r="Q1599">
        <v>-15.66</v>
      </c>
      <c r="R1599">
        <v>1</v>
      </c>
      <c r="S1599">
        <v>30000</v>
      </c>
      <c r="T1599">
        <v>32840</v>
      </c>
      <c r="U1599">
        <v>33200</v>
      </c>
      <c r="V1599">
        <v>1000</v>
      </c>
      <c r="W1599">
        <v>1</v>
      </c>
      <c r="X1599" s="367"/>
    </row>
    <row r="1600" spans="1:24">
      <c r="A1600" t="s">
        <v>4833</v>
      </c>
      <c r="B1600" t="s">
        <v>2683</v>
      </c>
      <c r="C1600">
        <v>530</v>
      </c>
      <c r="D1600">
        <v>26153413</v>
      </c>
      <c r="E1600">
        <v>426300631900</v>
      </c>
      <c r="F1600">
        <v>15830</v>
      </c>
      <c r="G1600">
        <v>16300</v>
      </c>
      <c r="H1600">
        <v>16300</v>
      </c>
      <c r="I1600">
        <v>470</v>
      </c>
      <c r="J1600">
        <v>2.97</v>
      </c>
      <c r="K1600">
        <v>16300</v>
      </c>
      <c r="L1600">
        <v>470</v>
      </c>
      <c r="M1600">
        <v>2.97</v>
      </c>
      <c r="N1600">
        <v>16300</v>
      </c>
      <c r="O1600">
        <v>16300</v>
      </c>
      <c r="P1600">
        <v>1532</v>
      </c>
      <c r="Q1600">
        <v>10.64</v>
      </c>
      <c r="R1600">
        <v>187</v>
      </c>
      <c r="S1600">
        <v>17120323</v>
      </c>
      <c r="T1600">
        <v>16300</v>
      </c>
      <c r="U1600">
        <v>0</v>
      </c>
      <c r="V1600">
        <v>0</v>
      </c>
      <c r="W1600">
        <v>0</v>
      </c>
      <c r="X1600" s="367"/>
    </row>
    <row r="1601" spans="1:24">
      <c r="A1601" t="s">
        <v>4834</v>
      </c>
      <c r="B1601" t="s">
        <v>4835</v>
      </c>
      <c r="C1601">
        <v>106</v>
      </c>
      <c r="D1601">
        <v>15832</v>
      </c>
      <c r="E1601">
        <v>2047802000</v>
      </c>
      <c r="F1601">
        <v>112</v>
      </c>
      <c r="G1601">
        <v>110</v>
      </c>
      <c r="H1601">
        <v>134</v>
      </c>
      <c r="I1601">
        <v>22</v>
      </c>
      <c r="J1601">
        <v>19.64</v>
      </c>
      <c r="K1601">
        <v>129</v>
      </c>
      <c r="L1601">
        <v>17</v>
      </c>
      <c r="M1601">
        <v>15.18</v>
      </c>
      <c r="N1601">
        <v>110</v>
      </c>
      <c r="O1601">
        <v>136</v>
      </c>
      <c r="P1601" t="s">
        <v>192</v>
      </c>
      <c r="Q1601" t="s">
        <v>192</v>
      </c>
      <c r="R1601">
        <v>1</v>
      </c>
      <c r="S1601">
        <v>5</v>
      </c>
      <c r="T1601">
        <v>130</v>
      </c>
      <c r="U1601">
        <v>144</v>
      </c>
      <c r="V1601">
        <v>157</v>
      </c>
      <c r="W1601">
        <v>1</v>
      </c>
      <c r="X1601" s="367"/>
    </row>
    <row r="1602" spans="1:24">
      <c r="A1602" t="s">
        <v>4836</v>
      </c>
      <c r="B1602" t="s">
        <v>4837</v>
      </c>
      <c r="C1602">
        <v>0</v>
      </c>
      <c r="D1602">
        <v>0</v>
      </c>
      <c r="E1602">
        <v>0</v>
      </c>
      <c r="F1602">
        <v>967340</v>
      </c>
      <c r="G1602">
        <v>0</v>
      </c>
      <c r="H1602">
        <v>967340</v>
      </c>
      <c r="I1602">
        <v>0</v>
      </c>
      <c r="J1602">
        <v>0</v>
      </c>
      <c r="K1602">
        <v>967340</v>
      </c>
      <c r="L1602">
        <v>0</v>
      </c>
      <c r="M1602">
        <v>0</v>
      </c>
      <c r="N1602">
        <v>0</v>
      </c>
      <c r="O1602">
        <v>0</v>
      </c>
      <c r="P1602" t="s">
        <v>192</v>
      </c>
      <c r="Q1602" t="s">
        <v>192</v>
      </c>
      <c r="R1602">
        <v>1</v>
      </c>
      <c r="S1602">
        <v>5000</v>
      </c>
      <c r="T1602">
        <v>996350</v>
      </c>
      <c r="U1602">
        <v>996360</v>
      </c>
      <c r="V1602">
        <v>5000</v>
      </c>
      <c r="W1602">
        <v>1</v>
      </c>
      <c r="X1602" s="367"/>
    </row>
    <row r="1603" spans="1:24">
      <c r="A1603" t="s">
        <v>4840</v>
      </c>
      <c r="B1603" t="s">
        <v>4841</v>
      </c>
      <c r="C1603">
        <v>0</v>
      </c>
      <c r="D1603">
        <v>0</v>
      </c>
      <c r="E1603">
        <v>0</v>
      </c>
      <c r="F1603">
        <v>1000000</v>
      </c>
      <c r="G1603">
        <v>0</v>
      </c>
      <c r="H1603">
        <v>1000000</v>
      </c>
      <c r="I1603">
        <v>0</v>
      </c>
      <c r="J1603">
        <v>0</v>
      </c>
      <c r="K1603">
        <v>1000000</v>
      </c>
      <c r="L1603">
        <v>0</v>
      </c>
      <c r="M1603">
        <v>0</v>
      </c>
      <c r="N1603">
        <v>0</v>
      </c>
      <c r="O1603">
        <v>0</v>
      </c>
      <c r="P1603" t="s">
        <v>192</v>
      </c>
      <c r="Q1603" t="s">
        <v>192</v>
      </c>
      <c r="R1603">
        <v>1</v>
      </c>
      <c r="S1603">
        <v>7000</v>
      </c>
      <c r="T1603">
        <v>970000</v>
      </c>
      <c r="U1603">
        <v>0</v>
      </c>
      <c r="V1603">
        <v>0</v>
      </c>
      <c r="W1603">
        <v>0</v>
      </c>
      <c r="X1603" s="367"/>
    </row>
    <row r="1604" spans="1:24">
      <c r="A1604" t="s">
        <v>4842</v>
      </c>
      <c r="B1604" t="s">
        <v>4843</v>
      </c>
      <c r="C1604">
        <v>57</v>
      </c>
      <c r="D1604">
        <v>7789255</v>
      </c>
      <c r="E1604">
        <v>159126690395</v>
      </c>
      <c r="F1604">
        <v>19834</v>
      </c>
      <c r="G1604">
        <v>20429</v>
      </c>
      <c r="H1604">
        <v>20429</v>
      </c>
      <c r="I1604">
        <v>595</v>
      </c>
      <c r="J1604">
        <v>3</v>
      </c>
      <c r="K1604">
        <v>20429</v>
      </c>
      <c r="L1604">
        <v>595</v>
      </c>
      <c r="M1604">
        <v>3</v>
      </c>
      <c r="N1604">
        <v>20429</v>
      </c>
      <c r="O1604">
        <v>20429</v>
      </c>
      <c r="P1604" t="s">
        <v>192</v>
      </c>
      <c r="Q1604" t="s">
        <v>192</v>
      </c>
      <c r="R1604">
        <v>43</v>
      </c>
      <c r="S1604">
        <v>2402885</v>
      </c>
      <c r="T1604">
        <v>20429</v>
      </c>
      <c r="U1604">
        <v>0</v>
      </c>
      <c r="V1604">
        <v>0</v>
      </c>
      <c r="W1604">
        <v>0</v>
      </c>
      <c r="X1604" s="367"/>
    </row>
    <row r="1605" spans="1:24">
      <c r="A1605" t="s">
        <v>8247</v>
      </c>
      <c r="B1605" t="s">
        <v>8248</v>
      </c>
      <c r="C1605">
        <v>0</v>
      </c>
      <c r="D1605">
        <v>0</v>
      </c>
      <c r="E1605">
        <v>0</v>
      </c>
      <c r="F1605">
        <v>1</v>
      </c>
      <c r="G1605">
        <v>0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 t="s">
        <v>192</v>
      </c>
      <c r="Q1605" t="s">
        <v>192</v>
      </c>
      <c r="R1605">
        <v>1</v>
      </c>
      <c r="S1605">
        <v>55</v>
      </c>
      <c r="T1605">
        <v>55</v>
      </c>
      <c r="U1605">
        <v>0</v>
      </c>
      <c r="V1605">
        <v>0</v>
      </c>
      <c r="W1605">
        <v>0</v>
      </c>
      <c r="X1605" s="367"/>
    </row>
    <row r="1606" spans="1:24">
      <c r="A1606" t="s">
        <v>4844</v>
      </c>
      <c r="B1606" t="s">
        <v>4845</v>
      </c>
      <c r="C1606">
        <v>231</v>
      </c>
      <c r="D1606">
        <v>6289785</v>
      </c>
      <c r="E1606">
        <v>159238486845</v>
      </c>
      <c r="F1606">
        <v>24580</v>
      </c>
      <c r="G1606">
        <v>25317</v>
      </c>
      <c r="H1606">
        <v>25317</v>
      </c>
      <c r="I1606">
        <v>737</v>
      </c>
      <c r="J1606">
        <v>3</v>
      </c>
      <c r="K1606">
        <v>25317</v>
      </c>
      <c r="L1606">
        <v>737</v>
      </c>
      <c r="M1606">
        <v>3</v>
      </c>
      <c r="N1606">
        <v>25317</v>
      </c>
      <c r="O1606">
        <v>25317</v>
      </c>
      <c r="P1606" t="s">
        <v>192</v>
      </c>
      <c r="Q1606" t="s">
        <v>192</v>
      </c>
      <c r="R1606">
        <v>5</v>
      </c>
      <c r="S1606">
        <v>261581</v>
      </c>
      <c r="T1606">
        <v>25317</v>
      </c>
      <c r="U1606">
        <v>0</v>
      </c>
      <c r="V1606">
        <v>0</v>
      </c>
      <c r="W1606">
        <v>0</v>
      </c>
      <c r="X1606" s="367"/>
    </row>
    <row r="1607" spans="1:24">
      <c r="A1607" t="s">
        <v>4846</v>
      </c>
      <c r="B1607" t="s">
        <v>4847</v>
      </c>
      <c r="C1607">
        <v>0</v>
      </c>
      <c r="D1607">
        <v>0</v>
      </c>
      <c r="E1607">
        <v>0</v>
      </c>
      <c r="F1607">
        <v>1002830</v>
      </c>
      <c r="G1607">
        <v>0</v>
      </c>
      <c r="H1607">
        <v>1002830</v>
      </c>
      <c r="I1607">
        <v>0</v>
      </c>
      <c r="J1607">
        <v>0</v>
      </c>
      <c r="K1607">
        <v>1002830</v>
      </c>
      <c r="L1607">
        <v>0</v>
      </c>
      <c r="M1607">
        <v>0</v>
      </c>
      <c r="N1607">
        <v>0</v>
      </c>
      <c r="O1607">
        <v>0</v>
      </c>
      <c r="P1607" t="s">
        <v>192</v>
      </c>
      <c r="Q1607" t="s">
        <v>192</v>
      </c>
      <c r="R1607">
        <v>1</v>
      </c>
      <c r="S1607">
        <v>5000</v>
      </c>
      <c r="T1607">
        <v>1000000</v>
      </c>
      <c r="U1607">
        <v>1010000</v>
      </c>
      <c r="V1607">
        <v>5000</v>
      </c>
      <c r="W1607">
        <v>1</v>
      </c>
      <c r="X1607" s="367"/>
    </row>
    <row r="1608" spans="1:24">
      <c r="A1608" t="s">
        <v>4848</v>
      </c>
      <c r="B1608" t="s">
        <v>4849</v>
      </c>
      <c r="C1608">
        <v>250</v>
      </c>
      <c r="D1608">
        <v>11588</v>
      </c>
      <c r="E1608">
        <v>1716839000</v>
      </c>
      <c r="F1608">
        <v>145</v>
      </c>
      <c r="G1608">
        <v>115</v>
      </c>
      <c r="H1608">
        <v>145</v>
      </c>
      <c r="I1608">
        <v>0</v>
      </c>
      <c r="J1608">
        <v>0</v>
      </c>
      <c r="K1608">
        <v>148</v>
      </c>
      <c r="L1608">
        <v>3</v>
      </c>
      <c r="M1608">
        <v>2.0699999999999998</v>
      </c>
      <c r="N1608">
        <v>112</v>
      </c>
      <c r="O1608">
        <v>160</v>
      </c>
      <c r="P1608" t="s">
        <v>192</v>
      </c>
      <c r="Q1608" t="s">
        <v>192</v>
      </c>
      <c r="R1608">
        <v>2</v>
      </c>
      <c r="S1608">
        <v>2</v>
      </c>
      <c r="T1608">
        <v>145</v>
      </c>
      <c r="U1608">
        <v>150</v>
      </c>
      <c r="V1608">
        <v>412</v>
      </c>
      <c r="W1608">
        <v>2</v>
      </c>
      <c r="X1608" s="367"/>
    </row>
    <row r="1609" spans="1:24">
      <c r="A1609" t="s">
        <v>8556</v>
      </c>
      <c r="B1609" t="s">
        <v>8274</v>
      </c>
      <c r="C1609">
        <v>1</v>
      </c>
      <c r="D1609">
        <v>4600000</v>
      </c>
      <c r="E1609">
        <v>4600000</v>
      </c>
      <c r="F1609">
        <v>10471</v>
      </c>
      <c r="G1609">
        <v>1</v>
      </c>
      <c r="H1609">
        <v>1</v>
      </c>
      <c r="I1609">
        <v>-10470</v>
      </c>
      <c r="J1609">
        <v>-99.99</v>
      </c>
      <c r="K1609">
        <v>1</v>
      </c>
      <c r="L1609">
        <v>-10470</v>
      </c>
      <c r="M1609">
        <v>-99.99</v>
      </c>
      <c r="N1609">
        <v>1</v>
      </c>
      <c r="O1609">
        <v>1</v>
      </c>
      <c r="P1609" t="s">
        <v>192</v>
      </c>
      <c r="Q1609" t="s">
        <v>192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 s="367"/>
    </row>
    <row r="1610" spans="1:24">
      <c r="A1610" t="s">
        <v>1919</v>
      </c>
      <c r="B1610" t="s">
        <v>1918</v>
      </c>
      <c r="C1610">
        <v>331</v>
      </c>
      <c r="D1610">
        <v>1911917</v>
      </c>
      <c r="E1610">
        <v>4519156356</v>
      </c>
      <c r="F1610">
        <v>2297</v>
      </c>
      <c r="G1610">
        <v>2365</v>
      </c>
      <c r="H1610">
        <v>2360</v>
      </c>
      <c r="I1610">
        <v>63</v>
      </c>
      <c r="J1610">
        <v>2.74</v>
      </c>
      <c r="K1610">
        <v>2364</v>
      </c>
      <c r="L1610">
        <v>67</v>
      </c>
      <c r="M1610">
        <v>2.92</v>
      </c>
      <c r="N1610">
        <v>2300</v>
      </c>
      <c r="O1610">
        <v>2365</v>
      </c>
      <c r="P1610">
        <v>583</v>
      </c>
      <c r="Q1610">
        <v>4.05</v>
      </c>
      <c r="R1610">
        <v>1</v>
      </c>
      <c r="S1610">
        <v>2502</v>
      </c>
      <c r="T1610">
        <v>2359</v>
      </c>
      <c r="U1610">
        <v>2362</v>
      </c>
      <c r="V1610">
        <v>1473</v>
      </c>
      <c r="W1610">
        <v>1</v>
      </c>
      <c r="X1610" s="367"/>
    </row>
    <row r="1611" spans="1:24">
      <c r="A1611" t="s">
        <v>4850</v>
      </c>
      <c r="B1611" t="s">
        <v>4851</v>
      </c>
      <c r="C1611">
        <v>1324</v>
      </c>
      <c r="D1611">
        <v>593451</v>
      </c>
      <c r="E1611">
        <v>20215286000</v>
      </c>
      <c r="F1611">
        <v>13</v>
      </c>
      <c r="G1611">
        <v>25</v>
      </c>
      <c r="H1611">
        <v>33</v>
      </c>
      <c r="I1611">
        <v>20</v>
      </c>
      <c r="J1611">
        <v>153.85</v>
      </c>
      <c r="K1611">
        <v>34</v>
      </c>
      <c r="L1611">
        <v>21</v>
      </c>
      <c r="M1611">
        <v>161.54</v>
      </c>
      <c r="N1611">
        <v>24</v>
      </c>
      <c r="O1611">
        <v>39</v>
      </c>
      <c r="P1611" t="s">
        <v>192</v>
      </c>
      <c r="Q1611" t="s">
        <v>192</v>
      </c>
      <c r="R1611">
        <v>1</v>
      </c>
      <c r="S1611">
        <v>100</v>
      </c>
      <c r="T1611">
        <v>30</v>
      </c>
      <c r="U1611">
        <v>33</v>
      </c>
      <c r="V1611">
        <v>984</v>
      </c>
      <c r="W1611">
        <v>1</v>
      </c>
      <c r="X1611" s="367"/>
    </row>
    <row r="1612" spans="1:24">
      <c r="A1612" t="s">
        <v>8476</v>
      </c>
      <c r="B1612" t="s">
        <v>8477</v>
      </c>
      <c r="C1612">
        <v>3</v>
      </c>
      <c r="D1612">
        <v>200</v>
      </c>
      <c r="E1612">
        <v>11300000</v>
      </c>
      <c r="F1612">
        <v>1</v>
      </c>
      <c r="G1612">
        <v>33</v>
      </c>
      <c r="H1612">
        <v>80</v>
      </c>
      <c r="I1612">
        <v>79</v>
      </c>
      <c r="J1612">
        <v>7900</v>
      </c>
      <c r="K1612">
        <v>56</v>
      </c>
      <c r="L1612">
        <v>55</v>
      </c>
      <c r="M1612">
        <v>5500</v>
      </c>
      <c r="N1612">
        <v>33</v>
      </c>
      <c r="O1612">
        <v>80</v>
      </c>
      <c r="P1612" t="s">
        <v>192</v>
      </c>
      <c r="Q1612" t="s">
        <v>192</v>
      </c>
      <c r="R1612">
        <v>1</v>
      </c>
      <c r="S1612">
        <v>222</v>
      </c>
      <c r="T1612">
        <v>22</v>
      </c>
      <c r="U1612">
        <v>0</v>
      </c>
      <c r="V1612">
        <v>0</v>
      </c>
      <c r="W1612">
        <v>0</v>
      </c>
      <c r="X1612" s="367"/>
    </row>
    <row r="1613" spans="1:24">
      <c r="A1613" t="s">
        <v>8820</v>
      </c>
      <c r="B1613" t="s">
        <v>7815</v>
      </c>
      <c r="C1613">
        <v>1</v>
      </c>
      <c r="D1613">
        <v>1123</v>
      </c>
      <c r="E1613">
        <v>4098950</v>
      </c>
      <c r="F1613">
        <v>3560</v>
      </c>
      <c r="G1613">
        <v>3650</v>
      </c>
      <c r="H1613">
        <v>3650</v>
      </c>
      <c r="I1613">
        <v>90</v>
      </c>
      <c r="J1613">
        <v>2.5299999999999998</v>
      </c>
      <c r="K1613">
        <v>3650</v>
      </c>
      <c r="L1613">
        <v>90</v>
      </c>
      <c r="M1613">
        <v>2.5299999999999998</v>
      </c>
      <c r="N1613">
        <v>3650</v>
      </c>
      <c r="O1613">
        <v>3650</v>
      </c>
      <c r="P1613">
        <v>2</v>
      </c>
      <c r="Q1613">
        <v>1825</v>
      </c>
      <c r="R1613">
        <v>3</v>
      </c>
      <c r="S1613">
        <v>328877</v>
      </c>
      <c r="T1613">
        <v>3650</v>
      </c>
      <c r="U1613">
        <v>0</v>
      </c>
      <c r="V1613">
        <v>0</v>
      </c>
      <c r="W1613">
        <v>0</v>
      </c>
      <c r="X1613" s="367"/>
    </row>
    <row r="1614" spans="1:24">
      <c r="A1614" t="s">
        <v>4853</v>
      </c>
      <c r="B1614" t="s">
        <v>4854</v>
      </c>
      <c r="C1614">
        <v>0</v>
      </c>
      <c r="D1614">
        <v>0</v>
      </c>
      <c r="E1614">
        <v>0</v>
      </c>
      <c r="F1614">
        <v>1000000</v>
      </c>
      <c r="G1614">
        <v>0</v>
      </c>
      <c r="H1614">
        <v>1000000</v>
      </c>
      <c r="I1614">
        <v>0</v>
      </c>
      <c r="J1614">
        <v>0</v>
      </c>
      <c r="K1614">
        <v>1000000</v>
      </c>
      <c r="L1614">
        <v>0</v>
      </c>
      <c r="M1614">
        <v>0</v>
      </c>
      <c r="N1614">
        <v>0</v>
      </c>
      <c r="O1614">
        <v>0</v>
      </c>
      <c r="P1614" t="s">
        <v>192</v>
      </c>
      <c r="Q1614" t="s">
        <v>192</v>
      </c>
      <c r="R1614">
        <v>2</v>
      </c>
      <c r="S1614">
        <v>10000</v>
      </c>
      <c r="T1614">
        <v>1000000</v>
      </c>
      <c r="U1614">
        <v>0</v>
      </c>
      <c r="V1614">
        <v>0</v>
      </c>
      <c r="W1614">
        <v>0</v>
      </c>
      <c r="X1614" s="367"/>
    </row>
    <row r="1615" spans="1:24">
      <c r="A1615" t="s">
        <v>2899</v>
      </c>
      <c r="B1615" t="s">
        <v>2898</v>
      </c>
      <c r="C1615">
        <v>88</v>
      </c>
      <c r="D1615">
        <v>3599683</v>
      </c>
      <c r="E1615">
        <v>64434325700</v>
      </c>
      <c r="F1615">
        <v>17380</v>
      </c>
      <c r="G1615">
        <v>17900</v>
      </c>
      <c r="H1615">
        <v>17900</v>
      </c>
      <c r="I1615">
        <v>520</v>
      </c>
      <c r="J1615">
        <v>2.99</v>
      </c>
      <c r="K1615">
        <v>17890</v>
      </c>
      <c r="L1615">
        <v>510</v>
      </c>
      <c r="M1615">
        <v>2.93</v>
      </c>
      <c r="N1615">
        <v>17900</v>
      </c>
      <c r="O1615">
        <v>17900</v>
      </c>
      <c r="P1615">
        <v>4625</v>
      </c>
      <c r="Q1615">
        <v>3.87</v>
      </c>
      <c r="R1615">
        <v>36</v>
      </c>
      <c r="S1615">
        <v>2085556</v>
      </c>
      <c r="T1615">
        <v>17900</v>
      </c>
      <c r="U1615">
        <v>0</v>
      </c>
      <c r="V1615">
        <v>0</v>
      </c>
      <c r="W1615">
        <v>0</v>
      </c>
      <c r="X1615" s="367"/>
    </row>
    <row r="1616" spans="1:24">
      <c r="A1616" t="s">
        <v>4855</v>
      </c>
      <c r="B1616" t="s">
        <v>8440</v>
      </c>
      <c r="C1616">
        <v>680</v>
      </c>
      <c r="D1616">
        <v>58247</v>
      </c>
      <c r="E1616">
        <v>289456878735</v>
      </c>
      <c r="F1616">
        <v>3479</v>
      </c>
      <c r="G1616">
        <v>3460</v>
      </c>
      <c r="H1616">
        <v>3621</v>
      </c>
      <c r="I1616">
        <v>142</v>
      </c>
      <c r="J1616">
        <v>4.08</v>
      </c>
      <c r="K1616">
        <v>3625</v>
      </c>
      <c r="L1616">
        <v>146</v>
      </c>
      <c r="M1616">
        <v>4.2</v>
      </c>
      <c r="N1616">
        <v>3460</v>
      </c>
      <c r="O1616">
        <v>3690</v>
      </c>
      <c r="P1616" t="s">
        <v>192</v>
      </c>
      <c r="Q1616" t="s">
        <v>192</v>
      </c>
      <c r="R1616">
        <v>1</v>
      </c>
      <c r="S1616">
        <v>150</v>
      </c>
      <c r="T1616">
        <v>3501</v>
      </c>
      <c r="U1616">
        <v>3633</v>
      </c>
      <c r="V1616">
        <v>20</v>
      </c>
      <c r="W1616">
        <v>1</v>
      </c>
      <c r="X1616" s="367"/>
    </row>
    <row r="1617" spans="1:24">
      <c r="A1617" t="s">
        <v>2561</v>
      </c>
      <c r="B1617" t="s">
        <v>2560</v>
      </c>
      <c r="C1617">
        <v>138</v>
      </c>
      <c r="D1617">
        <v>6184408</v>
      </c>
      <c r="E1617">
        <v>10909295712</v>
      </c>
      <c r="F1617">
        <v>1713</v>
      </c>
      <c r="G1617">
        <v>1764</v>
      </c>
      <c r="H1617">
        <v>1764</v>
      </c>
      <c r="I1617">
        <v>51</v>
      </c>
      <c r="J1617">
        <v>2.98</v>
      </c>
      <c r="K1617">
        <v>1764</v>
      </c>
      <c r="L1617">
        <v>51</v>
      </c>
      <c r="M1617">
        <v>2.98</v>
      </c>
      <c r="N1617">
        <v>1764</v>
      </c>
      <c r="O1617">
        <v>1764</v>
      </c>
      <c r="P1617">
        <v>-55</v>
      </c>
      <c r="Q1617">
        <v>-32.07</v>
      </c>
      <c r="R1617">
        <v>59</v>
      </c>
      <c r="S1617">
        <v>5640147</v>
      </c>
      <c r="T1617">
        <v>1764</v>
      </c>
      <c r="U1617">
        <v>1768</v>
      </c>
      <c r="V1617">
        <v>10000</v>
      </c>
      <c r="W1617">
        <v>1</v>
      </c>
      <c r="X1617" s="367"/>
    </row>
    <row r="1618" spans="1:24">
      <c r="A1618" t="s">
        <v>2545</v>
      </c>
      <c r="B1618" t="s">
        <v>2544</v>
      </c>
      <c r="C1618">
        <v>440</v>
      </c>
      <c r="D1618">
        <v>10461749</v>
      </c>
      <c r="E1618">
        <v>33805091140</v>
      </c>
      <c r="F1618">
        <v>3190</v>
      </c>
      <c r="G1618">
        <v>3250</v>
      </c>
      <c r="H1618">
        <v>3210</v>
      </c>
      <c r="I1618">
        <v>20</v>
      </c>
      <c r="J1618">
        <v>0.63</v>
      </c>
      <c r="K1618">
        <v>3230</v>
      </c>
      <c r="L1618">
        <v>40</v>
      </c>
      <c r="M1618">
        <v>1.25</v>
      </c>
      <c r="N1618">
        <v>3190</v>
      </c>
      <c r="O1618">
        <v>3280</v>
      </c>
      <c r="P1618">
        <v>440</v>
      </c>
      <c r="Q1618">
        <v>7.34</v>
      </c>
      <c r="R1618">
        <v>2</v>
      </c>
      <c r="S1618">
        <v>246349</v>
      </c>
      <c r="T1618">
        <v>3200</v>
      </c>
      <c r="U1618">
        <v>3250</v>
      </c>
      <c r="V1618">
        <v>241449</v>
      </c>
      <c r="W1618">
        <v>2</v>
      </c>
      <c r="X1618" s="367"/>
    </row>
    <row r="1619" spans="1:24">
      <c r="A1619" t="s">
        <v>4857</v>
      </c>
      <c r="B1619" t="s">
        <v>4858</v>
      </c>
      <c r="C1619">
        <v>0</v>
      </c>
      <c r="D1619">
        <v>0</v>
      </c>
      <c r="E1619">
        <v>0</v>
      </c>
      <c r="F1619">
        <v>1000000</v>
      </c>
      <c r="G1619">
        <v>0</v>
      </c>
      <c r="H1619">
        <v>1000000</v>
      </c>
      <c r="I1619">
        <v>0</v>
      </c>
      <c r="J1619">
        <v>0</v>
      </c>
      <c r="K1619">
        <v>1000000</v>
      </c>
      <c r="L1619">
        <v>0</v>
      </c>
      <c r="M1619">
        <v>0</v>
      </c>
      <c r="N1619">
        <v>0</v>
      </c>
      <c r="O1619">
        <v>0</v>
      </c>
      <c r="P1619" t="s">
        <v>192</v>
      </c>
      <c r="Q1619" t="s">
        <v>192</v>
      </c>
      <c r="R1619">
        <v>1</v>
      </c>
      <c r="S1619">
        <v>5000</v>
      </c>
      <c r="T1619">
        <v>990000</v>
      </c>
      <c r="U1619">
        <v>1000000</v>
      </c>
      <c r="V1619">
        <v>5000</v>
      </c>
      <c r="W1619">
        <v>1</v>
      </c>
      <c r="X1619" s="367"/>
    </row>
    <row r="1620" spans="1:24">
      <c r="A1620" t="s">
        <v>4859</v>
      </c>
      <c r="B1620" t="s">
        <v>4860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 t="s">
        <v>192</v>
      </c>
      <c r="Q1620" t="s">
        <v>192</v>
      </c>
      <c r="R1620">
        <v>1</v>
      </c>
      <c r="S1620">
        <v>20</v>
      </c>
      <c r="T1620">
        <v>1001</v>
      </c>
      <c r="U1620">
        <v>0</v>
      </c>
      <c r="V1620">
        <v>0</v>
      </c>
      <c r="W1620">
        <v>0</v>
      </c>
      <c r="X1620" s="367"/>
    </row>
    <row r="1621" spans="1:24">
      <c r="A1621" t="s">
        <v>4861</v>
      </c>
      <c r="B1621" t="s">
        <v>8141</v>
      </c>
      <c r="C1621">
        <v>277</v>
      </c>
      <c r="D1621">
        <v>108216</v>
      </c>
      <c r="E1621">
        <v>1294895000</v>
      </c>
      <c r="F1621">
        <v>9</v>
      </c>
      <c r="G1621">
        <v>7</v>
      </c>
      <c r="H1621">
        <v>14</v>
      </c>
      <c r="I1621">
        <v>5</v>
      </c>
      <c r="J1621">
        <v>55.56</v>
      </c>
      <c r="K1621">
        <v>12</v>
      </c>
      <c r="L1621">
        <v>3</v>
      </c>
      <c r="M1621">
        <v>33.33</v>
      </c>
      <c r="N1621">
        <v>7</v>
      </c>
      <c r="O1621">
        <v>19</v>
      </c>
      <c r="P1621" t="s">
        <v>192</v>
      </c>
      <c r="Q1621" t="s">
        <v>192</v>
      </c>
      <c r="R1621">
        <v>4</v>
      </c>
      <c r="S1621">
        <v>3430</v>
      </c>
      <c r="T1621">
        <v>11</v>
      </c>
      <c r="U1621">
        <v>13</v>
      </c>
      <c r="V1621">
        <v>1000</v>
      </c>
      <c r="W1621">
        <v>1</v>
      </c>
      <c r="X1621" s="367"/>
    </row>
    <row r="1622" spans="1:24">
      <c r="A1622" t="s">
        <v>4863</v>
      </c>
      <c r="B1622" t="s">
        <v>4864</v>
      </c>
      <c r="C1622">
        <v>22</v>
      </c>
      <c r="D1622">
        <v>4320</v>
      </c>
      <c r="E1622">
        <v>743440000</v>
      </c>
      <c r="F1622">
        <v>165</v>
      </c>
      <c r="G1622">
        <v>235</v>
      </c>
      <c r="H1622">
        <v>170</v>
      </c>
      <c r="I1622">
        <v>5</v>
      </c>
      <c r="J1622">
        <v>3.03</v>
      </c>
      <c r="K1622">
        <v>172</v>
      </c>
      <c r="L1622">
        <v>7</v>
      </c>
      <c r="M1622">
        <v>4.24</v>
      </c>
      <c r="N1622">
        <v>160</v>
      </c>
      <c r="O1622">
        <v>235</v>
      </c>
      <c r="P1622" t="s">
        <v>192</v>
      </c>
      <c r="Q1622" t="s">
        <v>192</v>
      </c>
      <c r="R1622">
        <v>1</v>
      </c>
      <c r="S1622">
        <v>20</v>
      </c>
      <c r="T1622">
        <v>172</v>
      </c>
      <c r="U1622">
        <v>250</v>
      </c>
      <c r="V1622">
        <v>350</v>
      </c>
      <c r="W1622">
        <v>1</v>
      </c>
      <c r="X1622" s="367"/>
    </row>
    <row r="1623" spans="1:24">
      <c r="A1623" t="s">
        <v>4865</v>
      </c>
      <c r="B1623" t="s">
        <v>4866</v>
      </c>
      <c r="C1623">
        <v>0</v>
      </c>
      <c r="D1623">
        <v>0</v>
      </c>
      <c r="E1623">
        <v>0</v>
      </c>
      <c r="F1623">
        <v>6310</v>
      </c>
      <c r="G1623">
        <v>0</v>
      </c>
      <c r="H1623">
        <v>6310</v>
      </c>
      <c r="I1623">
        <v>0</v>
      </c>
      <c r="J1623">
        <v>0</v>
      </c>
      <c r="K1623">
        <v>6310</v>
      </c>
      <c r="L1623">
        <v>0</v>
      </c>
      <c r="M1623">
        <v>0</v>
      </c>
      <c r="N1623">
        <v>0</v>
      </c>
      <c r="O1623">
        <v>0</v>
      </c>
      <c r="P1623" t="s">
        <v>192</v>
      </c>
      <c r="Q1623" t="s">
        <v>192</v>
      </c>
      <c r="R1623">
        <v>1</v>
      </c>
      <c r="S1623">
        <v>1</v>
      </c>
      <c r="T1623">
        <v>10900</v>
      </c>
      <c r="U1623">
        <v>0</v>
      </c>
      <c r="V1623">
        <v>0</v>
      </c>
      <c r="W1623">
        <v>0</v>
      </c>
      <c r="X1623" s="367"/>
    </row>
    <row r="1624" spans="1:24">
      <c r="A1624" t="s">
        <v>4867</v>
      </c>
      <c r="B1624" t="s">
        <v>1961</v>
      </c>
      <c r="C1624">
        <v>8</v>
      </c>
      <c r="D1624">
        <v>13146</v>
      </c>
      <c r="E1624">
        <v>24464706</v>
      </c>
      <c r="F1624">
        <v>1807</v>
      </c>
      <c r="G1624">
        <v>1861</v>
      </c>
      <c r="H1624">
        <v>1861</v>
      </c>
      <c r="I1624">
        <v>54</v>
      </c>
      <c r="J1624">
        <v>2.99</v>
      </c>
      <c r="K1624">
        <v>1861</v>
      </c>
      <c r="L1624">
        <v>54</v>
      </c>
      <c r="M1624">
        <v>2.99</v>
      </c>
      <c r="N1624">
        <v>1861</v>
      </c>
      <c r="O1624">
        <v>1861</v>
      </c>
      <c r="P1624">
        <v>655</v>
      </c>
      <c r="Q1624">
        <v>2.84</v>
      </c>
      <c r="R1624">
        <v>21</v>
      </c>
      <c r="S1624">
        <v>7303500</v>
      </c>
      <c r="T1624">
        <v>1861</v>
      </c>
      <c r="U1624">
        <v>0</v>
      </c>
      <c r="V1624">
        <v>0</v>
      </c>
      <c r="W1624">
        <v>0</v>
      </c>
      <c r="X1624" s="367"/>
    </row>
    <row r="1625" spans="1:24">
      <c r="A1625" t="s">
        <v>4868</v>
      </c>
      <c r="B1625" t="s">
        <v>4869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 t="s">
        <v>192</v>
      </c>
      <c r="Q1625" t="s">
        <v>192</v>
      </c>
      <c r="R1625">
        <v>1</v>
      </c>
      <c r="S1625">
        <v>100</v>
      </c>
      <c r="T1625">
        <v>1</v>
      </c>
      <c r="U1625">
        <v>0</v>
      </c>
      <c r="V1625">
        <v>0</v>
      </c>
      <c r="W1625">
        <v>0</v>
      </c>
      <c r="X1625" s="367"/>
    </row>
    <row r="1626" spans="1:24">
      <c r="A1626" t="s">
        <v>4870</v>
      </c>
      <c r="B1626" t="s">
        <v>4871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0</v>
      </c>
      <c r="P1626" t="s">
        <v>192</v>
      </c>
      <c r="Q1626" t="s">
        <v>192</v>
      </c>
      <c r="R1626">
        <v>1</v>
      </c>
      <c r="S1626">
        <v>100</v>
      </c>
      <c r="T1626">
        <v>1</v>
      </c>
      <c r="U1626">
        <v>0</v>
      </c>
      <c r="V1626">
        <v>0</v>
      </c>
      <c r="W1626">
        <v>0</v>
      </c>
      <c r="X1626" s="367"/>
    </row>
    <row r="1627" spans="1:24">
      <c r="A1627" t="s">
        <v>4872</v>
      </c>
      <c r="B1627" t="s">
        <v>4873</v>
      </c>
      <c r="C1627">
        <v>0</v>
      </c>
      <c r="D1627">
        <v>0</v>
      </c>
      <c r="E1627">
        <v>0</v>
      </c>
      <c r="F1627">
        <v>984320</v>
      </c>
      <c r="G1627">
        <v>0</v>
      </c>
      <c r="H1627">
        <v>984320</v>
      </c>
      <c r="I1627">
        <v>0</v>
      </c>
      <c r="J1627">
        <v>0</v>
      </c>
      <c r="K1627">
        <v>984320</v>
      </c>
      <c r="L1627">
        <v>0</v>
      </c>
      <c r="M1627">
        <v>0</v>
      </c>
      <c r="N1627">
        <v>0</v>
      </c>
      <c r="O1627">
        <v>0</v>
      </c>
      <c r="P1627" t="s">
        <v>192</v>
      </c>
      <c r="Q1627" t="s">
        <v>192</v>
      </c>
      <c r="R1627">
        <v>1</v>
      </c>
      <c r="S1627">
        <v>5000</v>
      </c>
      <c r="T1627">
        <v>1000000</v>
      </c>
      <c r="U1627">
        <v>1010000</v>
      </c>
      <c r="V1627">
        <v>5000</v>
      </c>
      <c r="W1627">
        <v>1</v>
      </c>
      <c r="X1627" s="367"/>
    </row>
    <row r="1628" spans="1:24">
      <c r="A1628" t="s">
        <v>4874</v>
      </c>
      <c r="B1628" t="s">
        <v>4875</v>
      </c>
      <c r="C1628">
        <v>0</v>
      </c>
      <c r="D1628">
        <v>0</v>
      </c>
      <c r="E1628">
        <v>0</v>
      </c>
      <c r="F1628">
        <v>1000000</v>
      </c>
      <c r="G1628">
        <v>0</v>
      </c>
      <c r="H1628">
        <v>1000000</v>
      </c>
      <c r="I1628">
        <v>0</v>
      </c>
      <c r="J1628">
        <v>0</v>
      </c>
      <c r="K1628">
        <v>1000000</v>
      </c>
      <c r="L1628">
        <v>0</v>
      </c>
      <c r="M1628">
        <v>0</v>
      </c>
      <c r="N1628">
        <v>0</v>
      </c>
      <c r="O1628">
        <v>0</v>
      </c>
      <c r="P1628" t="s">
        <v>192</v>
      </c>
      <c r="Q1628" t="s">
        <v>192</v>
      </c>
      <c r="R1628">
        <v>1</v>
      </c>
      <c r="S1628">
        <v>5000</v>
      </c>
      <c r="T1628">
        <v>970000</v>
      </c>
      <c r="U1628">
        <v>0</v>
      </c>
      <c r="V1628">
        <v>0</v>
      </c>
      <c r="W1628">
        <v>0</v>
      </c>
      <c r="X1628" s="367"/>
    </row>
    <row r="1629" spans="1:24">
      <c r="A1629" t="s">
        <v>4876</v>
      </c>
      <c r="B1629" t="s">
        <v>4877</v>
      </c>
      <c r="C1629">
        <v>0</v>
      </c>
      <c r="D1629">
        <v>0</v>
      </c>
      <c r="E1629">
        <v>0</v>
      </c>
      <c r="F1629">
        <v>1000000</v>
      </c>
      <c r="G1629">
        <v>0</v>
      </c>
      <c r="H1629">
        <v>1000000</v>
      </c>
      <c r="I1629">
        <v>0</v>
      </c>
      <c r="J1629">
        <v>0</v>
      </c>
      <c r="K1629">
        <v>1000000</v>
      </c>
      <c r="L1629">
        <v>0</v>
      </c>
      <c r="M1629">
        <v>0</v>
      </c>
      <c r="N1629">
        <v>0</v>
      </c>
      <c r="O1629">
        <v>0</v>
      </c>
      <c r="P1629" t="s">
        <v>192</v>
      </c>
      <c r="Q1629" t="s">
        <v>192</v>
      </c>
      <c r="R1629">
        <v>1</v>
      </c>
      <c r="S1629">
        <v>5000</v>
      </c>
      <c r="T1629">
        <v>1000000</v>
      </c>
      <c r="U1629">
        <v>1009990</v>
      </c>
      <c r="V1629">
        <v>5000</v>
      </c>
      <c r="W1629">
        <v>1</v>
      </c>
      <c r="X1629" s="367"/>
    </row>
    <row r="1630" spans="1:24">
      <c r="A1630" t="s">
        <v>4878</v>
      </c>
      <c r="B1630" t="s">
        <v>4879</v>
      </c>
      <c r="C1630">
        <v>21</v>
      </c>
      <c r="D1630">
        <v>346150</v>
      </c>
      <c r="E1630">
        <v>4713557116</v>
      </c>
      <c r="F1630">
        <v>13267</v>
      </c>
      <c r="G1630">
        <v>13664</v>
      </c>
      <c r="H1630">
        <v>13599</v>
      </c>
      <c r="I1630">
        <v>332</v>
      </c>
      <c r="J1630">
        <v>2.5</v>
      </c>
      <c r="K1630">
        <v>13617</v>
      </c>
      <c r="L1630">
        <v>350</v>
      </c>
      <c r="M1630">
        <v>2.64</v>
      </c>
      <c r="N1630">
        <v>13599</v>
      </c>
      <c r="O1630">
        <v>13665</v>
      </c>
      <c r="P1630" t="s">
        <v>192</v>
      </c>
      <c r="Q1630" t="s">
        <v>192</v>
      </c>
      <c r="R1630">
        <v>2</v>
      </c>
      <c r="S1630">
        <v>221</v>
      </c>
      <c r="T1630">
        <v>13592</v>
      </c>
      <c r="U1630">
        <v>13599</v>
      </c>
      <c r="V1630">
        <v>1202083</v>
      </c>
      <c r="W1630">
        <v>3</v>
      </c>
      <c r="X1630" s="367"/>
    </row>
    <row r="1631" spans="1:24">
      <c r="A1631" t="s">
        <v>4880</v>
      </c>
      <c r="B1631" t="s">
        <v>4881</v>
      </c>
      <c r="C1631">
        <v>103</v>
      </c>
      <c r="D1631">
        <v>55486125</v>
      </c>
      <c r="E1631">
        <v>1342956815170</v>
      </c>
      <c r="F1631">
        <v>24153</v>
      </c>
      <c r="G1631">
        <v>24203</v>
      </c>
      <c r="H1631">
        <v>24204</v>
      </c>
      <c r="I1631">
        <v>51</v>
      </c>
      <c r="J1631">
        <v>0.21</v>
      </c>
      <c r="K1631">
        <v>24203</v>
      </c>
      <c r="L1631">
        <v>50</v>
      </c>
      <c r="M1631">
        <v>0.21</v>
      </c>
      <c r="N1631">
        <v>24203</v>
      </c>
      <c r="O1631">
        <v>24204</v>
      </c>
      <c r="P1631" t="s">
        <v>192</v>
      </c>
      <c r="Q1631" t="s">
        <v>192</v>
      </c>
      <c r="R1631">
        <v>2</v>
      </c>
      <c r="S1631">
        <v>393044998</v>
      </c>
      <c r="T1631">
        <v>24203</v>
      </c>
      <c r="U1631">
        <v>24204</v>
      </c>
      <c r="V1631">
        <v>44512514</v>
      </c>
      <c r="W1631">
        <v>1</v>
      </c>
      <c r="X1631" s="367"/>
    </row>
    <row r="1632" spans="1:24">
      <c r="A1632" t="s">
        <v>6811</v>
      </c>
      <c r="B1632" t="s">
        <v>7938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1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 t="s">
        <v>192</v>
      </c>
      <c r="Q1632" t="s">
        <v>192</v>
      </c>
      <c r="R1632">
        <v>1</v>
      </c>
      <c r="S1632">
        <v>100</v>
      </c>
      <c r="T1632">
        <v>1</v>
      </c>
      <c r="U1632">
        <v>0</v>
      </c>
      <c r="V1632">
        <v>0</v>
      </c>
      <c r="W1632">
        <v>0</v>
      </c>
      <c r="X1632" s="367"/>
    </row>
    <row r="1633" spans="1:24">
      <c r="A1633" t="s">
        <v>4882</v>
      </c>
      <c r="B1633" t="s">
        <v>4883</v>
      </c>
      <c r="C1633">
        <v>0</v>
      </c>
      <c r="D1633">
        <v>0</v>
      </c>
      <c r="E1633">
        <v>0</v>
      </c>
      <c r="F1633">
        <v>1000000</v>
      </c>
      <c r="G1633">
        <v>0</v>
      </c>
      <c r="H1633">
        <v>1000000</v>
      </c>
      <c r="I1633">
        <v>0</v>
      </c>
      <c r="J1633">
        <v>0</v>
      </c>
      <c r="K1633">
        <v>1000000</v>
      </c>
      <c r="L1633">
        <v>0</v>
      </c>
      <c r="M1633">
        <v>0</v>
      </c>
      <c r="N1633">
        <v>0</v>
      </c>
      <c r="O1633">
        <v>0</v>
      </c>
      <c r="P1633" t="s">
        <v>192</v>
      </c>
      <c r="Q1633" t="s">
        <v>192</v>
      </c>
      <c r="R1633">
        <v>1</v>
      </c>
      <c r="S1633">
        <v>5000</v>
      </c>
      <c r="T1633">
        <v>950000</v>
      </c>
      <c r="U1633">
        <v>0</v>
      </c>
      <c r="V1633">
        <v>0</v>
      </c>
      <c r="W1633">
        <v>0</v>
      </c>
      <c r="X1633" s="367"/>
    </row>
    <row r="1634" spans="1:24">
      <c r="A1634" t="s">
        <v>4884</v>
      </c>
      <c r="B1634" t="s">
        <v>4885</v>
      </c>
      <c r="C1634">
        <v>596</v>
      </c>
      <c r="D1634">
        <v>126510</v>
      </c>
      <c r="E1634">
        <v>11170889000</v>
      </c>
      <c r="F1634">
        <v>123</v>
      </c>
      <c r="G1634">
        <v>72</v>
      </c>
      <c r="H1634">
        <v>91</v>
      </c>
      <c r="I1634">
        <v>-32</v>
      </c>
      <c r="J1634">
        <v>-26.02</v>
      </c>
      <c r="K1634">
        <v>88</v>
      </c>
      <c r="L1634">
        <v>-35</v>
      </c>
      <c r="M1634">
        <v>-28.46</v>
      </c>
      <c r="N1634">
        <v>72</v>
      </c>
      <c r="O1634">
        <v>99</v>
      </c>
      <c r="P1634" t="s">
        <v>192</v>
      </c>
      <c r="Q1634" t="s">
        <v>192</v>
      </c>
      <c r="R1634">
        <v>3</v>
      </c>
      <c r="S1634">
        <v>2806</v>
      </c>
      <c r="T1634">
        <v>91</v>
      </c>
      <c r="U1634">
        <v>94</v>
      </c>
      <c r="V1634">
        <v>128</v>
      </c>
      <c r="W1634">
        <v>1</v>
      </c>
      <c r="X1634" s="367"/>
    </row>
    <row r="1635" spans="1:24">
      <c r="A1635" t="s">
        <v>4886</v>
      </c>
      <c r="B1635" t="s">
        <v>4887</v>
      </c>
      <c r="C1635">
        <v>2080</v>
      </c>
      <c r="D1635">
        <v>72076371</v>
      </c>
      <c r="E1635">
        <v>2346742435496</v>
      </c>
      <c r="F1635">
        <v>32581</v>
      </c>
      <c r="G1635">
        <v>32578</v>
      </c>
      <c r="H1635">
        <v>32510</v>
      </c>
      <c r="I1635">
        <v>-71</v>
      </c>
      <c r="J1635">
        <v>-0.22</v>
      </c>
      <c r="K1635">
        <v>32559</v>
      </c>
      <c r="L1635">
        <v>-22</v>
      </c>
      <c r="M1635">
        <v>-7.0000000000000007E-2</v>
      </c>
      <c r="N1635">
        <v>32355</v>
      </c>
      <c r="O1635">
        <v>32777</v>
      </c>
      <c r="P1635" t="s">
        <v>192</v>
      </c>
      <c r="Q1635" t="s">
        <v>192</v>
      </c>
      <c r="R1635">
        <v>11</v>
      </c>
      <c r="S1635">
        <v>601510</v>
      </c>
      <c r="T1635">
        <v>32505</v>
      </c>
      <c r="U1635">
        <v>32510</v>
      </c>
      <c r="V1635">
        <v>12456</v>
      </c>
      <c r="W1635">
        <v>4</v>
      </c>
      <c r="X1635" s="367"/>
    </row>
    <row r="1636" spans="1:24">
      <c r="A1636" t="s">
        <v>5151</v>
      </c>
      <c r="B1636" t="s">
        <v>5152</v>
      </c>
      <c r="C1636">
        <v>0</v>
      </c>
      <c r="D1636">
        <v>0</v>
      </c>
      <c r="E1636">
        <v>0</v>
      </c>
      <c r="F1636">
        <v>1000000</v>
      </c>
      <c r="G1636">
        <v>0</v>
      </c>
      <c r="H1636">
        <v>1000000</v>
      </c>
      <c r="I1636">
        <v>0</v>
      </c>
      <c r="J1636">
        <v>0</v>
      </c>
      <c r="K1636">
        <v>1000000</v>
      </c>
      <c r="L1636">
        <v>0</v>
      </c>
      <c r="M1636">
        <v>0</v>
      </c>
      <c r="N1636">
        <v>0</v>
      </c>
      <c r="O1636">
        <v>0</v>
      </c>
      <c r="P1636" t="s">
        <v>192</v>
      </c>
      <c r="Q1636" t="s">
        <v>192</v>
      </c>
      <c r="R1636">
        <v>1</v>
      </c>
      <c r="S1636">
        <v>5000</v>
      </c>
      <c r="T1636">
        <v>1020000</v>
      </c>
      <c r="U1636">
        <v>1030000</v>
      </c>
      <c r="V1636">
        <v>5000</v>
      </c>
      <c r="W1636">
        <v>1</v>
      </c>
      <c r="X1636" s="367"/>
    </row>
    <row r="1637" spans="1:24">
      <c r="A1637" t="s">
        <v>2141</v>
      </c>
      <c r="B1637" t="s">
        <v>2140</v>
      </c>
      <c r="C1637">
        <v>398</v>
      </c>
      <c r="D1637">
        <v>39158494</v>
      </c>
      <c r="E1637">
        <v>82044023844</v>
      </c>
      <c r="F1637">
        <v>2038</v>
      </c>
      <c r="G1637">
        <v>2090</v>
      </c>
      <c r="H1637">
        <v>2099</v>
      </c>
      <c r="I1637">
        <v>61</v>
      </c>
      <c r="J1637">
        <v>2.99</v>
      </c>
      <c r="K1637">
        <v>2095</v>
      </c>
      <c r="L1637">
        <v>57</v>
      </c>
      <c r="M1637">
        <v>2.8</v>
      </c>
      <c r="N1637">
        <v>2060</v>
      </c>
      <c r="O1637">
        <v>2099</v>
      </c>
      <c r="P1637">
        <v>385</v>
      </c>
      <c r="Q1637">
        <v>5.44</v>
      </c>
      <c r="R1637">
        <v>40</v>
      </c>
      <c r="S1637">
        <v>25002524</v>
      </c>
      <c r="T1637">
        <v>2099</v>
      </c>
      <c r="U1637">
        <v>0</v>
      </c>
      <c r="V1637">
        <v>0</v>
      </c>
      <c r="W1637">
        <v>0</v>
      </c>
      <c r="X1637" s="367"/>
    </row>
    <row r="1638" spans="1:24">
      <c r="A1638" t="s">
        <v>3032</v>
      </c>
      <c r="B1638" t="s">
        <v>3031</v>
      </c>
      <c r="C1638">
        <v>175</v>
      </c>
      <c r="D1638">
        <v>36466080</v>
      </c>
      <c r="E1638">
        <v>83252060640</v>
      </c>
      <c r="F1638">
        <v>2217</v>
      </c>
      <c r="G1638">
        <v>2283</v>
      </c>
      <c r="H1638">
        <v>2283</v>
      </c>
      <c r="I1638">
        <v>66</v>
      </c>
      <c r="J1638">
        <v>2.98</v>
      </c>
      <c r="K1638">
        <v>2283</v>
      </c>
      <c r="L1638">
        <v>66</v>
      </c>
      <c r="M1638">
        <v>2.98</v>
      </c>
      <c r="N1638">
        <v>2283</v>
      </c>
      <c r="O1638">
        <v>2283</v>
      </c>
      <c r="P1638">
        <v>884</v>
      </c>
      <c r="Q1638">
        <v>2.58</v>
      </c>
      <c r="R1638">
        <v>61</v>
      </c>
      <c r="S1638">
        <v>18463500</v>
      </c>
      <c r="T1638">
        <v>2283</v>
      </c>
      <c r="U1638">
        <v>0</v>
      </c>
      <c r="V1638">
        <v>0</v>
      </c>
      <c r="W1638">
        <v>0</v>
      </c>
      <c r="X1638" s="367"/>
    </row>
    <row r="1639" spans="1:24">
      <c r="A1639" t="s">
        <v>8002</v>
      </c>
      <c r="B1639" t="s">
        <v>8003</v>
      </c>
      <c r="C1639">
        <v>0</v>
      </c>
      <c r="D1639">
        <v>0</v>
      </c>
      <c r="E1639">
        <v>0</v>
      </c>
      <c r="F1639">
        <v>1</v>
      </c>
      <c r="G1639">
        <v>0</v>
      </c>
      <c r="H1639">
        <v>1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 t="s">
        <v>192</v>
      </c>
      <c r="Q1639" t="s">
        <v>192</v>
      </c>
      <c r="R1639">
        <v>1</v>
      </c>
      <c r="S1639">
        <v>99</v>
      </c>
      <c r="T1639">
        <v>19</v>
      </c>
      <c r="U1639">
        <v>0</v>
      </c>
      <c r="V1639">
        <v>0</v>
      </c>
      <c r="W1639">
        <v>0</v>
      </c>
      <c r="X1639" s="367"/>
    </row>
    <row r="1640" spans="1:24">
      <c r="A1640" t="s">
        <v>5153</v>
      </c>
      <c r="B1640" t="s">
        <v>5154</v>
      </c>
      <c r="C1640">
        <v>3171</v>
      </c>
      <c r="D1640">
        <v>6140071</v>
      </c>
      <c r="E1640">
        <v>960522196307</v>
      </c>
      <c r="F1640">
        <v>157282</v>
      </c>
      <c r="G1640">
        <v>157280</v>
      </c>
      <c r="H1640">
        <v>156311</v>
      </c>
      <c r="I1640">
        <v>-971</v>
      </c>
      <c r="J1640">
        <v>-0.62</v>
      </c>
      <c r="K1640">
        <v>156435</v>
      </c>
      <c r="L1640">
        <v>-847</v>
      </c>
      <c r="M1640">
        <v>-0.54</v>
      </c>
      <c r="N1640">
        <v>156050</v>
      </c>
      <c r="O1640">
        <v>157280</v>
      </c>
      <c r="P1640" t="s">
        <v>192</v>
      </c>
      <c r="Q1640" t="s">
        <v>192</v>
      </c>
      <c r="R1640">
        <v>8</v>
      </c>
      <c r="S1640">
        <v>79817</v>
      </c>
      <c r="T1640">
        <v>156310</v>
      </c>
      <c r="U1640">
        <v>156311</v>
      </c>
      <c r="V1640">
        <v>3524</v>
      </c>
      <c r="W1640">
        <v>3</v>
      </c>
      <c r="X1640" s="367"/>
    </row>
    <row r="1641" spans="1:24">
      <c r="A1641" t="s">
        <v>5155</v>
      </c>
      <c r="B1641" t="s">
        <v>5156</v>
      </c>
      <c r="C1641">
        <v>0</v>
      </c>
      <c r="D1641">
        <v>0</v>
      </c>
      <c r="E1641">
        <v>0</v>
      </c>
      <c r="F1641">
        <v>5</v>
      </c>
      <c r="G1641">
        <v>0</v>
      </c>
      <c r="H1641">
        <v>5</v>
      </c>
      <c r="I1641">
        <v>0</v>
      </c>
      <c r="J1641">
        <v>0</v>
      </c>
      <c r="K1641">
        <v>5</v>
      </c>
      <c r="L1641">
        <v>0</v>
      </c>
      <c r="M1641">
        <v>0</v>
      </c>
      <c r="N1641">
        <v>0</v>
      </c>
      <c r="O1641">
        <v>0</v>
      </c>
      <c r="P1641" t="s">
        <v>192</v>
      </c>
      <c r="Q1641" t="s">
        <v>192</v>
      </c>
      <c r="R1641">
        <v>21</v>
      </c>
      <c r="S1641">
        <v>20664</v>
      </c>
      <c r="T1641">
        <v>6</v>
      </c>
      <c r="U1641">
        <v>15</v>
      </c>
      <c r="V1641">
        <v>1000</v>
      </c>
      <c r="W1641">
        <v>1</v>
      </c>
      <c r="X1641" s="367"/>
    </row>
    <row r="1642" spans="1:24">
      <c r="A1642" t="s">
        <v>2669</v>
      </c>
      <c r="B1642" t="s">
        <v>2668</v>
      </c>
      <c r="C1642">
        <v>92</v>
      </c>
      <c r="D1642">
        <v>3987615</v>
      </c>
      <c r="E1642">
        <v>18542409750</v>
      </c>
      <c r="F1642">
        <v>4520</v>
      </c>
      <c r="G1642">
        <v>4650</v>
      </c>
      <c r="H1642">
        <v>4650</v>
      </c>
      <c r="I1642">
        <v>130</v>
      </c>
      <c r="J1642">
        <v>2.88</v>
      </c>
      <c r="K1642">
        <v>4650</v>
      </c>
      <c r="L1642">
        <v>130</v>
      </c>
      <c r="M1642">
        <v>2.88</v>
      </c>
      <c r="N1642">
        <v>4650</v>
      </c>
      <c r="O1642">
        <v>4650</v>
      </c>
      <c r="P1642">
        <v>596</v>
      </c>
      <c r="Q1642">
        <v>7.8</v>
      </c>
      <c r="R1642">
        <v>61</v>
      </c>
      <c r="S1642">
        <v>9611042</v>
      </c>
      <c r="T1642">
        <v>4650</v>
      </c>
      <c r="U1642">
        <v>0</v>
      </c>
      <c r="V1642">
        <v>0</v>
      </c>
      <c r="W1642">
        <v>0</v>
      </c>
      <c r="X1642" s="367"/>
    </row>
    <row r="1643" spans="1:24">
      <c r="A1643" t="s">
        <v>5159</v>
      </c>
      <c r="B1643" t="s">
        <v>5160</v>
      </c>
      <c r="C1643">
        <v>0</v>
      </c>
      <c r="D1643">
        <v>0</v>
      </c>
      <c r="E1643">
        <v>0</v>
      </c>
      <c r="F1643">
        <v>1080000</v>
      </c>
      <c r="G1643">
        <v>0</v>
      </c>
      <c r="H1643">
        <v>1080000</v>
      </c>
      <c r="I1643">
        <v>0</v>
      </c>
      <c r="J1643">
        <v>0</v>
      </c>
      <c r="K1643">
        <v>1080000</v>
      </c>
      <c r="L1643">
        <v>0</v>
      </c>
      <c r="M1643">
        <v>0</v>
      </c>
      <c r="N1643">
        <v>0</v>
      </c>
      <c r="O1643">
        <v>0</v>
      </c>
      <c r="P1643" t="s">
        <v>192</v>
      </c>
      <c r="Q1643" t="s">
        <v>192</v>
      </c>
      <c r="R1643">
        <v>1</v>
      </c>
      <c r="S1643">
        <v>5000</v>
      </c>
      <c r="T1643">
        <v>1074600</v>
      </c>
      <c r="U1643">
        <v>1085400</v>
      </c>
      <c r="V1643">
        <v>5000</v>
      </c>
      <c r="W1643">
        <v>1</v>
      </c>
      <c r="X1643" s="367"/>
    </row>
    <row r="1644" spans="1:24">
      <c r="A1644" t="s">
        <v>5161</v>
      </c>
      <c r="B1644" t="s">
        <v>5162</v>
      </c>
      <c r="C1644">
        <v>0</v>
      </c>
      <c r="D1644">
        <v>0</v>
      </c>
      <c r="E1644">
        <v>0</v>
      </c>
      <c r="F1644">
        <v>1000000</v>
      </c>
      <c r="G1644">
        <v>0</v>
      </c>
      <c r="H1644">
        <v>1000000</v>
      </c>
      <c r="I1644">
        <v>0</v>
      </c>
      <c r="J1644">
        <v>0</v>
      </c>
      <c r="K1644">
        <v>1000000</v>
      </c>
      <c r="L1644">
        <v>0</v>
      </c>
      <c r="M1644">
        <v>0</v>
      </c>
      <c r="N1644">
        <v>0</v>
      </c>
      <c r="O1644">
        <v>0</v>
      </c>
      <c r="P1644" t="s">
        <v>192</v>
      </c>
      <c r="Q1644" t="s">
        <v>192</v>
      </c>
      <c r="R1644">
        <v>1</v>
      </c>
      <c r="S1644">
        <v>15000</v>
      </c>
      <c r="T1644">
        <v>990000</v>
      </c>
      <c r="U1644">
        <v>1000000</v>
      </c>
      <c r="V1644">
        <v>15000</v>
      </c>
      <c r="W1644">
        <v>1</v>
      </c>
      <c r="X1644" s="367"/>
    </row>
    <row r="1645" spans="1:24">
      <c r="A1645" t="s">
        <v>2794</v>
      </c>
      <c r="B1645" t="s">
        <v>2793</v>
      </c>
      <c r="C1645">
        <v>41</v>
      </c>
      <c r="D1645">
        <v>1431804</v>
      </c>
      <c r="E1645">
        <v>19300717920</v>
      </c>
      <c r="F1645">
        <v>13090</v>
      </c>
      <c r="G1645">
        <v>13480</v>
      </c>
      <c r="H1645">
        <v>13480</v>
      </c>
      <c r="I1645">
        <v>390</v>
      </c>
      <c r="J1645">
        <v>2.98</v>
      </c>
      <c r="K1645">
        <v>13480</v>
      </c>
      <c r="L1645">
        <v>390</v>
      </c>
      <c r="M1645">
        <v>2.98</v>
      </c>
      <c r="N1645">
        <v>13480</v>
      </c>
      <c r="O1645">
        <v>13480</v>
      </c>
      <c r="P1645">
        <v>1383</v>
      </c>
      <c r="Q1645">
        <v>9.75</v>
      </c>
      <c r="R1645">
        <v>1</v>
      </c>
      <c r="S1645">
        <v>45000</v>
      </c>
      <c r="T1645">
        <v>13090</v>
      </c>
      <c r="U1645">
        <v>0</v>
      </c>
      <c r="V1645">
        <v>0</v>
      </c>
      <c r="W1645">
        <v>0</v>
      </c>
      <c r="X1645" s="367"/>
    </row>
    <row r="1646" spans="1:24">
      <c r="A1646" t="s">
        <v>2410</v>
      </c>
      <c r="B1646" t="s">
        <v>2409</v>
      </c>
      <c r="C1646">
        <v>556</v>
      </c>
      <c r="D1646">
        <v>4853127</v>
      </c>
      <c r="E1646">
        <v>58982964670</v>
      </c>
      <c r="F1646">
        <v>11810</v>
      </c>
      <c r="G1646">
        <v>12160</v>
      </c>
      <c r="H1646">
        <v>12160</v>
      </c>
      <c r="I1646">
        <v>350</v>
      </c>
      <c r="J1646">
        <v>2.96</v>
      </c>
      <c r="K1646">
        <v>12150</v>
      </c>
      <c r="L1646">
        <v>340</v>
      </c>
      <c r="M1646">
        <v>2.88</v>
      </c>
      <c r="N1646">
        <v>11950</v>
      </c>
      <c r="O1646">
        <v>12160</v>
      </c>
      <c r="P1646">
        <v>778</v>
      </c>
      <c r="Q1646">
        <v>15.62</v>
      </c>
      <c r="R1646">
        <v>12</v>
      </c>
      <c r="S1646">
        <v>179573</v>
      </c>
      <c r="T1646">
        <v>12160</v>
      </c>
      <c r="U1646">
        <v>0</v>
      </c>
      <c r="V1646">
        <v>0</v>
      </c>
      <c r="W1646">
        <v>0</v>
      </c>
      <c r="X1646" s="367"/>
    </row>
    <row r="1647" spans="1:24">
      <c r="A1647" t="s">
        <v>7848</v>
      </c>
      <c r="B1647" t="s">
        <v>7849</v>
      </c>
      <c r="C1647">
        <v>22</v>
      </c>
      <c r="D1647">
        <v>786</v>
      </c>
      <c r="E1647">
        <v>4587905000</v>
      </c>
      <c r="F1647">
        <v>5009</v>
      </c>
      <c r="G1647">
        <v>5400</v>
      </c>
      <c r="H1647">
        <v>6500</v>
      </c>
      <c r="I1647">
        <v>1491</v>
      </c>
      <c r="J1647">
        <v>29.77</v>
      </c>
      <c r="K1647">
        <v>5837</v>
      </c>
      <c r="L1647">
        <v>828</v>
      </c>
      <c r="M1647">
        <v>16.53</v>
      </c>
      <c r="N1647">
        <v>5400</v>
      </c>
      <c r="O1647">
        <v>6650</v>
      </c>
      <c r="P1647" t="s">
        <v>192</v>
      </c>
      <c r="Q1647" t="s">
        <v>192</v>
      </c>
      <c r="R1647">
        <v>1</v>
      </c>
      <c r="S1647">
        <v>5</v>
      </c>
      <c r="T1647">
        <v>5601</v>
      </c>
      <c r="U1647">
        <v>6500</v>
      </c>
      <c r="V1647">
        <v>32</v>
      </c>
      <c r="W1647">
        <v>1</v>
      </c>
      <c r="X1647" s="367"/>
    </row>
    <row r="1648" spans="1:24">
      <c r="A1648" t="s">
        <v>5164</v>
      </c>
      <c r="B1648" t="s">
        <v>5165</v>
      </c>
      <c r="C1648">
        <v>0</v>
      </c>
      <c r="D1648">
        <v>0</v>
      </c>
      <c r="E1648">
        <v>0</v>
      </c>
      <c r="F1648">
        <v>1081500</v>
      </c>
      <c r="G1648">
        <v>0</v>
      </c>
      <c r="H1648">
        <v>1081500</v>
      </c>
      <c r="I1648">
        <v>0</v>
      </c>
      <c r="J1648">
        <v>0</v>
      </c>
      <c r="K1648">
        <v>1081500</v>
      </c>
      <c r="L1648">
        <v>0</v>
      </c>
      <c r="M1648">
        <v>0</v>
      </c>
      <c r="N1648">
        <v>0</v>
      </c>
      <c r="O1648">
        <v>0</v>
      </c>
      <c r="P1648" t="s">
        <v>192</v>
      </c>
      <c r="Q1648" t="s">
        <v>192</v>
      </c>
      <c r="R1648">
        <v>1</v>
      </c>
      <c r="S1648">
        <v>5000</v>
      </c>
      <c r="T1648">
        <v>1076090</v>
      </c>
      <c r="U1648">
        <v>1085000</v>
      </c>
      <c r="V1648">
        <v>5000</v>
      </c>
      <c r="W1648">
        <v>1</v>
      </c>
      <c r="X1648" s="367"/>
    </row>
    <row r="1649" spans="1:24">
      <c r="A1649" t="s">
        <v>2664</v>
      </c>
      <c r="B1649" t="s">
        <v>2663</v>
      </c>
      <c r="C1649">
        <v>626</v>
      </c>
      <c r="D1649">
        <v>50512972</v>
      </c>
      <c r="E1649">
        <v>276305956840</v>
      </c>
      <c r="F1649">
        <v>5320</v>
      </c>
      <c r="G1649">
        <v>5470</v>
      </c>
      <c r="H1649">
        <v>5470</v>
      </c>
      <c r="I1649">
        <v>150</v>
      </c>
      <c r="J1649">
        <v>2.82</v>
      </c>
      <c r="K1649">
        <v>5470</v>
      </c>
      <c r="L1649">
        <v>150</v>
      </c>
      <c r="M1649">
        <v>2.82</v>
      </c>
      <c r="N1649">
        <v>5470</v>
      </c>
      <c r="O1649">
        <v>5470</v>
      </c>
      <c r="P1649">
        <v>377</v>
      </c>
      <c r="Q1649">
        <v>14.51</v>
      </c>
      <c r="R1649">
        <v>1</v>
      </c>
      <c r="S1649">
        <v>9107</v>
      </c>
      <c r="T1649">
        <v>5470</v>
      </c>
      <c r="U1649">
        <v>5710</v>
      </c>
      <c r="V1649">
        <v>14000</v>
      </c>
      <c r="W1649">
        <v>1</v>
      </c>
      <c r="X1649" s="367"/>
    </row>
    <row r="1650" spans="1:24">
      <c r="A1650" t="s">
        <v>5059</v>
      </c>
      <c r="B1650" t="s">
        <v>5060</v>
      </c>
      <c r="C1650">
        <v>0</v>
      </c>
      <c r="D1650">
        <v>0</v>
      </c>
      <c r="E1650">
        <v>0</v>
      </c>
      <c r="F1650">
        <v>880390</v>
      </c>
      <c r="G1650">
        <v>0</v>
      </c>
      <c r="H1650">
        <v>880390</v>
      </c>
      <c r="I1650">
        <v>0</v>
      </c>
      <c r="J1650">
        <v>0</v>
      </c>
      <c r="K1650">
        <v>880390</v>
      </c>
      <c r="L1650">
        <v>0</v>
      </c>
      <c r="M1650">
        <v>0</v>
      </c>
      <c r="N1650">
        <v>0</v>
      </c>
      <c r="O1650">
        <v>0</v>
      </c>
      <c r="P1650" t="s">
        <v>192</v>
      </c>
      <c r="Q1650" t="s">
        <v>192</v>
      </c>
      <c r="R1650">
        <v>1</v>
      </c>
      <c r="S1650">
        <v>5000</v>
      </c>
      <c r="T1650">
        <v>857380</v>
      </c>
      <c r="U1650">
        <v>0</v>
      </c>
      <c r="V1650">
        <v>0</v>
      </c>
      <c r="W1650">
        <v>0</v>
      </c>
      <c r="X1650" s="367"/>
    </row>
    <row r="1651" spans="1:24">
      <c r="A1651" t="s">
        <v>8382</v>
      </c>
      <c r="B1651" t="s">
        <v>8383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1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 t="s">
        <v>192</v>
      </c>
      <c r="Q1651" t="s">
        <v>192</v>
      </c>
      <c r="R1651">
        <v>1</v>
      </c>
      <c r="S1651">
        <v>1</v>
      </c>
      <c r="T1651">
        <v>5500</v>
      </c>
      <c r="U1651">
        <v>0</v>
      </c>
      <c r="V1651">
        <v>0</v>
      </c>
      <c r="W1651">
        <v>0</v>
      </c>
      <c r="X1651" s="367"/>
    </row>
    <row r="1652" spans="1:24">
      <c r="A1652" t="s">
        <v>4438</v>
      </c>
      <c r="B1652" t="s">
        <v>4439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1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 t="s">
        <v>192</v>
      </c>
      <c r="Q1652" t="s">
        <v>192</v>
      </c>
      <c r="R1652">
        <v>1</v>
      </c>
      <c r="S1652">
        <v>100</v>
      </c>
      <c r="T1652">
        <v>1</v>
      </c>
      <c r="U1652">
        <v>0</v>
      </c>
      <c r="V1652">
        <v>0</v>
      </c>
      <c r="W1652">
        <v>0</v>
      </c>
      <c r="X1652" s="367"/>
    </row>
    <row r="1653" spans="1:24">
      <c r="A1653" t="s">
        <v>4962</v>
      </c>
      <c r="B1653" t="s">
        <v>4963</v>
      </c>
      <c r="C1653">
        <v>3</v>
      </c>
      <c r="D1653">
        <v>940</v>
      </c>
      <c r="E1653">
        <v>23735040</v>
      </c>
      <c r="F1653">
        <v>25216</v>
      </c>
      <c r="G1653">
        <v>25250</v>
      </c>
      <c r="H1653">
        <v>25251</v>
      </c>
      <c r="I1653">
        <v>35</v>
      </c>
      <c r="J1653">
        <v>0.14000000000000001</v>
      </c>
      <c r="K1653">
        <v>25250</v>
      </c>
      <c r="L1653">
        <v>34</v>
      </c>
      <c r="M1653">
        <v>0.13</v>
      </c>
      <c r="N1653">
        <v>25250</v>
      </c>
      <c r="O1653">
        <v>25251</v>
      </c>
      <c r="P1653" t="s">
        <v>192</v>
      </c>
      <c r="Q1653" t="s">
        <v>192</v>
      </c>
      <c r="R1653">
        <v>1</v>
      </c>
      <c r="S1653">
        <v>499100</v>
      </c>
      <c r="T1653">
        <v>25250</v>
      </c>
      <c r="U1653">
        <v>25251</v>
      </c>
      <c r="V1653">
        <v>2999960</v>
      </c>
      <c r="W1653">
        <v>1</v>
      </c>
      <c r="X1653" s="367"/>
    </row>
    <row r="1654" spans="1:24">
      <c r="A1654" t="s">
        <v>8625</v>
      </c>
      <c r="B1654" t="s">
        <v>8626</v>
      </c>
      <c r="C1654">
        <v>2</v>
      </c>
      <c r="D1654">
        <v>152607890</v>
      </c>
      <c r="E1654">
        <v>121349063283410</v>
      </c>
      <c r="F1654">
        <v>784020</v>
      </c>
      <c r="G1654">
        <v>794938</v>
      </c>
      <c r="H1654">
        <v>795400</v>
      </c>
      <c r="I1654">
        <v>11380</v>
      </c>
      <c r="J1654">
        <v>1.45</v>
      </c>
      <c r="K1654">
        <v>795169</v>
      </c>
      <c r="L1654">
        <v>11149</v>
      </c>
      <c r="M1654">
        <v>1.42</v>
      </c>
      <c r="N1654">
        <v>794938</v>
      </c>
      <c r="O1654">
        <v>795400</v>
      </c>
      <c r="P1654" t="s">
        <v>192</v>
      </c>
      <c r="Q1654" t="s">
        <v>192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 s="367"/>
    </row>
    <row r="1655" spans="1:24">
      <c r="A1655" t="s">
        <v>4924</v>
      </c>
      <c r="B1655" t="s">
        <v>4122</v>
      </c>
      <c r="C1655">
        <v>4568</v>
      </c>
      <c r="D1655">
        <v>314857745</v>
      </c>
      <c r="E1655">
        <v>11194934391117</v>
      </c>
      <c r="F1655">
        <v>35506</v>
      </c>
      <c r="G1655">
        <v>35555</v>
      </c>
      <c r="H1655">
        <v>35557</v>
      </c>
      <c r="I1655">
        <v>51</v>
      </c>
      <c r="J1655">
        <v>0.14000000000000001</v>
      </c>
      <c r="K1655">
        <v>35556</v>
      </c>
      <c r="L1655">
        <v>50</v>
      </c>
      <c r="M1655">
        <v>0.14000000000000001</v>
      </c>
      <c r="N1655">
        <v>35553</v>
      </c>
      <c r="O1655">
        <v>35558</v>
      </c>
      <c r="P1655" t="s">
        <v>192</v>
      </c>
      <c r="Q1655" t="s">
        <v>192</v>
      </c>
      <c r="R1655">
        <v>100</v>
      </c>
      <c r="S1655">
        <v>22329556</v>
      </c>
      <c r="T1655">
        <v>35556</v>
      </c>
      <c r="U1655">
        <v>35557</v>
      </c>
      <c r="V1655">
        <v>291806</v>
      </c>
      <c r="W1655">
        <v>1</v>
      </c>
      <c r="X1655" s="367"/>
    </row>
    <row r="1656" spans="1:24">
      <c r="A1656" t="s">
        <v>2353</v>
      </c>
      <c r="B1656" t="s">
        <v>2352</v>
      </c>
      <c r="C1656">
        <v>16</v>
      </c>
      <c r="D1656">
        <v>428034</v>
      </c>
      <c r="E1656">
        <v>664736802</v>
      </c>
      <c r="F1656">
        <v>1508</v>
      </c>
      <c r="G1656">
        <v>1553</v>
      </c>
      <c r="H1656">
        <v>1553</v>
      </c>
      <c r="I1656">
        <v>45</v>
      </c>
      <c r="J1656">
        <v>2.98</v>
      </c>
      <c r="K1656">
        <v>1553</v>
      </c>
      <c r="L1656">
        <v>45</v>
      </c>
      <c r="M1656">
        <v>2.98</v>
      </c>
      <c r="N1656">
        <v>1553</v>
      </c>
      <c r="O1656">
        <v>1553</v>
      </c>
      <c r="P1656">
        <v>-1864</v>
      </c>
      <c r="Q1656">
        <v>-0.83</v>
      </c>
      <c r="R1656">
        <v>98</v>
      </c>
      <c r="S1656">
        <v>63898180</v>
      </c>
      <c r="T1656">
        <v>1553</v>
      </c>
      <c r="U1656">
        <v>0</v>
      </c>
      <c r="V1656">
        <v>0</v>
      </c>
      <c r="W1656">
        <v>0</v>
      </c>
      <c r="X1656" s="367"/>
    </row>
    <row r="1657" spans="1:24">
      <c r="A1657" t="s">
        <v>7383</v>
      </c>
      <c r="B1657" t="s">
        <v>7877</v>
      </c>
      <c r="C1657">
        <v>7</v>
      </c>
      <c r="D1657">
        <v>93</v>
      </c>
      <c r="E1657">
        <v>694500000</v>
      </c>
      <c r="F1657">
        <v>6910</v>
      </c>
      <c r="G1657">
        <v>7500</v>
      </c>
      <c r="H1657">
        <v>8000</v>
      </c>
      <c r="I1657">
        <v>1090</v>
      </c>
      <c r="J1657">
        <v>15.77</v>
      </c>
      <c r="K1657">
        <v>7468</v>
      </c>
      <c r="L1657">
        <v>558</v>
      </c>
      <c r="M1657">
        <v>8.08</v>
      </c>
      <c r="N1657">
        <v>7400</v>
      </c>
      <c r="O1657">
        <v>8000</v>
      </c>
      <c r="P1657" t="s">
        <v>192</v>
      </c>
      <c r="Q1657" t="s">
        <v>192</v>
      </c>
      <c r="R1657">
        <v>1</v>
      </c>
      <c r="S1657">
        <v>100</v>
      </c>
      <c r="T1657">
        <v>1</v>
      </c>
      <c r="U1657">
        <v>9350</v>
      </c>
      <c r="V1657">
        <v>11</v>
      </c>
      <c r="W1657">
        <v>1</v>
      </c>
      <c r="X1657" s="367"/>
    </row>
    <row r="1658" spans="1:24">
      <c r="A1658" t="s">
        <v>37</v>
      </c>
      <c r="B1658" t="s">
        <v>2289</v>
      </c>
      <c r="C1658">
        <v>759</v>
      </c>
      <c r="D1658">
        <v>15708963</v>
      </c>
      <c r="E1658">
        <v>303099874310</v>
      </c>
      <c r="F1658">
        <v>18740</v>
      </c>
      <c r="G1658">
        <v>19300</v>
      </c>
      <c r="H1658">
        <v>19300</v>
      </c>
      <c r="I1658">
        <v>560</v>
      </c>
      <c r="J1658">
        <v>2.99</v>
      </c>
      <c r="K1658">
        <v>19290</v>
      </c>
      <c r="L1658">
        <v>550</v>
      </c>
      <c r="M1658">
        <v>2.93</v>
      </c>
      <c r="N1658">
        <v>18870</v>
      </c>
      <c r="O1658">
        <v>19300</v>
      </c>
      <c r="P1658">
        <v>2433</v>
      </c>
      <c r="Q1658">
        <v>7.93</v>
      </c>
      <c r="R1658">
        <v>78</v>
      </c>
      <c r="S1658">
        <v>2311410</v>
      </c>
      <c r="T1658">
        <v>19300</v>
      </c>
      <c r="U1658">
        <v>0</v>
      </c>
      <c r="V1658">
        <v>0</v>
      </c>
      <c r="W1658">
        <v>0</v>
      </c>
      <c r="X1658" s="367"/>
    </row>
    <row r="1659" spans="1:24">
      <c r="A1659" t="s">
        <v>8028</v>
      </c>
      <c r="B1659" t="s">
        <v>8029</v>
      </c>
      <c r="C1659">
        <v>0</v>
      </c>
      <c r="D1659">
        <v>0</v>
      </c>
      <c r="E1659">
        <v>0</v>
      </c>
      <c r="F1659">
        <v>1</v>
      </c>
      <c r="G1659">
        <v>0</v>
      </c>
      <c r="H1659">
        <v>1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 t="s">
        <v>192</v>
      </c>
      <c r="Q1659" t="s">
        <v>192</v>
      </c>
      <c r="R1659">
        <v>1</v>
      </c>
      <c r="S1659">
        <v>999</v>
      </c>
      <c r="T1659">
        <v>3</v>
      </c>
      <c r="U1659">
        <v>0</v>
      </c>
      <c r="V1659">
        <v>0</v>
      </c>
      <c r="W1659">
        <v>0</v>
      </c>
      <c r="X1659" s="367"/>
    </row>
    <row r="1660" spans="1:24">
      <c r="A1660" t="s">
        <v>4968</v>
      </c>
      <c r="B1660" t="s">
        <v>4969</v>
      </c>
      <c r="C1660">
        <v>93</v>
      </c>
      <c r="D1660">
        <v>1551279</v>
      </c>
      <c r="E1660">
        <v>27718645816</v>
      </c>
      <c r="F1660">
        <v>17468</v>
      </c>
      <c r="G1660">
        <v>17216</v>
      </c>
      <c r="H1660">
        <v>17992</v>
      </c>
      <c r="I1660">
        <v>524</v>
      </c>
      <c r="J1660">
        <v>3</v>
      </c>
      <c r="K1660">
        <v>17868</v>
      </c>
      <c r="L1660">
        <v>400</v>
      </c>
      <c r="M1660">
        <v>2.29</v>
      </c>
      <c r="N1660">
        <v>17216</v>
      </c>
      <c r="O1660">
        <v>17992</v>
      </c>
      <c r="P1660" t="s">
        <v>192</v>
      </c>
      <c r="Q1660" t="s">
        <v>192</v>
      </c>
      <c r="R1660">
        <v>2</v>
      </c>
      <c r="S1660">
        <v>30817</v>
      </c>
      <c r="T1660">
        <v>17992</v>
      </c>
      <c r="U1660">
        <v>18049</v>
      </c>
      <c r="V1660">
        <v>2355</v>
      </c>
      <c r="W1660">
        <v>1</v>
      </c>
      <c r="X1660" s="367"/>
    </row>
    <row r="1661" spans="1:24">
      <c r="A1661" t="s">
        <v>4970</v>
      </c>
      <c r="B1661" t="s">
        <v>4971</v>
      </c>
      <c r="C1661">
        <v>45</v>
      </c>
      <c r="D1661">
        <v>162304</v>
      </c>
      <c r="E1661">
        <v>2898100224</v>
      </c>
      <c r="F1661">
        <v>17336</v>
      </c>
      <c r="G1661">
        <v>17856</v>
      </c>
      <c r="H1661">
        <v>17856</v>
      </c>
      <c r="I1661">
        <v>520</v>
      </c>
      <c r="J1661">
        <v>3</v>
      </c>
      <c r="K1661">
        <v>17856</v>
      </c>
      <c r="L1661">
        <v>520</v>
      </c>
      <c r="M1661">
        <v>3</v>
      </c>
      <c r="N1661">
        <v>17856</v>
      </c>
      <c r="O1661">
        <v>17856</v>
      </c>
      <c r="P1661" t="s">
        <v>192</v>
      </c>
      <c r="Q1661" t="s">
        <v>192</v>
      </c>
      <c r="R1661">
        <v>37</v>
      </c>
      <c r="S1661">
        <v>5700620</v>
      </c>
      <c r="T1661">
        <v>17856</v>
      </c>
      <c r="U1661">
        <v>20000</v>
      </c>
      <c r="V1661">
        <v>3000</v>
      </c>
      <c r="W1661">
        <v>1</v>
      </c>
      <c r="X1661" s="367"/>
    </row>
    <row r="1662" spans="1:24">
      <c r="A1662" t="s">
        <v>6803</v>
      </c>
      <c r="B1662" t="s">
        <v>7942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1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 t="s">
        <v>192</v>
      </c>
      <c r="Q1662" t="s">
        <v>192</v>
      </c>
      <c r="R1662">
        <v>1</v>
      </c>
      <c r="S1662">
        <v>100</v>
      </c>
      <c r="T1662">
        <v>1</v>
      </c>
      <c r="U1662">
        <v>0</v>
      </c>
      <c r="V1662">
        <v>0</v>
      </c>
      <c r="W1662">
        <v>0</v>
      </c>
      <c r="X1662" s="367"/>
    </row>
    <row r="1663" spans="1:24">
      <c r="A1663" t="s">
        <v>4927</v>
      </c>
      <c r="B1663" t="s">
        <v>4928</v>
      </c>
      <c r="C1663">
        <v>36</v>
      </c>
      <c r="D1663">
        <v>23836</v>
      </c>
      <c r="E1663">
        <v>7023520038</v>
      </c>
      <c r="F1663">
        <v>293204</v>
      </c>
      <c r="G1663">
        <v>301996</v>
      </c>
      <c r="H1663">
        <v>297998</v>
      </c>
      <c r="I1663">
        <v>4794</v>
      </c>
      <c r="J1663">
        <v>1.64</v>
      </c>
      <c r="K1663">
        <v>294660</v>
      </c>
      <c r="L1663">
        <v>1456</v>
      </c>
      <c r="M1663">
        <v>0.5</v>
      </c>
      <c r="N1663">
        <v>293515</v>
      </c>
      <c r="O1663">
        <v>301999</v>
      </c>
      <c r="P1663" t="s">
        <v>192</v>
      </c>
      <c r="Q1663" t="s">
        <v>192</v>
      </c>
      <c r="R1663">
        <v>1</v>
      </c>
      <c r="S1663">
        <v>1000</v>
      </c>
      <c r="T1663">
        <v>293643</v>
      </c>
      <c r="U1663">
        <v>298000</v>
      </c>
      <c r="V1663">
        <v>135</v>
      </c>
      <c r="W1663">
        <v>1</v>
      </c>
      <c r="X1663" s="367"/>
    </row>
    <row r="1664" spans="1:24">
      <c r="A1664" t="s">
        <v>4494</v>
      </c>
      <c r="B1664" t="s">
        <v>4495</v>
      </c>
      <c r="C1664">
        <v>0</v>
      </c>
      <c r="D1664">
        <v>0</v>
      </c>
      <c r="E1664">
        <v>0</v>
      </c>
      <c r="F1664">
        <v>1</v>
      </c>
      <c r="G1664">
        <v>0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 t="s">
        <v>192</v>
      </c>
      <c r="Q1664" t="s">
        <v>192</v>
      </c>
      <c r="R1664">
        <v>1</v>
      </c>
      <c r="S1664">
        <v>33</v>
      </c>
      <c r="T1664">
        <v>151</v>
      </c>
      <c r="U1664">
        <v>0</v>
      </c>
      <c r="V1664">
        <v>0</v>
      </c>
      <c r="W1664">
        <v>0</v>
      </c>
      <c r="X1664" s="367"/>
    </row>
    <row r="1665" spans="1:24">
      <c r="A1665" t="s">
        <v>8663</v>
      </c>
      <c r="B1665" t="s">
        <v>2409</v>
      </c>
      <c r="C1665">
        <v>1</v>
      </c>
      <c r="D1665">
        <v>39999999</v>
      </c>
      <c r="E1665">
        <v>486399987840</v>
      </c>
      <c r="F1665">
        <v>11810</v>
      </c>
      <c r="G1665">
        <v>12160</v>
      </c>
      <c r="H1665">
        <v>12160</v>
      </c>
      <c r="I1665">
        <v>350</v>
      </c>
      <c r="J1665">
        <v>2.96</v>
      </c>
      <c r="K1665">
        <v>12160</v>
      </c>
      <c r="L1665">
        <v>350</v>
      </c>
      <c r="M1665">
        <v>2.96</v>
      </c>
      <c r="N1665">
        <v>12160</v>
      </c>
      <c r="O1665">
        <v>12160</v>
      </c>
      <c r="P1665">
        <v>778</v>
      </c>
      <c r="Q1665">
        <v>15.63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 s="367"/>
    </row>
    <row r="1666" spans="1:24">
      <c r="A1666" t="s">
        <v>6807</v>
      </c>
      <c r="B1666" t="s">
        <v>7940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1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 t="s">
        <v>192</v>
      </c>
      <c r="Q1666" t="s">
        <v>192</v>
      </c>
      <c r="R1666">
        <v>1</v>
      </c>
      <c r="S1666">
        <v>100</v>
      </c>
      <c r="T1666">
        <v>1</v>
      </c>
      <c r="U1666">
        <v>0</v>
      </c>
      <c r="V1666">
        <v>0</v>
      </c>
      <c r="W1666">
        <v>0</v>
      </c>
      <c r="X1666" s="367"/>
    </row>
    <row r="1667" spans="1:24">
      <c r="A1667" t="s">
        <v>5120</v>
      </c>
      <c r="B1667" t="s">
        <v>5121</v>
      </c>
      <c r="C1667">
        <v>0</v>
      </c>
      <c r="D1667">
        <v>0</v>
      </c>
      <c r="E1667">
        <v>0</v>
      </c>
      <c r="F1667">
        <v>5768350</v>
      </c>
      <c r="G1667">
        <v>0</v>
      </c>
      <c r="H1667">
        <v>5768350</v>
      </c>
      <c r="I1667">
        <v>0</v>
      </c>
      <c r="J1667">
        <v>0</v>
      </c>
      <c r="K1667">
        <v>5768350</v>
      </c>
      <c r="L1667">
        <v>0</v>
      </c>
      <c r="M1667">
        <v>0</v>
      </c>
      <c r="N1667">
        <v>0</v>
      </c>
      <c r="O1667">
        <v>0</v>
      </c>
      <c r="P1667" t="s">
        <v>192</v>
      </c>
      <c r="Q1667" t="s">
        <v>192</v>
      </c>
      <c r="R1667">
        <v>1</v>
      </c>
      <c r="S1667">
        <v>8722</v>
      </c>
      <c r="T1667">
        <v>5816510</v>
      </c>
      <c r="U1667">
        <v>5819885</v>
      </c>
      <c r="V1667">
        <v>8722</v>
      </c>
      <c r="W1667">
        <v>1</v>
      </c>
      <c r="X1667" s="367"/>
    </row>
    <row r="1668" spans="1:24">
      <c r="A1668" t="s">
        <v>4912</v>
      </c>
      <c r="B1668" t="s">
        <v>4913</v>
      </c>
      <c r="C1668">
        <v>0</v>
      </c>
      <c r="D1668">
        <v>0</v>
      </c>
      <c r="E1668">
        <v>0</v>
      </c>
      <c r="F1668">
        <v>1000000</v>
      </c>
      <c r="G1668">
        <v>0</v>
      </c>
      <c r="H1668">
        <v>1000000</v>
      </c>
      <c r="I1668">
        <v>0</v>
      </c>
      <c r="J1668">
        <v>0</v>
      </c>
      <c r="K1668">
        <v>1000000</v>
      </c>
      <c r="L1668">
        <v>0</v>
      </c>
      <c r="M1668">
        <v>0</v>
      </c>
      <c r="N1668">
        <v>0</v>
      </c>
      <c r="O1668">
        <v>0</v>
      </c>
      <c r="P1668" t="s">
        <v>192</v>
      </c>
      <c r="Q1668" t="s">
        <v>192</v>
      </c>
      <c r="R1668">
        <v>1</v>
      </c>
      <c r="S1668">
        <v>12500</v>
      </c>
      <c r="T1668">
        <v>995000</v>
      </c>
      <c r="U1668">
        <v>1004950</v>
      </c>
      <c r="V1668">
        <v>12500</v>
      </c>
      <c r="W1668">
        <v>1</v>
      </c>
      <c r="X1668" s="367"/>
    </row>
    <row r="1669" spans="1:24">
      <c r="A1669" t="s">
        <v>7693</v>
      </c>
      <c r="B1669" t="s">
        <v>6383</v>
      </c>
      <c r="C1669">
        <v>27</v>
      </c>
      <c r="D1669">
        <v>270000000</v>
      </c>
      <c r="E1669">
        <v>270000000</v>
      </c>
      <c r="F1669">
        <v>29089</v>
      </c>
      <c r="G1669">
        <v>1</v>
      </c>
      <c r="H1669">
        <v>1</v>
      </c>
      <c r="I1669">
        <v>-29088</v>
      </c>
      <c r="J1669">
        <v>-100</v>
      </c>
      <c r="K1669">
        <v>1</v>
      </c>
      <c r="L1669">
        <v>-29088</v>
      </c>
      <c r="M1669">
        <v>-100</v>
      </c>
      <c r="N1669">
        <v>1</v>
      </c>
      <c r="O1669">
        <v>1</v>
      </c>
      <c r="P1669" t="s">
        <v>192</v>
      </c>
      <c r="Q1669" t="s">
        <v>192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 s="367"/>
    </row>
    <row r="1670" spans="1:24">
      <c r="A1670" t="s">
        <v>5067</v>
      </c>
      <c r="B1670" t="s">
        <v>5068</v>
      </c>
      <c r="C1670">
        <v>0</v>
      </c>
      <c r="D1670">
        <v>0</v>
      </c>
      <c r="E1670">
        <v>0</v>
      </c>
      <c r="F1670">
        <v>840230</v>
      </c>
      <c r="G1670">
        <v>0</v>
      </c>
      <c r="H1670">
        <v>840230</v>
      </c>
      <c r="I1670">
        <v>0</v>
      </c>
      <c r="J1670">
        <v>0</v>
      </c>
      <c r="K1670">
        <v>840230</v>
      </c>
      <c r="L1670">
        <v>0</v>
      </c>
      <c r="M1670">
        <v>0</v>
      </c>
      <c r="N1670">
        <v>0</v>
      </c>
      <c r="O1670">
        <v>0</v>
      </c>
      <c r="P1670" t="s">
        <v>192</v>
      </c>
      <c r="Q1670" t="s">
        <v>192</v>
      </c>
      <c r="R1670">
        <v>1</v>
      </c>
      <c r="S1670">
        <v>5000</v>
      </c>
      <c r="T1670">
        <v>815030</v>
      </c>
      <c r="U1670">
        <v>0</v>
      </c>
      <c r="V1670">
        <v>0</v>
      </c>
      <c r="W1670">
        <v>0</v>
      </c>
      <c r="X1670" s="367"/>
    </row>
    <row r="1671" spans="1:24">
      <c r="A1671" t="s">
        <v>5004</v>
      </c>
      <c r="B1671" t="s">
        <v>5005</v>
      </c>
      <c r="C1671">
        <v>167</v>
      </c>
      <c r="D1671">
        <v>9264822</v>
      </c>
      <c r="E1671">
        <v>138350649035</v>
      </c>
      <c r="F1671">
        <v>14510</v>
      </c>
      <c r="G1671">
        <v>14710</v>
      </c>
      <c r="H1671">
        <v>14945</v>
      </c>
      <c r="I1671">
        <v>435</v>
      </c>
      <c r="J1671">
        <v>3</v>
      </c>
      <c r="K1671">
        <v>14933</v>
      </c>
      <c r="L1671">
        <v>423</v>
      </c>
      <c r="M1671">
        <v>2.92</v>
      </c>
      <c r="N1671">
        <v>14710</v>
      </c>
      <c r="O1671">
        <v>14945</v>
      </c>
      <c r="P1671" t="s">
        <v>192</v>
      </c>
      <c r="Q1671" t="s">
        <v>192</v>
      </c>
      <c r="R1671">
        <v>1</v>
      </c>
      <c r="S1671">
        <v>67700</v>
      </c>
      <c r="T1671">
        <v>14829</v>
      </c>
      <c r="U1671">
        <v>16158</v>
      </c>
      <c r="V1671">
        <v>100</v>
      </c>
      <c r="W1671">
        <v>1</v>
      </c>
      <c r="X1671" s="367"/>
    </row>
    <row r="1672" spans="1:24">
      <c r="A1672" t="s">
        <v>4342</v>
      </c>
      <c r="B1672" t="s">
        <v>4343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 t="s">
        <v>192</v>
      </c>
      <c r="Q1672" t="s">
        <v>192</v>
      </c>
      <c r="R1672">
        <v>1</v>
      </c>
      <c r="S1672">
        <v>44</v>
      </c>
      <c r="T1672">
        <v>44</v>
      </c>
      <c r="U1672">
        <v>0</v>
      </c>
      <c r="V1672">
        <v>0</v>
      </c>
      <c r="W1672">
        <v>0</v>
      </c>
      <c r="X1672" s="367"/>
    </row>
    <row r="1673" spans="1:24">
      <c r="A1673" t="s">
        <v>4392</v>
      </c>
      <c r="B1673" t="s">
        <v>8139</v>
      </c>
      <c r="C1673">
        <v>416</v>
      </c>
      <c r="D1673">
        <v>91986</v>
      </c>
      <c r="E1673">
        <v>8211006000</v>
      </c>
      <c r="F1673">
        <v>131</v>
      </c>
      <c r="G1673">
        <v>107</v>
      </c>
      <c r="H1673">
        <v>88</v>
      </c>
      <c r="I1673">
        <v>-43</v>
      </c>
      <c r="J1673">
        <v>-32.82</v>
      </c>
      <c r="K1673">
        <v>89</v>
      </c>
      <c r="L1673">
        <v>-42</v>
      </c>
      <c r="M1673">
        <v>-32.06</v>
      </c>
      <c r="N1673">
        <v>85</v>
      </c>
      <c r="O1673">
        <v>107</v>
      </c>
      <c r="P1673" t="s">
        <v>192</v>
      </c>
      <c r="Q1673" t="s">
        <v>192</v>
      </c>
      <c r="R1673">
        <v>1</v>
      </c>
      <c r="S1673">
        <v>5</v>
      </c>
      <c r="T1673">
        <v>84</v>
      </c>
      <c r="U1673">
        <v>89</v>
      </c>
      <c r="V1673">
        <v>1000</v>
      </c>
      <c r="W1673">
        <v>1</v>
      </c>
      <c r="X1673" s="367"/>
    </row>
    <row r="1674" spans="1:24">
      <c r="A1674" t="s">
        <v>5037</v>
      </c>
      <c r="B1674" t="s">
        <v>5038</v>
      </c>
      <c r="C1674">
        <v>1817</v>
      </c>
      <c r="D1674">
        <v>257142548</v>
      </c>
      <c r="E1674">
        <v>6525924246435</v>
      </c>
      <c r="F1674">
        <v>25342</v>
      </c>
      <c r="G1674">
        <v>25378</v>
      </c>
      <c r="H1674">
        <v>25378</v>
      </c>
      <c r="I1674">
        <v>36</v>
      </c>
      <c r="J1674">
        <v>0.14000000000000001</v>
      </c>
      <c r="K1674">
        <v>25379</v>
      </c>
      <c r="L1674">
        <v>37</v>
      </c>
      <c r="M1674">
        <v>0.15</v>
      </c>
      <c r="N1674">
        <v>25378</v>
      </c>
      <c r="O1674">
        <v>25382</v>
      </c>
      <c r="P1674" t="s">
        <v>192</v>
      </c>
      <c r="Q1674" t="s">
        <v>192</v>
      </c>
      <c r="R1674">
        <v>43</v>
      </c>
      <c r="S1674">
        <v>523397988</v>
      </c>
      <c r="T1674">
        <v>25378</v>
      </c>
      <c r="U1674">
        <v>25379</v>
      </c>
      <c r="V1674">
        <v>9879100</v>
      </c>
      <c r="W1674">
        <v>1</v>
      </c>
      <c r="X1674" s="367"/>
    </row>
    <row r="1675" spans="1:24">
      <c r="A1675" t="s">
        <v>4238</v>
      </c>
      <c r="B1675" t="s">
        <v>4239</v>
      </c>
      <c r="C1675">
        <v>0</v>
      </c>
      <c r="D1675">
        <v>0</v>
      </c>
      <c r="E1675">
        <v>0</v>
      </c>
      <c r="F1675">
        <v>1</v>
      </c>
      <c r="G1675">
        <v>0</v>
      </c>
      <c r="H1675">
        <v>1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 t="s">
        <v>192</v>
      </c>
      <c r="Q1675" t="s">
        <v>192</v>
      </c>
      <c r="R1675">
        <v>1</v>
      </c>
      <c r="S1675">
        <v>10</v>
      </c>
      <c r="T1675">
        <v>501</v>
      </c>
      <c r="U1675">
        <v>0</v>
      </c>
      <c r="V1675">
        <v>0</v>
      </c>
      <c r="W1675">
        <v>0</v>
      </c>
      <c r="X1675" s="367"/>
    </row>
    <row r="1676" spans="1:24">
      <c r="A1676" t="s">
        <v>5057</v>
      </c>
      <c r="B1676" t="s">
        <v>5058</v>
      </c>
      <c r="C1676">
        <v>128</v>
      </c>
      <c r="D1676">
        <v>5725813</v>
      </c>
      <c r="E1676">
        <v>79168878272</v>
      </c>
      <c r="F1676">
        <v>13426</v>
      </c>
      <c r="G1676">
        <v>13827</v>
      </c>
      <c r="H1676">
        <v>13828</v>
      </c>
      <c r="I1676">
        <v>402</v>
      </c>
      <c r="J1676">
        <v>2.99</v>
      </c>
      <c r="K1676">
        <v>13827</v>
      </c>
      <c r="L1676">
        <v>401</v>
      </c>
      <c r="M1676">
        <v>2.99</v>
      </c>
      <c r="N1676">
        <v>13473</v>
      </c>
      <c r="O1676">
        <v>13828</v>
      </c>
      <c r="P1676" t="s">
        <v>192</v>
      </c>
      <c r="Q1676" t="s">
        <v>192</v>
      </c>
      <c r="R1676">
        <v>1</v>
      </c>
      <c r="S1676">
        <v>14431</v>
      </c>
      <c r="T1676">
        <v>13828</v>
      </c>
      <c r="U1676">
        <v>0</v>
      </c>
      <c r="V1676">
        <v>0</v>
      </c>
      <c r="W1676">
        <v>0</v>
      </c>
      <c r="X1676" s="367"/>
    </row>
    <row r="1677" spans="1:24">
      <c r="A1677" t="s">
        <v>8687</v>
      </c>
      <c r="B1677" t="s">
        <v>5075</v>
      </c>
      <c r="C1677">
        <v>2</v>
      </c>
      <c r="D1677">
        <v>53500000</v>
      </c>
      <c r="E1677">
        <v>53500000</v>
      </c>
      <c r="F1677">
        <v>18683</v>
      </c>
      <c r="G1677">
        <v>1</v>
      </c>
      <c r="H1677">
        <v>1</v>
      </c>
      <c r="I1677">
        <v>-18682</v>
      </c>
      <c r="J1677">
        <v>-99.99</v>
      </c>
      <c r="K1677">
        <v>1</v>
      </c>
      <c r="L1677">
        <v>-18682</v>
      </c>
      <c r="M1677">
        <v>-99.99</v>
      </c>
      <c r="N1677">
        <v>1</v>
      </c>
      <c r="O1677">
        <v>1</v>
      </c>
      <c r="P1677" t="s">
        <v>192</v>
      </c>
      <c r="Q1677" t="s">
        <v>192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 s="367"/>
    </row>
    <row r="1678" spans="1:24">
      <c r="A1678" t="s">
        <v>4338</v>
      </c>
      <c r="B1678" t="s">
        <v>4339</v>
      </c>
      <c r="C1678">
        <v>0</v>
      </c>
      <c r="D1678">
        <v>0</v>
      </c>
      <c r="E1678">
        <v>0</v>
      </c>
      <c r="F1678">
        <v>1</v>
      </c>
      <c r="G1678">
        <v>0</v>
      </c>
      <c r="H1678">
        <v>1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 t="s">
        <v>192</v>
      </c>
      <c r="Q1678" t="s">
        <v>192</v>
      </c>
      <c r="R1678">
        <v>1</v>
      </c>
      <c r="S1678">
        <v>100</v>
      </c>
      <c r="T1678">
        <v>1</v>
      </c>
      <c r="U1678">
        <v>0</v>
      </c>
      <c r="V1678">
        <v>0</v>
      </c>
      <c r="W1678">
        <v>0</v>
      </c>
      <c r="X1678" s="367"/>
    </row>
    <row r="1679" spans="1:24">
      <c r="A1679" t="s">
        <v>5063</v>
      </c>
      <c r="B1679" t="s">
        <v>5064</v>
      </c>
      <c r="C1679">
        <v>0</v>
      </c>
      <c r="D1679">
        <v>0</v>
      </c>
      <c r="E1679">
        <v>0</v>
      </c>
      <c r="F1679">
        <v>1086910</v>
      </c>
      <c r="G1679">
        <v>0</v>
      </c>
      <c r="H1679">
        <v>1086910</v>
      </c>
      <c r="I1679">
        <v>0</v>
      </c>
      <c r="J1679">
        <v>0</v>
      </c>
      <c r="K1679">
        <v>1086910</v>
      </c>
      <c r="L1679">
        <v>0</v>
      </c>
      <c r="M1679">
        <v>0</v>
      </c>
      <c r="N1679">
        <v>0</v>
      </c>
      <c r="O1679">
        <v>0</v>
      </c>
      <c r="P1679" t="s">
        <v>192</v>
      </c>
      <c r="Q1679" t="s">
        <v>192</v>
      </c>
      <c r="R1679">
        <v>1</v>
      </c>
      <c r="S1679">
        <v>5000</v>
      </c>
      <c r="T1679">
        <v>1076090</v>
      </c>
      <c r="U1679">
        <v>1086910</v>
      </c>
      <c r="V1679">
        <v>5000</v>
      </c>
      <c r="W1679">
        <v>1</v>
      </c>
      <c r="X1679" s="367"/>
    </row>
    <row r="1680" spans="1:24">
      <c r="A1680" t="s">
        <v>4148</v>
      </c>
      <c r="B1680" t="s">
        <v>4149</v>
      </c>
      <c r="C1680">
        <v>0</v>
      </c>
      <c r="D1680">
        <v>0</v>
      </c>
      <c r="E1680">
        <v>0</v>
      </c>
      <c r="F1680">
        <v>6194</v>
      </c>
      <c r="G1680">
        <v>0</v>
      </c>
      <c r="H1680">
        <v>6649</v>
      </c>
      <c r="I1680">
        <v>455</v>
      </c>
      <c r="J1680">
        <v>7.35</v>
      </c>
      <c r="K1680">
        <v>6194</v>
      </c>
      <c r="L1680">
        <v>0</v>
      </c>
      <c r="M1680">
        <v>0</v>
      </c>
      <c r="N1680">
        <v>0</v>
      </c>
      <c r="O1680">
        <v>0</v>
      </c>
      <c r="P1680" t="s">
        <v>192</v>
      </c>
      <c r="Q1680" t="s">
        <v>192</v>
      </c>
      <c r="R1680">
        <v>1</v>
      </c>
      <c r="S1680">
        <v>8</v>
      </c>
      <c r="T1680">
        <v>12000</v>
      </c>
      <c r="U1680">
        <v>0</v>
      </c>
      <c r="V1680">
        <v>0</v>
      </c>
      <c r="W1680">
        <v>0</v>
      </c>
      <c r="X1680" s="367"/>
    </row>
    <row r="1681" spans="1:24">
      <c r="A1681" t="s">
        <v>4914</v>
      </c>
      <c r="B1681" t="s">
        <v>4915</v>
      </c>
      <c r="C1681">
        <v>0</v>
      </c>
      <c r="D1681">
        <v>0</v>
      </c>
      <c r="E1681">
        <v>0</v>
      </c>
      <c r="F1681">
        <v>830000</v>
      </c>
      <c r="G1681">
        <v>0</v>
      </c>
      <c r="H1681">
        <v>830000</v>
      </c>
      <c r="I1681">
        <v>0</v>
      </c>
      <c r="J1681">
        <v>0</v>
      </c>
      <c r="K1681">
        <v>830000</v>
      </c>
      <c r="L1681">
        <v>0</v>
      </c>
      <c r="M1681">
        <v>0</v>
      </c>
      <c r="N1681">
        <v>0</v>
      </c>
      <c r="O1681">
        <v>0</v>
      </c>
      <c r="P1681" t="s">
        <v>192</v>
      </c>
      <c r="Q1681" t="s">
        <v>192</v>
      </c>
      <c r="R1681">
        <v>1</v>
      </c>
      <c r="S1681">
        <v>2500</v>
      </c>
      <c r="T1681">
        <v>830000</v>
      </c>
      <c r="U1681">
        <v>0</v>
      </c>
      <c r="V1681">
        <v>0</v>
      </c>
      <c r="W1681">
        <v>0</v>
      </c>
      <c r="X1681" s="367"/>
    </row>
    <row r="1682" spans="1:24">
      <c r="A1682" t="s">
        <v>3705</v>
      </c>
      <c r="B1682" t="s">
        <v>3706</v>
      </c>
      <c r="C1682">
        <v>8</v>
      </c>
      <c r="D1682">
        <v>310</v>
      </c>
      <c r="E1682">
        <v>252400000</v>
      </c>
      <c r="F1682">
        <v>507</v>
      </c>
      <c r="G1682">
        <v>840</v>
      </c>
      <c r="H1682">
        <v>800</v>
      </c>
      <c r="I1682">
        <v>293</v>
      </c>
      <c r="J1682">
        <v>57.79</v>
      </c>
      <c r="K1682">
        <v>814</v>
      </c>
      <c r="L1682">
        <v>307</v>
      </c>
      <c r="M1682">
        <v>60.55</v>
      </c>
      <c r="N1682">
        <v>800</v>
      </c>
      <c r="O1682">
        <v>840</v>
      </c>
      <c r="P1682" t="s">
        <v>192</v>
      </c>
      <c r="Q1682" t="s">
        <v>192</v>
      </c>
      <c r="R1682">
        <v>2</v>
      </c>
      <c r="S1682">
        <v>12</v>
      </c>
      <c r="T1682">
        <v>707</v>
      </c>
      <c r="U1682">
        <v>800</v>
      </c>
      <c r="V1682">
        <v>400</v>
      </c>
      <c r="W1682">
        <v>2</v>
      </c>
      <c r="X1682" s="367"/>
    </row>
    <row r="1683" spans="1:24">
      <c r="A1683" t="s">
        <v>8821</v>
      </c>
      <c r="B1683" t="s">
        <v>3909</v>
      </c>
      <c r="C1683">
        <v>1</v>
      </c>
      <c r="D1683">
        <v>2000000</v>
      </c>
      <c r="E1683">
        <v>2000000</v>
      </c>
      <c r="F1683">
        <v>34426</v>
      </c>
      <c r="G1683">
        <v>1</v>
      </c>
      <c r="H1683">
        <v>1</v>
      </c>
      <c r="I1683">
        <v>-34425</v>
      </c>
      <c r="J1683">
        <v>-100</v>
      </c>
      <c r="K1683">
        <v>1</v>
      </c>
      <c r="L1683">
        <v>-34425</v>
      </c>
      <c r="M1683">
        <v>-100</v>
      </c>
      <c r="N1683">
        <v>1</v>
      </c>
      <c r="O1683">
        <v>1</v>
      </c>
      <c r="P1683" t="s">
        <v>192</v>
      </c>
      <c r="Q1683" t="s">
        <v>192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 s="367"/>
    </row>
    <row r="1684" spans="1:24">
      <c r="A1684" t="s">
        <v>4908</v>
      </c>
      <c r="B1684" t="s">
        <v>4909</v>
      </c>
      <c r="C1684">
        <v>4</v>
      </c>
      <c r="D1684">
        <v>74</v>
      </c>
      <c r="E1684">
        <v>590163912</v>
      </c>
      <c r="F1684">
        <v>7975188</v>
      </c>
      <c r="G1684">
        <v>7975188</v>
      </c>
      <c r="H1684">
        <v>7975188</v>
      </c>
      <c r="I1684">
        <v>0</v>
      </c>
      <c r="J1684">
        <v>0</v>
      </c>
      <c r="K1684">
        <v>7975188</v>
      </c>
      <c r="L1684">
        <v>0</v>
      </c>
      <c r="M1684">
        <v>0</v>
      </c>
      <c r="N1684">
        <v>7975188</v>
      </c>
      <c r="O1684">
        <v>7975188</v>
      </c>
      <c r="P1684" t="s">
        <v>192</v>
      </c>
      <c r="Q1684" t="s">
        <v>192</v>
      </c>
      <c r="R1684">
        <v>2</v>
      </c>
      <c r="S1684">
        <v>1458</v>
      </c>
      <c r="T1684">
        <v>7823660</v>
      </c>
      <c r="U1684">
        <v>7975188</v>
      </c>
      <c r="V1684">
        <v>1500</v>
      </c>
      <c r="W1684">
        <v>2</v>
      </c>
      <c r="X1684" s="367"/>
    </row>
    <row r="1685" spans="1:24">
      <c r="A1685" t="s">
        <v>3711</v>
      </c>
      <c r="B1685" t="s">
        <v>3712</v>
      </c>
      <c r="C1685">
        <v>17</v>
      </c>
      <c r="D1685">
        <v>2735</v>
      </c>
      <c r="E1685">
        <v>267840000</v>
      </c>
      <c r="F1685">
        <v>50</v>
      </c>
      <c r="G1685">
        <v>70</v>
      </c>
      <c r="H1685">
        <v>89</v>
      </c>
      <c r="I1685">
        <v>39</v>
      </c>
      <c r="J1685">
        <v>78</v>
      </c>
      <c r="K1685">
        <v>98</v>
      </c>
      <c r="L1685">
        <v>48</v>
      </c>
      <c r="M1685">
        <v>96</v>
      </c>
      <c r="N1685">
        <v>70</v>
      </c>
      <c r="O1685">
        <v>120</v>
      </c>
      <c r="P1685" t="s">
        <v>192</v>
      </c>
      <c r="Q1685" t="s">
        <v>192</v>
      </c>
      <c r="R1685">
        <v>1</v>
      </c>
      <c r="S1685">
        <v>100</v>
      </c>
      <c r="T1685">
        <v>72</v>
      </c>
      <c r="U1685">
        <v>89</v>
      </c>
      <c r="V1685">
        <v>300</v>
      </c>
      <c r="W1685">
        <v>1</v>
      </c>
      <c r="X1685" s="367"/>
    </row>
    <row r="1686" spans="1:24">
      <c r="A1686" t="s">
        <v>4948</v>
      </c>
      <c r="B1686" t="s">
        <v>4949</v>
      </c>
      <c r="C1686">
        <v>0</v>
      </c>
      <c r="D1686">
        <v>0</v>
      </c>
      <c r="E1686">
        <v>0</v>
      </c>
      <c r="F1686">
        <v>1000000</v>
      </c>
      <c r="G1686">
        <v>0</v>
      </c>
      <c r="H1686">
        <v>1000000</v>
      </c>
      <c r="I1686">
        <v>0</v>
      </c>
      <c r="J1686">
        <v>0</v>
      </c>
      <c r="K1686">
        <v>1000000</v>
      </c>
      <c r="L1686">
        <v>0</v>
      </c>
      <c r="M1686">
        <v>0</v>
      </c>
      <c r="N1686">
        <v>0</v>
      </c>
      <c r="O1686">
        <v>0</v>
      </c>
      <c r="P1686" t="s">
        <v>192</v>
      </c>
      <c r="Q1686" t="s">
        <v>192</v>
      </c>
      <c r="R1686">
        <v>1</v>
      </c>
      <c r="S1686">
        <v>23875</v>
      </c>
      <c r="T1686">
        <v>970000</v>
      </c>
      <c r="U1686">
        <v>0</v>
      </c>
      <c r="V1686">
        <v>0</v>
      </c>
      <c r="W1686">
        <v>0</v>
      </c>
      <c r="X1686" s="367"/>
    </row>
    <row r="1687" spans="1:24">
      <c r="A1687" t="s">
        <v>2528</v>
      </c>
      <c r="B1687" t="s">
        <v>116</v>
      </c>
      <c r="C1687">
        <v>1</v>
      </c>
      <c r="D1687">
        <v>30000</v>
      </c>
      <c r="E1687">
        <v>149400000</v>
      </c>
      <c r="F1687">
        <v>4840</v>
      </c>
      <c r="G1687">
        <v>4980</v>
      </c>
      <c r="H1687">
        <v>4980</v>
      </c>
      <c r="I1687">
        <v>140</v>
      </c>
      <c r="J1687">
        <v>2.89</v>
      </c>
      <c r="K1687">
        <v>4980</v>
      </c>
      <c r="L1687">
        <v>140</v>
      </c>
      <c r="M1687">
        <v>2.89</v>
      </c>
      <c r="N1687">
        <v>4980</v>
      </c>
      <c r="O1687">
        <v>4980</v>
      </c>
      <c r="P1687">
        <v>1065</v>
      </c>
      <c r="Q1687">
        <v>4.68</v>
      </c>
      <c r="R1687">
        <v>39</v>
      </c>
      <c r="S1687">
        <v>7962777</v>
      </c>
      <c r="T1687">
        <v>4980</v>
      </c>
      <c r="U1687">
        <v>0</v>
      </c>
      <c r="V1687">
        <v>0</v>
      </c>
      <c r="W1687">
        <v>0</v>
      </c>
      <c r="X1687" s="367"/>
    </row>
    <row r="1688" spans="1:24">
      <c r="A1688" t="s">
        <v>8623</v>
      </c>
      <c r="B1688" t="s">
        <v>8624</v>
      </c>
      <c r="C1688">
        <v>2</v>
      </c>
      <c r="D1688">
        <v>57596000</v>
      </c>
      <c r="E1688">
        <v>49154442260000</v>
      </c>
      <c r="F1688">
        <v>843900</v>
      </c>
      <c r="G1688">
        <v>862970</v>
      </c>
      <c r="H1688">
        <v>843900</v>
      </c>
      <c r="I1688">
        <v>0</v>
      </c>
      <c r="J1688">
        <v>0</v>
      </c>
      <c r="K1688">
        <v>853435</v>
      </c>
      <c r="L1688">
        <v>9535</v>
      </c>
      <c r="M1688">
        <v>1.1299999999999999</v>
      </c>
      <c r="N1688">
        <v>843900</v>
      </c>
      <c r="O1688">
        <v>862970</v>
      </c>
      <c r="P1688" t="s">
        <v>192</v>
      </c>
      <c r="Q1688" t="s">
        <v>192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 s="367"/>
    </row>
    <row r="1689" spans="1:24">
      <c r="A1689" t="s">
        <v>7994</v>
      </c>
      <c r="B1689" t="s">
        <v>7995</v>
      </c>
      <c r="C1689">
        <v>0</v>
      </c>
      <c r="D1689">
        <v>0</v>
      </c>
      <c r="E1689">
        <v>0</v>
      </c>
      <c r="F1689">
        <v>26</v>
      </c>
      <c r="G1689">
        <v>0</v>
      </c>
      <c r="H1689">
        <v>23</v>
      </c>
      <c r="I1689">
        <v>-3</v>
      </c>
      <c r="J1689">
        <v>-11.54</v>
      </c>
      <c r="K1689">
        <v>26</v>
      </c>
      <c r="L1689">
        <v>0</v>
      </c>
      <c r="M1689">
        <v>0</v>
      </c>
      <c r="N1689">
        <v>0</v>
      </c>
      <c r="O1689">
        <v>0</v>
      </c>
      <c r="P1689" t="s">
        <v>192</v>
      </c>
      <c r="Q1689" t="s">
        <v>192</v>
      </c>
      <c r="R1689">
        <v>1</v>
      </c>
      <c r="S1689">
        <v>1</v>
      </c>
      <c r="T1689">
        <v>10</v>
      </c>
      <c r="U1689">
        <v>100</v>
      </c>
      <c r="V1689">
        <v>31</v>
      </c>
      <c r="W1689">
        <v>1</v>
      </c>
      <c r="X1689" s="367"/>
    </row>
    <row r="1690" spans="1:24">
      <c r="A1690" t="s">
        <v>5105</v>
      </c>
      <c r="B1690" t="s">
        <v>5106</v>
      </c>
      <c r="C1690">
        <v>254</v>
      </c>
      <c r="D1690">
        <v>24791004</v>
      </c>
      <c r="E1690">
        <v>700147153089</v>
      </c>
      <c r="F1690">
        <v>28191</v>
      </c>
      <c r="G1690">
        <v>28241</v>
      </c>
      <c r="H1690">
        <v>28245</v>
      </c>
      <c r="I1690">
        <v>54</v>
      </c>
      <c r="J1690">
        <v>0.19</v>
      </c>
      <c r="K1690">
        <v>28242</v>
      </c>
      <c r="L1690">
        <v>51</v>
      </c>
      <c r="M1690">
        <v>0.18</v>
      </c>
      <c r="N1690">
        <v>28241</v>
      </c>
      <c r="O1690">
        <v>28245</v>
      </c>
      <c r="P1690" t="s">
        <v>192</v>
      </c>
      <c r="Q1690" t="s">
        <v>192</v>
      </c>
      <c r="R1690">
        <v>7</v>
      </c>
      <c r="S1690">
        <v>525088</v>
      </c>
      <c r="T1690">
        <v>28244</v>
      </c>
      <c r="U1690">
        <v>28245</v>
      </c>
      <c r="V1690">
        <v>435902</v>
      </c>
      <c r="W1690">
        <v>1</v>
      </c>
      <c r="X1690" s="367"/>
    </row>
    <row r="1691" spans="1:24">
      <c r="A1691" t="s">
        <v>4206</v>
      </c>
      <c r="B1691" t="s">
        <v>4207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1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 t="s">
        <v>192</v>
      </c>
      <c r="Q1691" t="s">
        <v>192</v>
      </c>
      <c r="R1691">
        <v>1</v>
      </c>
      <c r="S1691">
        <v>100</v>
      </c>
      <c r="T1691">
        <v>1</v>
      </c>
      <c r="U1691">
        <v>0</v>
      </c>
      <c r="V1691">
        <v>0</v>
      </c>
      <c r="W1691">
        <v>0</v>
      </c>
      <c r="X1691" s="367"/>
    </row>
    <row r="1692" spans="1:24">
      <c r="A1692" t="s">
        <v>8822</v>
      </c>
      <c r="B1692" t="s">
        <v>2451</v>
      </c>
      <c r="C1692">
        <v>2</v>
      </c>
      <c r="D1692">
        <v>6000</v>
      </c>
      <c r="E1692">
        <v>98520000</v>
      </c>
      <c r="F1692">
        <v>16190</v>
      </c>
      <c r="G1692">
        <v>16420</v>
      </c>
      <c r="H1692">
        <v>16420</v>
      </c>
      <c r="I1692">
        <v>230</v>
      </c>
      <c r="J1692">
        <v>1.42</v>
      </c>
      <c r="K1692">
        <v>16420</v>
      </c>
      <c r="L1692">
        <v>230</v>
      </c>
      <c r="M1692">
        <v>1.42</v>
      </c>
      <c r="N1692">
        <v>16420</v>
      </c>
      <c r="O1692">
        <v>16420</v>
      </c>
      <c r="P1692">
        <v>3441</v>
      </c>
      <c r="Q1692">
        <v>4.7699999999999996</v>
      </c>
      <c r="R1692">
        <v>48</v>
      </c>
      <c r="S1692">
        <v>1865474</v>
      </c>
      <c r="T1692">
        <v>16420</v>
      </c>
      <c r="U1692">
        <v>0</v>
      </c>
      <c r="V1692">
        <v>0</v>
      </c>
      <c r="W1692">
        <v>0</v>
      </c>
      <c r="X1692" s="367"/>
    </row>
    <row r="1693" spans="1:24">
      <c r="A1693" t="s">
        <v>2642</v>
      </c>
      <c r="B1693" t="s">
        <v>2641</v>
      </c>
      <c r="C1693">
        <v>108</v>
      </c>
      <c r="D1693">
        <v>7097782</v>
      </c>
      <c r="E1693">
        <v>68138707200</v>
      </c>
      <c r="F1693">
        <v>9330</v>
      </c>
      <c r="G1693">
        <v>9600</v>
      </c>
      <c r="H1693">
        <v>9600</v>
      </c>
      <c r="I1693">
        <v>270</v>
      </c>
      <c r="J1693">
        <v>2.89</v>
      </c>
      <c r="K1693">
        <v>9600</v>
      </c>
      <c r="L1693">
        <v>270</v>
      </c>
      <c r="M1693">
        <v>2.89</v>
      </c>
      <c r="N1693">
        <v>9600</v>
      </c>
      <c r="O1693">
        <v>9600</v>
      </c>
      <c r="P1693">
        <v>1316</v>
      </c>
      <c r="Q1693">
        <v>7.29</v>
      </c>
      <c r="R1693">
        <v>136</v>
      </c>
      <c r="S1693">
        <v>12303315</v>
      </c>
      <c r="T1693">
        <v>9600</v>
      </c>
      <c r="U1693">
        <v>0</v>
      </c>
      <c r="V1693">
        <v>0</v>
      </c>
      <c r="W1693">
        <v>0</v>
      </c>
      <c r="X1693" s="367"/>
    </row>
    <row r="1694" spans="1:24">
      <c r="A1694" t="s">
        <v>2766</v>
      </c>
      <c r="B1694" t="s">
        <v>2765</v>
      </c>
      <c r="C1694">
        <v>150</v>
      </c>
      <c r="D1694">
        <v>14915343</v>
      </c>
      <c r="E1694">
        <v>25206929670</v>
      </c>
      <c r="F1694">
        <v>1641</v>
      </c>
      <c r="G1694">
        <v>1690</v>
      </c>
      <c r="H1694">
        <v>1690</v>
      </c>
      <c r="I1694">
        <v>49</v>
      </c>
      <c r="J1694">
        <v>2.99</v>
      </c>
      <c r="K1694">
        <v>1690</v>
      </c>
      <c r="L1694">
        <v>49</v>
      </c>
      <c r="M1694">
        <v>2.99</v>
      </c>
      <c r="N1694">
        <v>1690</v>
      </c>
      <c r="O1694">
        <v>1690</v>
      </c>
      <c r="P1694">
        <v>292</v>
      </c>
      <c r="Q1694">
        <v>5.79</v>
      </c>
      <c r="R1694">
        <v>60</v>
      </c>
      <c r="S1694">
        <v>6215421</v>
      </c>
      <c r="T1694">
        <v>1690</v>
      </c>
      <c r="U1694">
        <v>0</v>
      </c>
      <c r="V1694">
        <v>0</v>
      </c>
      <c r="W1694">
        <v>0</v>
      </c>
      <c r="X1694" s="367"/>
    </row>
    <row r="1695" spans="1:24">
      <c r="A1695" t="s">
        <v>2096</v>
      </c>
      <c r="B1695" t="s">
        <v>2095</v>
      </c>
      <c r="C1695">
        <v>912</v>
      </c>
      <c r="D1695">
        <v>3876168</v>
      </c>
      <c r="E1695">
        <v>192416492770</v>
      </c>
      <c r="F1695">
        <v>48250</v>
      </c>
      <c r="G1695">
        <v>49680</v>
      </c>
      <c r="H1695">
        <v>49690</v>
      </c>
      <c r="I1695">
        <v>1440</v>
      </c>
      <c r="J1695">
        <v>2.98</v>
      </c>
      <c r="K1695">
        <v>49640</v>
      </c>
      <c r="L1695">
        <v>1390</v>
      </c>
      <c r="M1695">
        <v>2.88</v>
      </c>
      <c r="N1695">
        <v>49000</v>
      </c>
      <c r="O1695">
        <v>49690</v>
      </c>
      <c r="P1695">
        <v>7006</v>
      </c>
      <c r="Q1695">
        <v>7.09</v>
      </c>
      <c r="R1695">
        <v>3</v>
      </c>
      <c r="S1695">
        <v>21000</v>
      </c>
      <c r="T1695">
        <v>49690</v>
      </c>
      <c r="U1695">
        <v>49770</v>
      </c>
      <c r="V1695">
        <v>260</v>
      </c>
      <c r="W1695">
        <v>2</v>
      </c>
      <c r="X1695" s="367"/>
    </row>
    <row r="1696" spans="1:24">
      <c r="A1696" t="s">
        <v>5002</v>
      </c>
      <c r="B1696" t="s">
        <v>5003</v>
      </c>
      <c r="C1696">
        <v>7</v>
      </c>
      <c r="D1696">
        <v>11000000</v>
      </c>
      <c r="E1696">
        <v>11000000</v>
      </c>
      <c r="F1696">
        <v>23552</v>
      </c>
      <c r="G1696">
        <v>1</v>
      </c>
      <c r="H1696">
        <v>1</v>
      </c>
      <c r="I1696">
        <v>-23551</v>
      </c>
      <c r="J1696">
        <v>-100</v>
      </c>
      <c r="K1696">
        <v>1</v>
      </c>
      <c r="L1696">
        <v>-23551</v>
      </c>
      <c r="M1696">
        <v>-100</v>
      </c>
      <c r="N1696">
        <v>1</v>
      </c>
      <c r="O1696">
        <v>1</v>
      </c>
      <c r="P1696" t="s">
        <v>192</v>
      </c>
      <c r="Q1696" t="s">
        <v>192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 s="367"/>
    </row>
    <row r="1697" spans="1:24">
      <c r="A1697" t="s">
        <v>95</v>
      </c>
      <c r="B1697" t="s">
        <v>94</v>
      </c>
      <c r="C1697">
        <v>8085</v>
      </c>
      <c r="D1697">
        <v>610461046</v>
      </c>
      <c r="E1697">
        <v>1718903937708</v>
      </c>
      <c r="F1697">
        <v>2839</v>
      </c>
      <c r="G1697">
        <v>2754</v>
      </c>
      <c r="H1697">
        <v>2826</v>
      </c>
      <c r="I1697">
        <v>-13</v>
      </c>
      <c r="J1697">
        <v>-0.46</v>
      </c>
      <c r="K1697">
        <v>2816</v>
      </c>
      <c r="L1697">
        <v>-23</v>
      </c>
      <c r="M1697">
        <v>-0.81</v>
      </c>
      <c r="N1697">
        <v>2754</v>
      </c>
      <c r="O1697">
        <v>2920</v>
      </c>
      <c r="P1697">
        <v>352</v>
      </c>
      <c r="Q1697">
        <v>8</v>
      </c>
      <c r="R1697">
        <v>1</v>
      </c>
      <c r="S1697">
        <v>23931</v>
      </c>
      <c r="T1697">
        <v>2822</v>
      </c>
      <c r="U1697">
        <v>2826</v>
      </c>
      <c r="V1697">
        <v>776226</v>
      </c>
      <c r="W1697">
        <v>1</v>
      </c>
      <c r="X1697" s="367"/>
    </row>
    <row r="1698" spans="1:24">
      <c r="A1698" t="s">
        <v>2660</v>
      </c>
      <c r="B1698" t="s">
        <v>2659</v>
      </c>
      <c r="C1698">
        <v>855</v>
      </c>
      <c r="D1698">
        <v>57289276</v>
      </c>
      <c r="E1698">
        <v>488104631520</v>
      </c>
      <c r="F1698">
        <v>8280</v>
      </c>
      <c r="G1698">
        <v>8520</v>
      </c>
      <c r="H1698">
        <v>8520</v>
      </c>
      <c r="I1698">
        <v>240</v>
      </c>
      <c r="J1698">
        <v>2.9</v>
      </c>
      <c r="K1698">
        <v>8520</v>
      </c>
      <c r="L1698">
        <v>240</v>
      </c>
      <c r="M1698">
        <v>2.9</v>
      </c>
      <c r="N1698">
        <v>8520</v>
      </c>
      <c r="O1698">
        <v>8520</v>
      </c>
      <c r="P1698">
        <v>885</v>
      </c>
      <c r="Q1698">
        <v>9.6300000000000008</v>
      </c>
      <c r="R1698">
        <v>241</v>
      </c>
      <c r="S1698">
        <v>22058472</v>
      </c>
      <c r="T1698">
        <v>8520</v>
      </c>
      <c r="U1698">
        <v>8530</v>
      </c>
      <c r="V1698">
        <v>102000</v>
      </c>
      <c r="W1698">
        <v>2</v>
      </c>
      <c r="X1698" s="367"/>
    </row>
    <row r="1699" spans="1:24">
      <c r="A1699" t="s">
        <v>2292</v>
      </c>
      <c r="B1699" t="s">
        <v>2291</v>
      </c>
      <c r="C1699">
        <v>3798</v>
      </c>
      <c r="D1699">
        <v>43744881</v>
      </c>
      <c r="E1699">
        <v>1490775368350</v>
      </c>
      <c r="F1699">
        <v>33090</v>
      </c>
      <c r="G1699">
        <v>34080</v>
      </c>
      <c r="H1699">
        <v>34080</v>
      </c>
      <c r="I1699">
        <v>990</v>
      </c>
      <c r="J1699">
        <v>2.99</v>
      </c>
      <c r="K1699">
        <v>34080</v>
      </c>
      <c r="L1699">
        <v>990</v>
      </c>
      <c r="M1699">
        <v>2.99</v>
      </c>
      <c r="N1699">
        <v>33910</v>
      </c>
      <c r="O1699">
        <v>34080</v>
      </c>
      <c r="P1699">
        <v>9010</v>
      </c>
      <c r="Q1699">
        <v>3.78</v>
      </c>
      <c r="R1699">
        <v>308</v>
      </c>
      <c r="S1699">
        <v>5362433</v>
      </c>
      <c r="T1699">
        <v>34080</v>
      </c>
      <c r="U1699">
        <v>34220</v>
      </c>
      <c r="V1699">
        <v>149</v>
      </c>
      <c r="W1699">
        <v>1</v>
      </c>
      <c r="X1699" s="367"/>
    </row>
    <row r="1700" spans="1:24">
      <c r="A1700" t="s">
        <v>3526</v>
      </c>
      <c r="B1700" t="s">
        <v>8098</v>
      </c>
      <c r="C1700">
        <v>604</v>
      </c>
      <c r="D1700">
        <v>242649</v>
      </c>
      <c r="E1700">
        <v>44893533000</v>
      </c>
      <c r="F1700">
        <v>150</v>
      </c>
      <c r="G1700">
        <v>196</v>
      </c>
      <c r="H1700">
        <v>178</v>
      </c>
      <c r="I1700">
        <v>28</v>
      </c>
      <c r="J1700">
        <v>18.670000000000002</v>
      </c>
      <c r="K1700">
        <v>185</v>
      </c>
      <c r="L1700">
        <v>35</v>
      </c>
      <c r="M1700">
        <v>23.33</v>
      </c>
      <c r="N1700">
        <v>174</v>
      </c>
      <c r="O1700">
        <v>199</v>
      </c>
      <c r="P1700" t="s">
        <v>192</v>
      </c>
      <c r="Q1700" t="s">
        <v>192</v>
      </c>
      <c r="R1700">
        <v>5</v>
      </c>
      <c r="S1700">
        <v>1152</v>
      </c>
      <c r="T1700">
        <v>177</v>
      </c>
      <c r="U1700">
        <v>178</v>
      </c>
      <c r="V1700">
        <v>1170</v>
      </c>
      <c r="W1700">
        <v>2</v>
      </c>
      <c r="X1700" s="367"/>
    </row>
    <row r="1701" spans="1:24">
      <c r="A1701" t="s">
        <v>8823</v>
      </c>
      <c r="B1701" t="s">
        <v>2265</v>
      </c>
      <c r="C1701">
        <v>12</v>
      </c>
      <c r="D1701">
        <v>236119</v>
      </c>
      <c r="E1701">
        <v>2394246660</v>
      </c>
      <c r="F1701">
        <v>9850</v>
      </c>
      <c r="G1701">
        <v>10140</v>
      </c>
      <c r="H1701">
        <v>10140</v>
      </c>
      <c r="I1701">
        <v>290</v>
      </c>
      <c r="J1701">
        <v>2.94</v>
      </c>
      <c r="K1701">
        <v>10140</v>
      </c>
      <c r="L1701">
        <v>290</v>
      </c>
      <c r="M1701">
        <v>2.94</v>
      </c>
      <c r="N1701">
        <v>10140</v>
      </c>
      <c r="O1701">
        <v>10140</v>
      </c>
      <c r="P1701">
        <v>1225</v>
      </c>
      <c r="Q1701">
        <v>8.2799999999999994</v>
      </c>
      <c r="R1701">
        <v>0</v>
      </c>
      <c r="S1701">
        <v>0</v>
      </c>
      <c r="T1701">
        <v>0</v>
      </c>
      <c r="U1701">
        <v>10140</v>
      </c>
      <c r="V1701">
        <v>215514</v>
      </c>
      <c r="W1701">
        <v>4</v>
      </c>
      <c r="X1701" s="367"/>
    </row>
    <row r="1702" spans="1:24">
      <c r="A1702" t="s">
        <v>4364</v>
      </c>
      <c r="B1702" t="s">
        <v>4365</v>
      </c>
      <c r="C1702">
        <v>2236</v>
      </c>
      <c r="D1702">
        <v>114250</v>
      </c>
      <c r="E1702">
        <v>178063303000</v>
      </c>
      <c r="F1702">
        <v>2520</v>
      </c>
      <c r="G1702">
        <v>1200</v>
      </c>
      <c r="H1702">
        <v>1518</v>
      </c>
      <c r="I1702">
        <v>-1002</v>
      </c>
      <c r="J1702">
        <v>-39.76</v>
      </c>
      <c r="K1702">
        <v>1559</v>
      </c>
      <c r="L1702">
        <v>-961</v>
      </c>
      <c r="M1702">
        <v>-38.130000000000003</v>
      </c>
      <c r="N1702">
        <v>1200</v>
      </c>
      <c r="O1702">
        <v>2070</v>
      </c>
      <c r="P1702" t="s">
        <v>192</v>
      </c>
      <c r="Q1702" t="s">
        <v>192</v>
      </c>
      <c r="R1702">
        <v>2</v>
      </c>
      <c r="S1702">
        <v>44</v>
      </c>
      <c r="T1702">
        <v>1518</v>
      </c>
      <c r="U1702">
        <v>1536</v>
      </c>
      <c r="V1702">
        <v>11</v>
      </c>
      <c r="W1702">
        <v>1</v>
      </c>
      <c r="X1702" s="367"/>
    </row>
    <row r="1703" spans="1:24">
      <c r="A1703" t="s">
        <v>4360</v>
      </c>
      <c r="B1703" t="s">
        <v>4361</v>
      </c>
      <c r="C1703">
        <v>393</v>
      </c>
      <c r="D1703">
        <v>96564</v>
      </c>
      <c r="E1703">
        <v>2433860000</v>
      </c>
      <c r="F1703">
        <v>129</v>
      </c>
      <c r="G1703">
        <v>105</v>
      </c>
      <c r="H1703">
        <v>18</v>
      </c>
      <c r="I1703">
        <v>-111</v>
      </c>
      <c r="J1703">
        <v>-86.05</v>
      </c>
      <c r="K1703">
        <v>25</v>
      </c>
      <c r="L1703">
        <v>-104</v>
      </c>
      <c r="M1703">
        <v>-80.62</v>
      </c>
      <c r="N1703">
        <v>11</v>
      </c>
      <c r="O1703">
        <v>105</v>
      </c>
      <c r="P1703" t="s">
        <v>192</v>
      </c>
      <c r="Q1703" t="s">
        <v>192</v>
      </c>
      <c r="R1703">
        <v>1</v>
      </c>
      <c r="S1703">
        <v>48</v>
      </c>
      <c r="T1703">
        <v>16</v>
      </c>
      <c r="U1703">
        <v>29</v>
      </c>
      <c r="V1703">
        <v>1000</v>
      </c>
      <c r="W1703">
        <v>1</v>
      </c>
      <c r="X1703" s="367"/>
    </row>
    <row r="1704" spans="1:24">
      <c r="A1704" t="s">
        <v>7996</v>
      </c>
      <c r="B1704" t="s">
        <v>7997</v>
      </c>
      <c r="C1704">
        <v>30</v>
      </c>
      <c r="D1704">
        <v>13364</v>
      </c>
      <c r="E1704">
        <v>439728000</v>
      </c>
      <c r="F1704">
        <v>23</v>
      </c>
      <c r="G1704">
        <v>22</v>
      </c>
      <c r="H1704">
        <v>33</v>
      </c>
      <c r="I1704">
        <v>10</v>
      </c>
      <c r="J1704">
        <v>43.48</v>
      </c>
      <c r="K1704">
        <v>33</v>
      </c>
      <c r="L1704">
        <v>10</v>
      </c>
      <c r="M1704">
        <v>43.48</v>
      </c>
      <c r="N1704">
        <v>22</v>
      </c>
      <c r="O1704">
        <v>45</v>
      </c>
      <c r="P1704" t="s">
        <v>192</v>
      </c>
      <c r="Q1704" t="s">
        <v>192</v>
      </c>
      <c r="R1704">
        <v>2</v>
      </c>
      <c r="S1704">
        <v>1187</v>
      </c>
      <c r="T1704">
        <v>30</v>
      </c>
      <c r="U1704">
        <v>38</v>
      </c>
      <c r="V1704">
        <v>1000</v>
      </c>
      <c r="W1704">
        <v>1</v>
      </c>
      <c r="X1704" s="367"/>
    </row>
    <row r="1705" spans="1:24">
      <c r="A1705" t="s">
        <v>5110</v>
      </c>
      <c r="B1705" t="s">
        <v>5111</v>
      </c>
      <c r="C1705">
        <v>19</v>
      </c>
      <c r="D1705">
        <v>43278</v>
      </c>
      <c r="E1705">
        <v>553856693</v>
      </c>
      <c r="F1705">
        <v>12426</v>
      </c>
      <c r="G1705">
        <v>12780</v>
      </c>
      <c r="H1705">
        <v>12798</v>
      </c>
      <c r="I1705">
        <v>372</v>
      </c>
      <c r="J1705">
        <v>2.99</v>
      </c>
      <c r="K1705">
        <v>12798</v>
      </c>
      <c r="L1705">
        <v>372</v>
      </c>
      <c r="M1705">
        <v>2.99</v>
      </c>
      <c r="N1705">
        <v>12710</v>
      </c>
      <c r="O1705">
        <v>12798</v>
      </c>
      <c r="P1705" t="s">
        <v>192</v>
      </c>
      <c r="Q1705" t="s">
        <v>192</v>
      </c>
      <c r="R1705">
        <v>1</v>
      </c>
      <c r="S1705">
        <v>15000</v>
      </c>
      <c r="T1705">
        <v>12715</v>
      </c>
      <c r="U1705">
        <v>12798</v>
      </c>
      <c r="V1705">
        <v>187500</v>
      </c>
      <c r="W1705">
        <v>3</v>
      </c>
      <c r="X1705" s="367"/>
    </row>
    <row r="1706" spans="1:24">
      <c r="A1706" t="s">
        <v>2825</v>
      </c>
      <c r="B1706" t="s">
        <v>2824</v>
      </c>
      <c r="C1706">
        <v>284</v>
      </c>
      <c r="D1706">
        <v>2539187</v>
      </c>
      <c r="E1706">
        <v>26864598460</v>
      </c>
      <c r="F1706">
        <v>10280</v>
      </c>
      <c r="G1706">
        <v>10580</v>
      </c>
      <c r="H1706">
        <v>10580</v>
      </c>
      <c r="I1706">
        <v>300</v>
      </c>
      <c r="J1706">
        <v>2.92</v>
      </c>
      <c r="K1706">
        <v>10580</v>
      </c>
      <c r="L1706">
        <v>300</v>
      </c>
      <c r="M1706">
        <v>2.92</v>
      </c>
      <c r="N1706">
        <v>10580</v>
      </c>
      <c r="O1706">
        <v>10580</v>
      </c>
      <c r="P1706">
        <v>1926</v>
      </c>
      <c r="Q1706">
        <v>5.49</v>
      </c>
      <c r="R1706">
        <v>84</v>
      </c>
      <c r="S1706">
        <v>13105580</v>
      </c>
      <c r="T1706">
        <v>10580</v>
      </c>
      <c r="U1706">
        <v>0</v>
      </c>
      <c r="V1706">
        <v>0</v>
      </c>
      <c r="W1706">
        <v>0</v>
      </c>
      <c r="X1706" s="367"/>
    </row>
    <row r="1707" spans="1:24">
      <c r="A1707" t="s">
        <v>2054</v>
      </c>
      <c r="B1707" t="s">
        <v>2053</v>
      </c>
      <c r="C1707">
        <v>314</v>
      </c>
      <c r="D1707">
        <v>12993514</v>
      </c>
      <c r="E1707">
        <v>200230050740</v>
      </c>
      <c r="F1707">
        <v>14970</v>
      </c>
      <c r="G1707">
        <v>15410</v>
      </c>
      <c r="H1707">
        <v>15410</v>
      </c>
      <c r="I1707">
        <v>440</v>
      </c>
      <c r="J1707">
        <v>2.94</v>
      </c>
      <c r="K1707">
        <v>15410</v>
      </c>
      <c r="L1707">
        <v>440</v>
      </c>
      <c r="M1707">
        <v>2.94</v>
      </c>
      <c r="N1707">
        <v>15410</v>
      </c>
      <c r="O1707">
        <v>15410</v>
      </c>
      <c r="P1707">
        <v>2458</v>
      </c>
      <c r="Q1707">
        <v>6.27</v>
      </c>
      <c r="R1707">
        <v>294</v>
      </c>
      <c r="S1707">
        <v>16058941</v>
      </c>
      <c r="T1707">
        <v>15410</v>
      </c>
      <c r="U1707">
        <v>15810</v>
      </c>
      <c r="V1707">
        <v>46200</v>
      </c>
      <c r="W1707">
        <v>2</v>
      </c>
      <c r="X1707" s="367"/>
    </row>
    <row r="1708" spans="1:24">
      <c r="A1708" t="s">
        <v>3330</v>
      </c>
      <c r="B1708" t="s">
        <v>3331</v>
      </c>
      <c r="C1708">
        <v>0</v>
      </c>
      <c r="D1708">
        <v>0</v>
      </c>
      <c r="E1708">
        <v>0</v>
      </c>
      <c r="F1708">
        <v>1000000</v>
      </c>
      <c r="G1708">
        <v>0</v>
      </c>
      <c r="H1708">
        <v>1000000</v>
      </c>
      <c r="I1708">
        <v>0</v>
      </c>
      <c r="J1708">
        <v>0</v>
      </c>
      <c r="K1708">
        <v>1000000</v>
      </c>
      <c r="L1708">
        <v>0</v>
      </c>
      <c r="M1708">
        <v>0</v>
      </c>
      <c r="N1708">
        <v>0</v>
      </c>
      <c r="O1708">
        <v>0</v>
      </c>
      <c r="P1708" t="s">
        <v>192</v>
      </c>
      <c r="Q1708" t="s">
        <v>192</v>
      </c>
      <c r="R1708">
        <v>1</v>
      </c>
      <c r="S1708">
        <v>5000</v>
      </c>
      <c r="T1708">
        <v>995000</v>
      </c>
      <c r="U1708">
        <v>0</v>
      </c>
      <c r="V1708">
        <v>0</v>
      </c>
      <c r="W1708">
        <v>0</v>
      </c>
      <c r="X1708" s="367"/>
    </row>
    <row r="1709" spans="1:24">
      <c r="A1709" t="s">
        <v>3332</v>
      </c>
      <c r="B1709" t="s">
        <v>3333</v>
      </c>
      <c r="C1709">
        <v>0</v>
      </c>
      <c r="D1709">
        <v>0</v>
      </c>
      <c r="E1709">
        <v>0</v>
      </c>
      <c r="F1709">
        <v>1000000</v>
      </c>
      <c r="G1709">
        <v>0</v>
      </c>
      <c r="H1709">
        <v>1000000</v>
      </c>
      <c r="I1709">
        <v>0</v>
      </c>
      <c r="J1709">
        <v>0</v>
      </c>
      <c r="K1709">
        <v>1000000</v>
      </c>
      <c r="L1709">
        <v>0</v>
      </c>
      <c r="M1709">
        <v>0</v>
      </c>
      <c r="N1709">
        <v>0</v>
      </c>
      <c r="O1709">
        <v>0</v>
      </c>
      <c r="P1709" t="s">
        <v>192</v>
      </c>
      <c r="Q1709" t="s">
        <v>192</v>
      </c>
      <c r="R1709">
        <v>1</v>
      </c>
      <c r="S1709">
        <v>3600</v>
      </c>
      <c r="T1709">
        <v>1000000</v>
      </c>
      <c r="U1709">
        <v>0</v>
      </c>
      <c r="V1709">
        <v>0</v>
      </c>
      <c r="W1709">
        <v>0</v>
      </c>
      <c r="X1709" s="367"/>
    </row>
    <row r="1710" spans="1:24">
      <c r="A1710" t="s">
        <v>1896</v>
      </c>
      <c r="B1710" t="s">
        <v>1895</v>
      </c>
      <c r="C1710">
        <v>3865</v>
      </c>
      <c r="D1710">
        <v>175088764</v>
      </c>
      <c r="E1710">
        <v>5319196650320</v>
      </c>
      <c r="F1710">
        <v>29500</v>
      </c>
      <c r="G1710">
        <v>30380</v>
      </c>
      <c r="H1710">
        <v>30380</v>
      </c>
      <c r="I1710">
        <v>880</v>
      </c>
      <c r="J1710">
        <v>2.98</v>
      </c>
      <c r="K1710">
        <v>30380</v>
      </c>
      <c r="L1710">
        <v>880</v>
      </c>
      <c r="M1710">
        <v>2.98</v>
      </c>
      <c r="N1710">
        <v>30380</v>
      </c>
      <c r="O1710">
        <v>30380</v>
      </c>
      <c r="P1710">
        <v>2093</v>
      </c>
      <c r="Q1710">
        <v>14.52</v>
      </c>
      <c r="R1710">
        <v>3283</v>
      </c>
      <c r="S1710">
        <v>280973564</v>
      </c>
      <c r="T1710">
        <v>30380</v>
      </c>
      <c r="U1710">
        <v>30500</v>
      </c>
      <c r="V1710">
        <v>166</v>
      </c>
      <c r="W1710">
        <v>1</v>
      </c>
      <c r="X1710" s="367"/>
    </row>
    <row r="1711" spans="1:24">
      <c r="A1711" t="s">
        <v>3335</v>
      </c>
      <c r="B1711" t="s">
        <v>3336</v>
      </c>
      <c r="C1711">
        <v>0</v>
      </c>
      <c r="D1711">
        <v>0</v>
      </c>
      <c r="E1711">
        <v>0</v>
      </c>
      <c r="F1711">
        <v>1000000</v>
      </c>
      <c r="G1711">
        <v>0</v>
      </c>
      <c r="H1711">
        <v>1000000</v>
      </c>
      <c r="I1711">
        <v>0</v>
      </c>
      <c r="J1711">
        <v>0</v>
      </c>
      <c r="K1711">
        <v>1000000</v>
      </c>
      <c r="L1711">
        <v>0</v>
      </c>
      <c r="M1711">
        <v>0</v>
      </c>
      <c r="N1711">
        <v>0</v>
      </c>
      <c r="O1711">
        <v>0</v>
      </c>
      <c r="P1711" t="s">
        <v>192</v>
      </c>
      <c r="Q1711" t="s">
        <v>192</v>
      </c>
      <c r="R1711">
        <v>1</v>
      </c>
      <c r="S1711">
        <v>5000</v>
      </c>
      <c r="T1711">
        <v>1000000</v>
      </c>
      <c r="U1711">
        <v>0</v>
      </c>
      <c r="V1711">
        <v>0</v>
      </c>
      <c r="W1711">
        <v>0</v>
      </c>
      <c r="X1711" s="367"/>
    </row>
    <row r="1712" spans="1:24">
      <c r="A1712" t="s">
        <v>3337</v>
      </c>
      <c r="B1712" t="s">
        <v>3338</v>
      </c>
      <c r="C1712">
        <v>0</v>
      </c>
      <c r="D1712">
        <v>0</v>
      </c>
      <c r="E1712">
        <v>0</v>
      </c>
      <c r="F1712">
        <v>1011910</v>
      </c>
      <c r="G1712">
        <v>0</v>
      </c>
      <c r="H1712">
        <v>1000000</v>
      </c>
      <c r="I1712">
        <v>-11910</v>
      </c>
      <c r="J1712">
        <v>-1.18</v>
      </c>
      <c r="K1712">
        <v>1011910</v>
      </c>
      <c r="L1712">
        <v>0</v>
      </c>
      <c r="M1712">
        <v>0</v>
      </c>
      <c r="N1712">
        <v>0</v>
      </c>
      <c r="O1712">
        <v>0</v>
      </c>
      <c r="P1712" t="s">
        <v>192</v>
      </c>
      <c r="Q1712" t="s">
        <v>192</v>
      </c>
      <c r="R1712">
        <v>1</v>
      </c>
      <c r="S1712">
        <v>5000</v>
      </c>
      <c r="T1712">
        <v>995000</v>
      </c>
      <c r="U1712">
        <v>1004950</v>
      </c>
      <c r="V1712">
        <v>5000</v>
      </c>
      <c r="W1712">
        <v>1</v>
      </c>
      <c r="X1712" s="367"/>
    </row>
    <row r="1713" spans="1:24">
      <c r="A1713" t="s">
        <v>2935</v>
      </c>
      <c r="B1713" t="s">
        <v>2934</v>
      </c>
      <c r="C1713">
        <v>145</v>
      </c>
      <c r="D1713">
        <v>13079322</v>
      </c>
      <c r="E1713">
        <v>23755124471</v>
      </c>
      <c r="F1713">
        <v>1769</v>
      </c>
      <c r="G1713">
        <v>1795</v>
      </c>
      <c r="H1713">
        <v>1822</v>
      </c>
      <c r="I1713">
        <v>53</v>
      </c>
      <c r="J1713">
        <v>3</v>
      </c>
      <c r="K1713">
        <v>1816</v>
      </c>
      <c r="L1713">
        <v>47</v>
      </c>
      <c r="M1713">
        <v>2.66</v>
      </c>
      <c r="N1713">
        <v>1795</v>
      </c>
      <c r="O1713">
        <v>1822</v>
      </c>
      <c r="P1713">
        <v>710</v>
      </c>
      <c r="Q1713">
        <v>2.56</v>
      </c>
      <c r="R1713">
        <v>14</v>
      </c>
      <c r="S1713">
        <v>1048111</v>
      </c>
      <c r="T1713">
        <v>1822</v>
      </c>
      <c r="U1713">
        <v>0</v>
      </c>
      <c r="V1713">
        <v>0</v>
      </c>
      <c r="W1713">
        <v>0</v>
      </c>
      <c r="X1713" s="367"/>
    </row>
    <row r="1714" spans="1:24">
      <c r="A1714" t="s">
        <v>8824</v>
      </c>
      <c r="B1714" t="s">
        <v>3025</v>
      </c>
      <c r="C1714">
        <v>3</v>
      </c>
      <c r="D1714">
        <v>126396</v>
      </c>
      <c r="E1714">
        <v>561198240</v>
      </c>
      <c r="F1714">
        <v>4350</v>
      </c>
      <c r="G1714">
        <v>4440</v>
      </c>
      <c r="H1714">
        <v>4440</v>
      </c>
      <c r="I1714">
        <v>90</v>
      </c>
      <c r="J1714">
        <v>2.0699999999999998</v>
      </c>
      <c r="K1714">
        <v>4440</v>
      </c>
      <c r="L1714">
        <v>90</v>
      </c>
      <c r="M1714">
        <v>2.0699999999999998</v>
      </c>
      <c r="N1714">
        <v>4440</v>
      </c>
      <c r="O1714">
        <v>4440</v>
      </c>
      <c r="P1714">
        <v>841</v>
      </c>
      <c r="Q1714">
        <v>5.28</v>
      </c>
      <c r="R1714">
        <v>16</v>
      </c>
      <c r="S1714">
        <v>895042</v>
      </c>
      <c r="T1714">
        <v>4440</v>
      </c>
      <c r="U1714">
        <v>0</v>
      </c>
      <c r="V1714">
        <v>0</v>
      </c>
      <c r="W1714">
        <v>0</v>
      </c>
      <c r="X1714" s="367"/>
    </row>
    <row r="1715" spans="1:24">
      <c r="A1715" t="s">
        <v>3341</v>
      </c>
      <c r="B1715" t="s">
        <v>3342</v>
      </c>
      <c r="C1715">
        <v>5</v>
      </c>
      <c r="D1715">
        <v>220000</v>
      </c>
      <c r="E1715">
        <v>220000</v>
      </c>
      <c r="F1715">
        <v>24878</v>
      </c>
      <c r="G1715">
        <v>1</v>
      </c>
      <c r="H1715">
        <v>1</v>
      </c>
      <c r="I1715">
        <v>-24877</v>
      </c>
      <c r="J1715">
        <v>-100</v>
      </c>
      <c r="K1715">
        <v>1</v>
      </c>
      <c r="L1715">
        <v>-24877</v>
      </c>
      <c r="M1715">
        <v>-100</v>
      </c>
      <c r="N1715">
        <v>1</v>
      </c>
      <c r="O1715">
        <v>1</v>
      </c>
      <c r="P1715" t="s">
        <v>192</v>
      </c>
      <c r="Q1715" t="s">
        <v>192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 s="367"/>
    </row>
    <row r="1716" spans="1:24">
      <c r="A1716" t="s">
        <v>3343</v>
      </c>
      <c r="B1716" t="s">
        <v>3344</v>
      </c>
      <c r="C1716">
        <v>429</v>
      </c>
      <c r="D1716">
        <v>31356435</v>
      </c>
      <c r="E1716">
        <v>787801588607</v>
      </c>
      <c r="F1716">
        <v>25092</v>
      </c>
      <c r="G1716">
        <v>25124</v>
      </c>
      <c r="H1716">
        <v>25125</v>
      </c>
      <c r="I1716">
        <v>33</v>
      </c>
      <c r="J1716">
        <v>0.13</v>
      </c>
      <c r="K1716">
        <v>25124</v>
      </c>
      <c r="L1716">
        <v>32</v>
      </c>
      <c r="M1716">
        <v>0.13</v>
      </c>
      <c r="N1716">
        <v>25124</v>
      </c>
      <c r="O1716">
        <v>25125</v>
      </c>
      <c r="P1716" t="s">
        <v>192</v>
      </c>
      <c r="Q1716" t="s">
        <v>192</v>
      </c>
      <c r="R1716">
        <v>6</v>
      </c>
      <c r="S1716">
        <v>498552178</v>
      </c>
      <c r="T1716">
        <v>25124</v>
      </c>
      <c r="U1716">
        <v>25125</v>
      </c>
      <c r="V1716">
        <v>14985319</v>
      </c>
      <c r="W1716">
        <v>1</v>
      </c>
      <c r="X1716" s="367"/>
    </row>
    <row r="1717" spans="1:24">
      <c r="A1717" t="s">
        <v>2018</v>
      </c>
      <c r="B1717" t="s">
        <v>2017</v>
      </c>
      <c r="C1717">
        <v>323</v>
      </c>
      <c r="D1717">
        <v>96730</v>
      </c>
      <c r="E1717">
        <v>17208267000</v>
      </c>
      <c r="F1717">
        <v>172800</v>
      </c>
      <c r="G1717">
        <v>177900</v>
      </c>
      <c r="H1717">
        <v>177900</v>
      </c>
      <c r="I1717">
        <v>5100</v>
      </c>
      <c r="J1717">
        <v>2.95</v>
      </c>
      <c r="K1717">
        <v>177900</v>
      </c>
      <c r="L1717">
        <v>5100</v>
      </c>
      <c r="M1717">
        <v>2.95</v>
      </c>
      <c r="N1717">
        <v>177900</v>
      </c>
      <c r="O1717">
        <v>177900</v>
      </c>
      <c r="P1717">
        <v>20671</v>
      </c>
      <c r="Q1717">
        <v>8.61</v>
      </c>
      <c r="R1717">
        <v>269</v>
      </c>
      <c r="S1717">
        <v>727975</v>
      </c>
      <c r="T1717">
        <v>177900</v>
      </c>
      <c r="U1717">
        <v>0</v>
      </c>
      <c r="V1717">
        <v>0</v>
      </c>
      <c r="W1717">
        <v>0</v>
      </c>
      <c r="X1717" s="367"/>
    </row>
    <row r="1718" spans="1:24">
      <c r="A1718" t="s">
        <v>3345</v>
      </c>
      <c r="B1718" t="s">
        <v>3346</v>
      </c>
      <c r="C1718">
        <v>2</v>
      </c>
      <c r="D1718">
        <v>192082250</v>
      </c>
      <c r="E1718">
        <v>153762801536250</v>
      </c>
      <c r="F1718">
        <v>800210</v>
      </c>
      <c r="G1718">
        <v>800270</v>
      </c>
      <c r="H1718">
        <v>800740</v>
      </c>
      <c r="I1718">
        <v>530</v>
      </c>
      <c r="J1718">
        <v>7.0000000000000007E-2</v>
      </c>
      <c r="K1718">
        <v>800505</v>
      </c>
      <c r="L1718">
        <v>295</v>
      </c>
      <c r="M1718">
        <v>0.04</v>
      </c>
      <c r="N1718">
        <v>800270</v>
      </c>
      <c r="O1718">
        <v>800740</v>
      </c>
      <c r="P1718" t="s">
        <v>192</v>
      </c>
      <c r="Q1718" t="s">
        <v>192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 s="367"/>
    </row>
    <row r="1719" spans="1:24">
      <c r="A1719" t="s">
        <v>3347</v>
      </c>
      <c r="B1719" t="s">
        <v>3348</v>
      </c>
      <c r="C1719">
        <v>0</v>
      </c>
      <c r="D1719">
        <v>0</v>
      </c>
      <c r="E1719">
        <v>0</v>
      </c>
      <c r="F1719">
        <v>1000000</v>
      </c>
      <c r="G1719">
        <v>0</v>
      </c>
      <c r="H1719">
        <v>1000000</v>
      </c>
      <c r="I1719">
        <v>0</v>
      </c>
      <c r="J1719">
        <v>0</v>
      </c>
      <c r="K1719">
        <v>1000000</v>
      </c>
      <c r="L1719">
        <v>0</v>
      </c>
      <c r="M1719">
        <v>0</v>
      </c>
      <c r="N1719">
        <v>0</v>
      </c>
      <c r="O1719">
        <v>0</v>
      </c>
      <c r="P1719" t="s">
        <v>192</v>
      </c>
      <c r="Q1719" t="s">
        <v>192</v>
      </c>
      <c r="R1719">
        <v>1</v>
      </c>
      <c r="S1719">
        <v>5000</v>
      </c>
      <c r="T1719">
        <v>995000</v>
      </c>
      <c r="U1719">
        <v>1004000</v>
      </c>
      <c r="V1719">
        <v>5000</v>
      </c>
      <c r="W1719">
        <v>1</v>
      </c>
      <c r="X1719" s="367"/>
    </row>
    <row r="1720" spans="1:24">
      <c r="A1720" t="s">
        <v>2036</v>
      </c>
      <c r="B1720" t="s">
        <v>2035</v>
      </c>
      <c r="C1720">
        <v>249</v>
      </c>
      <c r="D1720">
        <v>5506588</v>
      </c>
      <c r="E1720">
        <v>105066064770</v>
      </c>
      <c r="F1720">
        <v>18550</v>
      </c>
      <c r="G1720">
        <v>18550</v>
      </c>
      <c r="H1720">
        <v>19090</v>
      </c>
      <c r="I1720">
        <v>540</v>
      </c>
      <c r="J1720">
        <v>2.91</v>
      </c>
      <c r="K1720">
        <v>19080</v>
      </c>
      <c r="L1720">
        <v>530</v>
      </c>
      <c r="M1720">
        <v>2.86</v>
      </c>
      <c r="N1720">
        <v>18550</v>
      </c>
      <c r="O1720">
        <v>19100</v>
      </c>
      <c r="P1720">
        <v>2511</v>
      </c>
      <c r="Q1720">
        <v>7.6</v>
      </c>
      <c r="R1720">
        <v>3</v>
      </c>
      <c r="S1720">
        <v>147085</v>
      </c>
      <c r="T1720">
        <v>19020</v>
      </c>
      <c r="U1720">
        <v>19090</v>
      </c>
      <c r="V1720">
        <v>204</v>
      </c>
      <c r="W1720">
        <v>1</v>
      </c>
      <c r="X1720" s="367"/>
    </row>
    <row r="1721" spans="1:24">
      <c r="A1721" t="s">
        <v>3349</v>
      </c>
      <c r="B1721" t="s">
        <v>3350</v>
      </c>
      <c r="C1721">
        <v>0</v>
      </c>
      <c r="D1721">
        <v>0</v>
      </c>
      <c r="E1721">
        <v>0</v>
      </c>
      <c r="F1721">
        <v>902500</v>
      </c>
      <c r="G1721">
        <v>0</v>
      </c>
      <c r="H1721">
        <v>902500</v>
      </c>
      <c r="I1721">
        <v>0</v>
      </c>
      <c r="J1721">
        <v>0</v>
      </c>
      <c r="K1721">
        <v>902500</v>
      </c>
      <c r="L1721">
        <v>0</v>
      </c>
      <c r="M1721">
        <v>0</v>
      </c>
      <c r="N1721">
        <v>0</v>
      </c>
      <c r="O1721">
        <v>0</v>
      </c>
      <c r="P1721" t="s">
        <v>192</v>
      </c>
      <c r="Q1721" t="s">
        <v>192</v>
      </c>
      <c r="R1721">
        <v>1</v>
      </c>
      <c r="S1721">
        <v>8750</v>
      </c>
      <c r="T1721">
        <v>902500</v>
      </c>
      <c r="U1721">
        <v>0</v>
      </c>
      <c r="V1721">
        <v>0</v>
      </c>
      <c r="W1721">
        <v>0</v>
      </c>
      <c r="X1721" s="367"/>
    </row>
    <row r="1722" spans="1:24">
      <c r="A1722" t="s">
        <v>2980</v>
      </c>
      <c r="B1722" t="s">
        <v>2979</v>
      </c>
      <c r="C1722">
        <v>502</v>
      </c>
      <c r="D1722">
        <v>74411249</v>
      </c>
      <c r="E1722">
        <v>162326016219</v>
      </c>
      <c r="F1722">
        <v>2124</v>
      </c>
      <c r="G1722">
        <v>2187</v>
      </c>
      <c r="H1722">
        <v>2176</v>
      </c>
      <c r="I1722">
        <v>52</v>
      </c>
      <c r="J1722">
        <v>2.4500000000000002</v>
      </c>
      <c r="K1722">
        <v>2181</v>
      </c>
      <c r="L1722">
        <v>57</v>
      </c>
      <c r="M1722">
        <v>2.68</v>
      </c>
      <c r="N1722">
        <v>2150</v>
      </c>
      <c r="O1722">
        <v>2187</v>
      </c>
      <c r="P1722">
        <v>199</v>
      </c>
      <c r="Q1722">
        <v>10.96</v>
      </c>
      <c r="R1722">
        <v>1</v>
      </c>
      <c r="S1722">
        <v>105736</v>
      </c>
      <c r="T1722">
        <v>2171</v>
      </c>
      <c r="U1722">
        <v>2176</v>
      </c>
      <c r="V1722">
        <v>416823</v>
      </c>
      <c r="W1722">
        <v>1</v>
      </c>
      <c r="X1722" s="367"/>
    </row>
    <row r="1723" spans="1:24">
      <c r="A1723" t="s">
        <v>2179</v>
      </c>
      <c r="B1723" t="s">
        <v>2178</v>
      </c>
      <c r="C1723">
        <v>28</v>
      </c>
      <c r="D1723">
        <v>286978</v>
      </c>
      <c r="E1723">
        <v>8655256480</v>
      </c>
      <c r="F1723">
        <v>29290</v>
      </c>
      <c r="G1723">
        <v>30160</v>
      </c>
      <c r="H1723">
        <v>30160</v>
      </c>
      <c r="I1723">
        <v>870</v>
      </c>
      <c r="J1723">
        <v>2.97</v>
      </c>
      <c r="K1723">
        <v>30160</v>
      </c>
      <c r="L1723">
        <v>870</v>
      </c>
      <c r="M1723">
        <v>2.97</v>
      </c>
      <c r="N1723">
        <v>30160</v>
      </c>
      <c r="O1723">
        <v>30160</v>
      </c>
      <c r="P1723">
        <v>4198</v>
      </c>
      <c r="Q1723">
        <v>7.18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 s="367"/>
    </row>
    <row r="1724" spans="1:24">
      <c r="A1724" t="s">
        <v>3351</v>
      </c>
      <c r="B1724" t="s">
        <v>3352</v>
      </c>
      <c r="C1724">
        <v>0</v>
      </c>
      <c r="D1724">
        <v>0</v>
      </c>
      <c r="E1724">
        <v>0</v>
      </c>
      <c r="F1724">
        <v>925000</v>
      </c>
      <c r="G1724">
        <v>0</v>
      </c>
      <c r="H1724">
        <v>925000</v>
      </c>
      <c r="I1724">
        <v>0</v>
      </c>
      <c r="J1724">
        <v>0</v>
      </c>
      <c r="K1724">
        <v>925000</v>
      </c>
      <c r="L1724">
        <v>0</v>
      </c>
      <c r="M1724">
        <v>0</v>
      </c>
      <c r="N1724">
        <v>0</v>
      </c>
      <c r="O1724">
        <v>0</v>
      </c>
      <c r="P1724" t="s">
        <v>192</v>
      </c>
      <c r="Q1724" t="s">
        <v>192</v>
      </c>
      <c r="R1724">
        <v>1</v>
      </c>
      <c r="S1724">
        <v>10000</v>
      </c>
      <c r="T1724">
        <v>897250</v>
      </c>
      <c r="U1724">
        <v>0</v>
      </c>
      <c r="V1724">
        <v>0</v>
      </c>
      <c r="W1724">
        <v>0</v>
      </c>
      <c r="X1724" s="367"/>
    </row>
    <row r="1725" spans="1:24">
      <c r="A1725" t="s">
        <v>8825</v>
      </c>
      <c r="B1725" t="s">
        <v>2573</v>
      </c>
      <c r="C1725">
        <v>20</v>
      </c>
      <c r="D1725">
        <v>325944</v>
      </c>
      <c r="E1725">
        <v>2421763920</v>
      </c>
      <c r="F1725">
        <v>7410</v>
      </c>
      <c r="G1725">
        <v>7430</v>
      </c>
      <c r="H1725">
        <v>7430</v>
      </c>
      <c r="I1725">
        <v>20</v>
      </c>
      <c r="J1725">
        <v>0.27</v>
      </c>
      <c r="K1725">
        <v>7430</v>
      </c>
      <c r="L1725">
        <v>20</v>
      </c>
      <c r="M1725">
        <v>0.27</v>
      </c>
      <c r="N1725">
        <v>7430</v>
      </c>
      <c r="O1725">
        <v>7430</v>
      </c>
      <c r="P1725">
        <v>1905</v>
      </c>
      <c r="Q1725">
        <v>3.9</v>
      </c>
      <c r="R1725">
        <v>0</v>
      </c>
      <c r="S1725">
        <v>0</v>
      </c>
      <c r="T1725">
        <v>0</v>
      </c>
      <c r="U1725">
        <v>7430</v>
      </c>
      <c r="V1725">
        <v>1741693</v>
      </c>
      <c r="W1725">
        <v>10</v>
      </c>
      <c r="X1725" s="367"/>
    </row>
    <row r="1726" spans="1:24">
      <c r="A1726" t="s">
        <v>2102</v>
      </c>
      <c r="B1726" t="s">
        <v>2101</v>
      </c>
      <c r="C1726">
        <v>981</v>
      </c>
      <c r="D1726">
        <v>319092043</v>
      </c>
      <c r="E1726">
        <v>410352367298</v>
      </c>
      <c r="F1726">
        <v>1249</v>
      </c>
      <c r="G1726">
        <v>1286</v>
      </c>
      <c r="H1726">
        <v>1286</v>
      </c>
      <c r="I1726">
        <v>37</v>
      </c>
      <c r="J1726">
        <v>2.96</v>
      </c>
      <c r="K1726">
        <v>1286</v>
      </c>
      <c r="L1726">
        <v>37</v>
      </c>
      <c r="M1726">
        <v>2.96</v>
      </c>
      <c r="N1726">
        <v>1286</v>
      </c>
      <c r="O1726">
        <v>1286</v>
      </c>
      <c r="P1726">
        <v>85</v>
      </c>
      <c r="Q1726">
        <v>15.13</v>
      </c>
      <c r="R1726">
        <v>1257</v>
      </c>
      <c r="S1726">
        <v>593950376</v>
      </c>
      <c r="T1726">
        <v>1286</v>
      </c>
      <c r="U1726">
        <v>0</v>
      </c>
      <c r="V1726">
        <v>0</v>
      </c>
      <c r="W1726">
        <v>0</v>
      </c>
      <c r="X1726" s="367"/>
    </row>
    <row r="1727" spans="1:24">
      <c r="A1727" t="s">
        <v>3354</v>
      </c>
      <c r="B1727" t="s">
        <v>3355</v>
      </c>
      <c r="C1727">
        <v>0</v>
      </c>
      <c r="D1727">
        <v>0</v>
      </c>
      <c r="E1727">
        <v>0</v>
      </c>
      <c r="F1727">
        <v>1000000</v>
      </c>
      <c r="G1727">
        <v>0</v>
      </c>
      <c r="H1727">
        <v>1000000</v>
      </c>
      <c r="I1727">
        <v>0</v>
      </c>
      <c r="J1727">
        <v>0</v>
      </c>
      <c r="K1727">
        <v>1000000</v>
      </c>
      <c r="L1727">
        <v>0</v>
      </c>
      <c r="M1727">
        <v>0</v>
      </c>
      <c r="N1727">
        <v>0</v>
      </c>
      <c r="O1727">
        <v>0</v>
      </c>
      <c r="P1727" t="s">
        <v>192</v>
      </c>
      <c r="Q1727" t="s">
        <v>192</v>
      </c>
      <c r="R1727">
        <v>1</v>
      </c>
      <c r="S1727">
        <v>7500</v>
      </c>
      <c r="T1727">
        <v>990000</v>
      </c>
      <c r="U1727">
        <v>1000000</v>
      </c>
      <c r="V1727">
        <v>7500</v>
      </c>
      <c r="W1727">
        <v>1</v>
      </c>
      <c r="X1727" s="367"/>
    </row>
    <row r="1728" spans="1:24">
      <c r="A1728" t="s">
        <v>2378</v>
      </c>
      <c r="B1728" t="s">
        <v>2377</v>
      </c>
      <c r="C1728">
        <v>288</v>
      </c>
      <c r="D1728">
        <v>8819222</v>
      </c>
      <c r="E1728">
        <v>114914462660</v>
      </c>
      <c r="F1728">
        <v>12660</v>
      </c>
      <c r="G1728">
        <v>13030</v>
      </c>
      <c r="H1728">
        <v>13030</v>
      </c>
      <c r="I1728">
        <v>370</v>
      </c>
      <c r="J1728">
        <v>2.92</v>
      </c>
      <c r="K1728">
        <v>13030</v>
      </c>
      <c r="L1728">
        <v>370</v>
      </c>
      <c r="M1728">
        <v>2.92</v>
      </c>
      <c r="N1728">
        <v>13030</v>
      </c>
      <c r="O1728">
        <v>13030</v>
      </c>
      <c r="P1728">
        <v>2572</v>
      </c>
      <c r="Q1728">
        <v>5.07</v>
      </c>
      <c r="R1728">
        <v>361</v>
      </c>
      <c r="S1728">
        <v>26003061</v>
      </c>
      <c r="T1728">
        <v>13030</v>
      </c>
      <c r="U1728">
        <v>0</v>
      </c>
      <c r="V1728">
        <v>0</v>
      </c>
      <c r="W1728">
        <v>0</v>
      </c>
      <c r="X1728" s="367"/>
    </row>
    <row r="1729" spans="1:24">
      <c r="A1729" t="s">
        <v>3358</v>
      </c>
      <c r="B1729" t="s">
        <v>3359</v>
      </c>
      <c r="C1729">
        <v>267</v>
      </c>
      <c r="D1729">
        <v>2678375</v>
      </c>
      <c r="E1729">
        <v>86782584696</v>
      </c>
      <c r="F1729">
        <v>32560</v>
      </c>
      <c r="G1729">
        <v>32700</v>
      </c>
      <c r="H1729">
        <v>32360</v>
      </c>
      <c r="I1729">
        <v>-200</v>
      </c>
      <c r="J1729">
        <v>-0.61</v>
      </c>
      <c r="K1729">
        <v>32401</v>
      </c>
      <c r="L1729">
        <v>-159</v>
      </c>
      <c r="M1729">
        <v>-0.49</v>
      </c>
      <c r="N1729">
        <v>32341</v>
      </c>
      <c r="O1729">
        <v>32700</v>
      </c>
      <c r="P1729" t="s">
        <v>192</v>
      </c>
      <c r="Q1729" t="s">
        <v>192</v>
      </c>
      <c r="R1729">
        <v>3</v>
      </c>
      <c r="S1729">
        <v>51194</v>
      </c>
      <c r="T1729">
        <v>32342</v>
      </c>
      <c r="U1729">
        <v>32360</v>
      </c>
      <c r="V1729">
        <v>26165</v>
      </c>
      <c r="W1729">
        <v>1</v>
      </c>
      <c r="X1729" s="367"/>
    </row>
    <row r="1730" spans="1:24">
      <c r="A1730" t="s">
        <v>3360</v>
      </c>
      <c r="B1730" t="s">
        <v>3361</v>
      </c>
      <c r="C1730">
        <v>421</v>
      </c>
      <c r="D1730">
        <v>2097540</v>
      </c>
      <c r="E1730">
        <v>33989881060</v>
      </c>
      <c r="F1730">
        <v>16124</v>
      </c>
      <c r="G1730">
        <v>16607</v>
      </c>
      <c r="H1730">
        <v>16260</v>
      </c>
      <c r="I1730">
        <v>136</v>
      </c>
      <c r="J1730">
        <v>0.84</v>
      </c>
      <c r="K1730">
        <v>16205</v>
      </c>
      <c r="L1730">
        <v>81</v>
      </c>
      <c r="M1730">
        <v>0.5</v>
      </c>
      <c r="N1730">
        <v>15642</v>
      </c>
      <c r="O1730">
        <v>16607</v>
      </c>
      <c r="P1730" t="s">
        <v>192</v>
      </c>
      <c r="Q1730" t="s">
        <v>192</v>
      </c>
      <c r="R1730">
        <v>2</v>
      </c>
      <c r="S1730">
        <v>18582</v>
      </c>
      <c r="T1730">
        <v>16260</v>
      </c>
      <c r="U1730">
        <v>16420</v>
      </c>
      <c r="V1730">
        <v>3053</v>
      </c>
      <c r="W1730">
        <v>1</v>
      </c>
      <c r="X1730" s="367"/>
    </row>
    <row r="1731" spans="1:24">
      <c r="A1731" t="s">
        <v>1801</v>
      </c>
      <c r="B1731" t="s">
        <v>1800</v>
      </c>
      <c r="C1731">
        <v>36</v>
      </c>
      <c r="D1731">
        <v>3831613</v>
      </c>
      <c r="E1731">
        <v>10709358335</v>
      </c>
      <c r="F1731">
        <v>2714</v>
      </c>
      <c r="G1731">
        <v>2795</v>
      </c>
      <c r="H1731">
        <v>2795</v>
      </c>
      <c r="I1731">
        <v>81</v>
      </c>
      <c r="J1731">
        <v>2.98</v>
      </c>
      <c r="K1731">
        <v>2795</v>
      </c>
      <c r="L1731">
        <v>81</v>
      </c>
      <c r="M1731">
        <v>2.98</v>
      </c>
      <c r="N1731">
        <v>2795</v>
      </c>
      <c r="O1731">
        <v>2795</v>
      </c>
      <c r="P1731">
        <v>385</v>
      </c>
      <c r="Q1731">
        <v>7.26</v>
      </c>
      <c r="R1731">
        <v>36</v>
      </c>
      <c r="S1731">
        <v>18467168</v>
      </c>
      <c r="T1731">
        <v>2795</v>
      </c>
      <c r="U1731">
        <v>0</v>
      </c>
      <c r="V1731">
        <v>0</v>
      </c>
      <c r="W1731">
        <v>0</v>
      </c>
      <c r="X1731" s="367"/>
    </row>
    <row r="1732" spans="1:24">
      <c r="A1732" t="s">
        <v>3362</v>
      </c>
      <c r="B1732" t="s">
        <v>3363</v>
      </c>
      <c r="C1732">
        <v>57</v>
      </c>
      <c r="D1732">
        <v>12068950</v>
      </c>
      <c r="E1732">
        <v>244759136908</v>
      </c>
      <c r="F1732">
        <v>20244</v>
      </c>
      <c r="G1732">
        <v>20280</v>
      </c>
      <c r="H1732">
        <v>20280</v>
      </c>
      <c r="I1732">
        <v>36</v>
      </c>
      <c r="J1732">
        <v>0.18</v>
      </c>
      <c r="K1732">
        <v>20280</v>
      </c>
      <c r="L1732">
        <v>36</v>
      </c>
      <c r="M1732">
        <v>0.18</v>
      </c>
      <c r="N1732">
        <v>20280</v>
      </c>
      <c r="O1732">
        <v>20281</v>
      </c>
      <c r="P1732" t="s">
        <v>192</v>
      </c>
      <c r="Q1732" t="s">
        <v>192</v>
      </c>
      <c r="R1732">
        <v>72</v>
      </c>
      <c r="S1732">
        <v>71773013</v>
      </c>
      <c r="T1732">
        <v>20280</v>
      </c>
      <c r="U1732">
        <v>20281</v>
      </c>
      <c r="V1732">
        <v>9188931</v>
      </c>
      <c r="W1732">
        <v>10</v>
      </c>
      <c r="X1732" s="367"/>
    </row>
    <row r="1733" spans="1:24">
      <c r="A1733" t="s">
        <v>3080</v>
      </c>
      <c r="B1733" t="s">
        <v>3079</v>
      </c>
      <c r="C1733">
        <v>560</v>
      </c>
      <c r="D1733">
        <v>14293929</v>
      </c>
      <c r="E1733">
        <v>63863305300</v>
      </c>
      <c r="F1733">
        <v>4350</v>
      </c>
      <c r="G1733">
        <v>4460</v>
      </c>
      <c r="H1733">
        <v>4480</v>
      </c>
      <c r="I1733">
        <v>130</v>
      </c>
      <c r="J1733">
        <v>2.99</v>
      </c>
      <c r="K1733">
        <v>4470</v>
      </c>
      <c r="L1733">
        <v>120</v>
      </c>
      <c r="M1733">
        <v>2.76</v>
      </c>
      <c r="N1733">
        <v>4330</v>
      </c>
      <c r="O1733">
        <v>4480</v>
      </c>
      <c r="P1733">
        <v>641</v>
      </c>
      <c r="Q1733">
        <v>6.97</v>
      </c>
      <c r="R1733">
        <v>3</v>
      </c>
      <c r="S1733">
        <v>42783</v>
      </c>
      <c r="T1733">
        <v>4480</v>
      </c>
      <c r="U1733">
        <v>0</v>
      </c>
      <c r="V1733">
        <v>0</v>
      </c>
      <c r="W1733">
        <v>0</v>
      </c>
      <c r="X1733" s="367"/>
    </row>
    <row r="1734" spans="1:24">
      <c r="A1734" t="s">
        <v>3364</v>
      </c>
      <c r="B1734" t="s">
        <v>3365</v>
      </c>
      <c r="C1734">
        <v>0</v>
      </c>
      <c r="D1734">
        <v>0</v>
      </c>
      <c r="E1734">
        <v>0</v>
      </c>
      <c r="F1734">
        <v>1000000</v>
      </c>
      <c r="G1734">
        <v>0</v>
      </c>
      <c r="H1734">
        <v>1000000</v>
      </c>
      <c r="I1734">
        <v>0</v>
      </c>
      <c r="J1734">
        <v>0</v>
      </c>
      <c r="K1734">
        <v>1000000</v>
      </c>
      <c r="L1734">
        <v>0</v>
      </c>
      <c r="M1734">
        <v>0</v>
      </c>
      <c r="N1734">
        <v>0</v>
      </c>
      <c r="O1734">
        <v>0</v>
      </c>
      <c r="P1734" t="s">
        <v>192</v>
      </c>
      <c r="Q1734" t="s">
        <v>192</v>
      </c>
      <c r="R1734">
        <v>1</v>
      </c>
      <c r="S1734">
        <v>5000</v>
      </c>
      <c r="T1734">
        <v>1000000</v>
      </c>
      <c r="U1734">
        <v>0</v>
      </c>
      <c r="V1734">
        <v>0</v>
      </c>
      <c r="W1734">
        <v>0</v>
      </c>
      <c r="X1734" s="367"/>
    </row>
    <row r="1735" spans="1:24">
      <c r="A1735" t="s">
        <v>8826</v>
      </c>
      <c r="B1735" t="s">
        <v>3108</v>
      </c>
      <c r="C1735">
        <v>5</v>
      </c>
      <c r="D1735">
        <v>352000</v>
      </c>
      <c r="E1735">
        <v>3329920000</v>
      </c>
      <c r="F1735">
        <v>9200</v>
      </c>
      <c r="G1735">
        <v>9460</v>
      </c>
      <c r="H1735">
        <v>9460</v>
      </c>
      <c r="I1735">
        <v>260</v>
      </c>
      <c r="J1735">
        <v>2.83</v>
      </c>
      <c r="K1735">
        <v>9460</v>
      </c>
      <c r="L1735">
        <v>260</v>
      </c>
      <c r="M1735">
        <v>2.83</v>
      </c>
      <c r="N1735">
        <v>9460</v>
      </c>
      <c r="O1735">
        <v>9460</v>
      </c>
      <c r="P1735">
        <v>3216</v>
      </c>
      <c r="Q1735">
        <v>2.94</v>
      </c>
      <c r="R1735">
        <v>31</v>
      </c>
      <c r="S1735">
        <v>2466493</v>
      </c>
      <c r="T1735">
        <v>9460</v>
      </c>
      <c r="U1735">
        <v>0</v>
      </c>
      <c r="V1735">
        <v>0</v>
      </c>
      <c r="W1735">
        <v>0</v>
      </c>
      <c r="X1735" s="367"/>
    </row>
    <row r="1736" spans="1:24">
      <c r="A1736" t="s">
        <v>3366</v>
      </c>
      <c r="B1736" t="s">
        <v>3367</v>
      </c>
      <c r="C1736">
        <v>0</v>
      </c>
      <c r="D1736">
        <v>0</v>
      </c>
      <c r="E1736">
        <v>0</v>
      </c>
      <c r="F1736">
        <v>2914110</v>
      </c>
      <c r="G1736">
        <v>0</v>
      </c>
      <c r="H1736">
        <v>2914110</v>
      </c>
      <c r="I1736">
        <v>0</v>
      </c>
      <c r="J1736">
        <v>0</v>
      </c>
      <c r="K1736">
        <v>2914110</v>
      </c>
      <c r="L1736">
        <v>0</v>
      </c>
      <c r="M1736">
        <v>0</v>
      </c>
      <c r="N1736">
        <v>0</v>
      </c>
      <c r="O1736">
        <v>0</v>
      </c>
      <c r="P1736" t="s">
        <v>192</v>
      </c>
      <c r="Q1736" t="s">
        <v>192</v>
      </c>
      <c r="R1736">
        <v>1</v>
      </c>
      <c r="S1736">
        <v>19270</v>
      </c>
      <c r="T1736">
        <v>2884950</v>
      </c>
      <c r="U1736">
        <v>2942500</v>
      </c>
      <c r="V1736">
        <v>19270</v>
      </c>
      <c r="W1736">
        <v>1</v>
      </c>
      <c r="X1736" s="367"/>
    </row>
    <row r="1737" spans="1:24">
      <c r="A1737" t="s">
        <v>2741</v>
      </c>
      <c r="B1737" t="s">
        <v>2740</v>
      </c>
      <c r="C1737">
        <v>245</v>
      </c>
      <c r="D1737">
        <v>19992219</v>
      </c>
      <c r="E1737">
        <v>111756504210</v>
      </c>
      <c r="F1737">
        <v>5430</v>
      </c>
      <c r="G1737">
        <v>5590</v>
      </c>
      <c r="H1737">
        <v>5590</v>
      </c>
      <c r="I1737">
        <v>160</v>
      </c>
      <c r="J1737">
        <v>2.95</v>
      </c>
      <c r="K1737">
        <v>5590</v>
      </c>
      <c r="L1737">
        <v>160</v>
      </c>
      <c r="M1737">
        <v>2.95</v>
      </c>
      <c r="N1737">
        <v>5590</v>
      </c>
      <c r="O1737">
        <v>5590</v>
      </c>
      <c r="P1737">
        <v>934</v>
      </c>
      <c r="Q1737">
        <v>5.99</v>
      </c>
      <c r="R1737">
        <v>27</v>
      </c>
      <c r="S1737">
        <v>3820099</v>
      </c>
      <c r="T1737">
        <v>5590</v>
      </c>
      <c r="U1737">
        <v>0</v>
      </c>
      <c r="V1737">
        <v>0</v>
      </c>
      <c r="W1737">
        <v>0</v>
      </c>
      <c r="X1737" s="367"/>
    </row>
    <row r="1738" spans="1:24">
      <c r="A1738" t="s">
        <v>3368</v>
      </c>
      <c r="B1738" t="s">
        <v>1918</v>
      </c>
      <c r="C1738">
        <v>3</v>
      </c>
      <c r="D1738">
        <v>7296</v>
      </c>
      <c r="E1738">
        <v>17247744</v>
      </c>
      <c r="F1738">
        <v>2297</v>
      </c>
      <c r="G1738">
        <v>2364</v>
      </c>
      <c r="H1738">
        <v>2364</v>
      </c>
      <c r="I1738">
        <v>67</v>
      </c>
      <c r="J1738">
        <v>2.92</v>
      </c>
      <c r="K1738">
        <v>2364</v>
      </c>
      <c r="L1738">
        <v>67</v>
      </c>
      <c r="M1738">
        <v>2.92</v>
      </c>
      <c r="N1738">
        <v>2364</v>
      </c>
      <c r="O1738">
        <v>2364</v>
      </c>
      <c r="P1738">
        <v>583</v>
      </c>
      <c r="Q1738">
        <v>4.05</v>
      </c>
      <c r="R1738">
        <v>1</v>
      </c>
      <c r="S1738">
        <v>9282</v>
      </c>
      <c r="T1738">
        <v>2364</v>
      </c>
      <c r="U1738">
        <v>0</v>
      </c>
      <c r="V1738">
        <v>0</v>
      </c>
      <c r="W1738">
        <v>0</v>
      </c>
      <c r="X1738" s="367"/>
    </row>
    <row r="1739" spans="1:24">
      <c r="A1739" t="s">
        <v>3369</v>
      </c>
      <c r="B1739" t="s">
        <v>3370</v>
      </c>
      <c r="C1739">
        <v>691</v>
      </c>
      <c r="D1739">
        <v>6851676</v>
      </c>
      <c r="E1739">
        <v>365920608456</v>
      </c>
      <c r="F1739">
        <v>51352</v>
      </c>
      <c r="G1739">
        <v>53406</v>
      </c>
      <c r="H1739">
        <v>53406</v>
      </c>
      <c r="I1739">
        <v>2054</v>
      </c>
      <c r="J1739">
        <v>4</v>
      </c>
      <c r="K1739">
        <v>53406</v>
      </c>
      <c r="L1739">
        <v>2054</v>
      </c>
      <c r="M1739">
        <v>4</v>
      </c>
      <c r="N1739">
        <v>53406</v>
      </c>
      <c r="O1739">
        <v>53406</v>
      </c>
      <c r="P1739" t="s">
        <v>192</v>
      </c>
      <c r="Q1739" t="s">
        <v>192</v>
      </c>
      <c r="R1739">
        <v>1482</v>
      </c>
      <c r="S1739">
        <v>92406326</v>
      </c>
      <c r="T1739">
        <v>53406</v>
      </c>
      <c r="U1739">
        <v>54295</v>
      </c>
      <c r="V1739">
        <v>200</v>
      </c>
      <c r="W1739">
        <v>1</v>
      </c>
      <c r="X1739" s="367"/>
    </row>
    <row r="1740" spans="1:24">
      <c r="A1740" t="s">
        <v>3371</v>
      </c>
      <c r="B1740" t="s">
        <v>3372</v>
      </c>
      <c r="C1740">
        <v>663</v>
      </c>
      <c r="D1740">
        <v>21708308</v>
      </c>
      <c r="E1740">
        <v>287586404848</v>
      </c>
      <c r="F1740">
        <v>13048</v>
      </c>
      <c r="G1740">
        <v>13180</v>
      </c>
      <c r="H1740">
        <v>13410</v>
      </c>
      <c r="I1740">
        <v>362</v>
      </c>
      <c r="J1740">
        <v>2.77</v>
      </c>
      <c r="K1740">
        <v>13248</v>
      </c>
      <c r="L1740">
        <v>200</v>
      </c>
      <c r="M1740">
        <v>1.53</v>
      </c>
      <c r="N1740">
        <v>13120</v>
      </c>
      <c r="O1740">
        <v>13418</v>
      </c>
      <c r="P1740" t="s">
        <v>192</v>
      </c>
      <c r="Q1740" t="s">
        <v>192</v>
      </c>
      <c r="R1740">
        <v>1</v>
      </c>
      <c r="S1740">
        <v>70000</v>
      </c>
      <c r="T1740">
        <v>13330</v>
      </c>
      <c r="U1740">
        <v>13414</v>
      </c>
      <c r="V1740">
        <v>51782</v>
      </c>
      <c r="W1740">
        <v>1</v>
      </c>
      <c r="X1740" s="367"/>
    </row>
    <row r="1741" spans="1:24">
      <c r="A1741" t="s">
        <v>2792</v>
      </c>
      <c r="B1741" t="s">
        <v>2791</v>
      </c>
      <c r="C1741">
        <v>66</v>
      </c>
      <c r="D1741">
        <v>1026539</v>
      </c>
      <c r="E1741">
        <v>8730122960</v>
      </c>
      <c r="F1741">
        <v>8270</v>
      </c>
      <c r="G1741">
        <v>8510</v>
      </c>
      <c r="H1741">
        <v>8470</v>
      </c>
      <c r="I1741">
        <v>200</v>
      </c>
      <c r="J1741">
        <v>2.42</v>
      </c>
      <c r="K1741">
        <v>8500</v>
      </c>
      <c r="L1741">
        <v>230</v>
      </c>
      <c r="M1741">
        <v>2.78</v>
      </c>
      <c r="N1741">
        <v>8460</v>
      </c>
      <c r="O1741">
        <v>8510</v>
      </c>
      <c r="P1741">
        <v>60</v>
      </c>
      <c r="Q1741">
        <v>141.66999999999999</v>
      </c>
      <c r="R1741">
        <v>1</v>
      </c>
      <c r="S1741">
        <v>10000</v>
      </c>
      <c r="T1741">
        <v>8330</v>
      </c>
      <c r="U1741">
        <v>8470</v>
      </c>
      <c r="V1741">
        <v>298</v>
      </c>
      <c r="W1741">
        <v>1</v>
      </c>
      <c r="X1741" s="367"/>
    </row>
    <row r="1742" spans="1:24">
      <c r="A1742" t="s">
        <v>3373</v>
      </c>
      <c r="B1742" t="s">
        <v>3374</v>
      </c>
      <c r="C1742">
        <v>643</v>
      </c>
      <c r="D1742">
        <v>7473808</v>
      </c>
      <c r="E1742">
        <v>202056710108</v>
      </c>
      <c r="F1742">
        <v>26748</v>
      </c>
      <c r="G1742">
        <v>27000</v>
      </c>
      <c r="H1742">
        <v>27070</v>
      </c>
      <c r="I1742">
        <v>322</v>
      </c>
      <c r="J1742">
        <v>1.2</v>
      </c>
      <c r="K1742">
        <v>27035</v>
      </c>
      <c r="L1742">
        <v>287</v>
      </c>
      <c r="M1742">
        <v>1.07</v>
      </c>
      <c r="N1742">
        <v>26992</v>
      </c>
      <c r="O1742">
        <v>27189</v>
      </c>
      <c r="P1742" t="s">
        <v>192</v>
      </c>
      <c r="Q1742" t="s">
        <v>192</v>
      </c>
      <c r="R1742">
        <v>2</v>
      </c>
      <c r="S1742">
        <v>13485</v>
      </c>
      <c r="T1742">
        <v>27036</v>
      </c>
      <c r="U1742">
        <v>27070</v>
      </c>
      <c r="V1742">
        <v>28403</v>
      </c>
      <c r="W1742">
        <v>1</v>
      </c>
      <c r="X1742" s="367"/>
    </row>
    <row r="1743" spans="1:24">
      <c r="A1743" t="s">
        <v>7764</v>
      </c>
      <c r="B1743" t="s">
        <v>7765</v>
      </c>
      <c r="C1743">
        <v>1</v>
      </c>
      <c r="D1743">
        <v>190000</v>
      </c>
      <c r="E1743">
        <v>170165900000</v>
      </c>
      <c r="F1743">
        <v>869530</v>
      </c>
      <c r="G1743">
        <v>895610</v>
      </c>
      <c r="H1743">
        <v>895610</v>
      </c>
      <c r="I1743">
        <v>26080</v>
      </c>
      <c r="J1743">
        <v>3</v>
      </c>
      <c r="K1743">
        <v>895610</v>
      </c>
      <c r="L1743">
        <v>26080</v>
      </c>
      <c r="M1743">
        <v>3</v>
      </c>
      <c r="N1743">
        <v>895610</v>
      </c>
      <c r="O1743">
        <v>895610</v>
      </c>
      <c r="P1743" t="s">
        <v>192</v>
      </c>
      <c r="Q1743" t="s">
        <v>192</v>
      </c>
      <c r="R1743">
        <v>0</v>
      </c>
      <c r="S1743">
        <v>0</v>
      </c>
      <c r="T1743">
        <v>0</v>
      </c>
      <c r="U1743">
        <v>870000</v>
      </c>
      <c r="V1743">
        <v>2000000</v>
      </c>
      <c r="W1743">
        <v>2</v>
      </c>
      <c r="X1743" s="367"/>
    </row>
    <row r="1744" spans="1:24">
      <c r="A1744" t="s">
        <v>2745</v>
      </c>
      <c r="B1744" t="s">
        <v>2744</v>
      </c>
      <c r="C1744">
        <v>244</v>
      </c>
      <c r="D1744">
        <v>24185112</v>
      </c>
      <c r="E1744">
        <v>69628937448</v>
      </c>
      <c r="F1744">
        <v>2796</v>
      </c>
      <c r="G1744">
        <v>2879</v>
      </c>
      <c r="H1744">
        <v>2879</v>
      </c>
      <c r="I1744">
        <v>83</v>
      </c>
      <c r="J1744">
        <v>2.97</v>
      </c>
      <c r="K1744">
        <v>2879</v>
      </c>
      <c r="L1744">
        <v>83</v>
      </c>
      <c r="M1744">
        <v>2.97</v>
      </c>
      <c r="N1744">
        <v>2879</v>
      </c>
      <c r="O1744">
        <v>2879</v>
      </c>
      <c r="P1744">
        <v>209</v>
      </c>
      <c r="Q1744">
        <v>13.78</v>
      </c>
      <c r="R1744">
        <v>13</v>
      </c>
      <c r="S1744">
        <v>922410</v>
      </c>
      <c r="T1744">
        <v>2879</v>
      </c>
      <c r="U1744">
        <v>0</v>
      </c>
      <c r="V1744">
        <v>0</v>
      </c>
      <c r="W1744">
        <v>0</v>
      </c>
      <c r="X1744" s="367"/>
    </row>
    <row r="1745" spans="1:24">
      <c r="A1745" t="s">
        <v>3377</v>
      </c>
      <c r="B1745" t="s">
        <v>3378</v>
      </c>
      <c r="C1745">
        <v>0</v>
      </c>
      <c r="D1745">
        <v>0</v>
      </c>
      <c r="E1745">
        <v>0</v>
      </c>
      <c r="F1745">
        <v>785000</v>
      </c>
      <c r="G1745">
        <v>0</v>
      </c>
      <c r="H1745">
        <v>785000</v>
      </c>
      <c r="I1745">
        <v>0</v>
      </c>
      <c r="J1745">
        <v>0</v>
      </c>
      <c r="K1745">
        <v>785000</v>
      </c>
      <c r="L1745">
        <v>0</v>
      </c>
      <c r="M1745">
        <v>0</v>
      </c>
      <c r="N1745">
        <v>0</v>
      </c>
      <c r="O1745">
        <v>0</v>
      </c>
      <c r="P1745" t="s">
        <v>192</v>
      </c>
      <c r="Q1745" t="s">
        <v>192</v>
      </c>
      <c r="R1745">
        <v>1</v>
      </c>
      <c r="S1745">
        <v>5000</v>
      </c>
      <c r="T1745">
        <v>775030</v>
      </c>
      <c r="U1745">
        <v>0</v>
      </c>
      <c r="V1745">
        <v>0</v>
      </c>
      <c r="W1745">
        <v>0</v>
      </c>
      <c r="X1745" s="367"/>
    </row>
    <row r="1746" spans="1:24">
      <c r="A1746" t="s">
        <v>3379</v>
      </c>
      <c r="B1746" t="s">
        <v>3380</v>
      </c>
      <c r="C1746">
        <v>109</v>
      </c>
      <c r="D1746">
        <v>10107743</v>
      </c>
      <c r="E1746">
        <v>154309193634</v>
      </c>
      <c r="F1746">
        <v>14823</v>
      </c>
      <c r="G1746">
        <v>15267</v>
      </c>
      <c r="H1746">
        <v>15267</v>
      </c>
      <c r="I1746">
        <v>444</v>
      </c>
      <c r="J1746">
        <v>3</v>
      </c>
      <c r="K1746">
        <v>15266</v>
      </c>
      <c r="L1746">
        <v>443</v>
      </c>
      <c r="M1746">
        <v>2.99</v>
      </c>
      <c r="N1746">
        <v>15102</v>
      </c>
      <c r="O1746">
        <v>15267</v>
      </c>
      <c r="P1746" t="s">
        <v>192</v>
      </c>
      <c r="Q1746" t="s">
        <v>192</v>
      </c>
      <c r="R1746">
        <v>31</v>
      </c>
      <c r="S1746">
        <v>1819851</v>
      </c>
      <c r="T1746">
        <v>15267</v>
      </c>
      <c r="U1746">
        <v>15635</v>
      </c>
      <c r="V1746">
        <v>330</v>
      </c>
      <c r="W1746">
        <v>1</v>
      </c>
      <c r="X1746" s="367"/>
    </row>
    <row r="1747" spans="1:24">
      <c r="A1747" t="s">
        <v>8639</v>
      </c>
      <c r="B1747" t="s">
        <v>8640</v>
      </c>
      <c r="C1747">
        <v>2</v>
      </c>
      <c r="D1747">
        <v>7950000</v>
      </c>
      <c r="E1747">
        <v>6618983175000</v>
      </c>
      <c r="F1747">
        <v>846140</v>
      </c>
      <c r="G1747">
        <v>832343</v>
      </c>
      <c r="H1747">
        <v>832810</v>
      </c>
      <c r="I1747">
        <v>-13330</v>
      </c>
      <c r="J1747">
        <v>-1.58</v>
      </c>
      <c r="K1747">
        <v>832576</v>
      </c>
      <c r="L1747">
        <v>-13564</v>
      </c>
      <c r="M1747">
        <v>-1.6</v>
      </c>
      <c r="N1747">
        <v>832343</v>
      </c>
      <c r="O1747">
        <v>832810</v>
      </c>
      <c r="P1747" t="s">
        <v>192</v>
      </c>
      <c r="Q1747" t="s">
        <v>192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 s="367"/>
    </row>
    <row r="1748" spans="1:24">
      <c r="A1748" t="s">
        <v>3381</v>
      </c>
      <c r="B1748" t="s">
        <v>3382</v>
      </c>
      <c r="C1748">
        <v>0</v>
      </c>
      <c r="D1748">
        <v>0</v>
      </c>
      <c r="E1748">
        <v>0</v>
      </c>
      <c r="F1748">
        <v>1000000</v>
      </c>
      <c r="G1748">
        <v>0</v>
      </c>
      <c r="H1748">
        <v>1000000</v>
      </c>
      <c r="I1748">
        <v>0</v>
      </c>
      <c r="J1748">
        <v>0</v>
      </c>
      <c r="K1748">
        <v>1000000</v>
      </c>
      <c r="L1748">
        <v>0</v>
      </c>
      <c r="M1748">
        <v>0</v>
      </c>
      <c r="N1748">
        <v>0</v>
      </c>
      <c r="O1748">
        <v>0</v>
      </c>
      <c r="P1748" t="s">
        <v>192</v>
      </c>
      <c r="Q1748" t="s">
        <v>192</v>
      </c>
      <c r="R1748">
        <v>1</v>
      </c>
      <c r="S1748">
        <v>5000</v>
      </c>
      <c r="T1748">
        <v>1000000</v>
      </c>
      <c r="U1748">
        <v>0</v>
      </c>
      <c r="V1748">
        <v>0</v>
      </c>
      <c r="W1748">
        <v>0</v>
      </c>
      <c r="X1748" s="367"/>
    </row>
    <row r="1749" spans="1:24">
      <c r="A1749" t="s">
        <v>107</v>
      </c>
      <c r="B1749" t="s">
        <v>106</v>
      </c>
      <c r="C1749">
        <v>493</v>
      </c>
      <c r="D1749">
        <v>3170722</v>
      </c>
      <c r="E1749">
        <v>145111374380</v>
      </c>
      <c r="F1749">
        <v>44440</v>
      </c>
      <c r="G1749">
        <v>45770</v>
      </c>
      <c r="H1749">
        <v>45770</v>
      </c>
      <c r="I1749">
        <v>1330</v>
      </c>
      <c r="J1749">
        <v>2.99</v>
      </c>
      <c r="K1749">
        <v>45770</v>
      </c>
      <c r="L1749">
        <v>1330</v>
      </c>
      <c r="M1749">
        <v>2.99</v>
      </c>
      <c r="N1749">
        <v>45000</v>
      </c>
      <c r="O1749">
        <v>45770</v>
      </c>
      <c r="P1749">
        <v>7903</v>
      </c>
      <c r="Q1749">
        <v>5.79</v>
      </c>
      <c r="R1749">
        <v>25</v>
      </c>
      <c r="S1749">
        <v>409587</v>
      </c>
      <c r="T1749">
        <v>45770</v>
      </c>
      <c r="U1749">
        <v>0</v>
      </c>
      <c r="V1749">
        <v>0</v>
      </c>
      <c r="W1749">
        <v>0</v>
      </c>
      <c r="X1749" s="367"/>
    </row>
    <row r="1750" spans="1:24">
      <c r="A1750" t="s">
        <v>3383</v>
      </c>
      <c r="B1750" t="s">
        <v>3384</v>
      </c>
      <c r="C1750">
        <v>0</v>
      </c>
      <c r="D1750">
        <v>0</v>
      </c>
      <c r="E1750">
        <v>0</v>
      </c>
      <c r="F1750">
        <v>1000000</v>
      </c>
      <c r="G1750">
        <v>0</v>
      </c>
      <c r="H1750">
        <v>1000000</v>
      </c>
      <c r="I1750">
        <v>0</v>
      </c>
      <c r="J1750">
        <v>0</v>
      </c>
      <c r="K1750">
        <v>1000000</v>
      </c>
      <c r="L1750">
        <v>0</v>
      </c>
      <c r="M1750">
        <v>0</v>
      </c>
      <c r="N1750">
        <v>0</v>
      </c>
      <c r="O1750">
        <v>0</v>
      </c>
      <c r="P1750" t="s">
        <v>192</v>
      </c>
      <c r="Q1750" t="s">
        <v>192</v>
      </c>
      <c r="R1750">
        <v>1</v>
      </c>
      <c r="S1750">
        <v>5000</v>
      </c>
      <c r="T1750">
        <v>999900</v>
      </c>
      <c r="U1750">
        <v>0</v>
      </c>
      <c r="V1750">
        <v>0</v>
      </c>
      <c r="W1750">
        <v>0</v>
      </c>
      <c r="X1750" s="367"/>
    </row>
    <row r="1751" spans="1:24">
      <c r="A1751" t="s">
        <v>8273</v>
      </c>
      <c r="B1751" t="s">
        <v>8274</v>
      </c>
      <c r="C1751">
        <v>26</v>
      </c>
      <c r="D1751">
        <v>601189</v>
      </c>
      <c r="E1751">
        <v>6308023077</v>
      </c>
      <c r="F1751">
        <v>10471</v>
      </c>
      <c r="G1751">
        <v>10493</v>
      </c>
      <c r="H1751">
        <v>10493</v>
      </c>
      <c r="I1751">
        <v>22</v>
      </c>
      <c r="J1751">
        <v>0.21</v>
      </c>
      <c r="K1751">
        <v>10493</v>
      </c>
      <c r="L1751">
        <v>22</v>
      </c>
      <c r="M1751">
        <v>0.21</v>
      </c>
      <c r="N1751">
        <v>10492</v>
      </c>
      <c r="O1751">
        <v>10493</v>
      </c>
      <c r="P1751" t="s">
        <v>192</v>
      </c>
      <c r="Q1751" t="s">
        <v>192</v>
      </c>
      <c r="R1751">
        <v>1</v>
      </c>
      <c r="S1751">
        <v>10000000</v>
      </c>
      <c r="T1751">
        <v>10492</v>
      </c>
      <c r="U1751">
        <v>10493</v>
      </c>
      <c r="V1751">
        <v>10000000</v>
      </c>
      <c r="W1751">
        <v>1</v>
      </c>
      <c r="X1751" s="367"/>
    </row>
    <row r="1752" spans="1:24">
      <c r="A1752" t="s">
        <v>3385</v>
      </c>
      <c r="B1752" t="s">
        <v>3386</v>
      </c>
      <c r="C1752">
        <v>58</v>
      </c>
      <c r="D1752">
        <v>5580826</v>
      </c>
      <c r="E1752">
        <v>89035884849</v>
      </c>
      <c r="F1752">
        <v>15490</v>
      </c>
      <c r="G1752">
        <v>15954</v>
      </c>
      <c r="H1752">
        <v>15954</v>
      </c>
      <c r="I1752">
        <v>464</v>
      </c>
      <c r="J1752">
        <v>3</v>
      </c>
      <c r="K1752">
        <v>15954</v>
      </c>
      <c r="L1752">
        <v>464</v>
      </c>
      <c r="M1752">
        <v>3</v>
      </c>
      <c r="N1752">
        <v>15712</v>
      </c>
      <c r="O1752">
        <v>15954</v>
      </c>
      <c r="P1752" t="s">
        <v>192</v>
      </c>
      <c r="Q1752" t="s">
        <v>192</v>
      </c>
      <c r="R1752">
        <v>4</v>
      </c>
      <c r="S1752">
        <v>66000</v>
      </c>
      <c r="T1752">
        <v>15954</v>
      </c>
      <c r="U1752">
        <v>0</v>
      </c>
      <c r="V1752">
        <v>0</v>
      </c>
      <c r="W1752">
        <v>0</v>
      </c>
      <c r="X1752" s="367"/>
    </row>
    <row r="1753" spans="1:24">
      <c r="A1753" t="s">
        <v>3041</v>
      </c>
      <c r="B1753" t="s">
        <v>3040</v>
      </c>
      <c r="C1753">
        <v>190</v>
      </c>
      <c r="D1753">
        <v>16150101</v>
      </c>
      <c r="E1753">
        <v>22975250745</v>
      </c>
      <c r="F1753">
        <v>1389</v>
      </c>
      <c r="G1753">
        <v>1381</v>
      </c>
      <c r="H1753">
        <v>1414</v>
      </c>
      <c r="I1753">
        <v>25</v>
      </c>
      <c r="J1753">
        <v>1.8</v>
      </c>
      <c r="K1753">
        <v>1423</v>
      </c>
      <c r="L1753">
        <v>34</v>
      </c>
      <c r="M1753">
        <v>2.4500000000000002</v>
      </c>
      <c r="N1753">
        <v>1381</v>
      </c>
      <c r="O1753">
        <v>1430</v>
      </c>
      <c r="P1753">
        <v>-23</v>
      </c>
      <c r="Q1753">
        <v>-61.87</v>
      </c>
      <c r="R1753">
        <v>1</v>
      </c>
      <c r="S1753">
        <v>116464</v>
      </c>
      <c r="T1753">
        <v>1414</v>
      </c>
      <c r="U1753">
        <v>1418</v>
      </c>
      <c r="V1753">
        <v>5000</v>
      </c>
      <c r="W1753">
        <v>1</v>
      </c>
      <c r="X1753" s="367"/>
    </row>
    <row r="1754" spans="1:24">
      <c r="A1754" t="s">
        <v>39</v>
      </c>
      <c r="B1754" t="s">
        <v>2309</v>
      </c>
      <c r="C1754">
        <v>2379</v>
      </c>
      <c r="D1754">
        <v>58859511</v>
      </c>
      <c r="E1754">
        <v>980585021790</v>
      </c>
      <c r="F1754">
        <v>16180</v>
      </c>
      <c r="G1754">
        <v>16660</v>
      </c>
      <c r="H1754">
        <v>16660</v>
      </c>
      <c r="I1754">
        <v>480</v>
      </c>
      <c r="J1754">
        <v>2.97</v>
      </c>
      <c r="K1754">
        <v>16660</v>
      </c>
      <c r="L1754">
        <v>480</v>
      </c>
      <c r="M1754">
        <v>2.97</v>
      </c>
      <c r="N1754">
        <v>16640</v>
      </c>
      <c r="O1754">
        <v>16660</v>
      </c>
      <c r="P1754">
        <v>2424</v>
      </c>
      <c r="Q1754">
        <v>6.87</v>
      </c>
      <c r="R1754">
        <v>57</v>
      </c>
      <c r="S1754">
        <v>2298291</v>
      </c>
      <c r="T1754">
        <v>16660</v>
      </c>
      <c r="U1754">
        <v>0</v>
      </c>
      <c r="V1754">
        <v>0</v>
      </c>
      <c r="W1754">
        <v>0</v>
      </c>
      <c r="X1754" s="367"/>
    </row>
    <row r="1755" spans="1:24">
      <c r="A1755" t="s">
        <v>3387</v>
      </c>
      <c r="B1755" t="s">
        <v>3388</v>
      </c>
      <c r="C1755">
        <v>1587</v>
      </c>
      <c r="D1755">
        <v>3898349</v>
      </c>
      <c r="E1755">
        <v>254352352662</v>
      </c>
      <c r="F1755">
        <v>65482</v>
      </c>
      <c r="G1755">
        <v>65701</v>
      </c>
      <c r="H1755">
        <v>65000</v>
      </c>
      <c r="I1755">
        <v>-482</v>
      </c>
      <c r="J1755">
        <v>-0.74</v>
      </c>
      <c r="K1755">
        <v>65246</v>
      </c>
      <c r="L1755">
        <v>-236</v>
      </c>
      <c r="M1755">
        <v>-0.36</v>
      </c>
      <c r="N1755">
        <v>64993</v>
      </c>
      <c r="O1755">
        <v>65801</v>
      </c>
      <c r="P1755" t="s">
        <v>192</v>
      </c>
      <c r="Q1755" t="s">
        <v>192</v>
      </c>
      <c r="R1755">
        <v>2</v>
      </c>
      <c r="S1755">
        <v>15022</v>
      </c>
      <c r="T1755">
        <v>64992</v>
      </c>
      <c r="U1755">
        <v>64993</v>
      </c>
      <c r="V1755">
        <v>36503</v>
      </c>
      <c r="W1755">
        <v>1</v>
      </c>
      <c r="X1755" s="367"/>
    </row>
    <row r="1756" spans="1:24">
      <c r="A1756" t="s">
        <v>3389</v>
      </c>
      <c r="B1756" t="s">
        <v>3390</v>
      </c>
      <c r="C1756">
        <v>0</v>
      </c>
      <c r="D1756">
        <v>0</v>
      </c>
      <c r="E1756">
        <v>0</v>
      </c>
      <c r="F1756">
        <v>1000000</v>
      </c>
      <c r="G1756">
        <v>0</v>
      </c>
      <c r="H1756">
        <v>1000000</v>
      </c>
      <c r="I1756">
        <v>0</v>
      </c>
      <c r="J1756">
        <v>0</v>
      </c>
      <c r="K1756">
        <v>1000000</v>
      </c>
      <c r="L1756">
        <v>0</v>
      </c>
      <c r="M1756">
        <v>0</v>
      </c>
      <c r="N1756">
        <v>0</v>
      </c>
      <c r="O1756">
        <v>0</v>
      </c>
      <c r="P1756" t="s">
        <v>192</v>
      </c>
      <c r="Q1756" t="s">
        <v>192</v>
      </c>
      <c r="R1756">
        <v>1</v>
      </c>
      <c r="S1756">
        <v>5000</v>
      </c>
      <c r="T1756">
        <v>990000</v>
      </c>
      <c r="U1756">
        <v>1000000</v>
      </c>
      <c r="V1756">
        <v>5000</v>
      </c>
      <c r="W1756">
        <v>1</v>
      </c>
      <c r="X1756" s="367"/>
    </row>
    <row r="1757" spans="1:24">
      <c r="A1757" t="s">
        <v>3391</v>
      </c>
      <c r="B1757" t="s">
        <v>3392</v>
      </c>
      <c r="C1757">
        <v>264</v>
      </c>
      <c r="D1757">
        <v>3758907</v>
      </c>
      <c r="E1757">
        <v>86266915650</v>
      </c>
      <c r="F1757">
        <v>22290</v>
      </c>
      <c r="G1757">
        <v>22950</v>
      </c>
      <c r="H1757">
        <v>22950</v>
      </c>
      <c r="I1757">
        <v>660</v>
      </c>
      <c r="J1757">
        <v>2.96</v>
      </c>
      <c r="K1757">
        <v>22950</v>
      </c>
      <c r="L1757">
        <v>660</v>
      </c>
      <c r="M1757">
        <v>2.96</v>
      </c>
      <c r="N1757">
        <v>22950</v>
      </c>
      <c r="O1757">
        <v>22950</v>
      </c>
      <c r="P1757">
        <v>3386</v>
      </c>
      <c r="Q1757">
        <v>6.78</v>
      </c>
      <c r="R1757">
        <v>142</v>
      </c>
      <c r="S1757">
        <v>3579264</v>
      </c>
      <c r="T1757">
        <v>22950</v>
      </c>
      <c r="U1757">
        <v>0</v>
      </c>
      <c r="V1757">
        <v>0</v>
      </c>
      <c r="W1757">
        <v>0</v>
      </c>
      <c r="X1757" s="367"/>
    </row>
    <row r="1758" spans="1:24">
      <c r="A1758" t="s">
        <v>3393</v>
      </c>
      <c r="B1758" t="s">
        <v>3394</v>
      </c>
      <c r="C1758">
        <v>0</v>
      </c>
      <c r="D1758">
        <v>0</v>
      </c>
      <c r="E1758">
        <v>0</v>
      </c>
      <c r="F1758">
        <v>1000000</v>
      </c>
      <c r="G1758">
        <v>0</v>
      </c>
      <c r="H1758">
        <v>1000000</v>
      </c>
      <c r="I1758">
        <v>0</v>
      </c>
      <c r="J1758">
        <v>0</v>
      </c>
      <c r="K1758">
        <v>1000000</v>
      </c>
      <c r="L1758">
        <v>0</v>
      </c>
      <c r="M1758">
        <v>0</v>
      </c>
      <c r="N1758">
        <v>0</v>
      </c>
      <c r="O1758">
        <v>0</v>
      </c>
      <c r="P1758" t="s">
        <v>192</v>
      </c>
      <c r="Q1758" t="s">
        <v>192</v>
      </c>
      <c r="R1758">
        <v>1</v>
      </c>
      <c r="S1758">
        <v>7500</v>
      </c>
      <c r="T1758">
        <v>1000000</v>
      </c>
      <c r="U1758">
        <v>0</v>
      </c>
      <c r="V1758">
        <v>0</v>
      </c>
      <c r="W1758">
        <v>0</v>
      </c>
      <c r="X1758" s="367"/>
    </row>
    <row r="1759" spans="1:24">
      <c r="A1759" t="s">
        <v>8827</v>
      </c>
      <c r="B1759" t="s">
        <v>2498</v>
      </c>
      <c r="C1759">
        <v>32</v>
      </c>
      <c r="D1759">
        <v>1912955</v>
      </c>
      <c r="E1759">
        <v>10062143300</v>
      </c>
      <c r="F1759">
        <v>5190</v>
      </c>
      <c r="G1759">
        <v>5260</v>
      </c>
      <c r="H1759">
        <v>5260</v>
      </c>
      <c r="I1759">
        <v>70</v>
      </c>
      <c r="J1759">
        <v>1.35</v>
      </c>
      <c r="K1759">
        <v>5260</v>
      </c>
      <c r="L1759">
        <v>70</v>
      </c>
      <c r="M1759">
        <v>1.35</v>
      </c>
      <c r="N1759">
        <v>5260</v>
      </c>
      <c r="O1759">
        <v>5260</v>
      </c>
      <c r="P1759">
        <v>1339</v>
      </c>
      <c r="Q1759">
        <v>3.93</v>
      </c>
      <c r="R1759">
        <v>4</v>
      </c>
      <c r="S1759">
        <v>423279</v>
      </c>
      <c r="T1759">
        <v>5260</v>
      </c>
      <c r="U1759">
        <v>0</v>
      </c>
      <c r="V1759">
        <v>0</v>
      </c>
      <c r="W1759">
        <v>0</v>
      </c>
      <c r="X1759" s="367"/>
    </row>
    <row r="1760" spans="1:24">
      <c r="A1760" t="s">
        <v>2889</v>
      </c>
      <c r="B1760" t="s">
        <v>2888</v>
      </c>
      <c r="C1760">
        <v>1417</v>
      </c>
      <c r="D1760">
        <v>98103263</v>
      </c>
      <c r="E1760">
        <v>343575923850</v>
      </c>
      <c r="F1760">
        <v>3430</v>
      </c>
      <c r="G1760">
        <v>3520</v>
      </c>
      <c r="H1760">
        <v>3500</v>
      </c>
      <c r="I1760">
        <v>70</v>
      </c>
      <c r="J1760">
        <v>2.04</v>
      </c>
      <c r="K1760">
        <v>3500</v>
      </c>
      <c r="L1760">
        <v>70</v>
      </c>
      <c r="M1760">
        <v>2.04</v>
      </c>
      <c r="N1760">
        <v>3430</v>
      </c>
      <c r="O1760">
        <v>3530</v>
      </c>
      <c r="P1760">
        <v>435</v>
      </c>
      <c r="Q1760">
        <v>8.0500000000000007</v>
      </c>
      <c r="R1760">
        <v>2</v>
      </c>
      <c r="S1760">
        <v>215914</v>
      </c>
      <c r="T1760">
        <v>3490</v>
      </c>
      <c r="U1760">
        <v>3500</v>
      </c>
      <c r="V1760">
        <v>817800</v>
      </c>
      <c r="W1760">
        <v>3</v>
      </c>
      <c r="X1760" s="367"/>
    </row>
    <row r="1761" spans="1:24">
      <c r="A1761" t="s">
        <v>3395</v>
      </c>
      <c r="B1761" t="s">
        <v>3396</v>
      </c>
      <c r="C1761">
        <v>0</v>
      </c>
      <c r="D1761">
        <v>0</v>
      </c>
      <c r="E1761">
        <v>0</v>
      </c>
      <c r="F1761">
        <v>1183994</v>
      </c>
      <c r="G1761">
        <v>0</v>
      </c>
      <c r="H1761">
        <v>1183994</v>
      </c>
      <c r="I1761">
        <v>0</v>
      </c>
      <c r="J1761">
        <v>0</v>
      </c>
      <c r="K1761">
        <v>1183994</v>
      </c>
      <c r="L1761">
        <v>0</v>
      </c>
      <c r="M1761">
        <v>0</v>
      </c>
      <c r="N1761">
        <v>0</v>
      </c>
      <c r="O1761">
        <v>0</v>
      </c>
      <c r="P1761" t="s">
        <v>192</v>
      </c>
      <c r="Q1761" t="s">
        <v>192</v>
      </c>
      <c r="R1761">
        <v>5</v>
      </c>
      <c r="S1761">
        <v>387940</v>
      </c>
      <c r="T1761">
        <v>1174500</v>
      </c>
      <c r="U1761">
        <v>1197990</v>
      </c>
      <c r="V1761">
        <v>387940</v>
      </c>
      <c r="W1761">
        <v>5</v>
      </c>
      <c r="X1761" s="367"/>
    </row>
    <row r="1762" spans="1:24">
      <c r="A1762" t="s">
        <v>3007</v>
      </c>
      <c r="B1762" t="s">
        <v>3005</v>
      </c>
      <c r="C1762">
        <v>2</v>
      </c>
      <c r="D1762">
        <v>20000</v>
      </c>
      <c r="E1762">
        <v>102200000</v>
      </c>
      <c r="F1762">
        <v>4970</v>
      </c>
      <c r="G1762">
        <v>5110</v>
      </c>
      <c r="H1762">
        <v>5110</v>
      </c>
      <c r="I1762">
        <v>140</v>
      </c>
      <c r="J1762">
        <v>2.82</v>
      </c>
      <c r="K1762">
        <v>5110</v>
      </c>
      <c r="L1762">
        <v>140</v>
      </c>
      <c r="M1762">
        <v>2.82</v>
      </c>
      <c r="N1762">
        <v>5110</v>
      </c>
      <c r="O1762">
        <v>5110</v>
      </c>
      <c r="P1762">
        <v>1251</v>
      </c>
      <c r="Q1762">
        <v>4.08</v>
      </c>
      <c r="R1762">
        <v>27</v>
      </c>
      <c r="S1762">
        <v>1153660</v>
      </c>
      <c r="T1762">
        <v>5110</v>
      </c>
      <c r="U1762">
        <v>0</v>
      </c>
      <c r="V1762">
        <v>0</v>
      </c>
      <c r="W1762">
        <v>0</v>
      </c>
      <c r="X1762" s="367"/>
    </row>
    <row r="1763" spans="1:24">
      <c r="A1763" t="s">
        <v>3397</v>
      </c>
      <c r="B1763" t="s">
        <v>3398</v>
      </c>
      <c r="C1763">
        <v>0</v>
      </c>
      <c r="D1763">
        <v>0</v>
      </c>
      <c r="E1763">
        <v>0</v>
      </c>
      <c r="F1763">
        <v>995000</v>
      </c>
      <c r="G1763">
        <v>0</v>
      </c>
      <c r="H1763">
        <v>995000</v>
      </c>
      <c r="I1763">
        <v>0</v>
      </c>
      <c r="J1763">
        <v>0</v>
      </c>
      <c r="K1763">
        <v>995000</v>
      </c>
      <c r="L1763">
        <v>0</v>
      </c>
      <c r="M1763">
        <v>0</v>
      </c>
      <c r="N1763">
        <v>0</v>
      </c>
      <c r="O1763">
        <v>0</v>
      </c>
      <c r="P1763" t="s">
        <v>192</v>
      </c>
      <c r="Q1763" t="s">
        <v>192</v>
      </c>
      <c r="R1763">
        <v>1</v>
      </c>
      <c r="S1763">
        <v>10000</v>
      </c>
      <c r="T1763">
        <v>995000</v>
      </c>
      <c r="U1763">
        <v>1004900</v>
      </c>
      <c r="V1763">
        <v>10000</v>
      </c>
      <c r="W1763">
        <v>1</v>
      </c>
      <c r="X1763" s="367"/>
    </row>
    <row r="1764" spans="1:24">
      <c r="A1764" t="s">
        <v>8828</v>
      </c>
      <c r="B1764" t="s">
        <v>2714</v>
      </c>
      <c r="C1764">
        <v>1</v>
      </c>
      <c r="D1764">
        <v>526</v>
      </c>
      <c r="E1764">
        <v>6027960</v>
      </c>
      <c r="F1764">
        <v>11200</v>
      </c>
      <c r="G1764">
        <v>11460</v>
      </c>
      <c r="H1764">
        <v>11460</v>
      </c>
      <c r="I1764">
        <v>260</v>
      </c>
      <c r="J1764">
        <v>2.3199999999999998</v>
      </c>
      <c r="K1764">
        <v>11460</v>
      </c>
      <c r="L1764">
        <v>260</v>
      </c>
      <c r="M1764">
        <v>2.3199999999999998</v>
      </c>
      <c r="N1764">
        <v>11460</v>
      </c>
      <c r="O1764">
        <v>11460</v>
      </c>
      <c r="P1764">
        <v>697</v>
      </c>
      <c r="Q1764">
        <v>16.440000000000001</v>
      </c>
      <c r="R1764">
        <v>0</v>
      </c>
      <c r="S1764">
        <v>0</v>
      </c>
      <c r="T1764">
        <v>0</v>
      </c>
      <c r="U1764">
        <v>11460</v>
      </c>
      <c r="V1764">
        <v>610585</v>
      </c>
      <c r="W1764">
        <v>7</v>
      </c>
      <c r="X1764" s="367"/>
    </row>
    <row r="1765" spans="1:24">
      <c r="A1765" t="s">
        <v>2192</v>
      </c>
      <c r="B1765" t="s">
        <v>2191</v>
      </c>
      <c r="C1765">
        <v>50</v>
      </c>
      <c r="D1765">
        <v>842431</v>
      </c>
      <c r="E1765">
        <v>13681079440</v>
      </c>
      <c r="F1765">
        <v>15770</v>
      </c>
      <c r="G1765">
        <v>16240</v>
      </c>
      <c r="H1765">
        <v>16240</v>
      </c>
      <c r="I1765">
        <v>470</v>
      </c>
      <c r="J1765">
        <v>2.98</v>
      </c>
      <c r="K1765">
        <v>16240</v>
      </c>
      <c r="L1765">
        <v>470</v>
      </c>
      <c r="M1765">
        <v>2.98</v>
      </c>
      <c r="N1765">
        <v>16240</v>
      </c>
      <c r="O1765">
        <v>16240</v>
      </c>
      <c r="P1765">
        <v>992</v>
      </c>
      <c r="Q1765">
        <v>16.37</v>
      </c>
      <c r="R1765">
        <v>16</v>
      </c>
      <c r="S1765">
        <v>134130</v>
      </c>
      <c r="T1765">
        <v>16240</v>
      </c>
      <c r="U1765">
        <v>0</v>
      </c>
      <c r="V1765">
        <v>0</v>
      </c>
      <c r="W1765">
        <v>0</v>
      </c>
      <c r="X1765" s="367"/>
    </row>
    <row r="1766" spans="1:24">
      <c r="A1766" t="s">
        <v>8829</v>
      </c>
      <c r="B1766" t="s">
        <v>2199</v>
      </c>
      <c r="C1766">
        <v>22</v>
      </c>
      <c r="D1766">
        <v>218731</v>
      </c>
      <c r="E1766">
        <v>4099018940</v>
      </c>
      <c r="F1766">
        <v>18720</v>
      </c>
      <c r="G1766">
        <v>18740</v>
      </c>
      <c r="H1766">
        <v>18740</v>
      </c>
      <c r="I1766">
        <v>20</v>
      </c>
      <c r="J1766">
        <v>0.11</v>
      </c>
      <c r="K1766">
        <v>18740</v>
      </c>
      <c r="L1766">
        <v>20</v>
      </c>
      <c r="M1766">
        <v>0.11</v>
      </c>
      <c r="N1766">
        <v>18740</v>
      </c>
      <c r="O1766">
        <v>18740</v>
      </c>
      <c r="P1766">
        <v>1502</v>
      </c>
      <c r="Q1766">
        <v>12.48</v>
      </c>
      <c r="R1766">
        <v>0</v>
      </c>
      <c r="S1766">
        <v>0</v>
      </c>
      <c r="T1766">
        <v>0</v>
      </c>
      <c r="U1766">
        <v>18740</v>
      </c>
      <c r="V1766">
        <v>5804807</v>
      </c>
      <c r="W1766">
        <v>73</v>
      </c>
      <c r="X1766" s="367"/>
    </row>
    <row r="1767" spans="1:24">
      <c r="A1767" t="s">
        <v>57</v>
      </c>
      <c r="B1767" t="s">
        <v>56</v>
      </c>
      <c r="C1767">
        <v>1847</v>
      </c>
      <c r="D1767">
        <v>3627152</v>
      </c>
      <c r="E1767">
        <v>606688840800</v>
      </c>
      <c r="F1767">
        <v>162500</v>
      </c>
      <c r="G1767">
        <v>167200</v>
      </c>
      <c r="H1767">
        <v>167300</v>
      </c>
      <c r="I1767">
        <v>4800</v>
      </c>
      <c r="J1767">
        <v>2.95</v>
      </c>
      <c r="K1767">
        <v>167300</v>
      </c>
      <c r="L1767">
        <v>4800</v>
      </c>
      <c r="M1767">
        <v>2.95</v>
      </c>
      <c r="N1767">
        <v>165300</v>
      </c>
      <c r="O1767">
        <v>167300</v>
      </c>
      <c r="P1767">
        <v>30922</v>
      </c>
      <c r="Q1767">
        <v>5.41</v>
      </c>
      <c r="R1767">
        <v>3</v>
      </c>
      <c r="S1767">
        <v>6192</v>
      </c>
      <c r="T1767">
        <v>167300</v>
      </c>
      <c r="U1767">
        <v>167700</v>
      </c>
      <c r="V1767">
        <v>500</v>
      </c>
      <c r="W1767">
        <v>1</v>
      </c>
      <c r="X1767" s="367"/>
    </row>
    <row r="1768" spans="1:24">
      <c r="A1768" t="s">
        <v>3399</v>
      </c>
      <c r="B1768" t="s">
        <v>3400</v>
      </c>
      <c r="C1768">
        <v>0</v>
      </c>
      <c r="D1768">
        <v>0</v>
      </c>
      <c r="E1768">
        <v>0</v>
      </c>
      <c r="F1768">
        <v>1000000</v>
      </c>
      <c r="G1768">
        <v>0</v>
      </c>
      <c r="H1768">
        <v>1000000</v>
      </c>
      <c r="I1768">
        <v>0</v>
      </c>
      <c r="J1768">
        <v>0</v>
      </c>
      <c r="K1768">
        <v>1000000</v>
      </c>
      <c r="L1768">
        <v>0</v>
      </c>
      <c r="M1768">
        <v>0</v>
      </c>
      <c r="N1768">
        <v>0</v>
      </c>
      <c r="O1768">
        <v>0</v>
      </c>
      <c r="P1768" t="s">
        <v>192</v>
      </c>
      <c r="Q1768" t="s">
        <v>192</v>
      </c>
      <c r="R1768">
        <v>1</v>
      </c>
      <c r="S1768">
        <v>5000</v>
      </c>
      <c r="T1768">
        <v>990000</v>
      </c>
      <c r="U1768">
        <v>1000000</v>
      </c>
      <c r="V1768">
        <v>5000</v>
      </c>
      <c r="W1768">
        <v>1</v>
      </c>
      <c r="X1768" s="367"/>
    </row>
    <row r="1769" spans="1:24">
      <c r="A1769" t="s">
        <v>3401</v>
      </c>
      <c r="B1769" t="s">
        <v>3402</v>
      </c>
      <c r="C1769">
        <v>0</v>
      </c>
      <c r="D1769">
        <v>0</v>
      </c>
      <c r="E1769">
        <v>0</v>
      </c>
      <c r="F1769">
        <v>950000</v>
      </c>
      <c r="G1769">
        <v>0</v>
      </c>
      <c r="H1769">
        <v>950000</v>
      </c>
      <c r="I1769">
        <v>0</v>
      </c>
      <c r="J1769">
        <v>0</v>
      </c>
      <c r="K1769">
        <v>950000</v>
      </c>
      <c r="L1769">
        <v>0</v>
      </c>
      <c r="M1769">
        <v>0</v>
      </c>
      <c r="N1769">
        <v>0</v>
      </c>
      <c r="O1769">
        <v>0</v>
      </c>
      <c r="P1769" t="s">
        <v>192</v>
      </c>
      <c r="Q1769" t="s">
        <v>192</v>
      </c>
      <c r="R1769">
        <v>1</v>
      </c>
      <c r="S1769">
        <v>6000</v>
      </c>
      <c r="T1769">
        <v>902500</v>
      </c>
      <c r="U1769">
        <v>0</v>
      </c>
      <c r="V1769">
        <v>0</v>
      </c>
      <c r="W1769">
        <v>0</v>
      </c>
      <c r="X1769" s="367"/>
    </row>
    <row r="1770" spans="1:24">
      <c r="A1770" t="s">
        <v>2216</v>
      </c>
      <c r="B1770" t="s">
        <v>2215</v>
      </c>
      <c r="C1770">
        <v>24</v>
      </c>
      <c r="D1770">
        <v>1172312</v>
      </c>
      <c r="E1770">
        <v>9366772880</v>
      </c>
      <c r="F1770">
        <v>7760</v>
      </c>
      <c r="G1770">
        <v>7990</v>
      </c>
      <c r="H1770">
        <v>7990</v>
      </c>
      <c r="I1770">
        <v>230</v>
      </c>
      <c r="J1770">
        <v>2.96</v>
      </c>
      <c r="K1770">
        <v>7990</v>
      </c>
      <c r="L1770">
        <v>230</v>
      </c>
      <c r="M1770">
        <v>2.96</v>
      </c>
      <c r="N1770">
        <v>7990</v>
      </c>
      <c r="O1770">
        <v>7990</v>
      </c>
      <c r="P1770">
        <v>-107</v>
      </c>
      <c r="Q1770">
        <v>-74.67</v>
      </c>
      <c r="R1770">
        <v>6</v>
      </c>
      <c r="S1770">
        <v>830676</v>
      </c>
      <c r="T1770">
        <v>7990</v>
      </c>
      <c r="U1770">
        <v>0</v>
      </c>
      <c r="V1770">
        <v>0</v>
      </c>
      <c r="W1770">
        <v>0</v>
      </c>
      <c r="X1770" s="367"/>
    </row>
    <row r="1771" spans="1:24">
      <c r="A1771" t="s">
        <v>3403</v>
      </c>
      <c r="B1771" t="s">
        <v>3404</v>
      </c>
      <c r="C1771">
        <v>0</v>
      </c>
      <c r="D1771">
        <v>0</v>
      </c>
      <c r="E1771">
        <v>0</v>
      </c>
      <c r="F1771">
        <v>1000000</v>
      </c>
      <c r="G1771">
        <v>0</v>
      </c>
      <c r="H1771">
        <v>1000000</v>
      </c>
      <c r="I1771">
        <v>0</v>
      </c>
      <c r="J1771">
        <v>0</v>
      </c>
      <c r="K1771">
        <v>1000000</v>
      </c>
      <c r="L1771">
        <v>0</v>
      </c>
      <c r="M1771">
        <v>0</v>
      </c>
      <c r="N1771">
        <v>0</v>
      </c>
      <c r="O1771">
        <v>0</v>
      </c>
      <c r="P1771" t="s">
        <v>192</v>
      </c>
      <c r="Q1771" t="s">
        <v>192</v>
      </c>
      <c r="R1771">
        <v>1</v>
      </c>
      <c r="S1771">
        <v>15000</v>
      </c>
      <c r="T1771">
        <v>990000</v>
      </c>
      <c r="U1771">
        <v>1000000</v>
      </c>
      <c r="V1771">
        <v>15000</v>
      </c>
      <c r="W1771">
        <v>1</v>
      </c>
      <c r="X1771" s="367"/>
    </row>
    <row r="1772" spans="1:24">
      <c r="A1772" t="s">
        <v>182</v>
      </c>
      <c r="B1772" t="s">
        <v>181</v>
      </c>
      <c r="C1772">
        <v>257</v>
      </c>
      <c r="D1772">
        <v>49807394</v>
      </c>
      <c r="E1772">
        <v>103948031278</v>
      </c>
      <c r="F1772">
        <v>2027</v>
      </c>
      <c r="G1772">
        <v>2087</v>
      </c>
      <c r="H1772">
        <v>2087</v>
      </c>
      <c r="I1772">
        <v>60</v>
      </c>
      <c r="J1772">
        <v>2.96</v>
      </c>
      <c r="K1772">
        <v>2087</v>
      </c>
      <c r="L1772">
        <v>60</v>
      </c>
      <c r="M1772">
        <v>2.96</v>
      </c>
      <c r="N1772">
        <v>2087</v>
      </c>
      <c r="O1772">
        <v>2087</v>
      </c>
      <c r="P1772">
        <v>392</v>
      </c>
      <c r="Q1772">
        <v>5.32</v>
      </c>
      <c r="R1772">
        <v>136</v>
      </c>
      <c r="S1772">
        <v>33776808</v>
      </c>
      <c r="T1772">
        <v>2087</v>
      </c>
      <c r="U1772">
        <v>0</v>
      </c>
      <c r="V1772">
        <v>0</v>
      </c>
      <c r="W1772">
        <v>0</v>
      </c>
      <c r="X1772" s="367"/>
    </row>
    <row r="1773" spans="1:24">
      <c r="A1773" t="s">
        <v>3405</v>
      </c>
      <c r="B1773" t="s">
        <v>3406</v>
      </c>
      <c r="C1773">
        <v>0</v>
      </c>
      <c r="D1773">
        <v>0</v>
      </c>
      <c r="E1773">
        <v>0</v>
      </c>
      <c r="F1773">
        <v>1000000</v>
      </c>
      <c r="G1773">
        <v>0</v>
      </c>
      <c r="H1773">
        <v>1000000</v>
      </c>
      <c r="I1773">
        <v>0</v>
      </c>
      <c r="J1773">
        <v>0</v>
      </c>
      <c r="K1773">
        <v>1000000</v>
      </c>
      <c r="L1773">
        <v>0</v>
      </c>
      <c r="M1773">
        <v>0</v>
      </c>
      <c r="N1773">
        <v>0</v>
      </c>
      <c r="O1773">
        <v>0</v>
      </c>
      <c r="P1773" t="s">
        <v>192</v>
      </c>
      <c r="Q1773" t="s">
        <v>192</v>
      </c>
      <c r="R1773">
        <v>1</v>
      </c>
      <c r="S1773">
        <v>5000</v>
      </c>
      <c r="T1773">
        <v>990000</v>
      </c>
      <c r="U1773">
        <v>0</v>
      </c>
      <c r="V1773">
        <v>0</v>
      </c>
      <c r="W1773">
        <v>0</v>
      </c>
      <c r="X1773" s="367"/>
    </row>
    <row r="1774" spans="1:24">
      <c r="A1774" t="s">
        <v>196</v>
      </c>
      <c r="B1774" t="s">
        <v>195</v>
      </c>
      <c r="C1774">
        <v>8833</v>
      </c>
      <c r="D1774">
        <v>4012263874</v>
      </c>
      <c r="E1774">
        <v>4951133620516</v>
      </c>
      <c r="F1774">
        <v>1199</v>
      </c>
      <c r="G1774">
        <v>1234</v>
      </c>
      <c r="H1774">
        <v>1234</v>
      </c>
      <c r="I1774">
        <v>35</v>
      </c>
      <c r="J1774">
        <v>2.92</v>
      </c>
      <c r="K1774">
        <v>1234</v>
      </c>
      <c r="L1774">
        <v>35</v>
      </c>
      <c r="M1774">
        <v>2.92</v>
      </c>
      <c r="N1774">
        <v>1234</v>
      </c>
      <c r="O1774">
        <v>1234</v>
      </c>
      <c r="P1774">
        <v>454</v>
      </c>
      <c r="Q1774">
        <v>2.72</v>
      </c>
      <c r="R1774">
        <v>4728</v>
      </c>
      <c r="S1774">
        <v>2961639170</v>
      </c>
      <c r="T1774">
        <v>1234</v>
      </c>
      <c r="U1774">
        <v>0</v>
      </c>
      <c r="V1774">
        <v>0</v>
      </c>
      <c r="W1774">
        <v>0</v>
      </c>
      <c r="X1774" s="367"/>
    </row>
    <row r="1775" spans="1:24">
      <c r="A1775" t="s">
        <v>2769</v>
      </c>
      <c r="B1775" t="s">
        <v>2767</v>
      </c>
      <c r="C1775">
        <v>1</v>
      </c>
      <c r="D1775">
        <v>97504</v>
      </c>
      <c r="E1775">
        <v>645476480</v>
      </c>
      <c r="F1775">
        <v>6450</v>
      </c>
      <c r="G1775">
        <v>6620</v>
      </c>
      <c r="H1775">
        <v>6620</v>
      </c>
      <c r="I1775">
        <v>170</v>
      </c>
      <c r="J1775">
        <v>2.64</v>
      </c>
      <c r="K1775">
        <v>6620</v>
      </c>
      <c r="L1775">
        <v>170</v>
      </c>
      <c r="M1775">
        <v>2.64</v>
      </c>
      <c r="N1775">
        <v>6620</v>
      </c>
      <c r="O1775">
        <v>6620</v>
      </c>
      <c r="P1775">
        <v>1043</v>
      </c>
      <c r="Q1775">
        <v>6.35</v>
      </c>
      <c r="R1775">
        <v>19</v>
      </c>
      <c r="S1775">
        <v>1389627</v>
      </c>
      <c r="T1775">
        <v>6620</v>
      </c>
      <c r="U1775">
        <v>0</v>
      </c>
      <c r="V1775">
        <v>0</v>
      </c>
      <c r="W1775">
        <v>0</v>
      </c>
      <c r="X1775" s="367"/>
    </row>
    <row r="1776" spans="1:24">
      <c r="A1776" t="s">
        <v>3407</v>
      </c>
      <c r="B1776" t="s">
        <v>3408</v>
      </c>
      <c r="C1776">
        <v>18</v>
      </c>
      <c r="D1776">
        <v>358012</v>
      </c>
      <c r="E1776">
        <v>8558301949</v>
      </c>
      <c r="F1776">
        <v>23844</v>
      </c>
      <c r="G1776">
        <v>23905</v>
      </c>
      <c r="H1776">
        <v>23905</v>
      </c>
      <c r="I1776">
        <v>61</v>
      </c>
      <c r="J1776">
        <v>0.26</v>
      </c>
      <c r="K1776">
        <v>23905</v>
      </c>
      <c r="L1776">
        <v>61</v>
      </c>
      <c r="M1776">
        <v>0.26</v>
      </c>
      <c r="N1776">
        <v>23905</v>
      </c>
      <c r="O1776">
        <v>23906</v>
      </c>
      <c r="P1776" t="s">
        <v>192</v>
      </c>
      <c r="Q1776" t="s">
        <v>192</v>
      </c>
      <c r="R1776">
        <v>1</v>
      </c>
      <c r="S1776">
        <v>99678802</v>
      </c>
      <c r="T1776">
        <v>23905</v>
      </c>
      <c r="U1776">
        <v>23906</v>
      </c>
      <c r="V1776">
        <v>9974911</v>
      </c>
      <c r="W1776">
        <v>1</v>
      </c>
      <c r="X1776" s="367"/>
    </row>
    <row r="1777" spans="1:24">
      <c r="A1777" t="s">
        <v>1103</v>
      </c>
      <c r="B1777" t="s">
        <v>3409</v>
      </c>
      <c r="C1777">
        <v>750</v>
      </c>
      <c r="D1777">
        <v>287170157</v>
      </c>
      <c r="E1777">
        <v>7862306548837</v>
      </c>
      <c r="F1777">
        <v>27327</v>
      </c>
      <c r="G1777">
        <v>27375</v>
      </c>
      <c r="H1777">
        <v>27378</v>
      </c>
      <c r="I1777">
        <v>51</v>
      </c>
      <c r="J1777">
        <v>0.19</v>
      </c>
      <c r="K1777">
        <v>27379</v>
      </c>
      <c r="L1777">
        <v>52</v>
      </c>
      <c r="M1777">
        <v>0.19</v>
      </c>
      <c r="N1777">
        <v>27375</v>
      </c>
      <c r="O1777">
        <v>27379</v>
      </c>
      <c r="P1777" t="s">
        <v>192</v>
      </c>
      <c r="Q1777" t="s">
        <v>192</v>
      </c>
      <c r="R1777">
        <v>3</v>
      </c>
      <c r="S1777">
        <v>375174845</v>
      </c>
      <c r="T1777">
        <v>27378</v>
      </c>
      <c r="U1777">
        <v>27379</v>
      </c>
      <c r="V1777">
        <v>30155596</v>
      </c>
      <c r="W1777">
        <v>22</v>
      </c>
      <c r="X1777" s="367"/>
    </row>
    <row r="1778" spans="1:24">
      <c r="A1778" t="s">
        <v>8767</v>
      </c>
      <c r="B1778" t="s">
        <v>160</v>
      </c>
      <c r="C1778">
        <v>2</v>
      </c>
      <c r="D1778">
        <v>23000000</v>
      </c>
      <c r="E1778">
        <v>487370000000</v>
      </c>
      <c r="F1778">
        <v>20580</v>
      </c>
      <c r="G1778">
        <v>21190</v>
      </c>
      <c r="H1778">
        <v>21190</v>
      </c>
      <c r="I1778">
        <v>610</v>
      </c>
      <c r="J1778">
        <v>2.96</v>
      </c>
      <c r="K1778">
        <v>21190</v>
      </c>
      <c r="L1778">
        <v>610</v>
      </c>
      <c r="M1778">
        <v>2.96</v>
      </c>
      <c r="N1778">
        <v>21190</v>
      </c>
      <c r="O1778">
        <v>21190</v>
      </c>
      <c r="P1778">
        <v>3000</v>
      </c>
      <c r="Q1778">
        <v>7.06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 s="367"/>
    </row>
    <row r="1779" spans="1:24">
      <c r="A1779" t="s">
        <v>2625</v>
      </c>
      <c r="B1779" t="s">
        <v>2624</v>
      </c>
      <c r="C1779">
        <v>643</v>
      </c>
      <c r="D1779">
        <v>18245248</v>
      </c>
      <c r="E1779">
        <v>220150656440</v>
      </c>
      <c r="F1779">
        <v>11740</v>
      </c>
      <c r="G1779">
        <v>12000</v>
      </c>
      <c r="H1779">
        <v>12090</v>
      </c>
      <c r="I1779">
        <v>350</v>
      </c>
      <c r="J1779">
        <v>2.98</v>
      </c>
      <c r="K1779">
        <v>12070</v>
      </c>
      <c r="L1779">
        <v>330</v>
      </c>
      <c r="M1779">
        <v>2.81</v>
      </c>
      <c r="N1779">
        <v>11710</v>
      </c>
      <c r="O1779">
        <v>12090</v>
      </c>
      <c r="P1779">
        <v>1403</v>
      </c>
      <c r="Q1779">
        <v>8.6</v>
      </c>
      <c r="R1779">
        <v>12</v>
      </c>
      <c r="S1779">
        <v>619328</v>
      </c>
      <c r="T1779">
        <v>12090</v>
      </c>
      <c r="U1779">
        <v>0</v>
      </c>
      <c r="V1779">
        <v>0</v>
      </c>
      <c r="W1779">
        <v>0</v>
      </c>
      <c r="X1779" s="367"/>
    </row>
    <row r="1780" spans="1:24">
      <c r="A1780" t="s">
        <v>3410</v>
      </c>
      <c r="B1780" t="s">
        <v>3411</v>
      </c>
      <c r="C1780">
        <v>336</v>
      </c>
      <c r="D1780">
        <v>2885462</v>
      </c>
      <c r="E1780">
        <v>130638784807</v>
      </c>
      <c r="F1780">
        <v>44566</v>
      </c>
      <c r="G1780">
        <v>45902</v>
      </c>
      <c r="H1780">
        <v>45900</v>
      </c>
      <c r="I1780">
        <v>1334</v>
      </c>
      <c r="J1780">
        <v>2.99</v>
      </c>
      <c r="K1780">
        <v>45275</v>
      </c>
      <c r="L1780">
        <v>709</v>
      </c>
      <c r="M1780">
        <v>1.59</v>
      </c>
      <c r="N1780">
        <v>44552</v>
      </c>
      <c r="O1780">
        <v>45902</v>
      </c>
      <c r="P1780" t="s">
        <v>192</v>
      </c>
      <c r="Q1780" t="s">
        <v>192</v>
      </c>
      <c r="R1780">
        <v>2</v>
      </c>
      <c r="S1780">
        <v>1000</v>
      </c>
      <c r="T1780">
        <v>45855</v>
      </c>
      <c r="U1780">
        <v>45900</v>
      </c>
      <c r="V1780">
        <v>3435</v>
      </c>
      <c r="W1780">
        <v>1</v>
      </c>
      <c r="X1780" s="367"/>
    </row>
    <row r="1781" spans="1:24">
      <c r="A1781" t="s">
        <v>1791</v>
      </c>
      <c r="B1781" t="s">
        <v>1790</v>
      </c>
      <c r="C1781">
        <v>1175</v>
      </c>
      <c r="D1781">
        <v>21416269</v>
      </c>
      <c r="E1781">
        <v>115676863870</v>
      </c>
      <c r="F1781">
        <v>5260</v>
      </c>
      <c r="G1781">
        <v>5400</v>
      </c>
      <c r="H1781">
        <v>5410</v>
      </c>
      <c r="I1781">
        <v>150</v>
      </c>
      <c r="J1781">
        <v>2.85</v>
      </c>
      <c r="K1781">
        <v>5400</v>
      </c>
      <c r="L1781">
        <v>140</v>
      </c>
      <c r="M1781">
        <v>2.66</v>
      </c>
      <c r="N1781">
        <v>5370</v>
      </c>
      <c r="O1781">
        <v>5410</v>
      </c>
      <c r="P1781">
        <v>752</v>
      </c>
      <c r="Q1781">
        <v>7.18</v>
      </c>
      <c r="R1781">
        <v>10</v>
      </c>
      <c r="S1781">
        <v>425763</v>
      </c>
      <c r="T1781">
        <v>5410</v>
      </c>
      <c r="U1781">
        <v>5540</v>
      </c>
      <c r="V1781">
        <v>4671</v>
      </c>
      <c r="W1781">
        <v>3</v>
      </c>
      <c r="X1781" s="367"/>
    </row>
    <row r="1782" spans="1:24">
      <c r="A1782" t="s">
        <v>6446</v>
      </c>
      <c r="B1782" t="s">
        <v>5933</v>
      </c>
      <c r="C1782">
        <v>2</v>
      </c>
      <c r="D1782">
        <v>1600000</v>
      </c>
      <c r="E1782">
        <v>1600000</v>
      </c>
      <c r="F1782">
        <v>43864</v>
      </c>
      <c r="G1782">
        <v>1</v>
      </c>
      <c r="H1782">
        <v>1</v>
      </c>
      <c r="I1782">
        <v>-43863</v>
      </c>
      <c r="J1782">
        <v>-100</v>
      </c>
      <c r="K1782">
        <v>1</v>
      </c>
      <c r="L1782">
        <v>-43863</v>
      </c>
      <c r="M1782">
        <v>-100</v>
      </c>
      <c r="N1782">
        <v>1</v>
      </c>
      <c r="O1782">
        <v>1</v>
      </c>
      <c r="P1782" t="s">
        <v>192</v>
      </c>
      <c r="Q1782" t="s">
        <v>192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 s="367"/>
    </row>
    <row r="1783" spans="1:24">
      <c r="A1783" t="s">
        <v>2091</v>
      </c>
      <c r="B1783" t="s">
        <v>2090</v>
      </c>
      <c r="C1783">
        <v>391</v>
      </c>
      <c r="D1783">
        <v>15414803</v>
      </c>
      <c r="E1783">
        <v>67825133200</v>
      </c>
      <c r="F1783">
        <v>4280</v>
      </c>
      <c r="G1783">
        <v>4400</v>
      </c>
      <c r="H1783">
        <v>4400</v>
      </c>
      <c r="I1783">
        <v>120</v>
      </c>
      <c r="J1783">
        <v>2.8</v>
      </c>
      <c r="K1783">
        <v>4400</v>
      </c>
      <c r="L1783">
        <v>120</v>
      </c>
      <c r="M1783">
        <v>2.8</v>
      </c>
      <c r="N1783">
        <v>4400</v>
      </c>
      <c r="O1783">
        <v>4400</v>
      </c>
      <c r="P1783">
        <v>127</v>
      </c>
      <c r="Q1783">
        <v>34.65</v>
      </c>
      <c r="R1783">
        <v>67</v>
      </c>
      <c r="S1783">
        <v>2271996</v>
      </c>
      <c r="T1783">
        <v>4400</v>
      </c>
      <c r="U1783">
        <v>0</v>
      </c>
      <c r="V1783">
        <v>0</v>
      </c>
      <c r="W1783">
        <v>0</v>
      </c>
      <c r="X1783" s="367"/>
    </row>
    <row r="1784" spans="1:24">
      <c r="A1784" t="s">
        <v>7816</v>
      </c>
      <c r="B1784" t="s">
        <v>7817</v>
      </c>
      <c r="C1784">
        <v>50</v>
      </c>
      <c r="D1784">
        <v>9483382</v>
      </c>
      <c r="E1784">
        <v>12371940646</v>
      </c>
      <c r="F1784">
        <v>1267</v>
      </c>
      <c r="G1784">
        <v>1298</v>
      </c>
      <c r="H1784">
        <v>1305</v>
      </c>
      <c r="I1784">
        <v>38</v>
      </c>
      <c r="J1784">
        <v>3</v>
      </c>
      <c r="K1784">
        <v>1305</v>
      </c>
      <c r="L1784">
        <v>38</v>
      </c>
      <c r="M1784">
        <v>3</v>
      </c>
      <c r="N1784">
        <v>1298</v>
      </c>
      <c r="O1784">
        <v>1305</v>
      </c>
      <c r="P1784">
        <v>-5</v>
      </c>
      <c r="Q1784">
        <v>-261</v>
      </c>
      <c r="R1784">
        <v>36</v>
      </c>
      <c r="S1784">
        <v>21074073</v>
      </c>
      <c r="T1784">
        <v>1305</v>
      </c>
      <c r="U1784">
        <v>1334</v>
      </c>
      <c r="V1784">
        <v>45455</v>
      </c>
      <c r="W1784">
        <v>1</v>
      </c>
      <c r="X1784" s="367"/>
    </row>
    <row r="1785" spans="1:24">
      <c r="A1785" t="s">
        <v>3412</v>
      </c>
      <c r="B1785" t="s">
        <v>3413</v>
      </c>
      <c r="C1785">
        <v>741</v>
      </c>
      <c r="D1785">
        <v>5388480</v>
      </c>
      <c r="E1785">
        <v>216237102341</v>
      </c>
      <c r="F1785">
        <v>38975</v>
      </c>
      <c r="G1785">
        <v>39511</v>
      </c>
      <c r="H1785">
        <v>40144</v>
      </c>
      <c r="I1785">
        <v>1169</v>
      </c>
      <c r="J1785">
        <v>3</v>
      </c>
      <c r="K1785">
        <v>40130</v>
      </c>
      <c r="L1785">
        <v>1155</v>
      </c>
      <c r="M1785">
        <v>2.96</v>
      </c>
      <c r="N1785">
        <v>39511</v>
      </c>
      <c r="O1785">
        <v>40144</v>
      </c>
      <c r="P1785" t="s">
        <v>192</v>
      </c>
      <c r="Q1785" t="s">
        <v>192</v>
      </c>
      <c r="R1785">
        <v>8</v>
      </c>
      <c r="S1785">
        <v>54685</v>
      </c>
      <c r="T1785">
        <v>40144</v>
      </c>
      <c r="U1785">
        <v>0</v>
      </c>
      <c r="V1785">
        <v>0</v>
      </c>
      <c r="W1785">
        <v>0</v>
      </c>
      <c r="X1785" s="367"/>
    </row>
    <row r="1786" spans="1:24">
      <c r="A1786" t="s">
        <v>2403</v>
      </c>
      <c r="B1786" t="s">
        <v>2402</v>
      </c>
      <c r="C1786">
        <v>447</v>
      </c>
      <c r="D1786">
        <v>123940472</v>
      </c>
      <c r="E1786">
        <v>132864185984</v>
      </c>
      <c r="F1786">
        <v>1041</v>
      </c>
      <c r="G1786">
        <v>1072</v>
      </c>
      <c r="H1786">
        <v>1072</v>
      </c>
      <c r="I1786">
        <v>31</v>
      </c>
      <c r="J1786">
        <v>2.98</v>
      </c>
      <c r="K1786">
        <v>1072</v>
      </c>
      <c r="L1786">
        <v>31</v>
      </c>
      <c r="M1786">
        <v>2.98</v>
      </c>
      <c r="N1786">
        <v>1072</v>
      </c>
      <c r="O1786">
        <v>1072</v>
      </c>
      <c r="P1786">
        <v>36</v>
      </c>
      <c r="Q1786">
        <v>29.78</v>
      </c>
      <c r="R1786">
        <v>267</v>
      </c>
      <c r="S1786">
        <v>260225625</v>
      </c>
      <c r="T1786">
        <v>1072</v>
      </c>
      <c r="U1786">
        <v>0</v>
      </c>
      <c r="V1786">
        <v>0</v>
      </c>
      <c r="W1786">
        <v>0</v>
      </c>
      <c r="X1786" s="367"/>
    </row>
    <row r="1787" spans="1:24">
      <c r="A1787" t="s">
        <v>3414</v>
      </c>
      <c r="B1787" t="s">
        <v>3415</v>
      </c>
      <c r="C1787">
        <v>252</v>
      </c>
      <c r="D1787">
        <v>70227020</v>
      </c>
      <c r="E1787">
        <v>1903226293999</v>
      </c>
      <c r="F1787">
        <v>27064</v>
      </c>
      <c r="G1787">
        <v>27101</v>
      </c>
      <c r="H1787">
        <v>27102</v>
      </c>
      <c r="I1787">
        <v>38</v>
      </c>
      <c r="J1787">
        <v>0.14000000000000001</v>
      </c>
      <c r="K1787">
        <v>27101</v>
      </c>
      <c r="L1787">
        <v>37</v>
      </c>
      <c r="M1787">
        <v>0.14000000000000001</v>
      </c>
      <c r="N1787">
        <v>27101</v>
      </c>
      <c r="O1787">
        <v>27102</v>
      </c>
      <c r="P1787" t="s">
        <v>192</v>
      </c>
      <c r="Q1787" t="s">
        <v>192</v>
      </c>
      <c r="R1787">
        <v>58</v>
      </c>
      <c r="S1787">
        <v>226272226</v>
      </c>
      <c r="T1787">
        <v>27101</v>
      </c>
      <c r="U1787">
        <v>27102</v>
      </c>
      <c r="V1787">
        <v>18918127</v>
      </c>
      <c r="W1787">
        <v>1</v>
      </c>
      <c r="X1787" s="367"/>
    </row>
    <row r="1788" spans="1:24">
      <c r="A1788" t="s">
        <v>3416</v>
      </c>
      <c r="B1788" t="s">
        <v>3417</v>
      </c>
      <c r="C1788">
        <v>114</v>
      </c>
      <c r="D1788">
        <v>8477812</v>
      </c>
      <c r="E1788">
        <v>93007138685</v>
      </c>
      <c r="F1788">
        <v>10652</v>
      </c>
      <c r="G1788">
        <v>10971</v>
      </c>
      <c r="H1788">
        <v>10971</v>
      </c>
      <c r="I1788">
        <v>319</v>
      </c>
      <c r="J1788">
        <v>2.99</v>
      </c>
      <c r="K1788">
        <v>10971</v>
      </c>
      <c r="L1788">
        <v>319</v>
      </c>
      <c r="M1788">
        <v>2.99</v>
      </c>
      <c r="N1788">
        <v>10716</v>
      </c>
      <c r="O1788">
        <v>10971</v>
      </c>
      <c r="P1788" t="s">
        <v>192</v>
      </c>
      <c r="Q1788" t="s">
        <v>192</v>
      </c>
      <c r="R1788">
        <v>3</v>
      </c>
      <c r="S1788">
        <v>60000</v>
      </c>
      <c r="T1788">
        <v>10971</v>
      </c>
      <c r="U1788">
        <v>0</v>
      </c>
      <c r="V1788">
        <v>0</v>
      </c>
      <c r="W1788">
        <v>0</v>
      </c>
      <c r="X1788" s="367"/>
    </row>
    <row r="1789" spans="1:24">
      <c r="A1789" t="s">
        <v>3418</v>
      </c>
      <c r="B1789" t="s">
        <v>3419</v>
      </c>
      <c r="C1789">
        <v>10</v>
      </c>
      <c r="D1789">
        <v>46708</v>
      </c>
      <c r="E1789">
        <v>1069226502</v>
      </c>
      <c r="F1789">
        <v>22226</v>
      </c>
      <c r="G1789">
        <v>22892</v>
      </c>
      <c r="H1789">
        <v>22892</v>
      </c>
      <c r="I1789">
        <v>666</v>
      </c>
      <c r="J1789">
        <v>3</v>
      </c>
      <c r="K1789">
        <v>22892</v>
      </c>
      <c r="L1789">
        <v>666</v>
      </c>
      <c r="M1789">
        <v>3</v>
      </c>
      <c r="N1789">
        <v>22601</v>
      </c>
      <c r="O1789">
        <v>22892</v>
      </c>
      <c r="P1789" t="s">
        <v>192</v>
      </c>
      <c r="Q1789" t="s">
        <v>192</v>
      </c>
      <c r="R1789">
        <v>1</v>
      </c>
      <c r="S1789">
        <v>20000</v>
      </c>
      <c r="T1789">
        <v>22434</v>
      </c>
      <c r="U1789">
        <v>22892</v>
      </c>
      <c r="V1789">
        <v>13566</v>
      </c>
      <c r="W1789">
        <v>1</v>
      </c>
      <c r="X1789" s="367"/>
    </row>
    <row r="1790" spans="1:24">
      <c r="A1790" t="s">
        <v>3420</v>
      </c>
      <c r="B1790" t="s">
        <v>3421</v>
      </c>
      <c r="C1790">
        <v>0</v>
      </c>
      <c r="D1790">
        <v>0</v>
      </c>
      <c r="E1790">
        <v>0</v>
      </c>
      <c r="F1790">
        <v>780140</v>
      </c>
      <c r="G1790">
        <v>0</v>
      </c>
      <c r="H1790">
        <v>780140</v>
      </c>
      <c r="I1790">
        <v>0</v>
      </c>
      <c r="J1790">
        <v>0</v>
      </c>
      <c r="K1790">
        <v>780140</v>
      </c>
      <c r="L1790">
        <v>0</v>
      </c>
      <c r="M1790">
        <v>0</v>
      </c>
      <c r="N1790">
        <v>0</v>
      </c>
      <c r="O1790">
        <v>0</v>
      </c>
      <c r="P1790" t="s">
        <v>192</v>
      </c>
      <c r="Q1790" t="s">
        <v>192</v>
      </c>
      <c r="R1790">
        <v>1</v>
      </c>
      <c r="S1790">
        <v>5000</v>
      </c>
      <c r="T1790">
        <v>773800</v>
      </c>
      <c r="U1790">
        <v>0</v>
      </c>
      <c r="V1790">
        <v>0</v>
      </c>
      <c r="W1790">
        <v>0</v>
      </c>
      <c r="X1790" s="367"/>
    </row>
    <row r="1791" spans="1:24">
      <c r="A1791" t="s">
        <v>8677</v>
      </c>
      <c r="B1791" t="s">
        <v>4808</v>
      </c>
      <c r="C1791">
        <v>2</v>
      </c>
      <c r="D1791">
        <v>2000000</v>
      </c>
      <c r="E1791">
        <v>2000000</v>
      </c>
      <c r="F1791">
        <v>8518</v>
      </c>
      <c r="G1791">
        <v>1</v>
      </c>
      <c r="H1791">
        <v>1</v>
      </c>
      <c r="I1791">
        <v>-8517</v>
      </c>
      <c r="J1791">
        <v>-99.99</v>
      </c>
      <c r="K1791">
        <v>1</v>
      </c>
      <c r="L1791">
        <v>-8517</v>
      </c>
      <c r="M1791">
        <v>-99.99</v>
      </c>
      <c r="N1791">
        <v>1</v>
      </c>
      <c r="O1791">
        <v>1</v>
      </c>
      <c r="P1791" t="s">
        <v>192</v>
      </c>
      <c r="Q1791" t="s">
        <v>192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 s="367"/>
    </row>
    <row r="1792" spans="1:24">
      <c r="A1792" t="s">
        <v>3422</v>
      </c>
      <c r="B1792" t="s">
        <v>1965</v>
      </c>
      <c r="C1792">
        <v>14</v>
      </c>
      <c r="D1792">
        <v>53815</v>
      </c>
      <c r="E1792">
        <v>198577350</v>
      </c>
      <c r="F1792">
        <v>3610</v>
      </c>
      <c r="G1792">
        <v>3690</v>
      </c>
      <c r="H1792">
        <v>3690</v>
      </c>
      <c r="I1792">
        <v>80</v>
      </c>
      <c r="J1792">
        <v>2.2200000000000002</v>
      </c>
      <c r="K1792">
        <v>3690</v>
      </c>
      <c r="L1792">
        <v>80</v>
      </c>
      <c r="M1792">
        <v>2.2200000000000002</v>
      </c>
      <c r="N1792">
        <v>3690</v>
      </c>
      <c r="O1792">
        <v>3690</v>
      </c>
      <c r="P1792">
        <v>754</v>
      </c>
      <c r="Q1792">
        <v>4.8899999999999997</v>
      </c>
      <c r="R1792">
        <v>3</v>
      </c>
      <c r="S1792">
        <v>17592</v>
      </c>
      <c r="T1792">
        <v>3690</v>
      </c>
      <c r="U1792">
        <v>0</v>
      </c>
      <c r="V1792">
        <v>0</v>
      </c>
      <c r="W1792">
        <v>0</v>
      </c>
      <c r="X1792" s="367"/>
    </row>
    <row r="1793" spans="1:24">
      <c r="A1793" t="s">
        <v>3423</v>
      </c>
      <c r="B1793" t="s">
        <v>3424</v>
      </c>
      <c r="C1793">
        <v>4</v>
      </c>
      <c r="D1793">
        <v>120031</v>
      </c>
      <c r="E1793">
        <v>4138548849</v>
      </c>
      <c r="F1793">
        <v>33475</v>
      </c>
      <c r="G1793">
        <v>34479</v>
      </c>
      <c r="H1793">
        <v>34479</v>
      </c>
      <c r="I1793">
        <v>1004</v>
      </c>
      <c r="J1793">
        <v>3</v>
      </c>
      <c r="K1793">
        <v>34479</v>
      </c>
      <c r="L1793">
        <v>1004</v>
      </c>
      <c r="M1793">
        <v>3</v>
      </c>
      <c r="N1793">
        <v>34479</v>
      </c>
      <c r="O1793">
        <v>34479</v>
      </c>
      <c r="P1793" t="s">
        <v>192</v>
      </c>
      <c r="Q1793" t="s">
        <v>192</v>
      </c>
      <c r="R1793">
        <v>9</v>
      </c>
      <c r="S1793">
        <v>515831</v>
      </c>
      <c r="T1793">
        <v>34479</v>
      </c>
      <c r="U1793">
        <v>0</v>
      </c>
      <c r="V1793">
        <v>0</v>
      </c>
      <c r="W1793">
        <v>0</v>
      </c>
      <c r="X1793" s="367"/>
    </row>
    <row r="1794" spans="1:24">
      <c r="A1794" t="s">
        <v>3425</v>
      </c>
      <c r="B1794" t="s">
        <v>3426</v>
      </c>
      <c r="C1794">
        <v>40</v>
      </c>
      <c r="D1794">
        <v>288163</v>
      </c>
      <c r="E1794">
        <v>128507550970</v>
      </c>
      <c r="F1794">
        <v>447260</v>
      </c>
      <c r="G1794">
        <v>451580</v>
      </c>
      <c r="H1794">
        <v>449010</v>
      </c>
      <c r="I1794">
        <v>1750</v>
      </c>
      <c r="J1794">
        <v>0.39</v>
      </c>
      <c r="K1794">
        <v>445950</v>
      </c>
      <c r="L1794">
        <v>-1310</v>
      </c>
      <c r="M1794">
        <v>-0.28999999999999998</v>
      </c>
      <c r="N1794">
        <v>445110</v>
      </c>
      <c r="O1794">
        <v>451580</v>
      </c>
      <c r="P1794" t="s">
        <v>192</v>
      </c>
      <c r="Q1794" t="s">
        <v>192</v>
      </c>
      <c r="R1794">
        <v>1</v>
      </c>
      <c r="S1794">
        <v>1000</v>
      </c>
      <c r="T1794">
        <v>449030</v>
      </c>
      <c r="U1794">
        <v>451990</v>
      </c>
      <c r="V1794">
        <v>3144</v>
      </c>
      <c r="W1794">
        <v>1</v>
      </c>
      <c r="X1794" s="367"/>
    </row>
    <row r="1795" spans="1:24">
      <c r="A1795" t="s">
        <v>3104</v>
      </c>
      <c r="B1795" t="s">
        <v>3103</v>
      </c>
      <c r="C1795">
        <v>391</v>
      </c>
      <c r="D1795">
        <v>429194</v>
      </c>
      <c r="E1795">
        <v>95647882600</v>
      </c>
      <c r="F1795">
        <v>216500</v>
      </c>
      <c r="G1795">
        <v>222800</v>
      </c>
      <c r="H1795">
        <v>222900</v>
      </c>
      <c r="I1795">
        <v>6400</v>
      </c>
      <c r="J1795">
        <v>2.96</v>
      </c>
      <c r="K1795">
        <v>222900</v>
      </c>
      <c r="L1795">
        <v>6400</v>
      </c>
      <c r="M1795">
        <v>2.96</v>
      </c>
      <c r="N1795">
        <v>220900</v>
      </c>
      <c r="O1795">
        <v>222900</v>
      </c>
      <c r="P1795">
        <v>3197</v>
      </c>
      <c r="Q1795">
        <v>69.72</v>
      </c>
      <c r="R1795">
        <v>8</v>
      </c>
      <c r="S1795">
        <v>5855</v>
      </c>
      <c r="T1795">
        <v>222900</v>
      </c>
      <c r="U1795">
        <v>0</v>
      </c>
      <c r="V1795">
        <v>0</v>
      </c>
      <c r="W1795">
        <v>0</v>
      </c>
      <c r="X1795" s="367"/>
    </row>
    <row r="1796" spans="1:24">
      <c r="A1796" t="s">
        <v>8641</v>
      </c>
      <c r="B1796" t="s">
        <v>8642</v>
      </c>
      <c r="C1796">
        <v>2</v>
      </c>
      <c r="D1796">
        <v>197425914</v>
      </c>
      <c r="E1796">
        <v>163717216017726</v>
      </c>
      <c r="F1796">
        <v>815400</v>
      </c>
      <c r="G1796">
        <v>829018</v>
      </c>
      <c r="H1796">
        <v>829500</v>
      </c>
      <c r="I1796">
        <v>14100</v>
      </c>
      <c r="J1796">
        <v>1.73</v>
      </c>
      <c r="K1796">
        <v>829259</v>
      </c>
      <c r="L1796">
        <v>13859</v>
      </c>
      <c r="M1796">
        <v>1.7</v>
      </c>
      <c r="N1796">
        <v>829018</v>
      </c>
      <c r="O1796">
        <v>829500</v>
      </c>
      <c r="P1796" t="s">
        <v>192</v>
      </c>
      <c r="Q1796" t="s">
        <v>192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 s="367"/>
    </row>
    <row r="1797" spans="1:24">
      <c r="A1797" t="s">
        <v>1978</v>
      </c>
      <c r="B1797" t="s">
        <v>1977</v>
      </c>
      <c r="C1797">
        <v>156</v>
      </c>
      <c r="D1797">
        <v>3911721</v>
      </c>
      <c r="E1797">
        <v>35127254580</v>
      </c>
      <c r="F1797">
        <v>8720</v>
      </c>
      <c r="G1797">
        <v>8980</v>
      </c>
      <c r="H1797">
        <v>8980</v>
      </c>
      <c r="I1797">
        <v>260</v>
      </c>
      <c r="J1797">
        <v>2.98</v>
      </c>
      <c r="K1797">
        <v>8980</v>
      </c>
      <c r="L1797">
        <v>260</v>
      </c>
      <c r="M1797">
        <v>2.98</v>
      </c>
      <c r="N1797">
        <v>8980</v>
      </c>
      <c r="O1797">
        <v>8980</v>
      </c>
      <c r="P1797">
        <v>477</v>
      </c>
      <c r="Q1797">
        <v>18.829999999999998</v>
      </c>
      <c r="R1797">
        <v>147</v>
      </c>
      <c r="S1797">
        <v>6069540</v>
      </c>
      <c r="T1797">
        <v>8980</v>
      </c>
      <c r="U1797">
        <v>0</v>
      </c>
      <c r="V1797">
        <v>0</v>
      </c>
      <c r="W1797">
        <v>0</v>
      </c>
      <c r="X1797" s="367"/>
    </row>
    <row r="1798" spans="1:24">
      <c r="A1798" t="s">
        <v>5408</v>
      </c>
      <c r="B1798" t="s">
        <v>5409</v>
      </c>
      <c r="C1798">
        <v>0</v>
      </c>
      <c r="D1798">
        <v>0</v>
      </c>
      <c r="E1798">
        <v>0</v>
      </c>
      <c r="F1798">
        <v>1000000</v>
      </c>
      <c r="G1798">
        <v>0</v>
      </c>
      <c r="H1798">
        <v>1000000</v>
      </c>
      <c r="I1798">
        <v>0</v>
      </c>
      <c r="J1798">
        <v>0</v>
      </c>
      <c r="K1798">
        <v>1000000</v>
      </c>
      <c r="L1798">
        <v>0</v>
      </c>
      <c r="M1798">
        <v>0</v>
      </c>
      <c r="N1798">
        <v>0</v>
      </c>
      <c r="O1798">
        <v>0</v>
      </c>
      <c r="P1798" t="s">
        <v>192</v>
      </c>
      <c r="Q1798" t="s">
        <v>192</v>
      </c>
      <c r="R1798">
        <v>1</v>
      </c>
      <c r="S1798">
        <v>5000</v>
      </c>
      <c r="T1798">
        <v>950000</v>
      </c>
      <c r="U1798">
        <v>0</v>
      </c>
      <c r="V1798">
        <v>0</v>
      </c>
      <c r="W1798">
        <v>0</v>
      </c>
      <c r="X1798" s="367"/>
    </row>
    <row r="1799" spans="1:24">
      <c r="A1799" t="s">
        <v>5410</v>
      </c>
      <c r="B1799" t="s">
        <v>5411</v>
      </c>
      <c r="C1799">
        <v>111</v>
      </c>
      <c r="D1799">
        <v>2192327</v>
      </c>
      <c r="E1799">
        <v>49383868590</v>
      </c>
      <c r="F1799">
        <v>21880</v>
      </c>
      <c r="G1799">
        <v>22530</v>
      </c>
      <c r="H1799">
        <v>22530</v>
      </c>
      <c r="I1799">
        <v>650</v>
      </c>
      <c r="J1799">
        <v>2.97</v>
      </c>
      <c r="K1799">
        <v>22530</v>
      </c>
      <c r="L1799">
        <v>650</v>
      </c>
      <c r="M1799">
        <v>2.97</v>
      </c>
      <c r="N1799">
        <v>22320</v>
      </c>
      <c r="O1799">
        <v>22530</v>
      </c>
      <c r="P1799">
        <v>126</v>
      </c>
      <c r="Q1799">
        <v>178.81</v>
      </c>
      <c r="R1799">
        <v>5</v>
      </c>
      <c r="S1799">
        <v>171436</v>
      </c>
      <c r="T1799">
        <v>22530</v>
      </c>
      <c r="U1799">
        <v>0</v>
      </c>
      <c r="V1799">
        <v>0</v>
      </c>
      <c r="W1799">
        <v>0</v>
      </c>
      <c r="X1799" s="367"/>
    </row>
    <row r="1800" spans="1:24">
      <c r="A1800" t="s">
        <v>2695</v>
      </c>
      <c r="B1800" t="s">
        <v>2694</v>
      </c>
      <c r="C1800">
        <v>471</v>
      </c>
      <c r="D1800">
        <v>3480472</v>
      </c>
      <c r="E1800">
        <v>149936929150</v>
      </c>
      <c r="F1800">
        <v>41830</v>
      </c>
      <c r="G1800">
        <v>43080</v>
      </c>
      <c r="H1800">
        <v>43080</v>
      </c>
      <c r="I1800">
        <v>1250</v>
      </c>
      <c r="J1800">
        <v>2.99</v>
      </c>
      <c r="K1800">
        <v>43080</v>
      </c>
      <c r="L1800">
        <v>1250</v>
      </c>
      <c r="M1800">
        <v>2.99</v>
      </c>
      <c r="N1800">
        <v>43070</v>
      </c>
      <c r="O1800">
        <v>43080</v>
      </c>
      <c r="P1800">
        <v>4037</v>
      </c>
      <c r="Q1800">
        <v>10.67</v>
      </c>
      <c r="R1800">
        <v>28</v>
      </c>
      <c r="S1800">
        <v>459433</v>
      </c>
      <c r="T1800">
        <v>43080</v>
      </c>
      <c r="U1800">
        <v>68720</v>
      </c>
      <c r="V1800">
        <v>280</v>
      </c>
      <c r="W1800">
        <v>1</v>
      </c>
      <c r="X1800" s="367"/>
    </row>
    <row r="1801" spans="1:24">
      <c r="A1801" t="s">
        <v>5412</v>
      </c>
      <c r="B1801" t="s">
        <v>5413</v>
      </c>
      <c r="C1801">
        <v>0</v>
      </c>
      <c r="D1801">
        <v>0</v>
      </c>
      <c r="E1801">
        <v>0</v>
      </c>
      <c r="F1801">
        <v>1000000</v>
      </c>
      <c r="G1801">
        <v>0</v>
      </c>
      <c r="H1801">
        <v>1000000</v>
      </c>
      <c r="I1801">
        <v>0</v>
      </c>
      <c r="J1801">
        <v>0</v>
      </c>
      <c r="K1801">
        <v>1000000</v>
      </c>
      <c r="L1801">
        <v>0</v>
      </c>
      <c r="M1801">
        <v>0</v>
      </c>
      <c r="N1801">
        <v>0</v>
      </c>
      <c r="O1801">
        <v>0</v>
      </c>
      <c r="P1801" t="s">
        <v>192</v>
      </c>
      <c r="Q1801" t="s">
        <v>192</v>
      </c>
      <c r="R1801">
        <v>1</v>
      </c>
      <c r="S1801">
        <v>3750</v>
      </c>
      <c r="T1801">
        <v>990000</v>
      </c>
      <c r="U1801">
        <v>1000000</v>
      </c>
      <c r="V1801">
        <v>3750</v>
      </c>
      <c r="W1801">
        <v>1</v>
      </c>
      <c r="X1801" s="367"/>
    </row>
    <row r="1802" spans="1:24">
      <c r="A1802" t="s">
        <v>2092</v>
      </c>
      <c r="B1802" t="s">
        <v>2090</v>
      </c>
      <c r="C1802">
        <v>2</v>
      </c>
      <c r="D1802">
        <v>7118</v>
      </c>
      <c r="E1802">
        <v>31319200</v>
      </c>
      <c r="F1802">
        <v>4280</v>
      </c>
      <c r="G1802">
        <v>4400</v>
      </c>
      <c r="H1802">
        <v>4400</v>
      </c>
      <c r="I1802">
        <v>120</v>
      </c>
      <c r="J1802">
        <v>2.8</v>
      </c>
      <c r="K1802">
        <v>4400</v>
      </c>
      <c r="L1802">
        <v>120</v>
      </c>
      <c r="M1802">
        <v>2.8</v>
      </c>
      <c r="N1802">
        <v>4400</v>
      </c>
      <c r="O1802">
        <v>4400</v>
      </c>
      <c r="P1802">
        <v>127</v>
      </c>
      <c r="Q1802">
        <v>34.65</v>
      </c>
      <c r="R1802">
        <v>7</v>
      </c>
      <c r="S1802">
        <v>179665</v>
      </c>
      <c r="T1802">
        <v>4400</v>
      </c>
      <c r="U1802">
        <v>0</v>
      </c>
      <c r="V1802">
        <v>0</v>
      </c>
      <c r="W1802">
        <v>0</v>
      </c>
      <c r="X1802" s="367"/>
    </row>
    <row r="1803" spans="1:24">
      <c r="A1803" t="s">
        <v>5414</v>
      </c>
      <c r="B1803" t="s">
        <v>5415</v>
      </c>
      <c r="C1803">
        <v>0</v>
      </c>
      <c r="D1803">
        <v>0</v>
      </c>
      <c r="E1803">
        <v>0</v>
      </c>
      <c r="F1803">
        <v>970000</v>
      </c>
      <c r="G1803">
        <v>0</v>
      </c>
      <c r="H1803">
        <v>970000</v>
      </c>
      <c r="I1803">
        <v>0</v>
      </c>
      <c r="J1803">
        <v>0</v>
      </c>
      <c r="K1803">
        <v>970000</v>
      </c>
      <c r="L1803">
        <v>0</v>
      </c>
      <c r="M1803">
        <v>0</v>
      </c>
      <c r="N1803">
        <v>0</v>
      </c>
      <c r="O1803">
        <v>0</v>
      </c>
      <c r="P1803" t="s">
        <v>192</v>
      </c>
      <c r="Q1803" t="s">
        <v>192</v>
      </c>
      <c r="R1803">
        <v>1</v>
      </c>
      <c r="S1803">
        <v>4500</v>
      </c>
      <c r="T1803">
        <v>959557</v>
      </c>
      <c r="U1803">
        <v>0</v>
      </c>
      <c r="V1803">
        <v>0</v>
      </c>
      <c r="W1803">
        <v>0</v>
      </c>
      <c r="X1803" s="367"/>
    </row>
    <row r="1804" spans="1:24">
      <c r="A1804" t="s">
        <v>5416</v>
      </c>
      <c r="B1804" t="s">
        <v>5417</v>
      </c>
      <c r="C1804">
        <v>0</v>
      </c>
      <c r="D1804">
        <v>0</v>
      </c>
      <c r="E1804">
        <v>0</v>
      </c>
      <c r="F1804">
        <v>940901</v>
      </c>
      <c r="G1804">
        <v>0</v>
      </c>
      <c r="H1804">
        <v>940880</v>
      </c>
      <c r="I1804">
        <v>-21</v>
      </c>
      <c r="J1804">
        <v>0</v>
      </c>
      <c r="K1804">
        <v>940901</v>
      </c>
      <c r="L1804">
        <v>0</v>
      </c>
      <c r="M1804">
        <v>0</v>
      </c>
      <c r="N1804">
        <v>0</v>
      </c>
      <c r="O1804">
        <v>0</v>
      </c>
      <c r="P1804" t="s">
        <v>192</v>
      </c>
      <c r="Q1804" t="s">
        <v>192</v>
      </c>
      <c r="R1804">
        <v>1</v>
      </c>
      <c r="S1804">
        <v>4900</v>
      </c>
      <c r="T1804">
        <v>940901</v>
      </c>
      <c r="U1804">
        <v>950310</v>
      </c>
      <c r="V1804">
        <v>4900</v>
      </c>
      <c r="W1804">
        <v>1</v>
      </c>
      <c r="X1804" s="367"/>
    </row>
    <row r="1805" spans="1:24">
      <c r="A1805" t="s">
        <v>5418</v>
      </c>
      <c r="B1805" t="s">
        <v>5419</v>
      </c>
      <c r="C1805">
        <v>0</v>
      </c>
      <c r="D1805">
        <v>0</v>
      </c>
      <c r="E1805">
        <v>0</v>
      </c>
      <c r="F1805">
        <v>928000</v>
      </c>
      <c r="G1805">
        <v>0</v>
      </c>
      <c r="H1805">
        <v>928000</v>
      </c>
      <c r="I1805">
        <v>0</v>
      </c>
      <c r="J1805">
        <v>0</v>
      </c>
      <c r="K1805">
        <v>928000</v>
      </c>
      <c r="L1805">
        <v>0</v>
      </c>
      <c r="M1805">
        <v>0</v>
      </c>
      <c r="N1805">
        <v>0</v>
      </c>
      <c r="O1805">
        <v>0</v>
      </c>
      <c r="P1805" t="s">
        <v>192</v>
      </c>
      <c r="Q1805" t="s">
        <v>192</v>
      </c>
      <c r="R1805">
        <v>1</v>
      </c>
      <c r="S1805">
        <v>15000</v>
      </c>
      <c r="T1805">
        <v>921500</v>
      </c>
      <c r="U1805">
        <v>929000</v>
      </c>
      <c r="V1805">
        <v>15000</v>
      </c>
      <c r="W1805">
        <v>1</v>
      </c>
      <c r="X1805" s="367"/>
    </row>
    <row r="1806" spans="1:24">
      <c r="A1806" t="s">
        <v>2405</v>
      </c>
      <c r="B1806" t="s">
        <v>2404</v>
      </c>
      <c r="C1806">
        <v>600</v>
      </c>
      <c r="D1806">
        <v>123996514</v>
      </c>
      <c r="E1806">
        <v>283950080723</v>
      </c>
      <c r="F1806">
        <v>2224</v>
      </c>
      <c r="G1806">
        <v>2290</v>
      </c>
      <c r="H1806">
        <v>2290</v>
      </c>
      <c r="I1806">
        <v>66</v>
      </c>
      <c r="J1806">
        <v>2.97</v>
      </c>
      <c r="K1806">
        <v>2290</v>
      </c>
      <c r="L1806">
        <v>66</v>
      </c>
      <c r="M1806">
        <v>2.97</v>
      </c>
      <c r="N1806">
        <v>2288</v>
      </c>
      <c r="O1806">
        <v>2290</v>
      </c>
      <c r="P1806">
        <v>-168</v>
      </c>
      <c r="Q1806">
        <v>-13.63</v>
      </c>
      <c r="R1806">
        <v>63</v>
      </c>
      <c r="S1806">
        <v>13676949</v>
      </c>
      <c r="T1806">
        <v>2290</v>
      </c>
      <c r="U1806">
        <v>2727</v>
      </c>
      <c r="V1806">
        <v>2000</v>
      </c>
      <c r="W1806">
        <v>1</v>
      </c>
      <c r="X1806" s="367"/>
    </row>
    <row r="1807" spans="1:24">
      <c r="A1807" t="s">
        <v>5420</v>
      </c>
      <c r="B1807" t="s">
        <v>5421</v>
      </c>
      <c r="C1807">
        <v>1</v>
      </c>
      <c r="D1807">
        <v>100000</v>
      </c>
      <c r="E1807">
        <v>100000</v>
      </c>
      <c r="F1807">
        <v>1300635</v>
      </c>
      <c r="G1807">
        <v>1</v>
      </c>
      <c r="H1807">
        <v>1</v>
      </c>
      <c r="I1807">
        <v>-1300634</v>
      </c>
      <c r="J1807">
        <v>-100</v>
      </c>
      <c r="K1807">
        <v>1</v>
      </c>
      <c r="L1807">
        <v>-1300634</v>
      </c>
      <c r="M1807">
        <v>-100</v>
      </c>
      <c r="N1807">
        <v>1</v>
      </c>
      <c r="O1807">
        <v>1</v>
      </c>
      <c r="P1807" t="s">
        <v>192</v>
      </c>
      <c r="Q1807" t="s">
        <v>192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 s="367"/>
    </row>
    <row r="1808" spans="1:24">
      <c r="A1808" t="s">
        <v>8830</v>
      </c>
      <c r="B1808" t="s">
        <v>2409</v>
      </c>
      <c r="C1808">
        <v>5</v>
      </c>
      <c r="D1808">
        <v>643</v>
      </c>
      <c r="E1808">
        <v>7812450</v>
      </c>
      <c r="F1808">
        <v>11810</v>
      </c>
      <c r="G1808">
        <v>12150</v>
      </c>
      <c r="H1808">
        <v>12150</v>
      </c>
      <c r="I1808">
        <v>340</v>
      </c>
      <c r="J1808">
        <v>2.88</v>
      </c>
      <c r="K1808">
        <v>12150</v>
      </c>
      <c r="L1808">
        <v>340</v>
      </c>
      <c r="M1808">
        <v>2.88</v>
      </c>
      <c r="N1808">
        <v>12150</v>
      </c>
      <c r="O1808">
        <v>12150</v>
      </c>
      <c r="P1808">
        <v>778</v>
      </c>
      <c r="Q1808">
        <v>15.62</v>
      </c>
      <c r="R1808">
        <v>13</v>
      </c>
      <c r="S1808">
        <v>530488</v>
      </c>
      <c r="T1808">
        <v>12150</v>
      </c>
      <c r="U1808">
        <v>0</v>
      </c>
      <c r="V1808">
        <v>0</v>
      </c>
      <c r="W1808">
        <v>0</v>
      </c>
      <c r="X1808" s="367"/>
    </row>
    <row r="1809" spans="1:24">
      <c r="A1809" t="s">
        <v>2143</v>
      </c>
      <c r="B1809" t="s">
        <v>2142</v>
      </c>
      <c r="C1809">
        <v>238</v>
      </c>
      <c r="D1809">
        <v>8108043</v>
      </c>
      <c r="E1809">
        <v>28297044430</v>
      </c>
      <c r="F1809">
        <v>3390</v>
      </c>
      <c r="G1809">
        <v>3490</v>
      </c>
      <c r="H1809">
        <v>3490</v>
      </c>
      <c r="I1809">
        <v>100</v>
      </c>
      <c r="J1809">
        <v>2.95</v>
      </c>
      <c r="K1809">
        <v>3490</v>
      </c>
      <c r="L1809">
        <v>100</v>
      </c>
      <c r="M1809">
        <v>2.95</v>
      </c>
      <c r="N1809">
        <v>3480</v>
      </c>
      <c r="O1809">
        <v>3490</v>
      </c>
      <c r="P1809">
        <v>485</v>
      </c>
      <c r="Q1809">
        <v>7.2</v>
      </c>
      <c r="R1809">
        <v>4</v>
      </c>
      <c r="S1809">
        <v>83237</v>
      </c>
      <c r="T1809">
        <v>3490</v>
      </c>
      <c r="U1809">
        <v>0</v>
      </c>
      <c r="V1809">
        <v>0</v>
      </c>
      <c r="W1809">
        <v>0</v>
      </c>
      <c r="X1809" s="367"/>
    </row>
    <row r="1810" spans="1:24">
      <c r="A1810" t="s">
        <v>5422</v>
      </c>
      <c r="B1810" t="s">
        <v>5423</v>
      </c>
      <c r="C1810">
        <v>0</v>
      </c>
      <c r="D1810">
        <v>0</v>
      </c>
      <c r="E1810">
        <v>0</v>
      </c>
      <c r="F1810">
        <v>945000</v>
      </c>
      <c r="G1810">
        <v>0</v>
      </c>
      <c r="H1810">
        <v>945000</v>
      </c>
      <c r="I1810">
        <v>0</v>
      </c>
      <c r="J1810">
        <v>0</v>
      </c>
      <c r="K1810">
        <v>945000</v>
      </c>
      <c r="L1810">
        <v>0</v>
      </c>
      <c r="M1810">
        <v>0</v>
      </c>
      <c r="N1810">
        <v>0</v>
      </c>
      <c r="O1810">
        <v>0</v>
      </c>
      <c r="P1810" t="s">
        <v>192</v>
      </c>
      <c r="Q1810" t="s">
        <v>192</v>
      </c>
      <c r="R1810">
        <v>1</v>
      </c>
      <c r="S1810">
        <v>10000</v>
      </c>
      <c r="T1810">
        <v>963000</v>
      </c>
      <c r="U1810">
        <v>968000</v>
      </c>
      <c r="V1810">
        <v>10000</v>
      </c>
      <c r="W1810">
        <v>1</v>
      </c>
      <c r="X1810" s="367"/>
    </row>
    <row r="1811" spans="1:24">
      <c r="A1811" t="s">
        <v>2914</v>
      </c>
      <c r="B1811" t="s">
        <v>2913</v>
      </c>
      <c r="C1811">
        <v>52</v>
      </c>
      <c r="D1811">
        <v>2414190</v>
      </c>
      <c r="E1811">
        <v>10743145500</v>
      </c>
      <c r="F1811">
        <v>4330</v>
      </c>
      <c r="G1811">
        <v>4450</v>
      </c>
      <c r="H1811">
        <v>4450</v>
      </c>
      <c r="I1811">
        <v>120</v>
      </c>
      <c r="J1811">
        <v>2.77</v>
      </c>
      <c r="K1811">
        <v>4450</v>
      </c>
      <c r="L1811">
        <v>120</v>
      </c>
      <c r="M1811">
        <v>2.77</v>
      </c>
      <c r="N1811">
        <v>4450</v>
      </c>
      <c r="O1811">
        <v>4450</v>
      </c>
      <c r="P1811">
        <v>200</v>
      </c>
      <c r="Q1811">
        <v>22.25</v>
      </c>
      <c r="R1811">
        <v>71</v>
      </c>
      <c r="S1811">
        <v>6690048</v>
      </c>
      <c r="T1811">
        <v>4450</v>
      </c>
      <c r="U1811">
        <v>0</v>
      </c>
      <c r="V1811">
        <v>0</v>
      </c>
      <c r="W1811">
        <v>0</v>
      </c>
      <c r="X1811" s="367"/>
    </row>
    <row r="1812" spans="1:24">
      <c r="A1812" t="s">
        <v>2317</v>
      </c>
      <c r="B1812" t="s">
        <v>2316</v>
      </c>
      <c r="C1812">
        <v>42</v>
      </c>
      <c r="D1812">
        <v>700581</v>
      </c>
      <c r="E1812">
        <v>4939096050</v>
      </c>
      <c r="F1812">
        <v>6920</v>
      </c>
      <c r="G1812">
        <v>7050</v>
      </c>
      <c r="H1812">
        <v>7050</v>
      </c>
      <c r="I1812">
        <v>130</v>
      </c>
      <c r="J1812">
        <v>1.88</v>
      </c>
      <c r="K1812">
        <v>7050</v>
      </c>
      <c r="L1812">
        <v>130</v>
      </c>
      <c r="M1812">
        <v>1.88</v>
      </c>
      <c r="N1812">
        <v>7050</v>
      </c>
      <c r="O1812">
        <v>7050</v>
      </c>
      <c r="P1812">
        <v>-584</v>
      </c>
      <c r="Q1812">
        <v>-12.07</v>
      </c>
      <c r="R1812">
        <v>5</v>
      </c>
      <c r="S1812">
        <v>733516</v>
      </c>
      <c r="T1812">
        <v>7050</v>
      </c>
      <c r="U1812">
        <v>0</v>
      </c>
      <c r="V1812">
        <v>0</v>
      </c>
      <c r="W1812">
        <v>0</v>
      </c>
      <c r="X1812" s="367"/>
    </row>
    <row r="1813" spans="1:24">
      <c r="A1813" t="s">
        <v>1446</v>
      </c>
      <c r="B1813" t="s">
        <v>2419</v>
      </c>
      <c r="C1813">
        <v>584</v>
      </c>
      <c r="D1813">
        <v>21191143</v>
      </c>
      <c r="E1813">
        <v>36649270256</v>
      </c>
      <c r="F1813">
        <v>1691</v>
      </c>
      <c r="G1813">
        <v>1712</v>
      </c>
      <c r="H1813">
        <v>1740</v>
      </c>
      <c r="I1813">
        <v>49</v>
      </c>
      <c r="J1813">
        <v>2.9</v>
      </c>
      <c r="K1813">
        <v>1729</v>
      </c>
      <c r="L1813">
        <v>38</v>
      </c>
      <c r="M1813">
        <v>2.25</v>
      </c>
      <c r="N1813">
        <v>1712</v>
      </c>
      <c r="O1813">
        <v>1741</v>
      </c>
      <c r="P1813">
        <v>291</v>
      </c>
      <c r="Q1813">
        <v>5.94</v>
      </c>
      <c r="R1813">
        <v>2</v>
      </c>
      <c r="S1813">
        <v>70000</v>
      </c>
      <c r="T1813">
        <v>1727</v>
      </c>
      <c r="U1813">
        <v>1741</v>
      </c>
      <c r="V1813">
        <v>1722965</v>
      </c>
      <c r="W1813">
        <v>26</v>
      </c>
      <c r="X1813" s="367"/>
    </row>
    <row r="1814" spans="1:24">
      <c r="A1814" t="s">
        <v>8831</v>
      </c>
      <c r="B1814" t="s">
        <v>1927</v>
      </c>
      <c r="C1814">
        <v>46</v>
      </c>
      <c r="D1814">
        <v>1491371</v>
      </c>
      <c r="E1814">
        <v>8262195340</v>
      </c>
      <c r="F1814">
        <v>5700</v>
      </c>
      <c r="G1814">
        <v>5540</v>
      </c>
      <c r="H1814">
        <v>5540</v>
      </c>
      <c r="I1814">
        <v>-160</v>
      </c>
      <c r="J1814">
        <v>-2.81</v>
      </c>
      <c r="K1814">
        <v>5540</v>
      </c>
      <c r="L1814">
        <v>-160</v>
      </c>
      <c r="M1814">
        <v>-2.81</v>
      </c>
      <c r="N1814">
        <v>5540</v>
      </c>
      <c r="O1814">
        <v>5540</v>
      </c>
      <c r="P1814">
        <v>154</v>
      </c>
      <c r="Q1814">
        <v>35.97</v>
      </c>
      <c r="R1814">
        <v>15</v>
      </c>
      <c r="S1814">
        <v>2867857</v>
      </c>
      <c r="T1814">
        <v>5540</v>
      </c>
      <c r="U1814">
        <v>0</v>
      </c>
      <c r="V1814">
        <v>0</v>
      </c>
      <c r="W1814">
        <v>0</v>
      </c>
      <c r="X1814" s="367"/>
    </row>
    <row r="1815" spans="1:24">
      <c r="A1815" t="s">
        <v>2155</v>
      </c>
      <c r="B1815" t="s">
        <v>2154</v>
      </c>
      <c r="C1815">
        <v>2132</v>
      </c>
      <c r="D1815">
        <v>10631692</v>
      </c>
      <c r="E1815">
        <v>522988341800</v>
      </c>
      <c r="F1815">
        <v>48560</v>
      </c>
      <c r="G1815">
        <v>48790</v>
      </c>
      <c r="H1815">
        <v>49760</v>
      </c>
      <c r="I1815">
        <v>1200</v>
      </c>
      <c r="J1815">
        <v>2.4700000000000002</v>
      </c>
      <c r="K1815">
        <v>49190</v>
      </c>
      <c r="L1815">
        <v>630</v>
      </c>
      <c r="M1815">
        <v>1.3</v>
      </c>
      <c r="N1815">
        <v>47210</v>
      </c>
      <c r="O1815">
        <v>50010</v>
      </c>
      <c r="P1815">
        <v>6272</v>
      </c>
      <c r="Q1815">
        <v>7.84</v>
      </c>
      <c r="R1815">
        <v>1</v>
      </c>
      <c r="S1815">
        <v>1010</v>
      </c>
      <c r="T1815">
        <v>49300</v>
      </c>
      <c r="U1815">
        <v>49950</v>
      </c>
      <c r="V1815">
        <v>651</v>
      </c>
      <c r="W1815">
        <v>1</v>
      </c>
      <c r="X1815" s="367"/>
    </row>
    <row r="1816" spans="1:24">
      <c r="A1816" t="s">
        <v>5424</v>
      </c>
      <c r="B1816" t="s">
        <v>5425</v>
      </c>
      <c r="C1816">
        <v>309</v>
      </c>
      <c r="D1816">
        <v>2995600</v>
      </c>
      <c r="E1816">
        <v>96979554400</v>
      </c>
      <c r="F1816">
        <v>31129</v>
      </c>
      <c r="G1816">
        <v>32374</v>
      </c>
      <c r="H1816">
        <v>32374</v>
      </c>
      <c r="I1816">
        <v>1245</v>
      </c>
      <c r="J1816">
        <v>4</v>
      </c>
      <c r="K1816">
        <v>32374</v>
      </c>
      <c r="L1816">
        <v>1245</v>
      </c>
      <c r="M1816">
        <v>4</v>
      </c>
      <c r="N1816">
        <v>32374</v>
      </c>
      <c r="O1816">
        <v>32374</v>
      </c>
      <c r="P1816" t="s">
        <v>192</v>
      </c>
      <c r="Q1816" t="s">
        <v>192</v>
      </c>
      <c r="R1816">
        <v>689</v>
      </c>
      <c r="S1816">
        <v>40513488</v>
      </c>
      <c r="T1816">
        <v>32374</v>
      </c>
      <c r="U1816">
        <v>34091</v>
      </c>
      <c r="V1816">
        <v>256762</v>
      </c>
      <c r="W1816">
        <v>5</v>
      </c>
      <c r="X1816" s="367"/>
    </row>
    <row r="1817" spans="1:24">
      <c r="A1817" t="s">
        <v>5426</v>
      </c>
      <c r="B1817" t="s">
        <v>5427</v>
      </c>
      <c r="C1817">
        <v>119</v>
      </c>
      <c r="D1817">
        <v>6217</v>
      </c>
      <c r="E1817">
        <v>5340328396</v>
      </c>
      <c r="F1817">
        <v>833969</v>
      </c>
      <c r="G1817">
        <v>858988</v>
      </c>
      <c r="H1817">
        <v>858988</v>
      </c>
      <c r="I1817">
        <v>25019</v>
      </c>
      <c r="J1817">
        <v>3</v>
      </c>
      <c r="K1817">
        <v>858988</v>
      </c>
      <c r="L1817">
        <v>25019</v>
      </c>
      <c r="M1817">
        <v>3</v>
      </c>
      <c r="N1817">
        <v>858988</v>
      </c>
      <c r="O1817">
        <v>858988</v>
      </c>
      <c r="P1817" t="s">
        <v>192</v>
      </c>
      <c r="Q1817" t="s">
        <v>192</v>
      </c>
      <c r="R1817">
        <v>39</v>
      </c>
      <c r="S1817">
        <v>26764</v>
      </c>
      <c r="T1817">
        <v>858988</v>
      </c>
      <c r="U1817">
        <v>1006198</v>
      </c>
      <c r="V1817">
        <v>1</v>
      </c>
      <c r="W1817">
        <v>1</v>
      </c>
      <c r="X1817" s="367"/>
    </row>
    <row r="1818" spans="1:24">
      <c r="A1818" t="s">
        <v>3093</v>
      </c>
      <c r="B1818" t="s">
        <v>3092</v>
      </c>
      <c r="C1818">
        <v>238</v>
      </c>
      <c r="D1818">
        <v>11452805</v>
      </c>
      <c r="E1818">
        <v>28059372250</v>
      </c>
      <c r="F1818">
        <v>2379</v>
      </c>
      <c r="G1818">
        <v>2450</v>
      </c>
      <c r="H1818">
        <v>2450</v>
      </c>
      <c r="I1818">
        <v>71</v>
      </c>
      <c r="J1818">
        <v>2.98</v>
      </c>
      <c r="K1818">
        <v>2450</v>
      </c>
      <c r="L1818">
        <v>71</v>
      </c>
      <c r="M1818">
        <v>2.98</v>
      </c>
      <c r="N1818">
        <v>2450</v>
      </c>
      <c r="O1818">
        <v>2450</v>
      </c>
      <c r="P1818">
        <v>904</v>
      </c>
      <c r="Q1818">
        <v>2.71</v>
      </c>
      <c r="R1818">
        <v>50</v>
      </c>
      <c r="S1818">
        <v>5340304</v>
      </c>
      <c r="T1818">
        <v>2450</v>
      </c>
      <c r="U1818">
        <v>2452</v>
      </c>
      <c r="V1818">
        <v>2200</v>
      </c>
      <c r="W1818">
        <v>1</v>
      </c>
      <c r="X1818" s="367"/>
    </row>
    <row r="1819" spans="1:24">
      <c r="A1819" t="s">
        <v>2984</v>
      </c>
      <c r="B1819" t="s">
        <v>2983</v>
      </c>
      <c r="C1819">
        <v>1401</v>
      </c>
      <c r="D1819">
        <v>105648873</v>
      </c>
      <c r="E1819">
        <v>640171448980</v>
      </c>
      <c r="F1819">
        <v>5890</v>
      </c>
      <c r="G1819">
        <v>6060</v>
      </c>
      <c r="H1819">
        <v>6060</v>
      </c>
      <c r="I1819">
        <v>170</v>
      </c>
      <c r="J1819">
        <v>2.89</v>
      </c>
      <c r="K1819">
        <v>6060</v>
      </c>
      <c r="L1819">
        <v>170</v>
      </c>
      <c r="M1819">
        <v>2.89</v>
      </c>
      <c r="N1819">
        <v>6000</v>
      </c>
      <c r="O1819">
        <v>6060</v>
      </c>
      <c r="P1819">
        <v>544</v>
      </c>
      <c r="Q1819">
        <v>11.14</v>
      </c>
      <c r="R1819">
        <v>569</v>
      </c>
      <c r="S1819">
        <v>128586921</v>
      </c>
      <c r="T1819">
        <v>6060</v>
      </c>
      <c r="U1819">
        <v>0</v>
      </c>
      <c r="V1819">
        <v>0</v>
      </c>
      <c r="W1819">
        <v>0</v>
      </c>
      <c r="X1819" s="367"/>
    </row>
    <row r="1820" spans="1:24">
      <c r="A1820" t="s">
        <v>5428</v>
      </c>
      <c r="B1820" t="s">
        <v>5429</v>
      </c>
      <c r="C1820">
        <v>0</v>
      </c>
      <c r="D1820">
        <v>0</v>
      </c>
      <c r="E1820">
        <v>0</v>
      </c>
      <c r="F1820">
        <v>1000000</v>
      </c>
      <c r="G1820">
        <v>0</v>
      </c>
      <c r="H1820">
        <v>1000000</v>
      </c>
      <c r="I1820">
        <v>0</v>
      </c>
      <c r="J1820">
        <v>0</v>
      </c>
      <c r="K1820">
        <v>1000000</v>
      </c>
      <c r="L1820">
        <v>0</v>
      </c>
      <c r="M1820">
        <v>0</v>
      </c>
      <c r="N1820">
        <v>0</v>
      </c>
      <c r="O1820">
        <v>0</v>
      </c>
      <c r="P1820" t="s">
        <v>192</v>
      </c>
      <c r="Q1820" t="s">
        <v>192</v>
      </c>
      <c r="R1820">
        <v>1</v>
      </c>
      <c r="S1820">
        <v>5000</v>
      </c>
      <c r="T1820">
        <v>995000</v>
      </c>
      <c r="U1820">
        <v>1004950</v>
      </c>
      <c r="V1820">
        <v>5000</v>
      </c>
      <c r="W1820">
        <v>1</v>
      </c>
      <c r="X1820" s="367"/>
    </row>
    <row r="1821" spans="1:24">
      <c r="A1821" t="s">
        <v>1778</v>
      </c>
      <c r="B1821" t="s">
        <v>1777</v>
      </c>
      <c r="C1821">
        <v>322</v>
      </c>
      <c r="D1821">
        <v>17865959</v>
      </c>
      <c r="E1821">
        <v>59780880330</v>
      </c>
      <c r="F1821">
        <v>3270</v>
      </c>
      <c r="G1821">
        <v>3240</v>
      </c>
      <c r="H1821">
        <v>3360</v>
      </c>
      <c r="I1821">
        <v>90</v>
      </c>
      <c r="J1821">
        <v>2.75</v>
      </c>
      <c r="K1821">
        <v>3350</v>
      </c>
      <c r="L1821">
        <v>80</v>
      </c>
      <c r="M1821">
        <v>2.4500000000000002</v>
      </c>
      <c r="N1821">
        <v>3190</v>
      </c>
      <c r="O1821">
        <v>3360</v>
      </c>
      <c r="P1821">
        <v>341</v>
      </c>
      <c r="Q1821">
        <v>9.82</v>
      </c>
      <c r="R1821">
        <v>1</v>
      </c>
      <c r="S1821">
        <v>5910</v>
      </c>
      <c r="T1821">
        <v>3330</v>
      </c>
      <c r="U1821">
        <v>3520</v>
      </c>
      <c r="V1821">
        <v>25000</v>
      </c>
      <c r="W1821">
        <v>1</v>
      </c>
      <c r="X1821" s="367"/>
    </row>
    <row r="1822" spans="1:24">
      <c r="A1822" t="s">
        <v>5430</v>
      </c>
      <c r="B1822" t="s">
        <v>5431</v>
      </c>
      <c r="C1822">
        <v>0</v>
      </c>
      <c r="D1822">
        <v>0</v>
      </c>
      <c r="E1822">
        <v>0</v>
      </c>
      <c r="F1822">
        <v>989920</v>
      </c>
      <c r="G1822">
        <v>0</v>
      </c>
      <c r="H1822">
        <v>989920</v>
      </c>
      <c r="I1822">
        <v>0</v>
      </c>
      <c r="J1822">
        <v>0</v>
      </c>
      <c r="K1822">
        <v>989920</v>
      </c>
      <c r="L1822">
        <v>0</v>
      </c>
      <c r="M1822">
        <v>0</v>
      </c>
      <c r="N1822">
        <v>0</v>
      </c>
      <c r="O1822">
        <v>0</v>
      </c>
      <c r="P1822" t="s">
        <v>192</v>
      </c>
      <c r="Q1822" t="s">
        <v>192</v>
      </c>
      <c r="R1822">
        <v>1</v>
      </c>
      <c r="S1822">
        <v>10000</v>
      </c>
      <c r="T1822">
        <v>989920</v>
      </c>
      <c r="U1822">
        <v>999800</v>
      </c>
      <c r="V1822">
        <v>4303</v>
      </c>
      <c r="W1822">
        <v>1</v>
      </c>
      <c r="X1822" s="367"/>
    </row>
    <row r="1823" spans="1:24">
      <c r="A1823" t="s">
        <v>5432</v>
      </c>
      <c r="B1823" t="s">
        <v>5433</v>
      </c>
      <c r="C1823">
        <v>12</v>
      </c>
      <c r="D1823">
        <v>237760</v>
      </c>
      <c r="E1823">
        <v>2406845917</v>
      </c>
      <c r="F1823">
        <v>10103</v>
      </c>
      <c r="G1823">
        <v>10123</v>
      </c>
      <c r="H1823">
        <v>10124</v>
      </c>
      <c r="I1823">
        <v>21</v>
      </c>
      <c r="J1823">
        <v>0.21</v>
      </c>
      <c r="K1823">
        <v>10123</v>
      </c>
      <c r="L1823">
        <v>20</v>
      </c>
      <c r="M1823">
        <v>0.2</v>
      </c>
      <c r="N1823">
        <v>10123</v>
      </c>
      <c r="O1823">
        <v>10124</v>
      </c>
      <c r="P1823" t="s">
        <v>192</v>
      </c>
      <c r="Q1823" t="s">
        <v>192</v>
      </c>
      <c r="R1823">
        <v>3</v>
      </c>
      <c r="S1823">
        <v>9775794</v>
      </c>
      <c r="T1823">
        <v>10123</v>
      </c>
      <c r="U1823">
        <v>10124</v>
      </c>
      <c r="V1823">
        <v>10345</v>
      </c>
      <c r="W1823">
        <v>1</v>
      </c>
      <c r="X1823" s="367"/>
    </row>
    <row r="1824" spans="1:24">
      <c r="A1824" t="s">
        <v>2709</v>
      </c>
      <c r="B1824" t="s">
        <v>2708</v>
      </c>
      <c r="C1824">
        <v>195</v>
      </c>
      <c r="D1824">
        <v>6169643</v>
      </c>
      <c r="E1824">
        <v>18859957217</v>
      </c>
      <c r="F1824">
        <v>2968</v>
      </c>
      <c r="G1824">
        <v>3057</v>
      </c>
      <c r="H1824">
        <v>3057</v>
      </c>
      <c r="I1824">
        <v>89</v>
      </c>
      <c r="J1824">
        <v>3</v>
      </c>
      <c r="K1824">
        <v>3057</v>
      </c>
      <c r="L1824">
        <v>89</v>
      </c>
      <c r="M1824">
        <v>3</v>
      </c>
      <c r="N1824">
        <v>3030</v>
      </c>
      <c r="O1824">
        <v>3057</v>
      </c>
      <c r="P1824">
        <v>-94</v>
      </c>
      <c r="Q1824">
        <v>-32.520000000000003</v>
      </c>
      <c r="R1824">
        <v>9</v>
      </c>
      <c r="S1824">
        <v>112685</v>
      </c>
      <c r="T1824">
        <v>3057</v>
      </c>
      <c r="U1824">
        <v>3270</v>
      </c>
      <c r="V1824">
        <v>100000</v>
      </c>
      <c r="W1824">
        <v>1</v>
      </c>
      <c r="X1824" s="367"/>
    </row>
    <row r="1825" spans="1:24">
      <c r="A1825" t="s">
        <v>5434</v>
      </c>
      <c r="B1825" t="s">
        <v>5435</v>
      </c>
      <c r="C1825">
        <v>258</v>
      </c>
      <c r="D1825">
        <v>74493403</v>
      </c>
      <c r="E1825">
        <v>2103697986598</v>
      </c>
      <c r="F1825">
        <v>28184</v>
      </c>
      <c r="G1825">
        <v>28240</v>
      </c>
      <c r="H1825">
        <v>28241</v>
      </c>
      <c r="I1825">
        <v>57</v>
      </c>
      <c r="J1825">
        <v>0.2</v>
      </c>
      <c r="K1825">
        <v>28240</v>
      </c>
      <c r="L1825">
        <v>56</v>
      </c>
      <c r="M1825">
        <v>0.2</v>
      </c>
      <c r="N1825">
        <v>28240</v>
      </c>
      <c r="O1825">
        <v>28241</v>
      </c>
      <c r="P1825" t="s">
        <v>192</v>
      </c>
      <c r="Q1825" t="s">
        <v>192</v>
      </c>
      <c r="R1825">
        <v>26</v>
      </c>
      <c r="S1825">
        <v>130000000</v>
      </c>
      <c r="T1825">
        <v>28240</v>
      </c>
      <c r="U1825">
        <v>28241</v>
      </c>
      <c r="V1825">
        <v>16994830</v>
      </c>
      <c r="W1825">
        <v>8</v>
      </c>
      <c r="X1825" s="367"/>
    </row>
    <row r="1826" spans="1:24">
      <c r="A1826" t="s">
        <v>8832</v>
      </c>
      <c r="B1826" t="s">
        <v>2780</v>
      </c>
      <c r="C1826">
        <v>1</v>
      </c>
      <c r="D1826">
        <v>1419</v>
      </c>
      <c r="E1826">
        <v>6016560</v>
      </c>
      <c r="F1826">
        <v>4120</v>
      </c>
      <c r="G1826">
        <v>4240</v>
      </c>
      <c r="H1826">
        <v>4240</v>
      </c>
      <c r="I1826">
        <v>120</v>
      </c>
      <c r="J1826">
        <v>2.91</v>
      </c>
      <c r="K1826">
        <v>4240</v>
      </c>
      <c r="L1826">
        <v>120</v>
      </c>
      <c r="M1826">
        <v>2.91</v>
      </c>
      <c r="N1826">
        <v>4240</v>
      </c>
      <c r="O1826">
        <v>4240</v>
      </c>
      <c r="P1826">
        <v>949</v>
      </c>
      <c r="Q1826">
        <v>4.47</v>
      </c>
      <c r="R1826">
        <v>7</v>
      </c>
      <c r="S1826">
        <v>923434</v>
      </c>
      <c r="T1826">
        <v>4240</v>
      </c>
      <c r="U1826">
        <v>0</v>
      </c>
      <c r="V1826">
        <v>0</v>
      </c>
      <c r="W1826">
        <v>0</v>
      </c>
      <c r="X1826" s="367"/>
    </row>
    <row r="1827" spans="1:24">
      <c r="A1827" t="s">
        <v>7818</v>
      </c>
      <c r="B1827" t="s">
        <v>7819</v>
      </c>
      <c r="C1827">
        <v>16</v>
      </c>
      <c r="D1827">
        <v>5196214</v>
      </c>
      <c r="E1827">
        <v>1688769550</v>
      </c>
      <c r="F1827">
        <v>335</v>
      </c>
      <c r="G1827">
        <v>325</v>
      </c>
      <c r="H1827">
        <v>325</v>
      </c>
      <c r="I1827">
        <v>-10</v>
      </c>
      <c r="J1827">
        <v>-2.99</v>
      </c>
      <c r="K1827">
        <v>325</v>
      </c>
      <c r="L1827">
        <v>-10</v>
      </c>
      <c r="M1827">
        <v>-2.99</v>
      </c>
      <c r="N1827">
        <v>325</v>
      </c>
      <c r="O1827">
        <v>325</v>
      </c>
      <c r="P1827" t="s">
        <v>192</v>
      </c>
      <c r="Q1827" t="s">
        <v>192</v>
      </c>
      <c r="R1827">
        <v>0</v>
      </c>
      <c r="S1827">
        <v>0</v>
      </c>
      <c r="T1827">
        <v>0</v>
      </c>
      <c r="U1827">
        <v>325</v>
      </c>
      <c r="V1827">
        <v>160230460</v>
      </c>
      <c r="W1827">
        <v>118</v>
      </c>
      <c r="X1827" s="367"/>
    </row>
    <row r="1828" spans="1:24">
      <c r="A1828" t="s">
        <v>5436</v>
      </c>
      <c r="B1828" t="s">
        <v>5437</v>
      </c>
      <c r="C1828">
        <v>0</v>
      </c>
      <c r="D1828">
        <v>0</v>
      </c>
      <c r="E1828">
        <v>0</v>
      </c>
      <c r="F1828">
        <v>1000000</v>
      </c>
      <c r="G1828">
        <v>0</v>
      </c>
      <c r="H1828">
        <v>1000000</v>
      </c>
      <c r="I1828">
        <v>0</v>
      </c>
      <c r="J1828">
        <v>0</v>
      </c>
      <c r="K1828">
        <v>1000000</v>
      </c>
      <c r="L1828">
        <v>0</v>
      </c>
      <c r="M1828">
        <v>0</v>
      </c>
      <c r="N1828">
        <v>0</v>
      </c>
      <c r="O1828">
        <v>0</v>
      </c>
      <c r="P1828" t="s">
        <v>192</v>
      </c>
      <c r="Q1828" t="s">
        <v>192</v>
      </c>
      <c r="R1828">
        <v>1</v>
      </c>
      <c r="S1828">
        <v>5000</v>
      </c>
      <c r="T1828">
        <v>1000000</v>
      </c>
      <c r="U1828">
        <v>0</v>
      </c>
      <c r="V1828">
        <v>0</v>
      </c>
      <c r="W1828">
        <v>0</v>
      </c>
      <c r="X1828" s="367"/>
    </row>
    <row r="1829" spans="1:24">
      <c r="A1829" t="s">
        <v>5438</v>
      </c>
      <c r="B1829" t="s">
        <v>5439</v>
      </c>
      <c r="C1829">
        <v>0</v>
      </c>
      <c r="D1829">
        <v>0</v>
      </c>
      <c r="E1829">
        <v>0</v>
      </c>
      <c r="F1829">
        <v>970036</v>
      </c>
      <c r="G1829">
        <v>0</v>
      </c>
      <c r="H1829">
        <v>999100</v>
      </c>
      <c r="I1829">
        <v>29064</v>
      </c>
      <c r="J1829">
        <v>3</v>
      </c>
      <c r="K1829">
        <v>970036</v>
      </c>
      <c r="L1829">
        <v>0</v>
      </c>
      <c r="M1829">
        <v>0</v>
      </c>
      <c r="N1829">
        <v>0</v>
      </c>
      <c r="O1829">
        <v>0</v>
      </c>
      <c r="P1829" t="s">
        <v>192</v>
      </c>
      <c r="Q1829" t="s">
        <v>192</v>
      </c>
      <c r="R1829">
        <v>1</v>
      </c>
      <c r="S1829">
        <v>10000</v>
      </c>
      <c r="T1829">
        <v>999100</v>
      </c>
      <c r="U1829">
        <v>0</v>
      </c>
      <c r="V1829">
        <v>0</v>
      </c>
      <c r="W1829">
        <v>0</v>
      </c>
      <c r="X1829" s="367"/>
    </row>
    <row r="1830" spans="1:24">
      <c r="A1830" t="s">
        <v>932</v>
      </c>
      <c r="B1830" t="s">
        <v>2314</v>
      </c>
      <c r="C1830">
        <v>399</v>
      </c>
      <c r="D1830">
        <v>288241</v>
      </c>
      <c r="E1830">
        <v>52713408900</v>
      </c>
      <c r="F1830">
        <v>179100</v>
      </c>
      <c r="G1830">
        <v>184300</v>
      </c>
      <c r="H1830">
        <v>184400</v>
      </c>
      <c r="I1830">
        <v>5300</v>
      </c>
      <c r="J1830">
        <v>2.96</v>
      </c>
      <c r="K1830">
        <v>182900</v>
      </c>
      <c r="L1830">
        <v>3800</v>
      </c>
      <c r="M1830">
        <v>2.12</v>
      </c>
      <c r="N1830">
        <v>179200</v>
      </c>
      <c r="O1830">
        <v>184400</v>
      </c>
      <c r="P1830">
        <v>19436</v>
      </c>
      <c r="Q1830">
        <v>9.41</v>
      </c>
      <c r="R1830">
        <v>2</v>
      </c>
      <c r="S1830">
        <v>237</v>
      </c>
      <c r="T1830">
        <v>184300</v>
      </c>
      <c r="U1830">
        <v>0</v>
      </c>
      <c r="V1830">
        <v>0</v>
      </c>
      <c r="W1830">
        <v>0</v>
      </c>
      <c r="X1830" s="367"/>
    </row>
    <row r="1831" spans="1:24">
      <c r="A1831" t="s">
        <v>5440</v>
      </c>
      <c r="B1831" t="s">
        <v>5441</v>
      </c>
      <c r="C1831">
        <v>298</v>
      </c>
      <c r="D1831">
        <v>18489017</v>
      </c>
      <c r="E1831">
        <v>548589757898</v>
      </c>
      <c r="F1831">
        <v>29613</v>
      </c>
      <c r="G1831">
        <v>29671</v>
      </c>
      <c r="H1831">
        <v>29672</v>
      </c>
      <c r="I1831">
        <v>59</v>
      </c>
      <c r="J1831">
        <v>0.2</v>
      </c>
      <c r="K1831">
        <v>29671</v>
      </c>
      <c r="L1831">
        <v>58</v>
      </c>
      <c r="M1831">
        <v>0.2</v>
      </c>
      <c r="N1831">
        <v>29671</v>
      </c>
      <c r="O1831">
        <v>29672</v>
      </c>
      <c r="P1831" t="s">
        <v>192</v>
      </c>
      <c r="Q1831" t="s">
        <v>192</v>
      </c>
      <c r="R1831">
        <v>5</v>
      </c>
      <c r="S1831">
        <v>50159963</v>
      </c>
      <c r="T1831">
        <v>29671</v>
      </c>
      <c r="U1831">
        <v>29672</v>
      </c>
      <c r="V1831">
        <v>9932610</v>
      </c>
      <c r="W1831">
        <v>2</v>
      </c>
      <c r="X1831" s="367"/>
    </row>
    <row r="1832" spans="1:24">
      <c r="A1832" t="s">
        <v>8833</v>
      </c>
      <c r="B1832" t="s">
        <v>2782</v>
      </c>
      <c r="C1832">
        <v>2</v>
      </c>
      <c r="D1832">
        <v>1089</v>
      </c>
      <c r="E1832">
        <v>17565570</v>
      </c>
      <c r="F1832">
        <v>15670</v>
      </c>
      <c r="G1832">
        <v>16130</v>
      </c>
      <c r="H1832">
        <v>16130</v>
      </c>
      <c r="I1832">
        <v>460</v>
      </c>
      <c r="J1832">
        <v>2.94</v>
      </c>
      <c r="K1832">
        <v>16130</v>
      </c>
      <c r="L1832">
        <v>460</v>
      </c>
      <c r="M1832">
        <v>2.94</v>
      </c>
      <c r="N1832">
        <v>16130</v>
      </c>
      <c r="O1832">
        <v>16130</v>
      </c>
      <c r="P1832">
        <v>1968</v>
      </c>
      <c r="Q1832">
        <v>8.1999999999999993</v>
      </c>
      <c r="R1832">
        <v>5</v>
      </c>
      <c r="S1832">
        <v>136547</v>
      </c>
      <c r="T1832">
        <v>16130</v>
      </c>
      <c r="U1832">
        <v>0</v>
      </c>
      <c r="V1832">
        <v>0</v>
      </c>
      <c r="W1832">
        <v>0</v>
      </c>
      <c r="X1832" s="367"/>
    </row>
    <row r="1833" spans="1:24">
      <c r="A1833" t="s">
        <v>5442</v>
      </c>
      <c r="B1833" t="s">
        <v>5443</v>
      </c>
      <c r="C1833">
        <v>2</v>
      </c>
      <c r="D1833">
        <v>128669886</v>
      </c>
      <c r="E1833">
        <v>117887413888143</v>
      </c>
      <c r="F1833">
        <v>898640</v>
      </c>
      <c r="G1833">
        <v>915961</v>
      </c>
      <c r="H1833">
        <v>916440</v>
      </c>
      <c r="I1833">
        <v>17800</v>
      </c>
      <c r="J1833">
        <v>1.98</v>
      </c>
      <c r="K1833">
        <v>916200</v>
      </c>
      <c r="L1833">
        <v>17560</v>
      </c>
      <c r="M1833">
        <v>1.95</v>
      </c>
      <c r="N1833">
        <v>915961</v>
      </c>
      <c r="O1833">
        <v>916440</v>
      </c>
      <c r="P1833" t="s">
        <v>192</v>
      </c>
      <c r="Q1833" t="s">
        <v>192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 s="367"/>
    </row>
    <row r="1834" spans="1:24">
      <c r="A1834" t="s">
        <v>5444</v>
      </c>
      <c r="B1834" t="s">
        <v>5445</v>
      </c>
      <c r="C1834">
        <v>0</v>
      </c>
      <c r="D1834">
        <v>0</v>
      </c>
      <c r="E1834">
        <v>0</v>
      </c>
      <c r="F1834">
        <v>990100</v>
      </c>
      <c r="G1834">
        <v>0</v>
      </c>
      <c r="H1834">
        <v>990100</v>
      </c>
      <c r="I1834">
        <v>0</v>
      </c>
      <c r="J1834">
        <v>0</v>
      </c>
      <c r="K1834">
        <v>990100</v>
      </c>
      <c r="L1834">
        <v>0</v>
      </c>
      <c r="M1834">
        <v>0</v>
      </c>
      <c r="N1834">
        <v>0</v>
      </c>
      <c r="O1834">
        <v>0</v>
      </c>
      <c r="P1834" t="s">
        <v>192</v>
      </c>
      <c r="Q1834" t="s">
        <v>192</v>
      </c>
      <c r="R1834">
        <v>1</v>
      </c>
      <c r="S1834">
        <v>5000</v>
      </c>
      <c r="T1834">
        <v>990100</v>
      </c>
      <c r="U1834">
        <v>1000000</v>
      </c>
      <c r="V1834">
        <v>5000</v>
      </c>
      <c r="W1834">
        <v>1</v>
      </c>
      <c r="X1834" s="367"/>
    </row>
    <row r="1835" spans="1:24">
      <c r="A1835" t="s">
        <v>3004</v>
      </c>
      <c r="B1835" t="s">
        <v>3003</v>
      </c>
      <c r="C1835">
        <v>124</v>
      </c>
      <c r="D1835">
        <v>15326500</v>
      </c>
      <c r="E1835">
        <v>40063471000</v>
      </c>
      <c r="F1835">
        <v>2538</v>
      </c>
      <c r="G1835">
        <v>2614</v>
      </c>
      <c r="H1835">
        <v>2614</v>
      </c>
      <c r="I1835">
        <v>76</v>
      </c>
      <c r="J1835">
        <v>2.99</v>
      </c>
      <c r="K1835">
        <v>2614</v>
      </c>
      <c r="L1835">
        <v>76</v>
      </c>
      <c r="M1835">
        <v>2.99</v>
      </c>
      <c r="N1835">
        <v>2614</v>
      </c>
      <c r="O1835">
        <v>2614</v>
      </c>
      <c r="P1835">
        <v>736</v>
      </c>
      <c r="Q1835">
        <v>3.55</v>
      </c>
      <c r="R1835">
        <v>48</v>
      </c>
      <c r="S1835">
        <v>5857466</v>
      </c>
      <c r="T1835">
        <v>2614</v>
      </c>
      <c r="U1835">
        <v>0</v>
      </c>
      <c r="V1835">
        <v>0</v>
      </c>
      <c r="W1835">
        <v>0</v>
      </c>
      <c r="X1835" s="367"/>
    </row>
    <row r="1836" spans="1:24">
      <c r="A1836" t="s">
        <v>2752</v>
      </c>
      <c r="B1836" t="s">
        <v>2751</v>
      </c>
      <c r="C1836">
        <v>31</v>
      </c>
      <c r="D1836">
        <v>514246</v>
      </c>
      <c r="E1836">
        <v>5852119480</v>
      </c>
      <c r="F1836">
        <v>11050</v>
      </c>
      <c r="G1836">
        <v>11380</v>
      </c>
      <c r="H1836">
        <v>11380</v>
      </c>
      <c r="I1836">
        <v>330</v>
      </c>
      <c r="J1836">
        <v>2.99</v>
      </c>
      <c r="K1836">
        <v>11180</v>
      </c>
      <c r="L1836">
        <v>130</v>
      </c>
      <c r="M1836">
        <v>1.18</v>
      </c>
      <c r="N1836">
        <v>11380</v>
      </c>
      <c r="O1836">
        <v>11380</v>
      </c>
      <c r="P1836">
        <v>911</v>
      </c>
      <c r="Q1836">
        <v>12.27</v>
      </c>
      <c r="R1836">
        <v>20</v>
      </c>
      <c r="S1836">
        <v>1433348</v>
      </c>
      <c r="T1836">
        <v>11380</v>
      </c>
      <c r="U1836">
        <v>0</v>
      </c>
      <c r="V1836">
        <v>0</v>
      </c>
      <c r="W1836">
        <v>0</v>
      </c>
      <c r="X1836" s="367"/>
    </row>
    <row r="1837" spans="1:24">
      <c r="A1837" t="s">
        <v>7747</v>
      </c>
      <c r="B1837" t="s">
        <v>1763</v>
      </c>
      <c r="C1837">
        <v>3</v>
      </c>
      <c r="D1837">
        <v>481537447</v>
      </c>
      <c r="E1837">
        <v>2494363975460</v>
      </c>
      <c r="F1837">
        <v>5030</v>
      </c>
      <c r="G1837">
        <v>5180</v>
      </c>
      <c r="H1837">
        <v>5180</v>
      </c>
      <c r="I1837">
        <v>150</v>
      </c>
      <c r="J1837">
        <v>2.98</v>
      </c>
      <c r="K1837">
        <v>5180</v>
      </c>
      <c r="L1837">
        <v>150</v>
      </c>
      <c r="M1837">
        <v>2.98</v>
      </c>
      <c r="N1837">
        <v>5180</v>
      </c>
      <c r="O1837">
        <v>5180</v>
      </c>
      <c r="P1837">
        <v>492</v>
      </c>
      <c r="Q1837">
        <v>10.53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 s="367"/>
    </row>
    <row r="1838" spans="1:24">
      <c r="A1838" t="s">
        <v>5446</v>
      </c>
      <c r="B1838" t="s">
        <v>5447</v>
      </c>
      <c r="C1838">
        <v>0</v>
      </c>
      <c r="D1838">
        <v>0</v>
      </c>
      <c r="E1838">
        <v>0</v>
      </c>
      <c r="F1838">
        <v>803990</v>
      </c>
      <c r="G1838">
        <v>0</v>
      </c>
      <c r="H1838">
        <v>803990</v>
      </c>
      <c r="I1838">
        <v>0</v>
      </c>
      <c r="J1838">
        <v>0</v>
      </c>
      <c r="K1838">
        <v>803990</v>
      </c>
      <c r="L1838">
        <v>0</v>
      </c>
      <c r="M1838">
        <v>0</v>
      </c>
      <c r="N1838">
        <v>0</v>
      </c>
      <c r="O1838">
        <v>0</v>
      </c>
      <c r="P1838" t="s">
        <v>192</v>
      </c>
      <c r="Q1838" t="s">
        <v>192</v>
      </c>
      <c r="R1838">
        <v>1</v>
      </c>
      <c r="S1838">
        <v>10000</v>
      </c>
      <c r="T1838">
        <v>814520</v>
      </c>
      <c r="U1838">
        <v>0</v>
      </c>
      <c r="V1838">
        <v>0</v>
      </c>
      <c r="W1838">
        <v>0</v>
      </c>
      <c r="X1838" s="367"/>
    </row>
    <row r="1839" spans="1:24">
      <c r="A1839" t="s">
        <v>1677</v>
      </c>
      <c r="B1839" t="s">
        <v>1676</v>
      </c>
      <c r="C1839">
        <v>101</v>
      </c>
      <c r="D1839">
        <v>906119</v>
      </c>
      <c r="E1839">
        <v>41536494960</v>
      </c>
      <c r="F1839">
        <v>44510</v>
      </c>
      <c r="G1839">
        <v>45840</v>
      </c>
      <c r="H1839">
        <v>45840</v>
      </c>
      <c r="I1839">
        <v>1330</v>
      </c>
      <c r="J1839">
        <v>2.99</v>
      </c>
      <c r="K1839">
        <v>45840</v>
      </c>
      <c r="L1839">
        <v>1330</v>
      </c>
      <c r="M1839">
        <v>2.99</v>
      </c>
      <c r="N1839">
        <v>45840</v>
      </c>
      <c r="O1839">
        <v>45840</v>
      </c>
      <c r="P1839">
        <v>6930</v>
      </c>
      <c r="Q1839">
        <v>6.61</v>
      </c>
      <c r="R1839">
        <v>42</v>
      </c>
      <c r="S1839">
        <v>539046</v>
      </c>
      <c r="T1839">
        <v>45840</v>
      </c>
      <c r="U1839">
        <v>0</v>
      </c>
      <c r="V1839">
        <v>0</v>
      </c>
      <c r="W1839">
        <v>0</v>
      </c>
      <c r="X1839" s="367"/>
    </row>
    <row r="1840" spans="1:24">
      <c r="A1840" t="s">
        <v>5448</v>
      </c>
      <c r="B1840" t="s">
        <v>5449</v>
      </c>
      <c r="C1840">
        <v>336</v>
      </c>
      <c r="D1840">
        <v>6670433</v>
      </c>
      <c r="E1840">
        <v>100903639991</v>
      </c>
      <c r="F1840">
        <v>14687</v>
      </c>
      <c r="G1840">
        <v>15127</v>
      </c>
      <c r="H1840">
        <v>15127</v>
      </c>
      <c r="I1840">
        <v>440</v>
      </c>
      <c r="J1840">
        <v>3</v>
      </c>
      <c r="K1840">
        <v>15127</v>
      </c>
      <c r="L1840">
        <v>440</v>
      </c>
      <c r="M1840">
        <v>3</v>
      </c>
      <c r="N1840">
        <v>15127</v>
      </c>
      <c r="O1840">
        <v>15127</v>
      </c>
      <c r="P1840" t="s">
        <v>192</v>
      </c>
      <c r="Q1840" t="s">
        <v>192</v>
      </c>
      <c r="R1840">
        <v>114</v>
      </c>
      <c r="S1840">
        <v>2023832</v>
      </c>
      <c r="T1840">
        <v>15127</v>
      </c>
      <c r="U1840">
        <v>0</v>
      </c>
      <c r="V1840">
        <v>0</v>
      </c>
      <c r="W1840">
        <v>0</v>
      </c>
      <c r="X1840" s="367"/>
    </row>
    <row r="1841" spans="1:24">
      <c r="A1841" t="s">
        <v>5450</v>
      </c>
      <c r="B1841" t="s">
        <v>5451</v>
      </c>
      <c r="C1841">
        <v>439</v>
      </c>
      <c r="D1841">
        <v>35730942</v>
      </c>
      <c r="E1841">
        <v>1301535293292</v>
      </c>
      <c r="F1841">
        <v>35366</v>
      </c>
      <c r="G1841">
        <v>36426</v>
      </c>
      <c r="H1841">
        <v>36426</v>
      </c>
      <c r="I1841">
        <v>1060</v>
      </c>
      <c r="J1841">
        <v>3</v>
      </c>
      <c r="K1841">
        <v>36426</v>
      </c>
      <c r="L1841">
        <v>1060</v>
      </c>
      <c r="M1841">
        <v>3</v>
      </c>
      <c r="N1841">
        <v>36426</v>
      </c>
      <c r="O1841">
        <v>36426</v>
      </c>
      <c r="P1841" t="s">
        <v>192</v>
      </c>
      <c r="Q1841" t="s">
        <v>192</v>
      </c>
      <c r="R1841">
        <v>227</v>
      </c>
      <c r="S1841">
        <v>9220939</v>
      </c>
      <c r="T1841">
        <v>36426</v>
      </c>
      <c r="U1841">
        <v>0</v>
      </c>
      <c r="V1841">
        <v>0</v>
      </c>
      <c r="W1841">
        <v>0</v>
      </c>
      <c r="X1841" s="367"/>
    </row>
    <row r="1842" spans="1:24">
      <c r="A1842" t="s">
        <v>5452</v>
      </c>
      <c r="B1842" t="s">
        <v>5453</v>
      </c>
      <c r="C1842">
        <v>0</v>
      </c>
      <c r="D1842">
        <v>0</v>
      </c>
      <c r="E1842">
        <v>0</v>
      </c>
      <c r="F1842">
        <v>1000000</v>
      </c>
      <c r="G1842">
        <v>0</v>
      </c>
      <c r="H1842">
        <v>1000000</v>
      </c>
      <c r="I1842">
        <v>0</v>
      </c>
      <c r="J1842">
        <v>0</v>
      </c>
      <c r="K1842">
        <v>1000000</v>
      </c>
      <c r="L1842">
        <v>0</v>
      </c>
      <c r="M1842">
        <v>0</v>
      </c>
      <c r="N1842">
        <v>0</v>
      </c>
      <c r="O1842">
        <v>0</v>
      </c>
      <c r="P1842" t="s">
        <v>192</v>
      </c>
      <c r="Q1842" t="s">
        <v>192</v>
      </c>
      <c r="R1842">
        <v>1</v>
      </c>
      <c r="S1842">
        <v>100000</v>
      </c>
      <c r="T1842">
        <v>990000</v>
      </c>
      <c r="U1842">
        <v>1000000</v>
      </c>
      <c r="V1842">
        <v>100000</v>
      </c>
      <c r="W1842">
        <v>1</v>
      </c>
      <c r="X1842" s="367"/>
    </row>
    <row r="1843" spans="1:24">
      <c r="A1843" t="s">
        <v>5454</v>
      </c>
      <c r="B1843" t="s">
        <v>4975</v>
      </c>
      <c r="C1843">
        <v>4</v>
      </c>
      <c r="D1843">
        <v>4682</v>
      </c>
      <c r="E1843">
        <v>24814600</v>
      </c>
      <c r="F1843">
        <v>5150</v>
      </c>
      <c r="G1843">
        <v>5300</v>
      </c>
      <c r="H1843">
        <v>5300</v>
      </c>
      <c r="I1843">
        <v>150</v>
      </c>
      <c r="J1843">
        <v>2.91</v>
      </c>
      <c r="K1843">
        <v>5300</v>
      </c>
      <c r="L1843">
        <v>150</v>
      </c>
      <c r="M1843">
        <v>2.91</v>
      </c>
      <c r="N1843">
        <v>5300</v>
      </c>
      <c r="O1843">
        <v>5300</v>
      </c>
      <c r="P1843">
        <v>777</v>
      </c>
      <c r="Q1843">
        <v>6.82</v>
      </c>
      <c r="R1843">
        <v>18</v>
      </c>
      <c r="S1843">
        <v>2898817</v>
      </c>
      <c r="T1843">
        <v>5300</v>
      </c>
      <c r="U1843">
        <v>0</v>
      </c>
      <c r="V1843">
        <v>0</v>
      </c>
      <c r="W1843">
        <v>0</v>
      </c>
      <c r="X1843" s="367"/>
    </row>
    <row r="1844" spans="1:24">
      <c r="A1844" t="s">
        <v>2820</v>
      </c>
      <c r="B1844" t="s">
        <v>2819</v>
      </c>
      <c r="C1844">
        <v>64</v>
      </c>
      <c r="D1844">
        <v>6963244</v>
      </c>
      <c r="E1844">
        <v>20719221737</v>
      </c>
      <c r="F1844">
        <v>2890</v>
      </c>
      <c r="G1844">
        <v>2976</v>
      </c>
      <c r="H1844">
        <v>2976</v>
      </c>
      <c r="I1844">
        <v>86</v>
      </c>
      <c r="J1844">
        <v>2.98</v>
      </c>
      <c r="K1844">
        <v>2976</v>
      </c>
      <c r="L1844">
        <v>86</v>
      </c>
      <c r="M1844">
        <v>2.98</v>
      </c>
      <c r="N1844">
        <v>2935</v>
      </c>
      <c r="O1844">
        <v>2976</v>
      </c>
      <c r="P1844">
        <v>755</v>
      </c>
      <c r="Q1844">
        <v>3.94</v>
      </c>
      <c r="R1844">
        <v>16</v>
      </c>
      <c r="S1844">
        <v>12105706</v>
      </c>
      <c r="T1844">
        <v>2976</v>
      </c>
      <c r="U1844">
        <v>0</v>
      </c>
      <c r="V1844">
        <v>0</v>
      </c>
      <c r="W1844">
        <v>0</v>
      </c>
      <c r="X1844" s="367"/>
    </row>
    <row r="1845" spans="1:24">
      <c r="A1845" t="s">
        <v>2214</v>
      </c>
      <c r="B1845" t="s">
        <v>2213</v>
      </c>
      <c r="C1845">
        <v>470</v>
      </c>
      <c r="D1845">
        <v>10926336</v>
      </c>
      <c r="E1845">
        <v>116639440550</v>
      </c>
      <c r="F1845">
        <v>10370</v>
      </c>
      <c r="G1845">
        <v>10680</v>
      </c>
      <c r="H1845">
        <v>10680</v>
      </c>
      <c r="I1845">
        <v>310</v>
      </c>
      <c r="J1845">
        <v>2.99</v>
      </c>
      <c r="K1845">
        <v>10680</v>
      </c>
      <c r="L1845">
        <v>310</v>
      </c>
      <c r="M1845">
        <v>2.99</v>
      </c>
      <c r="N1845">
        <v>10570</v>
      </c>
      <c r="O1845">
        <v>10680</v>
      </c>
      <c r="P1845">
        <v>1503</v>
      </c>
      <c r="Q1845">
        <v>7.11</v>
      </c>
      <c r="R1845">
        <v>20</v>
      </c>
      <c r="S1845">
        <v>672318</v>
      </c>
      <c r="T1845">
        <v>10680</v>
      </c>
      <c r="U1845">
        <v>10840</v>
      </c>
      <c r="V1845">
        <v>500</v>
      </c>
      <c r="W1845">
        <v>1</v>
      </c>
      <c r="X1845" s="367"/>
    </row>
    <row r="1846" spans="1:24">
      <c r="A1846" t="s">
        <v>7730</v>
      </c>
      <c r="B1846" t="s">
        <v>5907</v>
      </c>
      <c r="C1846">
        <v>21</v>
      </c>
      <c r="D1846">
        <v>199000000</v>
      </c>
      <c r="E1846">
        <v>199000000</v>
      </c>
      <c r="F1846">
        <v>22160</v>
      </c>
      <c r="G1846">
        <v>1</v>
      </c>
      <c r="H1846">
        <v>1</v>
      </c>
      <c r="I1846">
        <v>-22159</v>
      </c>
      <c r="J1846">
        <v>-100</v>
      </c>
      <c r="K1846">
        <v>1</v>
      </c>
      <c r="L1846">
        <v>-22159</v>
      </c>
      <c r="M1846">
        <v>-100</v>
      </c>
      <c r="N1846">
        <v>1</v>
      </c>
      <c r="O1846">
        <v>1</v>
      </c>
      <c r="P1846" t="s">
        <v>192</v>
      </c>
      <c r="Q1846" t="s">
        <v>192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 s="367"/>
    </row>
    <row r="1847" spans="1:24">
      <c r="A1847" t="s">
        <v>6487</v>
      </c>
      <c r="B1847" t="s">
        <v>4945</v>
      </c>
      <c r="C1847">
        <v>1</v>
      </c>
      <c r="D1847">
        <v>1398260</v>
      </c>
      <c r="E1847">
        <v>149943809360</v>
      </c>
      <c r="F1847">
        <v>106987</v>
      </c>
      <c r="G1847">
        <v>107236</v>
      </c>
      <c r="H1847">
        <v>107236</v>
      </c>
      <c r="I1847">
        <v>249</v>
      </c>
      <c r="J1847">
        <v>0.23</v>
      </c>
      <c r="K1847">
        <v>107236</v>
      </c>
      <c r="L1847">
        <v>249</v>
      </c>
      <c r="M1847">
        <v>0.23</v>
      </c>
      <c r="N1847">
        <v>107236</v>
      </c>
      <c r="O1847">
        <v>107236</v>
      </c>
      <c r="P1847" t="s">
        <v>192</v>
      </c>
      <c r="Q1847" t="s">
        <v>192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 s="367"/>
    </row>
    <row r="1848" spans="1:24">
      <c r="A1848" t="s">
        <v>2756</v>
      </c>
      <c r="B1848" t="s">
        <v>2755</v>
      </c>
      <c r="C1848">
        <v>65</v>
      </c>
      <c r="D1848">
        <v>146166</v>
      </c>
      <c r="E1848">
        <v>3733596650</v>
      </c>
      <c r="F1848">
        <v>25080</v>
      </c>
      <c r="G1848">
        <v>25190</v>
      </c>
      <c r="H1848">
        <v>25580</v>
      </c>
      <c r="I1848">
        <v>500</v>
      </c>
      <c r="J1848">
        <v>1.99</v>
      </c>
      <c r="K1848">
        <v>25540</v>
      </c>
      <c r="L1848">
        <v>460</v>
      </c>
      <c r="M1848">
        <v>1.83</v>
      </c>
      <c r="N1848">
        <v>25190</v>
      </c>
      <c r="O1848">
        <v>25580</v>
      </c>
      <c r="P1848">
        <v>-8479</v>
      </c>
      <c r="Q1848">
        <v>-3.01</v>
      </c>
      <c r="R1848">
        <v>2</v>
      </c>
      <c r="S1848">
        <v>2139</v>
      </c>
      <c r="T1848">
        <v>25190</v>
      </c>
      <c r="U1848">
        <v>25580</v>
      </c>
      <c r="V1848">
        <v>30000</v>
      </c>
      <c r="W1848">
        <v>1</v>
      </c>
      <c r="X1848" s="367"/>
    </row>
    <row r="1849" spans="1:24">
      <c r="A1849" t="s">
        <v>8563</v>
      </c>
      <c r="B1849" t="s">
        <v>4845</v>
      </c>
      <c r="C1849">
        <v>17</v>
      </c>
      <c r="D1849">
        <v>6000000</v>
      </c>
      <c r="E1849">
        <v>6000000</v>
      </c>
      <c r="F1849">
        <v>24580</v>
      </c>
      <c r="G1849">
        <v>1</v>
      </c>
      <c r="H1849">
        <v>1</v>
      </c>
      <c r="I1849">
        <v>-24579</v>
      </c>
      <c r="J1849">
        <v>-100</v>
      </c>
      <c r="K1849">
        <v>1</v>
      </c>
      <c r="L1849">
        <v>-24579</v>
      </c>
      <c r="M1849">
        <v>-100</v>
      </c>
      <c r="N1849">
        <v>1</v>
      </c>
      <c r="O1849">
        <v>1</v>
      </c>
      <c r="P1849" t="s">
        <v>192</v>
      </c>
      <c r="Q1849" t="s">
        <v>192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 s="367"/>
    </row>
    <row r="1850" spans="1:24">
      <c r="A1850" t="s">
        <v>5455</v>
      </c>
      <c r="B1850" t="s">
        <v>5456</v>
      </c>
      <c r="C1850">
        <v>7</v>
      </c>
      <c r="D1850">
        <v>53005</v>
      </c>
      <c r="E1850">
        <v>792356039</v>
      </c>
      <c r="F1850">
        <v>14653</v>
      </c>
      <c r="G1850">
        <v>14879</v>
      </c>
      <c r="H1850">
        <v>15000</v>
      </c>
      <c r="I1850">
        <v>347</v>
      </c>
      <c r="J1850">
        <v>2.37</v>
      </c>
      <c r="K1850">
        <v>14949</v>
      </c>
      <c r="L1850">
        <v>296</v>
      </c>
      <c r="M1850">
        <v>2.02</v>
      </c>
      <c r="N1850">
        <v>14879</v>
      </c>
      <c r="O1850">
        <v>15090</v>
      </c>
      <c r="P1850" t="s">
        <v>192</v>
      </c>
      <c r="Q1850" t="s">
        <v>192</v>
      </c>
      <c r="R1850">
        <v>1</v>
      </c>
      <c r="S1850">
        <v>500</v>
      </c>
      <c r="T1850">
        <v>14949</v>
      </c>
      <c r="U1850">
        <v>15000</v>
      </c>
      <c r="V1850">
        <v>3372</v>
      </c>
      <c r="W1850">
        <v>1</v>
      </c>
      <c r="X1850" s="367"/>
    </row>
    <row r="1851" spans="1:24">
      <c r="A1851" t="s">
        <v>1856</v>
      </c>
      <c r="B1851" t="s">
        <v>1855</v>
      </c>
      <c r="C1851">
        <v>1809</v>
      </c>
      <c r="D1851">
        <v>147933381</v>
      </c>
      <c r="E1851">
        <v>316203063263</v>
      </c>
      <c r="F1851">
        <v>2076</v>
      </c>
      <c r="G1851">
        <v>2138</v>
      </c>
      <c r="H1851">
        <v>2138</v>
      </c>
      <c r="I1851">
        <v>62</v>
      </c>
      <c r="J1851">
        <v>2.99</v>
      </c>
      <c r="K1851">
        <v>2137</v>
      </c>
      <c r="L1851">
        <v>61</v>
      </c>
      <c r="M1851">
        <v>2.94</v>
      </c>
      <c r="N1851">
        <v>2090</v>
      </c>
      <c r="O1851">
        <v>2138</v>
      </c>
      <c r="P1851">
        <v>492</v>
      </c>
      <c r="Q1851">
        <v>4.34</v>
      </c>
      <c r="R1851">
        <v>23</v>
      </c>
      <c r="S1851">
        <v>426370</v>
      </c>
      <c r="T1851">
        <v>2138</v>
      </c>
      <c r="U1851">
        <v>0</v>
      </c>
      <c r="V1851">
        <v>0</v>
      </c>
      <c r="W1851">
        <v>0</v>
      </c>
      <c r="X1851" s="367"/>
    </row>
    <row r="1852" spans="1:24">
      <c r="A1852" t="s">
        <v>5457</v>
      </c>
      <c r="B1852" t="s">
        <v>5458</v>
      </c>
      <c r="C1852">
        <v>610</v>
      </c>
      <c r="D1852">
        <v>3530887</v>
      </c>
      <c r="E1852">
        <v>31926869210</v>
      </c>
      <c r="F1852">
        <v>8830</v>
      </c>
      <c r="G1852">
        <v>8960</v>
      </c>
      <c r="H1852">
        <v>9090</v>
      </c>
      <c r="I1852">
        <v>260</v>
      </c>
      <c r="J1852">
        <v>2.94</v>
      </c>
      <c r="K1852">
        <v>9040</v>
      </c>
      <c r="L1852">
        <v>210</v>
      </c>
      <c r="M1852">
        <v>2.38</v>
      </c>
      <c r="N1852">
        <v>8570</v>
      </c>
      <c r="O1852">
        <v>9090</v>
      </c>
      <c r="P1852">
        <v>272</v>
      </c>
      <c r="Q1852">
        <v>33.24</v>
      </c>
      <c r="R1852">
        <v>1</v>
      </c>
      <c r="S1852">
        <v>1000</v>
      </c>
      <c r="T1852">
        <v>9050</v>
      </c>
      <c r="U1852">
        <v>9090</v>
      </c>
      <c r="V1852">
        <v>829008</v>
      </c>
      <c r="W1852">
        <v>54</v>
      </c>
      <c r="X1852" s="367"/>
    </row>
    <row r="1853" spans="1:24">
      <c r="A1853" t="s">
        <v>2519</v>
      </c>
      <c r="B1853" t="s">
        <v>2518</v>
      </c>
      <c r="C1853">
        <v>29</v>
      </c>
      <c r="D1853">
        <v>254185</v>
      </c>
      <c r="E1853">
        <v>3983289490</v>
      </c>
      <c r="F1853">
        <v>15350</v>
      </c>
      <c r="G1853">
        <v>15800</v>
      </c>
      <c r="H1853">
        <v>15810</v>
      </c>
      <c r="I1853">
        <v>460</v>
      </c>
      <c r="J1853">
        <v>3</v>
      </c>
      <c r="K1853">
        <v>15670</v>
      </c>
      <c r="L1853">
        <v>320</v>
      </c>
      <c r="M1853">
        <v>2.08</v>
      </c>
      <c r="N1853">
        <v>15120</v>
      </c>
      <c r="O1853">
        <v>15810</v>
      </c>
      <c r="P1853">
        <v>377</v>
      </c>
      <c r="Q1853">
        <v>41.56</v>
      </c>
      <c r="R1853">
        <v>1</v>
      </c>
      <c r="S1853">
        <v>3273</v>
      </c>
      <c r="T1853">
        <v>15550</v>
      </c>
      <c r="U1853">
        <v>0</v>
      </c>
      <c r="V1853">
        <v>0</v>
      </c>
      <c r="W1853">
        <v>0</v>
      </c>
      <c r="X1853" s="367"/>
    </row>
    <row r="1854" spans="1:24">
      <c r="A1854" t="s">
        <v>2658</v>
      </c>
      <c r="B1854" t="s">
        <v>2657</v>
      </c>
      <c r="C1854">
        <v>9</v>
      </c>
      <c r="D1854">
        <v>32310</v>
      </c>
      <c r="E1854">
        <v>260095500</v>
      </c>
      <c r="F1854">
        <v>7820</v>
      </c>
      <c r="G1854">
        <v>8050</v>
      </c>
      <c r="H1854">
        <v>8050</v>
      </c>
      <c r="I1854">
        <v>230</v>
      </c>
      <c r="J1854">
        <v>2.94</v>
      </c>
      <c r="K1854">
        <v>8050</v>
      </c>
      <c r="L1854">
        <v>230</v>
      </c>
      <c r="M1854">
        <v>2.94</v>
      </c>
      <c r="N1854">
        <v>8050</v>
      </c>
      <c r="O1854">
        <v>8050</v>
      </c>
      <c r="P1854">
        <v>-226</v>
      </c>
      <c r="Q1854">
        <v>-35.619999999999997</v>
      </c>
      <c r="R1854">
        <v>4</v>
      </c>
      <c r="S1854">
        <v>605116</v>
      </c>
      <c r="T1854">
        <v>8050</v>
      </c>
      <c r="U1854">
        <v>0</v>
      </c>
      <c r="V1854">
        <v>0</v>
      </c>
      <c r="W1854">
        <v>0</v>
      </c>
      <c r="X1854" s="367"/>
    </row>
    <row r="1855" spans="1:24">
      <c r="A1855" t="s">
        <v>5459</v>
      </c>
      <c r="B1855" t="s">
        <v>5460</v>
      </c>
      <c r="C1855">
        <v>0</v>
      </c>
      <c r="D1855">
        <v>0</v>
      </c>
      <c r="E1855">
        <v>0</v>
      </c>
      <c r="F1855">
        <v>1000000</v>
      </c>
      <c r="G1855">
        <v>0</v>
      </c>
      <c r="H1855">
        <v>1000000</v>
      </c>
      <c r="I1855">
        <v>0</v>
      </c>
      <c r="J1855">
        <v>0</v>
      </c>
      <c r="K1855">
        <v>1000000</v>
      </c>
      <c r="L1855">
        <v>0</v>
      </c>
      <c r="M1855">
        <v>0</v>
      </c>
      <c r="N1855">
        <v>0</v>
      </c>
      <c r="O1855">
        <v>0</v>
      </c>
      <c r="P1855" t="s">
        <v>192</v>
      </c>
      <c r="Q1855" t="s">
        <v>192</v>
      </c>
      <c r="R1855">
        <v>1</v>
      </c>
      <c r="S1855">
        <v>8000</v>
      </c>
      <c r="T1855">
        <v>1000000</v>
      </c>
      <c r="U1855">
        <v>0</v>
      </c>
      <c r="V1855">
        <v>0</v>
      </c>
      <c r="W1855">
        <v>0</v>
      </c>
      <c r="X1855" s="367"/>
    </row>
    <row r="1856" spans="1:24">
      <c r="A1856" t="s">
        <v>8643</v>
      </c>
      <c r="B1856" t="s">
        <v>8644</v>
      </c>
      <c r="C1856">
        <v>2</v>
      </c>
      <c r="D1856">
        <v>31120992</v>
      </c>
      <c r="E1856">
        <v>24986764387872</v>
      </c>
      <c r="F1856">
        <v>800000</v>
      </c>
      <c r="G1856">
        <v>802652</v>
      </c>
      <c r="H1856">
        <v>803130</v>
      </c>
      <c r="I1856">
        <v>3130</v>
      </c>
      <c r="J1856">
        <v>0.39</v>
      </c>
      <c r="K1856">
        <v>802891</v>
      </c>
      <c r="L1856">
        <v>2891</v>
      </c>
      <c r="M1856">
        <v>0.36</v>
      </c>
      <c r="N1856">
        <v>802652</v>
      </c>
      <c r="O1856">
        <v>803130</v>
      </c>
      <c r="P1856" t="s">
        <v>192</v>
      </c>
      <c r="Q1856" t="s">
        <v>192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 s="367"/>
    </row>
    <row r="1857" spans="1:24">
      <c r="A1857" t="s">
        <v>5462</v>
      </c>
      <c r="B1857" t="s">
        <v>5463</v>
      </c>
      <c r="C1857">
        <v>18</v>
      </c>
      <c r="D1857">
        <v>56802</v>
      </c>
      <c r="E1857">
        <v>1373117261</v>
      </c>
      <c r="F1857">
        <v>23480</v>
      </c>
      <c r="G1857">
        <v>23481</v>
      </c>
      <c r="H1857">
        <v>24180</v>
      </c>
      <c r="I1857">
        <v>700</v>
      </c>
      <c r="J1857">
        <v>2.98</v>
      </c>
      <c r="K1857">
        <v>24174</v>
      </c>
      <c r="L1857">
        <v>694</v>
      </c>
      <c r="M1857">
        <v>2.96</v>
      </c>
      <c r="N1857">
        <v>23481</v>
      </c>
      <c r="O1857">
        <v>24180</v>
      </c>
      <c r="P1857" t="s">
        <v>192</v>
      </c>
      <c r="Q1857" t="s">
        <v>192</v>
      </c>
      <c r="R1857">
        <v>1</v>
      </c>
      <c r="S1857">
        <v>2</v>
      </c>
      <c r="T1857">
        <v>24159</v>
      </c>
      <c r="U1857">
        <v>24179</v>
      </c>
      <c r="V1857">
        <v>36187</v>
      </c>
      <c r="W1857">
        <v>1</v>
      </c>
      <c r="X1857" s="367"/>
    </row>
    <row r="1858" spans="1:24">
      <c r="A1858" t="s">
        <v>5464</v>
      </c>
      <c r="B1858" t="s">
        <v>5465</v>
      </c>
      <c r="C1858">
        <v>1415</v>
      </c>
      <c r="D1858">
        <v>21688493</v>
      </c>
      <c r="E1858">
        <v>252255682878</v>
      </c>
      <c r="F1858">
        <v>11367</v>
      </c>
      <c r="G1858">
        <v>11460</v>
      </c>
      <c r="H1858">
        <v>11691</v>
      </c>
      <c r="I1858">
        <v>324</v>
      </c>
      <c r="J1858">
        <v>2.85</v>
      </c>
      <c r="K1858">
        <v>11631</v>
      </c>
      <c r="L1858">
        <v>264</v>
      </c>
      <c r="M1858">
        <v>2.3199999999999998</v>
      </c>
      <c r="N1858">
        <v>11460</v>
      </c>
      <c r="O1858">
        <v>11697</v>
      </c>
      <c r="P1858" t="s">
        <v>192</v>
      </c>
      <c r="Q1858" t="s">
        <v>192</v>
      </c>
      <c r="R1858">
        <v>2</v>
      </c>
      <c r="S1858">
        <v>60378</v>
      </c>
      <c r="T1858">
        <v>11685</v>
      </c>
      <c r="U1858">
        <v>11690</v>
      </c>
      <c r="V1858">
        <v>12000</v>
      </c>
      <c r="W1858">
        <v>1</v>
      </c>
      <c r="X1858" s="367"/>
    </row>
    <row r="1859" spans="1:24">
      <c r="A1859" t="s">
        <v>5466</v>
      </c>
      <c r="B1859" t="s">
        <v>5467</v>
      </c>
      <c r="C1859">
        <v>0</v>
      </c>
      <c r="D1859">
        <v>0</v>
      </c>
      <c r="E1859">
        <v>0</v>
      </c>
      <c r="F1859">
        <v>862040</v>
      </c>
      <c r="G1859">
        <v>0</v>
      </c>
      <c r="H1859">
        <v>862040</v>
      </c>
      <c r="I1859">
        <v>0</v>
      </c>
      <c r="J1859">
        <v>0</v>
      </c>
      <c r="K1859">
        <v>862040</v>
      </c>
      <c r="L1859">
        <v>0</v>
      </c>
      <c r="M1859">
        <v>0</v>
      </c>
      <c r="N1859">
        <v>0</v>
      </c>
      <c r="O1859">
        <v>0</v>
      </c>
      <c r="P1859" t="s">
        <v>192</v>
      </c>
      <c r="Q1859" t="s">
        <v>192</v>
      </c>
      <c r="R1859">
        <v>1</v>
      </c>
      <c r="S1859">
        <v>500</v>
      </c>
      <c r="T1859">
        <v>865160</v>
      </c>
      <c r="U1859">
        <v>887900</v>
      </c>
      <c r="V1859">
        <v>86</v>
      </c>
      <c r="W1859">
        <v>2</v>
      </c>
      <c r="X1859" s="367"/>
    </row>
    <row r="1860" spans="1:24">
      <c r="A1860" t="s">
        <v>5468</v>
      </c>
      <c r="B1860" t="s">
        <v>2073</v>
      </c>
      <c r="C1860">
        <v>5</v>
      </c>
      <c r="D1860">
        <v>256990</v>
      </c>
      <c r="E1860">
        <v>357216100</v>
      </c>
      <c r="F1860">
        <v>1353</v>
      </c>
      <c r="G1860">
        <v>1390</v>
      </c>
      <c r="H1860">
        <v>1390</v>
      </c>
      <c r="I1860">
        <v>37</v>
      </c>
      <c r="J1860">
        <v>2.73</v>
      </c>
      <c r="K1860">
        <v>1390</v>
      </c>
      <c r="L1860">
        <v>37</v>
      </c>
      <c r="M1860">
        <v>2.73</v>
      </c>
      <c r="N1860">
        <v>1390</v>
      </c>
      <c r="O1860">
        <v>1390</v>
      </c>
      <c r="P1860">
        <v>91</v>
      </c>
      <c r="Q1860">
        <v>15.27</v>
      </c>
      <c r="R1860">
        <v>34</v>
      </c>
      <c r="S1860">
        <v>9730360</v>
      </c>
      <c r="T1860">
        <v>1390</v>
      </c>
      <c r="U1860">
        <v>0</v>
      </c>
      <c r="V1860">
        <v>0</v>
      </c>
      <c r="W1860">
        <v>0</v>
      </c>
      <c r="X1860" s="367"/>
    </row>
    <row r="1861" spans="1:24">
      <c r="A1861" t="s">
        <v>2351</v>
      </c>
      <c r="B1861" t="s">
        <v>2350</v>
      </c>
      <c r="C1861">
        <v>227</v>
      </c>
      <c r="D1861">
        <v>602374</v>
      </c>
      <c r="E1861">
        <v>22955995700</v>
      </c>
      <c r="F1861">
        <v>37000</v>
      </c>
      <c r="G1861">
        <v>38110</v>
      </c>
      <c r="H1861">
        <v>38110</v>
      </c>
      <c r="I1861">
        <v>1110</v>
      </c>
      <c r="J1861">
        <v>3</v>
      </c>
      <c r="K1861">
        <v>38110</v>
      </c>
      <c r="L1861">
        <v>1110</v>
      </c>
      <c r="M1861">
        <v>3</v>
      </c>
      <c r="N1861">
        <v>38100</v>
      </c>
      <c r="O1861">
        <v>38110</v>
      </c>
      <c r="P1861">
        <v>6293</v>
      </c>
      <c r="Q1861">
        <v>6.06</v>
      </c>
      <c r="R1861">
        <v>32</v>
      </c>
      <c r="S1861">
        <v>109822</v>
      </c>
      <c r="T1861">
        <v>38110</v>
      </c>
      <c r="U1861">
        <v>0</v>
      </c>
      <c r="V1861">
        <v>0</v>
      </c>
      <c r="W1861">
        <v>0</v>
      </c>
      <c r="X1861" s="367"/>
    </row>
    <row r="1862" spans="1:24">
      <c r="A1862" t="s">
        <v>8834</v>
      </c>
      <c r="B1862" t="s">
        <v>2953</v>
      </c>
      <c r="C1862">
        <v>1</v>
      </c>
      <c r="D1862">
        <v>3700</v>
      </c>
      <c r="E1862">
        <v>33041000</v>
      </c>
      <c r="F1862">
        <v>8670</v>
      </c>
      <c r="G1862">
        <v>8930</v>
      </c>
      <c r="H1862">
        <v>8930</v>
      </c>
      <c r="I1862">
        <v>260</v>
      </c>
      <c r="J1862">
        <v>3</v>
      </c>
      <c r="K1862">
        <v>8930</v>
      </c>
      <c r="L1862">
        <v>260</v>
      </c>
      <c r="M1862">
        <v>3</v>
      </c>
      <c r="N1862">
        <v>8930</v>
      </c>
      <c r="O1862">
        <v>8930</v>
      </c>
      <c r="P1862">
        <v>2033</v>
      </c>
      <c r="Q1862">
        <v>4.3899999999999997</v>
      </c>
      <c r="R1862">
        <v>98</v>
      </c>
      <c r="S1862">
        <v>23734204</v>
      </c>
      <c r="T1862">
        <v>8930</v>
      </c>
      <c r="U1862">
        <v>0</v>
      </c>
      <c r="V1862">
        <v>0</v>
      </c>
      <c r="W1862">
        <v>0</v>
      </c>
      <c r="X1862" s="367"/>
    </row>
    <row r="1863" spans="1:24">
      <c r="A1863" t="s">
        <v>2089</v>
      </c>
      <c r="B1863" t="s">
        <v>2088</v>
      </c>
      <c r="C1863">
        <v>637</v>
      </c>
      <c r="D1863">
        <v>50161558</v>
      </c>
      <c r="E1863">
        <v>127454415334</v>
      </c>
      <c r="F1863">
        <v>2467</v>
      </c>
      <c r="G1863">
        <v>2541</v>
      </c>
      <c r="H1863">
        <v>2541</v>
      </c>
      <c r="I1863">
        <v>74</v>
      </c>
      <c r="J1863">
        <v>3</v>
      </c>
      <c r="K1863">
        <v>2541</v>
      </c>
      <c r="L1863">
        <v>74</v>
      </c>
      <c r="M1863">
        <v>3</v>
      </c>
      <c r="N1863">
        <v>2538</v>
      </c>
      <c r="O1863">
        <v>2541</v>
      </c>
      <c r="P1863">
        <v>715</v>
      </c>
      <c r="Q1863">
        <v>3.55</v>
      </c>
      <c r="R1863">
        <v>15</v>
      </c>
      <c r="S1863">
        <v>9152162</v>
      </c>
      <c r="T1863">
        <v>2541</v>
      </c>
      <c r="U1863">
        <v>0</v>
      </c>
      <c r="V1863">
        <v>0</v>
      </c>
      <c r="W1863">
        <v>0</v>
      </c>
      <c r="X1863" s="367"/>
    </row>
    <row r="1864" spans="1:24">
      <c r="A1864" t="s">
        <v>1921</v>
      </c>
      <c r="B1864" t="s">
        <v>1920</v>
      </c>
      <c r="C1864">
        <v>1185</v>
      </c>
      <c r="D1864">
        <v>15324940</v>
      </c>
      <c r="E1864">
        <v>139811086720</v>
      </c>
      <c r="F1864">
        <v>9040</v>
      </c>
      <c r="G1864">
        <v>9250</v>
      </c>
      <c r="H1864">
        <v>9000</v>
      </c>
      <c r="I1864">
        <v>-40</v>
      </c>
      <c r="J1864">
        <v>-0.44</v>
      </c>
      <c r="K1864">
        <v>9120</v>
      </c>
      <c r="L1864">
        <v>80</v>
      </c>
      <c r="M1864">
        <v>0.88</v>
      </c>
      <c r="N1864">
        <v>8800</v>
      </c>
      <c r="O1864">
        <v>9280</v>
      </c>
      <c r="P1864">
        <v>308</v>
      </c>
      <c r="Q1864">
        <v>29.61</v>
      </c>
      <c r="R1864">
        <v>4</v>
      </c>
      <c r="S1864">
        <v>48027</v>
      </c>
      <c r="T1864">
        <v>8790</v>
      </c>
      <c r="U1864">
        <v>9000</v>
      </c>
      <c r="V1864">
        <v>293000</v>
      </c>
      <c r="W1864">
        <v>1</v>
      </c>
      <c r="X1864" s="367"/>
    </row>
    <row r="1865" spans="1:24">
      <c r="A1865" t="s">
        <v>8835</v>
      </c>
      <c r="B1865" t="s">
        <v>108</v>
      </c>
      <c r="C1865">
        <v>1</v>
      </c>
      <c r="D1865">
        <v>300000</v>
      </c>
      <c r="E1865">
        <v>1086000000</v>
      </c>
      <c r="F1865">
        <v>3520</v>
      </c>
      <c r="G1865">
        <v>3620</v>
      </c>
      <c r="H1865">
        <v>3620</v>
      </c>
      <c r="I1865">
        <v>100</v>
      </c>
      <c r="J1865">
        <v>2.84</v>
      </c>
      <c r="K1865">
        <v>3620</v>
      </c>
      <c r="L1865">
        <v>100</v>
      </c>
      <c r="M1865">
        <v>2.84</v>
      </c>
      <c r="N1865">
        <v>3620</v>
      </c>
      <c r="O1865">
        <v>3620</v>
      </c>
      <c r="P1865">
        <v>957</v>
      </c>
      <c r="Q1865">
        <v>3.78</v>
      </c>
      <c r="R1865">
        <v>33</v>
      </c>
      <c r="S1865">
        <v>8821560</v>
      </c>
      <c r="T1865">
        <v>3620</v>
      </c>
      <c r="U1865">
        <v>0</v>
      </c>
      <c r="V1865">
        <v>0</v>
      </c>
      <c r="W1865">
        <v>0</v>
      </c>
      <c r="X1865" s="367"/>
    </row>
    <row r="1866" spans="1:24">
      <c r="A1866" t="s">
        <v>5470</v>
      </c>
      <c r="B1866" t="s">
        <v>5471</v>
      </c>
      <c r="C1866">
        <v>0</v>
      </c>
      <c r="D1866">
        <v>0</v>
      </c>
      <c r="E1866">
        <v>0</v>
      </c>
      <c r="F1866">
        <v>2476815</v>
      </c>
      <c r="G1866">
        <v>0</v>
      </c>
      <c r="H1866">
        <v>2476815</v>
      </c>
      <c r="I1866">
        <v>0</v>
      </c>
      <c r="J1866">
        <v>0</v>
      </c>
      <c r="K1866">
        <v>2476815</v>
      </c>
      <c r="L1866">
        <v>0</v>
      </c>
      <c r="M1866">
        <v>0</v>
      </c>
      <c r="N1866">
        <v>0</v>
      </c>
      <c r="O1866">
        <v>0</v>
      </c>
      <c r="P1866" t="s">
        <v>192</v>
      </c>
      <c r="Q1866" t="s">
        <v>192</v>
      </c>
      <c r="R1866">
        <v>1</v>
      </c>
      <c r="S1866">
        <v>5000</v>
      </c>
      <c r="T1866">
        <v>2465283</v>
      </c>
      <c r="U1866">
        <v>2514580</v>
      </c>
      <c r="V1866">
        <v>3449</v>
      </c>
      <c r="W1866">
        <v>1</v>
      </c>
      <c r="X1866" s="367"/>
    </row>
    <row r="1867" spans="1:24">
      <c r="A1867" t="s">
        <v>5472</v>
      </c>
      <c r="B1867" t="s">
        <v>5473</v>
      </c>
      <c r="C1867">
        <v>0</v>
      </c>
      <c r="D1867">
        <v>0</v>
      </c>
      <c r="E1867">
        <v>0</v>
      </c>
      <c r="F1867">
        <v>1586958</v>
      </c>
      <c r="G1867">
        <v>0</v>
      </c>
      <c r="H1867">
        <v>1586958</v>
      </c>
      <c r="I1867">
        <v>0</v>
      </c>
      <c r="J1867">
        <v>0</v>
      </c>
      <c r="K1867">
        <v>1586958</v>
      </c>
      <c r="L1867">
        <v>0</v>
      </c>
      <c r="M1867">
        <v>0</v>
      </c>
      <c r="N1867">
        <v>0</v>
      </c>
      <c r="O1867">
        <v>0</v>
      </c>
      <c r="P1867" t="s">
        <v>192</v>
      </c>
      <c r="Q1867" t="s">
        <v>192</v>
      </c>
      <c r="R1867">
        <v>1</v>
      </c>
      <c r="S1867">
        <v>5000</v>
      </c>
      <c r="T1867">
        <v>1694442</v>
      </c>
      <c r="U1867">
        <v>1728331</v>
      </c>
      <c r="V1867">
        <v>4961</v>
      </c>
      <c r="W1867">
        <v>1</v>
      </c>
      <c r="X1867" s="367"/>
    </row>
    <row r="1868" spans="1:24">
      <c r="A1868" t="s">
        <v>5474</v>
      </c>
      <c r="B1868" t="s">
        <v>5475</v>
      </c>
      <c r="C1868">
        <v>1033</v>
      </c>
      <c r="D1868">
        <v>18631997</v>
      </c>
      <c r="E1868">
        <v>218315226169</v>
      </c>
      <c r="F1868">
        <v>11482</v>
      </c>
      <c r="G1868">
        <v>11607</v>
      </c>
      <c r="H1868">
        <v>11763</v>
      </c>
      <c r="I1868">
        <v>281</v>
      </c>
      <c r="J1868">
        <v>2.4500000000000002</v>
      </c>
      <c r="K1868">
        <v>11717</v>
      </c>
      <c r="L1868">
        <v>235</v>
      </c>
      <c r="M1868">
        <v>2.0499999999999998</v>
      </c>
      <c r="N1868">
        <v>11514</v>
      </c>
      <c r="O1868">
        <v>11800</v>
      </c>
      <c r="P1868" t="s">
        <v>192</v>
      </c>
      <c r="Q1868" t="s">
        <v>192</v>
      </c>
      <c r="R1868">
        <v>2</v>
      </c>
      <c r="S1868">
        <v>522121</v>
      </c>
      <c r="T1868">
        <v>11763</v>
      </c>
      <c r="U1868">
        <v>11777</v>
      </c>
      <c r="V1868">
        <v>1000</v>
      </c>
      <c r="W1868">
        <v>1</v>
      </c>
      <c r="X1868" s="367"/>
    </row>
    <row r="1869" spans="1:24">
      <c r="A1869" t="s">
        <v>5476</v>
      </c>
      <c r="B1869" t="s">
        <v>5477</v>
      </c>
      <c r="C1869">
        <v>0</v>
      </c>
      <c r="D1869">
        <v>0</v>
      </c>
      <c r="E1869">
        <v>0</v>
      </c>
      <c r="F1869">
        <v>1000000</v>
      </c>
      <c r="G1869">
        <v>0</v>
      </c>
      <c r="H1869">
        <v>1000000</v>
      </c>
      <c r="I1869">
        <v>0</v>
      </c>
      <c r="J1869">
        <v>0</v>
      </c>
      <c r="K1869">
        <v>1000000</v>
      </c>
      <c r="L1869">
        <v>0</v>
      </c>
      <c r="M1869">
        <v>0</v>
      </c>
      <c r="N1869">
        <v>0</v>
      </c>
      <c r="O1869">
        <v>0</v>
      </c>
      <c r="P1869" t="s">
        <v>192</v>
      </c>
      <c r="Q1869" t="s">
        <v>192</v>
      </c>
      <c r="R1869">
        <v>1</v>
      </c>
      <c r="S1869">
        <v>5000</v>
      </c>
      <c r="T1869">
        <v>1000000</v>
      </c>
      <c r="U1869">
        <v>0</v>
      </c>
      <c r="V1869">
        <v>0</v>
      </c>
      <c r="W1869">
        <v>0</v>
      </c>
      <c r="X1869" s="367"/>
    </row>
    <row r="1870" spans="1:24">
      <c r="A1870" t="s">
        <v>5478</v>
      </c>
      <c r="B1870" t="s">
        <v>5003</v>
      </c>
      <c r="C1870">
        <v>239</v>
      </c>
      <c r="D1870">
        <v>12079387</v>
      </c>
      <c r="E1870">
        <v>292934337446</v>
      </c>
      <c r="F1870">
        <v>23552</v>
      </c>
      <c r="G1870">
        <v>23950</v>
      </c>
      <c r="H1870">
        <v>24258</v>
      </c>
      <c r="I1870">
        <v>706</v>
      </c>
      <c r="J1870">
        <v>3</v>
      </c>
      <c r="K1870">
        <v>24251</v>
      </c>
      <c r="L1870">
        <v>699</v>
      </c>
      <c r="M1870">
        <v>2.97</v>
      </c>
      <c r="N1870">
        <v>23865</v>
      </c>
      <c r="O1870">
        <v>24258</v>
      </c>
      <c r="P1870" t="s">
        <v>192</v>
      </c>
      <c r="Q1870" t="s">
        <v>192</v>
      </c>
      <c r="R1870">
        <v>1</v>
      </c>
      <c r="S1870">
        <v>100000</v>
      </c>
      <c r="T1870">
        <v>24258</v>
      </c>
      <c r="U1870">
        <v>0</v>
      </c>
      <c r="V1870">
        <v>0</v>
      </c>
      <c r="W1870">
        <v>0</v>
      </c>
      <c r="X1870" s="367"/>
    </row>
    <row r="1871" spans="1:24">
      <c r="A1871" t="s">
        <v>5479</v>
      </c>
      <c r="B1871" t="s">
        <v>5480</v>
      </c>
      <c r="C1871">
        <v>0</v>
      </c>
      <c r="D1871">
        <v>0</v>
      </c>
      <c r="E1871">
        <v>0</v>
      </c>
      <c r="F1871">
        <v>1000000</v>
      </c>
      <c r="G1871">
        <v>0</v>
      </c>
      <c r="H1871">
        <v>1000000</v>
      </c>
      <c r="I1871">
        <v>0</v>
      </c>
      <c r="J1871">
        <v>0</v>
      </c>
      <c r="K1871">
        <v>1000000</v>
      </c>
      <c r="L1871">
        <v>0</v>
      </c>
      <c r="M1871">
        <v>0</v>
      </c>
      <c r="N1871">
        <v>0</v>
      </c>
      <c r="O1871">
        <v>0</v>
      </c>
      <c r="P1871" t="s">
        <v>192</v>
      </c>
      <c r="Q1871" t="s">
        <v>192</v>
      </c>
      <c r="R1871">
        <v>1</v>
      </c>
      <c r="S1871">
        <v>5000</v>
      </c>
      <c r="T1871">
        <v>999900</v>
      </c>
      <c r="U1871">
        <v>1010000</v>
      </c>
      <c r="V1871">
        <v>5000</v>
      </c>
      <c r="W1871">
        <v>1</v>
      </c>
      <c r="X1871" s="367"/>
    </row>
    <row r="1872" spans="1:24">
      <c r="A1872" t="s">
        <v>5481</v>
      </c>
      <c r="B1872" t="s">
        <v>5482</v>
      </c>
      <c r="C1872">
        <v>0</v>
      </c>
      <c r="D1872">
        <v>0</v>
      </c>
      <c r="E1872">
        <v>0</v>
      </c>
      <c r="F1872">
        <v>1000000</v>
      </c>
      <c r="G1872">
        <v>0</v>
      </c>
      <c r="H1872">
        <v>1000000</v>
      </c>
      <c r="I1872">
        <v>0</v>
      </c>
      <c r="J1872">
        <v>0</v>
      </c>
      <c r="K1872">
        <v>1000000</v>
      </c>
      <c r="L1872">
        <v>0</v>
      </c>
      <c r="M1872">
        <v>0</v>
      </c>
      <c r="N1872">
        <v>0</v>
      </c>
      <c r="O1872">
        <v>0</v>
      </c>
      <c r="P1872" t="s">
        <v>192</v>
      </c>
      <c r="Q1872" t="s">
        <v>192</v>
      </c>
      <c r="R1872">
        <v>1</v>
      </c>
      <c r="S1872">
        <v>5000</v>
      </c>
      <c r="T1872">
        <v>995000</v>
      </c>
      <c r="U1872">
        <v>1004900</v>
      </c>
      <c r="V1872">
        <v>5000</v>
      </c>
      <c r="W1872">
        <v>1</v>
      </c>
      <c r="X1872" s="367"/>
    </row>
    <row r="1873" spans="1:24">
      <c r="A1873" t="s">
        <v>5483</v>
      </c>
      <c r="B1873" t="s">
        <v>5484</v>
      </c>
      <c r="C1873">
        <v>0</v>
      </c>
      <c r="D1873">
        <v>0</v>
      </c>
      <c r="E1873">
        <v>0</v>
      </c>
      <c r="F1873">
        <v>755550</v>
      </c>
      <c r="G1873">
        <v>0</v>
      </c>
      <c r="H1873">
        <v>755550</v>
      </c>
      <c r="I1873">
        <v>0</v>
      </c>
      <c r="J1873">
        <v>0</v>
      </c>
      <c r="K1873">
        <v>755550</v>
      </c>
      <c r="L1873">
        <v>0</v>
      </c>
      <c r="M1873">
        <v>0</v>
      </c>
      <c r="N1873">
        <v>0</v>
      </c>
      <c r="O1873">
        <v>0</v>
      </c>
      <c r="P1873" t="s">
        <v>192</v>
      </c>
      <c r="Q1873" t="s">
        <v>192</v>
      </c>
      <c r="R1873">
        <v>1</v>
      </c>
      <c r="S1873">
        <v>5000</v>
      </c>
      <c r="T1873">
        <v>755550</v>
      </c>
      <c r="U1873">
        <v>0</v>
      </c>
      <c r="V1873">
        <v>0</v>
      </c>
      <c r="W1873">
        <v>0</v>
      </c>
      <c r="X1873" s="367"/>
    </row>
    <row r="1874" spans="1:24">
      <c r="A1874" t="s">
        <v>5485</v>
      </c>
      <c r="B1874" t="s">
        <v>5486</v>
      </c>
      <c r="C1874">
        <v>347</v>
      </c>
      <c r="D1874">
        <v>53612816</v>
      </c>
      <c r="E1874">
        <v>2187427744665</v>
      </c>
      <c r="F1874">
        <v>40724</v>
      </c>
      <c r="G1874">
        <v>40800</v>
      </c>
      <c r="H1874">
        <v>40801</v>
      </c>
      <c r="I1874">
        <v>77</v>
      </c>
      <c r="J1874">
        <v>0.19</v>
      </c>
      <c r="K1874">
        <v>40800</v>
      </c>
      <c r="L1874">
        <v>76</v>
      </c>
      <c r="M1874">
        <v>0.19</v>
      </c>
      <c r="N1874">
        <v>40800</v>
      </c>
      <c r="O1874">
        <v>40880</v>
      </c>
      <c r="P1874" t="s">
        <v>192</v>
      </c>
      <c r="Q1874" t="s">
        <v>192</v>
      </c>
      <c r="R1874">
        <v>1</v>
      </c>
      <c r="S1874">
        <v>248690</v>
      </c>
      <c r="T1874">
        <v>40802</v>
      </c>
      <c r="U1874">
        <v>40812</v>
      </c>
      <c r="V1874">
        <v>220594</v>
      </c>
      <c r="W1874">
        <v>1</v>
      </c>
      <c r="X1874" s="367"/>
    </row>
    <row r="1875" spans="1:24">
      <c r="A1875" t="s">
        <v>2584</v>
      </c>
      <c r="B1875" t="s">
        <v>112</v>
      </c>
      <c r="C1875">
        <v>276</v>
      </c>
      <c r="D1875">
        <v>2860427</v>
      </c>
      <c r="E1875">
        <v>21281576880</v>
      </c>
      <c r="F1875">
        <v>7230</v>
      </c>
      <c r="G1875">
        <v>7440</v>
      </c>
      <c r="H1875">
        <v>7440</v>
      </c>
      <c r="I1875">
        <v>210</v>
      </c>
      <c r="J1875">
        <v>2.9</v>
      </c>
      <c r="K1875">
        <v>7440</v>
      </c>
      <c r="L1875">
        <v>210</v>
      </c>
      <c r="M1875">
        <v>2.9</v>
      </c>
      <c r="N1875">
        <v>7440</v>
      </c>
      <c r="O1875">
        <v>7440</v>
      </c>
      <c r="P1875">
        <v>1478</v>
      </c>
      <c r="Q1875">
        <v>5.03</v>
      </c>
      <c r="R1875">
        <v>99</v>
      </c>
      <c r="S1875">
        <v>4629937</v>
      </c>
      <c r="T1875">
        <v>7440</v>
      </c>
      <c r="U1875">
        <v>0</v>
      </c>
      <c r="V1875">
        <v>0</v>
      </c>
      <c r="W1875">
        <v>0</v>
      </c>
      <c r="X1875" s="367"/>
    </row>
    <row r="1876" spans="1:24">
      <c r="A1876" t="s">
        <v>3068</v>
      </c>
      <c r="B1876" t="s">
        <v>3067</v>
      </c>
      <c r="C1876">
        <v>120</v>
      </c>
      <c r="D1876">
        <v>31098348</v>
      </c>
      <c r="E1876">
        <v>26402497452</v>
      </c>
      <c r="F1876">
        <v>825</v>
      </c>
      <c r="G1876">
        <v>849</v>
      </c>
      <c r="H1876">
        <v>849</v>
      </c>
      <c r="I1876">
        <v>24</v>
      </c>
      <c r="J1876">
        <v>2.91</v>
      </c>
      <c r="K1876">
        <v>849</v>
      </c>
      <c r="L1876">
        <v>24</v>
      </c>
      <c r="M1876">
        <v>2.91</v>
      </c>
      <c r="N1876">
        <v>849</v>
      </c>
      <c r="O1876">
        <v>849</v>
      </c>
      <c r="P1876">
        <v>335</v>
      </c>
      <c r="Q1876">
        <v>2.5299999999999998</v>
      </c>
      <c r="R1876">
        <v>62</v>
      </c>
      <c r="S1876">
        <v>10483295</v>
      </c>
      <c r="T1876">
        <v>849</v>
      </c>
      <c r="U1876">
        <v>0</v>
      </c>
      <c r="V1876">
        <v>0</v>
      </c>
      <c r="W1876">
        <v>0</v>
      </c>
      <c r="X1876" s="367"/>
    </row>
    <row r="1877" spans="1:24">
      <c r="A1877" t="s">
        <v>2640</v>
      </c>
      <c r="B1877" t="s">
        <v>2639</v>
      </c>
      <c r="C1877">
        <v>56</v>
      </c>
      <c r="D1877">
        <v>1540164</v>
      </c>
      <c r="E1877">
        <v>35546985120</v>
      </c>
      <c r="F1877">
        <v>22410</v>
      </c>
      <c r="G1877">
        <v>23080</v>
      </c>
      <c r="H1877">
        <v>23080</v>
      </c>
      <c r="I1877">
        <v>670</v>
      </c>
      <c r="J1877">
        <v>2.99</v>
      </c>
      <c r="K1877">
        <v>23080</v>
      </c>
      <c r="L1877">
        <v>670</v>
      </c>
      <c r="M1877">
        <v>2.99</v>
      </c>
      <c r="N1877">
        <v>23080</v>
      </c>
      <c r="O1877">
        <v>23080</v>
      </c>
      <c r="P1877">
        <v>3057</v>
      </c>
      <c r="Q1877">
        <v>7.55</v>
      </c>
      <c r="R1877">
        <v>153</v>
      </c>
      <c r="S1877">
        <v>9009713</v>
      </c>
      <c r="T1877">
        <v>23080</v>
      </c>
      <c r="U1877">
        <v>0</v>
      </c>
      <c r="V1877">
        <v>0</v>
      </c>
      <c r="W1877">
        <v>0</v>
      </c>
      <c r="X1877" s="367"/>
    </row>
    <row r="1878" spans="1:24">
      <c r="A1878" t="s">
        <v>5489</v>
      </c>
      <c r="B1878" t="s">
        <v>5490</v>
      </c>
      <c r="C1878">
        <v>0</v>
      </c>
      <c r="D1878">
        <v>0</v>
      </c>
      <c r="E1878">
        <v>0</v>
      </c>
      <c r="F1878">
        <v>1000000</v>
      </c>
      <c r="G1878">
        <v>0</v>
      </c>
      <c r="H1878">
        <v>1000000</v>
      </c>
      <c r="I1878">
        <v>0</v>
      </c>
      <c r="J1878">
        <v>0</v>
      </c>
      <c r="K1878">
        <v>1000000</v>
      </c>
      <c r="L1878">
        <v>0</v>
      </c>
      <c r="M1878">
        <v>0</v>
      </c>
      <c r="N1878">
        <v>0</v>
      </c>
      <c r="O1878">
        <v>0</v>
      </c>
      <c r="P1878" t="s">
        <v>192</v>
      </c>
      <c r="Q1878" t="s">
        <v>192</v>
      </c>
      <c r="R1878">
        <v>2</v>
      </c>
      <c r="S1878">
        <v>6984</v>
      </c>
      <c r="T1878">
        <v>1000000</v>
      </c>
      <c r="U1878">
        <v>0</v>
      </c>
      <c r="V1878">
        <v>0</v>
      </c>
      <c r="W1878">
        <v>0</v>
      </c>
      <c r="X1878" s="367"/>
    </row>
    <row r="1879" spans="1:24">
      <c r="A1879" t="s">
        <v>5491</v>
      </c>
      <c r="B1879" t="s">
        <v>5492</v>
      </c>
      <c r="C1879">
        <v>148</v>
      </c>
      <c r="D1879">
        <v>17828348</v>
      </c>
      <c r="E1879">
        <v>254820577964</v>
      </c>
      <c r="F1879">
        <v>13877</v>
      </c>
      <c r="G1879">
        <v>14293</v>
      </c>
      <c r="H1879">
        <v>14293</v>
      </c>
      <c r="I1879">
        <v>416</v>
      </c>
      <c r="J1879">
        <v>3</v>
      </c>
      <c r="K1879">
        <v>14293</v>
      </c>
      <c r="L1879">
        <v>416</v>
      </c>
      <c r="M1879">
        <v>3</v>
      </c>
      <c r="N1879">
        <v>14293</v>
      </c>
      <c r="O1879">
        <v>14293</v>
      </c>
      <c r="P1879" t="s">
        <v>192</v>
      </c>
      <c r="Q1879" t="s">
        <v>192</v>
      </c>
      <c r="R1879">
        <v>20</v>
      </c>
      <c r="S1879">
        <v>3893472</v>
      </c>
      <c r="T1879">
        <v>14293</v>
      </c>
      <c r="U1879">
        <v>0</v>
      </c>
      <c r="V1879">
        <v>0</v>
      </c>
      <c r="W1879">
        <v>0</v>
      </c>
      <c r="X1879" s="367"/>
    </row>
    <row r="1880" spans="1:24">
      <c r="A1880" t="s">
        <v>5493</v>
      </c>
      <c r="B1880" t="s">
        <v>5494</v>
      </c>
      <c r="C1880">
        <v>147</v>
      </c>
      <c r="D1880">
        <v>8751980</v>
      </c>
      <c r="E1880">
        <v>45160216800</v>
      </c>
      <c r="F1880">
        <v>5010</v>
      </c>
      <c r="G1880">
        <v>5160</v>
      </c>
      <c r="H1880">
        <v>5160</v>
      </c>
      <c r="I1880">
        <v>150</v>
      </c>
      <c r="J1880">
        <v>2.99</v>
      </c>
      <c r="K1880">
        <v>5160</v>
      </c>
      <c r="L1880">
        <v>150</v>
      </c>
      <c r="M1880">
        <v>2.99</v>
      </c>
      <c r="N1880">
        <v>5160</v>
      </c>
      <c r="O1880">
        <v>5160</v>
      </c>
      <c r="P1880">
        <v>189</v>
      </c>
      <c r="Q1880">
        <v>27.3</v>
      </c>
      <c r="R1880">
        <v>127</v>
      </c>
      <c r="S1880">
        <v>11167461</v>
      </c>
      <c r="T1880">
        <v>5160</v>
      </c>
      <c r="U1880">
        <v>0</v>
      </c>
      <c r="V1880">
        <v>0</v>
      </c>
      <c r="W1880">
        <v>0</v>
      </c>
      <c r="X1880" s="367"/>
    </row>
    <row r="1881" spans="1:24">
      <c r="A1881" t="s">
        <v>8836</v>
      </c>
      <c r="B1881" t="s">
        <v>3110</v>
      </c>
      <c r="C1881">
        <v>9</v>
      </c>
      <c r="D1881">
        <v>1443273</v>
      </c>
      <c r="E1881">
        <v>4719502710</v>
      </c>
      <c r="F1881">
        <v>3180</v>
      </c>
      <c r="G1881">
        <v>3270</v>
      </c>
      <c r="H1881">
        <v>3270</v>
      </c>
      <c r="I1881">
        <v>90</v>
      </c>
      <c r="J1881">
        <v>2.83</v>
      </c>
      <c r="K1881">
        <v>3270</v>
      </c>
      <c r="L1881">
        <v>90</v>
      </c>
      <c r="M1881">
        <v>2.83</v>
      </c>
      <c r="N1881">
        <v>3270</v>
      </c>
      <c r="O1881">
        <v>3270</v>
      </c>
      <c r="P1881">
        <v>711</v>
      </c>
      <c r="Q1881">
        <v>4.5999999999999996</v>
      </c>
      <c r="R1881">
        <v>1070</v>
      </c>
      <c r="S1881">
        <v>312611614</v>
      </c>
      <c r="T1881">
        <v>3270</v>
      </c>
      <c r="U1881">
        <v>0</v>
      </c>
      <c r="V1881">
        <v>0</v>
      </c>
      <c r="W1881">
        <v>0</v>
      </c>
      <c r="X1881" s="367"/>
    </row>
    <row r="1882" spans="1:24">
      <c r="A1882" t="s">
        <v>5495</v>
      </c>
      <c r="B1882" t="s">
        <v>5496</v>
      </c>
      <c r="C1882">
        <v>0</v>
      </c>
      <c r="D1882">
        <v>0</v>
      </c>
      <c r="E1882">
        <v>0</v>
      </c>
      <c r="F1882">
        <v>1000000</v>
      </c>
      <c r="G1882">
        <v>0</v>
      </c>
      <c r="H1882">
        <v>1000000</v>
      </c>
      <c r="I1882">
        <v>0</v>
      </c>
      <c r="J1882">
        <v>0</v>
      </c>
      <c r="K1882">
        <v>1000000</v>
      </c>
      <c r="L1882">
        <v>0</v>
      </c>
      <c r="M1882">
        <v>0</v>
      </c>
      <c r="N1882">
        <v>0</v>
      </c>
      <c r="O1882">
        <v>0</v>
      </c>
      <c r="P1882" t="s">
        <v>192</v>
      </c>
      <c r="Q1882" t="s">
        <v>192</v>
      </c>
      <c r="R1882">
        <v>1</v>
      </c>
      <c r="S1882">
        <v>5000</v>
      </c>
      <c r="T1882">
        <v>1000000</v>
      </c>
      <c r="U1882">
        <v>0</v>
      </c>
      <c r="V1882">
        <v>0</v>
      </c>
      <c r="W1882">
        <v>0</v>
      </c>
      <c r="X1882" s="367"/>
    </row>
    <row r="1883" spans="1:24">
      <c r="A1883" t="s">
        <v>8645</v>
      </c>
      <c r="B1883" t="s">
        <v>8646</v>
      </c>
      <c r="C1883">
        <v>2</v>
      </c>
      <c r="D1883">
        <v>100000000</v>
      </c>
      <c r="E1883">
        <v>96447500000000</v>
      </c>
      <c r="F1883">
        <v>964780</v>
      </c>
      <c r="G1883">
        <v>964230</v>
      </c>
      <c r="H1883">
        <v>964720</v>
      </c>
      <c r="I1883">
        <v>-60</v>
      </c>
      <c r="J1883">
        <v>-0.01</v>
      </c>
      <c r="K1883">
        <v>964475</v>
      </c>
      <c r="L1883">
        <v>-305</v>
      </c>
      <c r="M1883">
        <v>-0.03</v>
      </c>
      <c r="N1883">
        <v>964230</v>
      </c>
      <c r="O1883">
        <v>964720</v>
      </c>
      <c r="P1883" t="s">
        <v>192</v>
      </c>
      <c r="Q1883" t="s">
        <v>192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 s="367"/>
    </row>
    <row r="1884" spans="1:24">
      <c r="A1884" t="s">
        <v>2168</v>
      </c>
      <c r="B1884" t="s">
        <v>2167</v>
      </c>
      <c r="C1884">
        <v>289</v>
      </c>
      <c r="D1884">
        <v>20285937</v>
      </c>
      <c r="E1884">
        <v>41743913587</v>
      </c>
      <c r="F1884">
        <v>1999</v>
      </c>
      <c r="G1884">
        <v>2047</v>
      </c>
      <c r="H1884">
        <v>2058</v>
      </c>
      <c r="I1884">
        <v>59</v>
      </c>
      <c r="J1884">
        <v>2.95</v>
      </c>
      <c r="K1884">
        <v>2058</v>
      </c>
      <c r="L1884">
        <v>59</v>
      </c>
      <c r="M1884">
        <v>2.95</v>
      </c>
      <c r="N1884">
        <v>2047</v>
      </c>
      <c r="O1884">
        <v>2058</v>
      </c>
      <c r="P1884">
        <v>-1825</v>
      </c>
      <c r="Q1884">
        <v>-1.1299999999999999</v>
      </c>
      <c r="R1884">
        <v>6</v>
      </c>
      <c r="S1884">
        <v>940243</v>
      </c>
      <c r="T1884">
        <v>2058</v>
      </c>
      <c r="U1884">
        <v>0</v>
      </c>
      <c r="V1884">
        <v>0</v>
      </c>
      <c r="W1884">
        <v>0</v>
      </c>
      <c r="X1884" s="367"/>
    </row>
    <row r="1885" spans="1:24">
      <c r="A1885" t="s">
        <v>5497</v>
      </c>
      <c r="B1885" t="s">
        <v>5498</v>
      </c>
      <c r="C1885">
        <v>0</v>
      </c>
      <c r="D1885">
        <v>0</v>
      </c>
      <c r="E1885">
        <v>0</v>
      </c>
      <c r="F1885">
        <v>10000</v>
      </c>
      <c r="G1885">
        <v>0</v>
      </c>
      <c r="H1885">
        <v>10000</v>
      </c>
      <c r="I1885">
        <v>0</v>
      </c>
      <c r="J1885">
        <v>0</v>
      </c>
      <c r="K1885">
        <v>10000</v>
      </c>
      <c r="L1885">
        <v>0</v>
      </c>
      <c r="M1885">
        <v>0</v>
      </c>
      <c r="N1885">
        <v>0</v>
      </c>
      <c r="O1885">
        <v>0</v>
      </c>
      <c r="P1885" t="s">
        <v>192</v>
      </c>
      <c r="Q1885" t="s">
        <v>192</v>
      </c>
      <c r="R1885">
        <v>1</v>
      </c>
      <c r="S1885">
        <v>264798</v>
      </c>
      <c r="T1885">
        <v>10000</v>
      </c>
      <c r="U1885">
        <v>0</v>
      </c>
      <c r="V1885">
        <v>0</v>
      </c>
      <c r="W1885">
        <v>0</v>
      </c>
      <c r="X1885" s="367"/>
    </row>
    <row r="1886" spans="1:24">
      <c r="A1886" t="s">
        <v>5499</v>
      </c>
      <c r="B1886" t="s">
        <v>5500</v>
      </c>
      <c r="C1886">
        <v>0</v>
      </c>
      <c r="D1886">
        <v>0</v>
      </c>
      <c r="E1886">
        <v>0</v>
      </c>
      <c r="F1886">
        <v>902500</v>
      </c>
      <c r="G1886">
        <v>0</v>
      </c>
      <c r="H1886">
        <v>902500</v>
      </c>
      <c r="I1886">
        <v>0</v>
      </c>
      <c r="J1886">
        <v>0</v>
      </c>
      <c r="K1886">
        <v>902500</v>
      </c>
      <c r="L1886">
        <v>0</v>
      </c>
      <c r="M1886">
        <v>0</v>
      </c>
      <c r="N1886">
        <v>0</v>
      </c>
      <c r="O1886">
        <v>0</v>
      </c>
      <c r="P1886" t="s">
        <v>192</v>
      </c>
      <c r="Q1886" t="s">
        <v>192</v>
      </c>
      <c r="R1886">
        <v>1</v>
      </c>
      <c r="S1886">
        <v>5000</v>
      </c>
      <c r="T1886">
        <v>902500</v>
      </c>
      <c r="U1886">
        <v>0</v>
      </c>
      <c r="V1886">
        <v>0</v>
      </c>
      <c r="W1886">
        <v>0</v>
      </c>
      <c r="X1886" s="367"/>
    </row>
    <row r="1887" spans="1:24">
      <c r="A1887" t="s">
        <v>194</v>
      </c>
      <c r="B1887" t="s">
        <v>193</v>
      </c>
      <c r="C1887">
        <v>36210</v>
      </c>
      <c r="D1887">
        <v>27811990</v>
      </c>
      <c r="E1887">
        <v>14058704878523</v>
      </c>
      <c r="F1887">
        <v>508624</v>
      </c>
      <c r="G1887">
        <v>508139</v>
      </c>
      <c r="H1887">
        <v>504830</v>
      </c>
      <c r="I1887">
        <v>-3794</v>
      </c>
      <c r="J1887">
        <v>-0.75</v>
      </c>
      <c r="K1887">
        <v>505491</v>
      </c>
      <c r="L1887">
        <v>-3133</v>
      </c>
      <c r="M1887">
        <v>-0.62</v>
      </c>
      <c r="N1887">
        <v>503300</v>
      </c>
      <c r="O1887">
        <v>508142</v>
      </c>
      <c r="P1887" t="s">
        <v>192</v>
      </c>
      <c r="Q1887" t="s">
        <v>192</v>
      </c>
      <c r="R1887">
        <v>8</v>
      </c>
      <c r="S1887">
        <v>3286</v>
      </c>
      <c r="T1887">
        <v>504801</v>
      </c>
      <c r="U1887">
        <v>504813</v>
      </c>
      <c r="V1887">
        <v>39</v>
      </c>
      <c r="W1887">
        <v>1</v>
      </c>
      <c r="X1887" s="367"/>
    </row>
    <row r="1888" spans="1:24">
      <c r="A1888" t="s">
        <v>8837</v>
      </c>
      <c r="B1888" t="s">
        <v>1876</v>
      </c>
      <c r="C1888">
        <v>1</v>
      </c>
      <c r="D1888">
        <v>2417</v>
      </c>
      <c r="E1888">
        <v>4246669</v>
      </c>
      <c r="F1888">
        <v>1706</v>
      </c>
      <c r="G1888">
        <v>1757</v>
      </c>
      <c r="H1888">
        <v>1757</v>
      </c>
      <c r="I1888">
        <v>51</v>
      </c>
      <c r="J1888">
        <v>2.99</v>
      </c>
      <c r="K1888">
        <v>1757</v>
      </c>
      <c r="L1888">
        <v>51</v>
      </c>
      <c r="M1888">
        <v>2.99</v>
      </c>
      <c r="N1888">
        <v>1757</v>
      </c>
      <c r="O1888">
        <v>1757</v>
      </c>
      <c r="P1888">
        <v>404</v>
      </c>
      <c r="Q1888">
        <v>4.3499999999999996</v>
      </c>
      <c r="R1888">
        <v>9</v>
      </c>
      <c r="S1888">
        <v>3498225</v>
      </c>
      <c r="T1888">
        <v>1757</v>
      </c>
      <c r="U1888">
        <v>0</v>
      </c>
      <c r="V1888">
        <v>0</v>
      </c>
      <c r="W1888">
        <v>0</v>
      </c>
      <c r="X1888" s="367"/>
    </row>
    <row r="1889" spans="1:24">
      <c r="A1889" t="s">
        <v>186</v>
      </c>
      <c r="B1889" t="s">
        <v>185</v>
      </c>
      <c r="C1889">
        <v>144</v>
      </c>
      <c r="D1889">
        <v>8558511</v>
      </c>
      <c r="E1889">
        <v>70179790200</v>
      </c>
      <c r="F1889">
        <v>7970</v>
      </c>
      <c r="G1889">
        <v>8200</v>
      </c>
      <c r="H1889">
        <v>8200</v>
      </c>
      <c r="I1889">
        <v>230</v>
      </c>
      <c r="J1889">
        <v>2.89</v>
      </c>
      <c r="K1889">
        <v>8200</v>
      </c>
      <c r="L1889">
        <v>230</v>
      </c>
      <c r="M1889">
        <v>2.89</v>
      </c>
      <c r="N1889">
        <v>8200</v>
      </c>
      <c r="O1889">
        <v>8200</v>
      </c>
      <c r="P1889">
        <v>2053</v>
      </c>
      <c r="Q1889">
        <v>3.99</v>
      </c>
      <c r="R1889">
        <v>54</v>
      </c>
      <c r="S1889">
        <v>1222894</v>
      </c>
      <c r="T1889">
        <v>8200</v>
      </c>
      <c r="U1889">
        <v>0</v>
      </c>
      <c r="V1889">
        <v>0</v>
      </c>
      <c r="W1889">
        <v>0</v>
      </c>
      <c r="X1889" s="367"/>
    </row>
    <row r="1890" spans="1:24">
      <c r="A1890" t="s">
        <v>8761</v>
      </c>
      <c r="B1890" t="s">
        <v>8762</v>
      </c>
      <c r="C1890">
        <v>0</v>
      </c>
      <c r="D1890">
        <v>0</v>
      </c>
      <c r="E1890">
        <v>0</v>
      </c>
      <c r="F1890">
        <v>200000</v>
      </c>
      <c r="G1890">
        <v>0</v>
      </c>
      <c r="H1890">
        <v>200000</v>
      </c>
      <c r="I1890">
        <v>0</v>
      </c>
      <c r="J1890">
        <v>0</v>
      </c>
      <c r="K1890">
        <v>200000</v>
      </c>
      <c r="L1890">
        <v>0</v>
      </c>
      <c r="M1890">
        <v>0</v>
      </c>
      <c r="N1890">
        <v>0</v>
      </c>
      <c r="O1890">
        <v>0</v>
      </c>
      <c r="P1890" t="s">
        <v>192</v>
      </c>
      <c r="Q1890" t="s">
        <v>192</v>
      </c>
      <c r="R1890">
        <v>1</v>
      </c>
      <c r="S1890">
        <v>1000</v>
      </c>
      <c r="T1890">
        <v>180000</v>
      </c>
      <c r="U1890">
        <v>0</v>
      </c>
      <c r="V1890">
        <v>0</v>
      </c>
      <c r="W1890">
        <v>0</v>
      </c>
      <c r="X1890" s="367"/>
    </row>
    <row r="1891" spans="1:24">
      <c r="A1891" t="s">
        <v>5501</v>
      </c>
      <c r="B1891" t="s">
        <v>5502</v>
      </c>
      <c r="C1891">
        <v>0</v>
      </c>
      <c r="D1891">
        <v>0</v>
      </c>
      <c r="E1891">
        <v>0</v>
      </c>
      <c r="F1891">
        <v>1000000</v>
      </c>
      <c r="G1891">
        <v>0</v>
      </c>
      <c r="H1891">
        <v>1000000</v>
      </c>
      <c r="I1891">
        <v>0</v>
      </c>
      <c r="J1891">
        <v>0</v>
      </c>
      <c r="K1891">
        <v>1000000</v>
      </c>
      <c r="L1891">
        <v>0</v>
      </c>
      <c r="M1891">
        <v>0</v>
      </c>
      <c r="N1891">
        <v>0</v>
      </c>
      <c r="O1891">
        <v>0</v>
      </c>
      <c r="P1891" t="s">
        <v>192</v>
      </c>
      <c r="Q1891" t="s">
        <v>192</v>
      </c>
      <c r="R1891">
        <v>1</v>
      </c>
      <c r="S1891">
        <v>5000</v>
      </c>
      <c r="T1891">
        <v>1000000</v>
      </c>
      <c r="U1891">
        <v>0</v>
      </c>
      <c r="V1891">
        <v>0</v>
      </c>
      <c r="W1891">
        <v>0</v>
      </c>
      <c r="X1891" s="367"/>
    </row>
    <row r="1892" spans="1:24">
      <c r="A1892" t="s">
        <v>5503</v>
      </c>
      <c r="B1892" t="s">
        <v>5504</v>
      </c>
      <c r="C1892">
        <v>135</v>
      </c>
      <c r="D1892">
        <v>21621152</v>
      </c>
      <c r="E1892">
        <v>301403285982</v>
      </c>
      <c r="F1892">
        <v>13535</v>
      </c>
      <c r="G1892">
        <v>13941</v>
      </c>
      <c r="H1892">
        <v>13941</v>
      </c>
      <c r="I1892">
        <v>406</v>
      </c>
      <c r="J1892">
        <v>3</v>
      </c>
      <c r="K1892">
        <v>13940</v>
      </c>
      <c r="L1892">
        <v>405</v>
      </c>
      <c r="M1892">
        <v>2.99</v>
      </c>
      <c r="N1892">
        <v>13796</v>
      </c>
      <c r="O1892">
        <v>13941</v>
      </c>
      <c r="P1892" t="s">
        <v>192</v>
      </c>
      <c r="Q1892" t="s">
        <v>192</v>
      </c>
      <c r="R1892">
        <v>1</v>
      </c>
      <c r="S1892">
        <v>39100</v>
      </c>
      <c r="T1892">
        <v>13941</v>
      </c>
      <c r="U1892">
        <v>0</v>
      </c>
      <c r="V1892">
        <v>0</v>
      </c>
      <c r="W1892">
        <v>0</v>
      </c>
      <c r="X1892" s="367"/>
    </row>
    <row r="1893" spans="1:24">
      <c r="A1893" t="s">
        <v>8838</v>
      </c>
      <c r="B1893" t="s">
        <v>2867</v>
      </c>
      <c r="C1893">
        <v>1</v>
      </c>
      <c r="D1893">
        <v>50000</v>
      </c>
      <c r="E1893">
        <v>206500000</v>
      </c>
      <c r="F1893">
        <v>4010</v>
      </c>
      <c r="G1893">
        <v>4130</v>
      </c>
      <c r="H1893">
        <v>4130</v>
      </c>
      <c r="I1893">
        <v>120</v>
      </c>
      <c r="J1893">
        <v>2.99</v>
      </c>
      <c r="K1893">
        <v>4130</v>
      </c>
      <c r="L1893">
        <v>120</v>
      </c>
      <c r="M1893">
        <v>2.99</v>
      </c>
      <c r="N1893">
        <v>4130</v>
      </c>
      <c r="O1893">
        <v>4130</v>
      </c>
      <c r="P1893">
        <v>487</v>
      </c>
      <c r="Q1893">
        <v>8.48</v>
      </c>
      <c r="R1893">
        <v>6</v>
      </c>
      <c r="S1893">
        <v>141123</v>
      </c>
      <c r="T1893">
        <v>4130</v>
      </c>
      <c r="U1893">
        <v>0</v>
      </c>
      <c r="V1893">
        <v>0</v>
      </c>
      <c r="W1893">
        <v>0</v>
      </c>
      <c r="X1893" s="367"/>
    </row>
    <row r="1894" spans="1:24">
      <c r="A1894" t="s">
        <v>5505</v>
      </c>
      <c r="B1894" t="s">
        <v>5506</v>
      </c>
      <c r="C1894">
        <v>442</v>
      </c>
      <c r="D1894">
        <v>138636099</v>
      </c>
      <c r="E1894">
        <v>2622033464725</v>
      </c>
      <c r="F1894">
        <v>18882</v>
      </c>
      <c r="G1894">
        <v>18913</v>
      </c>
      <c r="H1894">
        <v>18914</v>
      </c>
      <c r="I1894">
        <v>32</v>
      </c>
      <c r="J1894">
        <v>0.17</v>
      </c>
      <c r="K1894">
        <v>18913</v>
      </c>
      <c r="L1894">
        <v>31</v>
      </c>
      <c r="M1894">
        <v>0.16</v>
      </c>
      <c r="N1894">
        <v>18913</v>
      </c>
      <c r="O1894">
        <v>18914</v>
      </c>
      <c r="P1894" t="s">
        <v>192</v>
      </c>
      <c r="Q1894" t="s">
        <v>192</v>
      </c>
      <c r="R1894">
        <v>3</v>
      </c>
      <c r="S1894">
        <v>91019672</v>
      </c>
      <c r="T1894">
        <v>18913</v>
      </c>
      <c r="U1894">
        <v>18914</v>
      </c>
      <c r="V1894">
        <v>22045933</v>
      </c>
      <c r="W1894">
        <v>1</v>
      </c>
      <c r="X1894" s="367"/>
    </row>
    <row r="1895" spans="1:24">
      <c r="A1895" t="s">
        <v>8271</v>
      </c>
      <c r="B1895" t="s">
        <v>8272</v>
      </c>
      <c r="C1895">
        <v>441</v>
      </c>
      <c r="D1895">
        <v>8278968</v>
      </c>
      <c r="E1895">
        <v>83784537788</v>
      </c>
      <c r="F1895">
        <v>10159</v>
      </c>
      <c r="G1895">
        <v>10169</v>
      </c>
      <c r="H1895">
        <v>10112</v>
      </c>
      <c r="I1895">
        <v>-47</v>
      </c>
      <c r="J1895">
        <v>-0.46</v>
      </c>
      <c r="K1895">
        <v>10120</v>
      </c>
      <c r="L1895">
        <v>-39</v>
      </c>
      <c r="M1895">
        <v>-0.38</v>
      </c>
      <c r="N1895">
        <v>10108</v>
      </c>
      <c r="O1895">
        <v>10178</v>
      </c>
      <c r="P1895" t="s">
        <v>192</v>
      </c>
      <c r="Q1895" t="s">
        <v>192</v>
      </c>
      <c r="R1895">
        <v>2</v>
      </c>
      <c r="S1895">
        <v>379369</v>
      </c>
      <c r="T1895">
        <v>10112</v>
      </c>
      <c r="U1895">
        <v>10113</v>
      </c>
      <c r="V1895">
        <v>362313</v>
      </c>
      <c r="W1895">
        <v>5</v>
      </c>
      <c r="X1895" s="367"/>
    </row>
    <row r="1896" spans="1:24">
      <c r="A1896" t="s">
        <v>5507</v>
      </c>
      <c r="B1896" t="s">
        <v>5508</v>
      </c>
      <c r="C1896">
        <v>0</v>
      </c>
      <c r="D1896">
        <v>0</v>
      </c>
      <c r="E1896">
        <v>0</v>
      </c>
      <c r="F1896">
        <v>840000</v>
      </c>
      <c r="G1896">
        <v>0</v>
      </c>
      <c r="H1896">
        <v>840000</v>
      </c>
      <c r="I1896">
        <v>0</v>
      </c>
      <c r="J1896">
        <v>0</v>
      </c>
      <c r="K1896">
        <v>840000</v>
      </c>
      <c r="L1896">
        <v>0</v>
      </c>
      <c r="M1896">
        <v>0</v>
      </c>
      <c r="N1896">
        <v>0</v>
      </c>
      <c r="O1896">
        <v>0</v>
      </c>
      <c r="P1896" t="s">
        <v>192</v>
      </c>
      <c r="Q1896" t="s">
        <v>192</v>
      </c>
      <c r="R1896">
        <v>1</v>
      </c>
      <c r="S1896">
        <v>5000</v>
      </c>
      <c r="T1896">
        <v>807040</v>
      </c>
      <c r="U1896">
        <v>0</v>
      </c>
      <c r="V1896">
        <v>0</v>
      </c>
      <c r="W1896">
        <v>0</v>
      </c>
      <c r="X1896" s="367"/>
    </row>
    <row r="1897" spans="1:24">
      <c r="A1897" t="s">
        <v>5509</v>
      </c>
      <c r="B1897" t="s">
        <v>5510</v>
      </c>
      <c r="C1897">
        <v>46</v>
      </c>
      <c r="D1897">
        <v>44726</v>
      </c>
      <c r="E1897">
        <v>2398967794</v>
      </c>
      <c r="F1897">
        <v>52973</v>
      </c>
      <c r="G1897">
        <v>53203</v>
      </c>
      <c r="H1897">
        <v>53800</v>
      </c>
      <c r="I1897">
        <v>827</v>
      </c>
      <c r="J1897">
        <v>1.56</v>
      </c>
      <c r="K1897">
        <v>53637</v>
      </c>
      <c r="L1897">
        <v>664</v>
      </c>
      <c r="M1897">
        <v>1.25</v>
      </c>
      <c r="N1897">
        <v>53203</v>
      </c>
      <c r="O1897">
        <v>54465</v>
      </c>
      <c r="P1897" t="s">
        <v>192</v>
      </c>
      <c r="Q1897" t="s">
        <v>192</v>
      </c>
      <c r="R1897">
        <v>1</v>
      </c>
      <c r="S1897">
        <v>400</v>
      </c>
      <c r="T1897">
        <v>53633</v>
      </c>
      <c r="U1897">
        <v>53800</v>
      </c>
      <c r="V1897">
        <v>1275</v>
      </c>
      <c r="W1897">
        <v>1</v>
      </c>
      <c r="X1897" s="367"/>
    </row>
    <row r="1898" spans="1:24">
      <c r="A1898" t="s">
        <v>5511</v>
      </c>
      <c r="B1898" t="s">
        <v>5512</v>
      </c>
      <c r="C1898">
        <v>0</v>
      </c>
      <c r="D1898">
        <v>0</v>
      </c>
      <c r="E1898">
        <v>0</v>
      </c>
      <c r="F1898">
        <v>1000000</v>
      </c>
      <c r="G1898">
        <v>0</v>
      </c>
      <c r="H1898">
        <v>1000000</v>
      </c>
      <c r="I1898">
        <v>0</v>
      </c>
      <c r="J1898">
        <v>0</v>
      </c>
      <c r="K1898">
        <v>1000000</v>
      </c>
      <c r="L1898">
        <v>0</v>
      </c>
      <c r="M1898">
        <v>0</v>
      </c>
      <c r="N1898">
        <v>0</v>
      </c>
      <c r="O1898">
        <v>0</v>
      </c>
      <c r="P1898" t="s">
        <v>192</v>
      </c>
      <c r="Q1898" t="s">
        <v>192</v>
      </c>
      <c r="R1898">
        <v>1</v>
      </c>
      <c r="S1898">
        <v>5000</v>
      </c>
      <c r="T1898">
        <v>1000000</v>
      </c>
      <c r="U1898">
        <v>1010000</v>
      </c>
      <c r="V1898">
        <v>5000</v>
      </c>
      <c r="W1898">
        <v>1</v>
      </c>
      <c r="X1898" s="367"/>
    </row>
    <row r="1899" spans="1:24">
      <c r="A1899" t="s">
        <v>5513</v>
      </c>
      <c r="B1899" t="s">
        <v>5514</v>
      </c>
      <c r="C1899">
        <v>0</v>
      </c>
      <c r="D1899">
        <v>0</v>
      </c>
      <c r="E1899">
        <v>0</v>
      </c>
      <c r="F1899">
        <v>999245</v>
      </c>
      <c r="G1899">
        <v>0</v>
      </c>
      <c r="H1899">
        <v>1000000</v>
      </c>
      <c r="I1899">
        <v>755</v>
      </c>
      <c r="J1899">
        <v>0.08</v>
      </c>
      <c r="K1899">
        <v>999245</v>
      </c>
      <c r="L1899">
        <v>0</v>
      </c>
      <c r="M1899">
        <v>0</v>
      </c>
      <c r="N1899">
        <v>0</v>
      </c>
      <c r="O1899">
        <v>0</v>
      </c>
      <c r="P1899" t="s">
        <v>192</v>
      </c>
      <c r="Q1899" t="s">
        <v>192</v>
      </c>
      <c r="R1899">
        <v>1</v>
      </c>
      <c r="S1899">
        <v>10000</v>
      </c>
      <c r="T1899">
        <v>995000</v>
      </c>
      <c r="U1899">
        <v>1004950</v>
      </c>
      <c r="V1899">
        <v>5000</v>
      </c>
      <c r="W1899">
        <v>1</v>
      </c>
      <c r="X1899" s="367"/>
    </row>
    <row r="1900" spans="1:24">
      <c r="A1900" t="s">
        <v>5515</v>
      </c>
      <c r="B1900" t="s">
        <v>5516</v>
      </c>
      <c r="C1900">
        <v>166</v>
      </c>
      <c r="D1900">
        <v>930109</v>
      </c>
      <c r="E1900">
        <v>75311219259</v>
      </c>
      <c r="F1900">
        <v>78614</v>
      </c>
      <c r="G1900">
        <v>80972</v>
      </c>
      <c r="H1900">
        <v>80972</v>
      </c>
      <c r="I1900">
        <v>2358</v>
      </c>
      <c r="J1900">
        <v>3</v>
      </c>
      <c r="K1900">
        <v>80970</v>
      </c>
      <c r="L1900">
        <v>2356</v>
      </c>
      <c r="M1900">
        <v>3</v>
      </c>
      <c r="N1900">
        <v>80097</v>
      </c>
      <c r="O1900">
        <v>80972</v>
      </c>
      <c r="P1900" t="s">
        <v>192</v>
      </c>
      <c r="Q1900" t="s">
        <v>192</v>
      </c>
      <c r="R1900">
        <v>13</v>
      </c>
      <c r="S1900">
        <v>41509</v>
      </c>
      <c r="T1900">
        <v>80972</v>
      </c>
      <c r="U1900">
        <v>0</v>
      </c>
      <c r="V1900">
        <v>0</v>
      </c>
      <c r="W1900">
        <v>0</v>
      </c>
      <c r="X1900" s="367"/>
    </row>
    <row r="1901" spans="1:24">
      <c r="A1901" t="s">
        <v>8839</v>
      </c>
      <c r="B1901" t="s">
        <v>5662</v>
      </c>
      <c r="C1901">
        <v>4</v>
      </c>
      <c r="D1901">
        <v>22319103</v>
      </c>
      <c r="E1901">
        <v>22319103</v>
      </c>
      <c r="F1901">
        <v>67233</v>
      </c>
      <c r="G1901">
        <v>1</v>
      </c>
      <c r="H1901">
        <v>1</v>
      </c>
      <c r="I1901">
        <v>-67232</v>
      </c>
      <c r="J1901">
        <v>-100</v>
      </c>
      <c r="K1901">
        <v>1</v>
      </c>
      <c r="L1901">
        <v>-67232</v>
      </c>
      <c r="M1901">
        <v>-100</v>
      </c>
      <c r="N1901">
        <v>1</v>
      </c>
      <c r="O1901">
        <v>1</v>
      </c>
      <c r="P1901" t="s">
        <v>192</v>
      </c>
      <c r="Q1901" t="s">
        <v>192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 s="367"/>
    </row>
    <row r="1902" spans="1:24">
      <c r="A1902" t="s">
        <v>8840</v>
      </c>
      <c r="B1902" t="s">
        <v>3082</v>
      </c>
      <c r="C1902">
        <v>1</v>
      </c>
      <c r="D1902">
        <v>350</v>
      </c>
      <c r="E1902">
        <v>5943000</v>
      </c>
      <c r="F1902">
        <v>16510</v>
      </c>
      <c r="G1902">
        <v>16980</v>
      </c>
      <c r="H1902">
        <v>16980</v>
      </c>
      <c r="I1902">
        <v>470</v>
      </c>
      <c r="J1902">
        <v>2.85</v>
      </c>
      <c r="K1902">
        <v>16980</v>
      </c>
      <c r="L1902">
        <v>470</v>
      </c>
      <c r="M1902">
        <v>2.85</v>
      </c>
      <c r="N1902">
        <v>16980</v>
      </c>
      <c r="O1902">
        <v>16980</v>
      </c>
      <c r="P1902">
        <v>653</v>
      </c>
      <c r="Q1902">
        <v>26</v>
      </c>
      <c r="R1902">
        <v>8</v>
      </c>
      <c r="S1902">
        <v>466295</v>
      </c>
      <c r="T1902">
        <v>16980</v>
      </c>
      <c r="U1902">
        <v>0</v>
      </c>
      <c r="V1902">
        <v>0</v>
      </c>
      <c r="W1902">
        <v>0</v>
      </c>
      <c r="X1902" s="367"/>
    </row>
    <row r="1903" spans="1:24">
      <c r="A1903" t="s">
        <v>1782</v>
      </c>
      <c r="B1903" t="s">
        <v>1781</v>
      </c>
      <c r="C1903">
        <v>189</v>
      </c>
      <c r="D1903">
        <v>1020704</v>
      </c>
      <c r="E1903">
        <v>24194259750</v>
      </c>
      <c r="F1903">
        <v>23040</v>
      </c>
      <c r="G1903">
        <v>23730</v>
      </c>
      <c r="H1903">
        <v>23730</v>
      </c>
      <c r="I1903">
        <v>690</v>
      </c>
      <c r="J1903">
        <v>2.99</v>
      </c>
      <c r="K1903">
        <v>23700</v>
      </c>
      <c r="L1903">
        <v>660</v>
      </c>
      <c r="M1903">
        <v>2.86</v>
      </c>
      <c r="N1903">
        <v>23350</v>
      </c>
      <c r="O1903">
        <v>23730</v>
      </c>
      <c r="P1903">
        <v>309</v>
      </c>
      <c r="Q1903">
        <v>76.7</v>
      </c>
      <c r="R1903">
        <v>10</v>
      </c>
      <c r="S1903">
        <v>155503</v>
      </c>
      <c r="T1903">
        <v>23730</v>
      </c>
      <c r="U1903">
        <v>26640</v>
      </c>
      <c r="V1903">
        <v>190</v>
      </c>
      <c r="W1903">
        <v>1</v>
      </c>
      <c r="X1903" s="367"/>
    </row>
    <row r="1904" spans="1:24">
      <c r="A1904" t="s">
        <v>5517</v>
      </c>
      <c r="B1904" t="s">
        <v>5518</v>
      </c>
      <c r="C1904">
        <v>0</v>
      </c>
      <c r="D1904">
        <v>0</v>
      </c>
      <c r="E1904">
        <v>0</v>
      </c>
      <c r="F1904">
        <v>1000000</v>
      </c>
      <c r="G1904">
        <v>0</v>
      </c>
      <c r="H1904">
        <v>1000000</v>
      </c>
      <c r="I1904">
        <v>0</v>
      </c>
      <c r="J1904">
        <v>0</v>
      </c>
      <c r="K1904">
        <v>1000000</v>
      </c>
      <c r="L1904">
        <v>0</v>
      </c>
      <c r="M1904">
        <v>0</v>
      </c>
      <c r="N1904">
        <v>0</v>
      </c>
      <c r="O1904">
        <v>0</v>
      </c>
      <c r="P1904" t="s">
        <v>192</v>
      </c>
      <c r="Q1904" t="s">
        <v>192</v>
      </c>
      <c r="R1904">
        <v>1</v>
      </c>
      <c r="S1904">
        <v>30000</v>
      </c>
      <c r="T1904">
        <v>970000</v>
      </c>
      <c r="U1904">
        <v>0</v>
      </c>
      <c r="V1904">
        <v>0</v>
      </c>
      <c r="W1904">
        <v>0</v>
      </c>
      <c r="X1904" s="367"/>
    </row>
    <row r="1905" spans="1:24">
      <c r="A1905" t="s">
        <v>2754</v>
      </c>
      <c r="B1905" t="s">
        <v>2753</v>
      </c>
      <c r="C1905">
        <v>375</v>
      </c>
      <c r="D1905">
        <v>45719778</v>
      </c>
      <c r="E1905">
        <v>185165100900</v>
      </c>
      <c r="F1905">
        <v>3940</v>
      </c>
      <c r="G1905">
        <v>4050</v>
      </c>
      <c r="H1905">
        <v>4050</v>
      </c>
      <c r="I1905">
        <v>110</v>
      </c>
      <c r="J1905">
        <v>2.79</v>
      </c>
      <c r="K1905">
        <v>4050</v>
      </c>
      <c r="L1905">
        <v>110</v>
      </c>
      <c r="M1905">
        <v>2.79</v>
      </c>
      <c r="N1905">
        <v>4050</v>
      </c>
      <c r="O1905">
        <v>4050</v>
      </c>
      <c r="P1905">
        <v>738</v>
      </c>
      <c r="Q1905">
        <v>5.49</v>
      </c>
      <c r="R1905">
        <v>38</v>
      </c>
      <c r="S1905">
        <v>2189806</v>
      </c>
      <c r="T1905">
        <v>4050</v>
      </c>
      <c r="U1905">
        <v>0</v>
      </c>
      <c r="V1905">
        <v>0</v>
      </c>
      <c r="W1905">
        <v>0</v>
      </c>
      <c r="X1905" s="367"/>
    </row>
    <row r="1906" spans="1:24">
      <c r="A1906" t="s">
        <v>2759</v>
      </c>
      <c r="B1906" t="s">
        <v>2758</v>
      </c>
      <c r="C1906">
        <v>390</v>
      </c>
      <c r="D1906">
        <v>48483572</v>
      </c>
      <c r="E1906">
        <v>68994134218</v>
      </c>
      <c r="F1906">
        <v>1383</v>
      </c>
      <c r="G1906">
        <v>1410</v>
      </c>
      <c r="H1906">
        <v>1424</v>
      </c>
      <c r="I1906">
        <v>41</v>
      </c>
      <c r="J1906">
        <v>2.96</v>
      </c>
      <c r="K1906">
        <v>1423</v>
      </c>
      <c r="L1906">
        <v>40</v>
      </c>
      <c r="M1906">
        <v>2.89</v>
      </c>
      <c r="N1906">
        <v>1408</v>
      </c>
      <c r="O1906">
        <v>1424</v>
      </c>
      <c r="P1906">
        <v>53</v>
      </c>
      <c r="Q1906">
        <v>26.85</v>
      </c>
      <c r="R1906">
        <v>27</v>
      </c>
      <c r="S1906">
        <v>4950786</v>
      </c>
      <c r="T1906">
        <v>1424</v>
      </c>
      <c r="U1906">
        <v>0</v>
      </c>
      <c r="V1906">
        <v>0</v>
      </c>
      <c r="W1906">
        <v>0</v>
      </c>
      <c r="X1906" s="367"/>
    </row>
    <row r="1907" spans="1:24">
      <c r="A1907" t="s">
        <v>8669</v>
      </c>
      <c r="B1907" t="s">
        <v>5451</v>
      </c>
      <c r="C1907">
        <v>8</v>
      </c>
      <c r="D1907">
        <v>30600000</v>
      </c>
      <c r="E1907">
        <v>30600000</v>
      </c>
      <c r="F1907">
        <v>35366</v>
      </c>
      <c r="G1907">
        <v>1</v>
      </c>
      <c r="H1907">
        <v>1</v>
      </c>
      <c r="I1907">
        <v>-35365</v>
      </c>
      <c r="J1907">
        <v>-100</v>
      </c>
      <c r="K1907">
        <v>1</v>
      </c>
      <c r="L1907">
        <v>-35365</v>
      </c>
      <c r="M1907">
        <v>-100</v>
      </c>
      <c r="N1907">
        <v>1</v>
      </c>
      <c r="O1907">
        <v>1</v>
      </c>
      <c r="P1907" t="s">
        <v>192</v>
      </c>
      <c r="Q1907" t="s">
        <v>192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 s="367"/>
    </row>
    <row r="1908" spans="1:24">
      <c r="A1908" t="s">
        <v>8191</v>
      </c>
      <c r="B1908" t="s">
        <v>8192</v>
      </c>
      <c r="C1908">
        <v>0</v>
      </c>
      <c r="D1908">
        <v>0</v>
      </c>
      <c r="E1908">
        <v>0</v>
      </c>
      <c r="F1908">
        <v>731350</v>
      </c>
      <c r="G1908">
        <v>0</v>
      </c>
      <c r="H1908">
        <v>731350</v>
      </c>
      <c r="I1908">
        <v>0</v>
      </c>
      <c r="J1908">
        <v>0</v>
      </c>
      <c r="K1908">
        <v>731350</v>
      </c>
      <c r="L1908">
        <v>0</v>
      </c>
      <c r="M1908">
        <v>0</v>
      </c>
      <c r="N1908">
        <v>0</v>
      </c>
      <c r="O1908">
        <v>0</v>
      </c>
      <c r="P1908" t="s">
        <v>192</v>
      </c>
      <c r="Q1908" t="s">
        <v>192</v>
      </c>
      <c r="R1908">
        <v>0</v>
      </c>
      <c r="S1908">
        <v>0</v>
      </c>
      <c r="T1908">
        <v>0</v>
      </c>
      <c r="U1908">
        <v>749980</v>
      </c>
      <c r="V1908">
        <v>5000</v>
      </c>
      <c r="W1908">
        <v>1</v>
      </c>
      <c r="X1908" s="367"/>
    </row>
    <row r="1909" spans="1:24">
      <c r="A1909" t="s">
        <v>3056</v>
      </c>
      <c r="B1909" t="s">
        <v>3055</v>
      </c>
      <c r="C1909">
        <v>886</v>
      </c>
      <c r="D1909">
        <v>13771363</v>
      </c>
      <c r="E1909">
        <v>118344022580</v>
      </c>
      <c r="F1909">
        <v>8460</v>
      </c>
      <c r="G1909">
        <v>8710</v>
      </c>
      <c r="H1909">
        <v>8420</v>
      </c>
      <c r="I1909">
        <v>-40</v>
      </c>
      <c r="J1909">
        <v>-0.47</v>
      </c>
      <c r="K1909">
        <v>8590</v>
      </c>
      <c r="L1909">
        <v>130</v>
      </c>
      <c r="M1909">
        <v>1.54</v>
      </c>
      <c r="N1909">
        <v>8230</v>
      </c>
      <c r="O1909">
        <v>8710</v>
      </c>
      <c r="P1909">
        <v>-31</v>
      </c>
      <c r="Q1909">
        <v>-277.10000000000002</v>
      </c>
      <c r="R1909">
        <v>3</v>
      </c>
      <c r="S1909">
        <v>24669</v>
      </c>
      <c r="T1909">
        <v>8400</v>
      </c>
      <c r="U1909">
        <v>8430</v>
      </c>
      <c r="V1909">
        <v>650</v>
      </c>
      <c r="W1909">
        <v>1</v>
      </c>
      <c r="X1909" s="367"/>
    </row>
    <row r="1910" spans="1:24">
      <c r="A1910" t="s">
        <v>5519</v>
      </c>
      <c r="B1910" t="s">
        <v>5520</v>
      </c>
      <c r="C1910">
        <v>190</v>
      </c>
      <c r="D1910">
        <v>11493080</v>
      </c>
      <c r="E1910">
        <v>28295962960</v>
      </c>
      <c r="F1910">
        <v>2391</v>
      </c>
      <c r="G1910">
        <v>2462</v>
      </c>
      <c r="H1910">
        <v>2462</v>
      </c>
      <c r="I1910">
        <v>71</v>
      </c>
      <c r="J1910">
        <v>2.97</v>
      </c>
      <c r="K1910">
        <v>2462</v>
      </c>
      <c r="L1910">
        <v>71</v>
      </c>
      <c r="M1910">
        <v>2.97</v>
      </c>
      <c r="N1910">
        <v>2462</v>
      </c>
      <c r="O1910">
        <v>2462</v>
      </c>
      <c r="P1910">
        <v>226</v>
      </c>
      <c r="Q1910">
        <v>10.89</v>
      </c>
      <c r="R1910">
        <v>34</v>
      </c>
      <c r="S1910">
        <v>1272972</v>
      </c>
      <c r="T1910">
        <v>2462</v>
      </c>
      <c r="U1910">
        <v>0</v>
      </c>
      <c r="V1910">
        <v>0</v>
      </c>
      <c r="W1910">
        <v>0</v>
      </c>
      <c r="X1910" s="367"/>
    </row>
    <row r="1911" spans="1:24">
      <c r="A1911" t="s">
        <v>5521</v>
      </c>
      <c r="B1911" t="s">
        <v>5522</v>
      </c>
      <c r="C1911">
        <v>42</v>
      </c>
      <c r="D1911">
        <v>11322574</v>
      </c>
      <c r="E1911">
        <v>233669110912</v>
      </c>
      <c r="F1911">
        <v>20086</v>
      </c>
      <c r="G1911">
        <v>20688</v>
      </c>
      <c r="H1911">
        <v>20688</v>
      </c>
      <c r="I1911">
        <v>602</v>
      </c>
      <c r="J1911">
        <v>3</v>
      </c>
      <c r="K1911">
        <v>20637</v>
      </c>
      <c r="L1911">
        <v>551</v>
      </c>
      <c r="M1911">
        <v>2.74</v>
      </c>
      <c r="N1911">
        <v>20570</v>
      </c>
      <c r="O1911">
        <v>20688</v>
      </c>
      <c r="P1911" t="s">
        <v>192</v>
      </c>
      <c r="Q1911" t="s">
        <v>192</v>
      </c>
      <c r="R1911">
        <v>3</v>
      </c>
      <c r="S1911">
        <v>644931</v>
      </c>
      <c r="T1911">
        <v>20688</v>
      </c>
      <c r="U1911">
        <v>0</v>
      </c>
      <c r="V1911">
        <v>0</v>
      </c>
      <c r="W1911">
        <v>0</v>
      </c>
      <c r="X1911" s="367"/>
    </row>
    <row r="1912" spans="1:24">
      <c r="A1912" t="s">
        <v>8756</v>
      </c>
      <c r="B1912" t="s">
        <v>2678</v>
      </c>
      <c r="C1912">
        <v>2</v>
      </c>
      <c r="D1912">
        <v>15000000</v>
      </c>
      <c r="E1912">
        <v>107700000000</v>
      </c>
      <c r="F1912">
        <v>6980</v>
      </c>
      <c r="G1912">
        <v>7180</v>
      </c>
      <c r="H1912">
        <v>7180</v>
      </c>
      <c r="I1912">
        <v>200</v>
      </c>
      <c r="J1912">
        <v>2.87</v>
      </c>
      <c r="K1912">
        <v>7180</v>
      </c>
      <c r="L1912">
        <v>200</v>
      </c>
      <c r="M1912">
        <v>2.87</v>
      </c>
      <c r="N1912">
        <v>7180</v>
      </c>
      <c r="O1912">
        <v>7180</v>
      </c>
      <c r="P1912">
        <v>966</v>
      </c>
      <c r="Q1912">
        <v>7.43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 s="367"/>
    </row>
    <row r="1913" spans="1:24">
      <c r="A1913" t="s">
        <v>2369</v>
      </c>
      <c r="B1913" t="s">
        <v>2368</v>
      </c>
      <c r="C1913">
        <v>561</v>
      </c>
      <c r="D1913">
        <v>19451564</v>
      </c>
      <c r="E1913">
        <v>343514620240</v>
      </c>
      <c r="F1913">
        <v>17150</v>
      </c>
      <c r="G1913">
        <v>17660</v>
      </c>
      <c r="H1913">
        <v>17660</v>
      </c>
      <c r="I1913">
        <v>510</v>
      </c>
      <c r="J1913">
        <v>2.97</v>
      </c>
      <c r="K1913">
        <v>17660</v>
      </c>
      <c r="L1913">
        <v>510</v>
      </c>
      <c r="M1913">
        <v>2.97</v>
      </c>
      <c r="N1913">
        <v>17660</v>
      </c>
      <c r="O1913">
        <v>17660</v>
      </c>
      <c r="P1913">
        <v>3704</v>
      </c>
      <c r="Q1913">
        <v>4.7699999999999996</v>
      </c>
      <c r="R1913">
        <v>698</v>
      </c>
      <c r="S1913">
        <v>31101340</v>
      </c>
      <c r="T1913">
        <v>17660</v>
      </c>
      <c r="U1913">
        <v>27560</v>
      </c>
      <c r="V1913">
        <v>5775</v>
      </c>
      <c r="W1913">
        <v>1</v>
      </c>
      <c r="X1913" s="367"/>
    </row>
    <row r="1914" spans="1:24">
      <c r="A1914" t="s">
        <v>5523</v>
      </c>
      <c r="B1914" t="s">
        <v>5524</v>
      </c>
      <c r="C1914">
        <v>0</v>
      </c>
      <c r="D1914">
        <v>0</v>
      </c>
      <c r="E1914">
        <v>0</v>
      </c>
      <c r="F1914">
        <v>1000000</v>
      </c>
      <c r="G1914">
        <v>0</v>
      </c>
      <c r="H1914">
        <v>1000000</v>
      </c>
      <c r="I1914">
        <v>0</v>
      </c>
      <c r="J1914">
        <v>0</v>
      </c>
      <c r="K1914">
        <v>1000000</v>
      </c>
      <c r="L1914">
        <v>0</v>
      </c>
      <c r="M1914">
        <v>0</v>
      </c>
      <c r="N1914">
        <v>0</v>
      </c>
      <c r="O1914">
        <v>0</v>
      </c>
      <c r="P1914" t="s">
        <v>192</v>
      </c>
      <c r="Q1914" t="s">
        <v>192</v>
      </c>
      <c r="R1914">
        <v>1</v>
      </c>
      <c r="S1914">
        <v>3600</v>
      </c>
      <c r="T1914">
        <v>990000</v>
      </c>
      <c r="U1914">
        <v>1000000</v>
      </c>
      <c r="V1914">
        <v>3600</v>
      </c>
      <c r="W1914">
        <v>1</v>
      </c>
      <c r="X1914" s="367"/>
    </row>
    <row r="1915" spans="1:24">
      <c r="A1915" t="s">
        <v>5525</v>
      </c>
      <c r="B1915" t="s">
        <v>5526</v>
      </c>
      <c r="C1915">
        <v>655</v>
      </c>
      <c r="D1915">
        <v>16009023</v>
      </c>
      <c r="E1915">
        <v>663020710606</v>
      </c>
      <c r="F1915">
        <v>41356</v>
      </c>
      <c r="G1915">
        <v>41499</v>
      </c>
      <c r="H1915">
        <v>41429</v>
      </c>
      <c r="I1915">
        <v>73</v>
      </c>
      <c r="J1915">
        <v>0.18</v>
      </c>
      <c r="K1915">
        <v>41415</v>
      </c>
      <c r="L1915">
        <v>59</v>
      </c>
      <c r="M1915">
        <v>0.14000000000000001</v>
      </c>
      <c r="N1915">
        <v>41399</v>
      </c>
      <c r="O1915">
        <v>41499</v>
      </c>
      <c r="P1915" t="s">
        <v>192</v>
      </c>
      <c r="Q1915" t="s">
        <v>192</v>
      </c>
      <c r="R1915">
        <v>2</v>
      </c>
      <c r="S1915">
        <v>90336</v>
      </c>
      <c r="T1915">
        <v>41415</v>
      </c>
      <c r="U1915">
        <v>41429</v>
      </c>
      <c r="V1915">
        <v>58206</v>
      </c>
      <c r="W1915">
        <v>2</v>
      </c>
      <c r="X1915" s="367"/>
    </row>
    <row r="1916" spans="1:24">
      <c r="A1916" t="s">
        <v>6485</v>
      </c>
      <c r="B1916" t="s">
        <v>6486</v>
      </c>
      <c r="C1916">
        <v>106</v>
      </c>
      <c r="D1916">
        <v>122020</v>
      </c>
      <c r="E1916">
        <v>25501595400</v>
      </c>
      <c r="F1916">
        <v>214800</v>
      </c>
      <c r="G1916">
        <v>209300</v>
      </c>
      <c r="H1916">
        <v>208400</v>
      </c>
      <c r="I1916">
        <v>-6400</v>
      </c>
      <c r="J1916">
        <v>-2.98</v>
      </c>
      <c r="K1916">
        <v>209000</v>
      </c>
      <c r="L1916">
        <v>-5800</v>
      </c>
      <c r="M1916">
        <v>-2.7</v>
      </c>
      <c r="N1916">
        <v>208400</v>
      </c>
      <c r="O1916">
        <v>217400</v>
      </c>
      <c r="P1916">
        <v>723</v>
      </c>
      <c r="Q1916">
        <v>289.07</v>
      </c>
      <c r="R1916">
        <v>0</v>
      </c>
      <c r="S1916">
        <v>0</v>
      </c>
      <c r="T1916">
        <v>0</v>
      </c>
      <c r="U1916">
        <v>208400</v>
      </c>
      <c r="V1916">
        <v>549</v>
      </c>
      <c r="W1916">
        <v>2</v>
      </c>
      <c r="X1916" s="367"/>
    </row>
    <row r="1917" spans="1:24">
      <c r="A1917" t="s">
        <v>2506</v>
      </c>
      <c r="B1917" t="s">
        <v>2505</v>
      </c>
      <c r="C1917">
        <v>114</v>
      </c>
      <c r="D1917">
        <v>2776019</v>
      </c>
      <c r="E1917">
        <v>23990732780</v>
      </c>
      <c r="F1917">
        <v>8410</v>
      </c>
      <c r="G1917">
        <v>8660</v>
      </c>
      <c r="H1917">
        <v>8660</v>
      </c>
      <c r="I1917">
        <v>250</v>
      </c>
      <c r="J1917">
        <v>2.97</v>
      </c>
      <c r="K1917">
        <v>8640</v>
      </c>
      <c r="L1917">
        <v>230</v>
      </c>
      <c r="M1917">
        <v>2.73</v>
      </c>
      <c r="N1917">
        <v>8550</v>
      </c>
      <c r="O1917">
        <v>8660</v>
      </c>
      <c r="P1917">
        <v>453</v>
      </c>
      <c r="Q1917">
        <v>19.07</v>
      </c>
      <c r="R1917">
        <v>4</v>
      </c>
      <c r="S1917">
        <v>96000</v>
      </c>
      <c r="T1917">
        <v>8660</v>
      </c>
      <c r="U1917">
        <v>0</v>
      </c>
      <c r="V1917">
        <v>0</v>
      </c>
      <c r="W1917">
        <v>0</v>
      </c>
      <c r="X1917" s="367"/>
    </row>
    <row r="1918" spans="1:24">
      <c r="A1918" t="s">
        <v>2046</v>
      </c>
      <c r="B1918" t="s">
        <v>2045</v>
      </c>
      <c r="C1918">
        <v>29</v>
      </c>
      <c r="D1918">
        <v>344035</v>
      </c>
      <c r="E1918">
        <v>2088292450</v>
      </c>
      <c r="F1918">
        <v>5900</v>
      </c>
      <c r="G1918">
        <v>6070</v>
      </c>
      <c r="H1918">
        <v>6070</v>
      </c>
      <c r="I1918">
        <v>170</v>
      </c>
      <c r="J1918">
        <v>2.88</v>
      </c>
      <c r="K1918">
        <v>6070</v>
      </c>
      <c r="L1918">
        <v>170</v>
      </c>
      <c r="M1918">
        <v>2.88</v>
      </c>
      <c r="N1918">
        <v>6070</v>
      </c>
      <c r="O1918">
        <v>6070</v>
      </c>
      <c r="P1918">
        <v>944</v>
      </c>
      <c r="Q1918">
        <v>6.43</v>
      </c>
      <c r="R1918">
        <v>138</v>
      </c>
      <c r="S1918">
        <v>31993762</v>
      </c>
      <c r="T1918">
        <v>6070</v>
      </c>
      <c r="U1918">
        <v>6090</v>
      </c>
      <c r="V1918">
        <v>10000</v>
      </c>
      <c r="W1918">
        <v>1</v>
      </c>
      <c r="X1918" s="367"/>
    </row>
    <row r="1919" spans="1:24">
      <c r="A1919" t="s">
        <v>2816</v>
      </c>
      <c r="B1919" t="s">
        <v>2815</v>
      </c>
      <c r="C1919">
        <v>241</v>
      </c>
      <c r="D1919">
        <v>34334346</v>
      </c>
      <c r="E1919">
        <v>34052485275</v>
      </c>
      <c r="F1919">
        <v>973</v>
      </c>
      <c r="G1919">
        <v>992</v>
      </c>
      <c r="H1919">
        <v>992</v>
      </c>
      <c r="I1919">
        <v>19</v>
      </c>
      <c r="J1919">
        <v>1.95</v>
      </c>
      <c r="K1919">
        <v>992</v>
      </c>
      <c r="L1919">
        <v>19</v>
      </c>
      <c r="M1919">
        <v>1.95</v>
      </c>
      <c r="N1919">
        <v>985</v>
      </c>
      <c r="O1919">
        <v>992</v>
      </c>
      <c r="P1919">
        <v>-152</v>
      </c>
      <c r="Q1919">
        <v>-6.53</v>
      </c>
      <c r="R1919">
        <v>5</v>
      </c>
      <c r="S1919">
        <v>1186103</v>
      </c>
      <c r="T1919">
        <v>992</v>
      </c>
      <c r="U1919">
        <v>1001</v>
      </c>
      <c r="V1919">
        <v>100</v>
      </c>
      <c r="W1919">
        <v>1</v>
      </c>
      <c r="X1919" s="367"/>
    </row>
    <row r="1920" spans="1:24">
      <c r="A1920" t="s">
        <v>8540</v>
      </c>
      <c r="B1920" t="s">
        <v>8541</v>
      </c>
      <c r="C1920">
        <v>0</v>
      </c>
      <c r="D1920">
        <v>0</v>
      </c>
      <c r="E1920">
        <v>0</v>
      </c>
      <c r="F1920">
        <v>1000000</v>
      </c>
      <c r="G1920">
        <v>0</v>
      </c>
      <c r="H1920">
        <v>1000000</v>
      </c>
      <c r="I1920">
        <v>0</v>
      </c>
      <c r="J1920">
        <v>0</v>
      </c>
      <c r="K1920">
        <v>1000000</v>
      </c>
      <c r="L1920">
        <v>0</v>
      </c>
      <c r="M1920">
        <v>0</v>
      </c>
      <c r="N1920">
        <v>0</v>
      </c>
      <c r="O1920">
        <v>0</v>
      </c>
      <c r="P1920" t="s">
        <v>192</v>
      </c>
      <c r="Q1920" t="s">
        <v>192</v>
      </c>
      <c r="R1920">
        <v>1</v>
      </c>
      <c r="S1920">
        <v>2500</v>
      </c>
      <c r="T1920">
        <v>970000</v>
      </c>
      <c r="U1920">
        <v>0</v>
      </c>
      <c r="V1920">
        <v>0</v>
      </c>
      <c r="W1920">
        <v>0</v>
      </c>
      <c r="X1920" s="367"/>
    </row>
    <row r="1921" spans="1:24">
      <c r="A1921" t="s">
        <v>205</v>
      </c>
      <c r="B1921" t="s">
        <v>204</v>
      </c>
      <c r="C1921">
        <v>141</v>
      </c>
      <c r="D1921">
        <v>8428340</v>
      </c>
      <c r="E1921">
        <v>143205905494</v>
      </c>
      <c r="F1921">
        <v>16497</v>
      </c>
      <c r="G1921">
        <v>16991</v>
      </c>
      <c r="H1921">
        <v>16991</v>
      </c>
      <c r="I1921">
        <v>494</v>
      </c>
      <c r="J1921">
        <v>2.99</v>
      </c>
      <c r="K1921">
        <v>16991</v>
      </c>
      <c r="L1921">
        <v>494</v>
      </c>
      <c r="M1921">
        <v>2.99</v>
      </c>
      <c r="N1921">
        <v>16990</v>
      </c>
      <c r="O1921">
        <v>16991</v>
      </c>
      <c r="P1921" t="s">
        <v>192</v>
      </c>
      <c r="Q1921" t="s">
        <v>192</v>
      </c>
      <c r="R1921">
        <v>2</v>
      </c>
      <c r="S1921">
        <v>200000</v>
      </c>
      <c r="T1921">
        <v>16991</v>
      </c>
      <c r="U1921">
        <v>0</v>
      </c>
      <c r="V1921">
        <v>0</v>
      </c>
      <c r="W1921">
        <v>0</v>
      </c>
      <c r="X1921" s="367"/>
    </row>
    <row r="1922" spans="1:24">
      <c r="A1922" t="s">
        <v>8670</v>
      </c>
      <c r="B1922" t="s">
        <v>2354</v>
      </c>
      <c r="C1922">
        <v>1</v>
      </c>
      <c r="D1922">
        <v>40000000</v>
      </c>
      <c r="E1922">
        <v>218000000000</v>
      </c>
      <c r="F1922">
        <v>5310</v>
      </c>
      <c r="G1922">
        <v>5450</v>
      </c>
      <c r="H1922">
        <v>5450</v>
      </c>
      <c r="I1922">
        <v>140</v>
      </c>
      <c r="J1922">
        <v>2.64</v>
      </c>
      <c r="K1922">
        <v>5450</v>
      </c>
      <c r="L1922">
        <v>140</v>
      </c>
      <c r="M1922">
        <v>2.64</v>
      </c>
      <c r="N1922">
        <v>5450</v>
      </c>
      <c r="O1922">
        <v>5450</v>
      </c>
      <c r="P1922">
        <v>237</v>
      </c>
      <c r="Q1922">
        <v>23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 s="367"/>
    </row>
    <row r="1923" spans="1:24">
      <c r="A1923" t="s">
        <v>2916</v>
      </c>
      <c r="B1923" t="s">
        <v>2915</v>
      </c>
      <c r="C1923">
        <v>304</v>
      </c>
      <c r="D1923">
        <v>8973536</v>
      </c>
      <c r="E1923">
        <v>48352758470</v>
      </c>
      <c r="F1923">
        <v>5240</v>
      </c>
      <c r="G1923">
        <v>5380</v>
      </c>
      <c r="H1923">
        <v>5390</v>
      </c>
      <c r="I1923">
        <v>150</v>
      </c>
      <c r="J1923">
        <v>2.86</v>
      </c>
      <c r="K1923">
        <v>5390</v>
      </c>
      <c r="L1923">
        <v>150</v>
      </c>
      <c r="M1923">
        <v>2.86</v>
      </c>
      <c r="N1923">
        <v>5330</v>
      </c>
      <c r="O1923">
        <v>5390</v>
      </c>
      <c r="P1923">
        <v>-64</v>
      </c>
      <c r="Q1923">
        <v>-84.22</v>
      </c>
      <c r="R1923">
        <v>10</v>
      </c>
      <c r="S1923">
        <v>56966</v>
      </c>
      <c r="T1923">
        <v>5390</v>
      </c>
      <c r="U1923">
        <v>0</v>
      </c>
      <c r="V1923">
        <v>0</v>
      </c>
      <c r="W1923">
        <v>0</v>
      </c>
      <c r="X1923" s="367"/>
    </row>
    <row r="1924" spans="1:24">
      <c r="A1924" t="s">
        <v>5528</v>
      </c>
      <c r="B1924" t="s">
        <v>5529</v>
      </c>
      <c r="C1924">
        <v>0</v>
      </c>
      <c r="D1924">
        <v>0</v>
      </c>
      <c r="E1924">
        <v>0</v>
      </c>
      <c r="F1924">
        <v>1070000</v>
      </c>
      <c r="G1924">
        <v>0</v>
      </c>
      <c r="H1924">
        <v>1070000</v>
      </c>
      <c r="I1924">
        <v>0</v>
      </c>
      <c r="J1924">
        <v>0</v>
      </c>
      <c r="K1924">
        <v>1070000</v>
      </c>
      <c r="L1924">
        <v>0</v>
      </c>
      <c r="M1924">
        <v>0</v>
      </c>
      <c r="N1924">
        <v>0</v>
      </c>
      <c r="O1924">
        <v>0</v>
      </c>
      <c r="P1924" t="s">
        <v>192</v>
      </c>
      <c r="Q1924" t="s">
        <v>192</v>
      </c>
      <c r="R1924">
        <v>1</v>
      </c>
      <c r="S1924">
        <v>100000</v>
      </c>
      <c r="T1924">
        <v>1065000</v>
      </c>
      <c r="U1924">
        <v>1075000</v>
      </c>
      <c r="V1924">
        <v>100000</v>
      </c>
      <c r="W1924">
        <v>1</v>
      </c>
      <c r="X1924" s="367"/>
    </row>
    <row r="1925" spans="1:24">
      <c r="A1925" t="s">
        <v>5530</v>
      </c>
      <c r="B1925" t="s">
        <v>5531</v>
      </c>
      <c r="C1925">
        <v>0</v>
      </c>
      <c r="D1925">
        <v>0</v>
      </c>
      <c r="E1925">
        <v>0</v>
      </c>
      <c r="F1925">
        <v>990100</v>
      </c>
      <c r="G1925">
        <v>0</v>
      </c>
      <c r="H1925">
        <v>990100</v>
      </c>
      <c r="I1925">
        <v>0</v>
      </c>
      <c r="J1925">
        <v>0</v>
      </c>
      <c r="K1925">
        <v>990100</v>
      </c>
      <c r="L1925">
        <v>0</v>
      </c>
      <c r="M1925">
        <v>0</v>
      </c>
      <c r="N1925">
        <v>0</v>
      </c>
      <c r="O1925">
        <v>0</v>
      </c>
      <c r="P1925" t="s">
        <v>192</v>
      </c>
      <c r="Q1925" t="s">
        <v>192</v>
      </c>
      <c r="R1925">
        <v>1</v>
      </c>
      <c r="S1925">
        <v>10000</v>
      </c>
      <c r="T1925">
        <v>990100</v>
      </c>
      <c r="U1925">
        <v>1000000</v>
      </c>
      <c r="V1925">
        <v>10000</v>
      </c>
      <c r="W1925">
        <v>1</v>
      </c>
      <c r="X1925" s="367"/>
    </row>
    <row r="1926" spans="1:24">
      <c r="A1926" t="s">
        <v>2038</v>
      </c>
      <c r="B1926" t="s">
        <v>2037</v>
      </c>
      <c r="C1926">
        <v>177</v>
      </c>
      <c r="D1926">
        <v>631585</v>
      </c>
      <c r="E1926">
        <v>8968951380</v>
      </c>
      <c r="F1926">
        <v>13910</v>
      </c>
      <c r="G1926">
        <v>14310</v>
      </c>
      <c r="H1926">
        <v>14200</v>
      </c>
      <c r="I1926">
        <v>290</v>
      </c>
      <c r="J1926">
        <v>2.08</v>
      </c>
      <c r="K1926">
        <v>14200</v>
      </c>
      <c r="L1926">
        <v>290</v>
      </c>
      <c r="M1926">
        <v>2.08</v>
      </c>
      <c r="N1926">
        <v>14110</v>
      </c>
      <c r="O1926">
        <v>14310</v>
      </c>
      <c r="P1926">
        <v>623</v>
      </c>
      <c r="Q1926">
        <v>22.79</v>
      </c>
      <c r="R1926">
        <v>1</v>
      </c>
      <c r="S1926">
        <v>5000</v>
      </c>
      <c r="T1926">
        <v>14140</v>
      </c>
      <c r="U1926">
        <v>14260</v>
      </c>
      <c r="V1926">
        <v>40199</v>
      </c>
      <c r="W1926">
        <v>3</v>
      </c>
      <c r="X1926" s="367"/>
    </row>
    <row r="1927" spans="1:24">
      <c r="A1927" t="s">
        <v>8841</v>
      </c>
      <c r="B1927" t="s">
        <v>1792</v>
      </c>
      <c r="C1927">
        <v>15</v>
      </c>
      <c r="D1927">
        <v>933</v>
      </c>
      <c r="E1927">
        <v>14620110</v>
      </c>
      <c r="F1927">
        <v>15220</v>
      </c>
      <c r="G1927">
        <v>15670</v>
      </c>
      <c r="H1927">
        <v>15670</v>
      </c>
      <c r="I1927">
        <v>450</v>
      </c>
      <c r="J1927">
        <v>2.96</v>
      </c>
      <c r="K1927">
        <v>15670</v>
      </c>
      <c r="L1927">
        <v>450</v>
      </c>
      <c r="M1927">
        <v>2.96</v>
      </c>
      <c r="N1927">
        <v>15670</v>
      </c>
      <c r="O1927">
        <v>15670</v>
      </c>
      <c r="P1927">
        <v>1762</v>
      </c>
      <c r="Q1927">
        <v>8.89</v>
      </c>
      <c r="R1927">
        <v>2</v>
      </c>
      <c r="S1927">
        <v>10692</v>
      </c>
      <c r="T1927">
        <v>15670</v>
      </c>
      <c r="U1927">
        <v>0</v>
      </c>
      <c r="V1927">
        <v>0</v>
      </c>
      <c r="W1927">
        <v>0</v>
      </c>
      <c r="X1927" s="367"/>
    </row>
    <row r="1928" spans="1:24">
      <c r="A1928" t="s">
        <v>8692</v>
      </c>
      <c r="B1928" t="s">
        <v>8693</v>
      </c>
      <c r="C1928">
        <v>39</v>
      </c>
      <c r="D1928">
        <v>37670000</v>
      </c>
      <c r="E1928">
        <v>29144525600000</v>
      </c>
      <c r="F1928">
        <v>770620</v>
      </c>
      <c r="G1928">
        <v>773680</v>
      </c>
      <c r="H1928">
        <v>773680</v>
      </c>
      <c r="I1928">
        <v>3060</v>
      </c>
      <c r="J1928">
        <v>0.4</v>
      </c>
      <c r="K1928">
        <v>773680</v>
      </c>
      <c r="L1928">
        <v>3060</v>
      </c>
      <c r="M1928">
        <v>0.4</v>
      </c>
      <c r="N1928">
        <v>773680</v>
      </c>
      <c r="O1928">
        <v>773680</v>
      </c>
      <c r="P1928" t="s">
        <v>192</v>
      </c>
      <c r="Q1928" t="s">
        <v>192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 s="367"/>
    </row>
    <row r="1929" spans="1:24">
      <c r="A1929" t="s">
        <v>2807</v>
      </c>
      <c r="B1929" t="s">
        <v>2806</v>
      </c>
      <c r="C1929">
        <v>17</v>
      </c>
      <c r="D1929">
        <v>55677</v>
      </c>
      <c r="E1929">
        <v>3752073030</v>
      </c>
      <c r="F1929">
        <v>65430</v>
      </c>
      <c r="G1929">
        <v>67390</v>
      </c>
      <c r="H1929">
        <v>67390</v>
      </c>
      <c r="I1929">
        <v>1960</v>
      </c>
      <c r="J1929">
        <v>3</v>
      </c>
      <c r="K1929">
        <v>67390</v>
      </c>
      <c r="L1929">
        <v>1960</v>
      </c>
      <c r="M1929">
        <v>3</v>
      </c>
      <c r="N1929">
        <v>67390</v>
      </c>
      <c r="O1929">
        <v>67390</v>
      </c>
      <c r="P1929">
        <v>116</v>
      </c>
      <c r="Q1929">
        <v>580.95000000000005</v>
      </c>
      <c r="R1929">
        <v>18</v>
      </c>
      <c r="S1929">
        <v>483917</v>
      </c>
      <c r="T1929">
        <v>67390</v>
      </c>
      <c r="U1929">
        <v>0</v>
      </c>
      <c r="V1929">
        <v>0</v>
      </c>
      <c r="W1929">
        <v>0</v>
      </c>
      <c r="X1929" s="367"/>
    </row>
    <row r="1930" spans="1:24">
      <c r="A1930" t="s">
        <v>5532</v>
      </c>
      <c r="B1930" t="s">
        <v>5533</v>
      </c>
      <c r="C1930">
        <v>21722</v>
      </c>
      <c r="D1930">
        <v>390986409</v>
      </c>
      <c r="E1930">
        <v>17646530327584</v>
      </c>
      <c r="F1930">
        <v>45066</v>
      </c>
      <c r="G1930">
        <v>45132</v>
      </c>
      <c r="H1930">
        <v>45169</v>
      </c>
      <c r="I1930">
        <v>103</v>
      </c>
      <c r="J1930">
        <v>0.23</v>
      </c>
      <c r="K1930">
        <v>45133</v>
      </c>
      <c r="L1930">
        <v>67</v>
      </c>
      <c r="M1930">
        <v>0.15</v>
      </c>
      <c r="N1930">
        <v>45131</v>
      </c>
      <c r="O1930">
        <v>45179</v>
      </c>
      <c r="P1930" t="s">
        <v>192</v>
      </c>
      <c r="Q1930" t="s">
        <v>192</v>
      </c>
      <c r="R1930">
        <v>6</v>
      </c>
      <c r="S1930">
        <v>3026694</v>
      </c>
      <c r="T1930">
        <v>45168</v>
      </c>
      <c r="U1930">
        <v>45169</v>
      </c>
      <c r="V1930">
        <v>93083</v>
      </c>
      <c r="W1930">
        <v>3</v>
      </c>
      <c r="X1930" s="367"/>
    </row>
    <row r="1931" spans="1:24">
      <c r="A1931" t="s">
        <v>5535</v>
      </c>
      <c r="B1931" t="s">
        <v>5536</v>
      </c>
      <c r="C1931">
        <v>0</v>
      </c>
      <c r="D1931">
        <v>0</v>
      </c>
      <c r="E1931">
        <v>0</v>
      </c>
      <c r="F1931">
        <v>1000000</v>
      </c>
      <c r="G1931">
        <v>0</v>
      </c>
      <c r="H1931">
        <v>1000000</v>
      </c>
      <c r="I1931">
        <v>0</v>
      </c>
      <c r="J1931">
        <v>0</v>
      </c>
      <c r="K1931">
        <v>1000000</v>
      </c>
      <c r="L1931">
        <v>0</v>
      </c>
      <c r="M1931">
        <v>0</v>
      </c>
      <c r="N1931">
        <v>0</v>
      </c>
      <c r="O1931">
        <v>0</v>
      </c>
      <c r="P1931" t="s">
        <v>192</v>
      </c>
      <c r="Q1931" t="s">
        <v>192</v>
      </c>
      <c r="R1931">
        <v>1</v>
      </c>
      <c r="S1931">
        <v>5000</v>
      </c>
      <c r="T1931">
        <v>995000</v>
      </c>
      <c r="U1931">
        <v>1004000</v>
      </c>
      <c r="V1931">
        <v>5000</v>
      </c>
      <c r="W1931">
        <v>1</v>
      </c>
      <c r="X1931" s="367"/>
    </row>
    <row r="1932" spans="1:24">
      <c r="A1932" t="s">
        <v>1772</v>
      </c>
      <c r="B1932" t="s">
        <v>1771</v>
      </c>
      <c r="C1932">
        <v>151</v>
      </c>
      <c r="D1932">
        <v>2691086</v>
      </c>
      <c r="E1932">
        <v>149080782228</v>
      </c>
      <c r="F1932">
        <v>53785</v>
      </c>
      <c r="G1932">
        <v>55398</v>
      </c>
      <c r="H1932">
        <v>55398</v>
      </c>
      <c r="I1932">
        <v>1613</v>
      </c>
      <c r="J1932">
        <v>3</v>
      </c>
      <c r="K1932">
        <v>55398</v>
      </c>
      <c r="L1932">
        <v>1613</v>
      </c>
      <c r="M1932">
        <v>3</v>
      </c>
      <c r="N1932">
        <v>55398</v>
      </c>
      <c r="O1932">
        <v>55398</v>
      </c>
      <c r="P1932" t="s">
        <v>192</v>
      </c>
      <c r="Q1932" t="s">
        <v>192</v>
      </c>
      <c r="R1932">
        <v>30</v>
      </c>
      <c r="S1932">
        <v>145961</v>
      </c>
      <c r="T1932">
        <v>55398</v>
      </c>
      <c r="U1932">
        <v>0</v>
      </c>
      <c r="V1932">
        <v>0</v>
      </c>
      <c r="W1932">
        <v>0</v>
      </c>
      <c r="X1932" s="367"/>
    </row>
    <row r="1933" spans="1:24">
      <c r="A1933" t="s">
        <v>5537</v>
      </c>
      <c r="B1933" t="s">
        <v>5538</v>
      </c>
      <c r="C1933">
        <v>0</v>
      </c>
      <c r="D1933">
        <v>0</v>
      </c>
      <c r="E1933">
        <v>0</v>
      </c>
      <c r="F1933">
        <v>1000000</v>
      </c>
      <c r="G1933">
        <v>0</v>
      </c>
      <c r="H1933">
        <v>1000000</v>
      </c>
      <c r="I1933">
        <v>0</v>
      </c>
      <c r="J1933">
        <v>0</v>
      </c>
      <c r="K1933">
        <v>1000000</v>
      </c>
      <c r="L1933">
        <v>0</v>
      </c>
      <c r="M1933">
        <v>0</v>
      </c>
      <c r="N1933">
        <v>0</v>
      </c>
      <c r="O1933">
        <v>0</v>
      </c>
      <c r="P1933" t="s">
        <v>192</v>
      </c>
      <c r="Q1933" t="s">
        <v>192</v>
      </c>
      <c r="R1933">
        <v>1</v>
      </c>
      <c r="S1933">
        <v>5000</v>
      </c>
      <c r="T1933">
        <v>1000000</v>
      </c>
      <c r="U1933">
        <v>1010000</v>
      </c>
      <c r="V1933">
        <v>5000</v>
      </c>
      <c r="W1933">
        <v>1</v>
      </c>
      <c r="X1933" s="367"/>
    </row>
    <row r="1934" spans="1:24">
      <c r="A1934" t="s">
        <v>28</v>
      </c>
      <c r="B1934" t="s">
        <v>27</v>
      </c>
      <c r="C1934">
        <v>184</v>
      </c>
      <c r="D1934">
        <v>595922</v>
      </c>
      <c r="E1934">
        <v>34070463610</v>
      </c>
      <c r="F1934">
        <v>55530</v>
      </c>
      <c r="G1934">
        <v>57190</v>
      </c>
      <c r="H1934">
        <v>57190</v>
      </c>
      <c r="I1934">
        <v>1660</v>
      </c>
      <c r="J1934">
        <v>2.99</v>
      </c>
      <c r="K1934">
        <v>57170</v>
      </c>
      <c r="L1934">
        <v>1640</v>
      </c>
      <c r="M1934">
        <v>2.95</v>
      </c>
      <c r="N1934">
        <v>56500</v>
      </c>
      <c r="O1934">
        <v>57190</v>
      </c>
      <c r="P1934">
        <v>11890</v>
      </c>
      <c r="Q1934">
        <v>4.8099999999999996</v>
      </c>
      <c r="R1934">
        <v>9</v>
      </c>
      <c r="S1934">
        <v>49825</v>
      </c>
      <c r="T1934">
        <v>57190</v>
      </c>
      <c r="U1934">
        <v>57880</v>
      </c>
      <c r="V1934">
        <v>100</v>
      </c>
      <c r="W1934">
        <v>1</v>
      </c>
      <c r="X1934" s="367"/>
    </row>
    <row r="1935" spans="1:24">
      <c r="A1935" t="s">
        <v>2412</v>
      </c>
      <c r="B1935" t="s">
        <v>2411</v>
      </c>
      <c r="C1935">
        <v>97</v>
      </c>
      <c r="D1935">
        <v>10719168</v>
      </c>
      <c r="E1935">
        <v>63671857920</v>
      </c>
      <c r="F1935">
        <v>5770</v>
      </c>
      <c r="G1935">
        <v>5940</v>
      </c>
      <c r="H1935">
        <v>5940</v>
      </c>
      <c r="I1935">
        <v>170</v>
      </c>
      <c r="J1935">
        <v>2.95</v>
      </c>
      <c r="K1935">
        <v>5940</v>
      </c>
      <c r="L1935">
        <v>170</v>
      </c>
      <c r="M1935">
        <v>2.95</v>
      </c>
      <c r="N1935">
        <v>5940</v>
      </c>
      <c r="O1935">
        <v>5940</v>
      </c>
      <c r="P1935">
        <v>1215</v>
      </c>
      <c r="Q1935">
        <v>4.8899999999999997</v>
      </c>
      <c r="R1935">
        <v>75</v>
      </c>
      <c r="S1935">
        <v>14535380</v>
      </c>
      <c r="T1935">
        <v>5940</v>
      </c>
      <c r="U1935">
        <v>0</v>
      </c>
      <c r="V1935">
        <v>0</v>
      </c>
      <c r="W1935">
        <v>0</v>
      </c>
      <c r="X1935" s="367"/>
    </row>
    <row r="1936" spans="1:24">
      <c r="A1936" t="s">
        <v>5540</v>
      </c>
      <c r="B1936" t="s">
        <v>5541</v>
      </c>
      <c r="C1936">
        <v>0</v>
      </c>
      <c r="D1936">
        <v>0</v>
      </c>
      <c r="E1936">
        <v>0</v>
      </c>
      <c r="F1936">
        <v>1000000</v>
      </c>
      <c r="G1936">
        <v>0</v>
      </c>
      <c r="H1936">
        <v>1000000</v>
      </c>
      <c r="I1936">
        <v>0</v>
      </c>
      <c r="J1936">
        <v>0</v>
      </c>
      <c r="K1936">
        <v>1000000</v>
      </c>
      <c r="L1936">
        <v>0</v>
      </c>
      <c r="M1936">
        <v>0</v>
      </c>
      <c r="N1936">
        <v>0</v>
      </c>
      <c r="O1936">
        <v>0</v>
      </c>
      <c r="P1936" t="s">
        <v>192</v>
      </c>
      <c r="Q1936" t="s">
        <v>192</v>
      </c>
      <c r="R1936">
        <v>1</v>
      </c>
      <c r="S1936">
        <v>2995</v>
      </c>
      <c r="T1936">
        <v>1000000</v>
      </c>
      <c r="U1936">
        <v>0</v>
      </c>
      <c r="V1936">
        <v>0</v>
      </c>
      <c r="W1936">
        <v>0</v>
      </c>
      <c r="X1936" s="367"/>
    </row>
    <row r="1937" spans="1:24">
      <c r="A1937" t="s">
        <v>2764</v>
      </c>
      <c r="B1937" t="s">
        <v>2762</v>
      </c>
      <c r="C1937">
        <v>12</v>
      </c>
      <c r="D1937">
        <v>7719</v>
      </c>
      <c r="E1937">
        <v>219991500</v>
      </c>
      <c r="F1937">
        <v>27900</v>
      </c>
      <c r="G1937">
        <v>28500</v>
      </c>
      <c r="H1937">
        <v>28500</v>
      </c>
      <c r="I1937">
        <v>600</v>
      </c>
      <c r="J1937">
        <v>2.15</v>
      </c>
      <c r="K1937">
        <v>28500</v>
      </c>
      <c r="L1937">
        <v>600</v>
      </c>
      <c r="M1937">
        <v>2.15</v>
      </c>
      <c r="N1937">
        <v>28500</v>
      </c>
      <c r="O1937">
        <v>28500</v>
      </c>
      <c r="P1937">
        <v>3233</v>
      </c>
      <c r="Q1937">
        <v>8.82</v>
      </c>
      <c r="R1937">
        <v>0</v>
      </c>
      <c r="S1937">
        <v>0</v>
      </c>
      <c r="T1937">
        <v>0</v>
      </c>
      <c r="U1937">
        <v>28500</v>
      </c>
      <c r="V1937">
        <v>110412</v>
      </c>
      <c r="W1937">
        <v>31</v>
      </c>
      <c r="X1937" s="367"/>
    </row>
    <row r="1938" spans="1:24">
      <c r="A1938" t="s">
        <v>1803</v>
      </c>
      <c r="B1938" t="s">
        <v>1802</v>
      </c>
      <c r="C1938">
        <v>324</v>
      </c>
      <c r="D1938">
        <v>72934051</v>
      </c>
      <c r="E1938">
        <v>177813216338</v>
      </c>
      <c r="F1938">
        <v>2367</v>
      </c>
      <c r="G1938">
        <v>2438</v>
      </c>
      <c r="H1938">
        <v>2438</v>
      </c>
      <c r="I1938">
        <v>71</v>
      </c>
      <c r="J1938">
        <v>3</v>
      </c>
      <c r="K1938">
        <v>2438</v>
      </c>
      <c r="L1938">
        <v>71</v>
      </c>
      <c r="M1938">
        <v>3</v>
      </c>
      <c r="N1938">
        <v>2438</v>
      </c>
      <c r="O1938">
        <v>2438</v>
      </c>
      <c r="P1938">
        <v>334</v>
      </c>
      <c r="Q1938">
        <v>7.3</v>
      </c>
      <c r="R1938">
        <v>282</v>
      </c>
      <c r="S1938">
        <v>222063532</v>
      </c>
      <c r="T1938">
        <v>2438</v>
      </c>
      <c r="U1938">
        <v>0</v>
      </c>
      <c r="V1938">
        <v>0</v>
      </c>
      <c r="W1938">
        <v>0</v>
      </c>
      <c r="X1938" s="367"/>
    </row>
    <row r="1939" spans="1:24">
      <c r="A1939" t="s">
        <v>8647</v>
      </c>
      <c r="B1939" t="s">
        <v>8648</v>
      </c>
      <c r="C1939">
        <v>2</v>
      </c>
      <c r="D1939">
        <v>30090702</v>
      </c>
      <c r="E1939">
        <v>24259500086175</v>
      </c>
      <c r="F1939">
        <v>807090</v>
      </c>
      <c r="G1939">
        <v>805335</v>
      </c>
      <c r="H1939">
        <v>807090</v>
      </c>
      <c r="I1939">
        <v>0</v>
      </c>
      <c r="J1939">
        <v>0</v>
      </c>
      <c r="K1939">
        <v>806212</v>
      </c>
      <c r="L1939">
        <v>-878</v>
      </c>
      <c r="M1939">
        <v>-0.11</v>
      </c>
      <c r="N1939">
        <v>805335</v>
      </c>
      <c r="O1939">
        <v>807090</v>
      </c>
      <c r="P1939" t="s">
        <v>192</v>
      </c>
      <c r="Q1939" t="s">
        <v>192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 s="367"/>
    </row>
    <row r="1940" spans="1:24">
      <c r="A1940" t="s">
        <v>5542</v>
      </c>
      <c r="B1940" t="s">
        <v>5543</v>
      </c>
      <c r="C1940">
        <v>0</v>
      </c>
      <c r="D1940">
        <v>0</v>
      </c>
      <c r="E1940">
        <v>0</v>
      </c>
      <c r="F1940">
        <v>1000000</v>
      </c>
      <c r="G1940">
        <v>0</v>
      </c>
      <c r="H1940">
        <v>1000000</v>
      </c>
      <c r="I1940">
        <v>0</v>
      </c>
      <c r="J1940">
        <v>0</v>
      </c>
      <c r="K1940">
        <v>1000000</v>
      </c>
      <c r="L1940">
        <v>0</v>
      </c>
      <c r="M1940">
        <v>0</v>
      </c>
      <c r="N1940">
        <v>0</v>
      </c>
      <c r="O1940">
        <v>0</v>
      </c>
      <c r="P1940" t="s">
        <v>192</v>
      </c>
      <c r="Q1940" t="s">
        <v>192</v>
      </c>
      <c r="R1940">
        <v>1</v>
      </c>
      <c r="S1940">
        <v>4500</v>
      </c>
      <c r="T1940">
        <v>990000</v>
      </c>
      <c r="U1940">
        <v>1000000</v>
      </c>
      <c r="V1940">
        <v>4500</v>
      </c>
      <c r="W1940">
        <v>1</v>
      </c>
      <c r="X1940" s="367"/>
    </row>
    <row r="1941" spans="1:24">
      <c r="A1941" t="s">
        <v>1745</v>
      </c>
      <c r="B1941" t="s">
        <v>1744</v>
      </c>
      <c r="C1941">
        <v>415</v>
      </c>
      <c r="D1941">
        <v>66808690</v>
      </c>
      <c r="E1941">
        <v>103374182438</v>
      </c>
      <c r="F1941">
        <v>1503</v>
      </c>
      <c r="G1941">
        <v>1548</v>
      </c>
      <c r="H1941">
        <v>1548</v>
      </c>
      <c r="I1941">
        <v>45</v>
      </c>
      <c r="J1941">
        <v>2.99</v>
      </c>
      <c r="K1941">
        <v>1547</v>
      </c>
      <c r="L1941">
        <v>44</v>
      </c>
      <c r="M1941">
        <v>2.93</v>
      </c>
      <c r="N1941">
        <v>1533</v>
      </c>
      <c r="O1941">
        <v>1548</v>
      </c>
      <c r="P1941">
        <v>268</v>
      </c>
      <c r="Q1941">
        <v>5.77</v>
      </c>
      <c r="R1941">
        <v>1</v>
      </c>
      <c r="S1941">
        <v>29000</v>
      </c>
      <c r="T1941">
        <v>1545</v>
      </c>
      <c r="U1941">
        <v>0</v>
      </c>
      <c r="V1941">
        <v>0</v>
      </c>
      <c r="W1941">
        <v>0</v>
      </c>
      <c r="X1941" s="367"/>
    </row>
    <row r="1942" spans="1:24">
      <c r="A1942" t="s">
        <v>2686</v>
      </c>
      <c r="B1942" t="s">
        <v>2685</v>
      </c>
      <c r="C1942">
        <v>197</v>
      </c>
      <c r="D1942">
        <v>9547196</v>
      </c>
      <c r="E1942">
        <v>29248594274</v>
      </c>
      <c r="F1942">
        <v>2975</v>
      </c>
      <c r="G1942">
        <v>3064</v>
      </c>
      <c r="H1942">
        <v>3064</v>
      </c>
      <c r="I1942">
        <v>89</v>
      </c>
      <c r="J1942">
        <v>2.99</v>
      </c>
      <c r="K1942">
        <v>3064</v>
      </c>
      <c r="L1942">
        <v>89</v>
      </c>
      <c r="M1942">
        <v>2.99</v>
      </c>
      <c r="N1942">
        <v>3014</v>
      </c>
      <c r="O1942">
        <v>3064</v>
      </c>
      <c r="P1942">
        <v>18</v>
      </c>
      <c r="Q1942">
        <v>170.22</v>
      </c>
      <c r="R1942">
        <v>30</v>
      </c>
      <c r="S1942">
        <v>1485943</v>
      </c>
      <c r="T1942">
        <v>3064</v>
      </c>
      <c r="U1942">
        <v>0</v>
      </c>
      <c r="V1942">
        <v>0</v>
      </c>
      <c r="W1942">
        <v>0</v>
      </c>
      <c r="X1942" s="367"/>
    </row>
    <row r="1943" spans="1:24">
      <c r="A1943" t="s">
        <v>8649</v>
      </c>
      <c r="B1943" t="s">
        <v>5544</v>
      </c>
      <c r="C1943">
        <v>2</v>
      </c>
      <c r="D1943">
        <v>10000000</v>
      </c>
      <c r="E1943">
        <v>8225670000000</v>
      </c>
      <c r="F1943">
        <v>836000</v>
      </c>
      <c r="G1943">
        <v>822334</v>
      </c>
      <c r="H1943">
        <v>822800</v>
      </c>
      <c r="I1943">
        <v>-13200</v>
      </c>
      <c r="J1943">
        <v>-1.58</v>
      </c>
      <c r="K1943">
        <v>822567</v>
      </c>
      <c r="L1943">
        <v>-13433</v>
      </c>
      <c r="M1943">
        <v>-1.61</v>
      </c>
      <c r="N1943">
        <v>822334</v>
      </c>
      <c r="O1943">
        <v>822800</v>
      </c>
      <c r="P1943" t="s">
        <v>192</v>
      </c>
      <c r="Q1943" t="s">
        <v>192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 s="367"/>
    </row>
    <row r="1944" spans="1:24">
      <c r="A1944" t="s">
        <v>3020</v>
      </c>
      <c r="B1944" t="s">
        <v>3019</v>
      </c>
      <c r="C1944">
        <v>81</v>
      </c>
      <c r="D1944">
        <v>9952643</v>
      </c>
      <c r="E1944">
        <v>15725175940</v>
      </c>
      <c r="F1944">
        <v>1534</v>
      </c>
      <c r="G1944">
        <v>1580</v>
      </c>
      <c r="H1944">
        <v>1580</v>
      </c>
      <c r="I1944">
        <v>46</v>
      </c>
      <c r="J1944">
        <v>3</v>
      </c>
      <c r="K1944">
        <v>1580</v>
      </c>
      <c r="L1944">
        <v>46</v>
      </c>
      <c r="M1944">
        <v>3</v>
      </c>
      <c r="N1944">
        <v>1580</v>
      </c>
      <c r="O1944">
        <v>1580</v>
      </c>
      <c r="P1944">
        <v>-1749</v>
      </c>
      <c r="Q1944">
        <v>-0.9</v>
      </c>
      <c r="R1944">
        <v>15</v>
      </c>
      <c r="S1944">
        <v>8439825</v>
      </c>
      <c r="T1944">
        <v>1580</v>
      </c>
      <c r="U1944">
        <v>0</v>
      </c>
      <c r="V1944">
        <v>0</v>
      </c>
      <c r="W1944">
        <v>0</v>
      </c>
      <c r="X1944" s="367"/>
    </row>
    <row r="1945" spans="1:24">
      <c r="A1945" t="s">
        <v>5545</v>
      </c>
      <c r="B1945" t="s">
        <v>5546</v>
      </c>
      <c r="C1945">
        <v>0</v>
      </c>
      <c r="D1945">
        <v>0</v>
      </c>
      <c r="E1945">
        <v>0</v>
      </c>
      <c r="F1945">
        <v>1000000</v>
      </c>
      <c r="G1945">
        <v>0</v>
      </c>
      <c r="H1945">
        <v>1000000</v>
      </c>
      <c r="I1945">
        <v>0</v>
      </c>
      <c r="J1945">
        <v>0</v>
      </c>
      <c r="K1945">
        <v>1000000</v>
      </c>
      <c r="L1945">
        <v>0</v>
      </c>
      <c r="M1945">
        <v>0</v>
      </c>
      <c r="N1945">
        <v>0</v>
      </c>
      <c r="O1945">
        <v>0</v>
      </c>
      <c r="P1945" t="s">
        <v>192</v>
      </c>
      <c r="Q1945" t="s">
        <v>192</v>
      </c>
      <c r="R1945">
        <v>1</v>
      </c>
      <c r="S1945">
        <v>6250</v>
      </c>
      <c r="T1945">
        <v>990000</v>
      </c>
      <c r="U1945">
        <v>0</v>
      </c>
      <c r="V1945">
        <v>0</v>
      </c>
      <c r="W1945">
        <v>0</v>
      </c>
      <c r="X1945" s="367"/>
    </row>
    <row r="1946" spans="1:24">
      <c r="A1946" t="s">
        <v>5547</v>
      </c>
      <c r="B1946" t="s">
        <v>5548</v>
      </c>
      <c r="C1946">
        <v>0</v>
      </c>
      <c r="D1946">
        <v>0</v>
      </c>
      <c r="E1946">
        <v>0</v>
      </c>
      <c r="F1946">
        <v>1000000</v>
      </c>
      <c r="G1946">
        <v>0</v>
      </c>
      <c r="H1946">
        <v>1000000</v>
      </c>
      <c r="I1946">
        <v>0</v>
      </c>
      <c r="J1946">
        <v>0</v>
      </c>
      <c r="K1946">
        <v>1000000</v>
      </c>
      <c r="L1946">
        <v>0</v>
      </c>
      <c r="M1946">
        <v>0</v>
      </c>
      <c r="N1946">
        <v>0</v>
      </c>
      <c r="O1946">
        <v>0</v>
      </c>
      <c r="P1946" t="s">
        <v>192</v>
      </c>
      <c r="Q1946" t="s">
        <v>192</v>
      </c>
      <c r="R1946">
        <v>1</v>
      </c>
      <c r="S1946">
        <v>5000</v>
      </c>
      <c r="T1946">
        <v>990000</v>
      </c>
      <c r="U1946">
        <v>0</v>
      </c>
      <c r="V1946">
        <v>0</v>
      </c>
      <c r="W1946">
        <v>0</v>
      </c>
      <c r="X1946" s="367"/>
    </row>
    <row r="1947" spans="1:24">
      <c r="A1947" t="s">
        <v>5549</v>
      </c>
      <c r="B1947" t="s">
        <v>5550</v>
      </c>
      <c r="C1947">
        <v>3</v>
      </c>
      <c r="D1947">
        <v>140</v>
      </c>
      <c r="E1947">
        <v>364202500</v>
      </c>
      <c r="F1947">
        <v>2600013</v>
      </c>
      <c r="G1947">
        <v>2621000</v>
      </c>
      <c r="H1947">
        <v>2600000</v>
      </c>
      <c r="I1947">
        <v>-13</v>
      </c>
      <c r="J1947">
        <v>0</v>
      </c>
      <c r="K1947">
        <v>2601446</v>
      </c>
      <c r="L1947">
        <v>1433</v>
      </c>
      <c r="M1947">
        <v>0.06</v>
      </c>
      <c r="N1947">
        <v>2600000</v>
      </c>
      <c r="O1947">
        <v>2621000</v>
      </c>
      <c r="P1947" t="s">
        <v>192</v>
      </c>
      <c r="Q1947" t="s">
        <v>192</v>
      </c>
      <c r="R1947">
        <v>1</v>
      </c>
      <c r="S1947">
        <v>1172</v>
      </c>
      <c r="T1947">
        <v>2600000</v>
      </c>
      <c r="U1947">
        <v>2620998</v>
      </c>
      <c r="V1947">
        <v>6</v>
      </c>
      <c r="W1947">
        <v>1</v>
      </c>
      <c r="X1947" s="367"/>
    </row>
    <row r="1948" spans="1:24">
      <c r="A1948" t="s">
        <v>5551</v>
      </c>
      <c r="B1948" t="s">
        <v>5552</v>
      </c>
      <c r="C1948">
        <v>0</v>
      </c>
      <c r="D1948">
        <v>0</v>
      </c>
      <c r="E1948">
        <v>0</v>
      </c>
      <c r="F1948">
        <v>1000000</v>
      </c>
      <c r="G1948">
        <v>0</v>
      </c>
      <c r="H1948">
        <v>1000000</v>
      </c>
      <c r="I1948">
        <v>0</v>
      </c>
      <c r="J1948">
        <v>0</v>
      </c>
      <c r="K1948">
        <v>1000000</v>
      </c>
      <c r="L1948">
        <v>0</v>
      </c>
      <c r="M1948">
        <v>0</v>
      </c>
      <c r="N1948">
        <v>0</v>
      </c>
      <c r="O1948">
        <v>0</v>
      </c>
      <c r="P1948" t="s">
        <v>192</v>
      </c>
      <c r="Q1948" t="s">
        <v>192</v>
      </c>
      <c r="R1948">
        <v>1</v>
      </c>
      <c r="S1948">
        <v>5000</v>
      </c>
      <c r="T1948">
        <v>1000000</v>
      </c>
      <c r="U1948">
        <v>0</v>
      </c>
      <c r="V1948">
        <v>0</v>
      </c>
      <c r="W1948">
        <v>0</v>
      </c>
      <c r="X1948" s="367"/>
    </row>
    <row r="1949" spans="1:24">
      <c r="A1949" t="s">
        <v>5553</v>
      </c>
      <c r="B1949" t="s">
        <v>5554</v>
      </c>
      <c r="C1949">
        <v>62</v>
      </c>
      <c r="D1949">
        <v>7427671</v>
      </c>
      <c r="E1949">
        <v>165586409210</v>
      </c>
      <c r="F1949">
        <v>21758</v>
      </c>
      <c r="G1949">
        <v>22410</v>
      </c>
      <c r="H1949">
        <v>22410</v>
      </c>
      <c r="I1949">
        <v>652</v>
      </c>
      <c r="J1949">
        <v>3</v>
      </c>
      <c r="K1949">
        <v>22293</v>
      </c>
      <c r="L1949">
        <v>535</v>
      </c>
      <c r="M1949">
        <v>2.46</v>
      </c>
      <c r="N1949">
        <v>22200</v>
      </c>
      <c r="O1949">
        <v>22410</v>
      </c>
      <c r="P1949" t="s">
        <v>192</v>
      </c>
      <c r="Q1949" t="s">
        <v>192</v>
      </c>
      <c r="R1949">
        <v>1</v>
      </c>
      <c r="S1949">
        <v>48</v>
      </c>
      <c r="T1949">
        <v>22245</v>
      </c>
      <c r="U1949">
        <v>22410</v>
      </c>
      <c r="V1949">
        <v>121255</v>
      </c>
      <c r="W1949">
        <v>1</v>
      </c>
      <c r="X1949" s="367"/>
    </row>
    <row r="1950" spans="1:24">
      <c r="A1950" t="s">
        <v>1797</v>
      </c>
      <c r="B1950" t="s">
        <v>1796</v>
      </c>
      <c r="C1950">
        <v>20</v>
      </c>
      <c r="D1950">
        <v>7781</v>
      </c>
      <c r="E1950">
        <v>1724918500</v>
      </c>
      <c r="F1950">
        <v>217400</v>
      </c>
      <c r="G1950">
        <v>221700</v>
      </c>
      <c r="H1950">
        <v>221500</v>
      </c>
      <c r="I1950">
        <v>4100</v>
      </c>
      <c r="J1950">
        <v>1.89</v>
      </c>
      <c r="K1950">
        <v>220600</v>
      </c>
      <c r="L1950">
        <v>3200</v>
      </c>
      <c r="M1950">
        <v>1.47</v>
      </c>
      <c r="N1950">
        <v>221500</v>
      </c>
      <c r="O1950">
        <v>221700</v>
      </c>
      <c r="P1950">
        <v>413</v>
      </c>
      <c r="Q1950">
        <v>534.14</v>
      </c>
      <c r="R1950">
        <v>1</v>
      </c>
      <c r="S1950">
        <v>386</v>
      </c>
      <c r="T1950">
        <v>213300</v>
      </c>
      <c r="U1950">
        <v>221500</v>
      </c>
      <c r="V1950">
        <v>1500</v>
      </c>
      <c r="W1950">
        <v>1</v>
      </c>
      <c r="X1950" s="367"/>
    </row>
    <row r="1951" spans="1:24">
      <c r="A1951" t="s">
        <v>2739</v>
      </c>
      <c r="B1951" t="s">
        <v>2738</v>
      </c>
      <c r="C1951">
        <v>180</v>
      </c>
      <c r="D1951">
        <v>7576439</v>
      </c>
      <c r="E1951">
        <v>69703238800</v>
      </c>
      <c r="F1951">
        <v>8940</v>
      </c>
      <c r="G1951">
        <v>9200</v>
      </c>
      <c r="H1951">
        <v>9200</v>
      </c>
      <c r="I1951">
        <v>260</v>
      </c>
      <c r="J1951">
        <v>2.91</v>
      </c>
      <c r="K1951">
        <v>9200</v>
      </c>
      <c r="L1951">
        <v>260</v>
      </c>
      <c r="M1951">
        <v>2.91</v>
      </c>
      <c r="N1951">
        <v>9200</v>
      </c>
      <c r="O1951">
        <v>9200</v>
      </c>
      <c r="P1951">
        <v>1504</v>
      </c>
      <c r="Q1951">
        <v>6.12</v>
      </c>
      <c r="R1951">
        <v>81</v>
      </c>
      <c r="S1951">
        <v>5561520</v>
      </c>
      <c r="T1951">
        <v>9200</v>
      </c>
      <c r="U1951">
        <v>9230</v>
      </c>
      <c r="V1951">
        <v>5841</v>
      </c>
      <c r="W1951">
        <v>2</v>
      </c>
      <c r="X1951" s="367"/>
    </row>
    <row r="1952" spans="1:24">
      <c r="A1952" t="s">
        <v>2713</v>
      </c>
      <c r="B1952" t="s">
        <v>8694</v>
      </c>
      <c r="C1952">
        <v>670</v>
      </c>
      <c r="D1952">
        <v>85316690</v>
      </c>
      <c r="E1952">
        <v>443646788000</v>
      </c>
      <c r="F1952">
        <v>5050</v>
      </c>
      <c r="G1952">
        <v>5200</v>
      </c>
      <c r="H1952">
        <v>5200</v>
      </c>
      <c r="I1952">
        <v>150</v>
      </c>
      <c r="J1952">
        <v>2.97</v>
      </c>
      <c r="K1952">
        <v>5200</v>
      </c>
      <c r="L1952">
        <v>150</v>
      </c>
      <c r="M1952">
        <v>2.97</v>
      </c>
      <c r="N1952">
        <v>5200</v>
      </c>
      <c r="O1952">
        <v>5200</v>
      </c>
      <c r="P1952">
        <v>567</v>
      </c>
      <c r="Q1952">
        <v>9.17</v>
      </c>
      <c r="R1952">
        <v>266</v>
      </c>
      <c r="S1952">
        <v>71626042</v>
      </c>
      <c r="T1952">
        <v>5200</v>
      </c>
      <c r="U1952">
        <v>0</v>
      </c>
      <c r="V1952">
        <v>0</v>
      </c>
      <c r="W1952">
        <v>0</v>
      </c>
      <c r="X1952" s="367"/>
    </row>
    <row r="1953" spans="1:24">
      <c r="A1953" t="s">
        <v>5556</v>
      </c>
      <c r="B1953" t="s">
        <v>5557</v>
      </c>
      <c r="C1953">
        <v>0</v>
      </c>
      <c r="D1953">
        <v>0</v>
      </c>
      <c r="E1953">
        <v>0</v>
      </c>
      <c r="F1953">
        <v>1000000</v>
      </c>
      <c r="G1953">
        <v>0</v>
      </c>
      <c r="H1953">
        <v>1000000</v>
      </c>
      <c r="I1953">
        <v>0</v>
      </c>
      <c r="J1953">
        <v>0</v>
      </c>
      <c r="K1953">
        <v>1000000</v>
      </c>
      <c r="L1953">
        <v>0</v>
      </c>
      <c r="M1953">
        <v>0</v>
      </c>
      <c r="N1953">
        <v>0</v>
      </c>
      <c r="O1953">
        <v>0</v>
      </c>
      <c r="P1953" t="s">
        <v>192</v>
      </c>
      <c r="Q1953" t="s">
        <v>192</v>
      </c>
      <c r="R1953">
        <v>1</v>
      </c>
      <c r="S1953">
        <v>5000</v>
      </c>
      <c r="T1953">
        <v>990000</v>
      </c>
      <c r="U1953">
        <v>1000000</v>
      </c>
      <c r="V1953">
        <v>5000</v>
      </c>
      <c r="W1953">
        <v>1</v>
      </c>
      <c r="X1953" s="367"/>
    </row>
    <row r="1954" spans="1:24">
      <c r="A1954" t="s">
        <v>8842</v>
      </c>
      <c r="B1954" t="s">
        <v>2466</v>
      </c>
      <c r="C1954">
        <v>10</v>
      </c>
      <c r="D1954">
        <v>3184346</v>
      </c>
      <c r="E1954">
        <v>6929136896</v>
      </c>
      <c r="F1954">
        <v>2200</v>
      </c>
      <c r="G1954">
        <v>2176</v>
      </c>
      <c r="H1954">
        <v>2176</v>
      </c>
      <c r="I1954">
        <v>-24</v>
      </c>
      <c r="J1954">
        <v>-1.0900000000000001</v>
      </c>
      <c r="K1954">
        <v>2176</v>
      </c>
      <c r="L1954">
        <v>-24</v>
      </c>
      <c r="M1954">
        <v>-1.0900000000000001</v>
      </c>
      <c r="N1954">
        <v>2176</v>
      </c>
      <c r="O1954">
        <v>2176</v>
      </c>
      <c r="P1954">
        <v>401</v>
      </c>
      <c r="Q1954">
        <v>5.43</v>
      </c>
      <c r="R1954">
        <v>0</v>
      </c>
      <c r="S1954">
        <v>0</v>
      </c>
      <c r="T1954">
        <v>0</v>
      </c>
      <c r="U1954">
        <v>2176</v>
      </c>
      <c r="V1954">
        <v>1709184</v>
      </c>
      <c r="W1954">
        <v>6</v>
      </c>
      <c r="X1954" s="367"/>
    </row>
    <row r="1955" spans="1:24">
      <c r="A1955" t="s">
        <v>4506</v>
      </c>
      <c r="B1955" t="s">
        <v>4507</v>
      </c>
      <c r="C1955">
        <v>3</v>
      </c>
      <c r="D1955">
        <v>2601</v>
      </c>
      <c r="E1955">
        <v>2601000</v>
      </c>
      <c r="F1955">
        <v>1</v>
      </c>
      <c r="G1955">
        <v>1</v>
      </c>
      <c r="H1955">
        <v>1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1</v>
      </c>
      <c r="P1955" t="s">
        <v>192</v>
      </c>
      <c r="Q1955" t="s">
        <v>192</v>
      </c>
      <c r="R1955">
        <v>0</v>
      </c>
      <c r="S1955">
        <v>0</v>
      </c>
      <c r="T1955">
        <v>0</v>
      </c>
      <c r="U1955">
        <v>1</v>
      </c>
      <c r="V1955">
        <v>23754</v>
      </c>
      <c r="W1955">
        <v>27</v>
      </c>
      <c r="X1955" s="367"/>
    </row>
    <row r="1956" spans="1:24">
      <c r="A1956" t="s">
        <v>3564</v>
      </c>
      <c r="B1956" t="s">
        <v>3565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1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 t="s">
        <v>192</v>
      </c>
      <c r="Q1956" t="s">
        <v>192</v>
      </c>
      <c r="R1956">
        <v>1</v>
      </c>
      <c r="S1956">
        <v>100</v>
      </c>
      <c r="T1956">
        <v>2</v>
      </c>
      <c r="U1956">
        <v>0</v>
      </c>
      <c r="V1956">
        <v>0</v>
      </c>
      <c r="W1956">
        <v>0</v>
      </c>
      <c r="X1956" s="367"/>
    </row>
    <row r="1957" spans="1:24">
      <c r="A1957" t="s">
        <v>4988</v>
      </c>
      <c r="B1957" t="s">
        <v>2945</v>
      </c>
      <c r="C1957">
        <v>5</v>
      </c>
      <c r="D1957">
        <v>3668</v>
      </c>
      <c r="E1957">
        <v>5391960</v>
      </c>
      <c r="F1957">
        <v>1431</v>
      </c>
      <c r="G1957">
        <v>1470</v>
      </c>
      <c r="H1957">
        <v>1470</v>
      </c>
      <c r="I1957">
        <v>39</v>
      </c>
      <c r="J1957">
        <v>2.73</v>
      </c>
      <c r="K1957">
        <v>1470</v>
      </c>
      <c r="L1957">
        <v>39</v>
      </c>
      <c r="M1957">
        <v>2.73</v>
      </c>
      <c r="N1957">
        <v>1470</v>
      </c>
      <c r="O1957">
        <v>1470</v>
      </c>
      <c r="P1957">
        <v>235</v>
      </c>
      <c r="Q1957">
        <v>6.26</v>
      </c>
      <c r="R1957">
        <v>1</v>
      </c>
      <c r="S1957">
        <v>996332</v>
      </c>
      <c r="T1957">
        <v>1470</v>
      </c>
      <c r="U1957">
        <v>0</v>
      </c>
      <c r="V1957">
        <v>0</v>
      </c>
      <c r="W1957">
        <v>0</v>
      </c>
      <c r="X1957" s="367"/>
    </row>
    <row r="1958" spans="1:24">
      <c r="A1958" t="s">
        <v>4376</v>
      </c>
      <c r="B1958" t="s">
        <v>4377</v>
      </c>
      <c r="C1958">
        <v>46</v>
      </c>
      <c r="D1958">
        <v>307</v>
      </c>
      <c r="E1958">
        <v>5927273000</v>
      </c>
      <c r="F1958">
        <v>21583</v>
      </c>
      <c r="G1958">
        <v>21498</v>
      </c>
      <c r="H1958">
        <v>18000</v>
      </c>
      <c r="I1958">
        <v>-3583</v>
      </c>
      <c r="J1958">
        <v>-16.600000000000001</v>
      </c>
      <c r="K1958">
        <v>19307</v>
      </c>
      <c r="L1958">
        <v>-2276</v>
      </c>
      <c r="M1958">
        <v>-10.55</v>
      </c>
      <c r="N1958">
        <v>18000</v>
      </c>
      <c r="O1958">
        <v>21498</v>
      </c>
      <c r="P1958" t="s">
        <v>192</v>
      </c>
      <c r="Q1958" t="s">
        <v>192</v>
      </c>
      <c r="R1958">
        <v>3</v>
      </c>
      <c r="S1958">
        <v>22</v>
      </c>
      <c r="T1958">
        <v>17511</v>
      </c>
      <c r="U1958">
        <v>18999</v>
      </c>
      <c r="V1958">
        <v>1</v>
      </c>
      <c r="W1958">
        <v>1</v>
      </c>
      <c r="X1958" s="367"/>
    </row>
    <row r="1959" spans="1:24">
      <c r="A1959" t="s">
        <v>3568</v>
      </c>
      <c r="B1959" t="s">
        <v>3569</v>
      </c>
      <c r="C1959">
        <v>17</v>
      </c>
      <c r="D1959">
        <v>784</v>
      </c>
      <c r="E1959">
        <v>3723200000</v>
      </c>
      <c r="F1959">
        <v>3412</v>
      </c>
      <c r="G1959">
        <v>5000</v>
      </c>
      <c r="H1959">
        <v>4672</v>
      </c>
      <c r="I1959">
        <v>1260</v>
      </c>
      <c r="J1959">
        <v>36.93</v>
      </c>
      <c r="K1959">
        <v>4749</v>
      </c>
      <c r="L1959">
        <v>1337</v>
      </c>
      <c r="M1959">
        <v>39.19</v>
      </c>
      <c r="N1959">
        <v>4672</v>
      </c>
      <c r="O1959">
        <v>5000</v>
      </c>
      <c r="P1959" t="s">
        <v>192</v>
      </c>
      <c r="Q1959" t="s">
        <v>192</v>
      </c>
      <c r="R1959">
        <v>1</v>
      </c>
      <c r="S1959">
        <v>10</v>
      </c>
      <c r="T1959">
        <v>4580</v>
      </c>
      <c r="U1959">
        <v>4820</v>
      </c>
      <c r="V1959">
        <v>145</v>
      </c>
      <c r="W1959">
        <v>1</v>
      </c>
      <c r="X1959" s="367"/>
    </row>
    <row r="1960" spans="1:24">
      <c r="A1960" t="s">
        <v>5043</v>
      </c>
      <c r="B1960" t="s">
        <v>5044</v>
      </c>
      <c r="C1960">
        <v>13</v>
      </c>
      <c r="D1960">
        <v>3409</v>
      </c>
      <c r="E1960">
        <v>8899440537</v>
      </c>
      <c r="F1960">
        <v>2640901</v>
      </c>
      <c r="G1960">
        <v>2650000</v>
      </c>
      <c r="H1960">
        <v>2612587</v>
      </c>
      <c r="I1960">
        <v>-28314</v>
      </c>
      <c r="J1960">
        <v>-1.07</v>
      </c>
      <c r="K1960">
        <v>2610572</v>
      </c>
      <c r="L1960">
        <v>-30329</v>
      </c>
      <c r="M1960">
        <v>-1.1499999999999999</v>
      </c>
      <c r="N1960">
        <v>2600901</v>
      </c>
      <c r="O1960">
        <v>2650000</v>
      </c>
      <c r="P1960" t="s">
        <v>192</v>
      </c>
      <c r="Q1960" t="s">
        <v>192</v>
      </c>
      <c r="R1960">
        <v>2</v>
      </c>
      <c r="S1960">
        <v>405</v>
      </c>
      <c r="T1960">
        <v>2612587</v>
      </c>
      <c r="U1960">
        <v>2639997</v>
      </c>
      <c r="V1960">
        <v>4</v>
      </c>
      <c r="W1960">
        <v>1</v>
      </c>
      <c r="X1960" s="367"/>
    </row>
    <row r="1961" spans="1:24">
      <c r="A1961" t="s">
        <v>7744</v>
      </c>
      <c r="B1961" t="s">
        <v>5682</v>
      </c>
      <c r="C1961">
        <v>2</v>
      </c>
      <c r="D1961">
        <v>2000000</v>
      </c>
      <c r="E1961">
        <v>2000000</v>
      </c>
      <c r="F1961">
        <v>384689</v>
      </c>
      <c r="G1961">
        <v>1</v>
      </c>
      <c r="H1961">
        <v>1</v>
      </c>
      <c r="I1961">
        <v>-384688</v>
      </c>
      <c r="J1961">
        <v>-100</v>
      </c>
      <c r="K1961">
        <v>1</v>
      </c>
      <c r="L1961">
        <v>-384688</v>
      </c>
      <c r="M1961">
        <v>-100</v>
      </c>
      <c r="N1961">
        <v>1</v>
      </c>
      <c r="O1961">
        <v>1</v>
      </c>
      <c r="P1961" t="s">
        <v>192</v>
      </c>
      <c r="Q1961" t="s">
        <v>192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 s="367"/>
    </row>
    <row r="1962" spans="1:24">
      <c r="A1962" t="s">
        <v>4929</v>
      </c>
      <c r="B1962" t="s">
        <v>4930</v>
      </c>
      <c r="C1962">
        <v>340</v>
      </c>
      <c r="D1962">
        <v>3757828</v>
      </c>
      <c r="E1962">
        <v>82372341708</v>
      </c>
      <c r="F1962">
        <v>21906</v>
      </c>
      <c r="G1962">
        <v>22030</v>
      </c>
      <c r="H1962">
        <v>21910</v>
      </c>
      <c r="I1962">
        <v>4</v>
      </c>
      <c r="J1962">
        <v>0.02</v>
      </c>
      <c r="K1962">
        <v>21920</v>
      </c>
      <c r="L1962">
        <v>14</v>
      </c>
      <c r="M1962">
        <v>0.06</v>
      </c>
      <c r="N1962">
        <v>21900</v>
      </c>
      <c r="O1962">
        <v>22189</v>
      </c>
      <c r="P1962" t="s">
        <v>192</v>
      </c>
      <c r="Q1962" t="s">
        <v>192</v>
      </c>
      <c r="R1962">
        <v>1</v>
      </c>
      <c r="S1962">
        <v>50523</v>
      </c>
      <c r="T1962">
        <v>21906</v>
      </c>
      <c r="U1962">
        <v>21910</v>
      </c>
      <c r="V1962">
        <v>800</v>
      </c>
      <c r="W1962">
        <v>1</v>
      </c>
      <c r="X1962" s="367"/>
    </row>
    <row r="1963" spans="1:24">
      <c r="A1963" t="s">
        <v>6791</v>
      </c>
      <c r="B1963" t="s">
        <v>6792</v>
      </c>
      <c r="C1963">
        <v>1</v>
      </c>
      <c r="D1963">
        <v>1000</v>
      </c>
      <c r="E1963">
        <v>1000000</v>
      </c>
      <c r="F1963">
        <v>1</v>
      </c>
      <c r="G1963">
        <v>1</v>
      </c>
      <c r="H1963">
        <v>1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1</v>
      </c>
      <c r="O1963">
        <v>1</v>
      </c>
      <c r="P1963" t="s">
        <v>192</v>
      </c>
      <c r="Q1963" t="s">
        <v>192</v>
      </c>
      <c r="R1963">
        <v>0</v>
      </c>
      <c r="S1963">
        <v>0</v>
      </c>
      <c r="T1963">
        <v>0</v>
      </c>
      <c r="U1963">
        <v>1</v>
      </c>
      <c r="V1963">
        <v>1000</v>
      </c>
      <c r="W1963">
        <v>1</v>
      </c>
      <c r="X1963" s="367"/>
    </row>
    <row r="1964" spans="1:24">
      <c r="A1964" t="s">
        <v>1737</v>
      </c>
      <c r="B1964" t="s">
        <v>1736</v>
      </c>
      <c r="C1964">
        <v>1544</v>
      </c>
      <c r="D1964">
        <v>9306524</v>
      </c>
      <c r="E1964">
        <v>632072725990</v>
      </c>
      <c r="F1964">
        <v>65950</v>
      </c>
      <c r="G1964">
        <v>67920</v>
      </c>
      <c r="H1964">
        <v>67920</v>
      </c>
      <c r="I1964">
        <v>1970</v>
      </c>
      <c r="J1964">
        <v>2.99</v>
      </c>
      <c r="K1964">
        <v>67920</v>
      </c>
      <c r="L1964">
        <v>1970</v>
      </c>
      <c r="M1964">
        <v>2.99</v>
      </c>
      <c r="N1964">
        <v>67000</v>
      </c>
      <c r="O1964">
        <v>67920</v>
      </c>
      <c r="P1964">
        <v>5195</v>
      </c>
      <c r="Q1964">
        <v>13.07</v>
      </c>
      <c r="R1964">
        <v>9</v>
      </c>
      <c r="S1964">
        <v>43430</v>
      </c>
      <c r="T1964">
        <v>67910</v>
      </c>
      <c r="U1964">
        <v>0</v>
      </c>
      <c r="V1964">
        <v>0</v>
      </c>
      <c r="W1964">
        <v>0</v>
      </c>
      <c r="X1964" s="367"/>
    </row>
    <row r="1965" spans="1:24">
      <c r="A1965" t="s">
        <v>5045</v>
      </c>
      <c r="B1965" t="s">
        <v>5046</v>
      </c>
      <c r="C1965">
        <v>18</v>
      </c>
      <c r="D1965">
        <v>624718</v>
      </c>
      <c r="E1965">
        <v>17941725802</v>
      </c>
      <c r="F1965">
        <v>27888</v>
      </c>
      <c r="G1965">
        <v>28724</v>
      </c>
      <c r="H1965">
        <v>28724</v>
      </c>
      <c r="I1965">
        <v>836</v>
      </c>
      <c r="J1965">
        <v>3</v>
      </c>
      <c r="K1965">
        <v>28720</v>
      </c>
      <c r="L1965">
        <v>832</v>
      </c>
      <c r="M1965">
        <v>2.98</v>
      </c>
      <c r="N1965">
        <v>28566</v>
      </c>
      <c r="O1965">
        <v>28724</v>
      </c>
      <c r="P1965" t="s">
        <v>192</v>
      </c>
      <c r="Q1965" t="s">
        <v>192</v>
      </c>
      <c r="R1965">
        <v>9</v>
      </c>
      <c r="S1965">
        <v>198913</v>
      </c>
      <c r="T1965">
        <v>28724</v>
      </c>
      <c r="U1965">
        <v>0</v>
      </c>
      <c r="V1965">
        <v>0</v>
      </c>
      <c r="W1965">
        <v>0</v>
      </c>
      <c r="X1965" s="367"/>
    </row>
    <row r="1966" spans="1:24">
      <c r="A1966" t="s">
        <v>1747</v>
      </c>
      <c r="B1966" t="s">
        <v>1746</v>
      </c>
      <c r="C1966">
        <v>2622</v>
      </c>
      <c r="D1966">
        <v>40110655</v>
      </c>
      <c r="E1966">
        <v>764034217360</v>
      </c>
      <c r="F1966">
        <v>18510</v>
      </c>
      <c r="G1966">
        <v>19060</v>
      </c>
      <c r="H1966">
        <v>19060</v>
      </c>
      <c r="I1966">
        <v>550</v>
      </c>
      <c r="J1966">
        <v>2.97</v>
      </c>
      <c r="K1966">
        <v>19050</v>
      </c>
      <c r="L1966">
        <v>540</v>
      </c>
      <c r="M1966">
        <v>2.92</v>
      </c>
      <c r="N1966">
        <v>18880</v>
      </c>
      <c r="O1966">
        <v>19060</v>
      </c>
      <c r="P1966">
        <v>522</v>
      </c>
      <c r="Q1966">
        <v>36.49</v>
      </c>
      <c r="R1966">
        <v>10</v>
      </c>
      <c r="S1966">
        <v>42436</v>
      </c>
      <c r="T1966">
        <v>19050</v>
      </c>
      <c r="U1966">
        <v>19060</v>
      </c>
      <c r="V1966">
        <v>171038</v>
      </c>
      <c r="W1966">
        <v>2</v>
      </c>
      <c r="X1966" s="367"/>
    </row>
    <row r="1967" spans="1:24">
      <c r="A1967" t="s">
        <v>7998</v>
      </c>
      <c r="B1967" t="s">
        <v>7999</v>
      </c>
      <c r="C1967">
        <v>305</v>
      </c>
      <c r="D1967">
        <v>121490</v>
      </c>
      <c r="E1967">
        <v>5332617000</v>
      </c>
      <c r="F1967">
        <v>33</v>
      </c>
      <c r="G1967">
        <v>37</v>
      </c>
      <c r="H1967">
        <v>43</v>
      </c>
      <c r="I1967">
        <v>10</v>
      </c>
      <c r="J1967">
        <v>30.3</v>
      </c>
      <c r="K1967">
        <v>44</v>
      </c>
      <c r="L1967">
        <v>11</v>
      </c>
      <c r="M1967">
        <v>33.33</v>
      </c>
      <c r="N1967">
        <v>37</v>
      </c>
      <c r="O1967">
        <v>150</v>
      </c>
      <c r="P1967" t="s">
        <v>192</v>
      </c>
      <c r="Q1967" t="s">
        <v>192</v>
      </c>
      <c r="R1967">
        <v>1</v>
      </c>
      <c r="S1967">
        <v>100</v>
      </c>
      <c r="T1967">
        <v>41</v>
      </c>
      <c r="U1967">
        <v>45</v>
      </c>
      <c r="V1967">
        <v>4</v>
      </c>
      <c r="W1967">
        <v>1</v>
      </c>
      <c r="X1967" s="367"/>
    </row>
    <row r="1968" spans="1:24">
      <c r="A1968" t="s">
        <v>2056</v>
      </c>
      <c r="B1968" t="s">
        <v>2055</v>
      </c>
      <c r="C1968">
        <v>56</v>
      </c>
      <c r="D1968">
        <v>10196029</v>
      </c>
      <c r="E1968">
        <v>12530769641</v>
      </c>
      <c r="F1968">
        <v>1194</v>
      </c>
      <c r="G1968">
        <v>1229</v>
      </c>
      <c r="H1968">
        <v>1229</v>
      </c>
      <c r="I1968">
        <v>35</v>
      </c>
      <c r="J1968">
        <v>2.93</v>
      </c>
      <c r="K1968">
        <v>1229</v>
      </c>
      <c r="L1968">
        <v>35</v>
      </c>
      <c r="M1968">
        <v>2.93</v>
      </c>
      <c r="N1968">
        <v>1228</v>
      </c>
      <c r="O1968">
        <v>1229</v>
      </c>
      <c r="P1968">
        <v>28</v>
      </c>
      <c r="Q1968">
        <v>43.89</v>
      </c>
      <c r="R1968">
        <v>16</v>
      </c>
      <c r="S1968">
        <v>9217936</v>
      </c>
      <c r="T1968">
        <v>1229</v>
      </c>
      <c r="U1968">
        <v>1488</v>
      </c>
      <c r="V1968">
        <v>190020</v>
      </c>
      <c r="W1968">
        <v>1</v>
      </c>
      <c r="X1968" s="367"/>
    </row>
    <row r="1969" spans="1:24">
      <c r="A1969" t="s">
        <v>3725</v>
      </c>
      <c r="B1969" t="s">
        <v>3726</v>
      </c>
      <c r="C1969">
        <v>0</v>
      </c>
      <c r="D1969">
        <v>0</v>
      </c>
      <c r="E1969">
        <v>0</v>
      </c>
      <c r="F1969">
        <v>8754</v>
      </c>
      <c r="G1969">
        <v>0</v>
      </c>
      <c r="H1969">
        <v>8756</v>
      </c>
      <c r="I1969">
        <v>2</v>
      </c>
      <c r="J1969">
        <v>0.02</v>
      </c>
      <c r="K1969">
        <v>8754</v>
      </c>
      <c r="L1969">
        <v>0</v>
      </c>
      <c r="M1969">
        <v>0</v>
      </c>
      <c r="N1969">
        <v>0</v>
      </c>
      <c r="O1969">
        <v>0</v>
      </c>
      <c r="P1969" t="s">
        <v>192</v>
      </c>
      <c r="Q1969" t="s">
        <v>192</v>
      </c>
      <c r="R1969">
        <v>1</v>
      </c>
      <c r="S1969">
        <v>222</v>
      </c>
      <c r="T1969">
        <v>11</v>
      </c>
      <c r="U1969">
        <v>0</v>
      </c>
      <c r="V1969">
        <v>0</v>
      </c>
      <c r="W1969">
        <v>0</v>
      </c>
      <c r="X1969" s="367"/>
    </row>
    <row r="1970" spans="1:24">
      <c r="A1970" t="s">
        <v>5107</v>
      </c>
      <c r="B1970" t="s">
        <v>5108</v>
      </c>
      <c r="C1970">
        <v>0</v>
      </c>
      <c r="D1970">
        <v>0</v>
      </c>
      <c r="E1970">
        <v>0</v>
      </c>
      <c r="F1970">
        <v>953300</v>
      </c>
      <c r="G1970">
        <v>0</v>
      </c>
      <c r="H1970">
        <v>953300</v>
      </c>
      <c r="I1970">
        <v>0</v>
      </c>
      <c r="J1970">
        <v>0</v>
      </c>
      <c r="K1970">
        <v>953300</v>
      </c>
      <c r="L1970">
        <v>0</v>
      </c>
      <c r="M1970">
        <v>0</v>
      </c>
      <c r="N1970">
        <v>0</v>
      </c>
      <c r="O1970">
        <v>0</v>
      </c>
      <c r="P1970" t="s">
        <v>192</v>
      </c>
      <c r="Q1970" t="s">
        <v>192</v>
      </c>
      <c r="R1970">
        <v>1</v>
      </c>
      <c r="S1970">
        <v>9125</v>
      </c>
      <c r="T1970">
        <v>902500</v>
      </c>
      <c r="U1970">
        <v>0</v>
      </c>
      <c r="V1970">
        <v>0</v>
      </c>
      <c r="W1970">
        <v>0</v>
      </c>
      <c r="X1970" s="367"/>
    </row>
    <row r="1971" spans="1:24">
      <c r="A1971" t="s">
        <v>8633</v>
      </c>
      <c r="B1971" t="s">
        <v>8634</v>
      </c>
      <c r="C1971">
        <v>2</v>
      </c>
      <c r="D1971">
        <v>63400000</v>
      </c>
      <c r="E1971">
        <v>57427466400000</v>
      </c>
      <c r="F1971">
        <v>910000</v>
      </c>
      <c r="G1971">
        <v>905572</v>
      </c>
      <c r="H1971">
        <v>906020</v>
      </c>
      <c r="I1971">
        <v>-3980</v>
      </c>
      <c r="J1971">
        <v>-0.44</v>
      </c>
      <c r="K1971">
        <v>905796</v>
      </c>
      <c r="L1971">
        <v>-4204</v>
      </c>
      <c r="M1971">
        <v>-0.46</v>
      </c>
      <c r="N1971">
        <v>905572</v>
      </c>
      <c r="O1971">
        <v>906020</v>
      </c>
      <c r="P1971" t="s">
        <v>192</v>
      </c>
      <c r="Q1971" t="s">
        <v>192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 s="367"/>
    </row>
    <row r="1972" spans="1:24">
      <c r="A1972" t="s">
        <v>4995</v>
      </c>
      <c r="B1972" t="s">
        <v>4996</v>
      </c>
      <c r="C1972">
        <v>0</v>
      </c>
      <c r="D1972">
        <v>0</v>
      </c>
      <c r="E1972">
        <v>0</v>
      </c>
      <c r="F1972">
        <v>1000000</v>
      </c>
      <c r="G1972">
        <v>0</v>
      </c>
      <c r="H1972">
        <v>1000000</v>
      </c>
      <c r="I1972">
        <v>0</v>
      </c>
      <c r="J1972">
        <v>0</v>
      </c>
      <c r="K1972">
        <v>1000000</v>
      </c>
      <c r="L1972">
        <v>0</v>
      </c>
      <c r="M1972">
        <v>0</v>
      </c>
      <c r="N1972">
        <v>0</v>
      </c>
      <c r="O1972">
        <v>0</v>
      </c>
      <c r="P1972" t="s">
        <v>192</v>
      </c>
      <c r="Q1972" t="s">
        <v>192</v>
      </c>
      <c r="R1972">
        <v>1</v>
      </c>
      <c r="S1972">
        <v>700</v>
      </c>
      <c r="T1972">
        <v>970000</v>
      </c>
      <c r="U1972">
        <v>0</v>
      </c>
      <c r="V1972">
        <v>0</v>
      </c>
      <c r="W1972">
        <v>0</v>
      </c>
      <c r="X1972" s="367"/>
    </row>
    <row r="1973" spans="1:24">
      <c r="A1973" t="s">
        <v>5012</v>
      </c>
      <c r="B1973" t="s">
        <v>5013</v>
      </c>
      <c r="C1973">
        <v>0</v>
      </c>
      <c r="D1973">
        <v>0</v>
      </c>
      <c r="E1973">
        <v>0</v>
      </c>
      <c r="F1973">
        <v>861546</v>
      </c>
      <c r="G1973">
        <v>0</v>
      </c>
      <c r="H1973">
        <v>861546</v>
      </c>
      <c r="I1973">
        <v>0</v>
      </c>
      <c r="J1973">
        <v>0</v>
      </c>
      <c r="K1973">
        <v>861546</v>
      </c>
      <c r="L1973">
        <v>0</v>
      </c>
      <c r="M1973">
        <v>0</v>
      </c>
      <c r="N1973">
        <v>0</v>
      </c>
      <c r="O1973">
        <v>0</v>
      </c>
      <c r="P1973" t="s">
        <v>192</v>
      </c>
      <c r="Q1973" t="s">
        <v>192</v>
      </c>
      <c r="R1973">
        <v>1</v>
      </c>
      <c r="S1973">
        <v>7200</v>
      </c>
      <c r="T1973">
        <v>861545</v>
      </c>
      <c r="U1973">
        <v>0</v>
      </c>
      <c r="V1973">
        <v>0</v>
      </c>
      <c r="W1973">
        <v>0</v>
      </c>
      <c r="X1973" s="367"/>
    </row>
    <row r="1974" spans="1:24">
      <c r="A1974" t="s">
        <v>7481</v>
      </c>
      <c r="B1974" t="s">
        <v>7482</v>
      </c>
      <c r="C1974">
        <v>0</v>
      </c>
      <c r="D1974">
        <v>0</v>
      </c>
      <c r="E1974">
        <v>0</v>
      </c>
      <c r="F1974">
        <v>10</v>
      </c>
      <c r="G1974">
        <v>0</v>
      </c>
      <c r="H1974">
        <v>10</v>
      </c>
      <c r="I1974">
        <v>0</v>
      </c>
      <c r="J1974">
        <v>0</v>
      </c>
      <c r="K1974">
        <v>10</v>
      </c>
      <c r="L1974">
        <v>0</v>
      </c>
      <c r="M1974">
        <v>0</v>
      </c>
      <c r="N1974">
        <v>0</v>
      </c>
      <c r="O1974">
        <v>0</v>
      </c>
      <c r="P1974" t="s">
        <v>192</v>
      </c>
      <c r="Q1974" t="s">
        <v>192</v>
      </c>
      <c r="R1974">
        <v>0</v>
      </c>
      <c r="S1974">
        <v>0</v>
      </c>
      <c r="T1974">
        <v>0</v>
      </c>
      <c r="U1974">
        <v>10</v>
      </c>
      <c r="V1974">
        <v>3</v>
      </c>
      <c r="W1974">
        <v>1</v>
      </c>
      <c r="X1974" s="367"/>
    </row>
    <row r="1975" spans="1:24">
      <c r="A1975" t="s">
        <v>2665</v>
      </c>
      <c r="B1975" t="s">
        <v>2663</v>
      </c>
      <c r="C1975">
        <v>4</v>
      </c>
      <c r="D1975">
        <v>63459</v>
      </c>
      <c r="E1975">
        <v>347120730</v>
      </c>
      <c r="F1975">
        <v>5320</v>
      </c>
      <c r="G1975">
        <v>5470</v>
      </c>
      <c r="H1975">
        <v>5470</v>
      </c>
      <c r="I1975">
        <v>150</v>
      </c>
      <c r="J1975">
        <v>2.82</v>
      </c>
      <c r="K1975">
        <v>5470</v>
      </c>
      <c r="L1975">
        <v>150</v>
      </c>
      <c r="M1975">
        <v>2.82</v>
      </c>
      <c r="N1975">
        <v>5470</v>
      </c>
      <c r="O1975">
        <v>5470</v>
      </c>
      <c r="P1975">
        <v>377</v>
      </c>
      <c r="Q1975">
        <v>14.51</v>
      </c>
      <c r="R1975">
        <v>7</v>
      </c>
      <c r="S1975">
        <v>1251695</v>
      </c>
      <c r="T1975">
        <v>5470</v>
      </c>
      <c r="U1975">
        <v>0</v>
      </c>
      <c r="V1975">
        <v>0</v>
      </c>
      <c r="W1975">
        <v>0</v>
      </c>
      <c r="X1975" s="367"/>
    </row>
    <row r="1976" spans="1:24">
      <c r="A1976" t="s">
        <v>4282</v>
      </c>
      <c r="B1976" t="s">
        <v>4283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1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 t="s">
        <v>192</v>
      </c>
      <c r="Q1976" t="s">
        <v>192</v>
      </c>
      <c r="R1976">
        <v>1</v>
      </c>
      <c r="S1976">
        <v>100</v>
      </c>
      <c r="T1976">
        <v>1</v>
      </c>
      <c r="U1976">
        <v>0</v>
      </c>
      <c r="V1976">
        <v>0</v>
      </c>
      <c r="W1976">
        <v>0</v>
      </c>
      <c r="X1976" s="367"/>
    </row>
    <row r="1977" spans="1:24">
      <c r="A1977" t="s">
        <v>1735</v>
      </c>
      <c r="B1977" t="s">
        <v>1734</v>
      </c>
      <c r="C1977">
        <v>2453</v>
      </c>
      <c r="D1977">
        <v>45948208</v>
      </c>
      <c r="E1977">
        <v>478410475970</v>
      </c>
      <c r="F1977">
        <v>10330</v>
      </c>
      <c r="G1977">
        <v>10340</v>
      </c>
      <c r="H1977">
        <v>10630</v>
      </c>
      <c r="I1977">
        <v>300</v>
      </c>
      <c r="J1977">
        <v>2.9</v>
      </c>
      <c r="K1977">
        <v>10410</v>
      </c>
      <c r="L1977">
        <v>80</v>
      </c>
      <c r="M1977">
        <v>0.77</v>
      </c>
      <c r="N1977">
        <v>10030</v>
      </c>
      <c r="O1977">
        <v>10630</v>
      </c>
      <c r="P1977">
        <v>605</v>
      </c>
      <c r="Q1977">
        <v>17.21</v>
      </c>
      <c r="R1977">
        <v>88</v>
      </c>
      <c r="S1977">
        <v>7852658</v>
      </c>
      <c r="T1977">
        <v>10630</v>
      </c>
      <c r="U1977">
        <v>10900</v>
      </c>
      <c r="V1977">
        <v>30000</v>
      </c>
      <c r="W1977">
        <v>1</v>
      </c>
      <c r="X1977" s="367"/>
    </row>
    <row r="1978" spans="1:24">
      <c r="A1978" t="s">
        <v>4997</v>
      </c>
      <c r="B1978" t="s">
        <v>3415</v>
      </c>
      <c r="C1978">
        <v>3</v>
      </c>
      <c r="D1978">
        <v>11400000</v>
      </c>
      <c r="E1978">
        <v>11400000</v>
      </c>
      <c r="F1978">
        <v>27064</v>
      </c>
      <c r="G1978">
        <v>1</v>
      </c>
      <c r="H1978">
        <v>1</v>
      </c>
      <c r="I1978">
        <v>-27063</v>
      </c>
      <c r="J1978">
        <v>-100</v>
      </c>
      <c r="K1978">
        <v>1</v>
      </c>
      <c r="L1978">
        <v>-27063</v>
      </c>
      <c r="M1978">
        <v>-100</v>
      </c>
      <c r="N1978">
        <v>1</v>
      </c>
      <c r="O1978">
        <v>1</v>
      </c>
      <c r="P1978" t="s">
        <v>192</v>
      </c>
      <c r="Q1978" t="s">
        <v>192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 s="367"/>
    </row>
    <row r="1979" spans="1:24">
      <c r="A1979" t="s">
        <v>4944</v>
      </c>
      <c r="B1979" t="s">
        <v>4945</v>
      </c>
      <c r="C1979">
        <v>6167</v>
      </c>
      <c r="D1979">
        <v>178817331</v>
      </c>
      <c r="E1979">
        <v>19176183746309</v>
      </c>
      <c r="F1979">
        <v>106987</v>
      </c>
      <c r="G1979">
        <v>107239</v>
      </c>
      <c r="H1979">
        <v>107308</v>
      </c>
      <c r="I1979">
        <v>321</v>
      </c>
      <c r="J1979">
        <v>0.3</v>
      </c>
      <c r="K1979">
        <v>107239</v>
      </c>
      <c r="L1979">
        <v>252</v>
      </c>
      <c r="M1979">
        <v>0.24</v>
      </c>
      <c r="N1979">
        <v>107234</v>
      </c>
      <c r="O1979">
        <v>107310</v>
      </c>
      <c r="P1979" t="s">
        <v>192</v>
      </c>
      <c r="Q1979" t="s">
        <v>192</v>
      </c>
      <c r="R1979">
        <v>3</v>
      </c>
      <c r="S1979">
        <v>157807</v>
      </c>
      <c r="T1979">
        <v>107309</v>
      </c>
      <c r="U1979">
        <v>107310</v>
      </c>
      <c r="V1979">
        <v>266057</v>
      </c>
      <c r="W1979">
        <v>10</v>
      </c>
      <c r="X1979" s="367"/>
    </row>
    <row r="1980" spans="1:24">
      <c r="A1980" t="s">
        <v>7379</v>
      </c>
      <c r="B1980" t="s">
        <v>7879</v>
      </c>
      <c r="C1980">
        <v>2</v>
      </c>
      <c r="D1980">
        <v>2</v>
      </c>
      <c r="E1980">
        <v>13600000</v>
      </c>
      <c r="F1980">
        <v>6167</v>
      </c>
      <c r="G1980">
        <v>7499</v>
      </c>
      <c r="H1980">
        <v>6101</v>
      </c>
      <c r="I1980">
        <v>-66</v>
      </c>
      <c r="J1980">
        <v>-1.07</v>
      </c>
      <c r="K1980">
        <v>6800</v>
      </c>
      <c r="L1980">
        <v>633</v>
      </c>
      <c r="M1980">
        <v>10.26</v>
      </c>
      <c r="N1980">
        <v>6101</v>
      </c>
      <c r="O1980">
        <v>7499</v>
      </c>
      <c r="P1980" t="s">
        <v>192</v>
      </c>
      <c r="Q1980" t="s">
        <v>192</v>
      </c>
      <c r="R1980">
        <v>1</v>
      </c>
      <c r="S1980">
        <v>100</v>
      </c>
      <c r="T1980">
        <v>1</v>
      </c>
      <c r="U1980">
        <v>7600</v>
      </c>
      <c r="V1980">
        <v>2</v>
      </c>
      <c r="W1980">
        <v>1</v>
      </c>
      <c r="X1980" s="367"/>
    </row>
    <row r="1981" spans="1:24">
      <c r="A1981" t="s">
        <v>4252</v>
      </c>
      <c r="B1981" t="s">
        <v>4253</v>
      </c>
      <c r="C1981">
        <v>1</v>
      </c>
      <c r="D1981">
        <v>1</v>
      </c>
      <c r="E1981">
        <v>12000000</v>
      </c>
      <c r="F1981">
        <v>18349</v>
      </c>
      <c r="G1981">
        <v>12000</v>
      </c>
      <c r="H1981">
        <v>12000</v>
      </c>
      <c r="I1981">
        <v>-6349</v>
      </c>
      <c r="J1981">
        <v>-34.6</v>
      </c>
      <c r="K1981">
        <v>12000</v>
      </c>
      <c r="L1981">
        <v>-6349</v>
      </c>
      <c r="M1981">
        <v>-34.6</v>
      </c>
      <c r="N1981">
        <v>12000</v>
      </c>
      <c r="O1981">
        <v>12000</v>
      </c>
      <c r="P1981" t="s">
        <v>192</v>
      </c>
      <c r="Q1981" t="s">
        <v>192</v>
      </c>
      <c r="R1981">
        <v>1</v>
      </c>
      <c r="S1981">
        <v>1</v>
      </c>
      <c r="T1981">
        <v>12001</v>
      </c>
      <c r="U1981">
        <v>18115</v>
      </c>
      <c r="V1981">
        <v>5</v>
      </c>
      <c r="W1981">
        <v>1</v>
      </c>
      <c r="X1981" s="367"/>
    </row>
    <row r="1982" spans="1:24">
      <c r="A1982" t="s">
        <v>5053</v>
      </c>
      <c r="B1982" t="s">
        <v>5054</v>
      </c>
      <c r="C1982">
        <v>662</v>
      </c>
      <c r="D1982">
        <v>8535166</v>
      </c>
      <c r="E1982">
        <v>92399958480</v>
      </c>
      <c r="F1982">
        <v>10874</v>
      </c>
      <c r="G1982">
        <v>10850</v>
      </c>
      <c r="H1982">
        <v>10775</v>
      </c>
      <c r="I1982">
        <v>-99</v>
      </c>
      <c r="J1982">
        <v>-0.91</v>
      </c>
      <c r="K1982">
        <v>10826</v>
      </c>
      <c r="L1982">
        <v>-48</v>
      </c>
      <c r="M1982">
        <v>-0.44</v>
      </c>
      <c r="N1982">
        <v>10750</v>
      </c>
      <c r="O1982">
        <v>10856</v>
      </c>
      <c r="P1982" t="s">
        <v>192</v>
      </c>
      <c r="Q1982" t="s">
        <v>192</v>
      </c>
      <c r="R1982">
        <v>5</v>
      </c>
      <c r="S1982">
        <v>21731</v>
      </c>
      <c r="T1982">
        <v>10774</v>
      </c>
      <c r="U1982">
        <v>10781</v>
      </c>
      <c r="V1982">
        <v>18695</v>
      </c>
      <c r="W1982">
        <v>3</v>
      </c>
      <c r="X1982" s="367"/>
    </row>
    <row r="1983" spans="1:24">
      <c r="A1983" t="s">
        <v>3454</v>
      </c>
      <c r="B1983" t="s">
        <v>3455</v>
      </c>
      <c r="C1983">
        <v>3270</v>
      </c>
      <c r="D1983">
        <v>64486</v>
      </c>
      <c r="E1983">
        <v>802805981000</v>
      </c>
      <c r="F1983">
        <v>9261</v>
      </c>
      <c r="G1983">
        <v>11600</v>
      </c>
      <c r="H1983">
        <v>12715</v>
      </c>
      <c r="I1983">
        <v>3454</v>
      </c>
      <c r="J1983">
        <v>37.299999999999997</v>
      </c>
      <c r="K1983">
        <v>12449</v>
      </c>
      <c r="L1983">
        <v>3188</v>
      </c>
      <c r="M1983">
        <v>34.42</v>
      </c>
      <c r="N1983">
        <v>11600</v>
      </c>
      <c r="O1983">
        <v>12825</v>
      </c>
      <c r="P1983" t="s">
        <v>192</v>
      </c>
      <c r="Q1983" t="s">
        <v>192</v>
      </c>
      <c r="R1983">
        <v>1</v>
      </c>
      <c r="S1983">
        <v>21</v>
      </c>
      <c r="T1983">
        <v>12716</v>
      </c>
      <c r="U1983">
        <v>12850</v>
      </c>
      <c r="V1983">
        <v>1</v>
      </c>
      <c r="W1983">
        <v>1</v>
      </c>
      <c r="X1983" s="367"/>
    </row>
    <row r="1984" spans="1:24">
      <c r="A1984" t="s">
        <v>4918</v>
      </c>
      <c r="B1984" t="s">
        <v>4919</v>
      </c>
      <c r="C1984">
        <v>0</v>
      </c>
      <c r="D1984">
        <v>0</v>
      </c>
      <c r="E1984">
        <v>0</v>
      </c>
      <c r="F1984">
        <v>1000000</v>
      </c>
      <c r="G1984">
        <v>0</v>
      </c>
      <c r="H1984">
        <v>1000000</v>
      </c>
      <c r="I1984">
        <v>0</v>
      </c>
      <c r="J1984">
        <v>0</v>
      </c>
      <c r="K1984">
        <v>1000000</v>
      </c>
      <c r="L1984">
        <v>0</v>
      </c>
      <c r="M1984">
        <v>0</v>
      </c>
      <c r="N1984">
        <v>0</v>
      </c>
      <c r="O1984">
        <v>0</v>
      </c>
      <c r="P1984" t="s">
        <v>192</v>
      </c>
      <c r="Q1984" t="s">
        <v>192</v>
      </c>
      <c r="R1984">
        <v>1</v>
      </c>
      <c r="S1984">
        <v>5000</v>
      </c>
      <c r="T1984">
        <v>995000</v>
      </c>
      <c r="U1984">
        <v>1004950</v>
      </c>
      <c r="V1984">
        <v>5000</v>
      </c>
      <c r="W1984">
        <v>1</v>
      </c>
      <c r="X1984" s="367"/>
    </row>
    <row r="1985" spans="1:24">
      <c r="A1985" t="s">
        <v>7385</v>
      </c>
      <c r="B1985" t="s">
        <v>7876</v>
      </c>
      <c r="C1985">
        <v>64</v>
      </c>
      <c r="D1985">
        <v>1134</v>
      </c>
      <c r="E1985">
        <v>9033572000</v>
      </c>
      <c r="F1985">
        <v>7429</v>
      </c>
      <c r="G1985">
        <v>8450</v>
      </c>
      <c r="H1985">
        <v>8000</v>
      </c>
      <c r="I1985">
        <v>571</v>
      </c>
      <c r="J1985">
        <v>7.69</v>
      </c>
      <c r="K1985">
        <v>7966</v>
      </c>
      <c r="L1985">
        <v>537</v>
      </c>
      <c r="M1985">
        <v>7.23</v>
      </c>
      <c r="N1985">
        <v>7700</v>
      </c>
      <c r="O1985">
        <v>8450</v>
      </c>
      <c r="P1985" t="s">
        <v>192</v>
      </c>
      <c r="Q1985" t="s">
        <v>192</v>
      </c>
      <c r="R1985">
        <v>1</v>
      </c>
      <c r="S1985">
        <v>1</v>
      </c>
      <c r="T1985">
        <v>7825</v>
      </c>
      <c r="U1985">
        <v>8000</v>
      </c>
      <c r="V1985">
        <v>64</v>
      </c>
      <c r="W1985">
        <v>2</v>
      </c>
      <c r="X1985" s="367"/>
    </row>
    <row r="1986" spans="1:24">
      <c r="A1986" t="s">
        <v>4958</v>
      </c>
      <c r="B1986" t="s">
        <v>4959</v>
      </c>
      <c r="C1986">
        <v>0</v>
      </c>
      <c r="D1986">
        <v>0</v>
      </c>
      <c r="E1986">
        <v>0</v>
      </c>
      <c r="F1986">
        <v>1000000</v>
      </c>
      <c r="G1986">
        <v>0</v>
      </c>
      <c r="H1986">
        <v>1000000</v>
      </c>
      <c r="I1986">
        <v>0</v>
      </c>
      <c r="J1986">
        <v>0</v>
      </c>
      <c r="K1986">
        <v>1000000</v>
      </c>
      <c r="L1986">
        <v>0</v>
      </c>
      <c r="M1986">
        <v>0</v>
      </c>
      <c r="N1986">
        <v>0</v>
      </c>
      <c r="O1986">
        <v>0</v>
      </c>
      <c r="P1986" t="s">
        <v>192</v>
      </c>
      <c r="Q1986" t="s">
        <v>192</v>
      </c>
      <c r="R1986">
        <v>1</v>
      </c>
      <c r="S1986">
        <v>5000</v>
      </c>
      <c r="T1986">
        <v>990000</v>
      </c>
      <c r="U1986">
        <v>1000000</v>
      </c>
      <c r="V1986">
        <v>5000</v>
      </c>
      <c r="W1986">
        <v>1</v>
      </c>
      <c r="X1986" s="367"/>
    </row>
    <row r="1987" spans="1:24">
      <c r="A1987" t="s">
        <v>4954</v>
      </c>
      <c r="B1987" t="s">
        <v>4955</v>
      </c>
      <c r="C1987">
        <v>0</v>
      </c>
      <c r="D1987">
        <v>0</v>
      </c>
      <c r="E1987">
        <v>0</v>
      </c>
      <c r="F1987">
        <v>1000000</v>
      </c>
      <c r="G1987">
        <v>0</v>
      </c>
      <c r="H1987">
        <v>1000000</v>
      </c>
      <c r="I1987">
        <v>0</v>
      </c>
      <c r="J1987">
        <v>0</v>
      </c>
      <c r="K1987">
        <v>1000000</v>
      </c>
      <c r="L1987">
        <v>0</v>
      </c>
      <c r="M1987">
        <v>0</v>
      </c>
      <c r="N1987">
        <v>0</v>
      </c>
      <c r="O1987">
        <v>0</v>
      </c>
      <c r="P1987" t="s">
        <v>192</v>
      </c>
      <c r="Q1987" t="s">
        <v>192</v>
      </c>
      <c r="R1987">
        <v>1</v>
      </c>
      <c r="S1987">
        <v>5000</v>
      </c>
      <c r="T1987">
        <v>995000</v>
      </c>
      <c r="U1987">
        <v>1005000</v>
      </c>
      <c r="V1987">
        <v>5000</v>
      </c>
      <c r="W1987">
        <v>1</v>
      </c>
      <c r="X1987" s="367"/>
    </row>
    <row r="1988" spans="1:24">
      <c r="A1988" t="s">
        <v>4896</v>
      </c>
      <c r="B1988" t="s">
        <v>4897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1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 t="s">
        <v>192</v>
      </c>
      <c r="Q1988" t="s">
        <v>192</v>
      </c>
      <c r="R1988">
        <v>1</v>
      </c>
      <c r="S1988">
        <v>100</v>
      </c>
      <c r="T1988">
        <v>1</v>
      </c>
      <c r="U1988">
        <v>0</v>
      </c>
      <c r="V1988">
        <v>0</v>
      </c>
      <c r="W1988">
        <v>0</v>
      </c>
      <c r="X1988" s="367"/>
    </row>
    <row r="1989" spans="1:24">
      <c r="A1989" t="s">
        <v>2586</v>
      </c>
      <c r="B1989" t="s">
        <v>2585</v>
      </c>
      <c r="C1989">
        <v>26</v>
      </c>
      <c r="D1989">
        <v>3586175</v>
      </c>
      <c r="E1989">
        <v>6186151875</v>
      </c>
      <c r="F1989">
        <v>1675</v>
      </c>
      <c r="G1989">
        <v>1725</v>
      </c>
      <c r="H1989">
        <v>1725</v>
      </c>
      <c r="I1989">
        <v>50</v>
      </c>
      <c r="J1989">
        <v>2.99</v>
      </c>
      <c r="K1989">
        <v>1725</v>
      </c>
      <c r="L1989">
        <v>50</v>
      </c>
      <c r="M1989">
        <v>2.99</v>
      </c>
      <c r="N1989">
        <v>1725</v>
      </c>
      <c r="O1989">
        <v>1725</v>
      </c>
      <c r="P1989">
        <v>1675</v>
      </c>
      <c r="Q1989">
        <v>1.03</v>
      </c>
      <c r="R1989">
        <v>260</v>
      </c>
      <c r="S1989">
        <v>148002293</v>
      </c>
      <c r="T1989">
        <v>1725</v>
      </c>
      <c r="U1989">
        <v>0</v>
      </c>
      <c r="V1989">
        <v>0</v>
      </c>
      <c r="W1989">
        <v>0</v>
      </c>
      <c r="X1989" s="367"/>
    </row>
    <row r="1990" spans="1:24">
      <c r="A1990" t="s">
        <v>4178</v>
      </c>
      <c r="B1990" t="s">
        <v>4179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1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 t="s">
        <v>192</v>
      </c>
      <c r="Q1990" t="s">
        <v>192</v>
      </c>
      <c r="R1990">
        <v>1</v>
      </c>
      <c r="S1990">
        <v>44</v>
      </c>
      <c r="T1990">
        <v>77</v>
      </c>
      <c r="U1990">
        <v>0</v>
      </c>
      <c r="V1990">
        <v>0</v>
      </c>
      <c r="W1990">
        <v>0</v>
      </c>
      <c r="X1990" s="367"/>
    </row>
    <row r="1991" spans="1:24">
      <c r="A1991" t="s">
        <v>1878</v>
      </c>
      <c r="B1991" t="s">
        <v>1878</v>
      </c>
      <c r="C1991">
        <v>109</v>
      </c>
      <c r="D1991">
        <v>2494172</v>
      </c>
      <c r="E1991">
        <v>3329884008</v>
      </c>
      <c r="F1991">
        <v>1332</v>
      </c>
      <c r="G1991">
        <v>1333</v>
      </c>
      <c r="H1991">
        <v>1340</v>
      </c>
      <c r="I1991">
        <v>8</v>
      </c>
      <c r="J1991">
        <v>0.6</v>
      </c>
      <c r="K1991">
        <v>1335</v>
      </c>
      <c r="L1991">
        <v>3</v>
      </c>
      <c r="M1991">
        <v>0.23</v>
      </c>
      <c r="N1991">
        <v>1325</v>
      </c>
      <c r="O1991">
        <v>1355</v>
      </c>
      <c r="P1991">
        <v>-936</v>
      </c>
      <c r="Q1991">
        <v>-1.43</v>
      </c>
      <c r="R1991">
        <v>2</v>
      </c>
      <c r="S1991">
        <v>138140</v>
      </c>
      <c r="T1991">
        <v>1333</v>
      </c>
      <c r="U1991">
        <v>1352</v>
      </c>
      <c r="V1991">
        <v>6309</v>
      </c>
      <c r="W1991">
        <v>7</v>
      </c>
      <c r="X1991" s="367"/>
    </row>
    <row r="1992" spans="1:24">
      <c r="A1992" t="s">
        <v>4946</v>
      </c>
      <c r="B1992" t="s">
        <v>4947</v>
      </c>
      <c r="C1992">
        <v>1</v>
      </c>
      <c r="D1992">
        <v>500000</v>
      </c>
      <c r="E1992">
        <v>500000</v>
      </c>
      <c r="F1992">
        <v>20788</v>
      </c>
      <c r="G1992">
        <v>1</v>
      </c>
      <c r="H1992">
        <v>1</v>
      </c>
      <c r="I1992">
        <v>-20787</v>
      </c>
      <c r="J1992">
        <v>-100</v>
      </c>
      <c r="K1992">
        <v>1</v>
      </c>
      <c r="L1992">
        <v>-20787</v>
      </c>
      <c r="M1992">
        <v>-100</v>
      </c>
      <c r="N1992">
        <v>1</v>
      </c>
      <c r="O1992">
        <v>1</v>
      </c>
      <c r="P1992" t="s">
        <v>192</v>
      </c>
      <c r="Q1992" t="s">
        <v>192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 s="367"/>
    </row>
    <row r="1993" spans="1:24">
      <c r="A1993" t="s">
        <v>4370</v>
      </c>
      <c r="B1993" t="s">
        <v>4371</v>
      </c>
      <c r="C1993">
        <v>1460</v>
      </c>
      <c r="D1993">
        <v>22504</v>
      </c>
      <c r="E1993">
        <v>71545436000</v>
      </c>
      <c r="F1993">
        <v>4522</v>
      </c>
      <c r="G1993">
        <v>3500</v>
      </c>
      <c r="H1993">
        <v>3004</v>
      </c>
      <c r="I1993">
        <v>-1518</v>
      </c>
      <c r="J1993">
        <v>-33.57</v>
      </c>
      <c r="K1993">
        <v>3179</v>
      </c>
      <c r="L1993">
        <v>-1343</v>
      </c>
      <c r="M1993">
        <v>-29.7</v>
      </c>
      <c r="N1993">
        <v>2930</v>
      </c>
      <c r="O1993">
        <v>3600</v>
      </c>
      <c r="P1993" t="s">
        <v>192</v>
      </c>
      <c r="Q1993" t="s">
        <v>192</v>
      </c>
      <c r="R1993">
        <v>2</v>
      </c>
      <c r="S1993">
        <v>46</v>
      </c>
      <c r="T1993">
        <v>3004</v>
      </c>
      <c r="U1993">
        <v>3180</v>
      </c>
      <c r="V1993">
        <v>6</v>
      </c>
      <c r="W1993">
        <v>1</v>
      </c>
      <c r="X1993" s="367"/>
    </row>
    <row r="1994" spans="1:24">
      <c r="A1994" t="s">
        <v>2811</v>
      </c>
      <c r="B1994" t="s">
        <v>2810</v>
      </c>
      <c r="C1994">
        <v>208</v>
      </c>
      <c r="D1994">
        <v>7297863</v>
      </c>
      <c r="E1994">
        <v>41595654200</v>
      </c>
      <c r="F1994">
        <v>5540</v>
      </c>
      <c r="G1994">
        <v>5700</v>
      </c>
      <c r="H1994">
        <v>5700</v>
      </c>
      <c r="I1994">
        <v>160</v>
      </c>
      <c r="J1994">
        <v>2.89</v>
      </c>
      <c r="K1994">
        <v>5700</v>
      </c>
      <c r="L1994">
        <v>160</v>
      </c>
      <c r="M1994">
        <v>2.89</v>
      </c>
      <c r="N1994">
        <v>5640</v>
      </c>
      <c r="O1994">
        <v>5700</v>
      </c>
      <c r="P1994">
        <v>411</v>
      </c>
      <c r="Q1994">
        <v>13.87</v>
      </c>
      <c r="R1994">
        <v>60</v>
      </c>
      <c r="S1994">
        <v>14997684</v>
      </c>
      <c r="T1994">
        <v>5700</v>
      </c>
      <c r="U1994">
        <v>0</v>
      </c>
      <c r="V1994">
        <v>0</v>
      </c>
      <c r="W1994">
        <v>0</v>
      </c>
      <c r="X1994" s="367"/>
    </row>
    <row r="1995" spans="1:24">
      <c r="A1995" t="s">
        <v>6591</v>
      </c>
      <c r="B1995" t="s">
        <v>8459</v>
      </c>
      <c r="C1995">
        <v>0</v>
      </c>
      <c r="D1995">
        <v>0</v>
      </c>
      <c r="E1995">
        <v>0</v>
      </c>
      <c r="F1995">
        <v>1</v>
      </c>
      <c r="G1995">
        <v>0</v>
      </c>
      <c r="H1995">
        <v>1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 t="s">
        <v>192</v>
      </c>
      <c r="Q1995" t="s">
        <v>192</v>
      </c>
      <c r="R1995">
        <v>1</v>
      </c>
      <c r="S1995">
        <v>99</v>
      </c>
      <c r="T1995">
        <v>15</v>
      </c>
      <c r="U1995">
        <v>0</v>
      </c>
      <c r="V1995">
        <v>0</v>
      </c>
      <c r="W1995">
        <v>0</v>
      </c>
      <c r="X1995" s="367"/>
    </row>
    <row r="1996" spans="1:24">
      <c r="A1996" t="s">
        <v>5079</v>
      </c>
      <c r="B1996" t="s">
        <v>5080</v>
      </c>
      <c r="C1996">
        <v>870</v>
      </c>
      <c r="D1996">
        <v>211955500</v>
      </c>
      <c r="E1996">
        <v>4945791481734</v>
      </c>
      <c r="F1996">
        <v>23299</v>
      </c>
      <c r="G1996">
        <v>23334</v>
      </c>
      <c r="H1996">
        <v>23334</v>
      </c>
      <c r="I1996">
        <v>35</v>
      </c>
      <c r="J1996">
        <v>0.15</v>
      </c>
      <c r="K1996">
        <v>23334</v>
      </c>
      <c r="L1996">
        <v>35</v>
      </c>
      <c r="M1996">
        <v>0.15</v>
      </c>
      <c r="N1996">
        <v>23334</v>
      </c>
      <c r="O1996">
        <v>23335</v>
      </c>
      <c r="P1996" t="s">
        <v>192</v>
      </c>
      <c r="Q1996" t="s">
        <v>192</v>
      </c>
      <c r="R1996">
        <v>10</v>
      </c>
      <c r="S1996">
        <v>304149800</v>
      </c>
      <c r="T1996">
        <v>23334</v>
      </c>
      <c r="U1996">
        <v>23335</v>
      </c>
      <c r="V1996">
        <v>44067216</v>
      </c>
      <c r="W1996">
        <v>44</v>
      </c>
      <c r="X1996" s="367"/>
    </row>
    <row r="1997" spans="1:24">
      <c r="A1997" t="s">
        <v>4989</v>
      </c>
      <c r="B1997" t="s">
        <v>4990</v>
      </c>
      <c r="C1997">
        <v>0</v>
      </c>
      <c r="D1997">
        <v>0</v>
      </c>
      <c r="E1997">
        <v>0</v>
      </c>
      <c r="F1997">
        <v>1000000</v>
      </c>
      <c r="G1997">
        <v>0</v>
      </c>
      <c r="H1997">
        <v>1000000</v>
      </c>
      <c r="I1997">
        <v>0</v>
      </c>
      <c r="J1997">
        <v>0</v>
      </c>
      <c r="K1997">
        <v>1000000</v>
      </c>
      <c r="L1997">
        <v>0</v>
      </c>
      <c r="M1997">
        <v>0</v>
      </c>
      <c r="N1997">
        <v>0</v>
      </c>
      <c r="O1997">
        <v>0</v>
      </c>
      <c r="P1997" t="s">
        <v>192</v>
      </c>
      <c r="Q1997" t="s">
        <v>192</v>
      </c>
      <c r="R1997">
        <v>1</v>
      </c>
      <c r="S1997">
        <v>7000</v>
      </c>
      <c r="T1997">
        <v>1000000</v>
      </c>
      <c r="U1997">
        <v>0</v>
      </c>
      <c r="V1997">
        <v>0</v>
      </c>
      <c r="W1997">
        <v>0</v>
      </c>
      <c r="X1997" s="367"/>
    </row>
    <row r="1998" spans="1:24">
      <c r="A1998" t="s">
        <v>8567</v>
      </c>
      <c r="B1998" t="s">
        <v>3191</v>
      </c>
      <c r="C1998">
        <v>22</v>
      </c>
      <c r="D1998">
        <v>10000000</v>
      </c>
      <c r="E1998">
        <v>10000000</v>
      </c>
      <c r="F1998">
        <v>28713</v>
      </c>
      <c r="G1998">
        <v>1</v>
      </c>
      <c r="H1998">
        <v>1</v>
      </c>
      <c r="I1998">
        <v>-28712</v>
      </c>
      <c r="J1998">
        <v>-100</v>
      </c>
      <c r="K1998">
        <v>1</v>
      </c>
      <c r="L1998">
        <v>-28712</v>
      </c>
      <c r="M1998">
        <v>-100</v>
      </c>
      <c r="N1998">
        <v>1</v>
      </c>
      <c r="O1998">
        <v>1</v>
      </c>
      <c r="P1998" t="s">
        <v>192</v>
      </c>
      <c r="Q1998" t="s">
        <v>192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 s="367"/>
    </row>
    <row r="1999" spans="1:24">
      <c r="A1999" t="s">
        <v>5065</v>
      </c>
      <c r="B1999" t="s">
        <v>5066</v>
      </c>
      <c r="C1999">
        <v>49</v>
      </c>
      <c r="D1999">
        <v>4025</v>
      </c>
      <c r="E1999">
        <v>10725258734</v>
      </c>
      <c r="F1999">
        <v>2663852</v>
      </c>
      <c r="G1999">
        <v>2689999</v>
      </c>
      <c r="H1999">
        <v>2650000</v>
      </c>
      <c r="I1999">
        <v>-13852</v>
      </c>
      <c r="J1999">
        <v>-0.52</v>
      </c>
      <c r="K1999">
        <v>2664660</v>
      </c>
      <c r="L1999">
        <v>808</v>
      </c>
      <c r="M1999">
        <v>0.03</v>
      </c>
      <c r="N1999">
        <v>2645000</v>
      </c>
      <c r="O1999">
        <v>2689999</v>
      </c>
      <c r="P1999" t="s">
        <v>192</v>
      </c>
      <c r="Q1999" t="s">
        <v>192</v>
      </c>
      <c r="R1999">
        <v>2</v>
      </c>
      <c r="S1999">
        <v>12</v>
      </c>
      <c r="T1999">
        <v>2640000</v>
      </c>
      <c r="U1999">
        <v>2650000</v>
      </c>
      <c r="V1999">
        <v>313</v>
      </c>
      <c r="W1999">
        <v>2</v>
      </c>
      <c r="X1999" s="367"/>
    </row>
    <row r="2000" spans="1:24">
      <c r="A2000" t="s">
        <v>8627</v>
      </c>
      <c r="B2000" t="s">
        <v>8628</v>
      </c>
      <c r="C2000">
        <v>2</v>
      </c>
      <c r="D2000">
        <v>119220562</v>
      </c>
      <c r="E2000">
        <v>102833636142819</v>
      </c>
      <c r="F2000">
        <v>891450</v>
      </c>
      <c r="G2000">
        <v>833649</v>
      </c>
      <c r="H2000">
        <v>891450</v>
      </c>
      <c r="I2000">
        <v>0</v>
      </c>
      <c r="J2000">
        <v>0</v>
      </c>
      <c r="K2000">
        <v>862549</v>
      </c>
      <c r="L2000">
        <v>-28901</v>
      </c>
      <c r="M2000">
        <v>-3.24</v>
      </c>
      <c r="N2000">
        <v>833649</v>
      </c>
      <c r="O2000">
        <v>891450</v>
      </c>
      <c r="P2000" t="s">
        <v>192</v>
      </c>
      <c r="Q2000" t="s">
        <v>192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 s="367"/>
    </row>
    <row r="2001" spans="1:24">
      <c r="A2001" t="s">
        <v>6975</v>
      </c>
      <c r="B2001" t="s">
        <v>6976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1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 t="s">
        <v>192</v>
      </c>
      <c r="Q2001" t="s">
        <v>192</v>
      </c>
      <c r="R2001">
        <v>1</v>
      </c>
      <c r="S2001">
        <v>220</v>
      </c>
      <c r="T2001">
        <v>6</v>
      </c>
      <c r="U2001">
        <v>0</v>
      </c>
      <c r="V2001">
        <v>0</v>
      </c>
      <c r="W2001">
        <v>0</v>
      </c>
      <c r="X2001" s="367"/>
    </row>
    <row r="2002" spans="1:24">
      <c r="A2002" t="s">
        <v>2476</v>
      </c>
      <c r="B2002" t="s">
        <v>2475</v>
      </c>
      <c r="C2002">
        <v>954</v>
      </c>
      <c r="D2002">
        <v>75580774</v>
      </c>
      <c r="E2002">
        <v>290230172160</v>
      </c>
      <c r="F2002">
        <v>3950</v>
      </c>
      <c r="G2002">
        <v>3840</v>
      </c>
      <c r="H2002">
        <v>3840</v>
      </c>
      <c r="I2002">
        <v>-110</v>
      </c>
      <c r="J2002">
        <v>-2.78</v>
      </c>
      <c r="K2002">
        <v>3840</v>
      </c>
      <c r="L2002">
        <v>-110</v>
      </c>
      <c r="M2002">
        <v>-2.78</v>
      </c>
      <c r="N2002">
        <v>3840</v>
      </c>
      <c r="O2002">
        <v>3840</v>
      </c>
      <c r="P2002">
        <v>81</v>
      </c>
      <c r="Q2002">
        <v>47.41</v>
      </c>
      <c r="R2002">
        <v>0</v>
      </c>
      <c r="S2002">
        <v>0</v>
      </c>
      <c r="T2002">
        <v>0</v>
      </c>
      <c r="U2002">
        <v>3840</v>
      </c>
      <c r="V2002">
        <v>83607320</v>
      </c>
      <c r="W2002">
        <v>408</v>
      </c>
      <c r="X2002" s="367"/>
    </row>
    <row r="2003" spans="1:24">
      <c r="A2003" t="s">
        <v>3791</v>
      </c>
      <c r="B2003" t="s">
        <v>3792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1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 t="s">
        <v>192</v>
      </c>
      <c r="Q2003" t="s">
        <v>192</v>
      </c>
      <c r="R2003">
        <v>1</v>
      </c>
      <c r="S2003">
        <v>100</v>
      </c>
      <c r="T2003">
        <v>1</v>
      </c>
      <c r="U2003">
        <v>0</v>
      </c>
      <c r="V2003">
        <v>0</v>
      </c>
      <c r="W2003">
        <v>0</v>
      </c>
      <c r="X2003" s="367"/>
    </row>
    <row r="2004" spans="1:24">
      <c r="A2004" t="s">
        <v>1888</v>
      </c>
      <c r="B2004" t="s">
        <v>1887</v>
      </c>
      <c r="C2004">
        <v>248</v>
      </c>
      <c r="D2004">
        <v>5537131</v>
      </c>
      <c r="E2004">
        <v>25172152060</v>
      </c>
      <c r="F2004">
        <v>4420</v>
      </c>
      <c r="G2004">
        <v>4550</v>
      </c>
      <c r="H2004">
        <v>4550</v>
      </c>
      <c r="I2004">
        <v>130</v>
      </c>
      <c r="J2004">
        <v>2.94</v>
      </c>
      <c r="K2004">
        <v>4550</v>
      </c>
      <c r="L2004">
        <v>130</v>
      </c>
      <c r="M2004">
        <v>2.94</v>
      </c>
      <c r="N2004">
        <v>4500</v>
      </c>
      <c r="O2004">
        <v>4550</v>
      </c>
      <c r="P2004">
        <v>-4646</v>
      </c>
      <c r="Q2004">
        <v>-0.98</v>
      </c>
      <c r="R2004">
        <v>16</v>
      </c>
      <c r="S2004">
        <v>1100369</v>
      </c>
      <c r="T2004">
        <v>4550</v>
      </c>
      <c r="U2004">
        <v>4560</v>
      </c>
      <c r="V2004">
        <v>20000</v>
      </c>
      <c r="W2004">
        <v>1</v>
      </c>
      <c r="X2004" s="367"/>
    </row>
    <row r="2005" spans="1:24">
      <c r="A2005" t="s">
        <v>2903</v>
      </c>
      <c r="B2005" t="s">
        <v>2902</v>
      </c>
      <c r="C2005">
        <v>1642</v>
      </c>
      <c r="D2005">
        <v>102505710</v>
      </c>
      <c r="E2005">
        <v>341036751770</v>
      </c>
      <c r="F2005">
        <v>3240</v>
      </c>
      <c r="G2005">
        <v>3330</v>
      </c>
      <c r="H2005">
        <v>3330</v>
      </c>
      <c r="I2005">
        <v>90</v>
      </c>
      <c r="J2005">
        <v>2.78</v>
      </c>
      <c r="K2005">
        <v>3330</v>
      </c>
      <c r="L2005">
        <v>90</v>
      </c>
      <c r="M2005">
        <v>2.78</v>
      </c>
      <c r="N2005">
        <v>3280</v>
      </c>
      <c r="O2005">
        <v>3330</v>
      </c>
      <c r="P2005">
        <v>201</v>
      </c>
      <c r="Q2005">
        <v>16.57</v>
      </c>
      <c r="R2005">
        <v>1</v>
      </c>
      <c r="S2005">
        <v>50635</v>
      </c>
      <c r="T2005">
        <v>3310</v>
      </c>
      <c r="U2005">
        <v>3330</v>
      </c>
      <c r="V2005">
        <v>300000</v>
      </c>
      <c r="W2005">
        <v>1</v>
      </c>
      <c r="X2005" s="367"/>
    </row>
    <row r="2006" spans="1:24">
      <c r="A2006" t="s">
        <v>3667</v>
      </c>
      <c r="B2006" t="s">
        <v>3668</v>
      </c>
      <c r="C2006">
        <v>112</v>
      </c>
      <c r="D2006">
        <v>36264</v>
      </c>
      <c r="E2006">
        <v>29225446000</v>
      </c>
      <c r="F2006">
        <v>744</v>
      </c>
      <c r="G2006">
        <v>805</v>
      </c>
      <c r="H2006">
        <v>805</v>
      </c>
      <c r="I2006">
        <v>61</v>
      </c>
      <c r="J2006">
        <v>8.1999999999999993</v>
      </c>
      <c r="K2006">
        <v>806</v>
      </c>
      <c r="L2006">
        <v>62</v>
      </c>
      <c r="M2006">
        <v>8.33</v>
      </c>
      <c r="N2006">
        <v>800</v>
      </c>
      <c r="O2006">
        <v>809</v>
      </c>
      <c r="P2006" t="s">
        <v>192</v>
      </c>
      <c r="Q2006" t="s">
        <v>192</v>
      </c>
      <c r="R2006">
        <v>1</v>
      </c>
      <c r="S2006">
        <v>10</v>
      </c>
      <c r="T2006">
        <v>700</v>
      </c>
      <c r="U2006">
        <v>0</v>
      </c>
      <c r="V2006">
        <v>0</v>
      </c>
      <c r="W2006">
        <v>0</v>
      </c>
      <c r="X2006" s="367"/>
    </row>
    <row r="2007" spans="1:24">
      <c r="A2007" t="s">
        <v>8843</v>
      </c>
      <c r="B2007" t="s">
        <v>2442</v>
      </c>
      <c r="C2007">
        <v>6</v>
      </c>
      <c r="D2007">
        <v>29621</v>
      </c>
      <c r="E2007">
        <v>238745260</v>
      </c>
      <c r="F2007">
        <v>8080</v>
      </c>
      <c r="G2007">
        <v>8060</v>
      </c>
      <c r="H2007">
        <v>8060</v>
      </c>
      <c r="I2007">
        <v>-20</v>
      </c>
      <c r="J2007">
        <v>-0.25</v>
      </c>
      <c r="K2007">
        <v>8060</v>
      </c>
      <c r="L2007">
        <v>-20</v>
      </c>
      <c r="M2007">
        <v>-0.25</v>
      </c>
      <c r="N2007">
        <v>8060</v>
      </c>
      <c r="O2007">
        <v>8060</v>
      </c>
      <c r="P2007">
        <v>1310</v>
      </c>
      <c r="Q2007">
        <v>6.15</v>
      </c>
      <c r="R2007">
        <v>0</v>
      </c>
      <c r="S2007">
        <v>0</v>
      </c>
      <c r="T2007">
        <v>0</v>
      </c>
      <c r="U2007">
        <v>8060</v>
      </c>
      <c r="V2007">
        <v>2354101</v>
      </c>
      <c r="W2007">
        <v>41</v>
      </c>
      <c r="X2007" s="367"/>
    </row>
    <row r="2008" spans="1:24">
      <c r="A2008" t="s">
        <v>2590</v>
      </c>
      <c r="B2008" t="s">
        <v>2589</v>
      </c>
      <c r="C2008">
        <v>772</v>
      </c>
      <c r="D2008">
        <v>24668505</v>
      </c>
      <c r="E2008">
        <v>120154859330</v>
      </c>
      <c r="F2008">
        <v>4740</v>
      </c>
      <c r="G2008">
        <v>4860</v>
      </c>
      <c r="H2008">
        <v>4880</v>
      </c>
      <c r="I2008">
        <v>140</v>
      </c>
      <c r="J2008">
        <v>2.95</v>
      </c>
      <c r="K2008">
        <v>4870</v>
      </c>
      <c r="L2008">
        <v>130</v>
      </c>
      <c r="M2008">
        <v>2.74</v>
      </c>
      <c r="N2008">
        <v>4800</v>
      </c>
      <c r="O2008">
        <v>4880</v>
      </c>
      <c r="P2008">
        <v>529</v>
      </c>
      <c r="Q2008">
        <v>9.2100000000000009</v>
      </c>
      <c r="R2008">
        <v>17</v>
      </c>
      <c r="S2008">
        <v>352507</v>
      </c>
      <c r="T2008">
        <v>4880</v>
      </c>
      <c r="U2008">
        <v>4890</v>
      </c>
      <c r="V2008">
        <v>55156</v>
      </c>
      <c r="W2008">
        <v>2</v>
      </c>
      <c r="X2008" s="367"/>
    </row>
    <row r="2009" spans="1:24">
      <c r="A2009" t="s">
        <v>4460</v>
      </c>
      <c r="B2009" t="s">
        <v>8441</v>
      </c>
      <c r="C2009">
        <v>4</v>
      </c>
      <c r="D2009">
        <v>453</v>
      </c>
      <c r="E2009">
        <v>1032363</v>
      </c>
      <c r="F2009">
        <v>3</v>
      </c>
      <c r="G2009">
        <v>3</v>
      </c>
      <c r="H2009">
        <v>1</v>
      </c>
      <c r="I2009">
        <v>-2</v>
      </c>
      <c r="J2009">
        <v>-66.67</v>
      </c>
      <c r="K2009">
        <v>2</v>
      </c>
      <c r="L2009">
        <v>-1</v>
      </c>
      <c r="M2009">
        <v>-33.33</v>
      </c>
      <c r="N2009">
        <v>1</v>
      </c>
      <c r="O2009">
        <v>3</v>
      </c>
      <c r="P2009" t="s">
        <v>192</v>
      </c>
      <c r="Q2009" t="s">
        <v>192</v>
      </c>
      <c r="R2009">
        <v>0</v>
      </c>
      <c r="S2009">
        <v>0</v>
      </c>
      <c r="T2009">
        <v>0</v>
      </c>
      <c r="U2009">
        <v>1</v>
      </c>
      <c r="V2009">
        <v>221</v>
      </c>
      <c r="W2009">
        <v>1</v>
      </c>
      <c r="X2009" s="367"/>
    </row>
    <row r="2010" spans="1:24">
      <c r="A2010" t="s">
        <v>4950</v>
      </c>
      <c r="B2010" t="s">
        <v>4951</v>
      </c>
      <c r="C2010">
        <v>50</v>
      </c>
      <c r="D2010">
        <v>843792</v>
      </c>
      <c r="E2010">
        <v>6100616160</v>
      </c>
      <c r="F2010">
        <v>7020</v>
      </c>
      <c r="G2010">
        <v>7230</v>
      </c>
      <c r="H2010">
        <v>7230</v>
      </c>
      <c r="I2010">
        <v>210</v>
      </c>
      <c r="J2010">
        <v>2.99</v>
      </c>
      <c r="K2010">
        <v>7230</v>
      </c>
      <c r="L2010">
        <v>210</v>
      </c>
      <c r="M2010">
        <v>2.99</v>
      </c>
      <c r="N2010">
        <v>7230</v>
      </c>
      <c r="O2010">
        <v>7230</v>
      </c>
      <c r="P2010">
        <v>4272</v>
      </c>
      <c r="Q2010">
        <v>1.69</v>
      </c>
      <c r="R2010">
        <v>367</v>
      </c>
      <c r="S2010">
        <v>69702531</v>
      </c>
      <c r="T2010">
        <v>7230</v>
      </c>
      <c r="U2010">
        <v>7480</v>
      </c>
      <c r="V2010">
        <v>672</v>
      </c>
      <c r="W2010">
        <v>1</v>
      </c>
      <c r="X2010" s="367"/>
    </row>
    <row r="2011" spans="1:24">
      <c r="A2011" t="s">
        <v>3442</v>
      </c>
      <c r="B2011" t="s">
        <v>3443</v>
      </c>
      <c r="C2011">
        <v>96</v>
      </c>
      <c r="D2011">
        <v>2632</v>
      </c>
      <c r="E2011">
        <v>55223174000</v>
      </c>
      <c r="F2011">
        <v>16528</v>
      </c>
      <c r="G2011">
        <v>19300</v>
      </c>
      <c r="H2011">
        <v>21500</v>
      </c>
      <c r="I2011">
        <v>4972</v>
      </c>
      <c r="J2011">
        <v>30.08</v>
      </c>
      <c r="K2011">
        <v>20981</v>
      </c>
      <c r="L2011">
        <v>4453</v>
      </c>
      <c r="M2011">
        <v>26.94</v>
      </c>
      <c r="N2011">
        <v>19300</v>
      </c>
      <c r="O2011">
        <v>21599</v>
      </c>
      <c r="P2011" t="s">
        <v>192</v>
      </c>
      <c r="Q2011" t="s">
        <v>192</v>
      </c>
      <c r="R2011">
        <v>1</v>
      </c>
      <c r="S2011">
        <v>25</v>
      </c>
      <c r="T2011">
        <v>20668</v>
      </c>
      <c r="U2011">
        <v>21500</v>
      </c>
      <c r="V2011">
        <v>10</v>
      </c>
      <c r="W2011">
        <v>1</v>
      </c>
      <c r="X2011" s="367"/>
    </row>
    <row r="2012" spans="1:24">
      <c r="A2012" t="s">
        <v>4356</v>
      </c>
      <c r="B2012" t="s">
        <v>4357</v>
      </c>
      <c r="C2012">
        <v>50</v>
      </c>
      <c r="D2012">
        <v>9402</v>
      </c>
      <c r="E2012">
        <v>64308000</v>
      </c>
      <c r="F2012">
        <v>7</v>
      </c>
      <c r="G2012">
        <v>130</v>
      </c>
      <c r="H2012">
        <v>4</v>
      </c>
      <c r="I2012">
        <v>-3</v>
      </c>
      <c r="J2012">
        <v>-42.86</v>
      </c>
      <c r="K2012">
        <v>7</v>
      </c>
      <c r="L2012">
        <v>0</v>
      </c>
      <c r="M2012">
        <v>0</v>
      </c>
      <c r="N2012">
        <v>3</v>
      </c>
      <c r="O2012">
        <v>130</v>
      </c>
      <c r="P2012" t="s">
        <v>192</v>
      </c>
      <c r="Q2012" t="s">
        <v>192</v>
      </c>
      <c r="R2012">
        <v>3</v>
      </c>
      <c r="S2012">
        <v>2068</v>
      </c>
      <c r="T2012">
        <v>4</v>
      </c>
      <c r="U2012">
        <v>8</v>
      </c>
      <c r="V2012">
        <v>50</v>
      </c>
      <c r="W2012">
        <v>1</v>
      </c>
      <c r="X2012" s="367"/>
    </row>
    <row r="2013" spans="1:24">
      <c r="A2013" t="s">
        <v>3098</v>
      </c>
      <c r="B2013" t="s">
        <v>3097</v>
      </c>
      <c r="C2013">
        <v>2997</v>
      </c>
      <c r="D2013">
        <v>1357120067</v>
      </c>
      <c r="E2013">
        <v>3110519193564</v>
      </c>
      <c r="F2013">
        <v>2226</v>
      </c>
      <c r="G2013">
        <v>2292</v>
      </c>
      <c r="H2013">
        <v>2292</v>
      </c>
      <c r="I2013">
        <v>66</v>
      </c>
      <c r="J2013">
        <v>2.96</v>
      </c>
      <c r="K2013">
        <v>2292</v>
      </c>
      <c r="L2013">
        <v>66</v>
      </c>
      <c r="M2013">
        <v>2.96</v>
      </c>
      <c r="N2013">
        <v>2292</v>
      </c>
      <c r="O2013">
        <v>2292</v>
      </c>
      <c r="P2013">
        <v>318</v>
      </c>
      <c r="Q2013">
        <v>7.21</v>
      </c>
      <c r="R2013">
        <v>1458</v>
      </c>
      <c r="S2013">
        <v>1058204388</v>
      </c>
      <c r="T2013">
        <v>2292</v>
      </c>
      <c r="U2013">
        <v>0</v>
      </c>
      <c r="V2013">
        <v>0</v>
      </c>
      <c r="W2013">
        <v>0</v>
      </c>
      <c r="X2013" s="367"/>
    </row>
    <row r="2014" spans="1:24">
      <c r="A2014" t="s">
        <v>4308</v>
      </c>
      <c r="B2014" t="s">
        <v>4309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1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0</v>
      </c>
      <c r="P2014" t="s">
        <v>192</v>
      </c>
      <c r="Q2014" t="s">
        <v>192</v>
      </c>
      <c r="R2014">
        <v>1</v>
      </c>
      <c r="S2014">
        <v>400</v>
      </c>
      <c r="T2014">
        <v>101</v>
      </c>
      <c r="U2014">
        <v>0</v>
      </c>
      <c r="V2014">
        <v>0</v>
      </c>
      <c r="W2014">
        <v>0</v>
      </c>
      <c r="X2014" s="367"/>
    </row>
    <row r="2015" spans="1:24">
      <c r="A2015" t="s">
        <v>5006</v>
      </c>
      <c r="B2015" t="s">
        <v>5007</v>
      </c>
      <c r="C2015">
        <v>5</v>
      </c>
      <c r="D2015">
        <v>15707</v>
      </c>
      <c r="E2015">
        <v>14380154640</v>
      </c>
      <c r="F2015">
        <v>915520</v>
      </c>
      <c r="G2015">
        <v>915550</v>
      </c>
      <c r="H2015">
        <v>916260</v>
      </c>
      <c r="I2015">
        <v>740</v>
      </c>
      <c r="J2015">
        <v>0.08</v>
      </c>
      <c r="K2015">
        <v>915530</v>
      </c>
      <c r="L2015">
        <v>10</v>
      </c>
      <c r="M2015">
        <v>0</v>
      </c>
      <c r="N2015">
        <v>915520</v>
      </c>
      <c r="O2015">
        <v>916260</v>
      </c>
      <c r="P2015" t="s">
        <v>192</v>
      </c>
      <c r="Q2015" t="s">
        <v>192</v>
      </c>
      <c r="R2015">
        <v>1</v>
      </c>
      <c r="S2015">
        <v>49950</v>
      </c>
      <c r="T2015">
        <v>916260</v>
      </c>
      <c r="U2015">
        <v>932220</v>
      </c>
      <c r="V2015">
        <v>1790</v>
      </c>
      <c r="W2015">
        <v>1</v>
      </c>
      <c r="X2015" s="367"/>
    </row>
    <row r="2016" spans="1:24">
      <c r="A2016" t="s">
        <v>4991</v>
      </c>
      <c r="B2016" t="s">
        <v>4992</v>
      </c>
      <c r="C2016">
        <v>0</v>
      </c>
      <c r="D2016">
        <v>0</v>
      </c>
      <c r="E2016">
        <v>0</v>
      </c>
      <c r="F2016">
        <v>2918730</v>
      </c>
      <c r="G2016">
        <v>0</v>
      </c>
      <c r="H2016">
        <v>2918730</v>
      </c>
      <c r="I2016">
        <v>0</v>
      </c>
      <c r="J2016">
        <v>0</v>
      </c>
      <c r="K2016">
        <v>2918730</v>
      </c>
      <c r="L2016">
        <v>0</v>
      </c>
      <c r="M2016">
        <v>0</v>
      </c>
      <c r="N2016">
        <v>0</v>
      </c>
      <c r="O2016">
        <v>0</v>
      </c>
      <c r="P2016" t="s">
        <v>192</v>
      </c>
      <c r="Q2016" t="s">
        <v>192</v>
      </c>
      <c r="R2016">
        <v>1</v>
      </c>
      <c r="S2016">
        <v>38528</v>
      </c>
      <c r="T2016">
        <v>2918730</v>
      </c>
      <c r="U2016">
        <v>2977105</v>
      </c>
      <c r="V2016">
        <v>38528</v>
      </c>
      <c r="W2016">
        <v>1</v>
      </c>
      <c r="X2016" s="367"/>
    </row>
    <row r="2017" spans="1:24">
      <c r="A2017" t="s">
        <v>2818</v>
      </c>
      <c r="B2017" t="s">
        <v>2817</v>
      </c>
      <c r="C2017">
        <v>474</v>
      </c>
      <c r="D2017">
        <v>29093911</v>
      </c>
      <c r="E2017">
        <v>82999807657</v>
      </c>
      <c r="F2017">
        <v>2854</v>
      </c>
      <c r="G2017">
        <v>2830</v>
      </c>
      <c r="H2017">
        <v>2866</v>
      </c>
      <c r="I2017">
        <v>12</v>
      </c>
      <c r="J2017">
        <v>0.42</v>
      </c>
      <c r="K2017">
        <v>2853</v>
      </c>
      <c r="L2017">
        <v>-1</v>
      </c>
      <c r="M2017">
        <v>-0.04</v>
      </c>
      <c r="N2017">
        <v>2830</v>
      </c>
      <c r="O2017">
        <v>2899</v>
      </c>
      <c r="P2017">
        <v>535</v>
      </c>
      <c r="Q2017">
        <v>5.33</v>
      </c>
      <c r="R2017">
        <v>1</v>
      </c>
      <c r="S2017">
        <v>4000</v>
      </c>
      <c r="T2017">
        <v>2848</v>
      </c>
      <c r="U2017">
        <v>2877</v>
      </c>
      <c r="V2017">
        <v>2673</v>
      </c>
      <c r="W2017">
        <v>1</v>
      </c>
      <c r="X2017" s="367"/>
    </row>
    <row r="2018" spans="1:24">
      <c r="A2018" t="s">
        <v>3781</v>
      </c>
      <c r="B2018" t="s">
        <v>3782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1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 t="s">
        <v>192</v>
      </c>
      <c r="Q2018" t="s">
        <v>192</v>
      </c>
      <c r="R2018">
        <v>1</v>
      </c>
      <c r="S2018">
        <v>1</v>
      </c>
      <c r="T2018">
        <v>12500</v>
      </c>
      <c r="U2018">
        <v>0</v>
      </c>
      <c r="V2018">
        <v>0</v>
      </c>
      <c r="W2018">
        <v>0</v>
      </c>
      <c r="X2018" s="367"/>
    </row>
    <row r="2019" spans="1:24">
      <c r="A2019" t="s">
        <v>8844</v>
      </c>
      <c r="B2019" t="s">
        <v>2544</v>
      </c>
      <c r="C2019">
        <v>2</v>
      </c>
      <c r="D2019">
        <v>89000</v>
      </c>
      <c r="E2019">
        <v>287470000</v>
      </c>
      <c r="F2019">
        <v>3190</v>
      </c>
      <c r="G2019">
        <v>3230</v>
      </c>
      <c r="H2019">
        <v>3230</v>
      </c>
      <c r="I2019">
        <v>40</v>
      </c>
      <c r="J2019">
        <v>1.25</v>
      </c>
      <c r="K2019">
        <v>3230</v>
      </c>
      <c r="L2019">
        <v>40</v>
      </c>
      <c r="M2019">
        <v>1.25</v>
      </c>
      <c r="N2019">
        <v>3230</v>
      </c>
      <c r="O2019">
        <v>3230</v>
      </c>
      <c r="P2019">
        <v>440</v>
      </c>
      <c r="Q2019">
        <v>7.34</v>
      </c>
      <c r="R2019">
        <v>2</v>
      </c>
      <c r="S2019">
        <v>114892</v>
      </c>
      <c r="T2019">
        <v>3230</v>
      </c>
      <c r="U2019">
        <v>0</v>
      </c>
      <c r="V2019">
        <v>0</v>
      </c>
      <c r="W2019">
        <v>0</v>
      </c>
      <c r="X2019" s="367"/>
    </row>
    <row r="2020" spans="1:24">
      <c r="A2020" t="s">
        <v>2948</v>
      </c>
      <c r="B2020" t="s">
        <v>2947</v>
      </c>
      <c r="C2020">
        <v>247</v>
      </c>
      <c r="D2020">
        <v>1212479</v>
      </c>
      <c r="E2020">
        <v>58574860490</v>
      </c>
      <c r="F2020">
        <v>46910</v>
      </c>
      <c r="G2020">
        <v>48310</v>
      </c>
      <c r="H2020">
        <v>48310</v>
      </c>
      <c r="I2020">
        <v>1400</v>
      </c>
      <c r="J2020">
        <v>2.98</v>
      </c>
      <c r="K2020">
        <v>48310</v>
      </c>
      <c r="L2020">
        <v>1400</v>
      </c>
      <c r="M2020">
        <v>2.98</v>
      </c>
      <c r="N2020">
        <v>48310</v>
      </c>
      <c r="O2020">
        <v>48310</v>
      </c>
      <c r="P2020">
        <v>6913</v>
      </c>
      <c r="Q2020">
        <v>6.99</v>
      </c>
      <c r="R2020">
        <v>59</v>
      </c>
      <c r="S2020">
        <v>506971</v>
      </c>
      <c r="T2020">
        <v>48310</v>
      </c>
      <c r="U2020">
        <v>0</v>
      </c>
      <c r="V2020">
        <v>0</v>
      </c>
      <c r="W2020">
        <v>0</v>
      </c>
      <c r="X2020" s="367"/>
    </row>
    <row r="2021" spans="1:24">
      <c r="A2021" t="s">
        <v>1875</v>
      </c>
      <c r="B2021" t="s">
        <v>1874</v>
      </c>
      <c r="C2021">
        <v>288</v>
      </c>
      <c r="D2021">
        <v>6029834</v>
      </c>
      <c r="E2021">
        <v>37376746550</v>
      </c>
      <c r="F2021">
        <v>6080</v>
      </c>
      <c r="G2021">
        <v>6250</v>
      </c>
      <c r="H2021">
        <v>6090</v>
      </c>
      <c r="I2021">
        <v>10</v>
      </c>
      <c r="J2021">
        <v>0.16</v>
      </c>
      <c r="K2021">
        <v>6200</v>
      </c>
      <c r="L2021">
        <v>120</v>
      </c>
      <c r="M2021">
        <v>1.97</v>
      </c>
      <c r="N2021">
        <v>6090</v>
      </c>
      <c r="O2021">
        <v>6260</v>
      </c>
      <c r="P2021">
        <v>471</v>
      </c>
      <c r="Q2021">
        <v>13.16</v>
      </c>
      <c r="R2021">
        <v>3</v>
      </c>
      <c r="S2021">
        <v>608471</v>
      </c>
      <c r="T2021">
        <v>6080</v>
      </c>
      <c r="U2021">
        <v>6190</v>
      </c>
      <c r="V2021">
        <v>141231</v>
      </c>
      <c r="W2021">
        <v>1</v>
      </c>
      <c r="X2021" s="367"/>
    </row>
    <row r="2022" spans="1:24">
      <c r="A2022" t="s">
        <v>7535</v>
      </c>
      <c r="B2022" t="s">
        <v>7536</v>
      </c>
      <c r="C2022">
        <v>0</v>
      </c>
      <c r="D2022">
        <v>0</v>
      </c>
      <c r="E2022">
        <v>0</v>
      </c>
      <c r="F2022">
        <v>152</v>
      </c>
      <c r="G2022">
        <v>0</v>
      </c>
      <c r="H2022">
        <v>152</v>
      </c>
      <c r="I2022">
        <v>0</v>
      </c>
      <c r="J2022">
        <v>0</v>
      </c>
      <c r="K2022">
        <v>152</v>
      </c>
      <c r="L2022">
        <v>0</v>
      </c>
      <c r="M2022">
        <v>0</v>
      </c>
      <c r="N2022">
        <v>0</v>
      </c>
      <c r="O2022">
        <v>0</v>
      </c>
      <c r="P2022" t="s">
        <v>192</v>
      </c>
      <c r="Q2022" t="s">
        <v>192</v>
      </c>
      <c r="R2022">
        <v>1</v>
      </c>
      <c r="S2022">
        <v>1</v>
      </c>
      <c r="T2022">
        <v>152</v>
      </c>
      <c r="U2022">
        <v>198</v>
      </c>
      <c r="V2022">
        <v>200</v>
      </c>
      <c r="W2022">
        <v>1</v>
      </c>
      <c r="X2022" s="367"/>
    </row>
    <row r="2023" spans="1:24">
      <c r="A2023" t="s">
        <v>7763</v>
      </c>
      <c r="B2023" t="s">
        <v>7762</v>
      </c>
      <c r="C2023">
        <v>1</v>
      </c>
      <c r="D2023">
        <v>740000</v>
      </c>
      <c r="E2023">
        <v>646952400000</v>
      </c>
      <c r="F2023">
        <v>848800</v>
      </c>
      <c r="G2023">
        <v>874260</v>
      </c>
      <c r="H2023">
        <v>874260</v>
      </c>
      <c r="I2023">
        <v>25460</v>
      </c>
      <c r="J2023">
        <v>3</v>
      </c>
      <c r="K2023">
        <v>874260</v>
      </c>
      <c r="L2023">
        <v>25460</v>
      </c>
      <c r="M2023">
        <v>3</v>
      </c>
      <c r="N2023">
        <v>874260</v>
      </c>
      <c r="O2023">
        <v>874260</v>
      </c>
      <c r="P2023" t="s">
        <v>192</v>
      </c>
      <c r="Q2023" t="s">
        <v>192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 s="367"/>
    </row>
    <row r="2024" spans="1:24">
      <c r="A2024" t="s">
        <v>4228</v>
      </c>
      <c r="B2024" t="s">
        <v>4229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1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0</v>
      </c>
      <c r="P2024" t="s">
        <v>192</v>
      </c>
      <c r="Q2024" t="s">
        <v>192</v>
      </c>
      <c r="R2024">
        <v>1</v>
      </c>
      <c r="S2024">
        <v>100</v>
      </c>
      <c r="T2024">
        <v>100</v>
      </c>
      <c r="U2024">
        <v>0</v>
      </c>
      <c r="V2024">
        <v>0</v>
      </c>
      <c r="W2024">
        <v>0</v>
      </c>
      <c r="X2024" s="367"/>
    </row>
    <row r="2025" spans="1:24">
      <c r="A2025" t="s">
        <v>1846</v>
      </c>
      <c r="B2025" t="s">
        <v>1845</v>
      </c>
      <c r="C2025">
        <v>28</v>
      </c>
      <c r="D2025">
        <v>757000</v>
      </c>
      <c r="E2025">
        <v>2603380000</v>
      </c>
      <c r="F2025">
        <v>3380</v>
      </c>
      <c r="G2025">
        <v>3440</v>
      </c>
      <c r="H2025">
        <v>3440</v>
      </c>
      <c r="I2025">
        <v>60</v>
      </c>
      <c r="J2025">
        <v>1.78</v>
      </c>
      <c r="K2025">
        <v>3440</v>
      </c>
      <c r="L2025">
        <v>60</v>
      </c>
      <c r="M2025">
        <v>1.78</v>
      </c>
      <c r="N2025">
        <v>3430</v>
      </c>
      <c r="O2025">
        <v>3440</v>
      </c>
      <c r="P2025">
        <v>223</v>
      </c>
      <c r="Q2025">
        <v>15.43</v>
      </c>
      <c r="R2025">
        <v>1</v>
      </c>
      <c r="S2025">
        <v>34000</v>
      </c>
      <c r="T2025">
        <v>3330</v>
      </c>
      <c r="U2025">
        <v>0</v>
      </c>
      <c r="V2025">
        <v>0</v>
      </c>
      <c r="W2025">
        <v>0</v>
      </c>
      <c r="X2025" s="367"/>
    </row>
    <row r="2026" spans="1:24">
      <c r="A2026" t="s">
        <v>3122</v>
      </c>
      <c r="B2026" t="s">
        <v>3121</v>
      </c>
      <c r="C2026">
        <v>303</v>
      </c>
      <c r="D2026">
        <v>21948948</v>
      </c>
      <c r="E2026">
        <v>81678643050</v>
      </c>
      <c r="F2026">
        <v>3640</v>
      </c>
      <c r="G2026">
        <v>3730</v>
      </c>
      <c r="H2026">
        <v>3740</v>
      </c>
      <c r="I2026">
        <v>100</v>
      </c>
      <c r="J2026">
        <v>2.75</v>
      </c>
      <c r="K2026">
        <v>3720</v>
      </c>
      <c r="L2026">
        <v>80</v>
      </c>
      <c r="M2026">
        <v>2.2000000000000002</v>
      </c>
      <c r="N2026">
        <v>3560</v>
      </c>
      <c r="O2026">
        <v>3740</v>
      </c>
      <c r="P2026">
        <v>-191</v>
      </c>
      <c r="Q2026">
        <v>-19.48</v>
      </c>
      <c r="R2026">
        <v>5</v>
      </c>
      <c r="S2026">
        <v>1487605</v>
      </c>
      <c r="T2026">
        <v>3740</v>
      </c>
      <c r="U2026">
        <v>0</v>
      </c>
      <c r="V2026">
        <v>0</v>
      </c>
      <c r="W2026">
        <v>0</v>
      </c>
      <c r="X2026" s="367"/>
    </row>
    <row r="2027" spans="1:24">
      <c r="A2027" t="s">
        <v>47</v>
      </c>
      <c r="B2027" t="s">
        <v>46</v>
      </c>
      <c r="C2027">
        <v>91</v>
      </c>
      <c r="D2027">
        <v>92324</v>
      </c>
      <c r="E2027">
        <v>22416267200</v>
      </c>
      <c r="F2027">
        <v>235800</v>
      </c>
      <c r="G2027">
        <v>242800</v>
      </c>
      <c r="H2027">
        <v>242800</v>
      </c>
      <c r="I2027">
        <v>7000</v>
      </c>
      <c r="J2027">
        <v>2.97</v>
      </c>
      <c r="K2027">
        <v>242800</v>
      </c>
      <c r="L2027">
        <v>7000</v>
      </c>
      <c r="M2027">
        <v>2.97</v>
      </c>
      <c r="N2027">
        <v>242800</v>
      </c>
      <c r="O2027">
        <v>242800</v>
      </c>
      <c r="P2027">
        <v>44486</v>
      </c>
      <c r="Q2027">
        <v>5.46</v>
      </c>
      <c r="R2027">
        <v>546</v>
      </c>
      <c r="S2027">
        <v>1859869</v>
      </c>
      <c r="T2027">
        <v>242800</v>
      </c>
      <c r="U2027">
        <v>0</v>
      </c>
      <c r="V2027">
        <v>0</v>
      </c>
      <c r="W2027">
        <v>0</v>
      </c>
      <c r="X2027" s="367"/>
    </row>
    <row r="2028" spans="1:24">
      <c r="A2028" t="s">
        <v>5115</v>
      </c>
      <c r="B2028" t="s">
        <v>4116</v>
      </c>
      <c r="C2028">
        <v>2</v>
      </c>
      <c r="D2028">
        <v>600000</v>
      </c>
      <c r="E2028">
        <v>600000</v>
      </c>
      <c r="F2028">
        <v>17218</v>
      </c>
      <c r="G2028">
        <v>1</v>
      </c>
      <c r="H2028">
        <v>1</v>
      </c>
      <c r="I2028">
        <v>-17217</v>
      </c>
      <c r="J2028">
        <v>-99.99</v>
      </c>
      <c r="K2028">
        <v>1</v>
      </c>
      <c r="L2028">
        <v>-17217</v>
      </c>
      <c r="M2028">
        <v>-99.99</v>
      </c>
      <c r="N2028">
        <v>1</v>
      </c>
      <c r="O2028">
        <v>1</v>
      </c>
      <c r="P2028" t="s">
        <v>192</v>
      </c>
      <c r="Q2028" t="s">
        <v>192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 s="367"/>
    </row>
    <row r="2029" spans="1:24">
      <c r="A2029" t="s">
        <v>5024</v>
      </c>
      <c r="B2029" t="s">
        <v>5025</v>
      </c>
      <c r="C2029">
        <v>0</v>
      </c>
      <c r="D2029">
        <v>0</v>
      </c>
      <c r="E2029">
        <v>0</v>
      </c>
      <c r="F2029">
        <v>1000000</v>
      </c>
      <c r="G2029">
        <v>0</v>
      </c>
      <c r="H2029">
        <v>1000000</v>
      </c>
      <c r="I2029">
        <v>0</v>
      </c>
      <c r="J2029">
        <v>0</v>
      </c>
      <c r="K2029">
        <v>1000000</v>
      </c>
      <c r="L2029">
        <v>0</v>
      </c>
      <c r="M2029">
        <v>0</v>
      </c>
      <c r="N2029">
        <v>0</v>
      </c>
      <c r="O2029">
        <v>0</v>
      </c>
      <c r="P2029" t="s">
        <v>192</v>
      </c>
      <c r="Q2029" t="s">
        <v>192</v>
      </c>
      <c r="R2029">
        <v>1</v>
      </c>
      <c r="S2029">
        <v>4500</v>
      </c>
      <c r="T2029">
        <v>990000</v>
      </c>
      <c r="U2029">
        <v>1010000</v>
      </c>
      <c r="V2029">
        <v>4500</v>
      </c>
      <c r="W2029">
        <v>1</v>
      </c>
      <c r="X2029" s="367"/>
    </row>
    <row r="2030" spans="1:24">
      <c r="A2030" t="s">
        <v>2443</v>
      </c>
      <c r="B2030" t="s">
        <v>2442</v>
      </c>
      <c r="C2030">
        <v>3426</v>
      </c>
      <c r="D2030">
        <v>73915233</v>
      </c>
      <c r="E2030">
        <v>595455588990</v>
      </c>
      <c r="F2030">
        <v>8080</v>
      </c>
      <c r="G2030">
        <v>8210</v>
      </c>
      <c r="H2030">
        <v>7930</v>
      </c>
      <c r="I2030">
        <v>-150</v>
      </c>
      <c r="J2030">
        <v>-1.86</v>
      </c>
      <c r="K2030">
        <v>8060</v>
      </c>
      <c r="L2030">
        <v>-20</v>
      </c>
      <c r="M2030">
        <v>-0.25</v>
      </c>
      <c r="N2030">
        <v>7910</v>
      </c>
      <c r="O2030">
        <v>8230</v>
      </c>
      <c r="P2030">
        <v>1310</v>
      </c>
      <c r="Q2030">
        <v>6.15</v>
      </c>
      <c r="R2030">
        <v>2</v>
      </c>
      <c r="S2030">
        <v>114569</v>
      </c>
      <c r="T2030">
        <v>7930</v>
      </c>
      <c r="U2030">
        <v>7940</v>
      </c>
      <c r="V2030">
        <v>11000</v>
      </c>
      <c r="W2030">
        <v>1</v>
      </c>
      <c r="X2030" s="367"/>
    </row>
    <row r="2031" spans="1:24">
      <c r="A2031" t="s">
        <v>5098</v>
      </c>
      <c r="B2031" t="s">
        <v>5099</v>
      </c>
      <c r="C2031">
        <v>247</v>
      </c>
      <c r="D2031">
        <v>44981186</v>
      </c>
      <c r="E2031">
        <v>1094804973505</v>
      </c>
      <c r="F2031">
        <v>24299</v>
      </c>
      <c r="G2031">
        <v>24339</v>
      </c>
      <c r="H2031">
        <v>24340</v>
      </c>
      <c r="I2031">
        <v>41</v>
      </c>
      <c r="J2031">
        <v>0.17</v>
      </c>
      <c r="K2031">
        <v>24339</v>
      </c>
      <c r="L2031">
        <v>40</v>
      </c>
      <c r="M2031">
        <v>0.16</v>
      </c>
      <c r="N2031">
        <v>24339</v>
      </c>
      <c r="O2031">
        <v>24340</v>
      </c>
      <c r="P2031" t="s">
        <v>192</v>
      </c>
      <c r="Q2031" t="s">
        <v>192</v>
      </c>
      <c r="R2031">
        <v>1</v>
      </c>
      <c r="S2031">
        <v>299909957</v>
      </c>
      <c r="T2031">
        <v>24339</v>
      </c>
      <c r="U2031">
        <v>24340</v>
      </c>
      <c r="V2031">
        <v>19521947</v>
      </c>
      <c r="W2031">
        <v>1</v>
      </c>
      <c r="X2031" s="367"/>
    </row>
    <row r="2032" spans="1:24">
      <c r="A2032" t="s">
        <v>4938</v>
      </c>
      <c r="B2032" t="s">
        <v>4939</v>
      </c>
      <c r="C2032">
        <v>0</v>
      </c>
      <c r="D2032">
        <v>0</v>
      </c>
      <c r="E2032">
        <v>0</v>
      </c>
      <c r="F2032">
        <v>904330</v>
      </c>
      <c r="G2032">
        <v>0</v>
      </c>
      <c r="H2032">
        <v>904330</v>
      </c>
      <c r="I2032">
        <v>0</v>
      </c>
      <c r="J2032">
        <v>0</v>
      </c>
      <c r="K2032">
        <v>904330</v>
      </c>
      <c r="L2032">
        <v>0</v>
      </c>
      <c r="M2032">
        <v>0</v>
      </c>
      <c r="N2032">
        <v>0</v>
      </c>
      <c r="O2032">
        <v>0</v>
      </c>
      <c r="P2032" t="s">
        <v>192</v>
      </c>
      <c r="Q2032" t="s">
        <v>192</v>
      </c>
      <c r="R2032">
        <v>1</v>
      </c>
      <c r="S2032">
        <v>20000</v>
      </c>
      <c r="T2032">
        <v>895340</v>
      </c>
      <c r="U2032">
        <v>904340</v>
      </c>
      <c r="V2032">
        <v>20000</v>
      </c>
      <c r="W2032">
        <v>1</v>
      </c>
      <c r="X2032" s="367"/>
    </row>
    <row r="2033" spans="1:24">
      <c r="A2033" t="s">
        <v>4276</v>
      </c>
      <c r="B2033" t="s">
        <v>4277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1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  <c r="P2033" t="s">
        <v>192</v>
      </c>
      <c r="Q2033" t="s">
        <v>192</v>
      </c>
      <c r="R2033">
        <v>1</v>
      </c>
      <c r="S2033">
        <v>10</v>
      </c>
      <c r="T2033">
        <v>2000</v>
      </c>
      <c r="U2033">
        <v>0</v>
      </c>
      <c r="V2033">
        <v>0</v>
      </c>
      <c r="W2033">
        <v>0</v>
      </c>
      <c r="X2033" s="367"/>
    </row>
    <row r="2034" spans="1:24">
      <c r="A2034" t="s">
        <v>1822</v>
      </c>
      <c r="B2034" t="s">
        <v>1821</v>
      </c>
      <c r="C2034">
        <v>616</v>
      </c>
      <c r="D2034">
        <v>29028613</v>
      </c>
      <c r="E2034">
        <v>139393734810</v>
      </c>
      <c r="F2034">
        <v>4670</v>
      </c>
      <c r="G2034">
        <v>4810</v>
      </c>
      <c r="H2034">
        <v>4810</v>
      </c>
      <c r="I2034">
        <v>140</v>
      </c>
      <c r="J2034">
        <v>3</v>
      </c>
      <c r="K2034">
        <v>4800</v>
      </c>
      <c r="L2034">
        <v>130</v>
      </c>
      <c r="M2034">
        <v>2.78</v>
      </c>
      <c r="N2034">
        <v>4740</v>
      </c>
      <c r="O2034">
        <v>4810</v>
      </c>
      <c r="P2034">
        <v>1041</v>
      </c>
      <c r="Q2034">
        <v>4.6100000000000003</v>
      </c>
      <c r="R2034">
        <v>10</v>
      </c>
      <c r="S2034">
        <v>1466500</v>
      </c>
      <c r="T2034">
        <v>4810</v>
      </c>
      <c r="U2034">
        <v>4960</v>
      </c>
      <c r="V2034">
        <v>1800</v>
      </c>
      <c r="W2034">
        <v>1</v>
      </c>
      <c r="X2034" s="367"/>
    </row>
    <row r="2035" spans="1:24">
      <c r="A2035" t="s">
        <v>5073</v>
      </c>
      <c r="B2035" t="s">
        <v>5074</v>
      </c>
      <c r="C2035">
        <v>0</v>
      </c>
      <c r="D2035">
        <v>0</v>
      </c>
      <c r="E2035">
        <v>0</v>
      </c>
      <c r="F2035">
        <v>1000000</v>
      </c>
      <c r="G2035">
        <v>0</v>
      </c>
      <c r="H2035">
        <v>1000000</v>
      </c>
      <c r="I2035">
        <v>0</v>
      </c>
      <c r="J2035">
        <v>0</v>
      </c>
      <c r="K2035">
        <v>1000000</v>
      </c>
      <c r="L2035">
        <v>0</v>
      </c>
      <c r="M2035">
        <v>0</v>
      </c>
      <c r="N2035">
        <v>0</v>
      </c>
      <c r="O2035">
        <v>0</v>
      </c>
      <c r="P2035" t="s">
        <v>192</v>
      </c>
      <c r="Q2035" t="s">
        <v>192</v>
      </c>
      <c r="R2035">
        <v>1</v>
      </c>
      <c r="S2035">
        <v>4000</v>
      </c>
      <c r="T2035">
        <v>970000</v>
      </c>
      <c r="U2035">
        <v>0</v>
      </c>
      <c r="V2035">
        <v>0</v>
      </c>
      <c r="W2035">
        <v>0</v>
      </c>
      <c r="X2035" s="367"/>
    </row>
    <row r="2036" spans="1:24">
      <c r="A2036" t="s">
        <v>3550</v>
      </c>
      <c r="B2036" t="s">
        <v>3551</v>
      </c>
      <c r="C2036">
        <v>118</v>
      </c>
      <c r="D2036">
        <v>21020</v>
      </c>
      <c r="E2036">
        <v>4367443000</v>
      </c>
      <c r="F2036">
        <v>188</v>
      </c>
      <c r="G2036">
        <v>200</v>
      </c>
      <c r="H2036">
        <v>204</v>
      </c>
      <c r="I2036">
        <v>16</v>
      </c>
      <c r="J2036">
        <v>8.51</v>
      </c>
      <c r="K2036">
        <v>208</v>
      </c>
      <c r="L2036">
        <v>20</v>
      </c>
      <c r="M2036">
        <v>10.64</v>
      </c>
      <c r="N2036">
        <v>200</v>
      </c>
      <c r="O2036">
        <v>218</v>
      </c>
      <c r="P2036" t="s">
        <v>192</v>
      </c>
      <c r="Q2036" t="s">
        <v>192</v>
      </c>
      <c r="R2036">
        <v>1</v>
      </c>
      <c r="S2036">
        <v>25</v>
      </c>
      <c r="T2036">
        <v>25</v>
      </c>
      <c r="U2036">
        <v>209</v>
      </c>
      <c r="V2036">
        <v>2101</v>
      </c>
      <c r="W2036">
        <v>3</v>
      </c>
      <c r="X2036" s="367"/>
    </row>
    <row r="2037" spans="1:24">
      <c r="A2037" t="s">
        <v>5026</v>
      </c>
      <c r="B2037" t="s">
        <v>5027</v>
      </c>
      <c r="C2037">
        <v>182</v>
      </c>
      <c r="D2037">
        <v>10365981</v>
      </c>
      <c r="E2037">
        <v>242338014074</v>
      </c>
      <c r="F2037">
        <v>22754</v>
      </c>
      <c r="G2037">
        <v>22840</v>
      </c>
      <c r="H2037">
        <v>23436</v>
      </c>
      <c r="I2037">
        <v>682</v>
      </c>
      <c r="J2037">
        <v>3</v>
      </c>
      <c r="K2037">
        <v>23378</v>
      </c>
      <c r="L2037">
        <v>624</v>
      </c>
      <c r="M2037">
        <v>2.74</v>
      </c>
      <c r="N2037">
        <v>22840</v>
      </c>
      <c r="O2037">
        <v>23436</v>
      </c>
      <c r="P2037" t="s">
        <v>192</v>
      </c>
      <c r="Q2037" t="s">
        <v>192</v>
      </c>
      <c r="R2037">
        <v>3</v>
      </c>
      <c r="S2037">
        <v>8870</v>
      </c>
      <c r="T2037">
        <v>23436</v>
      </c>
      <c r="U2037">
        <v>0</v>
      </c>
      <c r="V2037">
        <v>0</v>
      </c>
      <c r="W2037">
        <v>0</v>
      </c>
      <c r="X2037" s="367"/>
    </row>
    <row r="2038" spans="1:24">
      <c r="A2038" t="s">
        <v>3506</v>
      </c>
      <c r="B2038" t="s">
        <v>3507</v>
      </c>
      <c r="C2038">
        <v>368</v>
      </c>
      <c r="D2038">
        <v>192030</v>
      </c>
      <c r="E2038">
        <v>1549085000</v>
      </c>
      <c r="F2038">
        <v>2</v>
      </c>
      <c r="G2038">
        <v>4</v>
      </c>
      <c r="H2038">
        <v>8</v>
      </c>
      <c r="I2038">
        <v>6</v>
      </c>
      <c r="J2038">
        <v>300</v>
      </c>
      <c r="K2038">
        <v>8</v>
      </c>
      <c r="L2038">
        <v>6</v>
      </c>
      <c r="M2038">
        <v>300</v>
      </c>
      <c r="N2038">
        <v>3</v>
      </c>
      <c r="O2038">
        <v>11</v>
      </c>
      <c r="P2038" t="s">
        <v>192</v>
      </c>
      <c r="Q2038" t="s">
        <v>192</v>
      </c>
      <c r="R2038">
        <v>7</v>
      </c>
      <c r="S2038">
        <v>7000</v>
      </c>
      <c r="T2038">
        <v>6</v>
      </c>
      <c r="U2038">
        <v>8</v>
      </c>
      <c r="V2038">
        <v>236</v>
      </c>
      <c r="W2038">
        <v>1</v>
      </c>
      <c r="X2038" s="367"/>
    </row>
    <row r="2039" spans="1:24">
      <c r="A2039" t="s">
        <v>4188</v>
      </c>
      <c r="B2039" t="s">
        <v>4189</v>
      </c>
      <c r="C2039">
        <v>0</v>
      </c>
      <c r="D2039">
        <v>0</v>
      </c>
      <c r="E2039">
        <v>0</v>
      </c>
      <c r="F2039">
        <v>600</v>
      </c>
      <c r="G2039">
        <v>0</v>
      </c>
      <c r="H2039">
        <v>600</v>
      </c>
      <c r="I2039">
        <v>0</v>
      </c>
      <c r="J2039">
        <v>0</v>
      </c>
      <c r="K2039">
        <v>600</v>
      </c>
      <c r="L2039">
        <v>0</v>
      </c>
      <c r="M2039">
        <v>0</v>
      </c>
      <c r="N2039">
        <v>0</v>
      </c>
      <c r="O2039">
        <v>0</v>
      </c>
      <c r="P2039" t="s">
        <v>192</v>
      </c>
      <c r="Q2039" t="s">
        <v>192</v>
      </c>
      <c r="R2039">
        <v>1</v>
      </c>
      <c r="S2039">
        <v>100</v>
      </c>
      <c r="T2039">
        <v>1</v>
      </c>
      <c r="U2039">
        <v>0</v>
      </c>
      <c r="V2039">
        <v>0</v>
      </c>
      <c r="W2039">
        <v>0</v>
      </c>
      <c r="X2039" s="367"/>
    </row>
    <row r="2040" spans="1:24">
      <c r="A2040" t="s">
        <v>8621</v>
      </c>
      <c r="B2040" t="s">
        <v>8622</v>
      </c>
      <c r="C2040">
        <v>2</v>
      </c>
      <c r="D2040">
        <v>55159372</v>
      </c>
      <c r="E2040">
        <v>44102234607624</v>
      </c>
      <c r="F2040">
        <v>795040</v>
      </c>
      <c r="G2040">
        <v>799304</v>
      </c>
      <c r="H2040">
        <v>799780</v>
      </c>
      <c r="I2040">
        <v>4740</v>
      </c>
      <c r="J2040">
        <v>0.6</v>
      </c>
      <c r="K2040">
        <v>799542</v>
      </c>
      <c r="L2040">
        <v>4502</v>
      </c>
      <c r="M2040">
        <v>0.56999999999999995</v>
      </c>
      <c r="N2040">
        <v>799304</v>
      </c>
      <c r="O2040">
        <v>799780</v>
      </c>
      <c r="P2040" t="s">
        <v>192</v>
      </c>
      <c r="Q2040" t="s">
        <v>192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 s="367"/>
    </row>
    <row r="2041" spans="1:24">
      <c r="A2041" t="s">
        <v>2282</v>
      </c>
      <c r="B2041" t="s">
        <v>2281</v>
      </c>
      <c r="C2041">
        <v>15</v>
      </c>
      <c r="D2041">
        <v>67286</v>
      </c>
      <c r="E2041">
        <v>2288396860</v>
      </c>
      <c r="F2041">
        <v>35060</v>
      </c>
      <c r="G2041">
        <v>34010</v>
      </c>
      <c r="H2041">
        <v>34010</v>
      </c>
      <c r="I2041">
        <v>-1050</v>
      </c>
      <c r="J2041">
        <v>-2.99</v>
      </c>
      <c r="K2041">
        <v>34010</v>
      </c>
      <c r="L2041">
        <v>-1050</v>
      </c>
      <c r="M2041">
        <v>-2.99</v>
      </c>
      <c r="N2041">
        <v>34010</v>
      </c>
      <c r="O2041">
        <v>34010</v>
      </c>
      <c r="P2041">
        <v>-1371</v>
      </c>
      <c r="Q2041">
        <v>-24.81</v>
      </c>
      <c r="R2041">
        <v>0</v>
      </c>
      <c r="S2041">
        <v>0</v>
      </c>
      <c r="T2041">
        <v>0</v>
      </c>
      <c r="U2041">
        <v>34010</v>
      </c>
      <c r="V2041">
        <v>673011</v>
      </c>
      <c r="W2041">
        <v>70</v>
      </c>
      <c r="X2041" s="367"/>
    </row>
    <row r="2042" spans="1:24">
      <c r="A2042" t="s">
        <v>8032</v>
      </c>
      <c r="B2042" t="s">
        <v>8033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  <c r="P2042" t="s">
        <v>192</v>
      </c>
      <c r="Q2042" t="s">
        <v>192</v>
      </c>
      <c r="R2042">
        <v>1</v>
      </c>
      <c r="S2042">
        <v>100</v>
      </c>
      <c r="T2042">
        <v>1</v>
      </c>
      <c r="U2042">
        <v>0</v>
      </c>
      <c r="V2042">
        <v>0</v>
      </c>
      <c r="W2042">
        <v>0</v>
      </c>
      <c r="X2042" s="367"/>
    </row>
    <row r="2043" spans="1:24">
      <c r="A2043" t="s">
        <v>8664</v>
      </c>
      <c r="B2043" t="s">
        <v>8665</v>
      </c>
      <c r="C2043">
        <v>19</v>
      </c>
      <c r="D2043">
        <v>319679</v>
      </c>
      <c r="E2043">
        <v>1230764150</v>
      </c>
      <c r="F2043">
        <v>3740</v>
      </c>
      <c r="G2043">
        <v>3850</v>
      </c>
      <c r="H2043">
        <v>3850</v>
      </c>
      <c r="I2043">
        <v>110</v>
      </c>
      <c r="J2043">
        <v>2.94</v>
      </c>
      <c r="K2043">
        <v>3850</v>
      </c>
      <c r="L2043">
        <v>110</v>
      </c>
      <c r="M2043">
        <v>2.94</v>
      </c>
      <c r="N2043">
        <v>3850</v>
      </c>
      <c r="O2043">
        <v>3850</v>
      </c>
      <c r="P2043">
        <v>-10</v>
      </c>
      <c r="Q2043">
        <v>-385</v>
      </c>
      <c r="R2043">
        <v>10</v>
      </c>
      <c r="S2043">
        <v>668211</v>
      </c>
      <c r="T2043">
        <v>3850</v>
      </c>
      <c r="U2043">
        <v>3860</v>
      </c>
      <c r="V2043">
        <v>2160</v>
      </c>
      <c r="W2043">
        <v>1</v>
      </c>
      <c r="X2043" s="367"/>
    </row>
    <row r="2044" spans="1:24">
      <c r="A2044" t="s">
        <v>5113</v>
      </c>
      <c r="B2044" t="s">
        <v>5114</v>
      </c>
      <c r="C2044">
        <v>0</v>
      </c>
      <c r="D2044">
        <v>0</v>
      </c>
      <c r="E2044">
        <v>0</v>
      </c>
      <c r="F2044">
        <v>1000000</v>
      </c>
      <c r="G2044">
        <v>0</v>
      </c>
      <c r="H2044">
        <v>1000000</v>
      </c>
      <c r="I2044">
        <v>0</v>
      </c>
      <c r="J2044">
        <v>0</v>
      </c>
      <c r="K2044">
        <v>1000000</v>
      </c>
      <c r="L2044">
        <v>0</v>
      </c>
      <c r="M2044">
        <v>0</v>
      </c>
      <c r="N2044">
        <v>0</v>
      </c>
      <c r="O2044">
        <v>0</v>
      </c>
      <c r="P2044" t="s">
        <v>192</v>
      </c>
      <c r="Q2044" t="s">
        <v>192</v>
      </c>
      <c r="R2044">
        <v>1</v>
      </c>
      <c r="S2044">
        <v>5000</v>
      </c>
      <c r="T2044">
        <v>1000000</v>
      </c>
      <c r="U2044">
        <v>1010000</v>
      </c>
      <c r="V2044">
        <v>5000</v>
      </c>
      <c r="W2044">
        <v>1</v>
      </c>
      <c r="X2044" s="367"/>
    </row>
    <row r="2045" spans="1:24">
      <c r="A2045" t="s">
        <v>5116</v>
      </c>
      <c r="B2045" t="s">
        <v>5117</v>
      </c>
      <c r="C2045">
        <v>0</v>
      </c>
      <c r="D2045">
        <v>0</v>
      </c>
      <c r="E2045">
        <v>0</v>
      </c>
      <c r="F2045">
        <v>1000000</v>
      </c>
      <c r="G2045">
        <v>0</v>
      </c>
      <c r="H2045">
        <v>1000000</v>
      </c>
      <c r="I2045">
        <v>0</v>
      </c>
      <c r="J2045">
        <v>0</v>
      </c>
      <c r="K2045">
        <v>1000000</v>
      </c>
      <c r="L2045">
        <v>0</v>
      </c>
      <c r="M2045">
        <v>0</v>
      </c>
      <c r="N2045">
        <v>0</v>
      </c>
      <c r="O2045">
        <v>0</v>
      </c>
      <c r="P2045" t="s">
        <v>192</v>
      </c>
      <c r="Q2045" t="s">
        <v>192</v>
      </c>
      <c r="R2045">
        <v>1</v>
      </c>
      <c r="S2045">
        <v>5000</v>
      </c>
      <c r="T2045">
        <v>1000000</v>
      </c>
      <c r="U2045">
        <v>0</v>
      </c>
      <c r="V2045">
        <v>0</v>
      </c>
      <c r="W2045">
        <v>0</v>
      </c>
      <c r="X2045" s="367"/>
    </row>
    <row r="2046" spans="1:24">
      <c r="A2046" t="s">
        <v>5047</v>
      </c>
      <c r="B2046" t="s">
        <v>3273</v>
      </c>
      <c r="C2046">
        <v>1273</v>
      </c>
      <c r="D2046">
        <v>16366736</v>
      </c>
      <c r="E2046">
        <v>411119552242</v>
      </c>
      <c r="F2046">
        <v>25221</v>
      </c>
      <c r="G2046">
        <v>25299</v>
      </c>
      <c r="H2046">
        <v>25090</v>
      </c>
      <c r="I2046">
        <v>-131</v>
      </c>
      <c r="J2046">
        <v>-0.52</v>
      </c>
      <c r="K2046">
        <v>25119</v>
      </c>
      <c r="L2046">
        <v>-102</v>
      </c>
      <c r="M2046">
        <v>-0.4</v>
      </c>
      <c r="N2046">
        <v>25001</v>
      </c>
      <c r="O2046">
        <v>25299</v>
      </c>
      <c r="P2046" t="s">
        <v>192</v>
      </c>
      <c r="Q2046" t="s">
        <v>192</v>
      </c>
      <c r="R2046">
        <v>5</v>
      </c>
      <c r="S2046">
        <v>9950729</v>
      </c>
      <c r="T2046">
        <v>25090</v>
      </c>
      <c r="U2046">
        <v>25094</v>
      </c>
      <c r="V2046">
        <v>86179</v>
      </c>
      <c r="W2046">
        <v>3</v>
      </c>
      <c r="X2046" s="367"/>
    </row>
    <row r="2047" spans="1:24">
      <c r="A2047" t="s">
        <v>4284</v>
      </c>
      <c r="B2047" t="s">
        <v>4285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1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 t="s">
        <v>192</v>
      </c>
      <c r="Q2047" t="s">
        <v>192</v>
      </c>
      <c r="R2047">
        <v>1</v>
      </c>
      <c r="S2047">
        <v>100</v>
      </c>
      <c r="T2047">
        <v>1</v>
      </c>
      <c r="U2047">
        <v>0</v>
      </c>
      <c r="V2047">
        <v>0</v>
      </c>
      <c r="W2047">
        <v>0</v>
      </c>
      <c r="X2047" s="367"/>
    </row>
    <row r="2048" spans="1:24">
      <c r="A2048" t="s">
        <v>8701</v>
      </c>
      <c r="B2048" t="s">
        <v>2985</v>
      </c>
      <c r="C2048">
        <v>4</v>
      </c>
      <c r="D2048">
        <v>200000000</v>
      </c>
      <c r="E2048">
        <v>1194000000000</v>
      </c>
      <c r="F2048">
        <v>5800</v>
      </c>
      <c r="G2048">
        <v>5970</v>
      </c>
      <c r="H2048">
        <v>5970</v>
      </c>
      <c r="I2048">
        <v>170</v>
      </c>
      <c r="J2048">
        <v>2.93</v>
      </c>
      <c r="K2048">
        <v>5970</v>
      </c>
      <c r="L2048">
        <v>170</v>
      </c>
      <c r="M2048">
        <v>2.93</v>
      </c>
      <c r="N2048">
        <v>5970</v>
      </c>
      <c r="O2048">
        <v>5970</v>
      </c>
      <c r="P2048">
        <v>1045</v>
      </c>
      <c r="Q2048">
        <v>5.71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 s="367"/>
    </row>
    <row r="2049" spans="1:24">
      <c r="A2049" t="s">
        <v>2690</v>
      </c>
      <c r="B2049" t="s">
        <v>2689</v>
      </c>
      <c r="C2049">
        <v>55</v>
      </c>
      <c r="D2049">
        <v>1921734</v>
      </c>
      <c r="E2049">
        <v>9454931280</v>
      </c>
      <c r="F2049">
        <v>4780</v>
      </c>
      <c r="G2049">
        <v>4920</v>
      </c>
      <c r="H2049">
        <v>4920</v>
      </c>
      <c r="I2049">
        <v>140</v>
      </c>
      <c r="J2049">
        <v>2.93</v>
      </c>
      <c r="K2049">
        <v>4920</v>
      </c>
      <c r="L2049">
        <v>140</v>
      </c>
      <c r="M2049">
        <v>2.93</v>
      </c>
      <c r="N2049">
        <v>4920</v>
      </c>
      <c r="O2049">
        <v>4920</v>
      </c>
      <c r="P2049">
        <v>983</v>
      </c>
      <c r="Q2049">
        <v>5.01</v>
      </c>
      <c r="R2049">
        <v>870</v>
      </c>
      <c r="S2049">
        <v>138443834</v>
      </c>
      <c r="T2049">
        <v>4920</v>
      </c>
      <c r="U2049">
        <v>0</v>
      </c>
      <c r="V2049">
        <v>0</v>
      </c>
      <c r="W2049">
        <v>0</v>
      </c>
      <c r="X2049" s="367"/>
    </row>
    <row r="2050" spans="1:24">
      <c r="A2050" t="s">
        <v>8845</v>
      </c>
      <c r="B2050" t="s">
        <v>2350</v>
      </c>
      <c r="C2050">
        <v>2</v>
      </c>
      <c r="D2050">
        <v>10000</v>
      </c>
      <c r="E2050">
        <v>381100000</v>
      </c>
      <c r="F2050">
        <v>37000</v>
      </c>
      <c r="G2050">
        <v>38110</v>
      </c>
      <c r="H2050">
        <v>38110</v>
      </c>
      <c r="I2050">
        <v>1110</v>
      </c>
      <c r="J2050">
        <v>3</v>
      </c>
      <c r="K2050">
        <v>38110</v>
      </c>
      <c r="L2050">
        <v>1110</v>
      </c>
      <c r="M2050">
        <v>3</v>
      </c>
      <c r="N2050">
        <v>38110</v>
      </c>
      <c r="O2050">
        <v>38110</v>
      </c>
      <c r="P2050">
        <v>6293</v>
      </c>
      <c r="Q2050">
        <v>6.06</v>
      </c>
      <c r="R2050">
        <v>3</v>
      </c>
      <c r="S2050">
        <v>14000</v>
      </c>
      <c r="T2050">
        <v>38110</v>
      </c>
      <c r="U2050">
        <v>0</v>
      </c>
      <c r="V2050">
        <v>0</v>
      </c>
      <c r="W2050">
        <v>0</v>
      </c>
      <c r="X2050" s="367"/>
    </row>
    <row r="2051" spans="1:24">
      <c r="A2051" t="s">
        <v>5122</v>
      </c>
      <c r="B2051" t="s">
        <v>5123</v>
      </c>
      <c r="C2051">
        <v>108</v>
      </c>
      <c r="D2051">
        <v>7108722</v>
      </c>
      <c r="E2051">
        <v>191139317136</v>
      </c>
      <c r="F2051">
        <v>26105</v>
      </c>
      <c r="G2051">
        <v>26888</v>
      </c>
      <c r="H2051">
        <v>26888</v>
      </c>
      <c r="I2051">
        <v>783</v>
      </c>
      <c r="J2051">
        <v>3</v>
      </c>
      <c r="K2051">
        <v>26888</v>
      </c>
      <c r="L2051">
        <v>783</v>
      </c>
      <c r="M2051">
        <v>3</v>
      </c>
      <c r="N2051">
        <v>26888</v>
      </c>
      <c r="O2051">
        <v>26888</v>
      </c>
      <c r="P2051" t="s">
        <v>192</v>
      </c>
      <c r="Q2051" t="s">
        <v>192</v>
      </c>
      <c r="R2051">
        <v>114</v>
      </c>
      <c r="S2051">
        <v>19984991</v>
      </c>
      <c r="T2051">
        <v>26888</v>
      </c>
      <c r="U2051">
        <v>26998</v>
      </c>
      <c r="V2051">
        <v>700</v>
      </c>
      <c r="W2051">
        <v>1</v>
      </c>
      <c r="X2051" s="367"/>
    </row>
    <row r="2052" spans="1:24">
      <c r="A2052" t="s">
        <v>5083</v>
      </c>
      <c r="B2052" t="s">
        <v>5084</v>
      </c>
      <c r="C2052">
        <v>0</v>
      </c>
      <c r="D2052">
        <v>0</v>
      </c>
      <c r="E2052">
        <v>0</v>
      </c>
      <c r="F2052">
        <v>1065000</v>
      </c>
      <c r="G2052">
        <v>0</v>
      </c>
      <c r="H2052">
        <v>1065000</v>
      </c>
      <c r="I2052">
        <v>0</v>
      </c>
      <c r="J2052">
        <v>0</v>
      </c>
      <c r="K2052">
        <v>1065000</v>
      </c>
      <c r="L2052">
        <v>0</v>
      </c>
      <c r="M2052">
        <v>0</v>
      </c>
      <c r="N2052">
        <v>0</v>
      </c>
      <c r="O2052">
        <v>0</v>
      </c>
      <c r="P2052" t="s">
        <v>192</v>
      </c>
      <c r="Q2052" t="s">
        <v>192</v>
      </c>
      <c r="R2052">
        <v>1</v>
      </c>
      <c r="S2052">
        <v>5000</v>
      </c>
      <c r="T2052">
        <v>1065000</v>
      </c>
      <c r="U2052">
        <v>1075000</v>
      </c>
      <c r="V2052">
        <v>5000</v>
      </c>
      <c r="W2052">
        <v>1</v>
      </c>
      <c r="X2052" s="367"/>
    </row>
    <row r="2053" spans="1:24">
      <c r="A2053" t="s">
        <v>3510</v>
      </c>
      <c r="B2053" t="s">
        <v>3511</v>
      </c>
      <c r="C2053">
        <v>18</v>
      </c>
      <c r="D2053">
        <v>14421</v>
      </c>
      <c r="E2053">
        <v>14421000</v>
      </c>
      <c r="F2053">
        <v>1</v>
      </c>
      <c r="G2053">
        <v>1</v>
      </c>
      <c r="H2053">
        <v>1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1</v>
      </c>
      <c r="O2053">
        <v>1</v>
      </c>
      <c r="P2053" t="s">
        <v>192</v>
      </c>
      <c r="Q2053" t="s">
        <v>192</v>
      </c>
      <c r="R2053">
        <v>0</v>
      </c>
      <c r="S2053">
        <v>0</v>
      </c>
      <c r="T2053">
        <v>0</v>
      </c>
      <c r="U2053">
        <v>1</v>
      </c>
      <c r="V2053">
        <v>14414</v>
      </c>
      <c r="W2053">
        <v>19</v>
      </c>
      <c r="X2053" s="367"/>
    </row>
    <row r="2054" spans="1:24">
      <c r="A2054" t="s">
        <v>4960</v>
      </c>
      <c r="B2054" t="s">
        <v>4961</v>
      </c>
      <c r="C2054">
        <v>295</v>
      </c>
      <c r="D2054">
        <v>8162879</v>
      </c>
      <c r="E2054">
        <v>61822044970</v>
      </c>
      <c r="F2054">
        <v>7360</v>
      </c>
      <c r="G2054">
        <v>7580</v>
      </c>
      <c r="H2054">
        <v>7580</v>
      </c>
      <c r="I2054">
        <v>220</v>
      </c>
      <c r="J2054">
        <v>2.99</v>
      </c>
      <c r="K2054">
        <v>7570</v>
      </c>
      <c r="L2054">
        <v>210</v>
      </c>
      <c r="M2054">
        <v>2.85</v>
      </c>
      <c r="N2054">
        <v>7410</v>
      </c>
      <c r="O2054">
        <v>7580</v>
      </c>
      <c r="P2054">
        <v>887</v>
      </c>
      <c r="Q2054">
        <v>8.5299999999999994</v>
      </c>
      <c r="R2054">
        <v>29</v>
      </c>
      <c r="S2054">
        <v>1272504</v>
      </c>
      <c r="T2054">
        <v>7580</v>
      </c>
      <c r="U2054">
        <v>0</v>
      </c>
      <c r="V2054">
        <v>0</v>
      </c>
      <c r="W2054">
        <v>0</v>
      </c>
      <c r="X2054" s="367"/>
    </row>
    <row r="2055" spans="1:24">
      <c r="A2055" t="s">
        <v>5069</v>
      </c>
      <c r="B2055" t="s">
        <v>5070</v>
      </c>
      <c r="C2055">
        <v>0</v>
      </c>
      <c r="D2055">
        <v>0</v>
      </c>
      <c r="E2055">
        <v>0</v>
      </c>
      <c r="F2055">
        <v>1000000</v>
      </c>
      <c r="G2055">
        <v>0</v>
      </c>
      <c r="H2055">
        <v>1000000</v>
      </c>
      <c r="I2055">
        <v>0</v>
      </c>
      <c r="J2055">
        <v>0</v>
      </c>
      <c r="K2055">
        <v>1000000</v>
      </c>
      <c r="L2055">
        <v>0</v>
      </c>
      <c r="M2055">
        <v>0</v>
      </c>
      <c r="N2055">
        <v>0</v>
      </c>
      <c r="O2055">
        <v>0</v>
      </c>
      <c r="P2055" t="s">
        <v>192</v>
      </c>
      <c r="Q2055" t="s">
        <v>192</v>
      </c>
      <c r="R2055">
        <v>1</v>
      </c>
      <c r="S2055">
        <v>3000</v>
      </c>
      <c r="T2055">
        <v>888555</v>
      </c>
      <c r="U2055">
        <v>0</v>
      </c>
      <c r="V2055">
        <v>0</v>
      </c>
      <c r="W2055">
        <v>0</v>
      </c>
      <c r="X2055" s="367"/>
    </row>
    <row r="2056" spans="1:24">
      <c r="A2056" t="s">
        <v>2175</v>
      </c>
      <c r="B2056" t="s">
        <v>2174</v>
      </c>
      <c r="C2056">
        <v>2091</v>
      </c>
      <c r="D2056">
        <v>91491655</v>
      </c>
      <c r="E2056">
        <v>463706371800</v>
      </c>
      <c r="F2056">
        <v>4980</v>
      </c>
      <c r="G2056">
        <v>5100</v>
      </c>
      <c r="H2056">
        <v>5050</v>
      </c>
      <c r="I2056">
        <v>70</v>
      </c>
      <c r="J2056">
        <v>1.41</v>
      </c>
      <c r="K2056">
        <v>5070</v>
      </c>
      <c r="L2056">
        <v>90</v>
      </c>
      <c r="M2056">
        <v>1.81</v>
      </c>
      <c r="N2056">
        <v>5010</v>
      </c>
      <c r="O2056">
        <v>5120</v>
      </c>
      <c r="P2056">
        <v>739</v>
      </c>
      <c r="Q2056">
        <v>6.86</v>
      </c>
      <c r="R2056">
        <v>1</v>
      </c>
      <c r="S2056">
        <v>49704</v>
      </c>
      <c r="T2056">
        <v>5060</v>
      </c>
      <c r="U2056">
        <v>5080</v>
      </c>
      <c r="V2056">
        <v>20000</v>
      </c>
      <c r="W2056">
        <v>1</v>
      </c>
      <c r="X2056" s="367"/>
    </row>
    <row r="2057" spans="1:24">
      <c r="A2057" t="s">
        <v>8472</v>
      </c>
      <c r="B2057" t="s">
        <v>8473</v>
      </c>
      <c r="C2057">
        <v>12</v>
      </c>
      <c r="D2057">
        <v>2632</v>
      </c>
      <c r="E2057">
        <v>2405534000</v>
      </c>
      <c r="F2057">
        <v>313</v>
      </c>
      <c r="G2057">
        <v>887</v>
      </c>
      <c r="H2057">
        <v>888</v>
      </c>
      <c r="I2057">
        <v>575</v>
      </c>
      <c r="J2057">
        <v>183.71</v>
      </c>
      <c r="K2057">
        <v>914</v>
      </c>
      <c r="L2057">
        <v>601</v>
      </c>
      <c r="M2057">
        <v>192.01</v>
      </c>
      <c r="N2057">
        <v>887</v>
      </c>
      <c r="O2057">
        <v>1000</v>
      </c>
      <c r="P2057" t="s">
        <v>192</v>
      </c>
      <c r="Q2057" t="s">
        <v>192</v>
      </c>
      <c r="R2057">
        <v>2</v>
      </c>
      <c r="S2057">
        <v>1020</v>
      </c>
      <c r="T2057">
        <v>600</v>
      </c>
      <c r="U2057">
        <v>1100</v>
      </c>
      <c r="V2057">
        <v>600</v>
      </c>
      <c r="W2057">
        <v>1</v>
      </c>
      <c r="X2057" s="367"/>
    </row>
    <row r="2058" spans="1:24">
      <c r="A2058" t="s">
        <v>2240</v>
      </c>
      <c r="B2058" t="s">
        <v>2239</v>
      </c>
      <c r="C2058">
        <v>871</v>
      </c>
      <c r="D2058">
        <v>35259669</v>
      </c>
      <c r="E2058">
        <v>845526862620</v>
      </c>
      <c r="F2058">
        <v>23290</v>
      </c>
      <c r="G2058">
        <v>23980</v>
      </c>
      <c r="H2058">
        <v>23980</v>
      </c>
      <c r="I2058">
        <v>690</v>
      </c>
      <c r="J2058">
        <v>2.96</v>
      </c>
      <c r="K2058">
        <v>23980</v>
      </c>
      <c r="L2058">
        <v>690</v>
      </c>
      <c r="M2058">
        <v>2.96</v>
      </c>
      <c r="N2058">
        <v>23980</v>
      </c>
      <c r="O2058">
        <v>23980</v>
      </c>
      <c r="P2058">
        <v>7107</v>
      </c>
      <c r="Q2058">
        <v>3.37</v>
      </c>
      <c r="R2058">
        <v>1106</v>
      </c>
      <c r="S2058">
        <v>98024065</v>
      </c>
      <c r="T2058">
        <v>23980</v>
      </c>
      <c r="U2058">
        <v>24000</v>
      </c>
      <c r="V2058">
        <v>693</v>
      </c>
      <c r="W2058">
        <v>1</v>
      </c>
      <c r="X2058" s="367"/>
    </row>
    <row r="2059" spans="1:24">
      <c r="A2059" t="s">
        <v>7711</v>
      </c>
      <c r="B2059" t="s">
        <v>2071</v>
      </c>
      <c r="C2059">
        <v>1</v>
      </c>
      <c r="D2059">
        <v>1684</v>
      </c>
      <c r="E2059">
        <v>3559976</v>
      </c>
      <c r="F2059">
        <v>2053</v>
      </c>
      <c r="G2059">
        <v>2114</v>
      </c>
      <c r="H2059">
        <v>2114</v>
      </c>
      <c r="I2059">
        <v>61</v>
      </c>
      <c r="J2059">
        <v>2.97</v>
      </c>
      <c r="K2059">
        <v>2114</v>
      </c>
      <c r="L2059">
        <v>61</v>
      </c>
      <c r="M2059">
        <v>2.97</v>
      </c>
      <c r="N2059">
        <v>2114</v>
      </c>
      <c r="O2059">
        <v>2114</v>
      </c>
      <c r="P2059">
        <v>-96</v>
      </c>
      <c r="Q2059">
        <v>-22.02</v>
      </c>
      <c r="R2059">
        <v>1</v>
      </c>
      <c r="S2059">
        <v>271526</v>
      </c>
      <c r="T2059">
        <v>2114</v>
      </c>
      <c r="U2059">
        <v>0</v>
      </c>
      <c r="V2059">
        <v>0</v>
      </c>
      <c r="W2059">
        <v>0</v>
      </c>
      <c r="X2059" s="367"/>
    </row>
    <row r="2060" spans="1:24">
      <c r="A2060" t="s">
        <v>45</v>
      </c>
      <c r="B2060" t="s">
        <v>44</v>
      </c>
      <c r="C2060">
        <v>364</v>
      </c>
      <c r="D2060">
        <v>29645875</v>
      </c>
      <c r="E2060">
        <v>163941688750</v>
      </c>
      <c r="F2060">
        <v>5370</v>
      </c>
      <c r="G2060">
        <v>5530</v>
      </c>
      <c r="H2060">
        <v>5530</v>
      </c>
      <c r="I2060">
        <v>160</v>
      </c>
      <c r="J2060">
        <v>2.98</v>
      </c>
      <c r="K2060">
        <v>5530</v>
      </c>
      <c r="L2060">
        <v>160</v>
      </c>
      <c r="M2060">
        <v>2.98</v>
      </c>
      <c r="N2060">
        <v>5530</v>
      </c>
      <c r="O2060">
        <v>5530</v>
      </c>
      <c r="P2060">
        <v>822</v>
      </c>
      <c r="Q2060">
        <v>6.73</v>
      </c>
      <c r="R2060">
        <v>202</v>
      </c>
      <c r="S2060">
        <v>12059147</v>
      </c>
      <c r="T2060">
        <v>5530</v>
      </c>
      <c r="U2060">
        <v>5870</v>
      </c>
      <c r="V2060">
        <v>3900</v>
      </c>
      <c r="W2060">
        <v>1</v>
      </c>
      <c r="X2060" s="367"/>
    </row>
    <row r="2061" spans="1:24">
      <c r="A2061" t="s">
        <v>6527</v>
      </c>
      <c r="B2061" t="s">
        <v>8137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1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 t="s">
        <v>192</v>
      </c>
      <c r="Q2061" t="s">
        <v>192</v>
      </c>
      <c r="R2061">
        <v>1</v>
      </c>
      <c r="S2061">
        <v>100</v>
      </c>
      <c r="T2061">
        <v>1</v>
      </c>
      <c r="U2061">
        <v>0</v>
      </c>
      <c r="V2061">
        <v>0</v>
      </c>
      <c r="W2061">
        <v>0</v>
      </c>
      <c r="X2061" s="367"/>
    </row>
    <row r="2062" spans="1:24">
      <c r="A2062" t="s">
        <v>7049</v>
      </c>
      <c r="B2062" t="s">
        <v>7050</v>
      </c>
      <c r="C2062">
        <v>4</v>
      </c>
      <c r="D2062">
        <v>100</v>
      </c>
      <c r="E2062">
        <v>200000</v>
      </c>
      <c r="F2062">
        <v>1</v>
      </c>
      <c r="G2062">
        <v>2</v>
      </c>
      <c r="H2062">
        <v>2</v>
      </c>
      <c r="I2062">
        <v>1</v>
      </c>
      <c r="J2062">
        <v>100</v>
      </c>
      <c r="K2062">
        <v>2</v>
      </c>
      <c r="L2062">
        <v>1</v>
      </c>
      <c r="M2062">
        <v>100</v>
      </c>
      <c r="N2062">
        <v>2</v>
      </c>
      <c r="O2062">
        <v>2</v>
      </c>
      <c r="P2062" t="s">
        <v>192</v>
      </c>
      <c r="Q2062" t="s">
        <v>192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 s="367"/>
    </row>
    <row r="2063" spans="1:24">
      <c r="A2063" t="s">
        <v>4920</v>
      </c>
      <c r="B2063" t="s">
        <v>4921</v>
      </c>
      <c r="C2063">
        <v>0</v>
      </c>
      <c r="D2063">
        <v>0</v>
      </c>
      <c r="E2063">
        <v>0</v>
      </c>
      <c r="F2063">
        <v>1000000</v>
      </c>
      <c r="G2063">
        <v>0</v>
      </c>
      <c r="H2063">
        <v>1000000</v>
      </c>
      <c r="I2063">
        <v>0</v>
      </c>
      <c r="J2063">
        <v>0</v>
      </c>
      <c r="K2063">
        <v>1000000</v>
      </c>
      <c r="L2063">
        <v>0</v>
      </c>
      <c r="M2063">
        <v>0</v>
      </c>
      <c r="N2063">
        <v>0</v>
      </c>
      <c r="O2063">
        <v>0</v>
      </c>
      <c r="P2063" t="s">
        <v>192</v>
      </c>
      <c r="Q2063" t="s">
        <v>192</v>
      </c>
      <c r="R2063">
        <v>1</v>
      </c>
      <c r="S2063">
        <v>5000</v>
      </c>
      <c r="T2063">
        <v>1000000</v>
      </c>
      <c r="U2063">
        <v>1010000</v>
      </c>
      <c r="V2063">
        <v>5000</v>
      </c>
      <c r="W2063">
        <v>1</v>
      </c>
      <c r="X2063" s="367"/>
    </row>
    <row r="2064" spans="1:24">
      <c r="A2064" t="s">
        <v>2961</v>
      </c>
      <c r="B2064" t="s">
        <v>2960</v>
      </c>
      <c r="C2064">
        <v>240</v>
      </c>
      <c r="D2064">
        <v>3009527</v>
      </c>
      <c r="E2064">
        <v>23763485250</v>
      </c>
      <c r="F2064">
        <v>7690</v>
      </c>
      <c r="G2064">
        <v>7760</v>
      </c>
      <c r="H2064">
        <v>7850</v>
      </c>
      <c r="I2064">
        <v>160</v>
      </c>
      <c r="J2064">
        <v>2.08</v>
      </c>
      <c r="K2064">
        <v>7900</v>
      </c>
      <c r="L2064">
        <v>210</v>
      </c>
      <c r="M2064">
        <v>2.73</v>
      </c>
      <c r="N2064">
        <v>7760</v>
      </c>
      <c r="O2064">
        <v>7920</v>
      </c>
      <c r="P2064">
        <v>381</v>
      </c>
      <c r="Q2064">
        <v>20.73</v>
      </c>
      <c r="R2064">
        <v>1</v>
      </c>
      <c r="S2064">
        <v>11262</v>
      </c>
      <c r="T2064">
        <v>7840</v>
      </c>
      <c r="U2064">
        <v>7850</v>
      </c>
      <c r="V2064">
        <v>26428</v>
      </c>
      <c r="W2064">
        <v>1</v>
      </c>
      <c r="X2064" s="367"/>
    </row>
    <row r="2065" spans="1:24">
      <c r="A2065" t="s">
        <v>3747</v>
      </c>
      <c r="B2065" t="s">
        <v>3748</v>
      </c>
      <c r="C2065">
        <v>5965</v>
      </c>
      <c r="D2065">
        <v>3153109</v>
      </c>
      <c r="E2065">
        <v>36456818000</v>
      </c>
      <c r="F2065">
        <v>2</v>
      </c>
      <c r="G2065">
        <v>12</v>
      </c>
      <c r="H2065">
        <v>14</v>
      </c>
      <c r="I2065">
        <v>12</v>
      </c>
      <c r="J2065">
        <v>600</v>
      </c>
      <c r="K2065">
        <v>12</v>
      </c>
      <c r="L2065">
        <v>10</v>
      </c>
      <c r="M2065">
        <v>500</v>
      </c>
      <c r="N2065">
        <v>9</v>
      </c>
      <c r="O2065">
        <v>14</v>
      </c>
      <c r="P2065" t="s">
        <v>192</v>
      </c>
      <c r="Q2065" t="s">
        <v>192</v>
      </c>
      <c r="R2065">
        <v>19</v>
      </c>
      <c r="S2065">
        <v>18039</v>
      </c>
      <c r="T2065">
        <v>12</v>
      </c>
      <c r="U2065">
        <v>13</v>
      </c>
      <c r="V2065">
        <v>1000</v>
      </c>
      <c r="W2065">
        <v>1</v>
      </c>
      <c r="X2065" s="367"/>
    </row>
    <row r="2066" spans="1:24">
      <c r="A2066" t="s">
        <v>4922</v>
      </c>
      <c r="B2066" t="s">
        <v>4923</v>
      </c>
      <c r="C2066">
        <v>156</v>
      </c>
      <c r="D2066">
        <v>83583</v>
      </c>
      <c r="E2066">
        <v>42731856605</v>
      </c>
      <c r="F2066">
        <v>496573</v>
      </c>
      <c r="G2066">
        <v>510000</v>
      </c>
      <c r="H2066">
        <v>511470</v>
      </c>
      <c r="I2066">
        <v>14897</v>
      </c>
      <c r="J2066">
        <v>3</v>
      </c>
      <c r="K2066">
        <v>511251</v>
      </c>
      <c r="L2066">
        <v>14678</v>
      </c>
      <c r="M2066">
        <v>2.96</v>
      </c>
      <c r="N2066">
        <v>502001</v>
      </c>
      <c r="O2066">
        <v>511470</v>
      </c>
      <c r="P2066" t="s">
        <v>192</v>
      </c>
      <c r="Q2066" t="s">
        <v>192</v>
      </c>
      <c r="R2066">
        <v>5</v>
      </c>
      <c r="S2066">
        <v>3086</v>
      </c>
      <c r="T2066">
        <v>511470</v>
      </c>
      <c r="U2066">
        <v>0</v>
      </c>
      <c r="V2066">
        <v>0</v>
      </c>
      <c r="W2066">
        <v>0</v>
      </c>
      <c r="X2066" s="367"/>
    </row>
    <row r="2067" spans="1:24">
      <c r="A2067" t="s">
        <v>8237</v>
      </c>
      <c r="B2067" t="s">
        <v>8238</v>
      </c>
      <c r="C2067">
        <v>59</v>
      </c>
      <c r="D2067">
        <v>11960</v>
      </c>
      <c r="E2067">
        <v>5645693000</v>
      </c>
      <c r="F2067">
        <v>442</v>
      </c>
      <c r="G2067">
        <v>598</v>
      </c>
      <c r="H2067">
        <v>497</v>
      </c>
      <c r="I2067">
        <v>55</v>
      </c>
      <c r="J2067">
        <v>12.44</v>
      </c>
      <c r="K2067">
        <v>472</v>
      </c>
      <c r="L2067">
        <v>30</v>
      </c>
      <c r="M2067">
        <v>6.79</v>
      </c>
      <c r="N2067">
        <v>455</v>
      </c>
      <c r="O2067">
        <v>598</v>
      </c>
      <c r="P2067" t="s">
        <v>192</v>
      </c>
      <c r="Q2067" t="s">
        <v>192</v>
      </c>
      <c r="R2067">
        <v>1</v>
      </c>
      <c r="S2067">
        <v>3</v>
      </c>
      <c r="T2067">
        <v>477</v>
      </c>
      <c r="U2067">
        <v>524</v>
      </c>
      <c r="V2067">
        <v>1</v>
      </c>
      <c r="W2067">
        <v>1</v>
      </c>
      <c r="X2067" s="367"/>
    </row>
    <row r="2068" spans="1:24">
      <c r="A2068" t="s">
        <v>4492</v>
      </c>
      <c r="B2068" t="s">
        <v>4493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1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0</v>
      </c>
      <c r="O2068">
        <v>0</v>
      </c>
      <c r="P2068" t="s">
        <v>192</v>
      </c>
      <c r="Q2068" t="s">
        <v>192</v>
      </c>
      <c r="R2068">
        <v>1</v>
      </c>
      <c r="S2068">
        <v>111</v>
      </c>
      <c r="T2068">
        <v>11</v>
      </c>
      <c r="U2068">
        <v>0</v>
      </c>
      <c r="V2068">
        <v>0</v>
      </c>
      <c r="W2068">
        <v>0</v>
      </c>
      <c r="X2068" s="367"/>
    </row>
    <row r="2069" spans="1:24">
      <c r="A2069" t="s">
        <v>3645</v>
      </c>
      <c r="B2069" t="s">
        <v>3646</v>
      </c>
      <c r="C2069">
        <v>3520</v>
      </c>
      <c r="D2069">
        <v>1599341</v>
      </c>
      <c r="E2069">
        <v>64329039000</v>
      </c>
      <c r="F2069">
        <v>29</v>
      </c>
      <c r="G2069">
        <v>38</v>
      </c>
      <c r="H2069">
        <v>41</v>
      </c>
      <c r="I2069">
        <v>12</v>
      </c>
      <c r="J2069">
        <v>41.38</v>
      </c>
      <c r="K2069">
        <v>40</v>
      </c>
      <c r="L2069">
        <v>11</v>
      </c>
      <c r="M2069">
        <v>37.93</v>
      </c>
      <c r="N2069">
        <v>35</v>
      </c>
      <c r="O2069">
        <v>43</v>
      </c>
      <c r="P2069" t="s">
        <v>192</v>
      </c>
      <c r="Q2069" t="s">
        <v>192</v>
      </c>
      <c r="R2069">
        <v>1</v>
      </c>
      <c r="S2069">
        <v>1000</v>
      </c>
      <c r="T2069">
        <v>40</v>
      </c>
      <c r="U2069">
        <v>40</v>
      </c>
      <c r="V2069">
        <v>912</v>
      </c>
      <c r="W2069">
        <v>1</v>
      </c>
      <c r="X2069" s="367"/>
    </row>
    <row r="2070" spans="1:24">
      <c r="A2070" t="s">
        <v>4434</v>
      </c>
      <c r="B2070" t="s">
        <v>4435</v>
      </c>
      <c r="C2070">
        <v>0</v>
      </c>
      <c r="D2070">
        <v>0</v>
      </c>
      <c r="E2070">
        <v>0</v>
      </c>
      <c r="F2070">
        <v>4</v>
      </c>
      <c r="G2070">
        <v>0</v>
      </c>
      <c r="H2070">
        <v>3</v>
      </c>
      <c r="I2070">
        <v>-1</v>
      </c>
      <c r="J2070">
        <v>-25</v>
      </c>
      <c r="K2070">
        <v>4</v>
      </c>
      <c r="L2070">
        <v>0</v>
      </c>
      <c r="M2070">
        <v>0</v>
      </c>
      <c r="N2070">
        <v>0</v>
      </c>
      <c r="O2070">
        <v>0</v>
      </c>
      <c r="P2070" t="s">
        <v>192</v>
      </c>
      <c r="Q2070" t="s">
        <v>192</v>
      </c>
      <c r="R2070">
        <v>1</v>
      </c>
      <c r="S2070">
        <v>100</v>
      </c>
      <c r="T2070">
        <v>1</v>
      </c>
      <c r="U2070">
        <v>0</v>
      </c>
      <c r="V2070">
        <v>0</v>
      </c>
      <c r="W2070">
        <v>0</v>
      </c>
      <c r="X2070" s="367"/>
    </row>
    <row r="2071" spans="1:24">
      <c r="A2071" t="s">
        <v>5100</v>
      </c>
      <c r="B2071" t="s">
        <v>4725</v>
      </c>
      <c r="C2071">
        <v>9</v>
      </c>
      <c r="D2071">
        <v>37000000</v>
      </c>
      <c r="E2071">
        <v>37000000</v>
      </c>
      <c r="F2071">
        <v>39163</v>
      </c>
      <c r="G2071">
        <v>1</v>
      </c>
      <c r="H2071">
        <v>1</v>
      </c>
      <c r="I2071">
        <v>-39162</v>
      </c>
      <c r="J2071">
        <v>-100</v>
      </c>
      <c r="K2071">
        <v>1</v>
      </c>
      <c r="L2071">
        <v>-39162</v>
      </c>
      <c r="M2071">
        <v>-100</v>
      </c>
      <c r="N2071">
        <v>1</v>
      </c>
      <c r="O2071">
        <v>1</v>
      </c>
      <c r="P2071" t="s">
        <v>192</v>
      </c>
      <c r="Q2071" t="s">
        <v>192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 s="367"/>
    </row>
    <row r="2072" spans="1:24">
      <c r="A2072" t="s">
        <v>3476</v>
      </c>
      <c r="B2072" t="s">
        <v>8097</v>
      </c>
      <c r="C2072">
        <v>3724</v>
      </c>
      <c r="D2072">
        <v>1444161</v>
      </c>
      <c r="E2072">
        <v>333568401000</v>
      </c>
      <c r="F2072">
        <v>168</v>
      </c>
      <c r="G2072">
        <v>228</v>
      </c>
      <c r="H2072">
        <v>228</v>
      </c>
      <c r="I2072">
        <v>60</v>
      </c>
      <c r="J2072">
        <v>35.71</v>
      </c>
      <c r="K2072">
        <v>231</v>
      </c>
      <c r="L2072">
        <v>63</v>
      </c>
      <c r="M2072">
        <v>37.5</v>
      </c>
      <c r="N2072">
        <v>219</v>
      </c>
      <c r="O2072">
        <v>242</v>
      </c>
      <c r="P2072" t="s">
        <v>192</v>
      </c>
      <c r="Q2072" t="s">
        <v>192</v>
      </c>
      <c r="R2072">
        <v>2</v>
      </c>
      <c r="S2072">
        <v>1300</v>
      </c>
      <c r="T2072">
        <v>222</v>
      </c>
      <c r="U2072">
        <v>228</v>
      </c>
      <c r="V2072">
        <v>2134</v>
      </c>
      <c r="W2072">
        <v>3</v>
      </c>
      <c r="X2072" s="367"/>
    </row>
    <row r="2073" spans="1:24">
      <c r="A2073" t="s">
        <v>8535</v>
      </c>
      <c r="B2073" t="s">
        <v>8536</v>
      </c>
      <c r="C2073">
        <v>346</v>
      </c>
      <c r="D2073">
        <v>114281682</v>
      </c>
      <c r="E2073">
        <v>1199190752497</v>
      </c>
      <c r="F2073">
        <v>10481</v>
      </c>
      <c r="G2073">
        <v>10493</v>
      </c>
      <c r="H2073">
        <v>10493</v>
      </c>
      <c r="I2073">
        <v>12</v>
      </c>
      <c r="J2073">
        <v>0.11</v>
      </c>
      <c r="K2073">
        <v>10493</v>
      </c>
      <c r="L2073">
        <v>12</v>
      </c>
      <c r="M2073">
        <v>0.11</v>
      </c>
      <c r="N2073">
        <v>10493</v>
      </c>
      <c r="O2073">
        <v>10494</v>
      </c>
      <c r="P2073" t="s">
        <v>192</v>
      </c>
      <c r="Q2073" t="s">
        <v>192</v>
      </c>
      <c r="R2073">
        <v>40</v>
      </c>
      <c r="S2073">
        <v>70468988</v>
      </c>
      <c r="T2073">
        <v>10493</v>
      </c>
      <c r="U2073">
        <v>10494</v>
      </c>
      <c r="V2073">
        <v>10000000</v>
      </c>
      <c r="W2073">
        <v>10</v>
      </c>
      <c r="X2073" s="367"/>
    </row>
    <row r="2074" spans="1:24">
      <c r="A2074" t="s">
        <v>3661</v>
      </c>
      <c r="B2074" t="s">
        <v>3662</v>
      </c>
      <c r="C2074">
        <v>633</v>
      </c>
      <c r="D2074">
        <v>232276</v>
      </c>
      <c r="E2074">
        <v>8329271000</v>
      </c>
      <c r="F2074">
        <v>25</v>
      </c>
      <c r="G2074">
        <v>35</v>
      </c>
      <c r="H2074">
        <v>37</v>
      </c>
      <c r="I2074">
        <v>12</v>
      </c>
      <c r="J2074">
        <v>48</v>
      </c>
      <c r="K2074">
        <v>36</v>
      </c>
      <c r="L2074">
        <v>11</v>
      </c>
      <c r="M2074">
        <v>44</v>
      </c>
      <c r="N2074">
        <v>29</v>
      </c>
      <c r="O2074">
        <v>39</v>
      </c>
      <c r="P2074" t="s">
        <v>192</v>
      </c>
      <c r="Q2074" t="s">
        <v>192</v>
      </c>
      <c r="R2074">
        <v>1</v>
      </c>
      <c r="S2074">
        <v>40</v>
      </c>
      <c r="T2074">
        <v>35</v>
      </c>
      <c r="U2074">
        <v>38</v>
      </c>
      <c r="V2074">
        <v>2000</v>
      </c>
      <c r="W2074">
        <v>2</v>
      </c>
      <c r="X2074" s="367"/>
    </row>
    <row r="2075" spans="1:24">
      <c r="A2075" t="s">
        <v>2183</v>
      </c>
      <c r="B2075" t="s">
        <v>2182</v>
      </c>
      <c r="C2075">
        <v>159</v>
      </c>
      <c r="D2075">
        <v>1791833</v>
      </c>
      <c r="E2075">
        <v>30031121080</v>
      </c>
      <c r="F2075">
        <v>16280</v>
      </c>
      <c r="G2075">
        <v>16760</v>
      </c>
      <c r="H2075">
        <v>16760</v>
      </c>
      <c r="I2075">
        <v>480</v>
      </c>
      <c r="J2075">
        <v>2.95</v>
      </c>
      <c r="K2075">
        <v>16760</v>
      </c>
      <c r="L2075">
        <v>480</v>
      </c>
      <c r="M2075">
        <v>2.95</v>
      </c>
      <c r="N2075">
        <v>16760</v>
      </c>
      <c r="O2075">
        <v>16760</v>
      </c>
      <c r="P2075">
        <v>2521</v>
      </c>
      <c r="Q2075">
        <v>6.65</v>
      </c>
      <c r="R2075">
        <v>256</v>
      </c>
      <c r="S2075">
        <v>11894101</v>
      </c>
      <c r="T2075">
        <v>16760</v>
      </c>
      <c r="U2075">
        <v>0</v>
      </c>
      <c r="V2075">
        <v>0</v>
      </c>
      <c r="W2075">
        <v>0</v>
      </c>
      <c r="X2075" s="367"/>
    </row>
    <row r="2076" spans="1:24">
      <c r="A2076" t="s">
        <v>7966</v>
      </c>
      <c r="B2076" t="s">
        <v>7967</v>
      </c>
      <c r="C2076">
        <v>7</v>
      </c>
      <c r="D2076">
        <v>1759</v>
      </c>
      <c r="E2076">
        <v>332163000</v>
      </c>
      <c r="F2076">
        <v>152</v>
      </c>
      <c r="G2076">
        <v>190</v>
      </c>
      <c r="H2076">
        <v>182</v>
      </c>
      <c r="I2076">
        <v>30</v>
      </c>
      <c r="J2076">
        <v>19.739999999999998</v>
      </c>
      <c r="K2076">
        <v>189</v>
      </c>
      <c r="L2076">
        <v>37</v>
      </c>
      <c r="M2076">
        <v>24.34</v>
      </c>
      <c r="N2076">
        <v>161</v>
      </c>
      <c r="O2076">
        <v>190</v>
      </c>
      <c r="P2076" t="s">
        <v>192</v>
      </c>
      <c r="Q2076" t="s">
        <v>192</v>
      </c>
      <c r="R2076">
        <v>1</v>
      </c>
      <c r="S2076">
        <v>67</v>
      </c>
      <c r="T2076">
        <v>151</v>
      </c>
      <c r="U2076">
        <v>186</v>
      </c>
      <c r="V2076">
        <v>756</v>
      </c>
      <c r="W2076">
        <v>1</v>
      </c>
      <c r="X2076" s="367"/>
    </row>
    <row r="2077" spans="1:24">
      <c r="A2077" t="s">
        <v>5055</v>
      </c>
      <c r="B2077" t="s">
        <v>5056</v>
      </c>
      <c r="C2077">
        <v>0</v>
      </c>
      <c r="D2077">
        <v>0</v>
      </c>
      <c r="E2077">
        <v>0</v>
      </c>
      <c r="F2077">
        <v>1000000</v>
      </c>
      <c r="G2077">
        <v>0</v>
      </c>
      <c r="H2077">
        <v>1000000</v>
      </c>
      <c r="I2077">
        <v>0</v>
      </c>
      <c r="J2077">
        <v>0</v>
      </c>
      <c r="K2077">
        <v>1000000</v>
      </c>
      <c r="L2077">
        <v>0</v>
      </c>
      <c r="M2077">
        <v>0</v>
      </c>
      <c r="N2077">
        <v>0</v>
      </c>
      <c r="O2077">
        <v>0</v>
      </c>
      <c r="P2077" t="s">
        <v>192</v>
      </c>
      <c r="Q2077" t="s">
        <v>192</v>
      </c>
      <c r="R2077">
        <v>1</v>
      </c>
      <c r="S2077">
        <v>8000</v>
      </c>
      <c r="T2077">
        <v>990000</v>
      </c>
      <c r="U2077">
        <v>1000000</v>
      </c>
      <c r="V2077">
        <v>8000</v>
      </c>
      <c r="W2077">
        <v>1</v>
      </c>
      <c r="X2077" s="367"/>
    </row>
    <row r="2078" spans="1:24">
      <c r="A2078" t="s">
        <v>3827</v>
      </c>
      <c r="B2078" t="s">
        <v>3828</v>
      </c>
      <c r="C2078">
        <v>0</v>
      </c>
      <c r="D2078">
        <v>0</v>
      </c>
      <c r="E2078">
        <v>0</v>
      </c>
      <c r="F2078">
        <v>46500</v>
      </c>
      <c r="G2078">
        <v>0</v>
      </c>
      <c r="H2078">
        <v>46500</v>
      </c>
      <c r="I2078">
        <v>0</v>
      </c>
      <c r="J2078">
        <v>0</v>
      </c>
      <c r="K2078">
        <v>46500</v>
      </c>
      <c r="L2078">
        <v>0</v>
      </c>
      <c r="M2078">
        <v>0</v>
      </c>
      <c r="N2078">
        <v>0</v>
      </c>
      <c r="O2078">
        <v>0</v>
      </c>
      <c r="P2078" t="s">
        <v>192</v>
      </c>
      <c r="Q2078" t="s">
        <v>192</v>
      </c>
      <c r="R2078">
        <v>1</v>
      </c>
      <c r="S2078">
        <v>1</v>
      </c>
      <c r="T2078">
        <v>50400</v>
      </c>
      <c r="U2078">
        <v>54388</v>
      </c>
      <c r="V2078">
        <v>1</v>
      </c>
      <c r="W2078">
        <v>1</v>
      </c>
      <c r="X2078" s="367"/>
    </row>
    <row r="2079" spans="1:24">
      <c r="A2079" t="s">
        <v>4964</v>
      </c>
      <c r="B2079" t="s">
        <v>4965</v>
      </c>
      <c r="C2079">
        <v>0</v>
      </c>
      <c r="D2079">
        <v>0</v>
      </c>
      <c r="E2079">
        <v>0</v>
      </c>
      <c r="F2079">
        <v>1000000</v>
      </c>
      <c r="G2079">
        <v>0</v>
      </c>
      <c r="H2079">
        <v>1000000</v>
      </c>
      <c r="I2079">
        <v>0</v>
      </c>
      <c r="J2079">
        <v>0</v>
      </c>
      <c r="K2079">
        <v>1000000</v>
      </c>
      <c r="L2079">
        <v>0</v>
      </c>
      <c r="M2079">
        <v>0</v>
      </c>
      <c r="N2079">
        <v>0</v>
      </c>
      <c r="O2079">
        <v>0</v>
      </c>
      <c r="P2079" t="s">
        <v>192</v>
      </c>
      <c r="Q2079" t="s">
        <v>192</v>
      </c>
      <c r="R2079">
        <v>1</v>
      </c>
      <c r="S2079">
        <v>7000</v>
      </c>
      <c r="T2079">
        <v>1000000</v>
      </c>
      <c r="U2079">
        <v>0</v>
      </c>
      <c r="V2079">
        <v>0</v>
      </c>
      <c r="W2079">
        <v>0</v>
      </c>
      <c r="X2079" s="367"/>
    </row>
    <row r="2080" spans="1:24">
      <c r="A2080" t="s">
        <v>8716</v>
      </c>
      <c r="B2080" t="s">
        <v>126</v>
      </c>
      <c r="C2080">
        <v>2</v>
      </c>
      <c r="D2080">
        <v>879190000</v>
      </c>
      <c r="E2080">
        <v>14260461800000</v>
      </c>
      <c r="F2080">
        <v>15750</v>
      </c>
      <c r="G2080">
        <v>16220</v>
      </c>
      <c r="H2080">
        <v>16220</v>
      </c>
      <c r="I2080">
        <v>470</v>
      </c>
      <c r="J2080">
        <v>2.98</v>
      </c>
      <c r="K2080">
        <v>16220</v>
      </c>
      <c r="L2080">
        <v>470</v>
      </c>
      <c r="M2080">
        <v>2.98</v>
      </c>
      <c r="N2080">
        <v>16220</v>
      </c>
      <c r="O2080">
        <v>16220</v>
      </c>
      <c r="P2080">
        <v>1411</v>
      </c>
      <c r="Q2080">
        <v>11.5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 s="367"/>
    </row>
    <row r="2081" spans="1:24">
      <c r="A2081" t="s">
        <v>8699</v>
      </c>
      <c r="B2081" t="s">
        <v>8700</v>
      </c>
      <c r="C2081">
        <v>1</v>
      </c>
      <c r="D2081">
        <v>2480010</v>
      </c>
      <c r="E2081">
        <v>1979047980000</v>
      </c>
      <c r="F2081">
        <v>796680</v>
      </c>
      <c r="G2081">
        <v>798000</v>
      </c>
      <c r="H2081">
        <v>798000</v>
      </c>
      <c r="I2081">
        <v>1320</v>
      </c>
      <c r="J2081">
        <v>0.17</v>
      </c>
      <c r="K2081">
        <v>798000</v>
      </c>
      <c r="L2081">
        <v>1320</v>
      </c>
      <c r="M2081">
        <v>0.17</v>
      </c>
      <c r="N2081">
        <v>798000</v>
      </c>
      <c r="O2081">
        <v>798000</v>
      </c>
      <c r="P2081" t="s">
        <v>192</v>
      </c>
      <c r="Q2081" t="s">
        <v>192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 s="367"/>
    </row>
    <row r="2082" spans="1:24">
      <c r="A2082" t="s">
        <v>3450</v>
      </c>
      <c r="B2082" t="s">
        <v>3451</v>
      </c>
      <c r="C2082">
        <v>104</v>
      </c>
      <c r="D2082">
        <v>1075</v>
      </c>
      <c r="E2082">
        <v>23020169000</v>
      </c>
      <c r="F2082">
        <v>17734</v>
      </c>
      <c r="G2082">
        <v>20900</v>
      </c>
      <c r="H2082">
        <v>21890</v>
      </c>
      <c r="I2082">
        <v>4156</v>
      </c>
      <c r="J2082">
        <v>23.44</v>
      </c>
      <c r="K2082">
        <v>21414</v>
      </c>
      <c r="L2082">
        <v>3680</v>
      </c>
      <c r="M2082">
        <v>20.75</v>
      </c>
      <c r="N2082">
        <v>20503</v>
      </c>
      <c r="O2082">
        <v>21890</v>
      </c>
      <c r="P2082" t="s">
        <v>192</v>
      </c>
      <c r="Q2082" t="s">
        <v>192</v>
      </c>
      <c r="R2082">
        <v>1</v>
      </c>
      <c r="S2082">
        <v>9</v>
      </c>
      <c r="T2082">
        <v>21601</v>
      </c>
      <c r="U2082">
        <v>24200</v>
      </c>
      <c r="V2082">
        <v>2</v>
      </c>
      <c r="W2082">
        <v>1</v>
      </c>
      <c r="X2082" s="367"/>
    </row>
    <row r="2083" spans="1:24">
      <c r="A2083" t="s">
        <v>1913</v>
      </c>
      <c r="B2083" t="s">
        <v>1912</v>
      </c>
      <c r="C2083">
        <v>391</v>
      </c>
      <c r="D2083">
        <v>19217805</v>
      </c>
      <c r="E2083">
        <v>32540793034</v>
      </c>
      <c r="F2083">
        <v>1652</v>
      </c>
      <c r="G2083">
        <v>1700</v>
      </c>
      <c r="H2083">
        <v>1701</v>
      </c>
      <c r="I2083">
        <v>49</v>
      </c>
      <c r="J2083">
        <v>2.97</v>
      </c>
      <c r="K2083">
        <v>1693</v>
      </c>
      <c r="L2083">
        <v>41</v>
      </c>
      <c r="M2083">
        <v>2.48</v>
      </c>
      <c r="N2083">
        <v>1655</v>
      </c>
      <c r="O2083">
        <v>1701</v>
      </c>
      <c r="P2083">
        <v>37</v>
      </c>
      <c r="Q2083">
        <v>45.76</v>
      </c>
      <c r="R2083">
        <v>35</v>
      </c>
      <c r="S2083">
        <v>4902278</v>
      </c>
      <c r="T2083">
        <v>1701</v>
      </c>
      <c r="U2083">
        <v>1712</v>
      </c>
      <c r="V2083">
        <v>18000</v>
      </c>
      <c r="W2083">
        <v>2</v>
      </c>
      <c r="X2083" s="367"/>
    </row>
    <row r="2084" spans="1:24">
      <c r="A2084" t="s">
        <v>4454</v>
      </c>
      <c r="B2084" t="s">
        <v>8614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1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0</v>
      </c>
      <c r="P2084" t="s">
        <v>192</v>
      </c>
      <c r="Q2084" t="s">
        <v>192</v>
      </c>
      <c r="R2084">
        <v>2</v>
      </c>
      <c r="S2084">
        <v>106</v>
      </c>
      <c r="T2084">
        <v>1</v>
      </c>
      <c r="U2084">
        <v>0</v>
      </c>
      <c r="V2084">
        <v>0</v>
      </c>
      <c r="W2084">
        <v>0</v>
      </c>
      <c r="X2084" s="367"/>
    </row>
    <row r="2085" spans="1:24">
      <c r="A2085" t="s">
        <v>6969</v>
      </c>
      <c r="B2085" t="s">
        <v>6970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1</v>
      </c>
      <c r="I2085">
        <v>0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 t="s">
        <v>192</v>
      </c>
      <c r="Q2085" t="s">
        <v>192</v>
      </c>
      <c r="R2085">
        <v>1</v>
      </c>
      <c r="S2085">
        <v>100</v>
      </c>
      <c r="T2085">
        <v>1</v>
      </c>
      <c r="U2085">
        <v>0</v>
      </c>
      <c r="V2085">
        <v>0</v>
      </c>
      <c r="W2085">
        <v>0</v>
      </c>
      <c r="X2085" s="367"/>
    </row>
    <row r="2086" spans="1:24">
      <c r="A2086" t="s">
        <v>8846</v>
      </c>
      <c r="B2086" t="s">
        <v>185</v>
      </c>
      <c r="C2086">
        <v>1</v>
      </c>
      <c r="D2086">
        <v>8731</v>
      </c>
      <c r="E2086">
        <v>71594200</v>
      </c>
      <c r="F2086">
        <v>7970</v>
      </c>
      <c r="G2086">
        <v>8200</v>
      </c>
      <c r="H2086">
        <v>8200</v>
      </c>
      <c r="I2086">
        <v>230</v>
      </c>
      <c r="J2086">
        <v>2.89</v>
      </c>
      <c r="K2086">
        <v>8200</v>
      </c>
      <c r="L2086">
        <v>230</v>
      </c>
      <c r="M2086">
        <v>2.89</v>
      </c>
      <c r="N2086">
        <v>8200</v>
      </c>
      <c r="O2086">
        <v>8200</v>
      </c>
      <c r="P2086">
        <v>2053</v>
      </c>
      <c r="Q2086">
        <v>3.99</v>
      </c>
      <c r="R2086">
        <v>12</v>
      </c>
      <c r="S2086">
        <v>656671</v>
      </c>
      <c r="T2086">
        <v>8200</v>
      </c>
      <c r="U2086">
        <v>0</v>
      </c>
      <c r="V2086">
        <v>0</v>
      </c>
      <c r="W2086">
        <v>0</v>
      </c>
      <c r="X2086" s="367"/>
    </row>
    <row r="2087" spans="1:24">
      <c r="A2087" t="s">
        <v>3043</v>
      </c>
      <c r="B2087" t="s">
        <v>3042</v>
      </c>
      <c r="C2087">
        <v>5698</v>
      </c>
      <c r="D2087">
        <v>50697702</v>
      </c>
      <c r="E2087">
        <v>234441830730</v>
      </c>
      <c r="F2087">
        <v>4500</v>
      </c>
      <c r="G2087">
        <v>4630</v>
      </c>
      <c r="H2087">
        <v>4630</v>
      </c>
      <c r="I2087">
        <v>130</v>
      </c>
      <c r="J2087">
        <v>2.89</v>
      </c>
      <c r="K2087">
        <v>4620</v>
      </c>
      <c r="L2087">
        <v>120</v>
      </c>
      <c r="M2087">
        <v>2.67</v>
      </c>
      <c r="N2087">
        <v>4540</v>
      </c>
      <c r="O2087">
        <v>4630</v>
      </c>
      <c r="P2087">
        <v>456</v>
      </c>
      <c r="Q2087">
        <v>10.130000000000001</v>
      </c>
      <c r="R2087">
        <v>149</v>
      </c>
      <c r="S2087">
        <v>4393115</v>
      </c>
      <c r="T2087">
        <v>4630</v>
      </c>
      <c r="U2087">
        <v>4660</v>
      </c>
      <c r="V2087">
        <v>1100</v>
      </c>
      <c r="W2087">
        <v>1</v>
      </c>
      <c r="X2087" s="367"/>
    </row>
    <row r="2088" spans="1:24">
      <c r="A2088" t="s">
        <v>2750</v>
      </c>
      <c r="B2088" t="s">
        <v>2748</v>
      </c>
      <c r="C2088">
        <v>1</v>
      </c>
      <c r="D2088">
        <v>960</v>
      </c>
      <c r="E2088">
        <v>7104000</v>
      </c>
      <c r="F2088">
        <v>7190</v>
      </c>
      <c r="G2088">
        <v>7400</v>
      </c>
      <c r="H2088">
        <v>7400</v>
      </c>
      <c r="I2088">
        <v>210</v>
      </c>
      <c r="J2088">
        <v>2.92</v>
      </c>
      <c r="K2088">
        <v>7400</v>
      </c>
      <c r="L2088">
        <v>210</v>
      </c>
      <c r="M2088">
        <v>2.92</v>
      </c>
      <c r="N2088">
        <v>7400</v>
      </c>
      <c r="O2088">
        <v>7400</v>
      </c>
      <c r="P2088">
        <v>1317</v>
      </c>
      <c r="Q2088">
        <v>5.62</v>
      </c>
      <c r="R2088">
        <v>16</v>
      </c>
      <c r="S2088">
        <v>2692495</v>
      </c>
      <c r="T2088">
        <v>7400</v>
      </c>
      <c r="U2088">
        <v>0</v>
      </c>
      <c r="V2088">
        <v>0</v>
      </c>
      <c r="W2088">
        <v>0</v>
      </c>
      <c r="X2088" s="367"/>
    </row>
    <row r="2089" spans="1:24">
      <c r="A2089" t="s">
        <v>5085</v>
      </c>
      <c r="B2089" t="s">
        <v>5086</v>
      </c>
      <c r="C2089">
        <v>0</v>
      </c>
      <c r="D2089">
        <v>0</v>
      </c>
      <c r="E2089">
        <v>0</v>
      </c>
      <c r="F2089">
        <v>828000</v>
      </c>
      <c r="G2089">
        <v>0</v>
      </c>
      <c r="H2089">
        <v>828000</v>
      </c>
      <c r="I2089">
        <v>0</v>
      </c>
      <c r="J2089">
        <v>0</v>
      </c>
      <c r="K2089">
        <v>828000</v>
      </c>
      <c r="L2089">
        <v>0</v>
      </c>
      <c r="M2089">
        <v>0</v>
      </c>
      <c r="N2089">
        <v>0</v>
      </c>
      <c r="O2089">
        <v>0</v>
      </c>
      <c r="P2089" t="s">
        <v>192</v>
      </c>
      <c r="Q2089" t="s">
        <v>192</v>
      </c>
      <c r="R2089">
        <v>1</v>
      </c>
      <c r="S2089">
        <v>10000</v>
      </c>
      <c r="T2089">
        <v>829000</v>
      </c>
      <c r="U2089">
        <v>837000</v>
      </c>
      <c r="V2089">
        <v>10000</v>
      </c>
      <c r="W2089">
        <v>1</v>
      </c>
      <c r="X2089" s="367"/>
    </row>
    <row r="2090" spans="1:24">
      <c r="A2090" t="s">
        <v>6503</v>
      </c>
      <c r="B2090" t="s">
        <v>5833</v>
      </c>
      <c r="C2090">
        <v>2</v>
      </c>
      <c r="D2090">
        <v>28502256</v>
      </c>
      <c r="E2090">
        <v>2499077806080</v>
      </c>
      <c r="F2090">
        <v>87502</v>
      </c>
      <c r="G2090">
        <v>87680</v>
      </c>
      <c r="H2090">
        <v>87680</v>
      </c>
      <c r="I2090">
        <v>178</v>
      </c>
      <c r="J2090">
        <v>0.2</v>
      </c>
      <c r="K2090">
        <v>87680</v>
      </c>
      <c r="L2090">
        <v>178</v>
      </c>
      <c r="M2090">
        <v>0.2</v>
      </c>
      <c r="N2090">
        <v>87680</v>
      </c>
      <c r="O2090">
        <v>87680</v>
      </c>
      <c r="P2090" t="s">
        <v>192</v>
      </c>
      <c r="Q2090" t="s">
        <v>192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 s="367"/>
    </row>
    <row r="2091" spans="1:24">
      <c r="A2091" t="s">
        <v>2423</v>
      </c>
      <c r="B2091" t="s">
        <v>2422</v>
      </c>
      <c r="C2091">
        <v>781</v>
      </c>
      <c r="D2091">
        <v>1208743</v>
      </c>
      <c r="E2091">
        <v>50561719690</v>
      </c>
      <c r="F2091">
        <v>40620</v>
      </c>
      <c r="G2091">
        <v>41830</v>
      </c>
      <c r="H2091">
        <v>41830</v>
      </c>
      <c r="I2091">
        <v>1210</v>
      </c>
      <c r="J2091">
        <v>2.98</v>
      </c>
      <c r="K2091">
        <v>41830</v>
      </c>
      <c r="L2091">
        <v>1210</v>
      </c>
      <c r="M2091">
        <v>2.98</v>
      </c>
      <c r="N2091">
        <v>41830</v>
      </c>
      <c r="O2091">
        <v>41830</v>
      </c>
      <c r="P2091">
        <v>1747</v>
      </c>
      <c r="Q2091">
        <v>23.94</v>
      </c>
      <c r="R2091">
        <v>44</v>
      </c>
      <c r="S2091">
        <v>934408</v>
      </c>
      <c r="T2091">
        <v>41830</v>
      </c>
      <c r="U2091">
        <v>0</v>
      </c>
      <c r="V2091">
        <v>0</v>
      </c>
      <c r="W2091">
        <v>0</v>
      </c>
      <c r="X2091" s="367"/>
    </row>
    <row r="2092" spans="1:24">
      <c r="A2092" t="s">
        <v>2042</v>
      </c>
      <c r="B2092" t="s">
        <v>2041</v>
      </c>
      <c r="C2092">
        <v>140</v>
      </c>
      <c r="D2092">
        <v>12923912</v>
      </c>
      <c r="E2092">
        <v>92147492560</v>
      </c>
      <c r="F2092">
        <v>6930</v>
      </c>
      <c r="G2092">
        <v>7130</v>
      </c>
      <c r="H2092">
        <v>7130</v>
      </c>
      <c r="I2092">
        <v>200</v>
      </c>
      <c r="J2092">
        <v>2.89</v>
      </c>
      <c r="K2092">
        <v>7130</v>
      </c>
      <c r="L2092">
        <v>200</v>
      </c>
      <c r="M2092">
        <v>2.89</v>
      </c>
      <c r="N2092">
        <v>7130</v>
      </c>
      <c r="O2092">
        <v>7130</v>
      </c>
      <c r="P2092">
        <v>1376</v>
      </c>
      <c r="Q2092">
        <v>5.18</v>
      </c>
      <c r="R2092">
        <v>349</v>
      </c>
      <c r="S2092">
        <v>77339406</v>
      </c>
      <c r="T2092">
        <v>7130</v>
      </c>
      <c r="U2092">
        <v>11000</v>
      </c>
      <c r="V2092">
        <v>11780</v>
      </c>
      <c r="W2092">
        <v>1</v>
      </c>
      <c r="X2092" s="367"/>
    </row>
    <row r="2093" spans="1:24">
      <c r="A2093" t="s">
        <v>7005</v>
      </c>
      <c r="B2093" t="s">
        <v>7006</v>
      </c>
      <c r="C2093">
        <v>11</v>
      </c>
      <c r="D2093">
        <v>3983</v>
      </c>
      <c r="E2093">
        <v>7966000</v>
      </c>
      <c r="F2093">
        <v>17</v>
      </c>
      <c r="G2093">
        <v>2</v>
      </c>
      <c r="H2093">
        <v>2</v>
      </c>
      <c r="I2093">
        <v>-15</v>
      </c>
      <c r="J2093">
        <v>-88.24</v>
      </c>
      <c r="K2093">
        <v>2</v>
      </c>
      <c r="L2093">
        <v>-15</v>
      </c>
      <c r="M2093">
        <v>-88.24</v>
      </c>
      <c r="N2093">
        <v>2</v>
      </c>
      <c r="O2093">
        <v>2</v>
      </c>
      <c r="P2093" t="s">
        <v>192</v>
      </c>
      <c r="Q2093" t="s">
        <v>192</v>
      </c>
      <c r="R2093">
        <v>1</v>
      </c>
      <c r="S2093">
        <v>100</v>
      </c>
      <c r="T2093">
        <v>1</v>
      </c>
      <c r="U2093">
        <v>3</v>
      </c>
      <c r="V2093">
        <v>2000</v>
      </c>
      <c r="W2093">
        <v>2</v>
      </c>
      <c r="X2093" s="367"/>
    </row>
    <row r="2094" spans="1:24">
      <c r="A2094" t="s">
        <v>5020</v>
      </c>
      <c r="B2094" t="s">
        <v>5021</v>
      </c>
      <c r="C2094">
        <v>0</v>
      </c>
      <c r="D2094">
        <v>0</v>
      </c>
      <c r="E2094">
        <v>0</v>
      </c>
      <c r="F2094">
        <v>756620</v>
      </c>
      <c r="G2094">
        <v>0</v>
      </c>
      <c r="H2094">
        <v>756620</v>
      </c>
      <c r="I2094">
        <v>0</v>
      </c>
      <c r="J2094">
        <v>0</v>
      </c>
      <c r="K2094">
        <v>756620</v>
      </c>
      <c r="L2094">
        <v>0</v>
      </c>
      <c r="M2094">
        <v>0</v>
      </c>
      <c r="N2094">
        <v>0</v>
      </c>
      <c r="O2094">
        <v>0</v>
      </c>
      <c r="P2094" t="s">
        <v>192</v>
      </c>
      <c r="Q2094" t="s">
        <v>192</v>
      </c>
      <c r="R2094">
        <v>1</v>
      </c>
      <c r="S2094">
        <v>10000</v>
      </c>
      <c r="T2094">
        <v>735110</v>
      </c>
      <c r="U2094">
        <v>0</v>
      </c>
      <c r="V2094">
        <v>0</v>
      </c>
      <c r="W2094">
        <v>0</v>
      </c>
      <c r="X2094" s="367"/>
    </row>
    <row r="2095" spans="1:24">
      <c r="A2095" t="s">
        <v>4940</v>
      </c>
      <c r="B2095" t="s">
        <v>4941</v>
      </c>
      <c r="C2095">
        <v>1061</v>
      </c>
      <c r="D2095">
        <v>4896951</v>
      </c>
      <c r="E2095">
        <v>780025530888</v>
      </c>
      <c r="F2095">
        <v>154649</v>
      </c>
      <c r="G2095">
        <v>159288</v>
      </c>
      <c r="H2095">
        <v>159288</v>
      </c>
      <c r="I2095">
        <v>4639</v>
      </c>
      <c r="J2095">
        <v>3</v>
      </c>
      <c r="K2095">
        <v>159288</v>
      </c>
      <c r="L2095">
        <v>4639</v>
      </c>
      <c r="M2095">
        <v>3</v>
      </c>
      <c r="N2095">
        <v>159288</v>
      </c>
      <c r="O2095">
        <v>159288</v>
      </c>
      <c r="P2095" t="s">
        <v>192</v>
      </c>
      <c r="Q2095" t="s">
        <v>192</v>
      </c>
      <c r="R2095">
        <v>261</v>
      </c>
      <c r="S2095">
        <v>603536</v>
      </c>
      <c r="T2095">
        <v>159288</v>
      </c>
      <c r="U2095">
        <v>0</v>
      </c>
      <c r="V2095">
        <v>0</v>
      </c>
      <c r="W2095">
        <v>0</v>
      </c>
      <c r="X2095" s="367"/>
    </row>
    <row r="2096" spans="1:24">
      <c r="A2096" t="s">
        <v>6613</v>
      </c>
      <c r="B2096" t="s">
        <v>8558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1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0</v>
      </c>
      <c r="P2096" t="s">
        <v>192</v>
      </c>
      <c r="Q2096" t="s">
        <v>192</v>
      </c>
      <c r="R2096">
        <v>0</v>
      </c>
      <c r="S2096">
        <v>0</v>
      </c>
      <c r="T2096">
        <v>0</v>
      </c>
      <c r="U2096">
        <v>50</v>
      </c>
      <c r="V2096">
        <v>1</v>
      </c>
      <c r="W2096">
        <v>1</v>
      </c>
      <c r="X2096" s="367"/>
    </row>
    <row r="2097" spans="1:24">
      <c r="A2097" t="s">
        <v>8242</v>
      </c>
      <c r="B2097" t="s">
        <v>8243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1</v>
      </c>
      <c r="I2097">
        <v>0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0</v>
      </c>
      <c r="P2097" t="s">
        <v>192</v>
      </c>
      <c r="Q2097" t="s">
        <v>192</v>
      </c>
      <c r="R2097">
        <v>1</v>
      </c>
      <c r="S2097">
        <v>40</v>
      </c>
      <c r="T2097">
        <v>112</v>
      </c>
      <c r="U2097">
        <v>0</v>
      </c>
      <c r="V2097">
        <v>0</v>
      </c>
      <c r="W2097">
        <v>0</v>
      </c>
      <c r="X2097" s="367"/>
    </row>
    <row r="2098" spans="1:24">
      <c r="A2098" t="s">
        <v>2421</v>
      </c>
      <c r="B2098" t="s">
        <v>2419</v>
      </c>
      <c r="C2098">
        <v>3</v>
      </c>
      <c r="D2098">
        <v>10187</v>
      </c>
      <c r="E2098">
        <v>17613323</v>
      </c>
      <c r="F2098">
        <v>1691</v>
      </c>
      <c r="G2098">
        <v>1729</v>
      </c>
      <c r="H2098">
        <v>1729</v>
      </c>
      <c r="I2098">
        <v>38</v>
      </c>
      <c r="J2098">
        <v>2.25</v>
      </c>
      <c r="K2098">
        <v>1729</v>
      </c>
      <c r="L2098">
        <v>38</v>
      </c>
      <c r="M2098">
        <v>2.25</v>
      </c>
      <c r="N2098">
        <v>1729</v>
      </c>
      <c r="O2098">
        <v>1729</v>
      </c>
      <c r="P2098">
        <v>291</v>
      </c>
      <c r="Q2098">
        <v>5.94</v>
      </c>
      <c r="R2098">
        <v>1</v>
      </c>
      <c r="S2098">
        <v>2892</v>
      </c>
      <c r="T2098">
        <v>1729</v>
      </c>
      <c r="U2098">
        <v>0</v>
      </c>
      <c r="V2098">
        <v>0</v>
      </c>
      <c r="W2098">
        <v>0</v>
      </c>
      <c r="X2098" s="367"/>
    </row>
    <row r="2099" spans="1:24">
      <c r="A2099" t="s">
        <v>99</v>
      </c>
      <c r="B2099" t="s">
        <v>98</v>
      </c>
      <c r="C2099">
        <v>1935</v>
      </c>
      <c r="D2099">
        <v>43437741</v>
      </c>
      <c r="E2099">
        <v>363638364840</v>
      </c>
      <c r="F2099">
        <v>8270</v>
      </c>
      <c r="G2099">
        <v>8500</v>
      </c>
      <c r="H2099">
        <v>8410</v>
      </c>
      <c r="I2099">
        <v>140</v>
      </c>
      <c r="J2099">
        <v>1.69</v>
      </c>
      <c r="K2099">
        <v>8370</v>
      </c>
      <c r="L2099">
        <v>100</v>
      </c>
      <c r="M2099">
        <v>1.21</v>
      </c>
      <c r="N2099">
        <v>8110</v>
      </c>
      <c r="O2099">
        <v>8500</v>
      </c>
      <c r="P2099">
        <v>1231</v>
      </c>
      <c r="Q2099">
        <v>6.8</v>
      </c>
      <c r="R2099">
        <v>6</v>
      </c>
      <c r="S2099">
        <v>131992</v>
      </c>
      <c r="T2099">
        <v>8390</v>
      </c>
      <c r="U2099">
        <v>8420</v>
      </c>
      <c r="V2099">
        <v>75130</v>
      </c>
      <c r="W2099">
        <v>4</v>
      </c>
      <c r="X2099" s="367"/>
    </row>
    <row r="2100" spans="1:24">
      <c r="A2100" t="s">
        <v>5014</v>
      </c>
      <c r="B2100" t="s">
        <v>5015</v>
      </c>
      <c r="C2100">
        <v>0</v>
      </c>
      <c r="D2100">
        <v>0</v>
      </c>
      <c r="E2100">
        <v>0</v>
      </c>
      <c r="F2100">
        <v>1000000</v>
      </c>
      <c r="G2100">
        <v>0</v>
      </c>
      <c r="H2100">
        <v>1000000</v>
      </c>
      <c r="I2100">
        <v>0</v>
      </c>
      <c r="J2100">
        <v>0</v>
      </c>
      <c r="K2100">
        <v>1000000</v>
      </c>
      <c r="L2100">
        <v>0</v>
      </c>
      <c r="M2100">
        <v>0</v>
      </c>
      <c r="N2100">
        <v>0</v>
      </c>
      <c r="O2100">
        <v>0</v>
      </c>
      <c r="P2100" t="s">
        <v>192</v>
      </c>
      <c r="Q2100" t="s">
        <v>192</v>
      </c>
      <c r="R2100">
        <v>1</v>
      </c>
      <c r="S2100">
        <v>5000</v>
      </c>
      <c r="T2100">
        <v>1000000</v>
      </c>
      <c r="U2100">
        <v>0</v>
      </c>
      <c r="V2100">
        <v>0</v>
      </c>
      <c r="W2100">
        <v>0</v>
      </c>
      <c r="X2100" s="367"/>
    </row>
    <row r="2101" spans="1:24">
      <c r="A2101" t="s">
        <v>4298</v>
      </c>
      <c r="B2101" t="s">
        <v>4299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0</v>
      </c>
      <c r="P2101" t="s">
        <v>192</v>
      </c>
      <c r="Q2101" t="s">
        <v>192</v>
      </c>
      <c r="R2101">
        <v>1</v>
      </c>
      <c r="S2101">
        <v>100</v>
      </c>
      <c r="T2101">
        <v>1</v>
      </c>
      <c r="U2101">
        <v>0</v>
      </c>
      <c r="V2101">
        <v>0</v>
      </c>
      <c r="W2101">
        <v>0</v>
      </c>
      <c r="X2101" s="367"/>
    </row>
    <row r="2102" spans="1:24">
      <c r="A2102" t="s">
        <v>5030</v>
      </c>
      <c r="B2102" t="s">
        <v>5031</v>
      </c>
      <c r="C2102">
        <v>0</v>
      </c>
      <c r="D2102">
        <v>0</v>
      </c>
      <c r="E2102">
        <v>0</v>
      </c>
      <c r="F2102">
        <v>1000000</v>
      </c>
      <c r="G2102">
        <v>0</v>
      </c>
      <c r="H2102">
        <v>1000000</v>
      </c>
      <c r="I2102">
        <v>0</v>
      </c>
      <c r="J2102">
        <v>0</v>
      </c>
      <c r="K2102">
        <v>1000000</v>
      </c>
      <c r="L2102">
        <v>0</v>
      </c>
      <c r="M2102">
        <v>0</v>
      </c>
      <c r="N2102">
        <v>0</v>
      </c>
      <c r="O2102">
        <v>0</v>
      </c>
      <c r="P2102" t="s">
        <v>192</v>
      </c>
      <c r="Q2102" t="s">
        <v>192</v>
      </c>
      <c r="R2102">
        <v>1</v>
      </c>
      <c r="S2102">
        <v>5000</v>
      </c>
      <c r="T2102">
        <v>995000</v>
      </c>
      <c r="U2102">
        <v>1004000</v>
      </c>
      <c r="V2102">
        <v>5000</v>
      </c>
      <c r="W2102">
        <v>1</v>
      </c>
      <c r="X2102" s="367"/>
    </row>
    <row r="2103" spans="1:24">
      <c r="A2103" t="s">
        <v>4544</v>
      </c>
      <c r="B2103" t="s">
        <v>4545</v>
      </c>
      <c r="C2103">
        <v>0</v>
      </c>
      <c r="D2103">
        <v>0</v>
      </c>
      <c r="E2103">
        <v>0</v>
      </c>
      <c r="F2103">
        <v>135</v>
      </c>
      <c r="G2103">
        <v>0</v>
      </c>
      <c r="H2103">
        <v>135</v>
      </c>
      <c r="I2103">
        <v>0</v>
      </c>
      <c r="J2103">
        <v>0</v>
      </c>
      <c r="K2103">
        <v>135</v>
      </c>
      <c r="L2103">
        <v>0</v>
      </c>
      <c r="M2103">
        <v>0</v>
      </c>
      <c r="N2103">
        <v>0</v>
      </c>
      <c r="O2103">
        <v>0</v>
      </c>
      <c r="P2103" t="s">
        <v>192</v>
      </c>
      <c r="Q2103" t="s">
        <v>192</v>
      </c>
      <c r="R2103">
        <v>1</v>
      </c>
      <c r="S2103">
        <v>999</v>
      </c>
      <c r="T2103">
        <v>3</v>
      </c>
      <c r="U2103">
        <v>200</v>
      </c>
      <c r="V2103">
        <v>10</v>
      </c>
      <c r="W2103">
        <v>1</v>
      </c>
      <c r="X2103" s="367"/>
    </row>
    <row r="2104" spans="1:24">
      <c r="A2104" t="s">
        <v>2958</v>
      </c>
      <c r="B2104" t="s">
        <v>2957</v>
      </c>
      <c r="C2104">
        <v>93</v>
      </c>
      <c r="D2104">
        <v>13305633</v>
      </c>
      <c r="E2104">
        <v>27014762664</v>
      </c>
      <c r="F2104">
        <v>1973</v>
      </c>
      <c r="G2104">
        <v>2031</v>
      </c>
      <c r="H2104">
        <v>2032</v>
      </c>
      <c r="I2104">
        <v>59</v>
      </c>
      <c r="J2104">
        <v>2.99</v>
      </c>
      <c r="K2104">
        <v>2030</v>
      </c>
      <c r="L2104">
        <v>57</v>
      </c>
      <c r="M2104">
        <v>2.89</v>
      </c>
      <c r="N2104">
        <v>1982</v>
      </c>
      <c r="O2104">
        <v>2032</v>
      </c>
      <c r="P2104">
        <v>-448</v>
      </c>
      <c r="Q2104">
        <v>-4.53</v>
      </c>
      <c r="R2104">
        <v>14</v>
      </c>
      <c r="S2104">
        <v>8549831</v>
      </c>
      <c r="T2104">
        <v>2032</v>
      </c>
      <c r="U2104">
        <v>0</v>
      </c>
      <c r="V2104">
        <v>0</v>
      </c>
      <c r="W2104">
        <v>0</v>
      </c>
      <c r="X2104" s="367"/>
    </row>
    <row r="2105" spans="1:24">
      <c r="A2105" t="s">
        <v>4294</v>
      </c>
      <c r="B2105" t="s">
        <v>4295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1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 t="s">
        <v>192</v>
      </c>
      <c r="Q2105" t="s">
        <v>192</v>
      </c>
      <c r="R2105">
        <v>1</v>
      </c>
      <c r="S2105">
        <v>100</v>
      </c>
      <c r="T2105">
        <v>1</v>
      </c>
      <c r="U2105">
        <v>0</v>
      </c>
      <c r="V2105">
        <v>0</v>
      </c>
      <c r="W2105">
        <v>0</v>
      </c>
      <c r="X2105" s="367"/>
    </row>
    <row r="2106" spans="1:24">
      <c r="A2106" t="s">
        <v>101</v>
      </c>
      <c r="B2106" t="s">
        <v>100</v>
      </c>
      <c r="C2106">
        <v>905</v>
      </c>
      <c r="D2106">
        <v>14410199</v>
      </c>
      <c r="E2106">
        <v>257181752980</v>
      </c>
      <c r="F2106">
        <v>17340</v>
      </c>
      <c r="G2106">
        <v>17850</v>
      </c>
      <c r="H2106">
        <v>17860</v>
      </c>
      <c r="I2106">
        <v>520</v>
      </c>
      <c r="J2106">
        <v>3</v>
      </c>
      <c r="K2106">
        <v>17850</v>
      </c>
      <c r="L2106">
        <v>510</v>
      </c>
      <c r="M2106">
        <v>2.94</v>
      </c>
      <c r="N2106">
        <v>17330</v>
      </c>
      <c r="O2106">
        <v>17860</v>
      </c>
      <c r="P2106">
        <v>2564</v>
      </c>
      <c r="Q2106">
        <v>6.96</v>
      </c>
      <c r="R2106">
        <v>23</v>
      </c>
      <c r="S2106">
        <v>1097154</v>
      </c>
      <c r="T2106">
        <v>17860</v>
      </c>
      <c r="U2106">
        <v>18250</v>
      </c>
      <c r="V2106">
        <v>1100</v>
      </c>
      <c r="W2106">
        <v>1</v>
      </c>
      <c r="X2106" s="367"/>
    </row>
    <row r="2107" spans="1:24">
      <c r="A2107" t="s">
        <v>4548</v>
      </c>
      <c r="B2107" t="s">
        <v>4549</v>
      </c>
      <c r="C2107">
        <v>0</v>
      </c>
      <c r="D2107">
        <v>0</v>
      </c>
      <c r="E2107">
        <v>0</v>
      </c>
      <c r="F2107">
        <v>399</v>
      </c>
      <c r="G2107">
        <v>0</v>
      </c>
      <c r="H2107">
        <v>399</v>
      </c>
      <c r="I2107">
        <v>0</v>
      </c>
      <c r="J2107">
        <v>0</v>
      </c>
      <c r="K2107">
        <v>399</v>
      </c>
      <c r="L2107">
        <v>0</v>
      </c>
      <c r="M2107">
        <v>0</v>
      </c>
      <c r="N2107">
        <v>0</v>
      </c>
      <c r="O2107">
        <v>0</v>
      </c>
      <c r="P2107" t="s">
        <v>192</v>
      </c>
      <c r="Q2107" t="s">
        <v>192</v>
      </c>
      <c r="R2107">
        <v>1</v>
      </c>
      <c r="S2107">
        <v>999</v>
      </c>
      <c r="T2107">
        <v>2</v>
      </c>
      <c r="U2107">
        <v>500</v>
      </c>
      <c r="V2107">
        <v>5</v>
      </c>
      <c r="W2107">
        <v>1</v>
      </c>
      <c r="X2107" s="367"/>
    </row>
    <row r="2108" spans="1:24">
      <c r="A2108" t="s">
        <v>2230</v>
      </c>
      <c r="B2108" t="s">
        <v>2229</v>
      </c>
      <c r="C2108">
        <v>612</v>
      </c>
      <c r="D2108">
        <v>5074386</v>
      </c>
      <c r="E2108">
        <v>234385889340</v>
      </c>
      <c r="F2108">
        <v>44850</v>
      </c>
      <c r="G2108">
        <v>46190</v>
      </c>
      <c r="H2108">
        <v>46190</v>
      </c>
      <c r="I2108">
        <v>1340</v>
      </c>
      <c r="J2108">
        <v>2.99</v>
      </c>
      <c r="K2108">
        <v>46190</v>
      </c>
      <c r="L2108">
        <v>1340</v>
      </c>
      <c r="M2108">
        <v>2.99</v>
      </c>
      <c r="N2108">
        <v>46190</v>
      </c>
      <c r="O2108">
        <v>46190</v>
      </c>
      <c r="P2108">
        <v>5242</v>
      </c>
      <c r="Q2108">
        <v>8.81</v>
      </c>
      <c r="R2108">
        <v>331</v>
      </c>
      <c r="S2108">
        <v>8979713</v>
      </c>
      <c r="T2108">
        <v>46190</v>
      </c>
      <c r="U2108">
        <v>0</v>
      </c>
      <c r="V2108">
        <v>0</v>
      </c>
      <c r="W2108">
        <v>0</v>
      </c>
      <c r="X2108" s="367"/>
    </row>
    <row r="2109" spans="1:24">
      <c r="A2109" t="s">
        <v>4172</v>
      </c>
      <c r="B2109" t="s">
        <v>4173</v>
      </c>
      <c r="C2109">
        <v>1</v>
      </c>
      <c r="D2109">
        <v>1</v>
      </c>
      <c r="E2109">
        <v>6213000</v>
      </c>
      <c r="F2109">
        <v>6213</v>
      </c>
      <c r="G2109">
        <v>6213</v>
      </c>
      <c r="H2109">
        <v>6213</v>
      </c>
      <c r="I2109">
        <v>0</v>
      </c>
      <c r="J2109">
        <v>0</v>
      </c>
      <c r="K2109">
        <v>6213</v>
      </c>
      <c r="L2109">
        <v>0</v>
      </c>
      <c r="M2109">
        <v>0</v>
      </c>
      <c r="N2109">
        <v>6213</v>
      </c>
      <c r="O2109">
        <v>6213</v>
      </c>
      <c r="P2109" t="s">
        <v>192</v>
      </c>
      <c r="Q2109" t="s">
        <v>192</v>
      </c>
      <c r="R2109">
        <v>1</v>
      </c>
      <c r="S2109">
        <v>1</v>
      </c>
      <c r="T2109">
        <v>9500</v>
      </c>
      <c r="U2109">
        <v>0</v>
      </c>
      <c r="V2109">
        <v>0</v>
      </c>
      <c r="W2109">
        <v>0</v>
      </c>
      <c r="X2109" s="367"/>
    </row>
    <row r="2110" spans="1:24">
      <c r="A2110" t="s">
        <v>4931</v>
      </c>
      <c r="B2110" t="s">
        <v>4932</v>
      </c>
      <c r="C2110">
        <v>106</v>
      </c>
      <c r="D2110">
        <v>3092696</v>
      </c>
      <c r="E2110">
        <v>59875446365</v>
      </c>
      <c r="F2110">
        <v>19323</v>
      </c>
      <c r="G2110">
        <v>19360</v>
      </c>
      <c r="H2110">
        <v>19360</v>
      </c>
      <c r="I2110">
        <v>37</v>
      </c>
      <c r="J2110">
        <v>0.19</v>
      </c>
      <c r="K2110">
        <v>19360</v>
      </c>
      <c r="L2110">
        <v>37</v>
      </c>
      <c r="M2110">
        <v>0.19</v>
      </c>
      <c r="N2110">
        <v>19360</v>
      </c>
      <c r="O2110">
        <v>19361</v>
      </c>
      <c r="P2110" t="s">
        <v>192</v>
      </c>
      <c r="Q2110" t="s">
        <v>192</v>
      </c>
      <c r="R2110">
        <v>1</v>
      </c>
      <c r="S2110">
        <v>299754062</v>
      </c>
      <c r="T2110">
        <v>19360</v>
      </c>
      <c r="U2110">
        <v>19361</v>
      </c>
      <c r="V2110">
        <v>49743053</v>
      </c>
      <c r="W2110">
        <v>1</v>
      </c>
      <c r="X2110" s="367"/>
    </row>
    <row r="2111" spans="1:24">
      <c r="A2111" t="s">
        <v>8275</v>
      </c>
      <c r="B2111" t="s">
        <v>8276</v>
      </c>
      <c r="C2111">
        <v>605</v>
      </c>
      <c r="D2111">
        <v>1522572</v>
      </c>
      <c r="E2111">
        <v>15062816719</v>
      </c>
      <c r="F2111">
        <v>9934</v>
      </c>
      <c r="G2111">
        <v>9999</v>
      </c>
      <c r="H2111">
        <v>9899</v>
      </c>
      <c r="I2111">
        <v>-35</v>
      </c>
      <c r="J2111">
        <v>-0.35</v>
      </c>
      <c r="K2111">
        <v>9893</v>
      </c>
      <c r="L2111">
        <v>-41</v>
      </c>
      <c r="M2111">
        <v>-0.41</v>
      </c>
      <c r="N2111">
        <v>9840</v>
      </c>
      <c r="O2111">
        <v>9999</v>
      </c>
      <c r="P2111" t="s">
        <v>192</v>
      </c>
      <c r="Q2111" t="s">
        <v>192</v>
      </c>
      <c r="R2111">
        <v>1</v>
      </c>
      <c r="S2111">
        <v>500</v>
      </c>
      <c r="T2111">
        <v>9895</v>
      </c>
      <c r="U2111">
        <v>9900</v>
      </c>
      <c r="V2111">
        <v>185943</v>
      </c>
      <c r="W2111">
        <v>3</v>
      </c>
      <c r="X2111" s="367"/>
    </row>
    <row r="2112" spans="1:24">
      <c r="A2112" t="s">
        <v>2262</v>
      </c>
      <c r="B2112" t="s">
        <v>2261</v>
      </c>
      <c r="C2112">
        <v>120</v>
      </c>
      <c r="D2112">
        <v>3778725</v>
      </c>
      <c r="E2112">
        <v>74025222750</v>
      </c>
      <c r="F2112">
        <v>19020</v>
      </c>
      <c r="G2112">
        <v>19590</v>
      </c>
      <c r="H2112">
        <v>19590</v>
      </c>
      <c r="I2112">
        <v>570</v>
      </c>
      <c r="J2112">
        <v>3</v>
      </c>
      <c r="K2112">
        <v>19590</v>
      </c>
      <c r="L2112">
        <v>570</v>
      </c>
      <c r="M2112">
        <v>3</v>
      </c>
      <c r="N2112">
        <v>19590</v>
      </c>
      <c r="O2112">
        <v>19590</v>
      </c>
      <c r="P2112">
        <v>3518</v>
      </c>
      <c r="Q2112">
        <v>5.57</v>
      </c>
      <c r="R2112">
        <v>95</v>
      </c>
      <c r="S2112">
        <v>6746089</v>
      </c>
      <c r="T2112">
        <v>19590</v>
      </c>
      <c r="U2112">
        <v>0</v>
      </c>
      <c r="V2112">
        <v>0</v>
      </c>
      <c r="W2112">
        <v>0</v>
      </c>
      <c r="X2112" s="367"/>
    </row>
    <row r="2113" spans="1:24">
      <c r="A2113" t="s">
        <v>4986</v>
      </c>
      <c r="B2113" t="s">
        <v>4987</v>
      </c>
      <c r="C2113">
        <v>33</v>
      </c>
      <c r="D2113">
        <v>226220</v>
      </c>
      <c r="E2113">
        <v>6406227718</v>
      </c>
      <c r="F2113">
        <v>27804</v>
      </c>
      <c r="G2113">
        <v>28638</v>
      </c>
      <c r="H2113">
        <v>28627</v>
      </c>
      <c r="I2113">
        <v>823</v>
      </c>
      <c r="J2113">
        <v>2.96</v>
      </c>
      <c r="K2113">
        <v>28319</v>
      </c>
      <c r="L2113">
        <v>515</v>
      </c>
      <c r="M2113">
        <v>1.85</v>
      </c>
      <c r="N2113">
        <v>28283</v>
      </c>
      <c r="O2113">
        <v>28638</v>
      </c>
      <c r="P2113" t="s">
        <v>192</v>
      </c>
      <c r="Q2113" t="s">
        <v>192</v>
      </c>
      <c r="R2113">
        <v>1</v>
      </c>
      <c r="S2113">
        <v>205</v>
      </c>
      <c r="T2113">
        <v>28294</v>
      </c>
      <c r="U2113">
        <v>28635</v>
      </c>
      <c r="V2113">
        <v>3500</v>
      </c>
      <c r="W2113">
        <v>1</v>
      </c>
      <c r="X2113" s="367"/>
    </row>
    <row r="2114" spans="1:24">
      <c r="A2114" t="s">
        <v>176</v>
      </c>
      <c r="B2114" t="s">
        <v>175</v>
      </c>
      <c r="C2114">
        <v>8285</v>
      </c>
      <c r="D2114">
        <v>363007740</v>
      </c>
      <c r="E2114">
        <v>4080206997600</v>
      </c>
      <c r="F2114">
        <v>10920</v>
      </c>
      <c r="G2114">
        <v>11240</v>
      </c>
      <c r="H2114">
        <v>11240</v>
      </c>
      <c r="I2114">
        <v>320</v>
      </c>
      <c r="J2114">
        <v>2.93</v>
      </c>
      <c r="K2114">
        <v>11240</v>
      </c>
      <c r="L2114">
        <v>320</v>
      </c>
      <c r="M2114">
        <v>2.93</v>
      </c>
      <c r="N2114">
        <v>11240</v>
      </c>
      <c r="O2114">
        <v>11240</v>
      </c>
      <c r="P2114">
        <v>1816</v>
      </c>
      <c r="Q2114">
        <v>6.19</v>
      </c>
      <c r="R2114">
        <v>3103</v>
      </c>
      <c r="S2114">
        <v>191831548</v>
      </c>
      <c r="T2114">
        <v>11240</v>
      </c>
      <c r="U2114">
        <v>11250</v>
      </c>
      <c r="V2114">
        <v>500</v>
      </c>
      <c r="W2114">
        <v>1</v>
      </c>
      <c r="X2114" s="367"/>
    </row>
    <row r="2115" spans="1:24">
      <c r="A2115" t="s">
        <v>4550</v>
      </c>
      <c r="B2115" t="s">
        <v>4551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1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P2115" t="s">
        <v>192</v>
      </c>
      <c r="Q2115" t="s">
        <v>192</v>
      </c>
      <c r="R2115">
        <v>1</v>
      </c>
      <c r="S2115">
        <v>25</v>
      </c>
      <c r="T2115">
        <v>5</v>
      </c>
      <c r="U2115">
        <v>0</v>
      </c>
      <c r="V2115">
        <v>0</v>
      </c>
      <c r="W2115">
        <v>0</v>
      </c>
      <c r="X2115" s="367"/>
    </row>
    <row r="2116" spans="1:24">
      <c r="A2116" t="s">
        <v>5071</v>
      </c>
      <c r="B2116" t="s">
        <v>5072</v>
      </c>
      <c r="C2116">
        <v>0</v>
      </c>
      <c r="D2116">
        <v>0</v>
      </c>
      <c r="E2116">
        <v>0</v>
      </c>
      <c r="F2116">
        <v>2726838</v>
      </c>
      <c r="G2116">
        <v>0</v>
      </c>
      <c r="H2116">
        <v>2726838</v>
      </c>
      <c r="I2116">
        <v>0</v>
      </c>
      <c r="J2116">
        <v>0</v>
      </c>
      <c r="K2116">
        <v>2726838</v>
      </c>
      <c r="L2116">
        <v>0</v>
      </c>
      <c r="M2116">
        <v>0</v>
      </c>
      <c r="N2116">
        <v>0</v>
      </c>
      <c r="O2116">
        <v>0</v>
      </c>
      <c r="P2116" t="s">
        <v>192</v>
      </c>
      <c r="Q2116" t="s">
        <v>192</v>
      </c>
      <c r="R2116">
        <v>1</v>
      </c>
      <c r="S2116">
        <v>58800</v>
      </c>
      <c r="T2116">
        <v>3170384</v>
      </c>
      <c r="U2116">
        <v>0</v>
      </c>
      <c r="V2116">
        <v>0</v>
      </c>
      <c r="W2116">
        <v>0</v>
      </c>
      <c r="X2116" s="367"/>
    </row>
    <row r="2117" spans="1:24">
      <c r="A2117" t="s">
        <v>4200</v>
      </c>
      <c r="B2117" t="s">
        <v>4201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1</v>
      </c>
      <c r="I2117">
        <v>0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0</v>
      </c>
      <c r="P2117" t="s">
        <v>192</v>
      </c>
      <c r="Q2117" t="s">
        <v>192</v>
      </c>
      <c r="R2117">
        <v>1</v>
      </c>
      <c r="S2117">
        <v>100</v>
      </c>
      <c r="T2117">
        <v>1</v>
      </c>
      <c r="U2117">
        <v>0</v>
      </c>
      <c r="V2117">
        <v>0</v>
      </c>
      <c r="W2117">
        <v>0</v>
      </c>
      <c r="X2117" s="367"/>
    </row>
    <row r="2118" spans="1:24">
      <c r="A2118" t="s">
        <v>6474</v>
      </c>
      <c r="B2118" t="s">
        <v>6475</v>
      </c>
      <c r="C2118">
        <v>0</v>
      </c>
      <c r="D2118">
        <v>0</v>
      </c>
      <c r="E2118">
        <v>0</v>
      </c>
      <c r="F2118">
        <v>1013880</v>
      </c>
      <c r="G2118">
        <v>0</v>
      </c>
      <c r="H2118">
        <v>1013880</v>
      </c>
      <c r="I2118">
        <v>0</v>
      </c>
      <c r="J2118">
        <v>0</v>
      </c>
      <c r="K2118">
        <v>1013880</v>
      </c>
      <c r="L2118">
        <v>0</v>
      </c>
      <c r="M2118">
        <v>0</v>
      </c>
      <c r="N2118">
        <v>0</v>
      </c>
      <c r="O2118">
        <v>0</v>
      </c>
      <c r="P2118" t="s">
        <v>192</v>
      </c>
      <c r="Q2118" t="s">
        <v>192</v>
      </c>
      <c r="R2118">
        <v>1</v>
      </c>
      <c r="S2118">
        <v>5000</v>
      </c>
      <c r="T2118">
        <v>985000</v>
      </c>
      <c r="U2118">
        <v>1015000</v>
      </c>
      <c r="V2118">
        <v>5000</v>
      </c>
      <c r="W2118">
        <v>1</v>
      </c>
      <c r="X2118" s="367"/>
    </row>
    <row r="2119" spans="1:24">
      <c r="A2119" t="s">
        <v>3591</v>
      </c>
      <c r="B2119" t="s">
        <v>8374</v>
      </c>
      <c r="C2119">
        <v>210</v>
      </c>
      <c r="D2119">
        <v>12565</v>
      </c>
      <c r="E2119">
        <v>150557622207</v>
      </c>
      <c r="F2119">
        <v>8591</v>
      </c>
      <c r="G2119">
        <v>8717</v>
      </c>
      <c r="H2119">
        <v>8744</v>
      </c>
      <c r="I2119">
        <v>153</v>
      </c>
      <c r="J2119">
        <v>1.78</v>
      </c>
      <c r="K2119">
        <v>8740</v>
      </c>
      <c r="L2119">
        <v>149</v>
      </c>
      <c r="M2119">
        <v>1.73</v>
      </c>
      <c r="N2119">
        <v>8717</v>
      </c>
      <c r="O2119">
        <v>8850</v>
      </c>
      <c r="P2119" t="s">
        <v>192</v>
      </c>
      <c r="Q2119" t="s">
        <v>192</v>
      </c>
      <c r="R2119">
        <v>1</v>
      </c>
      <c r="S2119">
        <v>1000</v>
      </c>
      <c r="T2119">
        <v>8670</v>
      </c>
      <c r="U2119">
        <v>8744</v>
      </c>
      <c r="V2119">
        <v>129</v>
      </c>
      <c r="W2119">
        <v>1</v>
      </c>
      <c r="X2119" s="367"/>
    </row>
    <row r="2120" spans="1:24">
      <c r="A2120" t="s">
        <v>2912</v>
      </c>
      <c r="B2120" t="s">
        <v>2911</v>
      </c>
      <c r="C2120">
        <v>78</v>
      </c>
      <c r="D2120">
        <v>4970834</v>
      </c>
      <c r="E2120">
        <v>14970777642</v>
      </c>
      <c r="F2120">
        <v>2937</v>
      </c>
      <c r="G2120">
        <v>3025</v>
      </c>
      <c r="H2120">
        <v>3025</v>
      </c>
      <c r="I2120">
        <v>88</v>
      </c>
      <c r="J2120">
        <v>3</v>
      </c>
      <c r="K2120">
        <v>3012</v>
      </c>
      <c r="L2120">
        <v>75</v>
      </c>
      <c r="M2120">
        <v>2.5499999999999998</v>
      </c>
      <c r="N2120">
        <v>2960</v>
      </c>
      <c r="O2120">
        <v>3025</v>
      </c>
      <c r="P2120">
        <v>167</v>
      </c>
      <c r="Q2120">
        <v>18.04</v>
      </c>
      <c r="R2120">
        <v>1</v>
      </c>
      <c r="S2120">
        <v>15740</v>
      </c>
      <c r="T2120">
        <v>3025</v>
      </c>
      <c r="U2120">
        <v>0</v>
      </c>
      <c r="V2120">
        <v>0</v>
      </c>
      <c r="W2120">
        <v>0</v>
      </c>
      <c r="X2120" s="367"/>
    </row>
    <row r="2121" spans="1:24">
      <c r="A2121" t="s">
        <v>2944</v>
      </c>
      <c r="B2121" t="s">
        <v>2943</v>
      </c>
      <c r="C2121">
        <v>1131</v>
      </c>
      <c r="D2121">
        <v>83993221</v>
      </c>
      <c r="E2121">
        <v>834892616740</v>
      </c>
      <c r="F2121">
        <v>9660</v>
      </c>
      <c r="G2121">
        <v>9940</v>
      </c>
      <c r="H2121">
        <v>9940</v>
      </c>
      <c r="I2121">
        <v>280</v>
      </c>
      <c r="J2121">
        <v>2.9</v>
      </c>
      <c r="K2121">
        <v>9940</v>
      </c>
      <c r="L2121">
        <v>280</v>
      </c>
      <c r="M2121">
        <v>2.9</v>
      </c>
      <c r="N2121">
        <v>9940</v>
      </c>
      <c r="O2121">
        <v>9940</v>
      </c>
      <c r="P2121">
        <v>813</v>
      </c>
      <c r="Q2121">
        <v>12.23</v>
      </c>
      <c r="R2121">
        <v>149</v>
      </c>
      <c r="S2121">
        <v>23049113</v>
      </c>
      <c r="T2121">
        <v>9940</v>
      </c>
      <c r="U2121">
        <v>0</v>
      </c>
      <c r="V2121">
        <v>0</v>
      </c>
      <c r="W2121">
        <v>0</v>
      </c>
      <c r="X2121" s="367"/>
    </row>
    <row r="2122" spans="1:24">
      <c r="A2122" t="s">
        <v>4966</v>
      </c>
      <c r="B2122" t="s">
        <v>4967</v>
      </c>
      <c r="C2122">
        <v>0</v>
      </c>
      <c r="D2122">
        <v>0</v>
      </c>
      <c r="E2122">
        <v>0</v>
      </c>
      <c r="F2122">
        <v>862100</v>
      </c>
      <c r="G2122">
        <v>0</v>
      </c>
      <c r="H2122">
        <v>862100</v>
      </c>
      <c r="I2122">
        <v>0</v>
      </c>
      <c r="J2122">
        <v>0</v>
      </c>
      <c r="K2122">
        <v>862100</v>
      </c>
      <c r="L2122">
        <v>0</v>
      </c>
      <c r="M2122">
        <v>0</v>
      </c>
      <c r="N2122">
        <v>0</v>
      </c>
      <c r="O2122">
        <v>0</v>
      </c>
      <c r="P2122" t="s">
        <v>192</v>
      </c>
      <c r="Q2122" t="s">
        <v>192</v>
      </c>
      <c r="R2122">
        <v>1</v>
      </c>
      <c r="S2122">
        <v>25000</v>
      </c>
      <c r="T2122">
        <v>868000</v>
      </c>
      <c r="U2122">
        <v>876000</v>
      </c>
      <c r="V2122">
        <v>25000</v>
      </c>
      <c r="W2122">
        <v>1</v>
      </c>
      <c r="X2122" s="367"/>
    </row>
    <row r="2123" spans="1:24">
      <c r="A2123" t="s">
        <v>3683</v>
      </c>
      <c r="B2123" t="s">
        <v>3684</v>
      </c>
      <c r="C2123">
        <v>49</v>
      </c>
      <c r="D2123">
        <v>13854</v>
      </c>
      <c r="E2123">
        <v>13934098000</v>
      </c>
      <c r="F2123">
        <v>884</v>
      </c>
      <c r="G2123">
        <v>960</v>
      </c>
      <c r="H2123">
        <v>960</v>
      </c>
      <c r="I2123">
        <v>76</v>
      </c>
      <c r="J2123">
        <v>8.6</v>
      </c>
      <c r="K2123">
        <v>1006</v>
      </c>
      <c r="L2123">
        <v>122</v>
      </c>
      <c r="M2123">
        <v>13.8</v>
      </c>
      <c r="N2123">
        <v>960</v>
      </c>
      <c r="O2123">
        <v>1059</v>
      </c>
      <c r="P2123" t="s">
        <v>192</v>
      </c>
      <c r="Q2123" t="s">
        <v>192</v>
      </c>
      <c r="R2123">
        <v>2</v>
      </c>
      <c r="S2123">
        <v>1030</v>
      </c>
      <c r="T2123">
        <v>950</v>
      </c>
      <c r="U2123">
        <v>1000</v>
      </c>
      <c r="V2123">
        <v>12</v>
      </c>
      <c r="W2123">
        <v>1</v>
      </c>
      <c r="X2123" s="367"/>
    </row>
    <row r="2124" spans="1:24">
      <c r="A2124" t="s">
        <v>1880</v>
      </c>
      <c r="B2124" t="s">
        <v>1879</v>
      </c>
      <c r="C2124">
        <v>76</v>
      </c>
      <c r="D2124">
        <v>1886624</v>
      </c>
      <c r="E2124">
        <v>36147715840</v>
      </c>
      <c r="F2124">
        <v>18610</v>
      </c>
      <c r="G2124">
        <v>19160</v>
      </c>
      <c r="H2124">
        <v>19160</v>
      </c>
      <c r="I2124">
        <v>550</v>
      </c>
      <c r="J2124">
        <v>2.96</v>
      </c>
      <c r="K2124">
        <v>19160</v>
      </c>
      <c r="L2124">
        <v>550</v>
      </c>
      <c r="M2124">
        <v>2.96</v>
      </c>
      <c r="N2124">
        <v>19160</v>
      </c>
      <c r="O2124">
        <v>19160</v>
      </c>
      <c r="P2124">
        <v>1468</v>
      </c>
      <c r="Q2124">
        <v>13.05</v>
      </c>
      <c r="R2124">
        <v>47</v>
      </c>
      <c r="S2124">
        <v>2609802</v>
      </c>
      <c r="T2124">
        <v>19160</v>
      </c>
      <c r="U2124">
        <v>0</v>
      </c>
      <c r="V2124">
        <v>0</v>
      </c>
      <c r="W2124">
        <v>0</v>
      </c>
      <c r="X2124" s="367"/>
    </row>
    <row r="2125" spans="1:24">
      <c r="A2125" t="s">
        <v>4916</v>
      </c>
      <c r="B2125" t="s">
        <v>4917</v>
      </c>
      <c r="C2125">
        <v>855</v>
      </c>
      <c r="D2125">
        <v>173203038</v>
      </c>
      <c r="E2125">
        <v>3887657846750</v>
      </c>
      <c r="F2125">
        <v>22405</v>
      </c>
      <c r="G2125">
        <v>22446</v>
      </c>
      <c r="H2125">
        <v>22448</v>
      </c>
      <c r="I2125">
        <v>43</v>
      </c>
      <c r="J2125">
        <v>0.19</v>
      </c>
      <c r="K2125">
        <v>22446</v>
      </c>
      <c r="L2125">
        <v>41</v>
      </c>
      <c r="M2125">
        <v>0.18</v>
      </c>
      <c r="N2125">
        <v>22445</v>
      </c>
      <c r="O2125">
        <v>22450</v>
      </c>
      <c r="P2125" t="s">
        <v>192</v>
      </c>
      <c r="Q2125" t="s">
        <v>192</v>
      </c>
      <c r="R2125">
        <v>2</v>
      </c>
      <c r="S2125">
        <v>524068</v>
      </c>
      <c r="T2125">
        <v>22448</v>
      </c>
      <c r="U2125">
        <v>22451</v>
      </c>
      <c r="V2125">
        <v>50000</v>
      </c>
      <c r="W2125">
        <v>1</v>
      </c>
      <c r="X2125" s="367"/>
    </row>
    <row r="2126" spans="1:24">
      <c r="A2126" t="s">
        <v>8666</v>
      </c>
      <c r="B2126" t="s">
        <v>5526</v>
      </c>
      <c r="C2126">
        <v>1</v>
      </c>
      <c r="D2126">
        <v>5000000</v>
      </c>
      <c r="E2126">
        <v>5000000</v>
      </c>
      <c r="F2126">
        <v>41356</v>
      </c>
      <c r="G2126">
        <v>1</v>
      </c>
      <c r="H2126">
        <v>1</v>
      </c>
      <c r="I2126">
        <v>-41355</v>
      </c>
      <c r="J2126">
        <v>-100</v>
      </c>
      <c r="K2126">
        <v>1</v>
      </c>
      <c r="L2126">
        <v>-41355</v>
      </c>
      <c r="M2126">
        <v>-100</v>
      </c>
      <c r="N2126">
        <v>1</v>
      </c>
      <c r="O2126">
        <v>1</v>
      </c>
      <c r="P2126" t="s">
        <v>192</v>
      </c>
      <c r="Q2126" t="s">
        <v>192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 s="367"/>
    </row>
    <row r="2127" spans="1:24">
      <c r="A2127" t="s">
        <v>6769</v>
      </c>
      <c r="B2127" t="s">
        <v>6770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1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0</v>
      </c>
      <c r="O2127">
        <v>0</v>
      </c>
      <c r="P2127" t="s">
        <v>192</v>
      </c>
      <c r="Q2127" t="s">
        <v>192</v>
      </c>
      <c r="R2127">
        <v>1</v>
      </c>
      <c r="S2127">
        <v>99</v>
      </c>
      <c r="T2127">
        <v>25</v>
      </c>
      <c r="U2127">
        <v>666</v>
      </c>
      <c r="V2127">
        <v>999</v>
      </c>
      <c r="W2127">
        <v>1</v>
      </c>
      <c r="X2127" s="367"/>
    </row>
    <row r="2128" spans="1:24">
      <c r="A2128" t="s">
        <v>5092</v>
      </c>
      <c r="B2128" t="s">
        <v>5093</v>
      </c>
      <c r="C2128">
        <v>0</v>
      </c>
      <c r="D2128">
        <v>0</v>
      </c>
      <c r="E2128">
        <v>0</v>
      </c>
      <c r="F2128">
        <v>1000000</v>
      </c>
      <c r="G2128">
        <v>0</v>
      </c>
      <c r="H2128">
        <v>1000000</v>
      </c>
      <c r="I2128">
        <v>0</v>
      </c>
      <c r="J2128">
        <v>0</v>
      </c>
      <c r="K2128">
        <v>1000000</v>
      </c>
      <c r="L2128">
        <v>0</v>
      </c>
      <c r="M2128">
        <v>0</v>
      </c>
      <c r="N2128">
        <v>0</v>
      </c>
      <c r="O2128">
        <v>0</v>
      </c>
      <c r="P2128" t="s">
        <v>192</v>
      </c>
      <c r="Q2128" t="s">
        <v>192</v>
      </c>
      <c r="R2128">
        <v>1</v>
      </c>
      <c r="S2128">
        <v>5000</v>
      </c>
      <c r="T2128">
        <v>1000000</v>
      </c>
      <c r="U2128">
        <v>0</v>
      </c>
      <c r="V2128">
        <v>0</v>
      </c>
      <c r="W2128">
        <v>0</v>
      </c>
      <c r="X2128" s="367"/>
    </row>
    <row r="2129" spans="1:24">
      <c r="A2129" t="s">
        <v>5016</v>
      </c>
      <c r="B2129" t="s">
        <v>5017</v>
      </c>
      <c r="C2129">
        <v>0</v>
      </c>
      <c r="D2129">
        <v>0</v>
      </c>
      <c r="E2129">
        <v>0</v>
      </c>
      <c r="F2129">
        <v>919600</v>
      </c>
      <c r="G2129">
        <v>0</v>
      </c>
      <c r="H2129">
        <v>919600</v>
      </c>
      <c r="I2129">
        <v>0</v>
      </c>
      <c r="J2129">
        <v>0</v>
      </c>
      <c r="K2129">
        <v>919600</v>
      </c>
      <c r="L2129">
        <v>0</v>
      </c>
      <c r="M2129">
        <v>0</v>
      </c>
      <c r="N2129">
        <v>0</v>
      </c>
      <c r="O2129">
        <v>0</v>
      </c>
      <c r="P2129" t="s">
        <v>192</v>
      </c>
      <c r="Q2129" t="s">
        <v>192</v>
      </c>
      <c r="R2129">
        <v>1</v>
      </c>
      <c r="S2129">
        <v>5000</v>
      </c>
      <c r="T2129">
        <v>900000</v>
      </c>
      <c r="U2129">
        <v>0</v>
      </c>
      <c r="V2129">
        <v>0</v>
      </c>
      <c r="W2129">
        <v>0</v>
      </c>
      <c r="X2129" s="367"/>
    </row>
    <row r="2130" spans="1:24">
      <c r="A2130" t="s">
        <v>1731</v>
      </c>
      <c r="B2130" t="s">
        <v>1730</v>
      </c>
      <c r="C2130">
        <v>439</v>
      </c>
      <c r="D2130">
        <v>8475455</v>
      </c>
      <c r="E2130">
        <v>1142406579450</v>
      </c>
      <c r="F2130">
        <v>130865</v>
      </c>
      <c r="G2130">
        <v>134790</v>
      </c>
      <c r="H2130">
        <v>134790</v>
      </c>
      <c r="I2130">
        <v>3925</v>
      </c>
      <c r="J2130">
        <v>3</v>
      </c>
      <c r="K2130">
        <v>134790</v>
      </c>
      <c r="L2130">
        <v>3925</v>
      </c>
      <c r="M2130">
        <v>3</v>
      </c>
      <c r="N2130">
        <v>134790</v>
      </c>
      <c r="O2130">
        <v>134790</v>
      </c>
      <c r="P2130">
        <v>93</v>
      </c>
      <c r="Q2130">
        <v>1449.35</v>
      </c>
      <c r="R2130">
        <v>2237</v>
      </c>
      <c r="S2130">
        <v>19361980</v>
      </c>
      <c r="T2130">
        <v>134790</v>
      </c>
      <c r="U2130">
        <v>0</v>
      </c>
      <c r="V2130">
        <v>0</v>
      </c>
      <c r="W2130">
        <v>0</v>
      </c>
      <c r="X2130" s="367"/>
    </row>
    <row r="2131" spans="1:24">
      <c r="A2131" t="s">
        <v>4974</v>
      </c>
      <c r="B2131" t="s">
        <v>4975</v>
      </c>
      <c r="C2131">
        <v>2658</v>
      </c>
      <c r="D2131">
        <v>100484926</v>
      </c>
      <c r="E2131">
        <v>532268694800</v>
      </c>
      <c r="F2131">
        <v>5150</v>
      </c>
      <c r="G2131">
        <v>5300</v>
      </c>
      <c r="H2131">
        <v>5300</v>
      </c>
      <c r="I2131">
        <v>150</v>
      </c>
      <c r="J2131">
        <v>2.91</v>
      </c>
      <c r="K2131">
        <v>5300</v>
      </c>
      <c r="L2131">
        <v>150</v>
      </c>
      <c r="M2131">
        <v>2.91</v>
      </c>
      <c r="N2131">
        <v>5260</v>
      </c>
      <c r="O2131">
        <v>5300</v>
      </c>
      <c r="P2131">
        <v>777</v>
      </c>
      <c r="Q2131">
        <v>6.82</v>
      </c>
      <c r="R2131">
        <v>6</v>
      </c>
      <c r="S2131">
        <v>21912</v>
      </c>
      <c r="T2131">
        <v>5290</v>
      </c>
      <c r="U2131">
        <v>5300</v>
      </c>
      <c r="V2131">
        <v>485</v>
      </c>
      <c r="W2131">
        <v>1</v>
      </c>
      <c r="X2131" s="367"/>
    </row>
    <row r="2132" spans="1:24">
      <c r="A2132" t="s">
        <v>7039</v>
      </c>
      <c r="B2132" t="s">
        <v>7040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0</v>
      </c>
      <c r="P2132" t="s">
        <v>192</v>
      </c>
      <c r="Q2132" t="s">
        <v>192</v>
      </c>
      <c r="R2132">
        <v>1</v>
      </c>
      <c r="S2132">
        <v>100</v>
      </c>
      <c r="T2132">
        <v>1</v>
      </c>
      <c r="U2132">
        <v>0</v>
      </c>
      <c r="V2132">
        <v>0</v>
      </c>
      <c r="W2132">
        <v>0</v>
      </c>
      <c r="X2132" s="367"/>
    </row>
    <row r="2133" spans="1:24">
      <c r="A2133" t="s">
        <v>4933</v>
      </c>
      <c r="B2133" t="s">
        <v>4733</v>
      </c>
      <c r="C2133">
        <v>2219</v>
      </c>
      <c r="D2133">
        <v>684647</v>
      </c>
      <c r="E2133">
        <v>596226492095</v>
      </c>
      <c r="F2133">
        <v>875051</v>
      </c>
      <c r="G2133">
        <v>873694</v>
      </c>
      <c r="H2133">
        <v>870900</v>
      </c>
      <c r="I2133">
        <v>-4151</v>
      </c>
      <c r="J2133">
        <v>-0.47</v>
      </c>
      <c r="K2133">
        <v>870852</v>
      </c>
      <c r="L2133">
        <v>-4199</v>
      </c>
      <c r="M2133">
        <v>-0.48</v>
      </c>
      <c r="N2133">
        <v>868210</v>
      </c>
      <c r="O2133">
        <v>875000</v>
      </c>
      <c r="P2133" t="s">
        <v>192</v>
      </c>
      <c r="Q2133" t="s">
        <v>192</v>
      </c>
      <c r="R2133">
        <v>1</v>
      </c>
      <c r="S2133">
        <v>12</v>
      </c>
      <c r="T2133">
        <v>870885</v>
      </c>
      <c r="U2133">
        <v>870900</v>
      </c>
      <c r="V2133">
        <v>1782</v>
      </c>
      <c r="W2133">
        <v>2</v>
      </c>
      <c r="X2133" s="367"/>
    </row>
    <row r="2134" spans="1:24">
      <c r="A2134" t="s">
        <v>5124</v>
      </c>
      <c r="B2134" t="s">
        <v>5075</v>
      </c>
      <c r="C2134">
        <v>1646</v>
      </c>
      <c r="D2134">
        <v>189747355</v>
      </c>
      <c r="E2134">
        <v>3549260915790</v>
      </c>
      <c r="F2134">
        <v>18683</v>
      </c>
      <c r="G2134">
        <v>18705</v>
      </c>
      <c r="H2134">
        <v>18706</v>
      </c>
      <c r="I2134">
        <v>23</v>
      </c>
      <c r="J2134">
        <v>0.12</v>
      </c>
      <c r="K2134">
        <v>18705</v>
      </c>
      <c r="L2134">
        <v>22</v>
      </c>
      <c r="M2134">
        <v>0.12</v>
      </c>
      <c r="N2134">
        <v>18705</v>
      </c>
      <c r="O2134">
        <v>18706</v>
      </c>
      <c r="P2134" t="s">
        <v>192</v>
      </c>
      <c r="Q2134" t="s">
        <v>192</v>
      </c>
      <c r="R2134">
        <v>16</v>
      </c>
      <c r="S2134">
        <v>700076644</v>
      </c>
      <c r="T2134">
        <v>18705</v>
      </c>
      <c r="U2134">
        <v>18706</v>
      </c>
      <c r="V2134">
        <v>59514746</v>
      </c>
      <c r="W2134">
        <v>2</v>
      </c>
      <c r="X2134" s="367"/>
    </row>
    <row r="2135" spans="1:24">
      <c r="A2135" t="s">
        <v>4310</v>
      </c>
      <c r="B2135" t="s">
        <v>4311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0</v>
      </c>
      <c r="O2135">
        <v>0</v>
      </c>
      <c r="P2135" t="s">
        <v>192</v>
      </c>
      <c r="Q2135" t="s">
        <v>192</v>
      </c>
      <c r="R2135">
        <v>1</v>
      </c>
      <c r="S2135">
        <v>100</v>
      </c>
      <c r="T2135">
        <v>1</v>
      </c>
      <c r="U2135">
        <v>0</v>
      </c>
      <c r="V2135">
        <v>0</v>
      </c>
      <c r="W2135">
        <v>0</v>
      </c>
      <c r="X2135" s="367"/>
    </row>
    <row r="2136" spans="1:24">
      <c r="A2136" t="s">
        <v>2098</v>
      </c>
      <c r="B2136" t="s">
        <v>2097</v>
      </c>
      <c r="C2136">
        <v>278</v>
      </c>
      <c r="D2136">
        <v>23773761</v>
      </c>
      <c r="E2136">
        <v>28686531705</v>
      </c>
      <c r="F2136">
        <v>1172</v>
      </c>
      <c r="G2136">
        <v>1207</v>
      </c>
      <c r="H2136">
        <v>1207</v>
      </c>
      <c r="I2136">
        <v>35</v>
      </c>
      <c r="J2136">
        <v>2.99</v>
      </c>
      <c r="K2136">
        <v>1207</v>
      </c>
      <c r="L2136">
        <v>35</v>
      </c>
      <c r="M2136">
        <v>2.99</v>
      </c>
      <c r="N2136">
        <v>1193</v>
      </c>
      <c r="O2136">
        <v>1207</v>
      </c>
      <c r="P2136">
        <v>212</v>
      </c>
      <c r="Q2136">
        <v>5.69</v>
      </c>
      <c r="R2136">
        <v>1</v>
      </c>
      <c r="S2136">
        <v>50000</v>
      </c>
      <c r="T2136">
        <v>1207</v>
      </c>
      <c r="U2136">
        <v>0</v>
      </c>
      <c r="V2136">
        <v>0</v>
      </c>
      <c r="W2136">
        <v>0</v>
      </c>
      <c r="X2136" s="367"/>
    </row>
    <row r="2137" spans="1:24">
      <c r="A2137" t="s">
        <v>5061</v>
      </c>
      <c r="B2137" t="s">
        <v>5062</v>
      </c>
      <c r="C2137">
        <v>0</v>
      </c>
      <c r="D2137">
        <v>0</v>
      </c>
      <c r="E2137">
        <v>0</v>
      </c>
      <c r="F2137">
        <v>893860</v>
      </c>
      <c r="G2137">
        <v>0</v>
      </c>
      <c r="H2137">
        <v>893860</v>
      </c>
      <c r="I2137">
        <v>0</v>
      </c>
      <c r="J2137">
        <v>0</v>
      </c>
      <c r="K2137">
        <v>893860</v>
      </c>
      <c r="L2137">
        <v>0</v>
      </c>
      <c r="M2137">
        <v>0</v>
      </c>
      <c r="N2137">
        <v>0</v>
      </c>
      <c r="O2137">
        <v>0</v>
      </c>
      <c r="P2137" t="s">
        <v>192</v>
      </c>
      <c r="Q2137" t="s">
        <v>192</v>
      </c>
      <c r="R2137">
        <v>1</v>
      </c>
      <c r="S2137">
        <v>5000</v>
      </c>
      <c r="T2137">
        <v>893860</v>
      </c>
      <c r="U2137">
        <v>0</v>
      </c>
      <c r="V2137">
        <v>0</v>
      </c>
      <c r="W2137">
        <v>0</v>
      </c>
      <c r="X2137" s="367"/>
    </row>
    <row r="2138" spans="1:24">
      <c r="A2138" t="s">
        <v>6781</v>
      </c>
      <c r="B2138" t="s">
        <v>6782</v>
      </c>
      <c r="C2138">
        <v>5</v>
      </c>
      <c r="D2138">
        <v>2022</v>
      </c>
      <c r="E2138">
        <v>2110000</v>
      </c>
      <c r="F2138">
        <v>7</v>
      </c>
      <c r="G2138">
        <v>1</v>
      </c>
      <c r="H2138">
        <v>5</v>
      </c>
      <c r="I2138">
        <v>-2</v>
      </c>
      <c r="J2138">
        <v>-28.57</v>
      </c>
      <c r="K2138">
        <v>1</v>
      </c>
      <c r="L2138">
        <v>-6</v>
      </c>
      <c r="M2138">
        <v>-85.71</v>
      </c>
      <c r="N2138">
        <v>1</v>
      </c>
      <c r="O2138">
        <v>5</v>
      </c>
      <c r="P2138" t="s">
        <v>192</v>
      </c>
      <c r="Q2138" t="s">
        <v>192</v>
      </c>
      <c r="R2138">
        <v>0</v>
      </c>
      <c r="S2138">
        <v>0</v>
      </c>
      <c r="T2138">
        <v>0</v>
      </c>
      <c r="U2138">
        <v>5</v>
      </c>
      <c r="V2138">
        <v>78</v>
      </c>
      <c r="W2138">
        <v>1</v>
      </c>
      <c r="X2138" s="367"/>
    </row>
    <row r="2139" spans="1:24">
      <c r="A2139" t="s">
        <v>1992</v>
      </c>
      <c r="B2139" t="s">
        <v>1991</v>
      </c>
      <c r="C2139">
        <v>114</v>
      </c>
      <c r="D2139">
        <v>7151813</v>
      </c>
      <c r="E2139">
        <v>12047672533</v>
      </c>
      <c r="F2139">
        <v>1636</v>
      </c>
      <c r="G2139">
        <v>1684</v>
      </c>
      <c r="H2139">
        <v>1685</v>
      </c>
      <c r="I2139">
        <v>49</v>
      </c>
      <c r="J2139">
        <v>3</v>
      </c>
      <c r="K2139">
        <v>1685</v>
      </c>
      <c r="L2139">
        <v>49</v>
      </c>
      <c r="M2139">
        <v>3</v>
      </c>
      <c r="N2139">
        <v>1656</v>
      </c>
      <c r="O2139">
        <v>1685</v>
      </c>
      <c r="P2139">
        <v>35</v>
      </c>
      <c r="Q2139">
        <v>48.14</v>
      </c>
      <c r="R2139">
        <v>5</v>
      </c>
      <c r="S2139">
        <v>3703568</v>
      </c>
      <c r="T2139">
        <v>1685</v>
      </c>
      <c r="U2139">
        <v>0</v>
      </c>
      <c r="V2139">
        <v>0</v>
      </c>
      <c r="W2139">
        <v>0</v>
      </c>
      <c r="X2139" s="367"/>
    </row>
    <row r="2140" spans="1:24">
      <c r="A2140" t="s">
        <v>2190</v>
      </c>
      <c r="B2140" t="s">
        <v>2189</v>
      </c>
      <c r="C2140">
        <v>527</v>
      </c>
      <c r="D2140">
        <v>11041019</v>
      </c>
      <c r="E2140">
        <v>143823775390</v>
      </c>
      <c r="F2140">
        <v>12660</v>
      </c>
      <c r="G2140">
        <v>13030</v>
      </c>
      <c r="H2140">
        <v>13030</v>
      </c>
      <c r="I2140">
        <v>370</v>
      </c>
      <c r="J2140">
        <v>2.92</v>
      </c>
      <c r="K2140">
        <v>13030</v>
      </c>
      <c r="L2140">
        <v>370</v>
      </c>
      <c r="M2140">
        <v>2.92</v>
      </c>
      <c r="N2140">
        <v>12850</v>
      </c>
      <c r="O2140">
        <v>13030</v>
      </c>
      <c r="P2140">
        <v>1808</v>
      </c>
      <c r="Q2140">
        <v>7.21</v>
      </c>
      <c r="R2140">
        <v>24</v>
      </c>
      <c r="S2140">
        <v>1040011</v>
      </c>
      <c r="T2140">
        <v>13030</v>
      </c>
      <c r="U2140">
        <v>13440</v>
      </c>
      <c r="V2140">
        <v>21</v>
      </c>
      <c r="W2140">
        <v>1</v>
      </c>
      <c r="X2140" s="367"/>
    </row>
    <row r="2141" spans="1:24">
      <c r="A2141" t="s">
        <v>2052</v>
      </c>
      <c r="B2141" t="s">
        <v>2051</v>
      </c>
      <c r="C2141">
        <v>367</v>
      </c>
      <c r="D2141">
        <v>11403544</v>
      </c>
      <c r="E2141">
        <v>63094844620</v>
      </c>
      <c r="F2141">
        <v>5380</v>
      </c>
      <c r="G2141">
        <v>5540</v>
      </c>
      <c r="H2141">
        <v>5540</v>
      </c>
      <c r="I2141">
        <v>160</v>
      </c>
      <c r="J2141">
        <v>2.97</v>
      </c>
      <c r="K2141">
        <v>5530</v>
      </c>
      <c r="L2141">
        <v>150</v>
      </c>
      <c r="M2141">
        <v>2.79</v>
      </c>
      <c r="N2141">
        <v>5500</v>
      </c>
      <c r="O2141">
        <v>5540</v>
      </c>
      <c r="P2141">
        <v>758</v>
      </c>
      <c r="Q2141">
        <v>7.3</v>
      </c>
      <c r="R2141">
        <v>2</v>
      </c>
      <c r="S2141">
        <v>116515</v>
      </c>
      <c r="T2141">
        <v>5540</v>
      </c>
      <c r="U2141">
        <v>0</v>
      </c>
      <c r="V2141">
        <v>0</v>
      </c>
      <c r="W2141">
        <v>0</v>
      </c>
      <c r="X2141" s="367"/>
    </row>
    <row r="2142" spans="1:24">
      <c r="A2142" t="s">
        <v>4993</v>
      </c>
      <c r="B2142" t="s">
        <v>4994</v>
      </c>
      <c r="C2142">
        <v>0</v>
      </c>
      <c r="D2142">
        <v>0</v>
      </c>
      <c r="E2142">
        <v>0</v>
      </c>
      <c r="F2142">
        <v>1000000</v>
      </c>
      <c r="G2142">
        <v>0</v>
      </c>
      <c r="H2142">
        <v>1000000</v>
      </c>
      <c r="I2142">
        <v>0</v>
      </c>
      <c r="J2142">
        <v>0</v>
      </c>
      <c r="K2142">
        <v>1000000</v>
      </c>
      <c r="L2142">
        <v>0</v>
      </c>
      <c r="M2142">
        <v>0</v>
      </c>
      <c r="N2142">
        <v>0</v>
      </c>
      <c r="O2142">
        <v>0</v>
      </c>
      <c r="P2142" t="s">
        <v>192</v>
      </c>
      <c r="Q2142" t="s">
        <v>192</v>
      </c>
      <c r="R2142">
        <v>1</v>
      </c>
      <c r="S2142">
        <v>4450</v>
      </c>
      <c r="T2142">
        <v>990000</v>
      </c>
      <c r="U2142">
        <v>1010000</v>
      </c>
      <c r="V2142">
        <v>4445</v>
      </c>
      <c r="W2142">
        <v>1</v>
      </c>
      <c r="X2142" s="367"/>
    </row>
    <row r="2143" spans="1:24">
      <c r="A2143" t="s">
        <v>2480</v>
      </c>
      <c r="B2143" t="s">
        <v>2479</v>
      </c>
      <c r="C2143">
        <v>208</v>
      </c>
      <c r="D2143">
        <v>4538806</v>
      </c>
      <c r="E2143">
        <v>84510927670</v>
      </c>
      <c r="F2143">
        <v>18080</v>
      </c>
      <c r="G2143">
        <v>18620</v>
      </c>
      <c r="H2143">
        <v>18620</v>
      </c>
      <c r="I2143">
        <v>540</v>
      </c>
      <c r="J2143">
        <v>2.99</v>
      </c>
      <c r="K2143">
        <v>18620</v>
      </c>
      <c r="L2143">
        <v>540</v>
      </c>
      <c r="M2143">
        <v>2.99</v>
      </c>
      <c r="N2143">
        <v>18110</v>
      </c>
      <c r="O2143">
        <v>18620</v>
      </c>
      <c r="P2143">
        <v>2774</v>
      </c>
      <c r="Q2143">
        <v>6.71</v>
      </c>
      <c r="R2143">
        <v>36</v>
      </c>
      <c r="S2143">
        <v>1606830</v>
      </c>
      <c r="T2143">
        <v>18620</v>
      </c>
      <c r="U2143">
        <v>0</v>
      </c>
      <c r="V2143">
        <v>0</v>
      </c>
      <c r="W2143">
        <v>0</v>
      </c>
      <c r="X2143" s="367"/>
    </row>
    <row r="2144" spans="1:24">
      <c r="A2144" t="s">
        <v>7990</v>
      </c>
      <c r="B2144" t="s">
        <v>7991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1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 t="s">
        <v>192</v>
      </c>
      <c r="Q2144" t="s">
        <v>192</v>
      </c>
      <c r="R2144">
        <v>1</v>
      </c>
      <c r="S2144">
        <v>100</v>
      </c>
      <c r="T2144">
        <v>1</v>
      </c>
      <c r="U2144">
        <v>0</v>
      </c>
      <c r="V2144">
        <v>0</v>
      </c>
      <c r="W2144">
        <v>0</v>
      </c>
      <c r="X2144" s="367"/>
    </row>
    <row r="2145" spans="1:24">
      <c r="A2145" t="s">
        <v>6789</v>
      </c>
      <c r="B2145" t="s">
        <v>6790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1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0</v>
      </c>
      <c r="P2145" t="s">
        <v>192</v>
      </c>
      <c r="Q2145" t="s">
        <v>192</v>
      </c>
      <c r="R2145">
        <v>0</v>
      </c>
      <c r="S2145">
        <v>0</v>
      </c>
      <c r="T2145">
        <v>0</v>
      </c>
      <c r="U2145">
        <v>2</v>
      </c>
      <c r="V2145">
        <v>1100</v>
      </c>
      <c r="W2145">
        <v>2</v>
      </c>
      <c r="X2145" s="367"/>
    </row>
    <row r="2146" spans="1:24">
      <c r="A2146" t="s">
        <v>1985</v>
      </c>
      <c r="B2146" t="s">
        <v>1984</v>
      </c>
      <c r="C2146">
        <v>108</v>
      </c>
      <c r="D2146">
        <v>1532074</v>
      </c>
      <c r="E2146">
        <v>19424323700</v>
      </c>
      <c r="F2146">
        <v>12320</v>
      </c>
      <c r="G2146">
        <v>12680</v>
      </c>
      <c r="H2146">
        <v>12680</v>
      </c>
      <c r="I2146">
        <v>360</v>
      </c>
      <c r="J2146">
        <v>2.92</v>
      </c>
      <c r="K2146">
        <v>12680</v>
      </c>
      <c r="L2146">
        <v>360</v>
      </c>
      <c r="M2146">
        <v>2.92</v>
      </c>
      <c r="N2146">
        <v>12600</v>
      </c>
      <c r="O2146">
        <v>12680</v>
      </c>
      <c r="P2146">
        <v>378</v>
      </c>
      <c r="Q2146">
        <v>33.54</v>
      </c>
      <c r="R2146">
        <v>16</v>
      </c>
      <c r="S2146">
        <v>495049</v>
      </c>
      <c r="T2146">
        <v>12680</v>
      </c>
      <c r="U2146">
        <v>0</v>
      </c>
      <c r="V2146">
        <v>0</v>
      </c>
      <c r="W2146">
        <v>0</v>
      </c>
      <c r="X2146" s="367"/>
    </row>
    <row r="2147" spans="1:24">
      <c r="A2147" t="s">
        <v>6977</v>
      </c>
      <c r="B2147" t="s">
        <v>6978</v>
      </c>
      <c r="C2147">
        <v>1</v>
      </c>
      <c r="D2147">
        <v>100</v>
      </c>
      <c r="E2147">
        <v>1000000</v>
      </c>
      <c r="F2147">
        <v>1</v>
      </c>
      <c r="G2147">
        <v>10</v>
      </c>
      <c r="H2147">
        <v>10</v>
      </c>
      <c r="I2147">
        <v>9</v>
      </c>
      <c r="J2147">
        <v>900</v>
      </c>
      <c r="K2147">
        <v>10</v>
      </c>
      <c r="L2147">
        <v>9</v>
      </c>
      <c r="M2147">
        <v>900</v>
      </c>
      <c r="N2147">
        <v>10</v>
      </c>
      <c r="O2147">
        <v>10</v>
      </c>
      <c r="P2147" t="s">
        <v>192</v>
      </c>
      <c r="Q2147" t="s">
        <v>192</v>
      </c>
      <c r="R2147">
        <v>1</v>
      </c>
      <c r="S2147">
        <v>500</v>
      </c>
      <c r="T2147">
        <v>10</v>
      </c>
      <c r="U2147">
        <v>0</v>
      </c>
      <c r="V2147">
        <v>0</v>
      </c>
      <c r="W2147">
        <v>0</v>
      </c>
      <c r="X2147" s="367"/>
    </row>
    <row r="2148" spans="1:24">
      <c r="A2148" t="s">
        <v>1835</v>
      </c>
      <c r="B2148" t="s">
        <v>1834</v>
      </c>
      <c r="C2148">
        <v>139</v>
      </c>
      <c r="D2148">
        <v>4317899</v>
      </c>
      <c r="E2148">
        <v>27414761110</v>
      </c>
      <c r="F2148">
        <v>6190</v>
      </c>
      <c r="G2148">
        <v>6190</v>
      </c>
      <c r="H2148">
        <v>6300</v>
      </c>
      <c r="I2148">
        <v>110</v>
      </c>
      <c r="J2148">
        <v>1.78</v>
      </c>
      <c r="K2148">
        <v>6350</v>
      </c>
      <c r="L2148">
        <v>160</v>
      </c>
      <c r="M2148">
        <v>2.58</v>
      </c>
      <c r="N2148">
        <v>6190</v>
      </c>
      <c r="O2148">
        <v>6370</v>
      </c>
      <c r="P2148">
        <v>-53</v>
      </c>
      <c r="Q2148">
        <v>-119.81</v>
      </c>
      <c r="R2148">
        <v>1</v>
      </c>
      <c r="S2148">
        <v>30000</v>
      </c>
      <c r="T2148">
        <v>6290</v>
      </c>
      <c r="U2148">
        <v>6360</v>
      </c>
      <c r="V2148">
        <v>1587</v>
      </c>
      <c r="W2148">
        <v>1</v>
      </c>
      <c r="X2148" s="367"/>
    </row>
    <row r="2149" spans="1:24">
      <c r="A2149" t="s">
        <v>8847</v>
      </c>
      <c r="B2149" t="s">
        <v>1781</v>
      </c>
      <c r="C2149">
        <v>2</v>
      </c>
      <c r="D2149">
        <v>1443</v>
      </c>
      <c r="E2149">
        <v>34199100</v>
      </c>
      <c r="F2149">
        <v>23040</v>
      </c>
      <c r="G2149">
        <v>23700</v>
      </c>
      <c r="H2149">
        <v>23700</v>
      </c>
      <c r="I2149">
        <v>660</v>
      </c>
      <c r="J2149">
        <v>2.86</v>
      </c>
      <c r="K2149">
        <v>23700</v>
      </c>
      <c r="L2149">
        <v>660</v>
      </c>
      <c r="M2149">
        <v>2.86</v>
      </c>
      <c r="N2149">
        <v>23700</v>
      </c>
      <c r="O2149">
        <v>23700</v>
      </c>
      <c r="P2149">
        <v>309</v>
      </c>
      <c r="Q2149">
        <v>76.7</v>
      </c>
      <c r="R2149">
        <v>1</v>
      </c>
      <c r="S2149">
        <v>14357</v>
      </c>
      <c r="T2149">
        <v>23700</v>
      </c>
      <c r="U2149">
        <v>0</v>
      </c>
      <c r="V2149">
        <v>0</v>
      </c>
      <c r="W2149">
        <v>0</v>
      </c>
      <c r="X2149" s="367"/>
    </row>
    <row r="2150" spans="1:24">
      <c r="A2150" t="s">
        <v>4902</v>
      </c>
      <c r="B2150" t="s">
        <v>4903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0</v>
      </c>
      <c r="P2150" t="s">
        <v>192</v>
      </c>
      <c r="Q2150" t="s">
        <v>192</v>
      </c>
      <c r="R2150">
        <v>1</v>
      </c>
      <c r="S2150">
        <v>44</v>
      </c>
      <c r="T2150">
        <v>44</v>
      </c>
      <c r="U2150">
        <v>0</v>
      </c>
      <c r="V2150">
        <v>0</v>
      </c>
      <c r="W2150">
        <v>0</v>
      </c>
      <c r="X2150" s="367"/>
    </row>
    <row r="2151" spans="1:24">
      <c r="A2151" t="s">
        <v>4934</v>
      </c>
      <c r="B2151" t="s">
        <v>4935</v>
      </c>
      <c r="C2151">
        <v>0</v>
      </c>
      <c r="D2151">
        <v>0</v>
      </c>
      <c r="E2151">
        <v>0</v>
      </c>
      <c r="F2151">
        <v>791700</v>
      </c>
      <c r="G2151">
        <v>0</v>
      </c>
      <c r="H2151">
        <v>791700</v>
      </c>
      <c r="I2151">
        <v>0</v>
      </c>
      <c r="J2151">
        <v>0</v>
      </c>
      <c r="K2151">
        <v>791700</v>
      </c>
      <c r="L2151">
        <v>0</v>
      </c>
      <c r="M2151">
        <v>0</v>
      </c>
      <c r="N2151">
        <v>0</v>
      </c>
      <c r="O2151">
        <v>0</v>
      </c>
      <c r="P2151" t="s">
        <v>192</v>
      </c>
      <c r="Q2151" t="s">
        <v>192</v>
      </c>
      <c r="R2151">
        <v>1</v>
      </c>
      <c r="S2151">
        <v>10000</v>
      </c>
      <c r="T2151">
        <v>783954</v>
      </c>
      <c r="U2151">
        <v>791700</v>
      </c>
      <c r="V2151">
        <v>10000</v>
      </c>
      <c r="W2151">
        <v>1</v>
      </c>
      <c r="X2151" s="367"/>
    </row>
    <row r="2152" spans="1:24">
      <c r="A2152" t="s">
        <v>4976</v>
      </c>
      <c r="B2152" t="s">
        <v>4977</v>
      </c>
      <c r="C2152">
        <v>0</v>
      </c>
      <c r="D2152">
        <v>0</v>
      </c>
      <c r="E2152">
        <v>0</v>
      </c>
      <c r="F2152">
        <v>1000000</v>
      </c>
      <c r="G2152">
        <v>0</v>
      </c>
      <c r="H2152">
        <v>1000000</v>
      </c>
      <c r="I2152">
        <v>0</v>
      </c>
      <c r="J2152">
        <v>0</v>
      </c>
      <c r="K2152">
        <v>1000000</v>
      </c>
      <c r="L2152">
        <v>0</v>
      </c>
      <c r="M2152">
        <v>0</v>
      </c>
      <c r="N2152">
        <v>0</v>
      </c>
      <c r="O2152">
        <v>0</v>
      </c>
      <c r="P2152" t="s">
        <v>192</v>
      </c>
      <c r="Q2152" t="s">
        <v>192</v>
      </c>
      <c r="R2152">
        <v>1</v>
      </c>
      <c r="S2152">
        <v>5000</v>
      </c>
      <c r="T2152">
        <v>1000000</v>
      </c>
      <c r="U2152">
        <v>0</v>
      </c>
      <c r="V2152">
        <v>0</v>
      </c>
      <c r="W2152">
        <v>0</v>
      </c>
      <c r="X2152" s="367"/>
    </row>
    <row r="2153" spans="1:24">
      <c r="A2153" t="s">
        <v>137</v>
      </c>
      <c r="B2153" t="s">
        <v>136</v>
      </c>
      <c r="C2153">
        <v>738</v>
      </c>
      <c r="D2153">
        <v>118930997</v>
      </c>
      <c r="E2153">
        <v>285077599809</v>
      </c>
      <c r="F2153">
        <v>2328</v>
      </c>
      <c r="G2153">
        <v>2397</v>
      </c>
      <c r="H2153">
        <v>2397</v>
      </c>
      <c r="I2153">
        <v>69</v>
      </c>
      <c r="J2153">
        <v>2.96</v>
      </c>
      <c r="K2153">
        <v>2397</v>
      </c>
      <c r="L2153">
        <v>69</v>
      </c>
      <c r="M2153">
        <v>2.96</v>
      </c>
      <c r="N2153">
        <v>2397</v>
      </c>
      <c r="O2153">
        <v>2397</v>
      </c>
      <c r="P2153">
        <v>288</v>
      </c>
      <c r="Q2153">
        <v>8.32</v>
      </c>
      <c r="R2153">
        <v>275</v>
      </c>
      <c r="S2153">
        <v>61843506</v>
      </c>
      <c r="T2153">
        <v>2397</v>
      </c>
      <c r="U2153">
        <v>2403</v>
      </c>
      <c r="V2153">
        <v>2100</v>
      </c>
      <c r="W2153">
        <v>1</v>
      </c>
      <c r="X2153" s="367"/>
    </row>
    <row r="2154" spans="1:24">
      <c r="A2154" t="s">
        <v>2445</v>
      </c>
      <c r="B2154" t="s">
        <v>2444</v>
      </c>
      <c r="C2154">
        <v>3136</v>
      </c>
      <c r="D2154">
        <v>270927943</v>
      </c>
      <c r="E2154">
        <v>469299351515</v>
      </c>
      <c r="F2154">
        <v>1714</v>
      </c>
      <c r="G2154">
        <v>1747</v>
      </c>
      <c r="H2154">
        <v>1747</v>
      </c>
      <c r="I2154">
        <v>33</v>
      </c>
      <c r="J2154">
        <v>1.93</v>
      </c>
      <c r="K2154">
        <v>1732</v>
      </c>
      <c r="L2154">
        <v>18</v>
      </c>
      <c r="M2154">
        <v>1.05</v>
      </c>
      <c r="N2154">
        <v>1703</v>
      </c>
      <c r="O2154">
        <v>1760</v>
      </c>
      <c r="P2154">
        <v>275</v>
      </c>
      <c r="Q2154">
        <v>6.3</v>
      </c>
      <c r="R2154">
        <v>2</v>
      </c>
      <c r="S2154">
        <v>1254749</v>
      </c>
      <c r="T2154">
        <v>1747</v>
      </c>
      <c r="U2154">
        <v>1748</v>
      </c>
      <c r="V2154">
        <v>224715</v>
      </c>
      <c r="W2154">
        <v>1</v>
      </c>
      <c r="X2154" s="367"/>
    </row>
    <row r="2155" spans="1:24">
      <c r="A2155" t="s">
        <v>2336</v>
      </c>
      <c r="B2155" t="s">
        <v>124</v>
      </c>
      <c r="C2155">
        <v>8</v>
      </c>
      <c r="D2155">
        <v>48958</v>
      </c>
      <c r="E2155">
        <v>200727800</v>
      </c>
      <c r="F2155">
        <v>3990</v>
      </c>
      <c r="G2155">
        <v>4100</v>
      </c>
      <c r="H2155">
        <v>4100</v>
      </c>
      <c r="I2155">
        <v>110</v>
      </c>
      <c r="J2155">
        <v>2.76</v>
      </c>
      <c r="K2155">
        <v>4100</v>
      </c>
      <c r="L2155">
        <v>110</v>
      </c>
      <c r="M2155">
        <v>2.76</v>
      </c>
      <c r="N2155">
        <v>4100</v>
      </c>
      <c r="O2155">
        <v>4100</v>
      </c>
      <c r="P2155">
        <v>813</v>
      </c>
      <c r="Q2155">
        <v>5.04</v>
      </c>
      <c r="R2155">
        <v>27</v>
      </c>
      <c r="S2155">
        <v>3847237</v>
      </c>
      <c r="T2155">
        <v>4100</v>
      </c>
      <c r="U2155">
        <v>0</v>
      </c>
      <c r="V2155">
        <v>0</v>
      </c>
      <c r="W2155">
        <v>0</v>
      </c>
      <c r="X2155" s="367"/>
    </row>
    <row r="2156" spans="1:24">
      <c r="A2156" t="s">
        <v>6745</v>
      </c>
      <c r="B2156" t="s">
        <v>6746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1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  <c r="P2156" t="s">
        <v>192</v>
      </c>
      <c r="Q2156" t="s">
        <v>192</v>
      </c>
      <c r="R2156">
        <v>1</v>
      </c>
      <c r="S2156">
        <v>111</v>
      </c>
      <c r="T2156">
        <v>11</v>
      </c>
      <c r="U2156">
        <v>555</v>
      </c>
      <c r="V2156">
        <v>1000</v>
      </c>
      <c r="W2156">
        <v>1</v>
      </c>
      <c r="X2156" s="367"/>
    </row>
    <row r="2157" spans="1:24">
      <c r="A2157" t="s">
        <v>8667</v>
      </c>
      <c r="B2157" t="s">
        <v>8668</v>
      </c>
      <c r="C2157">
        <v>0</v>
      </c>
      <c r="D2157">
        <v>0</v>
      </c>
      <c r="E2157">
        <v>0</v>
      </c>
      <c r="F2157">
        <v>943390</v>
      </c>
      <c r="G2157">
        <v>0</v>
      </c>
      <c r="H2157">
        <v>943390</v>
      </c>
      <c r="I2157">
        <v>0</v>
      </c>
      <c r="J2157">
        <v>0</v>
      </c>
      <c r="K2157">
        <v>943390</v>
      </c>
      <c r="L2157">
        <v>0</v>
      </c>
      <c r="M2157">
        <v>0</v>
      </c>
      <c r="N2157">
        <v>0</v>
      </c>
      <c r="O2157">
        <v>0</v>
      </c>
      <c r="P2157" t="s">
        <v>192</v>
      </c>
      <c r="Q2157" t="s">
        <v>192</v>
      </c>
      <c r="R2157">
        <v>0</v>
      </c>
      <c r="S2157">
        <v>0</v>
      </c>
      <c r="T2157">
        <v>0</v>
      </c>
      <c r="U2157">
        <v>967150</v>
      </c>
      <c r="V2157">
        <v>5000</v>
      </c>
      <c r="W2157">
        <v>1</v>
      </c>
      <c r="X2157" s="367"/>
    </row>
    <row r="2158" spans="1:24">
      <c r="A2158" t="s">
        <v>4936</v>
      </c>
      <c r="B2158" t="s">
        <v>4937</v>
      </c>
      <c r="C2158">
        <v>0</v>
      </c>
      <c r="D2158">
        <v>0</v>
      </c>
      <c r="E2158">
        <v>0</v>
      </c>
      <c r="F2158">
        <v>1000000</v>
      </c>
      <c r="G2158">
        <v>0</v>
      </c>
      <c r="H2158">
        <v>1000000</v>
      </c>
      <c r="I2158">
        <v>0</v>
      </c>
      <c r="J2158">
        <v>0</v>
      </c>
      <c r="K2158">
        <v>1000000</v>
      </c>
      <c r="L2158">
        <v>0</v>
      </c>
      <c r="M2158">
        <v>0</v>
      </c>
      <c r="N2158">
        <v>0</v>
      </c>
      <c r="O2158">
        <v>0</v>
      </c>
      <c r="P2158" t="s">
        <v>192</v>
      </c>
      <c r="Q2158" t="s">
        <v>192</v>
      </c>
      <c r="R2158">
        <v>1</v>
      </c>
      <c r="S2158">
        <v>7500</v>
      </c>
      <c r="T2158">
        <v>990000</v>
      </c>
      <c r="U2158">
        <v>1001000</v>
      </c>
      <c r="V2158">
        <v>1600</v>
      </c>
      <c r="W2158">
        <v>1</v>
      </c>
      <c r="X2158" s="367"/>
    </row>
    <row r="2159" spans="1:24">
      <c r="A2159" t="s">
        <v>4192</v>
      </c>
      <c r="B2159" t="s">
        <v>4193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1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v>0</v>
      </c>
      <c r="P2159" t="s">
        <v>192</v>
      </c>
      <c r="Q2159" t="s">
        <v>192</v>
      </c>
      <c r="R2159">
        <v>1</v>
      </c>
      <c r="S2159">
        <v>100</v>
      </c>
      <c r="T2159">
        <v>1</v>
      </c>
      <c r="U2159">
        <v>0</v>
      </c>
      <c r="V2159">
        <v>0</v>
      </c>
      <c r="W2159">
        <v>0</v>
      </c>
      <c r="X2159" s="367"/>
    </row>
    <row r="2160" spans="1:24">
      <c r="A2160" t="s">
        <v>7962</v>
      </c>
      <c r="B2160" t="s">
        <v>7963</v>
      </c>
      <c r="C2160">
        <v>20031</v>
      </c>
      <c r="D2160">
        <v>86840790</v>
      </c>
      <c r="E2160">
        <v>1047521476340</v>
      </c>
      <c r="F2160">
        <v>12040</v>
      </c>
      <c r="G2160">
        <v>12200</v>
      </c>
      <c r="H2160">
        <v>11990</v>
      </c>
      <c r="I2160">
        <v>-50</v>
      </c>
      <c r="J2160">
        <v>-0.42</v>
      </c>
      <c r="K2160">
        <v>12060</v>
      </c>
      <c r="L2160">
        <v>20</v>
      </c>
      <c r="M2160">
        <v>0.17</v>
      </c>
      <c r="N2160">
        <v>11800</v>
      </c>
      <c r="O2160">
        <v>12240</v>
      </c>
      <c r="P2160">
        <v>1559</v>
      </c>
      <c r="Q2160">
        <v>7.74</v>
      </c>
      <c r="R2160">
        <v>2</v>
      </c>
      <c r="S2160">
        <v>2100</v>
      </c>
      <c r="T2160">
        <v>11990</v>
      </c>
      <c r="U2160">
        <v>12000</v>
      </c>
      <c r="V2160">
        <v>264038</v>
      </c>
      <c r="W2160">
        <v>14</v>
      </c>
      <c r="X2160" s="367"/>
    </row>
    <row r="2161" spans="1:24">
      <c r="A2161" t="s">
        <v>2843</v>
      </c>
      <c r="B2161" t="s">
        <v>2842</v>
      </c>
      <c r="C2161">
        <v>811</v>
      </c>
      <c r="D2161">
        <v>27308230</v>
      </c>
      <c r="E2161">
        <v>58072210900</v>
      </c>
      <c r="F2161">
        <v>2066</v>
      </c>
      <c r="G2161">
        <v>2120</v>
      </c>
      <c r="H2161">
        <v>2127</v>
      </c>
      <c r="I2161">
        <v>61</v>
      </c>
      <c r="J2161">
        <v>2.95</v>
      </c>
      <c r="K2161">
        <v>2127</v>
      </c>
      <c r="L2161">
        <v>61</v>
      </c>
      <c r="M2161">
        <v>2.95</v>
      </c>
      <c r="N2161">
        <v>2092</v>
      </c>
      <c r="O2161">
        <v>2127</v>
      </c>
      <c r="P2161">
        <v>564</v>
      </c>
      <c r="Q2161">
        <v>3.77</v>
      </c>
      <c r="R2161">
        <v>10</v>
      </c>
      <c r="S2161">
        <v>395562</v>
      </c>
      <c r="T2161">
        <v>2127</v>
      </c>
      <c r="U2161">
        <v>2139</v>
      </c>
      <c r="V2161">
        <v>1000416</v>
      </c>
      <c r="W2161">
        <v>2</v>
      </c>
      <c r="X2161" s="367"/>
    </row>
    <row r="2162" spans="1:24">
      <c r="A2162" t="s">
        <v>2703</v>
      </c>
      <c r="B2162" t="s">
        <v>2701</v>
      </c>
      <c r="C2162">
        <v>2</v>
      </c>
      <c r="D2162">
        <v>217</v>
      </c>
      <c r="E2162">
        <v>1497300</v>
      </c>
      <c r="F2162">
        <v>6700</v>
      </c>
      <c r="G2162">
        <v>6900</v>
      </c>
      <c r="H2162">
        <v>6900</v>
      </c>
      <c r="I2162">
        <v>200</v>
      </c>
      <c r="J2162">
        <v>2.99</v>
      </c>
      <c r="K2162">
        <v>6900</v>
      </c>
      <c r="L2162">
        <v>200</v>
      </c>
      <c r="M2162">
        <v>2.99</v>
      </c>
      <c r="N2162">
        <v>6900</v>
      </c>
      <c r="O2162">
        <v>6900</v>
      </c>
      <c r="P2162">
        <v>1449</v>
      </c>
      <c r="Q2162">
        <v>4.76</v>
      </c>
      <c r="R2162">
        <v>9</v>
      </c>
      <c r="S2162">
        <v>494334</v>
      </c>
      <c r="T2162">
        <v>6900</v>
      </c>
      <c r="U2162">
        <v>0</v>
      </c>
      <c r="V2162">
        <v>0</v>
      </c>
      <c r="W2162">
        <v>0</v>
      </c>
      <c r="X2162" s="367"/>
    </row>
    <row r="2163" spans="1:24">
      <c r="A2163" t="s">
        <v>2715</v>
      </c>
      <c r="B2163" t="s">
        <v>2714</v>
      </c>
      <c r="C2163">
        <v>276</v>
      </c>
      <c r="D2163">
        <v>3682613</v>
      </c>
      <c r="E2163">
        <v>42197343110</v>
      </c>
      <c r="F2163">
        <v>11200</v>
      </c>
      <c r="G2163">
        <v>11510</v>
      </c>
      <c r="H2163">
        <v>11240</v>
      </c>
      <c r="I2163">
        <v>40</v>
      </c>
      <c r="J2163">
        <v>0.36</v>
      </c>
      <c r="K2163">
        <v>11460</v>
      </c>
      <c r="L2163">
        <v>260</v>
      </c>
      <c r="M2163">
        <v>2.3199999999999998</v>
      </c>
      <c r="N2163">
        <v>11200</v>
      </c>
      <c r="O2163">
        <v>11530</v>
      </c>
      <c r="P2163">
        <v>697</v>
      </c>
      <c r="Q2163">
        <v>16.440000000000001</v>
      </c>
      <c r="R2163">
        <v>1</v>
      </c>
      <c r="S2163">
        <v>1000</v>
      </c>
      <c r="T2163">
        <v>11110</v>
      </c>
      <c r="U2163">
        <v>11460</v>
      </c>
      <c r="V2163">
        <v>9200</v>
      </c>
      <c r="W2163">
        <v>1</v>
      </c>
      <c r="X2163" s="367"/>
    </row>
    <row r="2164" spans="1:24">
      <c r="A2164" t="s">
        <v>4888</v>
      </c>
      <c r="B2164" t="s">
        <v>4889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1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 t="s">
        <v>192</v>
      </c>
      <c r="Q2164" t="s">
        <v>192</v>
      </c>
      <c r="R2164">
        <v>1</v>
      </c>
      <c r="S2164">
        <v>9</v>
      </c>
      <c r="T2164">
        <v>111</v>
      </c>
      <c r="U2164">
        <v>0</v>
      </c>
      <c r="V2164">
        <v>0</v>
      </c>
      <c r="W2164">
        <v>0</v>
      </c>
      <c r="X2164" s="367"/>
    </row>
    <row r="2165" spans="1:24">
      <c r="A2165" t="s">
        <v>4516</v>
      </c>
      <c r="B2165" t="s">
        <v>4517</v>
      </c>
      <c r="C2165">
        <v>2490</v>
      </c>
      <c r="D2165">
        <v>823260</v>
      </c>
      <c r="E2165">
        <v>59622058000</v>
      </c>
      <c r="F2165">
        <v>135</v>
      </c>
      <c r="G2165">
        <v>80</v>
      </c>
      <c r="H2165">
        <v>52</v>
      </c>
      <c r="I2165">
        <v>-83</v>
      </c>
      <c r="J2165">
        <v>-61.48</v>
      </c>
      <c r="K2165">
        <v>72</v>
      </c>
      <c r="L2165">
        <v>-63</v>
      </c>
      <c r="M2165">
        <v>-46.67</v>
      </c>
      <c r="N2165">
        <v>49</v>
      </c>
      <c r="O2165">
        <v>83</v>
      </c>
      <c r="P2165" t="s">
        <v>192</v>
      </c>
      <c r="Q2165" t="s">
        <v>192</v>
      </c>
      <c r="R2165">
        <v>1</v>
      </c>
      <c r="S2165">
        <v>1000</v>
      </c>
      <c r="T2165">
        <v>50</v>
      </c>
      <c r="U2165">
        <v>60</v>
      </c>
      <c r="V2165">
        <v>137</v>
      </c>
      <c r="W2165">
        <v>1</v>
      </c>
      <c r="X2165" s="367"/>
    </row>
    <row r="2166" spans="1:24">
      <c r="A2166" t="s">
        <v>1968</v>
      </c>
      <c r="B2166" t="s">
        <v>1967</v>
      </c>
      <c r="C2166">
        <v>266</v>
      </c>
      <c r="D2166">
        <v>5349551</v>
      </c>
      <c r="E2166">
        <v>35038802130</v>
      </c>
      <c r="F2166">
        <v>6360</v>
      </c>
      <c r="G2166">
        <v>6550</v>
      </c>
      <c r="H2166">
        <v>6550</v>
      </c>
      <c r="I2166">
        <v>190</v>
      </c>
      <c r="J2166">
        <v>2.99</v>
      </c>
      <c r="K2166">
        <v>6550</v>
      </c>
      <c r="L2166">
        <v>190</v>
      </c>
      <c r="M2166">
        <v>2.99</v>
      </c>
      <c r="N2166">
        <v>6500</v>
      </c>
      <c r="O2166">
        <v>6550</v>
      </c>
      <c r="P2166">
        <v>-421</v>
      </c>
      <c r="Q2166">
        <v>-15.56</v>
      </c>
      <c r="R2166">
        <v>12</v>
      </c>
      <c r="S2166">
        <v>107477</v>
      </c>
      <c r="T2166">
        <v>6550</v>
      </c>
      <c r="U2166">
        <v>0</v>
      </c>
      <c r="V2166">
        <v>0</v>
      </c>
      <c r="W2166">
        <v>0</v>
      </c>
      <c r="X2166" s="367"/>
    </row>
    <row r="2167" spans="1:24">
      <c r="A2167" t="s">
        <v>8210</v>
      </c>
      <c r="B2167" t="s">
        <v>8211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1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 t="s">
        <v>192</v>
      </c>
      <c r="Q2167" t="s">
        <v>192</v>
      </c>
      <c r="R2167">
        <v>12</v>
      </c>
      <c r="S2167">
        <v>11100</v>
      </c>
      <c r="T2167">
        <v>1</v>
      </c>
      <c r="U2167">
        <v>11</v>
      </c>
      <c r="V2167">
        <v>300</v>
      </c>
      <c r="W2167">
        <v>1</v>
      </c>
      <c r="X2167" s="367"/>
    </row>
    <row r="2168" spans="1:24">
      <c r="A2168" t="s">
        <v>4268</v>
      </c>
      <c r="B2168" t="s">
        <v>4269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1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0</v>
      </c>
      <c r="P2168" t="s">
        <v>192</v>
      </c>
      <c r="Q2168" t="s">
        <v>192</v>
      </c>
      <c r="R2168">
        <v>1</v>
      </c>
      <c r="S2168">
        <v>100</v>
      </c>
      <c r="T2168">
        <v>1</v>
      </c>
      <c r="U2168">
        <v>0</v>
      </c>
      <c r="V2168">
        <v>0</v>
      </c>
      <c r="W2168">
        <v>0</v>
      </c>
      <c r="X2168" s="367"/>
    </row>
    <row r="2169" spans="1:24">
      <c r="A2169" t="s">
        <v>2185</v>
      </c>
      <c r="B2169" t="s">
        <v>2184</v>
      </c>
      <c r="C2169">
        <v>107</v>
      </c>
      <c r="D2169">
        <v>10347804</v>
      </c>
      <c r="E2169">
        <v>32885321112</v>
      </c>
      <c r="F2169">
        <v>3086</v>
      </c>
      <c r="G2169">
        <v>3178</v>
      </c>
      <c r="H2169">
        <v>3178</v>
      </c>
      <c r="I2169">
        <v>92</v>
      </c>
      <c r="J2169">
        <v>2.98</v>
      </c>
      <c r="K2169">
        <v>3178</v>
      </c>
      <c r="L2169">
        <v>92</v>
      </c>
      <c r="M2169">
        <v>2.98</v>
      </c>
      <c r="N2169">
        <v>3178</v>
      </c>
      <c r="O2169">
        <v>3178</v>
      </c>
      <c r="P2169">
        <v>453</v>
      </c>
      <c r="Q2169">
        <v>7.02</v>
      </c>
      <c r="R2169">
        <v>689</v>
      </c>
      <c r="S2169">
        <v>399686224</v>
      </c>
      <c r="T2169">
        <v>3178</v>
      </c>
      <c r="U2169">
        <v>0</v>
      </c>
      <c r="V2169">
        <v>0</v>
      </c>
      <c r="W2169">
        <v>0</v>
      </c>
      <c r="X2169" s="367"/>
    </row>
    <row r="2170" spans="1:24">
      <c r="A2170" t="s">
        <v>201</v>
      </c>
      <c r="B2170" t="s">
        <v>200</v>
      </c>
      <c r="C2170">
        <v>704</v>
      </c>
      <c r="D2170">
        <v>78288796</v>
      </c>
      <c r="E2170">
        <v>598126401440</v>
      </c>
      <c r="F2170">
        <v>7420</v>
      </c>
      <c r="G2170">
        <v>7640</v>
      </c>
      <c r="H2170">
        <v>7640</v>
      </c>
      <c r="I2170">
        <v>220</v>
      </c>
      <c r="J2170">
        <v>2.96</v>
      </c>
      <c r="K2170">
        <v>7640</v>
      </c>
      <c r="L2170">
        <v>220</v>
      </c>
      <c r="M2170">
        <v>2.96</v>
      </c>
      <c r="N2170">
        <v>7640</v>
      </c>
      <c r="O2170">
        <v>7640</v>
      </c>
      <c r="P2170">
        <v>1396</v>
      </c>
      <c r="Q2170">
        <v>5.47</v>
      </c>
      <c r="R2170">
        <v>212</v>
      </c>
      <c r="S2170">
        <v>12617404</v>
      </c>
      <c r="T2170">
        <v>7640</v>
      </c>
      <c r="U2170">
        <v>0</v>
      </c>
      <c r="V2170">
        <v>0</v>
      </c>
      <c r="W2170">
        <v>0</v>
      </c>
      <c r="X2170" s="367"/>
    </row>
    <row r="2171" spans="1:24">
      <c r="A2171" t="s">
        <v>3552</v>
      </c>
      <c r="B2171" t="s">
        <v>3553</v>
      </c>
      <c r="C2171">
        <v>899</v>
      </c>
      <c r="D2171">
        <v>317442</v>
      </c>
      <c r="E2171">
        <v>59861619000</v>
      </c>
      <c r="F2171">
        <v>169</v>
      </c>
      <c r="G2171">
        <v>183</v>
      </c>
      <c r="H2171">
        <v>188</v>
      </c>
      <c r="I2171">
        <v>19</v>
      </c>
      <c r="J2171">
        <v>11.24</v>
      </c>
      <c r="K2171">
        <v>189</v>
      </c>
      <c r="L2171">
        <v>20</v>
      </c>
      <c r="M2171">
        <v>11.83</v>
      </c>
      <c r="N2171">
        <v>183</v>
      </c>
      <c r="O2171">
        <v>196</v>
      </c>
      <c r="P2171" t="s">
        <v>192</v>
      </c>
      <c r="Q2171" t="s">
        <v>192</v>
      </c>
      <c r="R2171">
        <v>1</v>
      </c>
      <c r="S2171">
        <v>1000</v>
      </c>
      <c r="T2171">
        <v>181</v>
      </c>
      <c r="U2171">
        <v>189</v>
      </c>
      <c r="V2171">
        <v>2278</v>
      </c>
      <c r="W2171">
        <v>3</v>
      </c>
      <c r="X2171" s="367"/>
    </row>
    <row r="2172" spans="1:24">
      <c r="A2172" t="s">
        <v>2153</v>
      </c>
      <c r="B2172" t="s">
        <v>2152</v>
      </c>
      <c r="C2172">
        <v>2310</v>
      </c>
      <c r="D2172">
        <v>95311725</v>
      </c>
      <c r="E2172">
        <v>426882334410</v>
      </c>
      <c r="F2172">
        <v>4400</v>
      </c>
      <c r="G2172">
        <v>4510</v>
      </c>
      <c r="H2172">
        <v>4450</v>
      </c>
      <c r="I2172">
        <v>50</v>
      </c>
      <c r="J2172">
        <v>1.1399999999999999</v>
      </c>
      <c r="K2172">
        <v>4480</v>
      </c>
      <c r="L2172">
        <v>80</v>
      </c>
      <c r="M2172">
        <v>1.82</v>
      </c>
      <c r="N2172">
        <v>4420</v>
      </c>
      <c r="O2172">
        <v>4530</v>
      </c>
      <c r="P2172">
        <v>1533</v>
      </c>
      <c r="Q2172">
        <v>2.92</v>
      </c>
      <c r="R2172">
        <v>3</v>
      </c>
      <c r="S2172">
        <v>134944</v>
      </c>
      <c r="T2172">
        <v>4420</v>
      </c>
      <c r="U2172">
        <v>4450</v>
      </c>
      <c r="V2172">
        <v>169161</v>
      </c>
      <c r="W2172">
        <v>2</v>
      </c>
      <c r="X2172" s="367"/>
    </row>
    <row r="2173" spans="1:24">
      <c r="A2173" t="s">
        <v>2608</v>
      </c>
      <c r="B2173" t="s">
        <v>2606</v>
      </c>
      <c r="C2173">
        <v>4</v>
      </c>
      <c r="D2173">
        <v>317559</v>
      </c>
      <c r="E2173">
        <v>768492780</v>
      </c>
      <c r="F2173">
        <v>2350</v>
      </c>
      <c r="G2173">
        <v>2420</v>
      </c>
      <c r="H2173">
        <v>2420</v>
      </c>
      <c r="I2173">
        <v>70</v>
      </c>
      <c r="J2173">
        <v>2.98</v>
      </c>
      <c r="K2173">
        <v>2420</v>
      </c>
      <c r="L2173">
        <v>70</v>
      </c>
      <c r="M2173">
        <v>2.98</v>
      </c>
      <c r="N2173">
        <v>2420</v>
      </c>
      <c r="O2173">
        <v>2420</v>
      </c>
      <c r="P2173">
        <v>397</v>
      </c>
      <c r="Q2173">
        <v>6.1</v>
      </c>
      <c r="R2173">
        <v>10</v>
      </c>
      <c r="S2173">
        <v>2176329</v>
      </c>
      <c r="T2173">
        <v>2420</v>
      </c>
      <c r="U2173">
        <v>0</v>
      </c>
      <c r="V2173">
        <v>0</v>
      </c>
      <c r="W2173">
        <v>0</v>
      </c>
      <c r="X2173" s="367"/>
    </row>
    <row r="2174" spans="1:24">
      <c r="A2174" t="s">
        <v>1719</v>
      </c>
      <c r="B2174" t="s">
        <v>1718</v>
      </c>
      <c r="C2174">
        <v>1473</v>
      </c>
      <c r="D2174">
        <v>1683186613</v>
      </c>
      <c r="E2174">
        <v>1221993481038</v>
      </c>
      <c r="F2174">
        <v>705</v>
      </c>
      <c r="G2174">
        <v>726</v>
      </c>
      <c r="H2174">
        <v>726</v>
      </c>
      <c r="I2174">
        <v>21</v>
      </c>
      <c r="J2174">
        <v>2.98</v>
      </c>
      <c r="K2174">
        <v>726</v>
      </c>
      <c r="L2174">
        <v>21</v>
      </c>
      <c r="M2174">
        <v>2.98</v>
      </c>
      <c r="N2174">
        <v>726</v>
      </c>
      <c r="O2174">
        <v>726</v>
      </c>
      <c r="P2174">
        <v>124</v>
      </c>
      <c r="Q2174">
        <v>5.85</v>
      </c>
      <c r="R2174">
        <v>990</v>
      </c>
      <c r="S2174">
        <v>2021897252</v>
      </c>
      <c r="T2174">
        <v>726</v>
      </c>
      <c r="U2174">
        <v>0</v>
      </c>
      <c r="V2174">
        <v>0</v>
      </c>
      <c r="W2174">
        <v>0</v>
      </c>
      <c r="X2174" s="367"/>
    </row>
    <row r="2175" spans="1:24">
      <c r="A2175" t="s">
        <v>4906</v>
      </c>
      <c r="B2175" t="s">
        <v>4907</v>
      </c>
      <c r="C2175">
        <v>0</v>
      </c>
      <c r="D2175">
        <v>0</v>
      </c>
      <c r="E2175">
        <v>0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P2175" t="s">
        <v>192</v>
      </c>
      <c r="Q2175" t="s">
        <v>192</v>
      </c>
      <c r="R2175">
        <v>0</v>
      </c>
      <c r="S2175">
        <v>0</v>
      </c>
      <c r="T2175">
        <v>0</v>
      </c>
      <c r="U2175">
        <v>8</v>
      </c>
      <c r="V2175">
        <v>1619</v>
      </c>
      <c r="W2175">
        <v>2</v>
      </c>
      <c r="X2175" s="367"/>
    </row>
    <row r="2176" spans="1:24">
      <c r="A2176" t="s">
        <v>2087</v>
      </c>
      <c r="B2176" t="s">
        <v>2086</v>
      </c>
      <c r="C2176">
        <v>953</v>
      </c>
      <c r="D2176">
        <v>76437100</v>
      </c>
      <c r="E2176">
        <v>114889821562</v>
      </c>
      <c r="F2176">
        <v>1464</v>
      </c>
      <c r="G2176">
        <v>1500</v>
      </c>
      <c r="H2176">
        <v>1507</v>
      </c>
      <c r="I2176">
        <v>43</v>
      </c>
      <c r="J2176">
        <v>2.94</v>
      </c>
      <c r="K2176">
        <v>1503</v>
      </c>
      <c r="L2176">
        <v>39</v>
      </c>
      <c r="M2176">
        <v>2.66</v>
      </c>
      <c r="N2176">
        <v>1470</v>
      </c>
      <c r="O2176">
        <v>1507</v>
      </c>
      <c r="P2176">
        <v>206</v>
      </c>
      <c r="Q2176">
        <v>7.3</v>
      </c>
      <c r="R2176">
        <v>6</v>
      </c>
      <c r="S2176">
        <v>887933</v>
      </c>
      <c r="T2176">
        <v>1507</v>
      </c>
      <c r="U2176">
        <v>1534</v>
      </c>
      <c r="V2176">
        <v>123724</v>
      </c>
      <c r="W2176">
        <v>1</v>
      </c>
      <c r="X2176" s="367"/>
    </row>
    <row r="2177" spans="1:24">
      <c r="A2177" t="s">
        <v>2149</v>
      </c>
      <c r="B2177" t="s">
        <v>2148</v>
      </c>
      <c r="C2177">
        <v>1244</v>
      </c>
      <c r="D2177">
        <v>34519413</v>
      </c>
      <c r="E2177">
        <v>497741623480</v>
      </c>
      <c r="F2177">
        <v>14080</v>
      </c>
      <c r="G2177">
        <v>14500</v>
      </c>
      <c r="H2177">
        <v>14490</v>
      </c>
      <c r="I2177">
        <v>410</v>
      </c>
      <c r="J2177">
        <v>2.91</v>
      </c>
      <c r="K2177">
        <v>14420</v>
      </c>
      <c r="L2177">
        <v>340</v>
      </c>
      <c r="M2177">
        <v>2.41</v>
      </c>
      <c r="N2177">
        <v>14080</v>
      </c>
      <c r="O2177">
        <v>14500</v>
      </c>
      <c r="P2177">
        <v>1687</v>
      </c>
      <c r="Q2177">
        <v>8.5500000000000007</v>
      </c>
      <c r="R2177">
        <v>2</v>
      </c>
      <c r="S2177">
        <v>11501</v>
      </c>
      <c r="T2177">
        <v>14450</v>
      </c>
      <c r="U2177">
        <v>14500</v>
      </c>
      <c r="V2177">
        <v>734778</v>
      </c>
      <c r="W2177">
        <v>8</v>
      </c>
      <c r="X2177" s="367"/>
    </row>
    <row r="2178" spans="1:24">
      <c r="A2178" t="s">
        <v>2011</v>
      </c>
      <c r="B2178" t="s">
        <v>2010</v>
      </c>
      <c r="C2178">
        <v>1144</v>
      </c>
      <c r="D2178">
        <v>39266365</v>
      </c>
      <c r="E2178">
        <v>201637806490</v>
      </c>
      <c r="F2178">
        <v>5010</v>
      </c>
      <c r="G2178">
        <v>5160</v>
      </c>
      <c r="H2178">
        <v>5160</v>
      </c>
      <c r="I2178">
        <v>150</v>
      </c>
      <c r="J2178">
        <v>2.99</v>
      </c>
      <c r="K2178">
        <v>5140</v>
      </c>
      <c r="L2178">
        <v>130</v>
      </c>
      <c r="M2178">
        <v>2.59</v>
      </c>
      <c r="N2178">
        <v>5040</v>
      </c>
      <c r="O2178">
        <v>5160</v>
      </c>
      <c r="P2178">
        <v>765</v>
      </c>
      <c r="Q2178">
        <v>6.72</v>
      </c>
      <c r="R2178">
        <v>1</v>
      </c>
      <c r="S2178">
        <v>10000</v>
      </c>
      <c r="T2178">
        <v>5120</v>
      </c>
      <c r="U2178">
        <v>5160</v>
      </c>
      <c r="V2178">
        <v>255666</v>
      </c>
      <c r="W2178">
        <v>1</v>
      </c>
      <c r="X2178" s="367"/>
    </row>
    <row r="2179" spans="1:24">
      <c r="A2179" t="s">
        <v>3665</v>
      </c>
      <c r="B2179" t="s">
        <v>3666</v>
      </c>
      <c r="C2179">
        <v>40</v>
      </c>
      <c r="D2179">
        <v>5695</v>
      </c>
      <c r="E2179">
        <v>5156703000</v>
      </c>
      <c r="F2179">
        <v>842</v>
      </c>
      <c r="G2179">
        <v>909</v>
      </c>
      <c r="H2179">
        <v>910</v>
      </c>
      <c r="I2179">
        <v>68</v>
      </c>
      <c r="J2179">
        <v>8.08</v>
      </c>
      <c r="K2179">
        <v>905</v>
      </c>
      <c r="L2179">
        <v>63</v>
      </c>
      <c r="M2179">
        <v>7.48</v>
      </c>
      <c r="N2179">
        <v>902</v>
      </c>
      <c r="O2179">
        <v>910</v>
      </c>
      <c r="P2179" t="s">
        <v>192</v>
      </c>
      <c r="Q2179" t="s">
        <v>192</v>
      </c>
      <c r="R2179">
        <v>1</v>
      </c>
      <c r="S2179">
        <v>5</v>
      </c>
      <c r="T2179">
        <v>881</v>
      </c>
      <c r="U2179">
        <v>0</v>
      </c>
      <c r="V2179">
        <v>0</v>
      </c>
      <c r="W2179">
        <v>0</v>
      </c>
      <c r="X2179" s="367"/>
    </row>
    <row r="2180" spans="1:24">
      <c r="A2180" t="s">
        <v>5008</v>
      </c>
      <c r="B2180" t="s">
        <v>5009</v>
      </c>
      <c r="C2180">
        <v>31</v>
      </c>
      <c r="D2180">
        <v>642000</v>
      </c>
      <c r="E2180">
        <v>14473248000</v>
      </c>
      <c r="F2180">
        <v>21888</v>
      </c>
      <c r="G2180">
        <v>22544</v>
      </c>
      <c r="H2180">
        <v>22544</v>
      </c>
      <c r="I2180">
        <v>656</v>
      </c>
      <c r="J2180">
        <v>3</v>
      </c>
      <c r="K2180">
        <v>22544</v>
      </c>
      <c r="L2180">
        <v>656</v>
      </c>
      <c r="M2180">
        <v>3</v>
      </c>
      <c r="N2180">
        <v>22544</v>
      </c>
      <c r="O2180">
        <v>22544</v>
      </c>
      <c r="P2180" t="s">
        <v>192</v>
      </c>
      <c r="Q2180" t="s">
        <v>192</v>
      </c>
      <c r="R2180">
        <v>1</v>
      </c>
      <c r="S2180">
        <v>4425</v>
      </c>
      <c r="T2180">
        <v>22544</v>
      </c>
      <c r="U2180">
        <v>0</v>
      </c>
      <c r="V2180">
        <v>0</v>
      </c>
      <c r="W2180">
        <v>0</v>
      </c>
      <c r="X2180" s="367"/>
    </row>
    <row r="2181" spans="1:24">
      <c r="A2181" t="s">
        <v>6999</v>
      </c>
      <c r="B2181" t="s">
        <v>7000</v>
      </c>
      <c r="C2181">
        <v>0</v>
      </c>
      <c r="D2181">
        <v>0</v>
      </c>
      <c r="E2181">
        <v>0</v>
      </c>
      <c r="F2181">
        <v>1</v>
      </c>
      <c r="G2181">
        <v>0</v>
      </c>
      <c r="H2181">
        <v>1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0</v>
      </c>
      <c r="P2181" t="s">
        <v>192</v>
      </c>
      <c r="Q2181" t="s">
        <v>192</v>
      </c>
      <c r="R2181">
        <v>1</v>
      </c>
      <c r="S2181">
        <v>500</v>
      </c>
      <c r="T2181">
        <v>22</v>
      </c>
      <c r="U2181">
        <v>0</v>
      </c>
      <c r="V2181">
        <v>0</v>
      </c>
      <c r="W2181">
        <v>0</v>
      </c>
      <c r="X2181" s="367"/>
    </row>
    <row r="2182" spans="1:24">
      <c r="A2182" t="s">
        <v>4982</v>
      </c>
      <c r="B2182" t="s">
        <v>4983</v>
      </c>
      <c r="C2182">
        <v>0</v>
      </c>
      <c r="D2182">
        <v>0</v>
      </c>
      <c r="E2182">
        <v>0</v>
      </c>
      <c r="F2182">
        <v>931430</v>
      </c>
      <c r="G2182">
        <v>0</v>
      </c>
      <c r="H2182">
        <v>931430</v>
      </c>
      <c r="I2182">
        <v>0</v>
      </c>
      <c r="J2182">
        <v>0</v>
      </c>
      <c r="K2182">
        <v>931430</v>
      </c>
      <c r="L2182">
        <v>0</v>
      </c>
      <c r="M2182">
        <v>0</v>
      </c>
      <c r="N2182">
        <v>0</v>
      </c>
      <c r="O2182">
        <v>0</v>
      </c>
      <c r="P2182" t="s">
        <v>192</v>
      </c>
      <c r="Q2182" t="s">
        <v>192</v>
      </c>
      <c r="R2182">
        <v>1</v>
      </c>
      <c r="S2182">
        <v>20000</v>
      </c>
      <c r="T2182">
        <v>931429</v>
      </c>
      <c r="U2182">
        <v>940428</v>
      </c>
      <c r="V2182">
        <v>20000</v>
      </c>
      <c r="W2182">
        <v>1</v>
      </c>
      <c r="X2182" s="367"/>
    </row>
    <row r="2183" spans="1:24">
      <c r="A2183" t="s">
        <v>8848</v>
      </c>
      <c r="B2183" t="s">
        <v>94</v>
      </c>
      <c r="C2183">
        <v>39</v>
      </c>
      <c r="D2183">
        <v>512611</v>
      </c>
      <c r="E2183">
        <v>1443512576</v>
      </c>
      <c r="F2183">
        <v>2839</v>
      </c>
      <c r="G2183">
        <v>2816</v>
      </c>
      <c r="H2183">
        <v>2816</v>
      </c>
      <c r="I2183">
        <v>-23</v>
      </c>
      <c r="J2183">
        <v>-0.81</v>
      </c>
      <c r="K2183">
        <v>2816</v>
      </c>
      <c r="L2183">
        <v>-23</v>
      </c>
      <c r="M2183">
        <v>-0.81</v>
      </c>
      <c r="N2183">
        <v>2816</v>
      </c>
      <c r="O2183">
        <v>2816</v>
      </c>
      <c r="P2183">
        <v>352</v>
      </c>
      <c r="Q2183">
        <v>8</v>
      </c>
      <c r="R2183">
        <v>25</v>
      </c>
      <c r="S2183">
        <v>661228</v>
      </c>
      <c r="T2183">
        <v>2816</v>
      </c>
      <c r="U2183">
        <v>0</v>
      </c>
      <c r="V2183">
        <v>0</v>
      </c>
      <c r="W2183">
        <v>0</v>
      </c>
      <c r="X2183" s="367"/>
    </row>
    <row r="2184" spans="1:24">
      <c r="A2184" t="s">
        <v>3524</v>
      </c>
      <c r="B2184" t="s">
        <v>8103</v>
      </c>
      <c r="C2184">
        <v>145</v>
      </c>
      <c r="D2184">
        <v>50842</v>
      </c>
      <c r="E2184">
        <v>11287549000</v>
      </c>
      <c r="F2184">
        <v>193</v>
      </c>
      <c r="G2184">
        <v>243</v>
      </c>
      <c r="H2184">
        <v>219</v>
      </c>
      <c r="I2184">
        <v>26</v>
      </c>
      <c r="J2184">
        <v>13.47</v>
      </c>
      <c r="K2184">
        <v>222</v>
      </c>
      <c r="L2184">
        <v>29</v>
      </c>
      <c r="M2184">
        <v>15.03</v>
      </c>
      <c r="N2184">
        <v>210</v>
      </c>
      <c r="O2184">
        <v>243</v>
      </c>
      <c r="P2184" t="s">
        <v>192</v>
      </c>
      <c r="Q2184" t="s">
        <v>192</v>
      </c>
      <c r="R2184">
        <v>1</v>
      </c>
      <c r="S2184">
        <v>65</v>
      </c>
      <c r="T2184">
        <v>216</v>
      </c>
      <c r="U2184">
        <v>219</v>
      </c>
      <c r="V2184">
        <v>309</v>
      </c>
      <c r="W2184">
        <v>1</v>
      </c>
      <c r="X2184" s="367"/>
    </row>
    <row r="2185" spans="1:24">
      <c r="A2185" t="s">
        <v>5018</v>
      </c>
      <c r="B2185" t="s">
        <v>5019</v>
      </c>
      <c r="C2185">
        <v>7</v>
      </c>
      <c r="D2185">
        <v>104534</v>
      </c>
      <c r="E2185">
        <v>50957324600</v>
      </c>
      <c r="F2185">
        <v>487470</v>
      </c>
      <c r="G2185">
        <v>487480</v>
      </c>
      <c r="H2185">
        <v>487500</v>
      </c>
      <c r="I2185">
        <v>30</v>
      </c>
      <c r="J2185">
        <v>0.01</v>
      </c>
      <c r="K2185">
        <v>487470</v>
      </c>
      <c r="L2185">
        <v>0</v>
      </c>
      <c r="M2185">
        <v>0</v>
      </c>
      <c r="N2185">
        <v>487470</v>
      </c>
      <c r="O2185">
        <v>487500</v>
      </c>
      <c r="P2185" t="s">
        <v>192</v>
      </c>
      <c r="Q2185" t="s">
        <v>192</v>
      </c>
      <c r="R2185">
        <v>1</v>
      </c>
      <c r="S2185">
        <v>18</v>
      </c>
      <c r="T2185">
        <v>487480</v>
      </c>
      <c r="U2185">
        <v>491500</v>
      </c>
      <c r="V2185">
        <v>20</v>
      </c>
      <c r="W2185">
        <v>1</v>
      </c>
      <c r="X2185" s="367"/>
    </row>
    <row r="2186" spans="1:24">
      <c r="A2186" t="s">
        <v>4925</v>
      </c>
      <c r="B2186" t="s">
        <v>4926</v>
      </c>
      <c r="C2186">
        <v>0</v>
      </c>
      <c r="D2186">
        <v>0</v>
      </c>
      <c r="E2186">
        <v>0</v>
      </c>
      <c r="F2186">
        <v>1000000</v>
      </c>
      <c r="G2186">
        <v>0</v>
      </c>
      <c r="H2186">
        <v>1000000</v>
      </c>
      <c r="I2186">
        <v>0</v>
      </c>
      <c r="J2186">
        <v>0</v>
      </c>
      <c r="K2186">
        <v>1000000</v>
      </c>
      <c r="L2186">
        <v>0</v>
      </c>
      <c r="M2186">
        <v>0</v>
      </c>
      <c r="N2186">
        <v>0</v>
      </c>
      <c r="O2186">
        <v>0</v>
      </c>
      <c r="P2186" t="s">
        <v>192</v>
      </c>
      <c r="Q2186" t="s">
        <v>192</v>
      </c>
      <c r="R2186">
        <v>1</v>
      </c>
      <c r="S2186">
        <v>5000</v>
      </c>
      <c r="T2186">
        <v>1000000</v>
      </c>
      <c r="U2186">
        <v>0</v>
      </c>
      <c r="V2186">
        <v>0</v>
      </c>
      <c r="W2186">
        <v>0</v>
      </c>
      <c r="X2186" s="367"/>
    </row>
    <row r="2187" spans="1:24">
      <c r="A2187" t="s">
        <v>87</v>
      </c>
      <c r="B2187" t="s">
        <v>86</v>
      </c>
      <c r="C2187">
        <v>552</v>
      </c>
      <c r="D2187">
        <v>12909436</v>
      </c>
      <c r="E2187">
        <v>84797754090</v>
      </c>
      <c r="F2187">
        <v>6400</v>
      </c>
      <c r="G2187">
        <v>6550</v>
      </c>
      <c r="H2187">
        <v>6590</v>
      </c>
      <c r="I2187">
        <v>190</v>
      </c>
      <c r="J2187">
        <v>2.97</v>
      </c>
      <c r="K2187">
        <v>6570</v>
      </c>
      <c r="L2187">
        <v>170</v>
      </c>
      <c r="M2187">
        <v>2.66</v>
      </c>
      <c r="N2187">
        <v>6420</v>
      </c>
      <c r="O2187">
        <v>6590</v>
      </c>
      <c r="P2187">
        <v>1058</v>
      </c>
      <c r="Q2187">
        <v>6.21</v>
      </c>
      <c r="R2187">
        <v>18</v>
      </c>
      <c r="S2187">
        <v>1548236</v>
      </c>
      <c r="T2187">
        <v>6590</v>
      </c>
      <c r="U2187">
        <v>0</v>
      </c>
      <c r="V2187">
        <v>0</v>
      </c>
      <c r="W2187">
        <v>0</v>
      </c>
      <c r="X2187" s="367"/>
    </row>
    <row r="2188" spans="1:24">
      <c r="A2188" t="s">
        <v>6765</v>
      </c>
      <c r="B2188" t="s">
        <v>6766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1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 t="s">
        <v>192</v>
      </c>
      <c r="Q2188" t="s">
        <v>192</v>
      </c>
      <c r="R2188">
        <v>1</v>
      </c>
      <c r="S2188">
        <v>100</v>
      </c>
      <c r="T2188">
        <v>1</v>
      </c>
      <c r="U2188">
        <v>0</v>
      </c>
      <c r="V2188">
        <v>0</v>
      </c>
      <c r="W2188">
        <v>0</v>
      </c>
      <c r="X2188" s="367"/>
    </row>
    <row r="2189" spans="1:24">
      <c r="A2189" t="s">
        <v>5039</v>
      </c>
      <c r="B2189" t="s">
        <v>5040</v>
      </c>
      <c r="C2189">
        <v>2</v>
      </c>
      <c r="D2189">
        <v>217</v>
      </c>
      <c r="E2189">
        <v>189436660</v>
      </c>
      <c r="F2189">
        <v>869730</v>
      </c>
      <c r="G2189">
        <v>872980</v>
      </c>
      <c r="H2189">
        <v>872980</v>
      </c>
      <c r="I2189">
        <v>3250</v>
      </c>
      <c r="J2189">
        <v>0.37</v>
      </c>
      <c r="K2189">
        <v>872980</v>
      </c>
      <c r="L2189">
        <v>3250</v>
      </c>
      <c r="M2189">
        <v>0.37</v>
      </c>
      <c r="N2189">
        <v>872980</v>
      </c>
      <c r="O2189">
        <v>872980</v>
      </c>
      <c r="P2189" t="s">
        <v>192</v>
      </c>
      <c r="Q2189" t="s">
        <v>192</v>
      </c>
      <c r="R2189">
        <v>2</v>
      </c>
      <c r="S2189">
        <v>1060</v>
      </c>
      <c r="T2189">
        <v>866330</v>
      </c>
      <c r="U2189">
        <v>877990</v>
      </c>
      <c r="V2189">
        <v>268</v>
      </c>
      <c r="W2189">
        <v>2</v>
      </c>
      <c r="X2189" s="367"/>
    </row>
    <row r="2190" spans="1:24">
      <c r="A2190" t="s">
        <v>4972</v>
      </c>
      <c r="B2190" t="s">
        <v>4973</v>
      </c>
      <c r="C2190">
        <v>0</v>
      </c>
      <c r="D2190">
        <v>0</v>
      </c>
      <c r="E2190">
        <v>0</v>
      </c>
      <c r="F2190">
        <v>832930</v>
      </c>
      <c r="G2190">
        <v>0</v>
      </c>
      <c r="H2190">
        <v>832930</v>
      </c>
      <c r="I2190">
        <v>0</v>
      </c>
      <c r="J2190">
        <v>0</v>
      </c>
      <c r="K2190">
        <v>832930</v>
      </c>
      <c r="L2190">
        <v>0</v>
      </c>
      <c r="M2190">
        <v>0</v>
      </c>
      <c r="N2190">
        <v>0</v>
      </c>
      <c r="O2190">
        <v>0</v>
      </c>
      <c r="P2190" t="s">
        <v>192</v>
      </c>
      <c r="Q2190" t="s">
        <v>192</v>
      </c>
      <c r="R2190">
        <v>1</v>
      </c>
      <c r="S2190">
        <v>10000</v>
      </c>
      <c r="T2190">
        <v>832930</v>
      </c>
      <c r="U2190">
        <v>0</v>
      </c>
      <c r="V2190">
        <v>0</v>
      </c>
      <c r="W2190">
        <v>0</v>
      </c>
      <c r="X2190" s="367"/>
    </row>
    <row r="2191" spans="1:24">
      <c r="A2191" t="s">
        <v>4910</v>
      </c>
      <c r="B2191" t="s">
        <v>4911</v>
      </c>
      <c r="C2191">
        <v>0</v>
      </c>
      <c r="D2191">
        <v>0</v>
      </c>
      <c r="E2191">
        <v>0</v>
      </c>
      <c r="F2191">
        <v>854920</v>
      </c>
      <c r="G2191">
        <v>0</v>
      </c>
      <c r="H2191">
        <v>854920</v>
      </c>
      <c r="I2191">
        <v>0</v>
      </c>
      <c r="J2191">
        <v>0</v>
      </c>
      <c r="K2191">
        <v>854920</v>
      </c>
      <c r="L2191">
        <v>0</v>
      </c>
      <c r="M2191">
        <v>0</v>
      </c>
      <c r="N2191">
        <v>0</v>
      </c>
      <c r="O2191">
        <v>0</v>
      </c>
      <c r="P2191" t="s">
        <v>192</v>
      </c>
      <c r="Q2191" t="s">
        <v>192</v>
      </c>
      <c r="R2191">
        <v>1</v>
      </c>
      <c r="S2191">
        <v>5000</v>
      </c>
      <c r="T2191">
        <v>840000</v>
      </c>
      <c r="U2191">
        <v>0</v>
      </c>
      <c r="V2191">
        <v>0</v>
      </c>
      <c r="W2191">
        <v>0</v>
      </c>
      <c r="X2191" s="367"/>
    </row>
    <row r="2192" spans="1:24">
      <c r="A2192" t="s">
        <v>2517</v>
      </c>
      <c r="B2192" t="s">
        <v>128</v>
      </c>
      <c r="C2192">
        <v>5</v>
      </c>
      <c r="D2192">
        <v>88153</v>
      </c>
      <c r="E2192">
        <v>952052400</v>
      </c>
      <c r="F2192">
        <v>10490</v>
      </c>
      <c r="G2192">
        <v>10800</v>
      </c>
      <c r="H2192">
        <v>10800</v>
      </c>
      <c r="I2192">
        <v>310</v>
      </c>
      <c r="J2192">
        <v>2.96</v>
      </c>
      <c r="K2192">
        <v>10800</v>
      </c>
      <c r="L2192">
        <v>310</v>
      </c>
      <c r="M2192">
        <v>2.96</v>
      </c>
      <c r="N2192">
        <v>10800</v>
      </c>
      <c r="O2192">
        <v>10800</v>
      </c>
      <c r="P2192">
        <v>1069</v>
      </c>
      <c r="Q2192">
        <v>10.1</v>
      </c>
      <c r="R2192">
        <v>118</v>
      </c>
      <c r="S2192">
        <v>11501198</v>
      </c>
      <c r="T2192">
        <v>10800</v>
      </c>
      <c r="U2192">
        <v>0</v>
      </c>
      <c r="V2192">
        <v>0</v>
      </c>
      <c r="W2192">
        <v>0</v>
      </c>
      <c r="X2192" s="367"/>
    </row>
    <row r="2193" spans="1:24">
      <c r="A2193" t="s">
        <v>5096</v>
      </c>
      <c r="B2193" t="s">
        <v>5097</v>
      </c>
      <c r="C2193">
        <v>0</v>
      </c>
      <c r="D2193">
        <v>0</v>
      </c>
      <c r="E2193">
        <v>0</v>
      </c>
      <c r="F2193">
        <v>1000000</v>
      </c>
      <c r="G2193">
        <v>0</v>
      </c>
      <c r="H2193">
        <v>1000000</v>
      </c>
      <c r="I2193">
        <v>0</v>
      </c>
      <c r="J2193">
        <v>0</v>
      </c>
      <c r="K2193">
        <v>1000000</v>
      </c>
      <c r="L2193">
        <v>0</v>
      </c>
      <c r="M2193">
        <v>0</v>
      </c>
      <c r="N2193">
        <v>0</v>
      </c>
      <c r="O2193">
        <v>0</v>
      </c>
      <c r="P2193" t="s">
        <v>192</v>
      </c>
      <c r="Q2193" t="s">
        <v>192</v>
      </c>
      <c r="R2193">
        <v>1</v>
      </c>
      <c r="S2193">
        <v>3125</v>
      </c>
      <c r="T2193">
        <v>1000000</v>
      </c>
      <c r="U2193">
        <v>0</v>
      </c>
      <c r="V2193">
        <v>0</v>
      </c>
      <c r="W2193">
        <v>0</v>
      </c>
      <c r="X2193" s="367"/>
    </row>
    <row r="2194" spans="1:24">
      <c r="A2194" t="s">
        <v>8849</v>
      </c>
      <c r="B2194" t="s">
        <v>2985</v>
      </c>
      <c r="C2194">
        <v>4</v>
      </c>
      <c r="D2194">
        <v>45894</v>
      </c>
      <c r="E2194">
        <v>273987180</v>
      </c>
      <c r="F2194">
        <v>5800</v>
      </c>
      <c r="G2194">
        <v>5970</v>
      </c>
      <c r="H2194">
        <v>5970</v>
      </c>
      <c r="I2194">
        <v>170</v>
      </c>
      <c r="J2194">
        <v>2.93</v>
      </c>
      <c r="K2194">
        <v>5970</v>
      </c>
      <c r="L2194">
        <v>170</v>
      </c>
      <c r="M2194">
        <v>2.93</v>
      </c>
      <c r="N2194">
        <v>5970</v>
      </c>
      <c r="O2194">
        <v>5970</v>
      </c>
      <c r="P2194">
        <v>1045</v>
      </c>
      <c r="Q2194">
        <v>5.71</v>
      </c>
      <c r="R2194">
        <v>16</v>
      </c>
      <c r="S2194">
        <v>4192367</v>
      </c>
      <c r="T2194">
        <v>5970</v>
      </c>
      <c r="U2194">
        <v>0</v>
      </c>
      <c r="V2194">
        <v>0</v>
      </c>
      <c r="W2194">
        <v>0</v>
      </c>
      <c r="X2194" s="367"/>
    </row>
    <row r="2195" spans="1:24">
      <c r="A2195" t="s">
        <v>3753</v>
      </c>
      <c r="B2195" t="s">
        <v>3754</v>
      </c>
      <c r="C2195">
        <v>138</v>
      </c>
      <c r="D2195">
        <v>33701</v>
      </c>
      <c r="E2195">
        <v>4757828000</v>
      </c>
      <c r="F2195">
        <v>102</v>
      </c>
      <c r="G2195">
        <v>121</v>
      </c>
      <c r="H2195">
        <v>149</v>
      </c>
      <c r="I2195">
        <v>47</v>
      </c>
      <c r="J2195">
        <v>46.08</v>
      </c>
      <c r="K2195">
        <v>141</v>
      </c>
      <c r="L2195">
        <v>39</v>
      </c>
      <c r="M2195">
        <v>38.24</v>
      </c>
      <c r="N2195">
        <v>121</v>
      </c>
      <c r="O2195">
        <v>158</v>
      </c>
      <c r="P2195" t="s">
        <v>192</v>
      </c>
      <c r="Q2195" t="s">
        <v>192</v>
      </c>
      <c r="R2195">
        <v>1</v>
      </c>
      <c r="S2195">
        <v>500</v>
      </c>
      <c r="T2195">
        <v>139</v>
      </c>
      <c r="U2195">
        <v>149</v>
      </c>
      <c r="V2195">
        <v>110</v>
      </c>
      <c r="W2195">
        <v>1</v>
      </c>
      <c r="X2195" s="367"/>
    </row>
    <row r="2196" spans="1:24">
      <c r="A2196" t="s">
        <v>8386</v>
      </c>
      <c r="B2196" t="s">
        <v>8387</v>
      </c>
      <c r="C2196">
        <v>0</v>
      </c>
      <c r="D2196">
        <v>0</v>
      </c>
      <c r="E2196">
        <v>0</v>
      </c>
      <c r="F2196">
        <v>1</v>
      </c>
      <c r="G2196">
        <v>0</v>
      </c>
      <c r="H2196">
        <v>1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P2196" t="s">
        <v>192</v>
      </c>
      <c r="Q2196" t="s">
        <v>192</v>
      </c>
      <c r="R2196">
        <v>1</v>
      </c>
      <c r="S2196">
        <v>100</v>
      </c>
      <c r="T2196">
        <v>1</v>
      </c>
      <c r="U2196">
        <v>0</v>
      </c>
      <c r="V2196">
        <v>0</v>
      </c>
      <c r="W2196">
        <v>0</v>
      </c>
      <c r="X2196" s="367"/>
    </row>
    <row r="2197" spans="1:24">
      <c r="A2197" t="s">
        <v>8636</v>
      </c>
      <c r="B2197" t="s">
        <v>4772</v>
      </c>
      <c r="C2197">
        <v>3</v>
      </c>
      <c r="D2197">
        <v>6000000</v>
      </c>
      <c r="E2197">
        <v>6000000</v>
      </c>
      <c r="F2197">
        <v>43764</v>
      </c>
      <c r="G2197">
        <v>1</v>
      </c>
      <c r="H2197">
        <v>1</v>
      </c>
      <c r="I2197">
        <v>-43763</v>
      </c>
      <c r="J2197">
        <v>-100</v>
      </c>
      <c r="K2197">
        <v>1</v>
      </c>
      <c r="L2197">
        <v>-43763</v>
      </c>
      <c r="M2197">
        <v>-100</v>
      </c>
      <c r="N2197">
        <v>1</v>
      </c>
      <c r="O2197">
        <v>1</v>
      </c>
      <c r="P2197" t="s">
        <v>192</v>
      </c>
      <c r="Q2197" t="s">
        <v>192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 s="367"/>
    </row>
    <row r="2198" spans="1:24">
      <c r="A2198" t="s">
        <v>2007</v>
      </c>
      <c r="B2198" t="s">
        <v>2006</v>
      </c>
      <c r="C2198">
        <v>271</v>
      </c>
      <c r="D2198">
        <v>985339</v>
      </c>
      <c r="E2198">
        <v>212537622300</v>
      </c>
      <c r="F2198">
        <v>209500</v>
      </c>
      <c r="G2198">
        <v>215700</v>
      </c>
      <c r="H2198">
        <v>215700</v>
      </c>
      <c r="I2198">
        <v>6200</v>
      </c>
      <c r="J2198">
        <v>2.96</v>
      </c>
      <c r="K2198">
        <v>215700</v>
      </c>
      <c r="L2198">
        <v>6200</v>
      </c>
      <c r="M2198">
        <v>2.96</v>
      </c>
      <c r="N2198">
        <v>215700</v>
      </c>
      <c r="O2198">
        <v>215700</v>
      </c>
      <c r="P2198">
        <v>41853</v>
      </c>
      <c r="Q2198">
        <v>5.15</v>
      </c>
      <c r="R2198">
        <v>219</v>
      </c>
      <c r="S2198">
        <v>1363075</v>
      </c>
      <c r="T2198">
        <v>215700</v>
      </c>
      <c r="U2198">
        <v>0</v>
      </c>
      <c r="V2198">
        <v>0</v>
      </c>
      <c r="W2198">
        <v>0</v>
      </c>
      <c r="X2198" s="367"/>
    </row>
    <row r="2199" spans="1:24">
      <c r="A2199" t="s">
        <v>929</v>
      </c>
      <c r="B2199" t="s">
        <v>2305</v>
      </c>
      <c r="C2199">
        <v>214</v>
      </c>
      <c r="D2199">
        <v>2598019</v>
      </c>
      <c r="E2199">
        <v>51768216490</v>
      </c>
      <c r="F2199">
        <v>19350</v>
      </c>
      <c r="G2199">
        <v>19930</v>
      </c>
      <c r="H2199">
        <v>19930</v>
      </c>
      <c r="I2199">
        <v>580</v>
      </c>
      <c r="J2199">
        <v>3</v>
      </c>
      <c r="K2199">
        <v>19930</v>
      </c>
      <c r="L2199">
        <v>580</v>
      </c>
      <c r="M2199">
        <v>3</v>
      </c>
      <c r="N2199">
        <v>19520</v>
      </c>
      <c r="O2199">
        <v>19930</v>
      </c>
      <c r="P2199">
        <v>-3018</v>
      </c>
      <c r="Q2199">
        <v>-6.6</v>
      </c>
      <c r="R2199">
        <v>14</v>
      </c>
      <c r="S2199">
        <v>555153</v>
      </c>
      <c r="T2199">
        <v>19930</v>
      </c>
      <c r="U2199">
        <v>0</v>
      </c>
      <c r="V2199">
        <v>0</v>
      </c>
      <c r="W2199">
        <v>0</v>
      </c>
      <c r="X2199" s="367"/>
    </row>
    <row r="2200" spans="1:24">
      <c r="A2200" t="s">
        <v>5125</v>
      </c>
      <c r="B2200" t="s">
        <v>5126</v>
      </c>
      <c r="C2200">
        <v>0</v>
      </c>
      <c r="D2200">
        <v>0</v>
      </c>
      <c r="E2200">
        <v>0</v>
      </c>
      <c r="F2200">
        <v>1000000</v>
      </c>
      <c r="G2200">
        <v>0</v>
      </c>
      <c r="H2200">
        <v>1000000</v>
      </c>
      <c r="I2200">
        <v>0</v>
      </c>
      <c r="J2200">
        <v>0</v>
      </c>
      <c r="K2200">
        <v>1000000</v>
      </c>
      <c r="L2200">
        <v>0</v>
      </c>
      <c r="M2200">
        <v>0</v>
      </c>
      <c r="N2200">
        <v>0</v>
      </c>
      <c r="O2200">
        <v>0</v>
      </c>
      <c r="P2200" t="s">
        <v>192</v>
      </c>
      <c r="Q2200" t="s">
        <v>192</v>
      </c>
      <c r="R2200">
        <v>1</v>
      </c>
      <c r="S2200">
        <v>50000</v>
      </c>
      <c r="T2200">
        <v>990000</v>
      </c>
      <c r="U2200">
        <v>1000000</v>
      </c>
      <c r="V2200">
        <v>50000</v>
      </c>
      <c r="W2200">
        <v>1</v>
      </c>
      <c r="X2200" s="367"/>
    </row>
    <row r="2201" spans="1:24">
      <c r="A2201" t="s">
        <v>5041</v>
      </c>
      <c r="B2201" t="s">
        <v>5042</v>
      </c>
      <c r="C2201">
        <v>11</v>
      </c>
      <c r="D2201">
        <v>893179</v>
      </c>
      <c r="E2201">
        <v>2911763540</v>
      </c>
      <c r="F2201">
        <v>3170</v>
      </c>
      <c r="G2201">
        <v>3260</v>
      </c>
      <c r="H2201">
        <v>3260</v>
      </c>
      <c r="I2201">
        <v>90</v>
      </c>
      <c r="J2201">
        <v>2.84</v>
      </c>
      <c r="K2201">
        <v>3180</v>
      </c>
      <c r="L2201">
        <v>10</v>
      </c>
      <c r="M2201">
        <v>0.32</v>
      </c>
      <c r="N2201">
        <v>3260</v>
      </c>
      <c r="O2201">
        <v>3260</v>
      </c>
      <c r="P2201">
        <v>0</v>
      </c>
      <c r="Q2201" t="s">
        <v>192</v>
      </c>
      <c r="R2201">
        <v>42</v>
      </c>
      <c r="S2201">
        <v>4710048</v>
      </c>
      <c r="T2201">
        <v>3260</v>
      </c>
      <c r="U2201">
        <v>0</v>
      </c>
      <c r="V2201">
        <v>0</v>
      </c>
      <c r="W2201">
        <v>0</v>
      </c>
      <c r="X2201" s="367"/>
    </row>
    <row r="2202" spans="1:24">
      <c r="A2202" t="s">
        <v>7742</v>
      </c>
      <c r="B2202" t="s">
        <v>5182</v>
      </c>
      <c r="C2202">
        <v>13</v>
      </c>
      <c r="D2202">
        <v>12500000</v>
      </c>
      <c r="E2202">
        <v>12500000</v>
      </c>
      <c r="F2202">
        <v>19293</v>
      </c>
      <c r="G2202">
        <v>1</v>
      </c>
      <c r="H2202">
        <v>1</v>
      </c>
      <c r="I2202">
        <v>-19292</v>
      </c>
      <c r="J2202">
        <v>-99.99</v>
      </c>
      <c r="K2202">
        <v>1</v>
      </c>
      <c r="L2202">
        <v>-19292</v>
      </c>
      <c r="M2202">
        <v>-99.99</v>
      </c>
      <c r="N2202">
        <v>1</v>
      </c>
      <c r="O2202">
        <v>1</v>
      </c>
      <c r="P2202" t="s">
        <v>192</v>
      </c>
      <c r="Q2202" t="s">
        <v>192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 s="367"/>
    </row>
    <row r="2203" spans="1:24">
      <c r="A2203" t="s">
        <v>8650</v>
      </c>
      <c r="B2203" t="s">
        <v>8651</v>
      </c>
      <c r="C2203">
        <v>2</v>
      </c>
      <c r="D2203">
        <v>43350566</v>
      </c>
      <c r="E2203">
        <v>34868767658704</v>
      </c>
      <c r="F2203">
        <v>804640</v>
      </c>
      <c r="G2203">
        <v>803938</v>
      </c>
      <c r="H2203">
        <v>804750</v>
      </c>
      <c r="I2203">
        <v>110</v>
      </c>
      <c r="J2203">
        <v>0.01</v>
      </c>
      <c r="K2203">
        <v>804344</v>
      </c>
      <c r="L2203">
        <v>-296</v>
      </c>
      <c r="M2203">
        <v>-0.04</v>
      </c>
      <c r="N2203">
        <v>803938</v>
      </c>
      <c r="O2203">
        <v>804750</v>
      </c>
      <c r="P2203" t="s">
        <v>192</v>
      </c>
      <c r="Q2203" t="s">
        <v>192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 s="367"/>
    </row>
    <row r="2204" spans="1:24">
      <c r="A2204" t="s">
        <v>8678</v>
      </c>
      <c r="B2204" t="s">
        <v>8536</v>
      </c>
      <c r="C2204">
        <v>19</v>
      </c>
      <c r="D2204">
        <v>172000000</v>
      </c>
      <c r="E2204">
        <v>172000000</v>
      </c>
      <c r="F2204">
        <v>10481</v>
      </c>
      <c r="G2204">
        <v>1</v>
      </c>
      <c r="H2204">
        <v>1</v>
      </c>
      <c r="I2204">
        <v>-10480</v>
      </c>
      <c r="J2204">
        <v>-99.99</v>
      </c>
      <c r="K2204">
        <v>1</v>
      </c>
      <c r="L2204">
        <v>-10480</v>
      </c>
      <c r="M2204">
        <v>-99.99</v>
      </c>
      <c r="N2204">
        <v>1</v>
      </c>
      <c r="O2204">
        <v>1</v>
      </c>
      <c r="P2204" t="s">
        <v>192</v>
      </c>
      <c r="Q2204" t="s">
        <v>192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 s="367"/>
    </row>
    <row r="2205" spans="1:24">
      <c r="A2205" t="s">
        <v>5558</v>
      </c>
      <c r="B2205" t="s">
        <v>5559</v>
      </c>
      <c r="C2205">
        <v>0</v>
      </c>
      <c r="D2205">
        <v>0</v>
      </c>
      <c r="E2205">
        <v>0</v>
      </c>
      <c r="F2205">
        <v>1000000</v>
      </c>
      <c r="G2205">
        <v>0</v>
      </c>
      <c r="H2205">
        <v>1000000</v>
      </c>
      <c r="I2205">
        <v>0</v>
      </c>
      <c r="J2205">
        <v>0</v>
      </c>
      <c r="K2205">
        <v>1000000</v>
      </c>
      <c r="L2205">
        <v>0</v>
      </c>
      <c r="M2205">
        <v>0</v>
      </c>
      <c r="N2205">
        <v>0</v>
      </c>
      <c r="O2205">
        <v>0</v>
      </c>
      <c r="P2205" t="s">
        <v>192</v>
      </c>
      <c r="Q2205" t="s">
        <v>192</v>
      </c>
      <c r="R2205">
        <v>1</v>
      </c>
      <c r="S2205">
        <v>10000</v>
      </c>
      <c r="T2205">
        <v>995000</v>
      </c>
      <c r="U2205">
        <v>0</v>
      </c>
      <c r="V2205">
        <v>0</v>
      </c>
      <c r="W2205">
        <v>0</v>
      </c>
      <c r="X2205" s="367"/>
    </row>
    <row r="2206" spans="1:24">
      <c r="A2206" t="s">
        <v>2373</v>
      </c>
      <c r="B2206" t="s">
        <v>2372</v>
      </c>
      <c r="C2206">
        <v>80</v>
      </c>
      <c r="D2206">
        <v>5724744</v>
      </c>
      <c r="E2206">
        <v>8226457128</v>
      </c>
      <c r="F2206">
        <v>1396</v>
      </c>
      <c r="G2206">
        <v>1437</v>
      </c>
      <c r="H2206">
        <v>1437</v>
      </c>
      <c r="I2206">
        <v>41</v>
      </c>
      <c r="J2206">
        <v>2.94</v>
      </c>
      <c r="K2206">
        <v>1437</v>
      </c>
      <c r="L2206">
        <v>41</v>
      </c>
      <c r="M2206">
        <v>2.94</v>
      </c>
      <c r="N2206">
        <v>1437</v>
      </c>
      <c r="O2206">
        <v>1437</v>
      </c>
      <c r="P2206">
        <v>7</v>
      </c>
      <c r="Q2206">
        <v>205.29</v>
      </c>
      <c r="R2206">
        <v>9</v>
      </c>
      <c r="S2206">
        <v>926248</v>
      </c>
      <c r="T2206">
        <v>1437</v>
      </c>
      <c r="U2206">
        <v>0</v>
      </c>
      <c r="V2206">
        <v>0</v>
      </c>
      <c r="W2206">
        <v>0</v>
      </c>
      <c r="X2206" s="367"/>
    </row>
    <row r="2207" spans="1:24">
      <c r="A2207" t="s">
        <v>2844</v>
      </c>
      <c r="B2207" t="s">
        <v>2842</v>
      </c>
      <c r="C2207">
        <v>3</v>
      </c>
      <c r="D2207">
        <v>1038</v>
      </c>
      <c r="E2207">
        <v>2207826</v>
      </c>
      <c r="F2207">
        <v>2066</v>
      </c>
      <c r="G2207">
        <v>2127</v>
      </c>
      <c r="H2207">
        <v>2127</v>
      </c>
      <c r="I2207">
        <v>61</v>
      </c>
      <c r="J2207">
        <v>2.95</v>
      </c>
      <c r="K2207">
        <v>2127</v>
      </c>
      <c r="L2207">
        <v>61</v>
      </c>
      <c r="M2207">
        <v>2.95</v>
      </c>
      <c r="N2207">
        <v>2127</v>
      </c>
      <c r="O2207">
        <v>2127</v>
      </c>
      <c r="P2207">
        <v>564</v>
      </c>
      <c r="Q2207">
        <v>3.77</v>
      </c>
      <c r="R2207">
        <v>5</v>
      </c>
      <c r="S2207">
        <v>349417</v>
      </c>
      <c r="T2207">
        <v>2127</v>
      </c>
      <c r="U2207">
        <v>0</v>
      </c>
      <c r="V2207">
        <v>0</v>
      </c>
      <c r="W2207">
        <v>0</v>
      </c>
      <c r="X2207" s="367"/>
    </row>
    <row r="2208" spans="1:24">
      <c r="A2208" t="s">
        <v>2425</v>
      </c>
      <c r="B2208" t="s">
        <v>2424</v>
      </c>
      <c r="C2208">
        <v>5570</v>
      </c>
      <c r="D2208">
        <v>129955101</v>
      </c>
      <c r="E2208">
        <v>1427578802000</v>
      </c>
      <c r="F2208">
        <v>10750</v>
      </c>
      <c r="G2208">
        <v>10890</v>
      </c>
      <c r="H2208">
        <v>11070</v>
      </c>
      <c r="I2208">
        <v>320</v>
      </c>
      <c r="J2208">
        <v>2.98</v>
      </c>
      <c r="K2208">
        <v>10990</v>
      </c>
      <c r="L2208">
        <v>240</v>
      </c>
      <c r="M2208">
        <v>2.23</v>
      </c>
      <c r="N2208">
        <v>10760</v>
      </c>
      <c r="O2208">
        <v>11070</v>
      </c>
      <c r="P2208">
        <v>1012</v>
      </c>
      <c r="Q2208">
        <v>10.86</v>
      </c>
      <c r="R2208">
        <v>402</v>
      </c>
      <c r="S2208">
        <v>38929052</v>
      </c>
      <c r="T2208">
        <v>11070</v>
      </c>
      <c r="U2208">
        <v>11090</v>
      </c>
      <c r="V2208">
        <v>248000</v>
      </c>
      <c r="W2208">
        <v>6</v>
      </c>
      <c r="X2208" s="367"/>
    </row>
    <row r="2209" spans="1:24">
      <c r="A2209" t="s">
        <v>2297</v>
      </c>
      <c r="B2209" t="s">
        <v>32</v>
      </c>
      <c r="C2209">
        <v>2</v>
      </c>
      <c r="D2209">
        <v>2500</v>
      </c>
      <c r="E2209">
        <v>28800000</v>
      </c>
      <c r="F2209">
        <v>11230</v>
      </c>
      <c r="G2209">
        <v>11520</v>
      </c>
      <c r="H2209">
        <v>11520</v>
      </c>
      <c r="I2209">
        <v>290</v>
      </c>
      <c r="J2209">
        <v>2.58</v>
      </c>
      <c r="K2209">
        <v>11520</v>
      </c>
      <c r="L2209">
        <v>290</v>
      </c>
      <c r="M2209">
        <v>2.58</v>
      </c>
      <c r="N2209">
        <v>11520</v>
      </c>
      <c r="O2209">
        <v>11520</v>
      </c>
      <c r="P2209">
        <v>1929</v>
      </c>
      <c r="Q2209">
        <v>5.97</v>
      </c>
      <c r="R2209">
        <v>18</v>
      </c>
      <c r="S2209">
        <v>230888</v>
      </c>
      <c r="T2209">
        <v>11520</v>
      </c>
      <c r="U2209">
        <v>0</v>
      </c>
      <c r="V2209">
        <v>0</v>
      </c>
      <c r="W2209">
        <v>0</v>
      </c>
      <c r="X2209" s="367"/>
    </row>
    <row r="2210" spans="1:24">
      <c r="A2210" t="s">
        <v>2389</v>
      </c>
      <c r="B2210" t="s">
        <v>2388</v>
      </c>
      <c r="C2210">
        <v>501</v>
      </c>
      <c r="D2210">
        <v>13921472</v>
      </c>
      <c r="E2210">
        <v>33655439800</v>
      </c>
      <c r="F2210">
        <v>2350</v>
      </c>
      <c r="G2210">
        <v>2355</v>
      </c>
      <c r="H2210">
        <v>2420</v>
      </c>
      <c r="I2210">
        <v>70</v>
      </c>
      <c r="J2210">
        <v>2.98</v>
      </c>
      <c r="K2210">
        <v>2418</v>
      </c>
      <c r="L2210">
        <v>68</v>
      </c>
      <c r="M2210">
        <v>2.89</v>
      </c>
      <c r="N2210">
        <v>2355</v>
      </c>
      <c r="O2210">
        <v>2420</v>
      </c>
      <c r="P2210">
        <v>282</v>
      </c>
      <c r="Q2210">
        <v>8.57</v>
      </c>
      <c r="R2210">
        <v>2</v>
      </c>
      <c r="S2210">
        <v>554641</v>
      </c>
      <c r="T2210">
        <v>2420</v>
      </c>
      <c r="U2210">
        <v>0</v>
      </c>
      <c r="V2210">
        <v>0</v>
      </c>
      <c r="W2210">
        <v>0</v>
      </c>
      <c r="X2210" s="367"/>
    </row>
    <row r="2211" spans="1:24">
      <c r="A2211" t="s">
        <v>2465</v>
      </c>
      <c r="B2211" t="s">
        <v>2464</v>
      </c>
      <c r="C2211">
        <v>193</v>
      </c>
      <c r="D2211">
        <v>3261717</v>
      </c>
      <c r="E2211">
        <v>25438842920</v>
      </c>
      <c r="F2211">
        <v>7580</v>
      </c>
      <c r="G2211">
        <v>7790</v>
      </c>
      <c r="H2211">
        <v>7800</v>
      </c>
      <c r="I2211">
        <v>220</v>
      </c>
      <c r="J2211">
        <v>2.9</v>
      </c>
      <c r="K2211">
        <v>7800</v>
      </c>
      <c r="L2211">
        <v>220</v>
      </c>
      <c r="M2211">
        <v>2.9</v>
      </c>
      <c r="N2211">
        <v>7700</v>
      </c>
      <c r="O2211">
        <v>7800</v>
      </c>
      <c r="P2211">
        <v>1466</v>
      </c>
      <c r="Q2211">
        <v>5.32</v>
      </c>
      <c r="R2211">
        <v>2</v>
      </c>
      <c r="S2211">
        <v>19000</v>
      </c>
      <c r="T2211">
        <v>7770</v>
      </c>
      <c r="U2211">
        <v>0</v>
      </c>
      <c r="V2211">
        <v>0</v>
      </c>
      <c r="W2211">
        <v>0</v>
      </c>
      <c r="X2211" s="367"/>
    </row>
    <row r="2212" spans="1:24">
      <c r="A2212" t="s">
        <v>2113</v>
      </c>
      <c r="B2212" t="s">
        <v>2112</v>
      </c>
      <c r="C2212">
        <v>227</v>
      </c>
      <c r="D2212">
        <v>1982453</v>
      </c>
      <c r="E2212">
        <v>39585775750</v>
      </c>
      <c r="F2212">
        <v>19660</v>
      </c>
      <c r="G2212">
        <v>20240</v>
      </c>
      <c r="H2212">
        <v>20230</v>
      </c>
      <c r="I2212">
        <v>570</v>
      </c>
      <c r="J2212">
        <v>2.9</v>
      </c>
      <c r="K2212">
        <v>19970</v>
      </c>
      <c r="L2212">
        <v>310</v>
      </c>
      <c r="M2212">
        <v>1.58</v>
      </c>
      <c r="N2212">
        <v>19380</v>
      </c>
      <c r="O2212">
        <v>20240</v>
      </c>
      <c r="P2212">
        <v>344</v>
      </c>
      <c r="Q2212">
        <v>58.05</v>
      </c>
      <c r="R2212">
        <v>1</v>
      </c>
      <c r="S2212">
        <v>8000</v>
      </c>
      <c r="T2212">
        <v>19560</v>
      </c>
      <c r="U2212">
        <v>20230</v>
      </c>
      <c r="V2212">
        <v>517</v>
      </c>
      <c r="W2212">
        <v>1</v>
      </c>
      <c r="X2212" s="367"/>
    </row>
    <row r="2213" spans="1:24">
      <c r="A2213" t="s">
        <v>2705</v>
      </c>
      <c r="B2213" t="s">
        <v>2704</v>
      </c>
      <c r="C2213">
        <v>464</v>
      </c>
      <c r="D2213">
        <v>12273982</v>
      </c>
      <c r="E2213">
        <v>50077090480</v>
      </c>
      <c r="F2213">
        <v>3970</v>
      </c>
      <c r="G2213">
        <v>4080</v>
      </c>
      <c r="H2213">
        <v>4080</v>
      </c>
      <c r="I2213">
        <v>110</v>
      </c>
      <c r="J2213">
        <v>2.77</v>
      </c>
      <c r="K2213">
        <v>4080</v>
      </c>
      <c r="L2213">
        <v>110</v>
      </c>
      <c r="M2213">
        <v>2.77</v>
      </c>
      <c r="N2213">
        <v>4070</v>
      </c>
      <c r="O2213">
        <v>4080</v>
      </c>
      <c r="P2213">
        <v>260</v>
      </c>
      <c r="Q2213">
        <v>15.69</v>
      </c>
      <c r="R2213">
        <v>23</v>
      </c>
      <c r="S2213">
        <v>1675259</v>
      </c>
      <c r="T2213">
        <v>4080</v>
      </c>
      <c r="U2213">
        <v>0</v>
      </c>
      <c r="V2213">
        <v>0</v>
      </c>
      <c r="W2213">
        <v>0</v>
      </c>
      <c r="X2213" s="367"/>
    </row>
    <row r="2214" spans="1:24">
      <c r="A2214" t="s">
        <v>2187</v>
      </c>
      <c r="B2214" t="s">
        <v>2186</v>
      </c>
      <c r="C2214">
        <v>603</v>
      </c>
      <c r="D2214">
        <v>2067125</v>
      </c>
      <c r="E2214">
        <v>18356070000</v>
      </c>
      <c r="F2214">
        <v>8630</v>
      </c>
      <c r="G2214">
        <v>8880</v>
      </c>
      <c r="H2214">
        <v>8880</v>
      </c>
      <c r="I2214">
        <v>250</v>
      </c>
      <c r="J2214">
        <v>2.9</v>
      </c>
      <c r="K2214">
        <v>8880</v>
      </c>
      <c r="L2214">
        <v>250</v>
      </c>
      <c r="M2214">
        <v>2.9</v>
      </c>
      <c r="N2214">
        <v>8880</v>
      </c>
      <c r="O2214">
        <v>8880</v>
      </c>
      <c r="P2214">
        <v>144</v>
      </c>
      <c r="Q2214">
        <v>61.67</v>
      </c>
      <c r="R2214">
        <v>72</v>
      </c>
      <c r="S2214">
        <v>1704133</v>
      </c>
      <c r="T2214">
        <v>8880</v>
      </c>
      <c r="U2214">
        <v>0</v>
      </c>
      <c r="V2214">
        <v>0</v>
      </c>
      <c r="W2214">
        <v>0</v>
      </c>
      <c r="X2214" s="367"/>
    </row>
    <row r="2215" spans="1:24">
      <c r="A2215" t="s">
        <v>2232</v>
      </c>
      <c r="B2215" t="s">
        <v>2231</v>
      </c>
      <c r="C2215">
        <v>857</v>
      </c>
      <c r="D2215">
        <v>25165752</v>
      </c>
      <c r="E2215">
        <v>222874131160</v>
      </c>
      <c r="F2215">
        <v>8650</v>
      </c>
      <c r="G2215">
        <v>8720</v>
      </c>
      <c r="H2215">
        <v>8870</v>
      </c>
      <c r="I2215">
        <v>220</v>
      </c>
      <c r="J2215">
        <v>2.54</v>
      </c>
      <c r="K2215">
        <v>8860</v>
      </c>
      <c r="L2215">
        <v>210</v>
      </c>
      <c r="M2215">
        <v>2.4300000000000002</v>
      </c>
      <c r="N2215">
        <v>8650</v>
      </c>
      <c r="O2215">
        <v>8900</v>
      </c>
      <c r="P2215">
        <v>806</v>
      </c>
      <c r="Q2215">
        <v>10.99</v>
      </c>
      <c r="R2215">
        <v>4</v>
      </c>
      <c r="S2215">
        <v>17674</v>
      </c>
      <c r="T2215">
        <v>8790</v>
      </c>
      <c r="U2215">
        <v>8890</v>
      </c>
      <c r="V2215">
        <v>193591</v>
      </c>
      <c r="W2215">
        <v>3</v>
      </c>
      <c r="X2215" s="367"/>
    </row>
    <row r="2216" spans="1:24">
      <c r="A2216" t="s">
        <v>5562</v>
      </c>
      <c r="B2216" t="s">
        <v>5563</v>
      </c>
      <c r="C2216">
        <v>0</v>
      </c>
      <c r="D2216">
        <v>0</v>
      </c>
      <c r="E2216">
        <v>0</v>
      </c>
      <c r="F2216">
        <v>1000000</v>
      </c>
      <c r="G2216">
        <v>0</v>
      </c>
      <c r="H2216">
        <v>1000000</v>
      </c>
      <c r="I2216">
        <v>0</v>
      </c>
      <c r="J2216">
        <v>0</v>
      </c>
      <c r="K2216">
        <v>1000000</v>
      </c>
      <c r="L2216">
        <v>0</v>
      </c>
      <c r="M2216">
        <v>0</v>
      </c>
      <c r="N2216">
        <v>0</v>
      </c>
      <c r="O2216">
        <v>0</v>
      </c>
      <c r="P2216" t="s">
        <v>192</v>
      </c>
      <c r="Q2216" t="s">
        <v>192</v>
      </c>
      <c r="R2216">
        <v>1</v>
      </c>
      <c r="S2216">
        <v>5000</v>
      </c>
      <c r="T2216">
        <v>1000000</v>
      </c>
      <c r="U2216">
        <v>1010000</v>
      </c>
      <c r="V2216">
        <v>5000</v>
      </c>
      <c r="W2216">
        <v>1</v>
      </c>
      <c r="X2216" s="367"/>
    </row>
    <row r="2217" spans="1:24">
      <c r="A2217" t="s">
        <v>2693</v>
      </c>
      <c r="B2217" t="s">
        <v>2692</v>
      </c>
      <c r="C2217">
        <v>328</v>
      </c>
      <c r="D2217">
        <v>110730778</v>
      </c>
      <c r="E2217">
        <v>230762941352</v>
      </c>
      <c r="F2217">
        <v>2024</v>
      </c>
      <c r="G2217">
        <v>2084</v>
      </c>
      <c r="H2217">
        <v>2084</v>
      </c>
      <c r="I2217">
        <v>60</v>
      </c>
      <c r="J2217">
        <v>2.96</v>
      </c>
      <c r="K2217">
        <v>2084</v>
      </c>
      <c r="L2217">
        <v>60</v>
      </c>
      <c r="M2217">
        <v>2.96</v>
      </c>
      <c r="N2217">
        <v>2084</v>
      </c>
      <c r="O2217">
        <v>2084</v>
      </c>
      <c r="P2217">
        <v>388</v>
      </c>
      <c r="Q2217">
        <v>5.37</v>
      </c>
      <c r="R2217">
        <v>195</v>
      </c>
      <c r="S2217">
        <v>88353686</v>
      </c>
      <c r="T2217">
        <v>2084</v>
      </c>
      <c r="U2217">
        <v>0</v>
      </c>
      <c r="V2217">
        <v>0</v>
      </c>
      <c r="W2217">
        <v>0</v>
      </c>
      <c r="X2217" s="367"/>
    </row>
    <row r="2218" spans="1:24">
      <c r="A2218" t="s">
        <v>5564</v>
      </c>
      <c r="B2218" t="s">
        <v>5565</v>
      </c>
      <c r="C2218">
        <v>0</v>
      </c>
      <c r="D2218">
        <v>0</v>
      </c>
      <c r="E2218">
        <v>0</v>
      </c>
      <c r="F2218">
        <v>1067500</v>
      </c>
      <c r="G2218">
        <v>0</v>
      </c>
      <c r="H2218">
        <v>1067500</v>
      </c>
      <c r="I2218">
        <v>0</v>
      </c>
      <c r="J2218">
        <v>0</v>
      </c>
      <c r="K2218">
        <v>1067500</v>
      </c>
      <c r="L2218">
        <v>0</v>
      </c>
      <c r="M2218">
        <v>0</v>
      </c>
      <c r="N2218">
        <v>0</v>
      </c>
      <c r="O2218">
        <v>0</v>
      </c>
      <c r="P2218" t="s">
        <v>192</v>
      </c>
      <c r="Q2218" t="s">
        <v>192</v>
      </c>
      <c r="R2218">
        <v>1</v>
      </c>
      <c r="S2218">
        <v>5000</v>
      </c>
      <c r="T2218">
        <v>1050000</v>
      </c>
      <c r="U2218">
        <v>1070000</v>
      </c>
      <c r="V2218">
        <v>5000</v>
      </c>
      <c r="W2218">
        <v>1</v>
      </c>
      <c r="X2218" s="367"/>
    </row>
    <row r="2219" spans="1:24">
      <c r="A2219" t="s">
        <v>145</v>
      </c>
      <c r="B2219" t="s">
        <v>144</v>
      </c>
      <c r="C2219">
        <v>1033</v>
      </c>
      <c r="D2219">
        <v>9370944</v>
      </c>
      <c r="E2219">
        <v>606082621840</v>
      </c>
      <c r="F2219">
        <v>62800</v>
      </c>
      <c r="G2219">
        <v>64680</v>
      </c>
      <c r="H2219">
        <v>64680</v>
      </c>
      <c r="I2219">
        <v>1880</v>
      </c>
      <c r="J2219">
        <v>2.99</v>
      </c>
      <c r="K2219">
        <v>64680</v>
      </c>
      <c r="L2219">
        <v>1880</v>
      </c>
      <c r="M2219">
        <v>2.99</v>
      </c>
      <c r="N2219">
        <v>63710</v>
      </c>
      <c r="O2219">
        <v>64680</v>
      </c>
      <c r="P2219">
        <v>9681</v>
      </c>
      <c r="Q2219">
        <v>6.68</v>
      </c>
      <c r="R2219">
        <v>102</v>
      </c>
      <c r="S2219">
        <v>2137761</v>
      </c>
      <c r="T2219">
        <v>64680</v>
      </c>
      <c r="U2219">
        <v>71820</v>
      </c>
      <c r="V2219">
        <v>80</v>
      </c>
      <c r="W2219">
        <v>1</v>
      </c>
      <c r="X2219" s="367"/>
    </row>
    <row r="2220" spans="1:24">
      <c r="A2220" t="s">
        <v>2516</v>
      </c>
      <c r="B2220" t="s">
        <v>2515</v>
      </c>
      <c r="C2220">
        <v>884</v>
      </c>
      <c r="D2220">
        <v>37149994</v>
      </c>
      <c r="E2220">
        <v>529387414500</v>
      </c>
      <c r="F2220">
        <v>13840</v>
      </c>
      <c r="G2220">
        <v>14250</v>
      </c>
      <c r="H2220">
        <v>14250</v>
      </c>
      <c r="I2220">
        <v>410</v>
      </c>
      <c r="J2220">
        <v>2.96</v>
      </c>
      <c r="K2220">
        <v>14250</v>
      </c>
      <c r="L2220">
        <v>410</v>
      </c>
      <c r="M2220">
        <v>2.96</v>
      </c>
      <c r="N2220">
        <v>14250</v>
      </c>
      <c r="O2220">
        <v>14250</v>
      </c>
      <c r="P2220">
        <v>2419</v>
      </c>
      <c r="Q2220">
        <v>5.89</v>
      </c>
      <c r="R2220">
        <v>922</v>
      </c>
      <c r="S2220">
        <v>67738691</v>
      </c>
      <c r="T2220">
        <v>14250</v>
      </c>
      <c r="U2220">
        <v>0</v>
      </c>
      <c r="V2220">
        <v>0</v>
      </c>
      <c r="W2220">
        <v>0</v>
      </c>
      <c r="X2220" s="367"/>
    </row>
    <row r="2221" spans="1:24">
      <c r="A2221" t="s">
        <v>5566</v>
      </c>
      <c r="B2221" t="s">
        <v>5567</v>
      </c>
      <c r="C2221">
        <v>0</v>
      </c>
      <c r="D2221">
        <v>0</v>
      </c>
      <c r="E2221">
        <v>0</v>
      </c>
      <c r="F2221">
        <v>2103340</v>
      </c>
      <c r="G2221">
        <v>0</v>
      </c>
      <c r="H2221">
        <v>2103340</v>
      </c>
      <c r="I2221">
        <v>0</v>
      </c>
      <c r="J2221">
        <v>0</v>
      </c>
      <c r="K2221">
        <v>2103340</v>
      </c>
      <c r="L2221">
        <v>0</v>
      </c>
      <c r="M2221">
        <v>0</v>
      </c>
      <c r="N2221">
        <v>0</v>
      </c>
      <c r="O2221">
        <v>0</v>
      </c>
      <c r="P2221" t="s">
        <v>192</v>
      </c>
      <c r="Q2221" t="s">
        <v>192</v>
      </c>
      <c r="R2221">
        <v>1</v>
      </c>
      <c r="S2221">
        <v>32400</v>
      </c>
      <c r="T2221">
        <v>2122080</v>
      </c>
      <c r="U2221">
        <v>2143301</v>
      </c>
      <c r="V2221">
        <v>32400</v>
      </c>
      <c r="W2221">
        <v>1</v>
      </c>
      <c r="X2221" s="367"/>
    </row>
    <row r="2222" spans="1:24">
      <c r="A2222" t="s">
        <v>2069</v>
      </c>
      <c r="B2222" t="s">
        <v>2068</v>
      </c>
      <c r="C2222">
        <v>113</v>
      </c>
      <c r="D2222">
        <v>4857388</v>
      </c>
      <c r="E2222">
        <v>28950032480</v>
      </c>
      <c r="F2222">
        <v>5790</v>
      </c>
      <c r="G2222">
        <v>5960</v>
      </c>
      <c r="H2222">
        <v>5960</v>
      </c>
      <c r="I2222">
        <v>170</v>
      </c>
      <c r="J2222">
        <v>2.94</v>
      </c>
      <c r="K2222">
        <v>5960</v>
      </c>
      <c r="L2222">
        <v>170</v>
      </c>
      <c r="M2222">
        <v>2.94</v>
      </c>
      <c r="N2222">
        <v>5960</v>
      </c>
      <c r="O2222">
        <v>5960</v>
      </c>
      <c r="P2222">
        <v>327</v>
      </c>
      <c r="Q2222">
        <v>18.23</v>
      </c>
      <c r="R2222">
        <v>120</v>
      </c>
      <c r="S2222">
        <v>5798176</v>
      </c>
      <c r="T2222">
        <v>5960</v>
      </c>
      <c r="U2222">
        <v>0</v>
      </c>
      <c r="V2222">
        <v>0</v>
      </c>
      <c r="W2222">
        <v>0</v>
      </c>
      <c r="X2222" s="367"/>
    </row>
    <row r="2223" spans="1:24">
      <c r="A2223" t="s">
        <v>5568</v>
      </c>
      <c r="B2223" t="s">
        <v>5569</v>
      </c>
      <c r="C2223">
        <v>0</v>
      </c>
      <c r="D2223">
        <v>0</v>
      </c>
      <c r="E2223">
        <v>0</v>
      </c>
      <c r="F2223">
        <v>1000000</v>
      </c>
      <c r="G2223">
        <v>0</v>
      </c>
      <c r="H2223">
        <v>1000000</v>
      </c>
      <c r="I2223">
        <v>0</v>
      </c>
      <c r="J2223">
        <v>0</v>
      </c>
      <c r="K2223">
        <v>1000000</v>
      </c>
      <c r="L2223">
        <v>0</v>
      </c>
      <c r="M2223">
        <v>0</v>
      </c>
      <c r="N2223">
        <v>0</v>
      </c>
      <c r="O2223">
        <v>0</v>
      </c>
      <c r="P2223" t="s">
        <v>192</v>
      </c>
      <c r="Q2223" t="s">
        <v>192</v>
      </c>
      <c r="R2223">
        <v>1</v>
      </c>
      <c r="S2223">
        <v>12500</v>
      </c>
      <c r="T2223">
        <v>990000</v>
      </c>
      <c r="U2223">
        <v>1000000</v>
      </c>
      <c r="V2223">
        <v>12500</v>
      </c>
      <c r="W2223">
        <v>1</v>
      </c>
      <c r="X2223" s="367"/>
    </row>
    <row r="2224" spans="1:24">
      <c r="A2224" t="s">
        <v>5570</v>
      </c>
      <c r="B2224" t="s">
        <v>5571</v>
      </c>
      <c r="C2224">
        <v>0</v>
      </c>
      <c r="D2224">
        <v>0</v>
      </c>
      <c r="E2224">
        <v>0</v>
      </c>
      <c r="F2224">
        <v>1000000</v>
      </c>
      <c r="G2224">
        <v>0</v>
      </c>
      <c r="H2224">
        <v>1000000</v>
      </c>
      <c r="I2224">
        <v>0</v>
      </c>
      <c r="J2224">
        <v>0</v>
      </c>
      <c r="K2224">
        <v>1000000</v>
      </c>
      <c r="L2224">
        <v>0</v>
      </c>
      <c r="M2224">
        <v>0</v>
      </c>
      <c r="N2224">
        <v>0</v>
      </c>
      <c r="O2224">
        <v>0</v>
      </c>
      <c r="P2224" t="s">
        <v>192</v>
      </c>
      <c r="Q2224" t="s">
        <v>192</v>
      </c>
      <c r="R2224">
        <v>1</v>
      </c>
      <c r="S2224">
        <v>5000</v>
      </c>
      <c r="T2224">
        <v>1000000</v>
      </c>
      <c r="U2224">
        <v>1010000</v>
      </c>
      <c r="V2224">
        <v>5000</v>
      </c>
      <c r="W2224">
        <v>1</v>
      </c>
      <c r="X2224" s="367"/>
    </row>
    <row r="2225" spans="1:24">
      <c r="A2225" t="s">
        <v>2342</v>
      </c>
      <c r="B2225" t="s">
        <v>2341</v>
      </c>
      <c r="C2225">
        <v>1451</v>
      </c>
      <c r="D2225">
        <v>8162084</v>
      </c>
      <c r="E2225">
        <v>99060334160</v>
      </c>
      <c r="F2225">
        <v>11810</v>
      </c>
      <c r="G2225">
        <v>12160</v>
      </c>
      <c r="H2225">
        <v>12060</v>
      </c>
      <c r="I2225">
        <v>250</v>
      </c>
      <c r="J2225">
        <v>2.12</v>
      </c>
      <c r="K2225">
        <v>12140</v>
      </c>
      <c r="L2225">
        <v>330</v>
      </c>
      <c r="M2225">
        <v>2.79</v>
      </c>
      <c r="N2225">
        <v>12000</v>
      </c>
      <c r="O2225">
        <v>12160</v>
      </c>
      <c r="P2225">
        <v>1318</v>
      </c>
      <c r="Q2225">
        <v>9.2100000000000009</v>
      </c>
      <c r="R2225">
        <v>1</v>
      </c>
      <c r="S2225">
        <v>926</v>
      </c>
      <c r="T2225">
        <v>12050</v>
      </c>
      <c r="U2225">
        <v>12090</v>
      </c>
      <c r="V2225">
        <v>2000</v>
      </c>
      <c r="W2225">
        <v>1</v>
      </c>
      <c r="X2225" s="367"/>
    </row>
    <row r="2226" spans="1:24">
      <c r="A2226" t="s">
        <v>5572</v>
      </c>
      <c r="B2226" t="s">
        <v>5573</v>
      </c>
      <c r="C2226">
        <v>151</v>
      </c>
      <c r="D2226">
        <v>11281561</v>
      </c>
      <c r="E2226">
        <v>344392212647</v>
      </c>
      <c r="F2226">
        <v>29638</v>
      </c>
      <c r="G2226">
        <v>30527</v>
      </c>
      <c r="H2226">
        <v>30527</v>
      </c>
      <c r="I2226">
        <v>889</v>
      </c>
      <c r="J2226">
        <v>3</v>
      </c>
      <c r="K2226">
        <v>30527</v>
      </c>
      <c r="L2226">
        <v>889</v>
      </c>
      <c r="M2226">
        <v>3</v>
      </c>
      <c r="N2226">
        <v>30527</v>
      </c>
      <c r="O2226">
        <v>30527</v>
      </c>
      <c r="P2226" t="s">
        <v>192</v>
      </c>
      <c r="Q2226" t="s">
        <v>192</v>
      </c>
      <c r="R2226">
        <v>12</v>
      </c>
      <c r="S2226">
        <v>135961</v>
      </c>
      <c r="T2226">
        <v>30527</v>
      </c>
      <c r="U2226">
        <v>0</v>
      </c>
      <c r="V2226">
        <v>0</v>
      </c>
      <c r="W2226">
        <v>0</v>
      </c>
      <c r="X2226" s="367"/>
    </row>
    <row r="2227" spans="1:24">
      <c r="A2227" t="s">
        <v>2998</v>
      </c>
      <c r="B2227" t="s">
        <v>2996</v>
      </c>
      <c r="C2227">
        <v>12</v>
      </c>
      <c r="D2227">
        <v>946381</v>
      </c>
      <c r="E2227">
        <v>5649894570</v>
      </c>
      <c r="F2227">
        <v>5800</v>
      </c>
      <c r="G2227">
        <v>5970</v>
      </c>
      <c r="H2227">
        <v>5970</v>
      </c>
      <c r="I2227">
        <v>170</v>
      </c>
      <c r="J2227">
        <v>2.93</v>
      </c>
      <c r="K2227">
        <v>5970</v>
      </c>
      <c r="L2227">
        <v>170</v>
      </c>
      <c r="M2227">
        <v>2.93</v>
      </c>
      <c r="N2227">
        <v>5970</v>
      </c>
      <c r="O2227">
        <v>5970</v>
      </c>
      <c r="P2227">
        <v>2887</v>
      </c>
      <c r="Q2227">
        <v>2.0699999999999998</v>
      </c>
      <c r="R2227">
        <v>131</v>
      </c>
      <c r="S2227">
        <v>31412338</v>
      </c>
      <c r="T2227">
        <v>5970</v>
      </c>
      <c r="U2227">
        <v>0</v>
      </c>
      <c r="V2227">
        <v>0</v>
      </c>
      <c r="W2227">
        <v>0</v>
      </c>
      <c r="X2227" s="367"/>
    </row>
    <row r="2228" spans="1:24">
      <c r="A2228" t="s">
        <v>1764</v>
      </c>
      <c r="B2228" t="s">
        <v>1763</v>
      </c>
      <c r="C2228">
        <v>417</v>
      </c>
      <c r="D2228">
        <v>56183620</v>
      </c>
      <c r="E2228">
        <v>291031151600</v>
      </c>
      <c r="F2228">
        <v>5030</v>
      </c>
      <c r="G2228">
        <v>5180</v>
      </c>
      <c r="H2228">
        <v>5180</v>
      </c>
      <c r="I2228">
        <v>150</v>
      </c>
      <c r="J2228">
        <v>2.98</v>
      </c>
      <c r="K2228">
        <v>5180</v>
      </c>
      <c r="L2228">
        <v>150</v>
      </c>
      <c r="M2228">
        <v>2.98</v>
      </c>
      <c r="N2228">
        <v>5180</v>
      </c>
      <c r="O2228">
        <v>5180</v>
      </c>
      <c r="P2228">
        <v>492</v>
      </c>
      <c r="Q2228">
        <v>10.53</v>
      </c>
      <c r="R2228">
        <v>312</v>
      </c>
      <c r="S2228">
        <v>80076972</v>
      </c>
      <c r="T2228">
        <v>5180</v>
      </c>
      <c r="U2228">
        <v>5510</v>
      </c>
      <c r="V2228">
        <v>5000</v>
      </c>
      <c r="W2228">
        <v>2</v>
      </c>
      <c r="X2228" s="367"/>
    </row>
    <row r="2229" spans="1:24">
      <c r="A2229" t="s">
        <v>49</v>
      </c>
      <c r="B2229" t="s">
        <v>1723</v>
      </c>
      <c r="C2229">
        <v>171</v>
      </c>
      <c r="D2229">
        <v>2532826</v>
      </c>
      <c r="E2229">
        <v>67069232480</v>
      </c>
      <c r="F2229">
        <v>25710</v>
      </c>
      <c r="G2229">
        <v>26480</v>
      </c>
      <c r="H2229">
        <v>26480</v>
      </c>
      <c r="I2229">
        <v>770</v>
      </c>
      <c r="J2229">
        <v>2.99</v>
      </c>
      <c r="K2229">
        <v>26480</v>
      </c>
      <c r="L2229">
        <v>770</v>
      </c>
      <c r="M2229">
        <v>2.99</v>
      </c>
      <c r="N2229">
        <v>26480</v>
      </c>
      <c r="O2229">
        <v>26480</v>
      </c>
      <c r="P2229">
        <v>5074</v>
      </c>
      <c r="Q2229">
        <v>5.22</v>
      </c>
      <c r="R2229">
        <v>274</v>
      </c>
      <c r="S2229">
        <v>5452840</v>
      </c>
      <c r="T2229">
        <v>26480</v>
      </c>
      <c r="U2229">
        <v>26780</v>
      </c>
      <c r="V2229">
        <v>300</v>
      </c>
      <c r="W2229">
        <v>1</v>
      </c>
      <c r="X2229" s="367"/>
    </row>
    <row r="2230" spans="1:24">
      <c r="A2230" t="s">
        <v>2326</v>
      </c>
      <c r="B2230" t="s">
        <v>2325</v>
      </c>
      <c r="C2230">
        <v>244</v>
      </c>
      <c r="D2230">
        <v>28625346</v>
      </c>
      <c r="E2230">
        <v>84358894662</v>
      </c>
      <c r="F2230">
        <v>2862</v>
      </c>
      <c r="G2230">
        <v>2947</v>
      </c>
      <c r="H2230">
        <v>2947</v>
      </c>
      <c r="I2230">
        <v>85</v>
      </c>
      <c r="J2230">
        <v>2.97</v>
      </c>
      <c r="K2230">
        <v>2947</v>
      </c>
      <c r="L2230">
        <v>85</v>
      </c>
      <c r="M2230">
        <v>2.97</v>
      </c>
      <c r="N2230">
        <v>2947</v>
      </c>
      <c r="O2230">
        <v>2947</v>
      </c>
      <c r="P2230">
        <v>1002</v>
      </c>
      <c r="Q2230">
        <v>2.94</v>
      </c>
      <c r="R2230">
        <v>66</v>
      </c>
      <c r="S2230">
        <v>11693869</v>
      </c>
      <c r="T2230">
        <v>2947</v>
      </c>
      <c r="U2230">
        <v>2960</v>
      </c>
      <c r="V2230">
        <v>20000</v>
      </c>
      <c r="W2230">
        <v>1</v>
      </c>
      <c r="X2230" s="367"/>
    </row>
    <row r="2231" spans="1:24">
      <c r="A2231" t="s">
        <v>2074</v>
      </c>
      <c r="B2231" t="s">
        <v>2073</v>
      </c>
      <c r="C2231">
        <v>3537</v>
      </c>
      <c r="D2231">
        <v>491359710</v>
      </c>
      <c r="E2231">
        <v>682747562278</v>
      </c>
      <c r="F2231">
        <v>1353</v>
      </c>
      <c r="G2231">
        <v>1393</v>
      </c>
      <c r="H2231">
        <v>1393</v>
      </c>
      <c r="I2231">
        <v>40</v>
      </c>
      <c r="J2231">
        <v>2.96</v>
      </c>
      <c r="K2231">
        <v>1390</v>
      </c>
      <c r="L2231">
        <v>37</v>
      </c>
      <c r="M2231">
        <v>2.73</v>
      </c>
      <c r="N2231">
        <v>1379</v>
      </c>
      <c r="O2231">
        <v>1393</v>
      </c>
      <c r="P2231">
        <v>91</v>
      </c>
      <c r="Q2231">
        <v>15.27</v>
      </c>
      <c r="R2231">
        <v>11</v>
      </c>
      <c r="S2231">
        <v>4180752</v>
      </c>
      <c r="T2231">
        <v>1393</v>
      </c>
      <c r="U2231">
        <v>0</v>
      </c>
      <c r="V2231">
        <v>0</v>
      </c>
      <c r="W2231">
        <v>0</v>
      </c>
      <c r="X2231" s="367"/>
    </row>
    <row r="2232" spans="1:24">
      <c r="A2232" t="s">
        <v>5574</v>
      </c>
      <c r="B2232" t="s">
        <v>5575</v>
      </c>
      <c r="C2232">
        <v>0</v>
      </c>
      <c r="D2232">
        <v>0</v>
      </c>
      <c r="E2232">
        <v>0</v>
      </c>
      <c r="F2232">
        <v>2382330</v>
      </c>
      <c r="G2232">
        <v>0</v>
      </c>
      <c r="H2232">
        <v>2382330</v>
      </c>
      <c r="I2232">
        <v>0</v>
      </c>
      <c r="J2232">
        <v>0</v>
      </c>
      <c r="K2232">
        <v>2382330</v>
      </c>
      <c r="L2232">
        <v>0</v>
      </c>
      <c r="M2232">
        <v>0</v>
      </c>
      <c r="N2232">
        <v>0</v>
      </c>
      <c r="O2232">
        <v>0</v>
      </c>
      <c r="P2232" t="s">
        <v>192</v>
      </c>
      <c r="Q2232" t="s">
        <v>192</v>
      </c>
      <c r="R2232">
        <v>1</v>
      </c>
      <c r="S2232">
        <v>41975</v>
      </c>
      <c r="T2232">
        <v>2754104</v>
      </c>
      <c r="U2232">
        <v>0</v>
      </c>
      <c r="V2232">
        <v>0</v>
      </c>
      <c r="W2232">
        <v>0</v>
      </c>
      <c r="X2232" s="367"/>
    </row>
    <row r="2233" spans="1:24">
      <c r="A2233" t="s">
        <v>2868</v>
      </c>
      <c r="B2233" t="s">
        <v>2867</v>
      </c>
      <c r="C2233">
        <v>196</v>
      </c>
      <c r="D2233">
        <v>9232881</v>
      </c>
      <c r="E2233">
        <v>38131798530</v>
      </c>
      <c r="F2233">
        <v>4010</v>
      </c>
      <c r="G2233">
        <v>4130</v>
      </c>
      <c r="H2233">
        <v>4130</v>
      </c>
      <c r="I2233">
        <v>120</v>
      </c>
      <c r="J2233">
        <v>2.99</v>
      </c>
      <c r="K2233">
        <v>4130</v>
      </c>
      <c r="L2233">
        <v>120</v>
      </c>
      <c r="M2233">
        <v>2.99</v>
      </c>
      <c r="N2233">
        <v>4130</v>
      </c>
      <c r="O2233">
        <v>4130</v>
      </c>
      <c r="P2233">
        <v>487</v>
      </c>
      <c r="Q2233">
        <v>8.48</v>
      </c>
      <c r="R2233">
        <v>16</v>
      </c>
      <c r="S2233">
        <v>905505</v>
      </c>
      <c r="T2233">
        <v>4130</v>
      </c>
      <c r="U2233">
        <v>0</v>
      </c>
      <c r="V2233">
        <v>0</v>
      </c>
      <c r="W2233">
        <v>0</v>
      </c>
      <c r="X2233" s="367"/>
    </row>
    <row r="2234" spans="1:24">
      <c r="A2234" t="s">
        <v>2549</v>
      </c>
      <c r="B2234" t="s">
        <v>2548</v>
      </c>
      <c r="C2234">
        <v>6651</v>
      </c>
      <c r="D2234">
        <v>13738940</v>
      </c>
      <c r="E2234">
        <v>2503764813800</v>
      </c>
      <c r="F2234">
        <v>177000</v>
      </c>
      <c r="G2234">
        <v>182300</v>
      </c>
      <c r="H2234">
        <v>182300</v>
      </c>
      <c r="I2234">
        <v>5300</v>
      </c>
      <c r="J2234">
        <v>2.99</v>
      </c>
      <c r="K2234">
        <v>182200</v>
      </c>
      <c r="L2234">
        <v>5200</v>
      </c>
      <c r="M2234">
        <v>2.94</v>
      </c>
      <c r="N2234">
        <v>179600</v>
      </c>
      <c r="O2234">
        <v>182300</v>
      </c>
      <c r="P2234">
        <v>9444</v>
      </c>
      <c r="Q2234">
        <v>19.29</v>
      </c>
      <c r="R2234">
        <v>1430</v>
      </c>
      <c r="S2234">
        <v>2835930</v>
      </c>
      <c r="T2234">
        <v>182300</v>
      </c>
      <c r="U2234">
        <v>0</v>
      </c>
      <c r="V2234">
        <v>0</v>
      </c>
      <c r="W2234">
        <v>0</v>
      </c>
      <c r="X2234" s="367"/>
    </row>
    <row r="2235" spans="1:24">
      <c r="A2235" t="s">
        <v>8461</v>
      </c>
      <c r="B2235" t="s">
        <v>8695</v>
      </c>
      <c r="C2235">
        <v>1659</v>
      </c>
      <c r="D2235">
        <v>176619909</v>
      </c>
      <c r="E2235">
        <v>270714493234</v>
      </c>
      <c r="F2235">
        <v>3060</v>
      </c>
      <c r="G2235">
        <v>1558</v>
      </c>
      <c r="H2235">
        <v>1529</v>
      </c>
      <c r="I2235">
        <v>-1531</v>
      </c>
      <c r="J2235">
        <v>-50.03</v>
      </c>
      <c r="K2235">
        <v>1533</v>
      </c>
      <c r="L2235">
        <v>-1527</v>
      </c>
      <c r="M2235">
        <v>-49.9</v>
      </c>
      <c r="N2235">
        <v>1512</v>
      </c>
      <c r="O2235">
        <v>1565</v>
      </c>
      <c r="P2235" t="s">
        <v>192</v>
      </c>
      <c r="Q2235" t="s">
        <v>192</v>
      </c>
      <c r="R2235">
        <v>2</v>
      </c>
      <c r="S2235">
        <v>110764</v>
      </c>
      <c r="T2235">
        <v>1528</v>
      </c>
      <c r="U2235">
        <v>1532</v>
      </c>
      <c r="V2235">
        <v>37924</v>
      </c>
      <c r="W2235">
        <v>2</v>
      </c>
      <c r="X2235" s="367"/>
    </row>
    <row r="2236" spans="1:24">
      <c r="A2236" t="s">
        <v>5576</v>
      </c>
      <c r="B2236" t="s">
        <v>5560</v>
      </c>
      <c r="C2236">
        <v>26</v>
      </c>
      <c r="D2236">
        <v>462604</v>
      </c>
      <c r="E2236">
        <v>215211686308</v>
      </c>
      <c r="F2236">
        <v>451668</v>
      </c>
      <c r="G2236">
        <v>465218</v>
      </c>
      <c r="H2236">
        <v>465218</v>
      </c>
      <c r="I2236">
        <v>13550</v>
      </c>
      <c r="J2236">
        <v>3</v>
      </c>
      <c r="K2236">
        <v>465218</v>
      </c>
      <c r="L2236">
        <v>13550</v>
      </c>
      <c r="M2236">
        <v>3</v>
      </c>
      <c r="N2236">
        <v>465000</v>
      </c>
      <c r="O2236">
        <v>465218</v>
      </c>
      <c r="P2236" t="s">
        <v>192</v>
      </c>
      <c r="Q2236" t="s">
        <v>192</v>
      </c>
      <c r="R2236">
        <v>16</v>
      </c>
      <c r="S2236">
        <v>75534</v>
      </c>
      <c r="T2236">
        <v>465218</v>
      </c>
      <c r="U2236">
        <v>0</v>
      </c>
      <c r="V2236">
        <v>0</v>
      </c>
      <c r="W2236">
        <v>0</v>
      </c>
      <c r="X2236" s="367"/>
    </row>
    <row r="2237" spans="1:24">
      <c r="A2237" t="s">
        <v>2456</v>
      </c>
      <c r="B2237" t="s">
        <v>2455</v>
      </c>
      <c r="C2237">
        <v>2677</v>
      </c>
      <c r="D2237">
        <v>59383750</v>
      </c>
      <c r="E2237">
        <v>800644425060</v>
      </c>
      <c r="F2237">
        <v>13160</v>
      </c>
      <c r="G2237">
        <v>13150</v>
      </c>
      <c r="H2237">
        <v>13530</v>
      </c>
      <c r="I2237">
        <v>370</v>
      </c>
      <c r="J2237">
        <v>2.81</v>
      </c>
      <c r="K2237">
        <v>13480</v>
      </c>
      <c r="L2237">
        <v>320</v>
      </c>
      <c r="M2237">
        <v>2.4300000000000002</v>
      </c>
      <c r="N2237">
        <v>12950</v>
      </c>
      <c r="O2237">
        <v>13550</v>
      </c>
      <c r="P2237">
        <v>1819</v>
      </c>
      <c r="Q2237">
        <v>7.41</v>
      </c>
      <c r="R2237">
        <v>1</v>
      </c>
      <c r="S2237">
        <v>24040</v>
      </c>
      <c r="T2237">
        <v>13530</v>
      </c>
      <c r="U2237">
        <v>13540</v>
      </c>
      <c r="V2237">
        <v>50000</v>
      </c>
      <c r="W2237">
        <v>1</v>
      </c>
      <c r="X2237" s="367"/>
    </row>
    <row r="2238" spans="1:24">
      <c r="A2238" t="s">
        <v>964</v>
      </c>
      <c r="B2238" t="s">
        <v>2337</v>
      </c>
      <c r="C2238">
        <v>439</v>
      </c>
      <c r="D2238">
        <v>4794245</v>
      </c>
      <c r="E2238">
        <v>82648755750</v>
      </c>
      <c r="F2238">
        <v>16780</v>
      </c>
      <c r="G2238">
        <v>17280</v>
      </c>
      <c r="H2238">
        <v>17280</v>
      </c>
      <c r="I2238">
        <v>500</v>
      </c>
      <c r="J2238">
        <v>2.98</v>
      </c>
      <c r="K2238">
        <v>17240</v>
      </c>
      <c r="L2238">
        <v>460</v>
      </c>
      <c r="M2238">
        <v>2.74</v>
      </c>
      <c r="N2238">
        <v>17010</v>
      </c>
      <c r="O2238">
        <v>17280</v>
      </c>
      <c r="P2238">
        <v>758</v>
      </c>
      <c r="Q2238">
        <v>22.74</v>
      </c>
      <c r="R2238">
        <v>4</v>
      </c>
      <c r="S2238">
        <v>19711</v>
      </c>
      <c r="T2238">
        <v>17280</v>
      </c>
      <c r="U2238">
        <v>18170</v>
      </c>
      <c r="V2238">
        <v>42000</v>
      </c>
      <c r="W2238">
        <v>2</v>
      </c>
      <c r="X2238" s="367"/>
    </row>
    <row r="2239" spans="1:24">
      <c r="A2239" t="s">
        <v>5577</v>
      </c>
      <c r="B2239" t="s">
        <v>5578</v>
      </c>
      <c r="C2239">
        <v>14</v>
      </c>
      <c r="D2239">
        <v>3003076</v>
      </c>
      <c r="E2239">
        <v>42385414664</v>
      </c>
      <c r="F2239">
        <v>13703</v>
      </c>
      <c r="G2239">
        <v>14114</v>
      </c>
      <c r="H2239">
        <v>14114</v>
      </c>
      <c r="I2239">
        <v>411</v>
      </c>
      <c r="J2239">
        <v>3</v>
      </c>
      <c r="K2239">
        <v>14114</v>
      </c>
      <c r="L2239">
        <v>411</v>
      </c>
      <c r="M2239">
        <v>3</v>
      </c>
      <c r="N2239">
        <v>14114</v>
      </c>
      <c r="O2239">
        <v>14114</v>
      </c>
      <c r="P2239" t="s">
        <v>192</v>
      </c>
      <c r="Q2239" t="s">
        <v>192</v>
      </c>
      <c r="R2239">
        <v>7</v>
      </c>
      <c r="S2239">
        <v>1186254</v>
      </c>
      <c r="T2239">
        <v>14114</v>
      </c>
      <c r="U2239">
        <v>0</v>
      </c>
      <c r="V2239">
        <v>0</v>
      </c>
      <c r="W2239">
        <v>0</v>
      </c>
      <c r="X2239" s="367"/>
    </row>
    <row r="2240" spans="1:24">
      <c r="A2240" t="s">
        <v>65</v>
      </c>
      <c r="B2240" t="s">
        <v>2322</v>
      </c>
      <c r="C2240">
        <v>546</v>
      </c>
      <c r="D2240">
        <v>3757700</v>
      </c>
      <c r="E2240">
        <v>283969389000</v>
      </c>
      <c r="F2240">
        <v>73370</v>
      </c>
      <c r="G2240">
        <v>75570</v>
      </c>
      <c r="H2240">
        <v>75570</v>
      </c>
      <c r="I2240">
        <v>2200</v>
      </c>
      <c r="J2240">
        <v>3</v>
      </c>
      <c r="K2240">
        <v>75570</v>
      </c>
      <c r="L2240">
        <v>2200</v>
      </c>
      <c r="M2240">
        <v>3</v>
      </c>
      <c r="N2240">
        <v>75570</v>
      </c>
      <c r="O2240">
        <v>75570</v>
      </c>
      <c r="P2240">
        <v>11804</v>
      </c>
      <c r="Q2240">
        <v>6.4</v>
      </c>
      <c r="R2240">
        <v>140</v>
      </c>
      <c r="S2240">
        <v>2285858</v>
      </c>
      <c r="T2240">
        <v>75570</v>
      </c>
      <c r="U2240">
        <v>0</v>
      </c>
      <c r="V2240">
        <v>0</v>
      </c>
      <c r="W2240">
        <v>0</v>
      </c>
      <c r="X2240" s="367"/>
    </row>
    <row r="2241" spans="1:24">
      <c r="A2241" t="s">
        <v>2837</v>
      </c>
      <c r="B2241" t="s">
        <v>2836</v>
      </c>
      <c r="C2241">
        <v>137</v>
      </c>
      <c r="D2241">
        <v>7713658</v>
      </c>
      <c r="E2241">
        <v>73511160740</v>
      </c>
      <c r="F2241">
        <v>9260</v>
      </c>
      <c r="G2241">
        <v>9530</v>
      </c>
      <c r="H2241">
        <v>9530</v>
      </c>
      <c r="I2241">
        <v>270</v>
      </c>
      <c r="J2241">
        <v>2.92</v>
      </c>
      <c r="K2241">
        <v>9530</v>
      </c>
      <c r="L2241">
        <v>270</v>
      </c>
      <c r="M2241">
        <v>2.92</v>
      </c>
      <c r="N2241">
        <v>9530</v>
      </c>
      <c r="O2241">
        <v>9530</v>
      </c>
      <c r="P2241">
        <v>574</v>
      </c>
      <c r="Q2241">
        <v>16.600000000000001</v>
      </c>
      <c r="R2241">
        <v>92</v>
      </c>
      <c r="S2241">
        <v>4377199</v>
      </c>
      <c r="T2241">
        <v>9530</v>
      </c>
      <c r="U2241">
        <v>10020</v>
      </c>
      <c r="V2241">
        <v>2000</v>
      </c>
      <c r="W2241">
        <v>2</v>
      </c>
      <c r="X2241" s="367"/>
    </row>
    <row r="2242" spans="1:24">
      <c r="A2242" t="s">
        <v>5579</v>
      </c>
      <c r="B2242" t="s">
        <v>5580</v>
      </c>
      <c r="C2242">
        <v>0</v>
      </c>
      <c r="D2242">
        <v>0</v>
      </c>
      <c r="E2242">
        <v>0</v>
      </c>
      <c r="F2242">
        <v>1009999</v>
      </c>
      <c r="G2242">
        <v>0</v>
      </c>
      <c r="H2242">
        <v>1009999</v>
      </c>
      <c r="I2242">
        <v>0</v>
      </c>
      <c r="J2242">
        <v>0</v>
      </c>
      <c r="K2242">
        <v>1009999</v>
      </c>
      <c r="L2242">
        <v>0</v>
      </c>
      <c r="M2242">
        <v>0</v>
      </c>
      <c r="N2242">
        <v>0</v>
      </c>
      <c r="O2242">
        <v>0</v>
      </c>
      <c r="P2242" t="s">
        <v>192</v>
      </c>
      <c r="Q2242" t="s">
        <v>192</v>
      </c>
      <c r="R2242">
        <v>1</v>
      </c>
      <c r="S2242">
        <v>5000</v>
      </c>
      <c r="T2242">
        <v>1000000</v>
      </c>
      <c r="U2242">
        <v>1009999</v>
      </c>
      <c r="V2242">
        <v>3053</v>
      </c>
      <c r="W2242">
        <v>1</v>
      </c>
      <c r="X2242" s="367"/>
    </row>
    <row r="2243" spans="1:24">
      <c r="A2243" t="s">
        <v>1923</v>
      </c>
      <c r="B2243" t="s">
        <v>1922</v>
      </c>
      <c r="C2243">
        <v>224</v>
      </c>
      <c r="D2243">
        <v>4818971</v>
      </c>
      <c r="E2243">
        <v>32499331490</v>
      </c>
      <c r="F2243">
        <v>6560</v>
      </c>
      <c r="G2243">
        <v>6750</v>
      </c>
      <c r="H2243">
        <v>6750</v>
      </c>
      <c r="I2243">
        <v>190</v>
      </c>
      <c r="J2243">
        <v>2.9</v>
      </c>
      <c r="K2243">
        <v>6740</v>
      </c>
      <c r="L2243">
        <v>180</v>
      </c>
      <c r="M2243">
        <v>2.74</v>
      </c>
      <c r="N2243">
        <v>6650</v>
      </c>
      <c r="O2243">
        <v>6750</v>
      </c>
      <c r="P2243">
        <v>809</v>
      </c>
      <c r="Q2243">
        <v>8.33</v>
      </c>
      <c r="R2243">
        <v>1</v>
      </c>
      <c r="S2243">
        <v>20000</v>
      </c>
      <c r="T2243">
        <v>6720</v>
      </c>
      <c r="U2243">
        <v>0</v>
      </c>
      <c r="V2243">
        <v>0</v>
      </c>
      <c r="W2243">
        <v>0</v>
      </c>
      <c r="X2243" s="367"/>
    </row>
    <row r="2244" spans="1:24">
      <c r="A2244" t="s">
        <v>2386</v>
      </c>
      <c r="B2244" t="s">
        <v>2385</v>
      </c>
      <c r="C2244">
        <v>626</v>
      </c>
      <c r="D2244">
        <v>57670721</v>
      </c>
      <c r="E2244">
        <v>94791268771</v>
      </c>
      <c r="F2244">
        <v>1597</v>
      </c>
      <c r="G2244">
        <v>1644</v>
      </c>
      <c r="H2244">
        <v>1644</v>
      </c>
      <c r="I2244">
        <v>47</v>
      </c>
      <c r="J2244">
        <v>2.94</v>
      </c>
      <c r="K2244">
        <v>1644</v>
      </c>
      <c r="L2244">
        <v>47</v>
      </c>
      <c r="M2244">
        <v>2.94</v>
      </c>
      <c r="N2244">
        <v>1637</v>
      </c>
      <c r="O2244">
        <v>1644</v>
      </c>
      <c r="P2244">
        <v>231</v>
      </c>
      <c r="Q2244">
        <v>7.12</v>
      </c>
      <c r="R2244">
        <v>9</v>
      </c>
      <c r="S2244">
        <v>1341679</v>
      </c>
      <c r="T2244">
        <v>1644</v>
      </c>
      <c r="U2244">
        <v>0</v>
      </c>
      <c r="V2244">
        <v>0</v>
      </c>
      <c r="W2244">
        <v>0</v>
      </c>
      <c r="X2244" s="367"/>
    </row>
    <row r="2245" spans="1:24">
      <c r="A2245" t="s">
        <v>5581</v>
      </c>
      <c r="B2245" t="s">
        <v>5582</v>
      </c>
      <c r="C2245">
        <v>0</v>
      </c>
      <c r="D2245">
        <v>0</v>
      </c>
      <c r="E2245">
        <v>0</v>
      </c>
      <c r="F2245">
        <v>535650</v>
      </c>
      <c r="G2245">
        <v>0</v>
      </c>
      <c r="H2245">
        <v>535650</v>
      </c>
      <c r="I2245">
        <v>0</v>
      </c>
      <c r="J2245">
        <v>0</v>
      </c>
      <c r="K2245">
        <v>535650</v>
      </c>
      <c r="L2245">
        <v>0</v>
      </c>
      <c r="M2245">
        <v>0</v>
      </c>
      <c r="N2245">
        <v>0</v>
      </c>
      <c r="O2245">
        <v>0</v>
      </c>
      <c r="P2245" t="s">
        <v>192</v>
      </c>
      <c r="Q2245" t="s">
        <v>192</v>
      </c>
      <c r="R2245">
        <v>1</v>
      </c>
      <c r="S2245">
        <v>50000</v>
      </c>
      <c r="T2245">
        <v>490260</v>
      </c>
      <c r="U2245">
        <v>551710</v>
      </c>
      <c r="V2245">
        <v>3129</v>
      </c>
      <c r="W2245">
        <v>1</v>
      </c>
      <c r="X2245" s="367"/>
    </row>
    <row r="2246" spans="1:24">
      <c r="A2246" t="s">
        <v>8542</v>
      </c>
      <c r="B2246" t="s">
        <v>8543</v>
      </c>
      <c r="C2246">
        <v>6</v>
      </c>
      <c r="D2246">
        <v>76</v>
      </c>
      <c r="E2246">
        <v>80354800</v>
      </c>
      <c r="F2246">
        <v>1090000</v>
      </c>
      <c r="G2246">
        <v>1057300</v>
      </c>
      <c r="H2246">
        <v>1057300</v>
      </c>
      <c r="I2246">
        <v>-32700</v>
      </c>
      <c r="J2246">
        <v>-3</v>
      </c>
      <c r="K2246">
        <v>1057300</v>
      </c>
      <c r="L2246">
        <v>-32700</v>
      </c>
      <c r="M2246">
        <v>-3</v>
      </c>
      <c r="N2246">
        <v>1057300</v>
      </c>
      <c r="O2246">
        <v>1057300</v>
      </c>
      <c r="P2246" t="s">
        <v>192</v>
      </c>
      <c r="Q2246" t="s">
        <v>192</v>
      </c>
      <c r="R2246">
        <v>0</v>
      </c>
      <c r="S2246">
        <v>0</v>
      </c>
      <c r="T2246">
        <v>0</v>
      </c>
      <c r="U2246">
        <v>1057300</v>
      </c>
      <c r="V2246">
        <v>1706</v>
      </c>
      <c r="W2246">
        <v>3</v>
      </c>
      <c r="X2246" s="367"/>
    </row>
    <row r="2247" spans="1:24">
      <c r="A2247" t="s">
        <v>2081</v>
      </c>
      <c r="B2247" t="s">
        <v>2079</v>
      </c>
      <c r="C2247">
        <v>6</v>
      </c>
      <c r="D2247">
        <v>1527129</v>
      </c>
      <c r="E2247">
        <v>3462001443</v>
      </c>
      <c r="F2247">
        <v>2201</v>
      </c>
      <c r="G2247">
        <v>2267</v>
      </c>
      <c r="H2247">
        <v>2267</v>
      </c>
      <c r="I2247">
        <v>66</v>
      </c>
      <c r="J2247">
        <v>3</v>
      </c>
      <c r="K2247">
        <v>2267</v>
      </c>
      <c r="L2247">
        <v>66</v>
      </c>
      <c r="M2247">
        <v>3</v>
      </c>
      <c r="N2247">
        <v>2267</v>
      </c>
      <c r="O2247">
        <v>2267</v>
      </c>
      <c r="P2247">
        <v>560</v>
      </c>
      <c r="Q2247">
        <v>4.05</v>
      </c>
      <c r="R2247">
        <v>271</v>
      </c>
      <c r="S2247">
        <v>227002891</v>
      </c>
      <c r="T2247">
        <v>2267</v>
      </c>
      <c r="U2247">
        <v>0</v>
      </c>
      <c r="V2247">
        <v>0</v>
      </c>
      <c r="W2247">
        <v>0</v>
      </c>
      <c r="X2247" s="367"/>
    </row>
    <row r="2248" spans="1:24">
      <c r="A2248" t="s">
        <v>1780</v>
      </c>
      <c r="B2248" t="s">
        <v>1779</v>
      </c>
      <c r="C2248">
        <v>118</v>
      </c>
      <c r="D2248">
        <v>348627</v>
      </c>
      <c r="E2248">
        <v>16549323690</v>
      </c>
      <c r="F2248">
        <v>46090</v>
      </c>
      <c r="G2248">
        <v>47470</v>
      </c>
      <c r="H2248">
        <v>47470</v>
      </c>
      <c r="I2248">
        <v>1380</v>
      </c>
      <c r="J2248">
        <v>2.99</v>
      </c>
      <c r="K2248">
        <v>47470</v>
      </c>
      <c r="L2248">
        <v>1380</v>
      </c>
      <c r="M2248">
        <v>2.99</v>
      </c>
      <c r="N2248">
        <v>47470</v>
      </c>
      <c r="O2248">
        <v>47470</v>
      </c>
      <c r="P2248">
        <v>1907</v>
      </c>
      <c r="Q2248">
        <v>24.89</v>
      </c>
      <c r="R2248">
        <v>100</v>
      </c>
      <c r="S2248">
        <v>541472</v>
      </c>
      <c r="T2248">
        <v>47470</v>
      </c>
      <c r="U2248">
        <v>0</v>
      </c>
      <c r="V2248">
        <v>0</v>
      </c>
      <c r="W2248">
        <v>0</v>
      </c>
      <c r="X2248" s="367"/>
    </row>
    <row r="2249" spans="1:24">
      <c r="A2249" t="s">
        <v>5583</v>
      </c>
      <c r="B2249" t="s">
        <v>5584</v>
      </c>
      <c r="C2249">
        <v>0</v>
      </c>
      <c r="D2249">
        <v>0</v>
      </c>
      <c r="E2249">
        <v>0</v>
      </c>
      <c r="F2249">
        <v>999100</v>
      </c>
      <c r="G2249">
        <v>0</v>
      </c>
      <c r="H2249">
        <v>999100</v>
      </c>
      <c r="I2249">
        <v>0</v>
      </c>
      <c r="J2249">
        <v>0</v>
      </c>
      <c r="K2249">
        <v>999100</v>
      </c>
      <c r="L2249">
        <v>0</v>
      </c>
      <c r="M2249">
        <v>0</v>
      </c>
      <c r="N2249">
        <v>0</v>
      </c>
      <c r="O2249">
        <v>0</v>
      </c>
      <c r="P2249" t="s">
        <v>192</v>
      </c>
      <c r="Q2249" t="s">
        <v>192</v>
      </c>
      <c r="R2249">
        <v>1</v>
      </c>
      <c r="S2249">
        <v>5000</v>
      </c>
      <c r="T2249">
        <v>999990</v>
      </c>
      <c r="U2249">
        <v>1000100</v>
      </c>
      <c r="V2249">
        <v>5000</v>
      </c>
      <c r="W2249">
        <v>1</v>
      </c>
      <c r="X2249" s="367"/>
    </row>
    <row r="2250" spans="1:24">
      <c r="A2250" t="s">
        <v>5585</v>
      </c>
      <c r="B2250" t="s">
        <v>5586</v>
      </c>
      <c r="C2250">
        <v>0</v>
      </c>
      <c r="D2250">
        <v>0</v>
      </c>
      <c r="E2250">
        <v>0</v>
      </c>
      <c r="F2250">
        <v>845619</v>
      </c>
      <c r="G2250">
        <v>0</v>
      </c>
      <c r="H2250">
        <v>845619</v>
      </c>
      <c r="I2250">
        <v>0</v>
      </c>
      <c r="J2250">
        <v>0</v>
      </c>
      <c r="K2250">
        <v>845619</v>
      </c>
      <c r="L2250">
        <v>0</v>
      </c>
      <c r="M2250">
        <v>0</v>
      </c>
      <c r="N2250">
        <v>0</v>
      </c>
      <c r="O2250">
        <v>0</v>
      </c>
      <c r="P2250" t="s">
        <v>192</v>
      </c>
      <c r="Q2250" t="s">
        <v>192</v>
      </c>
      <c r="R2250">
        <v>1</v>
      </c>
      <c r="S2250">
        <v>7500</v>
      </c>
      <c r="T2250">
        <v>820251</v>
      </c>
      <c r="U2250">
        <v>836360</v>
      </c>
      <c r="V2250">
        <v>5600</v>
      </c>
      <c r="W2250">
        <v>1</v>
      </c>
      <c r="X2250" s="367"/>
    </row>
    <row r="2251" spans="1:24">
      <c r="A2251" t="s">
        <v>5587</v>
      </c>
      <c r="B2251" t="s">
        <v>5588</v>
      </c>
      <c r="C2251">
        <v>9599</v>
      </c>
      <c r="D2251">
        <v>447035020</v>
      </c>
      <c r="E2251">
        <v>13237288245652</v>
      </c>
      <c r="F2251">
        <v>29556</v>
      </c>
      <c r="G2251">
        <v>29611</v>
      </c>
      <c r="H2251">
        <v>29612</v>
      </c>
      <c r="I2251">
        <v>56</v>
      </c>
      <c r="J2251">
        <v>0.19</v>
      </c>
      <c r="K2251">
        <v>29611</v>
      </c>
      <c r="L2251">
        <v>55</v>
      </c>
      <c r="M2251">
        <v>0.19</v>
      </c>
      <c r="N2251">
        <v>29611</v>
      </c>
      <c r="O2251">
        <v>29612</v>
      </c>
      <c r="P2251" t="s">
        <v>192</v>
      </c>
      <c r="Q2251" t="s">
        <v>192</v>
      </c>
      <c r="R2251">
        <v>136</v>
      </c>
      <c r="S2251">
        <v>366081657</v>
      </c>
      <c r="T2251">
        <v>29611</v>
      </c>
      <c r="U2251">
        <v>29612</v>
      </c>
      <c r="V2251">
        <v>24356182</v>
      </c>
      <c r="W2251">
        <v>28</v>
      </c>
      <c r="X2251" s="367"/>
    </row>
    <row r="2252" spans="1:24">
      <c r="A2252" t="s">
        <v>2229</v>
      </c>
      <c r="B2252" t="s">
        <v>5590</v>
      </c>
      <c r="C2252">
        <v>0</v>
      </c>
      <c r="D2252">
        <v>0</v>
      </c>
      <c r="E2252">
        <v>0</v>
      </c>
      <c r="F2252">
        <v>653121</v>
      </c>
      <c r="G2252">
        <v>0</v>
      </c>
      <c r="H2252">
        <v>653121</v>
      </c>
      <c r="I2252">
        <v>0</v>
      </c>
      <c r="J2252">
        <v>0</v>
      </c>
      <c r="K2252">
        <v>653121</v>
      </c>
      <c r="L2252">
        <v>0</v>
      </c>
      <c r="M2252">
        <v>0</v>
      </c>
      <c r="N2252">
        <v>0</v>
      </c>
      <c r="O2252">
        <v>0</v>
      </c>
      <c r="P2252" t="s">
        <v>192</v>
      </c>
      <c r="Q2252" t="s">
        <v>192</v>
      </c>
      <c r="R2252">
        <v>0</v>
      </c>
      <c r="S2252">
        <v>0</v>
      </c>
      <c r="T2252">
        <v>0</v>
      </c>
      <c r="U2252">
        <v>794640</v>
      </c>
      <c r="V2252">
        <v>1000</v>
      </c>
      <c r="W2252">
        <v>1</v>
      </c>
      <c r="X2252" s="367"/>
    </row>
    <row r="2253" spans="1:24">
      <c r="A2253" t="s">
        <v>5591</v>
      </c>
      <c r="B2253" t="s">
        <v>5592</v>
      </c>
      <c r="C2253">
        <v>0</v>
      </c>
      <c r="D2253">
        <v>0</v>
      </c>
      <c r="E2253">
        <v>0</v>
      </c>
      <c r="F2253">
        <v>953780</v>
      </c>
      <c r="G2253">
        <v>0</v>
      </c>
      <c r="H2253">
        <v>1000000</v>
      </c>
      <c r="I2253">
        <v>46220</v>
      </c>
      <c r="J2253">
        <v>4.8499999999999996</v>
      </c>
      <c r="K2253">
        <v>953780</v>
      </c>
      <c r="L2253">
        <v>0</v>
      </c>
      <c r="M2253">
        <v>0</v>
      </c>
      <c r="N2253">
        <v>0</v>
      </c>
      <c r="O2253">
        <v>0</v>
      </c>
      <c r="P2253" t="s">
        <v>192</v>
      </c>
      <c r="Q2253" t="s">
        <v>192</v>
      </c>
      <c r="R2253">
        <v>1</v>
      </c>
      <c r="S2253">
        <v>5000</v>
      </c>
      <c r="T2253">
        <v>1000000</v>
      </c>
      <c r="U2253">
        <v>1001460</v>
      </c>
      <c r="V2253">
        <v>5000</v>
      </c>
      <c r="W2253">
        <v>1</v>
      </c>
      <c r="X2253" s="367"/>
    </row>
    <row r="2254" spans="1:24">
      <c r="A2254" t="s">
        <v>3102</v>
      </c>
      <c r="B2254" t="s">
        <v>3101</v>
      </c>
      <c r="C2254">
        <v>12</v>
      </c>
      <c r="D2254">
        <v>387612</v>
      </c>
      <c r="E2254">
        <v>1515562920</v>
      </c>
      <c r="F2254">
        <v>3880</v>
      </c>
      <c r="G2254">
        <v>3910</v>
      </c>
      <c r="H2254">
        <v>3910</v>
      </c>
      <c r="I2254">
        <v>30</v>
      </c>
      <c r="J2254">
        <v>0.77</v>
      </c>
      <c r="K2254">
        <v>3910</v>
      </c>
      <c r="L2254">
        <v>30</v>
      </c>
      <c r="M2254">
        <v>0.77</v>
      </c>
      <c r="N2254">
        <v>3910</v>
      </c>
      <c r="O2254">
        <v>3910</v>
      </c>
      <c r="P2254">
        <v>492</v>
      </c>
      <c r="Q2254">
        <v>7.95</v>
      </c>
      <c r="R2254">
        <v>31</v>
      </c>
      <c r="S2254">
        <v>1969263</v>
      </c>
      <c r="T2254">
        <v>3910</v>
      </c>
      <c r="U2254">
        <v>0</v>
      </c>
      <c r="V2254">
        <v>0</v>
      </c>
      <c r="W2254">
        <v>0</v>
      </c>
      <c r="X2254" s="367"/>
    </row>
    <row r="2255" spans="1:24">
      <c r="A2255" t="s">
        <v>3066</v>
      </c>
      <c r="B2255" t="s">
        <v>3065</v>
      </c>
      <c r="C2255">
        <v>204</v>
      </c>
      <c r="D2255">
        <v>25796063</v>
      </c>
      <c r="E2255">
        <v>78363562574</v>
      </c>
      <c r="F2255">
        <v>2950</v>
      </c>
      <c r="G2255">
        <v>3038</v>
      </c>
      <c r="H2255">
        <v>3038</v>
      </c>
      <c r="I2255">
        <v>88</v>
      </c>
      <c r="J2255">
        <v>2.98</v>
      </c>
      <c r="K2255">
        <v>3038</v>
      </c>
      <c r="L2255">
        <v>88</v>
      </c>
      <c r="M2255">
        <v>2.98</v>
      </c>
      <c r="N2255">
        <v>3020</v>
      </c>
      <c r="O2255">
        <v>3038</v>
      </c>
      <c r="P2255">
        <v>322</v>
      </c>
      <c r="Q2255">
        <v>9.43</v>
      </c>
      <c r="R2255">
        <v>3</v>
      </c>
      <c r="S2255">
        <v>2002785</v>
      </c>
      <c r="T2255">
        <v>3038</v>
      </c>
      <c r="U2255">
        <v>0</v>
      </c>
      <c r="V2255">
        <v>0</v>
      </c>
      <c r="W2255">
        <v>0</v>
      </c>
      <c r="X2255" s="367"/>
    </row>
    <row r="2256" spans="1:24">
      <c r="A2256" t="s">
        <v>5593</v>
      </c>
      <c r="B2256" t="s">
        <v>5594</v>
      </c>
      <c r="C2256">
        <v>1</v>
      </c>
      <c r="D2256">
        <v>2113</v>
      </c>
      <c r="E2256">
        <v>13074869999</v>
      </c>
      <c r="F2256">
        <v>6242195</v>
      </c>
      <c r="G2256">
        <v>6187823</v>
      </c>
      <c r="H2256">
        <v>6187823</v>
      </c>
      <c r="I2256">
        <v>-54372</v>
      </c>
      <c r="J2256">
        <v>-0.87</v>
      </c>
      <c r="K2256">
        <v>6187823</v>
      </c>
      <c r="L2256">
        <v>-54372</v>
      </c>
      <c r="M2256">
        <v>-0.87</v>
      </c>
      <c r="N2256">
        <v>6187823</v>
      </c>
      <c r="O2256">
        <v>6187823</v>
      </c>
      <c r="P2256" t="s">
        <v>192</v>
      </c>
      <c r="Q2256" t="s">
        <v>192</v>
      </c>
      <c r="R2256">
        <v>1</v>
      </c>
      <c r="S2256">
        <v>6571</v>
      </c>
      <c r="T2256">
        <v>6235000</v>
      </c>
      <c r="U2256">
        <v>6359700</v>
      </c>
      <c r="V2256">
        <v>6571</v>
      </c>
      <c r="W2256">
        <v>1</v>
      </c>
      <c r="X2256" s="367"/>
    </row>
    <row r="2257" spans="1:24">
      <c r="A2257" t="s">
        <v>5595</v>
      </c>
      <c r="B2257" t="s">
        <v>5596</v>
      </c>
      <c r="C2257">
        <v>56</v>
      </c>
      <c r="D2257">
        <v>10339357</v>
      </c>
      <c r="E2257">
        <v>681660675017</v>
      </c>
      <c r="F2257">
        <v>64009</v>
      </c>
      <c r="G2257">
        <v>65929</v>
      </c>
      <c r="H2257">
        <v>65929</v>
      </c>
      <c r="I2257">
        <v>1920</v>
      </c>
      <c r="J2257">
        <v>3</v>
      </c>
      <c r="K2257">
        <v>65929</v>
      </c>
      <c r="L2257">
        <v>1920</v>
      </c>
      <c r="M2257">
        <v>3</v>
      </c>
      <c r="N2257">
        <v>64910</v>
      </c>
      <c r="O2257">
        <v>65929</v>
      </c>
      <c r="P2257" t="s">
        <v>192</v>
      </c>
      <c r="Q2257" t="s">
        <v>192</v>
      </c>
      <c r="R2257">
        <v>8</v>
      </c>
      <c r="S2257">
        <v>528685</v>
      </c>
      <c r="T2257">
        <v>65929</v>
      </c>
      <c r="U2257">
        <v>0</v>
      </c>
      <c r="V2257">
        <v>0</v>
      </c>
      <c r="W2257">
        <v>0</v>
      </c>
      <c r="X2257" s="367"/>
    </row>
    <row r="2258" spans="1:24">
      <c r="A2258" t="s">
        <v>5597</v>
      </c>
      <c r="B2258" t="s">
        <v>5598</v>
      </c>
      <c r="C2258">
        <v>0</v>
      </c>
      <c r="D2258">
        <v>0</v>
      </c>
      <c r="E2258">
        <v>0</v>
      </c>
      <c r="F2258">
        <v>820340</v>
      </c>
      <c r="G2258">
        <v>0</v>
      </c>
      <c r="H2258">
        <v>820340</v>
      </c>
      <c r="I2258">
        <v>0</v>
      </c>
      <c r="J2258">
        <v>0</v>
      </c>
      <c r="K2258">
        <v>820340</v>
      </c>
      <c r="L2258">
        <v>0</v>
      </c>
      <c r="M2258">
        <v>0</v>
      </c>
      <c r="N2258">
        <v>0</v>
      </c>
      <c r="O2258">
        <v>0</v>
      </c>
      <c r="P2258" t="s">
        <v>192</v>
      </c>
      <c r="Q2258" t="s">
        <v>192</v>
      </c>
      <c r="R2258">
        <v>1</v>
      </c>
      <c r="S2258">
        <v>6250</v>
      </c>
      <c r="T2258">
        <v>820340</v>
      </c>
      <c r="U2258">
        <v>0</v>
      </c>
      <c r="V2258">
        <v>0</v>
      </c>
      <c r="W2258">
        <v>0</v>
      </c>
      <c r="X2258" s="367"/>
    </row>
    <row r="2259" spans="1:24">
      <c r="A2259" t="s">
        <v>1755</v>
      </c>
      <c r="B2259" t="s">
        <v>1754</v>
      </c>
      <c r="C2259">
        <v>84</v>
      </c>
      <c r="D2259">
        <v>6379983</v>
      </c>
      <c r="E2259">
        <v>43320084570</v>
      </c>
      <c r="F2259">
        <v>6600</v>
      </c>
      <c r="G2259">
        <v>6790</v>
      </c>
      <c r="H2259">
        <v>6790</v>
      </c>
      <c r="I2259">
        <v>190</v>
      </c>
      <c r="J2259">
        <v>2.88</v>
      </c>
      <c r="K2259">
        <v>6790</v>
      </c>
      <c r="L2259">
        <v>190</v>
      </c>
      <c r="M2259">
        <v>2.88</v>
      </c>
      <c r="N2259">
        <v>6790</v>
      </c>
      <c r="O2259">
        <v>6790</v>
      </c>
      <c r="P2259">
        <v>235</v>
      </c>
      <c r="Q2259">
        <v>28.89</v>
      </c>
      <c r="R2259">
        <v>23</v>
      </c>
      <c r="S2259">
        <v>5139927</v>
      </c>
      <c r="T2259">
        <v>6790</v>
      </c>
      <c r="U2259">
        <v>6810</v>
      </c>
      <c r="V2259">
        <v>700</v>
      </c>
      <c r="W2259">
        <v>1</v>
      </c>
      <c r="X2259" s="367"/>
    </row>
    <row r="2260" spans="1:24">
      <c r="A2260" t="s">
        <v>2246</v>
      </c>
      <c r="B2260" t="s">
        <v>2245</v>
      </c>
      <c r="C2260">
        <v>451</v>
      </c>
      <c r="D2260">
        <v>829273</v>
      </c>
      <c r="E2260">
        <v>103078633900</v>
      </c>
      <c r="F2260">
        <v>120700</v>
      </c>
      <c r="G2260">
        <v>124300</v>
      </c>
      <c r="H2260">
        <v>124300</v>
      </c>
      <c r="I2260">
        <v>3600</v>
      </c>
      <c r="J2260">
        <v>2.98</v>
      </c>
      <c r="K2260">
        <v>124300</v>
      </c>
      <c r="L2260">
        <v>3600</v>
      </c>
      <c r="M2260">
        <v>2.98</v>
      </c>
      <c r="N2260">
        <v>124300</v>
      </c>
      <c r="O2260">
        <v>124300</v>
      </c>
      <c r="P2260">
        <v>9222</v>
      </c>
      <c r="Q2260">
        <v>13.48</v>
      </c>
      <c r="R2260">
        <v>75</v>
      </c>
      <c r="S2260">
        <v>225609</v>
      </c>
      <c r="T2260">
        <v>124300</v>
      </c>
      <c r="U2260">
        <v>0</v>
      </c>
      <c r="V2260">
        <v>0</v>
      </c>
      <c r="W2260">
        <v>0</v>
      </c>
      <c r="X2260" s="367"/>
    </row>
    <row r="2261" spans="1:24">
      <c r="A2261" t="s">
        <v>2344</v>
      </c>
      <c r="B2261" t="s">
        <v>2343</v>
      </c>
      <c r="C2261">
        <v>252</v>
      </c>
      <c r="D2261">
        <v>2699118</v>
      </c>
      <c r="E2261">
        <v>86857617240</v>
      </c>
      <c r="F2261">
        <v>31250</v>
      </c>
      <c r="G2261">
        <v>32180</v>
      </c>
      <c r="H2261">
        <v>32180</v>
      </c>
      <c r="I2261">
        <v>930</v>
      </c>
      <c r="J2261">
        <v>2.98</v>
      </c>
      <c r="K2261">
        <v>32180</v>
      </c>
      <c r="L2261">
        <v>930</v>
      </c>
      <c r="M2261">
        <v>2.98</v>
      </c>
      <c r="N2261">
        <v>32180</v>
      </c>
      <c r="O2261">
        <v>32180</v>
      </c>
      <c r="P2261">
        <v>4322</v>
      </c>
      <c r="Q2261">
        <v>7.45</v>
      </c>
      <c r="R2261">
        <v>42</v>
      </c>
      <c r="S2261">
        <v>259800</v>
      </c>
      <c r="T2261">
        <v>32180</v>
      </c>
      <c r="U2261">
        <v>32230</v>
      </c>
      <c r="V2261">
        <v>2000</v>
      </c>
      <c r="W2261">
        <v>1</v>
      </c>
      <c r="X2261" s="367"/>
    </row>
    <row r="2262" spans="1:24">
      <c r="A2262" t="s">
        <v>8850</v>
      </c>
      <c r="B2262" t="s">
        <v>8851</v>
      </c>
      <c r="C2262">
        <v>1</v>
      </c>
      <c r="D2262">
        <v>29800</v>
      </c>
      <c r="E2262">
        <v>29800000000</v>
      </c>
      <c r="F2262">
        <v>1000000</v>
      </c>
      <c r="G2262">
        <v>1000000</v>
      </c>
      <c r="H2262">
        <v>1000000</v>
      </c>
      <c r="I2262">
        <v>0</v>
      </c>
      <c r="J2262">
        <v>0</v>
      </c>
      <c r="K2262">
        <v>1000000</v>
      </c>
      <c r="L2262">
        <v>0</v>
      </c>
      <c r="M2262">
        <v>0</v>
      </c>
      <c r="N2262">
        <v>1000000</v>
      </c>
      <c r="O2262">
        <v>1000000</v>
      </c>
      <c r="P2262" t="s">
        <v>192</v>
      </c>
      <c r="Q2262" t="s">
        <v>192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 s="367"/>
    </row>
    <row r="2263" spans="1:24">
      <c r="A2263" t="s">
        <v>3012</v>
      </c>
      <c r="B2263" t="s">
        <v>3011</v>
      </c>
      <c r="C2263">
        <v>196</v>
      </c>
      <c r="D2263">
        <v>40233081</v>
      </c>
      <c r="E2263">
        <v>62803839441</v>
      </c>
      <c r="F2263">
        <v>1516</v>
      </c>
      <c r="G2263">
        <v>1561</v>
      </c>
      <c r="H2263">
        <v>1561</v>
      </c>
      <c r="I2263">
        <v>45</v>
      </c>
      <c r="J2263">
        <v>2.97</v>
      </c>
      <c r="K2263">
        <v>1561</v>
      </c>
      <c r="L2263">
        <v>45</v>
      </c>
      <c r="M2263">
        <v>2.97</v>
      </c>
      <c r="N2263">
        <v>1561</v>
      </c>
      <c r="O2263">
        <v>1561</v>
      </c>
      <c r="P2263">
        <v>33</v>
      </c>
      <c r="Q2263">
        <v>47.3</v>
      </c>
      <c r="R2263">
        <v>151</v>
      </c>
      <c r="S2263">
        <v>77029294</v>
      </c>
      <c r="T2263">
        <v>1561</v>
      </c>
      <c r="U2263">
        <v>0</v>
      </c>
      <c r="V2263">
        <v>0</v>
      </c>
      <c r="W2263">
        <v>0</v>
      </c>
      <c r="X2263" s="367"/>
    </row>
    <row r="2264" spans="1:24">
      <c r="A2264" t="s">
        <v>2367</v>
      </c>
      <c r="B2264" t="s">
        <v>2366</v>
      </c>
      <c r="C2264">
        <v>73</v>
      </c>
      <c r="D2264">
        <v>1304709</v>
      </c>
      <c r="E2264">
        <v>33622350930</v>
      </c>
      <c r="F2264">
        <v>25020</v>
      </c>
      <c r="G2264">
        <v>25770</v>
      </c>
      <c r="H2264">
        <v>25770</v>
      </c>
      <c r="I2264">
        <v>750</v>
      </c>
      <c r="J2264">
        <v>3</v>
      </c>
      <c r="K2264">
        <v>25770</v>
      </c>
      <c r="L2264">
        <v>750</v>
      </c>
      <c r="M2264">
        <v>3</v>
      </c>
      <c r="N2264">
        <v>25770</v>
      </c>
      <c r="O2264">
        <v>25770</v>
      </c>
      <c r="P2264">
        <v>8751</v>
      </c>
      <c r="Q2264">
        <v>2.94</v>
      </c>
      <c r="R2264">
        <v>102</v>
      </c>
      <c r="S2264">
        <v>1374777</v>
      </c>
      <c r="T2264">
        <v>25770</v>
      </c>
      <c r="U2264">
        <v>0</v>
      </c>
      <c r="V2264">
        <v>0</v>
      </c>
      <c r="W2264">
        <v>0</v>
      </c>
      <c r="X2264" s="367"/>
    </row>
    <row r="2265" spans="1:24">
      <c r="A2265" t="s">
        <v>8444</v>
      </c>
      <c r="B2265" t="s">
        <v>8445</v>
      </c>
      <c r="C2265">
        <v>77</v>
      </c>
      <c r="D2265">
        <v>2474934</v>
      </c>
      <c r="E2265">
        <v>57418468800</v>
      </c>
      <c r="F2265">
        <v>22530</v>
      </c>
      <c r="G2265">
        <v>23200</v>
      </c>
      <c r="H2265">
        <v>23200</v>
      </c>
      <c r="I2265">
        <v>670</v>
      </c>
      <c r="J2265">
        <v>2.97</v>
      </c>
      <c r="K2265">
        <v>23200</v>
      </c>
      <c r="L2265">
        <v>670</v>
      </c>
      <c r="M2265">
        <v>2.97</v>
      </c>
      <c r="N2265">
        <v>23200</v>
      </c>
      <c r="O2265">
        <v>23200</v>
      </c>
      <c r="P2265">
        <v>-930</v>
      </c>
      <c r="Q2265">
        <v>-24.95</v>
      </c>
      <c r="R2265">
        <v>112</v>
      </c>
      <c r="S2265">
        <v>6691182</v>
      </c>
      <c r="T2265">
        <v>23200</v>
      </c>
      <c r="U2265">
        <v>0</v>
      </c>
      <c r="V2265">
        <v>0</v>
      </c>
      <c r="W2265">
        <v>0</v>
      </c>
      <c r="X2265" s="367"/>
    </row>
    <row r="2266" spans="1:24">
      <c r="A2266" t="s">
        <v>5599</v>
      </c>
      <c r="B2266" t="s">
        <v>5600</v>
      </c>
      <c r="C2266">
        <v>0</v>
      </c>
      <c r="D2266">
        <v>0</v>
      </c>
      <c r="E2266">
        <v>0</v>
      </c>
      <c r="F2266">
        <v>1000000</v>
      </c>
      <c r="G2266">
        <v>0</v>
      </c>
      <c r="H2266">
        <v>1000000</v>
      </c>
      <c r="I2266">
        <v>0</v>
      </c>
      <c r="J2266">
        <v>0</v>
      </c>
      <c r="K2266">
        <v>1000000</v>
      </c>
      <c r="L2266">
        <v>0</v>
      </c>
      <c r="M2266">
        <v>0</v>
      </c>
      <c r="N2266">
        <v>0</v>
      </c>
      <c r="O2266">
        <v>0</v>
      </c>
      <c r="P2266" t="s">
        <v>192</v>
      </c>
      <c r="Q2266" t="s">
        <v>192</v>
      </c>
      <c r="R2266">
        <v>1</v>
      </c>
      <c r="S2266">
        <v>5000</v>
      </c>
      <c r="T2266">
        <v>997000</v>
      </c>
      <c r="U2266">
        <v>1005000</v>
      </c>
      <c r="V2266">
        <v>5000</v>
      </c>
      <c r="W2266">
        <v>1</v>
      </c>
      <c r="X2266" s="367"/>
    </row>
    <row r="2267" spans="1:24">
      <c r="A2267" t="s">
        <v>5601</v>
      </c>
      <c r="B2267" t="s">
        <v>5602</v>
      </c>
      <c r="C2267">
        <v>0</v>
      </c>
      <c r="D2267">
        <v>0</v>
      </c>
      <c r="E2267">
        <v>0</v>
      </c>
      <c r="F2267">
        <v>950000</v>
      </c>
      <c r="G2267">
        <v>0</v>
      </c>
      <c r="H2267">
        <v>950000</v>
      </c>
      <c r="I2267">
        <v>0</v>
      </c>
      <c r="J2267">
        <v>0</v>
      </c>
      <c r="K2267">
        <v>950000</v>
      </c>
      <c r="L2267">
        <v>0</v>
      </c>
      <c r="M2267">
        <v>0</v>
      </c>
      <c r="N2267">
        <v>0</v>
      </c>
      <c r="O2267">
        <v>0</v>
      </c>
      <c r="P2267" t="s">
        <v>192</v>
      </c>
      <c r="Q2267" t="s">
        <v>192</v>
      </c>
      <c r="R2267">
        <v>1</v>
      </c>
      <c r="S2267">
        <v>5000</v>
      </c>
      <c r="T2267">
        <v>950000</v>
      </c>
      <c r="U2267">
        <v>0</v>
      </c>
      <c r="V2267">
        <v>0</v>
      </c>
      <c r="W2267">
        <v>0</v>
      </c>
      <c r="X2267" s="367"/>
    </row>
    <row r="2268" spans="1:24">
      <c r="A2268" t="s">
        <v>5603</v>
      </c>
      <c r="B2268" t="s">
        <v>5604</v>
      </c>
      <c r="C2268">
        <v>0</v>
      </c>
      <c r="D2268">
        <v>0</v>
      </c>
      <c r="E2268">
        <v>0</v>
      </c>
      <c r="F2268">
        <v>1000000</v>
      </c>
      <c r="G2268">
        <v>0</v>
      </c>
      <c r="H2268">
        <v>1000000</v>
      </c>
      <c r="I2268">
        <v>0</v>
      </c>
      <c r="J2268">
        <v>0</v>
      </c>
      <c r="K2268">
        <v>1000000</v>
      </c>
      <c r="L2268">
        <v>0</v>
      </c>
      <c r="M2268">
        <v>0</v>
      </c>
      <c r="N2268">
        <v>0</v>
      </c>
      <c r="O2268">
        <v>0</v>
      </c>
      <c r="P2268" t="s">
        <v>192</v>
      </c>
      <c r="Q2268" t="s">
        <v>192</v>
      </c>
      <c r="R2268">
        <v>1</v>
      </c>
      <c r="S2268">
        <v>5000</v>
      </c>
      <c r="T2268">
        <v>1000000</v>
      </c>
      <c r="U2268">
        <v>0</v>
      </c>
      <c r="V2268">
        <v>0</v>
      </c>
      <c r="W2268">
        <v>0</v>
      </c>
      <c r="X2268" s="367"/>
    </row>
    <row r="2269" spans="1:24">
      <c r="A2269" t="s">
        <v>5605</v>
      </c>
      <c r="B2269" t="s">
        <v>5606</v>
      </c>
      <c r="C2269">
        <v>2</v>
      </c>
      <c r="D2269">
        <v>59314</v>
      </c>
      <c r="E2269">
        <v>55755160000</v>
      </c>
      <c r="F2269">
        <v>961543</v>
      </c>
      <c r="G2269">
        <v>940000</v>
      </c>
      <c r="H2269">
        <v>940000</v>
      </c>
      <c r="I2269">
        <v>-21543</v>
      </c>
      <c r="J2269">
        <v>-2.2400000000000002</v>
      </c>
      <c r="K2269">
        <v>940000</v>
      </c>
      <c r="L2269">
        <v>-21543</v>
      </c>
      <c r="M2269">
        <v>-2.2400000000000002</v>
      </c>
      <c r="N2269">
        <v>940000</v>
      </c>
      <c r="O2269">
        <v>940000</v>
      </c>
      <c r="P2269" t="s">
        <v>192</v>
      </c>
      <c r="Q2269" t="s">
        <v>192</v>
      </c>
      <c r="R2269">
        <v>1</v>
      </c>
      <c r="S2269">
        <v>75000</v>
      </c>
      <c r="T2269">
        <v>917420</v>
      </c>
      <c r="U2269">
        <v>0</v>
      </c>
      <c r="V2269">
        <v>0</v>
      </c>
      <c r="W2269">
        <v>0</v>
      </c>
      <c r="X2269" s="367"/>
    </row>
    <row r="2270" spans="1:24">
      <c r="A2270" t="s">
        <v>5607</v>
      </c>
      <c r="B2270" t="s">
        <v>5608</v>
      </c>
      <c r="C2270">
        <v>0</v>
      </c>
      <c r="D2270">
        <v>0</v>
      </c>
      <c r="E2270">
        <v>0</v>
      </c>
      <c r="F2270">
        <v>835000</v>
      </c>
      <c r="G2270">
        <v>0</v>
      </c>
      <c r="H2270">
        <v>835000</v>
      </c>
      <c r="I2270">
        <v>0</v>
      </c>
      <c r="J2270">
        <v>0</v>
      </c>
      <c r="K2270">
        <v>835000</v>
      </c>
      <c r="L2270">
        <v>0</v>
      </c>
      <c r="M2270">
        <v>0</v>
      </c>
      <c r="N2270">
        <v>0</v>
      </c>
      <c r="O2270">
        <v>0</v>
      </c>
      <c r="P2270" t="s">
        <v>192</v>
      </c>
      <c r="Q2270" t="s">
        <v>192</v>
      </c>
      <c r="R2270">
        <v>1</v>
      </c>
      <c r="S2270">
        <v>10000</v>
      </c>
      <c r="T2270">
        <v>827000</v>
      </c>
      <c r="U2270">
        <v>835000</v>
      </c>
      <c r="V2270">
        <v>10000</v>
      </c>
      <c r="W2270">
        <v>1</v>
      </c>
      <c r="X2270" s="367"/>
    </row>
    <row r="2271" spans="1:24">
      <c r="A2271" t="s">
        <v>73</v>
      </c>
      <c r="B2271" t="s">
        <v>72</v>
      </c>
      <c r="C2271">
        <v>269</v>
      </c>
      <c r="D2271">
        <v>6405585</v>
      </c>
      <c r="E2271">
        <v>50456251920</v>
      </c>
      <c r="F2271">
        <v>7660</v>
      </c>
      <c r="G2271">
        <v>7850</v>
      </c>
      <c r="H2271">
        <v>7880</v>
      </c>
      <c r="I2271">
        <v>220</v>
      </c>
      <c r="J2271">
        <v>2.87</v>
      </c>
      <c r="K2271">
        <v>7880</v>
      </c>
      <c r="L2271">
        <v>220</v>
      </c>
      <c r="M2271">
        <v>2.87</v>
      </c>
      <c r="N2271">
        <v>7840</v>
      </c>
      <c r="O2271">
        <v>7880</v>
      </c>
      <c r="P2271">
        <v>1220</v>
      </c>
      <c r="Q2271">
        <v>6.46</v>
      </c>
      <c r="R2271">
        <v>81</v>
      </c>
      <c r="S2271">
        <v>1857145</v>
      </c>
      <c r="T2271">
        <v>7880</v>
      </c>
      <c r="U2271">
        <v>0</v>
      </c>
      <c r="V2271">
        <v>0</v>
      </c>
      <c r="W2271">
        <v>0</v>
      </c>
      <c r="X2271" s="367"/>
    </row>
    <row r="2272" spans="1:24">
      <c r="A2272" t="s">
        <v>3116</v>
      </c>
      <c r="B2272" t="s">
        <v>3115</v>
      </c>
      <c r="C2272">
        <v>161</v>
      </c>
      <c r="D2272">
        <v>16523519</v>
      </c>
      <c r="E2272">
        <v>93357882350</v>
      </c>
      <c r="F2272">
        <v>5490</v>
      </c>
      <c r="G2272">
        <v>5650</v>
      </c>
      <c r="H2272">
        <v>5650</v>
      </c>
      <c r="I2272">
        <v>160</v>
      </c>
      <c r="J2272">
        <v>2.91</v>
      </c>
      <c r="K2272">
        <v>5650</v>
      </c>
      <c r="L2272">
        <v>160</v>
      </c>
      <c r="M2272">
        <v>2.91</v>
      </c>
      <c r="N2272">
        <v>5650</v>
      </c>
      <c r="O2272">
        <v>5650</v>
      </c>
      <c r="P2272">
        <v>973</v>
      </c>
      <c r="Q2272">
        <v>5.81</v>
      </c>
      <c r="R2272">
        <v>62</v>
      </c>
      <c r="S2272">
        <v>10416161</v>
      </c>
      <c r="T2272">
        <v>5650</v>
      </c>
      <c r="U2272">
        <v>5690</v>
      </c>
      <c r="V2272">
        <v>1000</v>
      </c>
      <c r="W2272">
        <v>1</v>
      </c>
      <c r="X2272" s="367"/>
    </row>
    <row r="2273" spans="1:24">
      <c r="A2273" t="s">
        <v>5609</v>
      </c>
      <c r="B2273" t="s">
        <v>5610</v>
      </c>
      <c r="C2273">
        <v>1247</v>
      </c>
      <c r="D2273">
        <v>7174900</v>
      </c>
      <c r="E2273">
        <v>414730090460</v>
      </c>
      <c r="F2273">
        <v>58112</v>
      </c>
      <c r="G2273">
        <v>57995</v>
      </c>
      <c r="H2273">
        <v>57852</v>
      </c>
      <c r="I2273">
        <v>-260</v>
      </c>
      <c r="J2273">
        <v>-0.45</v>
      </c>
      <c r="K2273">
        <v>57803</v>
      </c>
      <c r="L2273">
        <v>-309</v>
      </c>
      <c r="M2273">
        <v>-0.53</v>
      </c>
      <c r="N2273">
        <v>57504</v>
      </c>
      <c r="O2273">
        <v>58000</v>
      </c>
      <c r="P2273" t="s">
        <v>192</v>
      </c>
      <c r="Q2273" t="s">
        <v>192</v>
      </c>
      <c r="R2273">
        <v>3</v>
      </c>
      <c r="S2273">
        <v>238371</v>
      </c>
      <c r="T2273">
        <v>57852</v>
      </c>
      <c r="U2273">
        <v>57854</v>
      </c>
      <c r="V2273">
        <v>34852</v>
      </c>
      <c r="W2273">
        <v>3</v>
      </c>
      <c r="X2273" s="367"/>
    </row>
    <row r="2274" spans="1:24">
      <c r="A2274" t="s">
        <v>2109</v>
      </c>
      <c r="B2274" t="s">
        <v>2108</v>
      </c>
      <c r="C2274">
        <v>146</v>
      </c>
      <c r="D2274">
        <v>12136608</v>
      </c>
      <c r="E2274">
        <v>24831499968</v>
      </c>
      <c r="F2274">
        <v>1987</v>
      </c>
      <c r="G2274">
        <v>2046</v>
      </c>
      <c r="H2274">
        <v>2046</v>
      </c>
      <c r="I2274">
        <v>59</v>
      </c>
      <c r="J2274">
        <v>2.97</v>
      </c>
      <c r="K2274">
        <v>2046</v>
      </c>
      <c r="L2274">
        <v>59</v>
      </c>
      <c r="M2274">
        <v>2.97</v>
      </c>
      <c r="N2274">
        <v>2046</v>
      </c>
      <c r="O2274">
        <v>2046</v>
      </c>
      <c r="P2274">
        <v>137</v>
      </c>
      <c r="Q2274">
        <v>14.93</v>
      </c>
      <c r="R2274">
        <v>27</v>
      </c>
      <c r="S2274">
        <v>1350498</v>
      </c>
      <c r="T2274">
        <v>2046</v>
      </c>
      <c r="U2274">
        <v>2060</v>
      </c>
      <c r="V2274">
        <v>10000</v>
      </c>
      <c r="W2274">
        <v>1</v>
      </c>
      <c r="X2274" s="367"/>
    </row>
    <row r="2275" spans="1:24">
      <c r="A2275" t="s">
        <v>2016</v>
      </c>
      <c r="B2275" t="s">
        <v>2015</v>
      </c>
      <c r="C2275">
        <v>28</v>
      </c>
      <c r="D2275">
        <v>182751</v>
      </c>
      <c r="E2275">
        <v>3673295100</v>
      </c>
      <c r="F2275">
        <v>19520</v>
      </c>
      <c r="G2275">
        <v>20100</v>
      </c>
      <c r="H2275">
        <v>20100</v>
      </c>
      <c r="I2275">
        <v>580</v>
      </c>
      <c r="J2275">
        <v>2.97</v>
      </c>
      <c r="K2275">
        <v>20100</v>
      </c>
      <c r="L2275">
        <v>580</v>
      </c>
      <c r="M2275">
        <v>2.97</v>
      </c>
      <c r="N2275">
        <v>20100</v>
      </c>
      <c r="O2275">
        <v>20100</v>
      </c>
      <c r="P2275">
        <v>4380</v>
      </c>
      <c r="Q2275">
        <v>4.59</v>
      </c>
      <c r="R2275">
        <v>225</v>
      </c>
      <c r="S2275">
        <v>19585904</v>
      </c>
      <c r="T2275">
        <v>20100</v>
      </c>
      <c r="U2275">
        <v>0</v>
      </c>
      <c r="V2275">
        <v>0</v>
      </c>
      <c r="W2275">
        <v>0</v>
      </c>
      <c r="X2275" s="367"/>
    </row>
    <row r="2276" spans="1:24">
      <c r="A2276" t="s">
        <v>5611</v>
      </c>
      <c r="B2276" t="s">
        <v>5612</v>
      </c>
      <c r="C2276">
        <v>0</v>
      </c>
      <c r="D2276">
        <v>0</v>
      </c>
      <c r="E2276">
        <v>0</v>
      </c>
      <c r="F2276">
        <v>1043400</v>
      </c>
      <c r="G2276">
        <v>0</v>
      </c>
      <c r="H2276">
        <v>1043400</v>
      </c>
      <c r="I2276">
        <v>0</v>
      </c>
      <c r="J2276">
        <v>0</v>
      </c>
      <c r="K2276">
        <v>1043400</v>
      </c>
      <c r="L2276">
        <v>0</v>
      </c>
      <c r="M2276">
        <v>0</v>
      </c>
      <c r="N2276">
        <v>0</v>
      </c>
      <c r="O2276">
        <v>0</v>
      </c>
      <c r="P2276" t="s">
        <v>192</v>
      </c>
      <c r="Q2276" t="s">
        <v>192</v>
      </c>
      <c r="R2276">
        <v>1</v>
      </c>
      <c r="S2276">
        <v>5000</v>
      </c>
      <c r="T2276">
        <v>1043400</v>
      </c>
      <c r="U2276">
        <v>1053830</v>
      </c>
      <c r="V2276">
        <v>5000</v>
      </c>
      <c r="W2276">
        <v>1</v>
      </c>
      <c r="X2276" s="367"/>
    </row>
    <row r="2277" spans="1:24">
      <c r="A2277" t="s">
        <v>8751</v>
      </c>
      <c r="B2277" t="s">
        <v>8752</v>
      </c>
      <c r="C2277">
        <v>10</v>
      </c>
      <c r="D2277">
        <v>9950000</v>
      </c>
      <c r="E2277">
        <v>7471455000000</v>
      </c>
      <c r="F2277">
        <v>1000000</v>
      </c>
      <c r="G2277">
        <v>750900</v>
      </c>
      <c r="H2277">
        <v>750900</v>
      </c>
      <c r="I2277">
        <v>-249100</v>
      </c>
      <c r="J2277">
        <v>-24.91</v>
      </c>
      <c r="K2277">
        <v>750900</v>
      </c>
      <c r="L2277">
        <v>-249100</v>
      </c>
      <c r="M2277">
        <v>-24.91</v>
      </c>
      <c r="N2277">
        <v>750900</v>
      </c>
      <c r="O2277">
        <v>750900</v>
      </c>
      <c r="P2277" t="s">
        <v>192</v>
      </c>
      <c r="Q2277" t="s">
        <v>192</v>
      </c>
      <c r="R2277">
        <v>1</v>
      </c>
      <c r="S2277">
        <v>10000</v>
      </c>
      <c r="T2277">
        <v>766000</v>
      </c>
      <c r="U2277">
        <v>773400</v>
      </c>
      <c r="V2277">
        <v>10000</v>
      </c>
      <c r="W2277">
        <v>1</v>
      </c>
      <c r="X2277" s="367"/>
    </row>
    <row r="2278" spans="1:24">
      <c r="A2278" t="s">
        <v>5613</v>
      </c>
      <c r="B2278" t="s">
        <v>5614</v>
      </c>
      <c r="C2278">
        <v>0</v>
      </c>
      <c r="D2278">
        <v>0</v>
      </c>
      <c r="E2278">
        <v>0</v>
      </c>
      <c r="F2278">
        <v>1000000</v>
      </c>
      <c r="G2278">
        <v>0</v>
      </c>
      <c r="H2278">
        <v>1000000</v>
      </c>
      <c r="I2278">
        <v>0</v>
      </c>
      <c r="J2278">
        <v>0</v>
      </c>
      <c r="K2278">
        <v>1000000</v>
      </c>
      <c r="L2278">
        <v>0</v>
      </c>
      <c r="M2278">
        <v>0</v>
      </c>
      <c r="N2278">
        <v>0</v>
      </c>
      <c r="O2278">
        <v>0</v>
      </c>
      <c r="P2278" t="s">
        <v>192</v>
      </c>
      <c r="Q2278" t="s">
        <v>192</v>
      </c>
      <c r="R2278">
        <v>1</v>
      </c>
      <c r="S2278">
        <v>5000</v>
      </c>
      <c r="T2278">
        <v>1000000</v>
      </c>
      <c r="U2278">
        <v>0</v>
      </c>
      <c r="V2278">
        <v>0</v>
      </c>
      <c r="W2278">
        <v>0</v>
      </c>
      <c r="X2278" s="367"/>
    </row>
    <row r="2279" spans="1:24">
      <c r="A2279" t="s">
        <v>2452</v>
      </c>
      <c r="B2279" t="s">
        <v>2451</v>
      </c>
      <c r="C2279">
        <v>4054</v>
      </c>
      <c r="D2279">
        <v>64439444</v>
      </c>
      <c r="E2279">
        <v>1057956521320</v>
      </c>
      <c r="F2279">
        <v>16190</v>
      </c>
      <c r="G2279">
        <v>16300</v>
      </c>
      <c r="H2279">
        <v>16670</v>
      </c>
      <c r="I2279">
        <v>480</v>
      </c>
      <c r="J2279">
        <v>2.96</v>
      </c>
      <c r="K2279">
        <v>16420</v>
      </c>
      <c r="L2279">
        <v>230</v>
      </c>
      <c r="M2279">
        <v>1.42</v>
      </c>
      <c r="N2279">
        <v>15810</v>
      </c>
      <c r="O2279">
        <v>16670</v>
      </c>
      <c r="P2279">
        <v>3441</v>
      </c>
      <c r="Q2279">
        <v>4.7699999999999996</v>
      </c>
      <c r="R2279">
        <v>9</v>
      </c>
      <c r="S2279">
        <v>511791</v>
      </c>
      <c r="T2279">
        <v>16670</v>
      </c>
      <c r="U2279">
        <v>17000</v>
      </c>
      <c r="V2279">
        <v>360</v>
      </c>
      <c r="W2279">
        <v>1</v>
      </c>
      <c r="X2279" s="367"/>
    </row>
    <row r="2280" spans="1:24">
      <c r="A2280" t="s">
        <v>5615</v>
      </c>
      <c r="B2280" t="s">
        <v>5616</v>
      </c>
      <c r="C2280">
        <v>0</v>
      </c>
      <c r="D2280">
        <v>0</v>
      </c>
      <c r="E2280">
        <v>0</v>
      </c>
      <c r="F2280">
        <v>990100</v>
      </c>
      <c r="G2280">
        <v>0</v>
      </c>
      <c r="H2280">
        <v>990100</v>
      </c>
      <c r="I2280">
        <v>0</v>
      </c>
      <c r="J2280">
        <v>0</v>
      </c>
      <c r="K2280">
        <v>990100</v>
      </c>
      <c r="L2280">
        <v>0</v>
      </c>
      <c r="M2280">
        <v>0</v>
      </c>
      <c r="N2280">
        <v>0</v>
      </c>
      <c r="O2280">
        <v>0</v>
      </c>
      <c r="P2280" t="s">
        <v>192</v>
      </c>
      <c r="Q2280" t="s">
        <v>192</v>
      </c>
      <c r="R2280">
        <v>1</v>
      </c>
      <c r="S2280">
        <v>15000</v>
      </c>
      <c r="T2280">
        <v>990100</v>
      </c>
      <c r="U2280">
        <v>1000000</v>
      </c>
      <c r="V2280">
        <v>15000</v>
      </c>
      <c r="W2280">
        <v>1</v>
      </c>
      <c r="X2280" s="367"/>
    </row>
    <row r="2281" spans="1:24">
      <c r="A2281" t="s">
        <v>5617</v>
      </c>
      <c r="B2281" t="s">
        <v>5488</v>
      </c>
      <c r="C2281">
        <v>2176</v>
      </c>
      <c r="D2281">
        <v>36912865</v>
      </c>
      <c r="E2281">
        <v>831532874922</v>
      </c>
      <c r="F2281">
        <v>22637</v>
      </c>
      <c r="G2281">
        <v>22700</v>
      </c>
      <c r="H2281">
        <v>22480</v>
      </c>
      <c r="I2281">
        <v>-157</v>
      </c>
      <c r="J2281">
        <v>-0.69</v>
      </c>
      <c r="K2281">
        <v>22527</v>
      </c>
      <c r="L2281">
        <v>-110</v>
      </c>
      <c r="M2281">
        <v>-0.49</v>
      </c>
      <c r="N2281">
        <v>22459</v>
      </c>
      <c r="O2281">
        <v>22700</v>
      </c>
      <c r="P2281" t="s">
        <v>192</v>
      </c>
      <c r="Q2281" t="s">
        <v>192</v>
      </c>
      <c r="R2281">
        <v>6</v>
      </c>
      <c r="S2281">
        <v>1022132</v>
      </c>
      <c r="T2281">
        <v>22479</v>
      </c>
      <c r="U2281">
        <v>22480</v>
      </c>
      <c r="V2281">
        <v>50865</v>
      </c>
      <c r="W2281">
        <v>6</v>
      </c>
      <c r="X2281" s="367"/>
    </row>
    <row r="2282" spans="1:24">
      <c r="A2282" t="s">
        <v>5618</v>
      </c>
      <c r="B2282" t="s">
        <v>4114</v>
      </c>
      <c r="C2282">
        <v>1531</v>
      </c>
      <c r="D2282">
        <v>108784129</v>
      </c>
      <c r="E2282">
        <v>640426859100</v>
      </c>
      <c r="F2282">
        <v>5720</v>
      </c>
      <c r="G2282">
        <v>5820</v>
      </c>
      <c r="H2282">
        <v>5890</v>
      </c>
      <c r="I2282">
        <v>170</v>
      </c>
      <c r="J2282">
        <v>2.97</v>
      </c>
      <c r="K2282">
        <v>5890</v>
      </c>
      <c r="L2282">
        <v>170</v>
      </c>
      <c r="M2282">
        <v>2.97</v>
      </c>
      <c r="N2282">
        <v>5810</v>
      </c>
      <c r="O2282">
        <v>5890</v>
      </c>
      <c r="P2282">
        <v>823</v>
      </c>
      <c r="Q2282">
        <v>7.16</v>
      </c>
      <c r="R2282">
        <v>58</v>
      </c>
      <c r="S2282">
        <v>6679450</v>
      </c>
      <c r="T2282">
        <v>5890</v>
      </c>
      <c r="U2282">
        <v>0</v>
      </c>
      <c r="V2282">
        <v>0</v>
      </c>
      <c r="W2282">
        <v>0</v>
      </c>
      <c r="X2282" s="367"/>
    </row>
    <row r="2283" spans="1:24">
      <c r="A2283" t="s">
        <v>5619</v>
      </c>
      <c r="B2283" t="s">
        <v>5620</v>
      </c>
      <c r="C2283">
        <v>130</v>
      </c>
      <c r="D2283">
        <v>2332020</v>
      </c>
      <c r="E2283">
        <v>40125502899</v>
      </c>
      <c r="F2283">
        <v>17408</v>
      </c>
      <c r="G2283">
        <v>17200</v>
      </c>
      <c r="H2283">
        <v>17290</v>
      </c>
      <c r="I2283">
        <v>-118</v>
      </c>
      <c r="J2283">
        <v>-0.68</v>
      </c>
      <c r="K2283">
        <v>17206</v>
      </c>
      <c r="L2283">
        <v>-202</v>
      </c>
      <c r="M2283">
        <v>-1.1599999999999999</v>
      </c>
      <c r="N2283">
        <v>17140</v>
      </c>
      <c r="O2283">
        <v>17388</v>
      </c>
      <c r="P2283" t="s">
        <v>192</v>
      </c>
      <c r="Q2283" t="s">
        <v>192</v>
      </c>
      <c r="R2283">
        <v>1</v>
      </c>
      <c r="S2283">
        <v>45855</v>
      </c>
      <c r="T2283">
        <v>17281</v>
      </c>
      <c r="U2283">
        <v>17318</v>
      </c>
      <c r="V2283">
        <v>72276</v>
      </c>
      <c r="W2283">
        <v>5</v>
      </c>
      <c r="X2283" s="367"/>
    </row>
    <row r="2284" spans="1:24">
      <c r="A2284" t="s">
        <v>5621</v>
      </c>
      <c r="B2284" t="s">
        <v>5622</v>
      </c>
      <c r="C2284">
        <v>13</v>
      </c>
      <c r="D2284">
        <v>11551</v>
      </c>
      <c r="E2284">
        <v>10265476580</v>
      </c>
      <c r="F2284">
        <v>887610</v>
      </c>
      <c r="G2284">
        <v>886200</v>
      </c>
      <c r="H2284">
        <v>888890</v>
      </c>
      <c r="I2284">
        <v>1280</v>
      </c>
      <c r="J2284">
        <v>0.14000000000000001</v>
      </c>
      <c r="K2284">
        <v>888710</v>
      </c>
      <c r="L2284">
        <v>1100</v>
      </c>
      <c r="M2284">
        <v>0.12</v>
      </c>
      <c r="N2284">
        <v>886200</v>
      </c>
      <c r="O2284">
        <v>889980</v>
      </c>
      <c r="P2284" t="s">
        <v>192</v>
      </c>
      <c r="Q2284" t="s">
        <v>192</v>
      </c>
      <c r="R2284">
        <v>1</v>
      </c>
      <c r="S2284">
        <v>216</v>
      </c>
      <c r="T2284">
        <v>888880</v>
      </c>
      <c r="U2284">
        <v>892000</v>
      </c>
      <c r="V2284">
        <v>30</v>
      </c>
      <c r="W2284">
        <v>1</v>
      </c>
      <c r="X2284" s="367"/>
    </row>
    <row r="2285" spans="1:24">
      <c r="A2285" t="s">
        <v>121</v>
      </c>
      <c r="B2285" t="s">
        <v>120</v>
      </c>
      <c r="C2285">
        <v>2853</v>
      </c>
      <c r="D2285">
        <v>11769527</v>
      </c>
      <c r="E2285">
        <v>795839180240</v>
      </c>
      <c r="F2285">
        <v>65760</v>
      </c>
      <c r="G2285">
        <v>67730</v>
      </c>
      <c r="H2285">
        <v>67730</v>
      </c>
      <c r="I2285">
        <v>1970</v>
      </c>
      <c r="J2285">
        <v>3</v>
      </c>
      <c r="K2285">
        <v>67620</v>
      </c>
      <c r="L2285">
        <v>1860</v>
      </c>
      <c r="M2285">
        <v>2.83</v>
      </c>
      <c r="N2285">
        <v>66500</v>
      </c>
      <c r="O2285">
        <v>67730</v>
      </c>
      <c r="P2285">
        <v>14832</v>
      </c>
      <c r="Q2285">
        <v>4.5599999999999996</v>
      </c>
      <c r="R2285">
        <v>13</v>
      </c>
      <c r="S2285">
        <v>36974</v>
      </c>
      <c r="T2285">
        <v>67730</v>
      </c>
      <c r="U2285">
        <v>68970</v>
      </c>
      <c r="V2285">
        <v>100</v>
      </c>
      <c r="W2285">
        <v>1</v>
      </c>
      <c r="X2285" s="367"/>
    </row>
    <row r="2286" spans="1:24">
      <c r="A2286" t="s">
        <v>2499</v>
      </c>
      <c r="B2286" t="s">
        <v>2498</v>
      </c>
      <c r="C2286">
        <v>2073</v>
      </c>
      <c r="D2286">
        <v>63715486</v>
      </c>
      <c r="E2286">
        <v>334934350880</v>
      </c>
      <c r="F2286">
        <v>5190</v>
      </c>
      <c r="G2286">
        <v>5310</v>
      </c>
      <c r="H2286">
        <v>5270</v>
      </c>
      <c r="I2286">
        <v>80</v>
      </c>
      <c r="J2286">
        <v>1.54</v>
      </c>
      <c r="K2286">
        <v>5260</v>
      </c>
      <c r="L2286">
        <v>70</v>
      </c>
      <c r="M2286">
        <v>1.35</v>
      </c>
      <c r="N2286">
        <v>5200</v>
      </c>
      <c r="O2286">
        <v>5330</v>
      </c>
      <c r="P2286">
        <v>1339</v>
      </c>
      <c r="Q2286">
        <v>3.93</v>
      </c>
      <c r="R2286">
        <v>2</v>
      </c>
      <c r="S2286">
        <v>207151</v>
      </c>
      <c r="T2286">
        <v>5240</v>
      </c>
      <c r="U2286">
        <v>5270</v>
      </c>
      <c r="V2286">
        <v>220000</v>
      </c>
      <c r="W2286">
        <v>1</v>
      </c>
      <c r="X2286" s="367"/>
    </row>
    <row r="2287" spans="1:24">
      <c r="A2287" t="s">
        <v>1726</v>
      </c>
      <c r="B2287" t="s">
        <v>1725</v>
      </c>
      <c r="C2287">
        <v>1371</v>
      </c>
      <c r="D2287">
        <v>24447663</v>
      </c>
      <c r="E2287">
        <v>333244903350</v>
      </c>
      <c r="F2287">
        <v>13330</v>
      </c>
      <c r="G2287">
        <v>13710</v>
      </c>
      <c r="H2287">
        <v>13720</v>
      </c>
      <c r="I2287">
        <v>390</v>
      </c>
      <c r="J2287">
        <v>2.93</v>
      </c>
      <c r="K2287">
        <v>13630</v>
      </c>
      <c r="L2287">
        <v>300</v>
      </c>
      <c r="M2287">
        <v>2.25</v>
      </c>
      <c r="N2287">
        <v>13440</v>
      </c>
      <c r="O2287">
        <v>13720</v>
      </c>
      <c r="P2287">
        <v>2528</v>
      </c>
      <c r="Q2287">
        <v>5.39</v>
      </c>
      <c r="R2287">
        <v>45</v>
      </c>
      <c r="S2287">
        <v>2344544</v>
      </c>
      <c r="T2287">
        <v>13720</v>
      </c>
      <c r="U2287">
        <v>14300</v>
      </c>
      <c r="V2287">
        <v>2360</v>
      </c>
      <c r="W2287">
        <v>1</v>
      </c>
      <c r="X2287" s="367"/>
    </row>
    <row r="2288" spans="1:24">
      <c r="A2288" t="s">
        <v>217</v>
      </c>
      <c r="B2288" t="s">
        <v>216</v>
      </c>
      <c r="C2288">
        <v>5428</v>
      </c>
      <c r="D2288">
        <v>61859537</v>
      </c>
      <c r="E2288">
        <v>928004970260</v>
      </c>
      <c r="F2288">
        <v>14810</v>
      </c>
      <c r="G2288">
        <v>15250</v>
      </c>
      <c r="H2288">
        <v>14950</v>
      </c>
      <c r="I2288">
        <v>140</v>
      </c>
      <c r="J2288">
        <v>0.95</v>
      </c>
      <c r="K2288">
        <v>15000</v>
      </c>
      <c r="L2288">
        <v>190</v>
      </c>
      <c r="M2288">
        <v>1.28</v>
      </c>
      <c r="N2288">
        <v>14700</v>
      </c>
      <c r="O2288">
        <v>15250</v>
      </c>
      <c r="P2288">
        <v>2531</v>
      </c>
      <c r="Q2288">
        <v>5.93</v>
      </c>
      <c r="R2288">
        <v>3</v>
      </c>
      <c r="S2288">
        <v>17225</v>
      </c>
      <c r="T2288">
        <v>14950</v>
      </c>
      <c r="U2288">
        <v>15000</v>
      </c>
      <c r="V2288">
        <v>50000</v>
      </c>
      <c r="W2288">
        <v>1</v>
      </c>
      <c r="X2288" s="367"/>
    </row>
    <row r="2289" spans="1:24">
      <c r="A2289" t="s">
        <v>5623</v>
      </c>
      <c r="B2289" t="s">
        <v>5624</v>
      </c>
      <c r="C2289">
        <v>0</v>
      </c>
      <c r="D2289">
        <v>0</v>
      </c>
      <c r="E2289">
        <v>0</v>
      </c>
      <c r="F2289">
        <v>857380</v>
      </c>
      <c r="G2289">
        <v>0</v>
      </c>
      <c r="H2289">
        <v>857380</v>
      </c>
      <c r="I2289">
        <v>0</v>
      </c>
      <c r="J2289">
        <v>0</v>
      </c>
      <c r="K2289">
        <v>857380</v>
      </c>
      <c r="L2289">
        <v>0</v>
      </c>
      <c r="M2289">
        <v>0</v>
      </c>
      <c r="N2289">
        <v>0</v>
      </c>
      <c r="O2289">
        <v>0</v>
      </c>
      <c r="P2289" t="s">
        <v>192</v>
      </c>
      <c r="Q2289" t="s">
        <v>192</v>
      </c>
      <c r="R2289">
        <v>1</v>
      </c>
      <c r="S2289">
        <v>5000</v>
      </c>
      <c r="T2289">
        <v>831660</v>
      </c>
      <c r="U2289">
        <v>0</v>
      </c>
      <c r="V2289">
        <v>0</v>
      </c>
      <c r="W2289">
        <v>0</v>
      </c>
      <c r="X2289" s="367"/>
    </row>
    <row r="2290" spans="1:24">
      <c r="A2290" t="s">
        <v>2597</v>
      </c>
      <c r="B2290" t="s">
        <v>2596</v>
      </c>
      <c r="C2290">
        <v>2754</v>
      </c>
      <c r="D2290">
        <v>19090943</v>
      </c>
      <c r="E2290">
        <v>83956236980</v>
      </c>
      <c r="F2290">
        <v>4280</v>
      </c>
      <c r="G2290">
        <v>4400</v>
      </c>
      <c r="H2290">
        <v>4400</v>
      </c>
      <c r="I2290">
        <v>120</v>
      </c>
      <c r="J2290">
        <v>2.8</v>
      </c>
      <c r="K2290">
        <v>4400</v>
      </c>
      <c r="L2290">
        <v>120</v>
      </c>
      <c r="M2290">
        <v>2.8</v>
      </c>
      <c r="N2290">
        <v>4320</v>
      </c>
      <c r="O2290">
        <v>4400</v>
      </c>
      <c r="P2290">
        <v>596</v>
      </c>
      <c r="Q2290">
        <v>7.38</v>
      </c>
      <c r="R2290">
        <v>4</v>
      </c>
      <c r="S2290">
        <v>76645</v>
      </c>
      <c r="T2290">
        <v>4400</v>
      </c>
      <c r="U2290">
        <v>0</v>
      </c>
      <c r="V2290">
        <v>0</v>
      </c>
      <c r="W2290">
        <v>0</v>
      </c>
      <c r="X2290" s="367"/>
    </row>
    <row r="2291" spans="1:24">
      <c r="A2291" t="s">
        <v>8753</v>
      </c>
      <c r="B2291" t="s">
        <v>56</v>
      </c>
      <c r="C2291">
        <v>1</v>
      </c>
      <c r="D2291">
        <v>784770</v>
      </c>
      <c r="E2291">
        <v>131292021000</v>
      </c>
      <c r="F2291">
        <v>162500</v>
      </c>
      <c r="G2291">
        <v>167300</v>
      </c>
      <c r="H2291">
        <v>167300</v>
      </c>
      <c r="I2291">
        <v>4800</v>
      </c>
      <c r="J2291">
        <v>2.95</v>
      </c>
      <c r="K2291">
        <v>167300</v>
      </c>
      <c r="L2291">
        <v>4800</v>
      </c>
      <c r="M2291">
        <v>2.95</v>
      </c>
      <c r="N2291">
        <v>167300</v>
      </c>
      <c r="O2291">
        <v>167300</v>
      </c>
      <c r="P2291">
        <v>30922</v>
      </c>
      <c r="Q2291">
        <v>5.41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 s="367"/>
    </row>
    <row r="2292" spans="1:24">
      <c r="A2292" t="s">
        <v>5625</v>
      </c>
      <c r="B2292" t="s">
        <v>5626</v>
      </c>
      <c r="C2292">
        <v>0</v>
      </c>
      <c r="D2292">
        <v>0</v>
      </c>
      <c r="E2292">
        <v>0</v>
      </c>
      <c r="F2292">
        <v>1000000</v>
      </c>
      <c r="G2292">
        <v>0</v>
      </c>
      <c r="H2292">
        <v>1000000</v>
      </c>
      <c r="I2292">
        <v>0</v>
      </c>
      <c r="J2292">
        <v>0</v>
      </c>
      <c r="K2292">
        <v>1000000</v>
      </c>
      <c r="L2292">
        <v>0</v>
      </c>
      <c r="M2292">
        <v>0</v>
      </c>
      <c r="N2292">
        <v>0</v>
      </c>
      <c r="O2292">
        <v>0</v>
      </c>
      <c r="P2292" t="s">
        <v>192</v>
      </c>
      <c r="Q2292" t="s">
        <v>192</v>
      </c>
      <c r="R2292">
        <v>1</v>
      </c>
      <c r="S2292">
        <v>5000</v>
      </c>
      <c r="T2292">
        <v>1000000</v>
      </c>
      <c r="U2292">
        <v>0</v>
      </c>
      <c r="V2292">
        <v>0</v>
      </c>
      <c r="W2292">
        <v>0</v>
      </c>
      <c r="X2292" s="367"/>
    </row>
    <row r="2293" spans="1:24">
      <c r="A2293" t="s">
        <v>8674</v>
      </c>
      <c r="B2293" t="s">
        <v>2321</v>
      </c>
      <c r="C2293">
        <v>1</v>
      </c>
      <c r="D2293">
        <v>42500000</v>
      </c>
      <c r="E2293">
        <v>217600000000</v>
      </c>
      <c r="F2293">
        <v>5120</v>
      </c>
      <c r="G2293">
        <v>5120</v>
      </c>
      <c r="H2293">
        <v>5120</v>
      </c>
      <c r="I2293">
        <v>0</v>
      </c>
      <c r="J2293">
        <v>0</v>
      </c>
      <c r="K2293">
        <v>5120</v>
      </c>
      <c r="L2293">
        <v>0</v>
      </c>
      <c r="M2293">
        <v>0</v>
      </c>
      <c r="N2293">
        <v>5120</v>
      </c>
      <c r="O2293">
        <v>5120</v>
      </c>
      <c r="P2293">
        <v>243</v>
      </c>
      <c r="Q2293">
        <v>21.07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 s="367"/>
    </row>
    <row r="2294" spans="1:24">
      <c r="A2294" t="s">
        <v>5627</v>
      </c>
      <c r="B2294" t="s">
        <v>5628</v>
      </c>
      <c r="C2294">
        <v>0</v>
      </c>
      <c r="D2294">
        <v>0</v>
      </c>
      <c r="E2294">
        <v>0</v>
      </c>
      <c r="F2294">
        <v>915950</v>
      </c>
      <c r="G2294">
        <v>0</v>
      </c>
      <c r="H2294">
        <v>915950</v>
      </c>
      <c r="I2294">
        <v>0</v>
      </c>
      <c r="J2294">
        <v>0</v>
      </c>
      <c r="K2294">
        <v>915950</v>
      </c>
      <c r="L2294">
        <v>0</v>
      </c>
      <c r="M2294">
        <v>0</v>
      </c>
      <c r="N2294">
        <v>0</v>
      </c>
      <c r="O2294">
        <v>0</v>
      </c>
      <c r="P2294" t="s">
        <v>192</v>
      </c>
      <c r="Q2294" t="s">
        <v>192</v>
      </c>
      <c r="R2294">
        <v>1</v>
      </c>
      <c r="S2294">
        <v>5625</v>
      </c>
      <c r="T2294">
        <v>915950</v>
      </c>
      <c r="U2294">
        <v>925110</v>
      </c>
      <c r="V2294">
        <v>5625</v>
      </c>
      <c r="W2294">
        <v>1</v>
      </c>
      <c r="X2294" s="367"/>
    </row>
    <row r="2295" spans="1:24">
      <c r="A2295" t="s">
        <v>5629</v>
      </c>
      <c r="B2295" t="s">
        <v>5630</v>
      </c>
      <c r="C2295">
        <v>19</v>
      </c>
      <c r="D2295">
        <v>96671</v>
      </c>
      <c r="E2295">
        <v>2431278485</v>
      </c>
      <c r="F2295">
        <v>25072</v>
      </c>
      <c r="G2295">
        <v>25155</v>
      </c>
      <c r="H2295">
        <v>25154</v>
      </c>
      <c r="I2295">
        <v>82</v>
      </c>
      <c r="J2295">
        <v>0.33</v>
      </c>
      <c r="K2295">
        <v>25150</v>
      </c>
      <c r="L2295">
        <v>78</v>
      </c>
      <c r="M2295">
        <v>0.31</v>
      </c>
      <c r="N2295">
        <v>25093</v>
      </c>
      <c r="O2295">
        <v>25155</v>
      </c>
      <c r="P2295" t="s">
        <v>192</v>
      </c>
      <c r="Q2295" t="s">
        <v>192</v>
      </c>
      <c r="R2295">
        <v>1</v>
      </c>
      <c r="S2295">
        <v>1000</v>
      </c>
      <c r="T2295">
        <v>25098</v>
      </c>
      <c r="U2295">
        <v>25154</v>
      </c>
      <c r="V2295">
        <v>9</v>
      </c>
      <c r="W2295">
        <v>1</v>
      </c>
      <c r="X2295" s="367"/>
    </row>
    <row r="2296" spans="1:24">
      <c r="A2296" t="s">
        <v>5631</v>
      </c>
      <c r="B2296" t="s">
        <v>5632</v>
      </c>
      <c r="C2296">
        <v>177</v>
      </c>
      <c r="D2296">
        <v>6254367</v>
      </c>
      <c r="E2296">
        <v>68773019532</v>
      </c>
      <c r="F2296">
        <v>10676</v>
      </c>
      <c r="G2296">
        <v>10996</v>
      </c>
      <c r="H2296">
        <v>10996</v>
      </c>
      <c r="I2296">
        <v>320</v>
      </c>
      <c r="J2296">
        <v>3</v>
      </c>
      <c r="K2296">
        <v>10996</v>
      </c>
      <c r="L2296">
        <v>320</v>
      </c>
      <c r="M2296">
        <v>3</v>
      </c>
      <c r="N2296">
        <v>10996</v>
      </c>
      <c r="O2296">
        <v>10996</v>
      </c>
      <c r="P2296" t="s">
        <v>192</v>
      </c>
      <c r="Q2296" t="s">
        <v>192</v>
      </c>
      <c r="R2296">
        <v>508</v>
      </c>
      <c r="S2296">
        <v>59967252</v>
      </c>
      <c r="T2296">
        <v>10996</v>
      </c>
      <c r="U2296">
        <v>15050</v>
      </c>
      <c r="V2296">
        <v>300000</v>
      </c>
      <c r="W2296">
        <v>1</v>
      </c>
      <c r="X2296" s="367"/>
    </row>
    <row r="2297" spans="1:24">
      <c r="A2297" t="s">
        <v>2121</v>
      </c>
      <c r="B2297" t="s">
        <v>2120</v>
      </c>
      <c r="C2297">
        <v>585</v>
      </c>
      <c r="D2297">
        <v>325237177</v>
      </c>
      <c r="E2297">
        <v>266369247963</v>
      </c>
      <c r="F2297">
        <v>796</v>
      </c>
      <c r="G2297">
        <v>819</v>
      </c>
      <c r="H2297">
        <v>819</v>
      </c>
      <c r="I2297">
        <v>23</v>
      </c>
      <c r="J2297">
        <v>2.89</v>
      </c>
      <c r="K2297">
        <v>819</v>
      </c>
      <c r="L2297">
        <v>23</v>
      </c>
      <c r="M2297">
        <v>2.89</v>
      </c>
      <c r="N2297">
        <v>819</v>
      </c>
      <c r="O2297">
        <v>819</v>
      </c>
      <c r="P2297">
        <v>53</v>
      </c>
      <c r="Q2297">
        <v>15.45</v>
      </c>
      <c r="R2297">
        <v>16</v>
      </c>
      <c r="S2297">
        <v>23780782</v>
      </c>
      <c r="T2297">
        <v>819</v>
      </c>
      <c r="U2297">
        <v>0</v>
      </c>
      <c r="V2297">
        <v>0</v>
      </c>
      <c r="W2297">
        <v>0</v>
      </c>
      <c r="X2297" s="367"/>
    </row>
    <row r="2298" spans="1:24">
      <c r="A2298" t="s">
        <v>8852</v>
      </c>
      <c r="B2298" t="s">
        <v>54</v>
      </c>
      <c r="C2298">
        <v>1</v>
      </c>
      <c r="D2298">
        <v>100</v>
      </c>
      <c r="E2298">
        <v>5637000</v>
      </c>
      <c r="F2298">
        <v>54760</v>
      </c>
      <c r="G2298">
        <v>56370</v>
      </c>
      <c r="H2298">
        <v>56370</v>
      </c>
      <c r="I2298">
        <v>1610</v>
      </c>
      <c r="J2298">
        <v>2.94</v>
      </c>
      <c r="K2298">
        <v>56370</v>
      </c>
      <c r="L2298">
        <v>1610</v>
      </c>
      <c r="M2298">
        <v>2.94</v>
      </c>
      <c r="N2298">
        <v>56370</v>
      </c>
      <c r="O2298">
        <v>56370</v>
      </c>
      <c r="P2298">
        <v>8478</v>
      </c>
      <c r="Q2298">
        <v>6.65</v>
      </c>
      <c r="R2298">
        <v>8</v>
      </c>
      <c r="S2298">
        <v>203075</v>
      </c>
      <c r="T2298">
        <v>56370</v>
      </c>
      <c r="U2298">
        <v>0</v>
      </c>
      <c r="V2298">
        <v>0</v>
      </c>
      <c r="W2298">
        <v>0</v>
      </c>
      <c r="X2298" s="367"/>
    </row>
    <row r="2299" spans="1:24">
      <c r="A2299" t="s">
        <v>2839</v>
      </c>
      <c r="B2299" t="s">
        <v>2838</v>
      </c>
      <c r="C2299">
        <v>122</v>
      </c>
      <c r="D2299">
        <v>5648409</v>
      </c>
      <c r="E2299">
        <v>14413742776</v>
      </c>
      <c r="F2299">
        <v>2478</v>
      </c>
      <c r="G2299">
        <v>2552</v>
      </c>
      <c r="H2299">
        <v>2552</v>
      </c>
      <c r="I2299">
        <v>74</v>
      </c>
      <c r="J2299">
        <v>2.99</v>
      </c>
      <c r="K2299">
        <v>2552</v>
      </c>
      <c r="L2299">
        <v>74</v>
      </c>
      <c r="M2299">
        <v>2.99</v>
      </c>
      <c r="N2299">
        <v>2515</v>
      </c>
      <c r="O2299">
        <v>2552</v>
      </c>
      <c r="P2299">
        <v>417</v>
      </c>
      <c r="Q2299">
        <v>6.12</v>
      </c>
      <c r="R2299">
        <v>18</v>
      </c>
      <c r="S2299">
        <v>853685</v>
      </c>
      <c r="T2299">
        <v>2552</v>
      </c>
      <c r="U2299">
        <v>2560</v>
      </c>
      <c r="V2299">
        <v>40000</v>
      </c>
      <c r="W2299">
        <v>1</v>
      </c>
      <c r="X2299" s="367"/>
    </row>
    <row r="2300" spans="1:24">
      <c r="A2300" t="s">
        <v>8309</v>
      </c>
      <c r="B2300" t="s">
        <v>8310</v>
      </c>
      <c r="C2300">
        <v>66</v>
      </c>
      <c r="D2300">
        <v>258763</v>
      </c>
      <c r="E2300">
        <v>3082902382</v>
      </c>
      <c r="F2300">
        <v>11567</v>
      </c>
      <c r="G2300">
        <v>11914</v>
      </c>
      <c r="H2300">
        <v>11914</v>
      </c>
      <c r="I2300">
        <v>347</v>
      </c>
      <c r="J2300">
        <v>3</v>
      </c>
      <c r="K2300">
        <v>11914</v>
      </c>
      <c r="L2300">
        <v>347</v>
      </c>
      <c r="M2300">
        <v>3</v>
      </c>
      <c r="N2300">
        <v>11914</v>
      </c>
      <c r="O2300">
        <v>11914</v>
      </c>
      <c r="P2300" t="s">
        <v>192</v>
      </c>
      <c r="Q2300" t="s">
        <v>192</v>
      </c>
      <c r="R2300">
        <v>206</v>
      </c>
      <c r="S2300">
        <v>31012742</v>
      </c>
      <c r="T2300">
        <v>11914</v>
      </c>
      <c r="U2300">
        <v>0</v>
      </c>
      <c r="V2300">
        <v>0</v>
      </c>
      <c r="W2300">
        <v>0</v>
      </c>
      <c r="X2300" s="367"/>
    </row>
    <row r="2301" spans="1:24">
      <c r="A2301" t="s">
        <v>5634</v>
      </c>
      <c r="B2301" t="s">
        <v>5635</v>
      </c>
      <c r="C2301">
        <v>0</v>
      </c>
      <c r="D2301">
        <v>0</v>
      </c>
      <c r="E2301">
        <v>0</v>
      </c>
      <c r="F2301">
        <v>1026130</v>
      </c>
      <c r="G2301">
        <v>0</v>
      </c>
      <c r="H2301">
        <v>1026130</v>
      </c>
      <c r="I2301">
        <v>0</v>
      </c>
      <c r="J2301">
        <v>0</v>
      </c>
      <c r="K2301">
        <v>1026130</v>
      </c>
      <c r="L2301">
        <v>0</v>
      </c>
      <c r="M2301">
        <v>0</v>
      </c>
      <c r="N2301">
        <v>0</v>
      </c>
      <c r="O2301">
        <v>0</v>
      </c>
      <c r="P2301" t="s">
        <v>192</v>
      </c>
      <c r="Q2301" t="s">
        <v>192</v>
      </c>
      <c r="R2301">
        <v>1</v>
      </c>
      <c r="S2301">
        <v>5000</v>
      </c>
      <c r="T2301">
        <v>1026130</v>
      </c>
      <c r="U2301">
        <v>1036390</v>
      </c>
      <c r="V2301">
        <v>5000</v>
      </c>
      <c r="W2301">
        <v>1</v>
      </c>
      <c r="X2301" s="367"/>
    </row>
    <row r="2302" spans="1:24">
      <c r="A2302" t="s">
        <v>5636</v>
      </c>
      <c r="B2302" t="s">
        <v>5637</v>
      </c>
      <c r="C2302">
        <v>101</v>
      </c>
      <c r="D2302">
        <v>1681430</v>
      </c>
      <c r="E2302">
        <v>36913855159</v>
      </c>
      <c r="F2302">
        <v>21315</v>
      </c>
      <c r="G2302">
        <v>21954</v>
      </c>
      <c r="H2302">
        <v>21954</v>
      </c>
      <c r="I2302">
        <v>639</v>
      </c>
      <c r="J2302">
        <v>3</v>
      </c>
      <c r="K2302">
        <v>21954</v>
      </c>
      <c r="L2302">
        <v>639</v>
      </c>
      <c r="M2302">
        <v>3</v>
      </c>
      <c r="N2302">
        <v>21930</v>
      </c>
      <c r="O2302">
        <v>21954</v>
      </c>
      <c r="P2302" t="s">
        <v>192</v>
      </c>
      <c r="Q2302" t="s">
        <v>192</v>
      </c>
      <c r="R2302">
        <v>6</v>
      </c>
      <c r="S2302">
        <v>98754</v>
      </c>
      <c r="T2302">
        <v>21954</v>
      </c>
      <c r="U2302">
        <v>0</v>
      </c>
      <c r="V2302">
        <v>0</v>
      </c>
      <c r="W2302">
        <v>0</v>
      </c>
      <c r="X2302" s="367"/>
    </row>
    <row r="2303" spans="1:24">
      <c r="A2303" t="s">
        <v>5638</v>
      </c>
      <c r="B2303" t="s">
        <v>5639</v>
      </c>
      <c r="C2303">
        <v>1801</v>
      </c>
      <c r="D2303">
        <v>29545002</v>
      </c>
      <c r="E2303">
        <v>489026932319</v>
      </c>
      <c r="F2303">
        <v>16095</v>
      </c>
      <c r="G2303">
        <v>16400</v>
      </c>
      <c r="H2303">
        <v>16577</v>
      </c>
      <c r="I2303">
        <v>482</v>
      </c>
      <c r="J2303">
        <v>2.99</v>
      </c>
      <c r="K2303">
        <v>16552</v>
      </c>
      <c r="L2303">
        <v>457</v>
      </c>
      <c r="M2303">
        <v>2.84</v>
      </c>
      <c r="N2303">
        <v>16360</v>
      </c>
      <c r="O2303">
        <v>16577</v>
      </c>
      <c r="P2303" t="s">
        <v>192</v>
      </c>
      <c r="Q2303" t="s">
        <v>192</v>
      </c>
      <c r="R2303">
        <v>74</v>
      </c>
      <c r="S2303">
        <v>7019690</v>
      </c>
      <c r="T2303">
        <v>16577</v>
      </c>
      <c r="U2303">
        <v>16783</v>
      </c>
      <c r="V2303">
        <v>200</v>
      </c>
      <c r="W2303">
        <v>1</v>
      </c>
      <c r="X2303" s="367"/>
    </row>
    <row r="2304" spans="1:24">
      <c r="A2304" t="s">
        <v>5640</v>
      </c>
      <c r="B2304" t="s">
        <v>5641</v>
      </c>
      <c r="C2304">
        <v>174</v>
      </c>
      <c r="D2304">
        <v>58849324</v>
      </c>
      <c r="E2304">
        <v>800167773996</v>
      </c>
      <c r="F2304">
        <v>13579</v>
      </c>
      <c r="G2304">
        <v>13596</v>
      </c>
      <c r="H2304">
        <v>13597</v>
      </c>
      <c r="I2304">
        <v>18</v>
      </c>
      <c r="J2304">
        <v>0.13</v>
      </c>
      <c r="K2304">
        <v>13597</v>
      </c>
      <c r="L2304">
        <v>18</v>
      </c>
      <c r="M2304">
        <v>0.13</v>
      </c>
      <c r="N2304">
        <v>13596</v>
      </c>
      <c r="O2304">
        <v>13597</v>
      </c>
      <c r="P2304" t="s">
        <v>192</v>
      </c>
      <c r="Q2304" t="s">
        <v>192</v>
      </c>
      <c r="R2304">
        <v>7</v>
      </c>
      <c r="S2304">
        <v>695893309</v>
      </c>
      <c r="T2304">
        <v>13596</v>
      </c>
      <c r="U2304">
        <v>13597</v>
      </c>
      <c r="V2304">
        <v>44054143</v>
      </c>
      <c r="W2304">
        <v>1</v>
      </c>
      <c r="X2304" s="367"/>
    </row>
    <row r="2305" spans="1:24">
      <c r="A2305" t="s">
        <v>5642</v>
      </c>
      <c r="B2305" t="s">
        <v>5643</v>
      </c>
      <c r="C2305">
        <v>3</v>
      </c>
      <c r="D2305">
        <v>15</v>
      </c>
      <c r="E2305">
        <v>40874997</v>
      </c>
      <c r="F2305">
        <v>2630083</v>
      </c>
      <c r="G2305">
        <v>2725000</v>
      </c>
      <c r="H2305">
        <v>2725000</v>
      </c>
      <c r="I2305">
        <v>94917</v>
      </c>
      <c r="J2305">
        <v>3.61</v>
      </c>
      <c r="K2305">
        <v>2725000</v>
      </c>
      <c r="L2305">
        <v>94917</v>
      </c>
      <c r="M2305">
        <v>3.61</v>
      </c>
      <c r="N2305">
        <v>2724999</v>
      </c>
      <c r="O2305">
        <v>2725000</v>
      </c>
      <c r="P2305" t="s">
        <v>192</v>
      </c>
      <c r="Q2305" t="s">
        <v>192</v>
      </c>
      <c r="R2305">
        <v>1</v>
      </c>
      <c r="S2305">
        <v>3</v>
      </c>
      <c r="T2305">
        <v>2630005</v>
      </c>
      <c r="U2305">
        <v>2680000</v>
      </c>
      <c r="V2305">
        <v>500</v>
      </c>
      <c r="W2305">
        <v>1</v>
      </c>
      <c r="X2305" s="367"/>
    </row>
    <row r="2306" spans="1:24">
      <c r="A2306" t="s">
        <v>2032</v>
      </c>
      <c r="B2306" t="s">
        <v>2031</v>
      </c>
      <c r="C2306">
        <v>256</v>
      </c>
      <c r="D2306">
        <v>9068485</v>
      </c>
      <c r="E2306">
        <v>34819291300</v>
      </c>
      <c r="F2306">
        <v>3740</v>
      </c>
      <c r="G2306">
        <v>3830</v>
      </c>
      <c r="H2306">
        <v>3820</v>
      </c>
      <c r="I2306">
        <v>80</v>
      </c>
      <c r="J2306">
        <v>2.14</v>
      </c>
      <c r="K2306">
        <v>3840</v>
      </c>
      <c r="L2306">
        <v>100</v>
      </c>
      <c r="M2306">
        <v>2.67</v>
      </c>
      <c r="N2306">
        <v>3780</v>
      </c>
      <c r="O2306">
        <v>3850</v>
      </c>
      <c r="P2306">
        <v>152</v>
      </c>
      <c r="Q2306">
        <v>25.26</v>
      </c>
      <c r="R2306">
        <v>1</v>
      </c>
      <c r="S2306">
        <v>10000</v>
      </c>
      <c r="T2306">
        <v>3790</v>
      </c>
      <c r="U2306">
        <v>3820</v>
      </c>
      <c r="V2306">
        <v>18500</v>
      </c>
      <c r="W2306">
        <v>1</v>
      </c>
      <c r="X2306" s="367"/>
    </row>
    <row r="2307" spans="1:24">
      <c r="A2307" t="s">
        <v>172</v>
      </c>
      <c r="B2307" t="s">
        <v>171</v>
      </c>
      <c r="C2307">
        <v>3569</v>
      </c>
      <c r="D2307">
        <v>448685321</v>
      </c>
      <c r="E2307">
        <v>2023570797710</v>
      </c>
      <c r="F2307">
        <v>4380</v>
      </c>
      <c r="G2307">
        <v>4510</v>
      </c>
      <c r="H2307">
        <v>4510</v>
      </c>
      <c r="I2307">
        <v>130</v>
      </c>
      <c r="J2307">
        <v>2.97</v>
      </c>
      <c r="K2307">
        <v>4510</v>
      </c>
      <c r="L2307">
        <v>130</v>
      </c>
      <c r="M2307">
        <v>2.97</v>
      </c>
      <c r="N2307">
        <v>4510</v>
      </c>
      <c r="O2307">
        <v>4510</v>
      </c>
      <c r="P2307">
        <v>1249</v>
      </c>
      <c r="Q2307">
        <v>3.61</v>
      </c>
      <c r="R2307">
        <v>2660</v>
      </c>
      <c r="S2307">
        <v>601506843</v>
      </c>
      <c r="T2307">
        <v>4510</v>
      </c>
      <c r="U2307">
        <v>4600</v>
      </c>
      <c r="V2307">
        <v>1097</v>
      </c>
      <c r="W2307">
        <v>1</v>
      </c>
      <c r="X2307" s="367"/>
    </row>
    <row r="2308" spans="1:24">
      <c r="A2308" t="s">
        <v>8517</v>
      </c>
      <c r="B2308" t="s">
        <v>8518</v>
      </c>
      <c r="C2308">
        <v>413</v>
      </c>
      <c r="D2308">
        <v>159609687</v>
      </c>
      <c r="E2308">
        <v>101466723870</v>
      </c>
      <c r="F2308">
        <v>618</v>
      </c>
      <c r="G2308">
        <v>636</v>
      </c>
      <c r="H2308">
        <v>636</v>
      </c>
      <c r="I2308">
        <v>18</v>
      </c>
      <c r="J2308">
        <v>2.91</v>
      </c>
      <c r="K2308">
        <v>636</v>
      </c>
      <c r="L2308">
        <v>18</v>
      </c>
      <c r="M2308">
        <v>2.91</v>
      </c>
      <c r="N2308">
        <v>630</v>
      </c>
      <c r="O2308">
        <v>636</v>
      </c>
      <c r="P2308">
        <v>-4</v>
      </c>
      <c r="Q2308">
        <v>-159</v>
      </c>
      <c r="R2308">
        <v>16</v>
      </c>
      <c r="S2308">
        <v>13576660</v>
      </c>
      <c r="T2308">
        <v>636</v>
      </c>
      <c r="U2308">
        <v>0</v>
      </c>
      <c r="V2308">
        <v>0</v>
      </c>
      <c r="W2308">
        <v>0</v>
      </c>
      <c r="X2308" s="367"/>
    </row>
    <row r="2309" spans="1:24">
      <c r="A2309" t="s">
        <v>5645</v>
      </c>
      <c r="B2309" t="s">
        <v>5646</v>
      </c>
      <c r="C2309">
        <v>0</v>
      </c>
      <c r="D2309">
        <v>0</v>
      </c>
      <c r="E2309">
        <v>0</v>
      </c>
      <c r="F2309">
        <v>1000000</v>
      </c>
      <c r="G2309">
        <v>0</v>
      </c>
      <c r="H2309">
        <v>1000000</v>
      </c>
      <c r="I2309">
        <v>0</v>
      </c>
      <c r="J2309">
        <v>0</v>
      </c>
      <c r="K2309">
        <v>1000000</v>
      </c>
      <c r="L2309">
        <v>0</v>
      </c>
      <c r="M2309">
        <v>0</v>
      </c>
      <c r="N2309">
        <v>0</v>
      </c>
      <c r="O2309">
        <v>0</v>
      </c>
      <c r="P2309" t="s">
        <v>192</v>
      </c>
      <c r="Q2309" t="s">
        <v>192</v>
      </c>
      <c r="R2309">
        <v>1</v>
      </c>
      <c r="S2309">
        <v>5000</v>
      </c>
      <c r="T2309">
        <v>995000</v>
      </c>
      <c r="U2309">
        <v>1005000</v>
      </c>
      <c r="V2309">
        <v>5000</v>
      </c>
      <c r="W2309">
        <v>1</v>
      </c>
      <c r="X2309" s="367"/>
    </row>
    <row r="2310" spans="1:24">
      <c r="A2310" t="s">
        <v>3039</v>
      </c>
      <c r="B2310" t="s">
        <v>3038</v>
      </c>
      <c r="C2310">
        <v>119</v>
      </c>
      <c r="D2310">
        <v>15267710</v>
      </c>
      <c r="E2310">
        <v>22501582938</v>
      </c>
      <c r="F2310">
        <v>1433</v>
      </c>
      <c r="G2310">
        <v>1475</v>
      </c>
      <c r="H2310">
        <v>1475</v>
      </c>
      <c r="I2310">
        <v>42</v>
      </c>
      <c r="J2310">
        <v>2.93</v>
      </c>
      <c r="K2310">
        <v>1474</v>
      </c>
      <c r="L2310">
        <v>41</v>
      </c>
      <c r="M2310">
        <v>2.86</v>
      </c>
      <c r="N2310">
        <v>1438</v>
      </c>
      <c r="O2310">
        <v>1475</v>
      </c>
      <c r="P2310">
        <v>531</v>
      </c>
      <c r="Q2310">
        <v>2.78</v>
      </c>
      <c r="R2310">
        <v>2</v>
      </c>
      <c r="S2310">
        <v>240000</v>
      </c>
      <c r="T2310">
        <v>1475</v>
      </c>
      <c r="U2310">
        <v>1509</v>
      </c>
      <c r="V2310">
        <v>34402</v>
      </c>
      <c r="W2310">
        <v>1</v>
      </c>
      <c r="X2310" s="367"/>
    </row>
    <row r="2311" spans="1:24">
      <c r="A2311" t="s">
        <v>5647</v>
      </c>
      <c r="B2311" t="s">
        <v>5648</v>
      </c>
      <c r="C2311">
        <v>280</v>
      </c>
      <c r="D2311">
        <v>6301157</v>
      </c>
      <c r="E2311">
        <v>172983226336</v>
      </c>
      <c r="F2311">
        <v>26790</v>
      </c>
      <c r="G2311">
        <v>27093</v>
      </c>
      <c r="H2311">
        <v>27550</v>
      </c>
      <c r="I2311">
        <v>760</v>
      </c>
      <c r="J2311">
        <v>2.84</v>
      </c>
      <c r="K2311">
        <v>27453</v>
      </c>
      <c r="L2311">
        <v>663</v>
      </c>
      <c r="M2311">
        <v>2.4700000000000002</v>
      </c>
      <c r="N2311">
        <v>27093</v>
      </c>
      <c r="O2311">
        <v>27589</v>
      </c>
      <c r="P2311" t="s">
        <v>192</v>
      </c>
      <c r="Q2311" t="s">
        <v>192</v>
      </c>
      <c r="R2311">
        <v>1</v>
      </c>
      <c r="S2311">
        <v>32000</v>
      </c>
      <c r="T2311">
        <v>27480</v>
      </c>
      <c r="U2311">
        <v>27481</v>
      </c>
      <c r="V2311">
        <v>25000</v>
      </c>
      <c r="W2311">
        <v>1</v>
      </c>
      <c r="X2311" s="367"/>
    </row>
    <row r="2312" spans="1:24">
      <c r="A2312" t="s">
        <v>8673</v>
      </c>
      <c r="B2312" t="s">
        <v>2943</v>
      </c>
      <c r="C2312">
        <v>9</v>
      </c>
      <c r="D2312">
        <v>3218710774</v>
      </c>
      <c r="E2312">
        <v>31993985093560</v>
      </c>
      <c r="F2312">
        <v>9660</v>
      </c>
      <c r="G2312">
        <v>9940</v>
      </c>
      <c r="H2312">
        <v>9940</v>
      </c>
      <c r="I2312">
        <v>280</v>
      </c>
      <c r="J2312">
        <v>2.9</v>
      </c>
      <c r="K2312">
        <v>9940</v>
      </c>
      <c r="L2312">
        <v>280</v>
      </c>
      <c r="M2312">
        <v>2.9</v>
      </c>
      <c r="N2312">
        <v>9940</v>
      </c>
      <c r="O2312">
        <v>9940</v>
      </c>
      <c r="P2312">
        <v>813</v>
      </c>
      <c r="Q2312">
        <v>12.23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 s="367"/>
    </row>
    <row r="2313" spans="1:24">
      <c r="A2313" t="s">
        <v>2901</v>
      </c>
      <c r="B2313" t="s">
        <v>2900</v>
      </c>
      <c r="C2313">
        <v>233</v>
      </c>
      <c r="D2313">
        <v>10171832</v>
      </c>
      <c r="E2313">
        <v>24767597977</v>
      </c>
      <c r="F2313">
        <v>2365</v>
      </c>
      <c r="G2313">
        <v>2435</v>
      </c>
      <c r="H2313">
        <v>2435</v>
      </c>
      <c r="I2313">
        <v>70</v>
      </c>
      <c r="J2313">
        <v>2.96</v>
      </c>
      <c r="K2313">
        <v>2435</v>
      </c>
      <c r="L2313">
        <v>70</v>
      </c>
      <c r="M2313">
        <v>2.96</v>
      </c>
      <c r="N2313">
        <v>2433</v>
      </c>
      <c r="O2313">
        <v>2435</v>
      </c>
      <c r="P2313">
        <v>846</v>
      </c>
      <c r="Q2313">
        <v>2.88</v>
      </c>
      <c r="R2313">
        <v>1</v>
      </c>
      <c r="S2313">
        <v>5000</v>
      </c>
      <c r="T2313">
        <v>2424</v>
      </c>
      <c r="U2313">
        <v>2435</v>
      </c>
      <c r="V2313">
        <v>90718</v>
      </c>
      <c r="W2313">
        <v>1</v>
      </c>
      <c r="X2313" s="367"/>
    </row>
    <row r="2314" spans="1:24">
      <c r="A2314" t="s">
        <v>5649</v>
      </c>
      <c r="B2314" t="s">
        <v>5650</v>
      </c>
      <c r="C2314">
        <v>25</v>
      </c>
      <c r="D2314">
        <v>78978</v>
      </c>
      <c r="E2314">
        <v>1674105808</v>
      </c>
      <c r="F2314">
        <v>20781</v>
      </c>
      <c r="G2314">
        <v>21400</v>
      </c>
      <c r="H2314">
        <v>21250</v>
      </c>
      <c r="I2314">
        <v>469</v>
      </c>
      <c r="J2314">
        <v>2.2599999999999998</v>
      </c>
      <c r="K2314">
        <v>21197</v>
      </c>
      <c r="L2314">
        <v>416</v>
      </c>
      <c r="M2314">
        <v>2</v>
      </c>
      <c r="N2314">
        <v>21096</v>
      </c>
      <c r="O2314">
        <v>21400</v>
      </c>
      <c r="P2314" t="s">
        <v>192</v>
      </c>
      <c r="Q2314" t="s">
        <v>192</v>
      </c>
      <c r="R2314">
        <v>2</v>
      </c>
      <c r="S2314">
        <v>51000</v>
      </c>
      <c r="T2314">
        <v>21150</v>
      </c>
      <c r="U2314">
        <v>21250</v>
      </c>
      <c r="V2314">
        <v>36604</v>
      </c>
      <c r="W2314">
        <v>1</v>
      </c>
      <c r="X2314" s="367"/>
    </row>
    <row r="2315" spans="1:24">
      <c r="A2315" t="s">
        <v>5651</v>
      </c>
      <c r="B2315" t="s">
        <v>5652</v>
      </c>
      <c r="C2315">
        <v>0</v>
      </c>
      <c r="D2315">
        <v>0</v>
      </c>
      <c r="E2315">
        <v>0</v>
      </c>
      <c r="F2315">
        <v>1000000</v>
      </c>
      <c r="G2315">
        <v>0</v>
      </c>
      <c r="H2315">
        <v>1000000</v>
      </c>
      <c r="I2315">
        <v>0</v>
      </c>
      <c r="J2315">
        <v>0</v>
      </c>
      <c r="K2315">
        <v>1000000</v>
      </c>
      <c r="L2315">
        <v>0</v>
      </c>
      <c r="M2315">
        <v>0</v>
      </c>
      <c r="N2315">
        <v>0</v>
      </c>
      <c r="O2315">
        <v>0</v>
      </c>
      <c r="P2315" t="s">
        <v>192</v>
      </c>
      <c r="Q2315" t="s">
        <v>192</v>
      </c>
      <c r="R2315">
        <v>1</v>
      </c>
      <c r="S2315">
        <v>2250</v>
      </c>
      <c r="T2315">
        <v>990000</v>
      </c>
      <c r="U2315">
        <v>1000000</v>
      </c>
      <c r="V2315">
        <v>1967</v>
      </c>
      <c r="W2315">
        <v>1</v>
      </c>
      <c r="X2315" s="367"/>
    </row>
    <row r="2316" spans="1:24">
      <c r="A2316" t="s">
        <v>5653</v>
      </c>
      <c r="B2316" t="s">
        <v>5654</v>
      </c>
      <c r="C2316">
        <v>0</v>
      </c>
      <c r="D2316">
        <v>0</v>
      </c>
      <c r="E2316">
        <v>0</v>
      </c>
      <c r="F2316">
        <v>1000000</v>
      </c>
      <c r="G2316">
        <v>0</v>
      </c>
      <c r="H2316">
        <v>1000000</v>
      </c>
      <c r="I2316">
        <v>0</v>
      </c>
      <c r="J2316">
        <v>0</v>
      </c>
      <c r="K2316">
        <v>1000000</v>
      </c>
      <c r="L2316">
        <v>0</v>
      </c>
      <c r="M2316">
        <v>0</v>
      </c>
      <c r="N2316">
        <v>0</v>
      </c>
      <c r="O2316">
        <v>0</v>
      </c>
      <c r="P2316" t="s">
        <v>192</v>
      </c>
      <c r="Q2316" t="s">
        <v>192</v>
      </c>
      <c r="R2316">
        <v>1</v>
      </c>
      <c r="S2316">
        <v>5000</v>
      </c>
      <c r="T2316">
        <v>990000</v>
      </c>
      <c r="U2316">
        <v>1000000</v>
      </c>
      <c r="V2316">
        <v>5000</v>
      </c>
      <c r="W2316">
        <v>1</v>
      </c>
      <c r="X2316" s="367"/>
    </row>
    <row r="2317" spans="1:24">
      <c r="A2317" t="s">
        <v>8853</v>
      </c>
      <c r="B2317" t="s">
        <v>8676</v>
      </c>
      <c r="C2317">
        <v>29</v>
      </c>
      <c r="D2317">
        <v>5000000</v>
      </c>
      <c r="E2317">
        <v>6790000000</v>
      </c>
      <c r="F2317">
        <v>1329</v>
      </c>
      <c r="G2317">
        <v>1358</v>
      </c>
      <c r="H2317">
        <v>1358</v>
      </c>
      <c r="I2317">
        <v>29</v>
      </c>
      <c r="J2317">
        <v>2.1800000000000002</v>
      </c>
      <c r="K2317">
        <v>1358</v>
      </c>
      <c r="L2317">
        <v>29</v>
      </c>
      <c r="M2317">
        <v>2.1800000000000002</v>
      </c>
      <c r="N2317">
        <v>1358</v>
      </c>
      <c r="O2317">
        <v>1358</v>
      </c>
      <c r="P2317">
        <v>60</v>
      </c>
      <c r="Q2317">
        <v>22.63</v>
      </c>
      <c r="R2317">
        <v>0</v>
      </c>
      <c r="S2317">
        <v>0</v>
      </c>
      <c r="T2317">
        <v>0</v>
      </c>
      <c r="U2317">
        <v>1358</v>
      </c>
      <c r="V2317">
        <v>2120860</v>
      </c>
      <c r="W2317">
        <v>4</v>
      </c>
      <c r="X2317" s="367"/>
    </row>
    <row r="2318" spans="1:24">
      <c r="A2318" t="s">
        <v>141</v>
      </c>
      <c r="B2318" t="s">
        <v>140</v>
      </c>
      <c r="C2318">
        <v>5064</v>
      </c>
      <c r="D2318">
        <v>11374662</v>
      </c>
      <c r="E2318">
        <v>529907041600</v>
      </c>
      <c r="F2318">
        <v>45260</v>
      </c>
      <c r="G2318">
        <v>46290</v>
      </c>
      <c r="H2318">
        <v>46610</v>
      </c>
      <c r="I2318">
        <v>1350</v>
      </c>
      <c r="J2318">
        <v>2.98</v>
      </c>
      <c r="K2318">
        <v>46590</v>
      </c>
      <c r="L2318">
        <v>1330</v>
      </c>
      <c r="M2318">
        <v>2.94</v>
      </c>
      <c r="N2318">
        <v>46200</v>
      </c>
      <c r="O2318">
        <v>46610</v>
      </c>
      <c r="P2318">
        <v>3275</v>
      </c>
      <c r="Q2318">
        <v>14.23</v>
      </c>
      <c r="R2318">
        <v>133</v>
      </c>
      <c r="S2318">
        <v>673895</v>
      </c>
      <c r="T2318">
        <v>46610</v>
      </c>
      <c r="U2318">
        <v>46790</v>
      </c>
      <c r="V2318">
        <v>1200</v>
      </c>
      <c r="W2318">
        <v>2</v>
      </c>
      <c r="X2318" s="367"/>
    </row>
    <row r="2319" spans="1:24">
      <c r="A2319" t="s">
        <v>8854</v>
      </c>
      <c r="B2319" t="s">
        <v>1790</v>
      </c>
      <c r="C2319">
        <v>3</v>
      </c>
      <c r="D2319">
        <v>1837</v>
      </c>
      <c r="E2319">
        <v>9919800</v>
      </c>
      <c r="F2319">
        <v>5260</v>
      </c>
      <c r="G2319">
        <v>5400</v>
      </c>
      <c r="H2319">
        <v>5400</v>
      </c>
      <c r="I2319">
        <v>140</v>
      </c>
      <c r="J2319">
        <v>2.66</v>
      </c>
      <c r="K2319">
        <v>5400</v>
      </c>
      <c r="L2319">
        <v>140</v>
      </c>
      <c r="M2319">
        <v>2.66</v>
      </c>
      <c r="N2319">
        <v>5400</v>
      </c>
      <c r="O2319">
        <v>5400</v>
      </c>
      <c r="P2319">
        <v>752</v>
      </c>
      <c r="Q2319">
        <v>7.18</v>
      </c>
      <c r="R2319">
        <v>9</v>
      </c>
      <c r="S2319">
        <v>81601</v>
      </c>
      <c r="T2319">
        <v>5400</v>
      </c>
      <c r="U2319">
        <v>0</v>
      </c>
      <c r="V2319">
        <v>0</v>
      </c>
      <c r="W2319">
        <v>0</v>
      </c>
      <c r="X2319" s="367"/>
    </row>
    <row r="2320" spans="1:24">
      <c r="A2320" t="s">
        <v>5655</v>
      </c>
      <c r="B2320" t="s">
        <v>5656</v>
      </c>
      <c r="C2320">
        <v>0</v>
      </c>
      <c r="D2320">
        <v>0</v>
      </c>
      <c r="E2320">
        <v>0</v>
      </c>
      <c r="F2320">
        <v>902500</v>
      </c>
      <c r="G2320">
        <v>0</v>
      </c>
      <c r="H2320">
        <v>902500</v>
      </c>
      <c r="I2320">
        <v>0</v>
      </c>
      <c r="J2320">
        <v>0</v>
      </c>
      <c r="K2320">
        <v>902500</v>
      </c>
      <c r="L2320">
        <v>0</v>
      </c>
      <c r="M2320">
        <v>0</v>
      </c>
      <c r="N2320">
        <v>0</v>
      </c>
      <c r="O2320">
        <v>0</v>
      </c>
      <c r="P2320" t="s">
        <v>192</v>
      </c>
      <c r="Q2320" t="s">
        <v>192</v>
      </c>
      <c r="R2320">
        <v>1</v>
      </c>
      <c r="S2320">
        <v>5000</v>
      </c>
      <c r="T2320">
        <v>902500</v>
      </c>
      <c r="U2320">
        <v>0</v>
      </c>
      <c r="V2320">
        <v>0</v>
      </c>
      <c r="W2320">
        <v>0</v>
      </c>
      <c r="X2320" s="367"/>
    </row>
    <row r="2321" spans="1:24">
      <c r="A2321" t="s">
        <v>5657</v>
      </c>
      <c r="B2321" t="s">
        <v>5658</v>
      </c>
      <c r="C2321">
        <v>0</v>
      </c>
      <c r="D2321">
        <v>0</v>
      </c>
      <c r="E2321">
        <v>0</v>
      </c>
      <c r="F2321">
        <v>2165608</v>
      </c>
      <c r="G2321">
        <v>0</v>
      </c>
      <c r="H2321">
        <v>2165608</v>
      </c>
      <c r="I2321">
        <v>0</v>
      </c>
      <c r="J2321">
        <v>0</v>
      </c>
      <c r="K2321">
        <v>2165608</v>
      </c>
      <c r="L2321">
        <v>0</v>
      </c>
      <c r="M2321">
        <v>0</v>
      </c>
      <c r="N2321">
        <v>0</v>
      </c>
      <c r="O2321">
        <v>0</v>
      </c>
      <c r="P2321" t="s">
        <v>192</v>
      </c>
      <c r="Q2321" t="s">
        <v>192</v>
      </c>
      <c r="R2321">
        <v>1</v>
      </c>
      <c r="S2321">
        <v>11955</v>
      </c>
      <c r="T2321">
        <v>2230546</v>
      </c>
      <c r="U2321">
        <v>2230547</v>
      </c>
      <c r="V2321">
        <v>11955</v>
      </c>
      <c r="W2321">
        <v>1</v>
      </c>
      <c r="X2321" s="367"/>
    </row>
    <row r="2322" spans="1:24">
      <c r="A2322" t="s">
        <v>5659</v>
      </c>
      <c r="B2322" t="s">
        <v>5660</v>
      </c>
      <c r="C2322">
        <v>48</v>
      </c>
      <c r="D2322">
        <v>571484</v>
      </c>
      <c r="E2322">
        <v>14544267800</v>
      </c>
      <c r="F2322">
        <v>24472</v>
      </c>
      <c r="G2322">
        <v>25450</v>
      </c>
      <c r="H2322">
        <v>25450</v>
      </c>
      <c r="I2322">
        <v>978</v>
      </c>
      <c r="J2322">
        <v>4</v>
      </c>
      <c r="K2322">
        <v>25450</v>
      </c>
      <c r="L2322">
        <v>978</v>
      </c>
      <c r="M2322">
        <v>4</v>
      </c>
      <c r="N2322">
        <v>25450</v>
      </c>
      <c r="O2322">
        <v>25450</v>
      </c>
      <c r="P2322" t="s">
        <v>192</v>
      </c>
      <c r="Q2322" t="s">
        <v>192</v>
      </c>
      <c r="R2322">
        <v>70</v>
      </c>
      <c r="S2322">
        <v>2013473</v>
      </c>
      <c r="T2322">
        <v>25450</v>
      </c>
      <c r="U2322">
        <v>26800</v>
      </c>
      <c r="V2322">
        <v>800</v>
      </c>
      <c r="W2322">
        <v>1</v>
      </c>
      <c r="X2322" s="367"/>
    </row>
    <row r="2323" spans="1:24">
      <c r="A2323" t="s">
        <v>7734</v>
      </c>
      <c r="B2323" t="s">
        <v>4124</v>
      </c>
      <c r="C2323">
        <v>2</v>
      </c>
      <c r="D2323">
        <v>6000000</v>
      </c>
      <c r="E2323">
        <v>6000000</v>
      </c>
      <c r="F2323">
        <v>19381</v>
      </c>
      <c r="G2323">
        <v>1</v>
      </c>
      <c r="H2323">
        <v>1</v>
      </c>
      <c r="I2323">
        <v>-19380</v>
      </c>
      <c r="J2323">
        <v>-99.99</v>
      </c>
      <c r="K2323">
        <v>1</v>
      </c>
      <c r="L2323">
        <v>-19380</v>
      </c>
      <c r="M2323">
        <v>-99.99</v>
      </c>
      <c r="N2323">
        <v>1</v>
      </c>
      <c r="O2323">
        <v>1</v>
      </c>
      <c r="P2323" t="s">
        <v>192</v>
      </c>
      <c r="Q2323" t="s">
        <v>192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 s="367"/>
    </row>
    <row r="2324" spans="1:24">
      <c r="A2324" t="s">
        <v>2212</v>
      </c>
      <c r="B2324" t="s">
        <v>2211</v>
      </c>
      <c r="C2324">
        <v>19</v>
      </c>
      <c r="D2324">
        <v>2144885</v>
      </c>
      <c r="E2324">
        <v>14585218000</v>
      </c>
      <c r="F2324">
        <v>6610</v>
      </c>
      <c r="G2324">
        <v>6800</v>
      </c>
      <c r="H2324">
        <v>6800</v>
      </c>
      <c r="I2324">
        <v>190</v>
      </c>
      <c r="J2324">
        <v>2.87</v>
      </c>
      <c r="K2324">
        <v>6800</v>
      </c>
      <c r="L2324">
        <v>190</v>
      </c>
      <c r="M2324">
        <v>2.87</v>
      </c>
      <c r="N2324">
        <v>6800</v>
      </c>
      <c r="O2324">
        <v>6800</v>
      </c>
      <c r="P2324">
        <v>1109</v>
      </c>
      <c r="Q2324">
        <v>6.13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 s="367"/>
    </row>
    <row r="2325" spans="1:24">
      <c r="A2325" t="s">
        <v>8855</v>
      </c>
      <c r="B2325" t="s">
        <v>1955</v>
      </c>
      <c r="C2325">
        <v>5</v>
      </c>
      <c r="D2325">
        <v>35650</v>
      </c>
      <c r="E2325">
        <v>1276983000</v>
      </c>
      <c r="F2325">
        <v>35670</v>
      </c>
      <c r="G2325">
        <v>35820</v>
      </c>
      <c r="H2325">
        <v>35820</v>
      </c>
      <c r="I2325">
        <v>150</v>
      </c>
      <c r="J2325">
        <v>0.42</v>
      </c>
      <c r="K2325">
        <v>35820</v>
      </c>
      <c r="L2325">
        <v>150</v>
      </c>
      <c r="M2325">
        <v>0.42</v>
      </c>
      <c r="N2325">
        <v>35820</v>
      </c>
      <c r="O2325">
        <v>35820</v>
      </c>
      <c r="P2325">
        <v>1764</v>
      </c>
      <c r="Q2325">
        <v>20.309999999999999</v>
      </c>
      <c r="R2325">
        <v>0</v>
      </c>
      <c r="S2325">
        <v>0</v>
      </c>
      <c r="T2325">
        <v>0</v>
      </c>
      <c r="U2325">
        <v>35820</v>
      </c>
      <c r="V2325">
        <v>412792</v>
      </c>
      <c r="W2325">
        <v>31</v>
      </c>
      <c r="X2325" s="367"/>
    </row>
    <row r="2326" spans="1:24">
      <c r="A2326" t="s">
        <v>5661</v>
      </c>
      <c r="B2326" t="s">
        <v>5662</v>
      </c>
      <c r="C2326">
        <v>75</v>
      </c>
      <c r="D2326">
        <v>3348151</v>
      </c>
      <c r="E2326">
        <v>225448515957</v>
      </c>
      <c r="F2326">
        <v>67233</v>
      </c>
      <c r="G2326">
        <v>67335</v>
      </c>
      <c r="H2326">
        <v>67336</v>
      </c>
      <c r="I2326">
        <v>103</v>
      </c>
      <c r="J2326">
        <v>0.15</v>
      </c>
      <c r="K2326">
        <v>67335</v>
      </c>
      <c r="L2326">
        <v>102</v>
      </c>
      <c r="M2326">
        <v>0.15</v>
      </c>
      <c r="N2326">
        <v>67335</v>
      </c>
      <c r="O2326">
        <v>67336</v>
      </c>
      <c r="P2326" t="s">
        <v>192</v>
      </c>
      <c r="Q2326" t="s">
        <v>192</v>
      </c>
      <c r="R2326">
        <v>2</v>
      </c>
      <c r="S2326">
        <v>42732842</v>
      </c>
      <c r="T2326">
        <v>67335</v>
      </c>
      <c r="U2326">
        <v>67336</v>
      </c>
      <c r="V2326">
        <v>236803</v>
      </c>
      <c r="W2326">
        <v>1</v>
      </c>
      <c r="X2326" s="367"/>
    </row>
    <row r="2327" spans="1:24">
      <c r="A2327" t="s">
        <v>5663</v>
      </c>
      <c r="B2327" t="s">
        <v>5664</v>
      </c>
      <c r="C2327">
        <v>84</v>
      </c>
      <c r="D2327">
        <v>12296523</v>
      </c>
      <c r="E2327">
        <v>217524950398</v>
      </c>
      <c r="F2327">
        <v>17175</v>
      </c>
      <c r="G2327">
        <v>17178</v>
      </c>
      <c r="H2327">
        <v>17690</v>
      </c>
      <c r="I2327">
        <v>515</v>
      </c>
      <c r="J2327">
        <v>3</v>
      </c>
      <c r="K2327">
        <v>17690</v>
      </c>
      <c r="L2327">
        <v>515</v>
      </c>
      <c r="M2327">
        <v>3</v>
      </c>
      <c r="N2327">
        <v>17178</v>
      </c>
      <c r="O2327">
        <v>17690</v>
      </c>
      <c r="P2327" t="s">
        <v>192</v>
      </c>
      <c r="Q2327" t="s">
        <v>192</v>
      </c>
      <c r="R2327">
        <v>2</v>
      </c>
      <c r="S2327">
        <v>38000</v>
      </c>
      <c r="T2327">
        <v>17690</v>
      </c>
      <c r="U2327">
        <v>0</v>
      </c>
      <c r="V2327">
        <v>0</v>
      </c>
      <c r="W2327">
        <v>0</v>
      </c>
      <c r="X2327" s="367"/>
    </row>
    <row r="2328" spans="1:24">
      <c r="A2328" t="s">
        <v>2363</v>
      </c>
      <c r="B2328" t="s">
        <v>2362</v>
      </c>
      <c r="C2328">
        <v>187</v>
      </c>
      <c r="D2328">
        <v>1428162</v>
      </c>
      <c r="E2328">
        <v>98571741240</v>
      </c>
      <c r="F2328">
        <v>67010</v>
      </c>
      <c r="G2328">
        <v>69020</v>
      </c>
      <c r="H2328">
        <v>69020</v>
      </c>
      <c r="I2328">
        <v>2010</v>
      </c>
      <c r="J2328">
        <v>3</v>
      </c>
      <c r="K2328">
        <v>69020</v>
      </c>
      <c r="L2328">
        <v>2010</v>
      </c>
      <c r="M2328">
        <v>3</v>
      </c>
      <c r="N2328">
        <v>69020</v>
      </c>
      <c r="O2328">
        <v>69020</v>
      </c>
      <c r="P2328">
        <v>10165</v>
      </c>
      <c r="Q2328">
        <v>6.79</v>
      </c>
      <c r="R2328">
        <v>227</v>
      </c>
      <c r="S2328">
        <v>2839545</v>
      </c>
      <c r="T2328">
        <v>69020</v>
      </c>
      <c r="U2328">
        <v>0</v>
      </c>
      <c r="V2328">
        <v>0</v>
      </c>
      <c r="W2328">
        <v>0</v>
      </c>
      <c r="X2328" s="367"/>
    </row>
    <row r="2329" spans="1:24">
      <c r="A2329" t="s">
        <v>2397</v>
      </c>
      <c r="B2329" t="s">
        <v>2396</v>
      </c>
      <c r="C2329">
        <v>411</v>
      </c>
      <c r="D2329">
        <v>26724811</v>
      </c>
      <c r="E2329">
        <v>206315540920</v>
      </c>
      <c r="F2329">
        <v>7500</v>
      </c>
      <c r="G2329">
        <v>7720</v>
      </c>
      <c r="H2329">
        <v>7720</v>
      </c>
      <c r="I2329">
        <v>220</v>
      </c>
      <c r="J2329">
        <v>2.93</v>
      </c>
      <c r="K2329">
        <v>7720</v>
      </c>
      <c r="L2329">
        <v>220</v>
      </c>
      <c r="M2329">
        <v>2.93</v>
      </c>
      <c r="N2329">
        <v>7720</v>
      </c>
      <c r="O2329">
        <v>7720</v>
      </c>
      <c r="P2329">
        <v>1486</v>
      </c>
      <c r="Q2329">
        <v>5.2</v>
      </c>
      <c r="R2329">
        <v>30</v>
      </c>
      <c r="S2329">
        <v>5735765</v>
      </c>
      <c r="T2329">
        <v>7720</v>
      </c>
      <c r="U2329">
        <v>0</v>
      </c>
      <c r="V2329">
        <v>0</v>
      </c>
      <c r="W2329">
        <v>0</v>
      </c>
      <c r="X2329" s="367"/>
    </row>
    <row r="2330" spans="1:24">
      <c r="A2330" t="s">
        <v>5665</v>
      </c>
      <c r="B2330" t="s">
        <v>5666</v>
      </c>
      <c r="C2330">
        <v>1505</v>
      </c>
      <c r="D2330">
        <v>14279572</v>
      </c>
      <c r="E2330">
        <v>385195477207</v>
      </c>
      <c r="F2330">
        <v>26936</v>
      </c>
      <c r="G2330">
        <v>26975</v>
      </c>
      <c r="H2330">
        <v>26975</v>
      </c>
      <c r="I2330">
        <v>39</v>
      </c>
      <c r="J2330">
        <v>0.14000000000000001</v>
      </c>
      <c r="K2330">
        <v>26975</v>
      </c>
      <c r="L2330">
        <v>39</v>
      </c>
      <c r="M2330">
        <v>0.14000000000000001</v>
      </c>
      <c r="N2330">
        <v>26975</v>
      </c>
      <c r="O2330">
        <v>26976</v>
      </c>
      <c r="P2330" t="s">
        <v>192</v>
      </c>
      <c r="Q2330" t="s">
        <v>192</v>
      </c>
      <c r="R2330">
        <v>3</v>
      </c>
      <c r="S2330">
        <v>109004542</v>
      </c>
      <c r="T2330">
        <v>26975</v>
      </c>
      <c r="U2330">
        <v>26976</v>
      </c>
      <c r="V2330">
        <v>9432147</v>
      </c>
      <c r="W2330">
        <v>11</v>
      </c>
      <c r="X2330" s="367"/>
    </row>
    <row r="2331" spans="1:24">
      <c r="A2331" t="s">
        <v>2905</v>
      </c>
      <c r="B2331" t="s">
        <v>2904</v>
      </c>
      <c r="C2331">
        <v>312</v>
      </c>
      <c r="D2331">
        <v>20013555</v>
      </c>
      <c r="E2331">
        <v>43208363572</v>
      </c>
      <c r="F2331">
        <v>2099</v>
      </c>
      <c r="G2331">
        <v>2102</v>
      </c>
      <c r="H2331">
        <v>2161</v>
      </c>
      <c r="I2331">
        <v>62</v>
      </c>
      <c r="J2331">
        <v>2.95</v>
      </c>
      <c r="K2331">
        <v>2159</v>
      </c>
      <c r="L2331">
        <v>60</v>
      </c>
      <c r="M2331">
        <v>2.86</v>
      </c>
      <c r="N2331">
        <v>2102</v>
      </c>
      <c r="O2331">
        <v>2161</v>
      </c>
      <c r="P2331">
        <v>462</v>
      </c>
      <c r="Q2331">
        <v>4.67</v>
      </c>
      <c r="R2331">
        <v>2</v>
      </c>
      <c r="S2331">
        <v>430615</v>
      </c>
      <c r="T2331">
        <v>2161</v>
      </c>
      <c r="U2331">
        <v>0</v>
      </c>
      <c r="V2331">
        <v>0</v>
      </c>
      <c r="W2331">
        <v>0</v>
      </c>
      <c r="X2331" s="367"/>
    </row>
    <row r="2332" spans="1:24">
      <c r="A2332" t="s">
        <v>2671</v>
      </c>
      <c r="B2332" t="s">
        <v>2670</v>
      </c>
      <c r="C2332">
        <v>33</v>
      </c>
      <c r="D2332">
        <v>354407</v>
      </c>
      <c r="E2332">
        <v>5900876550</v>
      </c>
      <c r="F2332">
        <v>16170</v>
      </c>
      <c r="G2332">
        <v>16650</v>
      </c>
      <c r="H2332">
        <v>16650</v>
      </c>
      <c r="I2332">
        <v>480</v>
      </c>
      <c r="J2332">
        <v>2.97</v>
      </c>
      <c r="K2332">
        <v>16650</v>
      </c>
      <c r="L2332">
        <v>480</v>
      </c>
      <c r="M2332">
        <v>2.97</v>
      </c>
      <c r="N2332">
        <v>16650</v>
      </c>
      <c r="O2332">
        <v>16650</v>
      </c>
      <c r="P2332">
        <v>3616</v>
      </c>
      <c r="Q2332">
        <v>4.5999999999999996</v>
      </c>
      <c r="R2332">
        <v>59</v>
      </c>
      <c r="S2332">
        <v>3077629</v>
      </c>
      <c r="T2332">
        <v>16650</v>
      </c>
      <c r="U2332">
        <v>0</v>
      </c>
      <c r="V2332">
        <v>0</v>
      </c>
      <c r="W2332">
        <v>0</v>
      </c>
      <c r="X2332" s="367"/>
    </row>
    <row r="2333" spans="1:24">
      <c r="A2333" t="s">
        <v>2164</v>
      </c>
      <c r="B2333" t="s">
        <v>2163</v>
      </c>
      <c r="C2333">
        <v>138</v>
      </c>
      <c r="D2333">
        <v>3071143</v>
      </c>
      <c r="E2333">
        <v>35625258800</v>
      </c>
      <c r="F2333">
        <v>11270</v>
      </c>
      <c r="G2333">
        <v>11600</v>
      </c>
      <c r="H2333">
        <v>11600</v>
      </c>
      <c r="I2333">
        <v>330</v>
      </c>
      <c r="J2333">
        <v>2.93</v>
      </c>
      <c r="K2333">
        <v>11600</v>
      </c>
      <c r="L2333">
        <v>330</v>
      </c>
      <c r="M2333">
        <v>2.93</v>
      </c>
      <c r="N2333">
        <v>11600</v>
      </c>
      <c r="O2333">
        <v>11600</v>
      </c>
      <c r="P2333">
        <v>1874</v>
      </c>
      <c r="Q2333">
        <v>6.19</v>
      </c>
      <c r="R2333">
        <v>421</v>
      </c>
      <c r="S2333">
        <v>25199345</v>
      </c>
      <c r="T2333">
        <v>11600</v>
      </c>
      <c r="U2333">
        <v>0</v>
      </c>
      <c r="V2333">
        <v>0</v>
      </c>
      <c r="W2333">
        <v>0</v>
      </c>
      <c r="X2333" s="367"/>
    </row>
    <row r="2334" spans="1:24">
      <c r="A2334" t="s">
        <v>5667</v>
      </c>
      <c r="B2334" t="s">
        <v>5668</v>
      </c>
      <c r="C2334">
        <v>0</v>
      </c>
      <c r="D2334">
        <v>0</v>
      </c>
      <c r="E2334">
        <v>0</v>
      </c>
      <c r="F2334">
        <v>1000000</v>
      </c>
      <c r="G2334">
        <v>0</v>
      </c>
      <c r="H2334">
        <v>1000000</v>
      </c>
      <c r="I2334">
        <v>0</v>
      </c>
      <c r="J2334">
        <v>0</v>
      </c>
      <c r="K2334">
        <v>1000000</v>
      </c>
      <c r="L2334">
        <v>0</v>
      </c>
      <c r="M2334">
        <v>0</v>
      </c>
      <c r="N2334">
        <v>0</v>
      </c>
      <c r="O2334">
        <v>0</v>
      </c>
      <c r="P2334" t="s">
        <v>192</v>
      </c>
      <c r="Q2334" t="s">
        <v>192</v>
      </c>
      <c r="R2334">
        <v>1</v>
      </c>
      <c r="S2334">
        <v>5000</v>
      </c>
      <c r="T2334">
        <v>995000</v>
      </c>
      <c r="U2334">
        <v>1005000</v>
      </c>
      <c r="V2334">
        <v>5000</v>
      </c>
      <c r="W2334">
        <v>1</v>
      </c>
      <c r="X2334" s="367"/>
    </row>
    <row r="2335" spans="1:24">
      <c r="A2335" t="s">
        <v>5669</v>
      </c>
      <c r="B2335" t="s">
        <v>5670</v>
      </c>
      <c r="C2335">
        <v>7188</v>
      </c>
      <c r="D2335">
        <v>68745739</v>
      </c>
      <c r="E2335">
        <v>2044615867947</v>
      </c>
      <c r="F2335">
        <v>28906</v>
      </c>
      <c r="G2335">
        <v>29700</v>
      </c>
      <c r="H2335">
        <v>29772</v>
      </c>
      <c r="I2335">
        <v>866</v>
      </c>
      <c r="J2335">
        <v>3</v>
      </c>
      <c r="K2335">
        <v>29742</v>
      </c>
      <c r="L2335">
        <v>836</v>
      </c>
      <c r="M2335">
        <v>2.89</v>
      </c>
      <c r="N2335">
        <v>29310</v>
      </c>
      <c r="O2335">
        <v>29773</v>
      </c>
      <c r="P2335" t="s">
        <v>192</v>
      </c>
      <c r="Q2335" t="s">
        <v>192</v>
      </c>
      <c r="R2335">
        <v>5</v>
      </c>
      <c r="S2335">
        <v>30344</v>
      </c>
      <c r="T2335">
        <v>29772</v>
      </c>
      <c r="U2335">
        <v>29773</v>
      </c>
      <c r="V2335">
        <v>832814</v>
      </c>
      <c r="W2335">
        <v>1</v>
      </c>
      <c r="X2335" s="367"/>
    </row>
    <row r="2336" spans="1:24">
      <c r="A2336" t="s">
        <v>6494</v>
      </c>
      <c r="B2336" t="s">
        <v>2706</v>
      </c>
      <c r="C2336">
        <v>10</v>
      </c>
      <c r="D2336">
        <v>10199</v>
      </c>
      <c r="E2336">
        <v>49669130</v>
      </c>
      <c r="F2336">
        <v>4820</v>
      </c>
      <c r="G2336">
        <v>4870</v>
      </c>
      <c r="H2336">
        <v>4870</v>
      </c>
      <c r="I2336">
        <v>50</v>
      </c>
      <c r="J2336">
        <v>1.04</v>
      </c>
      <c r="K2336">
        <v>4870</v>
      </c>
      <c r="L2336">
        <v>50</v>
      </c>
      <c r="M2336">
        <v>1.04</v>
      </c>
      <c r="N2336">
        <v>4870</v>
      </c>
      <c r="O2336">
        <v>4870</v>
      </c>
      <c r="P2336">
        <v>154</v>
      </c>
      <c r="Q2336">
        <v>31.62</v>
      </c>
      <c r="R2336">
        <v>1</v>
      </c>
      <c r="S2336">
        <v>92</v>
      </c>
      <c r="T2336">
        <v>4870</v>
      </c>
      <c r="U2336">
        <v>0</v>
      </c>
      <c r="V2336">
        <v>0</v>
      </c>
      <c r="W2336">
        <v>0</v>
      </c>
      <c r="X2336" s="367"/>
    </row>
    <row r="2337" spans="1:24">
      <c r="A2337" t="s">
        <v>5671</v>
      </c>
      <c r="B2337" t="s">
        <v>5672</v>
      </c>
      <c r="C2337">
        <v>0</v>
      </c>
      <c r="D2337">
        <v>0</v>
      </c>
      <c r="E2337">
        <v>0</v>
      </c>
      <c r="F2337">
        <v>1000000</v>
      </c>
      <c r="G2337">
        <v>0</v>
      </c>
      <c r="H2337">
        <v>1000000</v>
      </c>
      <c r="I2337">
        <v>0</v>
      </c>
      <c r="J2337">
        <v>0</v>
      </c>
      <c r="K2337">
        <v>1000000</v>
      </c>
      <c r="L2337">
        <v>0</v>
      </c>
      <c r="M2337">
        <v>0</v>
      </c>
      <c r="N2337">
        <v>0</v>
      </c>
      <c r="O2337">
        <v>0</v>
      </c>
      <c r="P2337" t="s">
        <v>192</v>
      </c>
      <c r="Q2337" t="s">
        <v>192</v>
      </c>
      <c r="R2337">
        <v>2</v>
      </c>
      <c r="S2337">
        <v>11000</v>
      </c>
      <c r="T2337">
        <v>1000000</v>
      </c>
      <c r="U2337">
        <v>0</v>
      </c>
      <c r="V2337">
        <v>0</v>
      </c>
      <c r="W2337">
        <v>0</v>
      </c>
      <c r="X2337" s="367"/>
    </row>
    <row r="2338" spans="1:24">
      <c r="A2338" t="s">
        <v>109</v>
      </c>
      <c r="B2338" t="s">
        <v>108</v>
      </c>
      <c r="C2338">
        <v>552</v>
      </c>
      <c r="D2338">
        <v>29763906</v>
      </c>
      <c r="E2338">
        <v>107745339720</v>
      </c>
      <c r="F2338">
        <v>3520</v>
      </c>
      <c r="G2338">
        <v>3620</v>
      </c>
      <c r="H2338">
        <v>3620</v>
      </c>
      <c r="I2338">
        <v>100</v>
      </c>
      <c r="J2338">
        <v>2.84</v>
      </c>
      <c r="K2338">
        <v>3620</v>
      </c>
      <c r="L2338">
        <v>100</v>
      </c>
      <c r="M2338">
        <v>2.84</v>
      </c>
      <c r="N2338">
        <v>3620</v>
      </c>
      <c r="O2338">
        <v>3620</v>
      </c>
      <c r="P2338">
        <v>957</v>
      </c>
      <c r="Q2338">
        <v>3.78</v>
      </c>
      <c r="R2338">
        <v>2</v>
      </c>
      <c r="S2338">
        <v>20000</v>
      </c>
      <c r="T2338">
        <v>3620</v>
      </c>
      <c r="U2338">
        <v>0</v>
      </c>
      <c r="V2338">
        <v>0</v>
      </c>
      <c r="W2338">
        <v>0</v>
      </c>
      <c r="X2338" s="367"/>
    </row>
    <row r="2339" spans="1:24">
      <c r="A2339" t="s">
        <v>5673</v>
      </c>
      <c r="B2339" t="s">
        <v>5674</v>
      </c>
      <c r="C2339">
        <v>0</v>
      </c>
      <c r="D2339">
        <v>0</v>
      </c>
      <c r="E2339">
        <v>0</v>
      </c>
      <c r="F2339">
        <v>1000000</v>
      </c>
      <c r="G2339">
        <v>0</v>
      </c>
      <c r="H2339">
        <v>1000000</v>
      </c>
      <c r="I2339">
        <v>0</v>
      </c>
      <c r="J2339">
        <v>0</v>
      </c>
      <c r="K2339">
        <v>1000000</v>
      </c>
      <c r="L2339">
        <v>0</v>
      </c>
      <c r="M2339">
        <v>0</v>
      </c>
      <c r="N2339">
        <v>0</v>
      </c>
      <c r="O2339">
        <v>0</v>
      </c>
      <c r="P2339" t="s">
        <v>192</v>
      </c>
      <c r="Q2339" t="s">
        <v>192</v>
      </c>
      <c r="R2339">
        <v>1</v>
      </c>
      <c r="S2339">
        <v>5000</v>
      </c>
      <c r="T2339">
        <v>950000</v>
      </c>
      <c r="U2339">
        <v>1050000</v>
      </c>
      <c r="V2339">
        <v>5000</v>
      </c>
      <c r="W2339">
        <v>1</v>
      </c>
      <c r="X2339" s="367"/>
    </row>
    <row r="2340" spans="1:24">
      <c r="A2340" t="s">
        <v>5675</v>
      </c>
      <c r="B2340" t="s">
        <v>5676</v>
      </c>
      <c r="C2340">
        <v>0</v>
      </c>
      <c r="D2340">
        <v>0</v>
      </c>
      <c r="E2340">
        <v>0</v>
      </c>
      <c r="F2340">
        <v>1000000</v>
      </c>
      <c r="G2340">
        <v>0</v>
      </c>
      <c r="H2340">
        <v>1000000</v>
      </c>
      <c r="I2340">
        <v>0</v>
      </c>
      <c r="J2340">
        <v>0</v>
      </c>
      <c r="K2340">
        <v>1000000</v>
      </c>
      <c r="L2340">
        <v>0</v>
      </c>
      <c r="M2340">
        <v>0</v>
      </c>
      <c r="N2340">
        <v>0</v>
      </c>
      <c r="O2340">
        <v>0</v>
      </c>
      <c r="P2340" t="s">
        <v>192</v>
      </c>
      <c r="Q2340" t="s">
        <v>192</v>
      </c>
      <c r="R2340">
        <v>1</v>
      </c>
      <c r="S2340">
        <v>5000</v>
      </c>
      <c r="T2340">
        <v>999000</v>
      </c>
      <c r="U2340">
        <v>0</v>
      </c>
      <c r="V2340">
        <v>0</v>
      </c>
      <c r="W2340">
        <v>0</v>
      </c>
      <c r="X2340" s="367"/>
    </row>
    <row r="2341" spans="1:24">
      <c r="A2341" t="s">
        <v>2763</v>
      </c>
      <c r="B2341" t="s">
        <v>2762</v>
      </c>
      <c r="C2341">
        <v>3906</v>
      </c>
      <c r="D2341">
        <v>3514674</v>
      </c>
      <c r="E2341">
        <v>100163082730</v>
      </c>
      <c r="F2341">
        <v>27900</v>
      </c>
      <c r="G2341">
        <v>28100</v>
      </c>
      <c r="H2341">
        <v>28490</v>
      </c>
      <c r="I2341">
        <v>590</v>
      </c>
      <c r="J2341">
        <v>2.11</v>
      </c>
      <c r="K2341">
        <v>28500</v>
      </c>
      <c r="L2341">
        <v>600</v>
      </c>
      <c r="M2341">
        <v>2.15</v>
      </c>
      <c r="N2341">
        <v>28100</v>
      </c>
      <c r="O2341">
        <v>28720</v>
      </c>
      <c r="P2341">
        <v>3233</v>
      </c>
      <c r="Q2341">
        <v>8.82</v>
      </c>
      <c r="R2341">
        <v>2</v>
      </c>
      <c r="S2341">
        <v>1188</v>
      </c>
      <c r="T2341">
        <v>28480</v>
      </c>
      <c r="U2341">
        <v>28500</v>
      </c>
      <c r="V2341">
        <v>31634</v>
      </c>
      <c r="W2341">
        <v>59</v>
      </c>
      <c r="X2341" s="367"/>
    </row>
    <row r="2342" spans="1:24">
      <c r="A2342" t="s">
        <v>5677</v>
      </c>
      <c r="B2342" t="s">
        <v>5678</v>
      </c>
      <c r="C2342">
        <v>0</v>
      </c>
      <c r="D2342">
        <v>0</v>
      </c>
      <c r="E2342">
        <v>0</v>
      </c>
      <c r="F2342">
        <v>846500</v>
      </c>
      <c r="G2342">
        <v>0</v>
      </c>
      <c r="H2342">
        <v>846500</v>
      </c>
      <c r="I2342">
        <v>0</v>
      </c>
      <c r="J2342">
        <v>0</v>
      </c>
      <c r="K2342">
        <v>846500</v>
      </c>
      <c r="L2342">
        <v>0</v>
      </c>
      <c r="M2342">
        <v>0</v>
      </c>
      <c r="N2342">
        <v>0</v>
      </c>
      <c r="O2342">
        <v>0</v>
      </c>
      <c r="P2342" t="s">
        <v>192</v>
      </c>
      <c r="Q2342" t="s">
        <v>192</v>
      </c>
      <c r="R2342">
        <v>1</v>
      </c>
      <c r="S2342">
        <v>5000</v>
      </c>
      <c r="T2342">
        <v>846450</v>
      </c>
      <c r="U2342">
        <v>854900</v>
      </c>
      <c r="V2342">
        <v>5000</v>
      </c>
      <c r="W2342">
        <v>1</v>
      </c>
      <c r="X2342" s="367"/>
    </row>
    <row r="2343" spans="1:24">
      <c r="A2343" t="s">
        <v>5679</v>
      </c>
      <c r="B2343" t="s">
        <v>5680</v>
      </c>
      <c r="C2343">
        <v>0</v>
      </c>
      <c r="D2343">
        <v>0</v>
      </c>
      <c r="E2343">
        <v>0</v>
      </c>
      <c r="F2343">
        <v>839000</v>
      </c>
      <c r="G2343">
        <v>0</v>
      </c>
      <c r="H2343">
        <v>839000</v>
      </c>
      <c r="I2343">
        <v>0</v>
      </c>
      <c r="J2343">
        <v>0</v>
      </c>
      <c r="K2343">
        <v>839000</v>
      </c>
      <c r="L2343">
        <v>0</v>
      </c>
      <c r="M2343">
        <v>0</v>
      </c>
      <c r="N2343">
        <v>0</v>
      </c>
      <c r="O2343">
        <v>0</v>
      </c>
      <c r="P2343" t="s">
        <v>192</v>
      </c>
      <c r="Q2343" t="s">
        <v>192</v>
      </c>
      <c r="R2343">
        <v>1</v>
      </c>
      <c r="S2343">
        <v>5000</v>
      </c>
      <c r="T2343">
        <v>827000</v>
      </c>
      <c r="U2343">
        <v>835000</v>
      </c>
      <c r="V2343">
        <v>10000</v>
      </c>
      <c r="W2343">
        <v>1</v>
      </c>
      <c r="X2343" s="367"/>
    </row>
    <row r="2344" spans="1:24">
      <c r="A2344" t="s">
        <v>5681</v>
      </c>
      <c r="B2344" t="s">
        <v>5682</v>
      </c>
      <c r="C2344">
        <v>289</v>
      </c>
      <c r="D2344">
        <v>2247648</v>
      </c>
      <c r="E2344">
        <v>890583319392</v>
      </c>
      <c r="F2344">
        <v>384689</v>
      </c>
      <c r="G2344">
        <v>396229</v>
      </c>
      <c r="H2344">
        <v>396229</v>
      </c>
      <c r="I2344">
        <v>11540</v>
      </c>
      <c r="J2344">
        <v>3</v>
      </c>
      <c r="K2344">
        <v>396229</v>
      </c>
      <c r="L2344">
        <v>11540</v>
      </c>
      <c r="M2344">
        <v>3</v>
      </c>
      <c r="N2344">
        <v>396229</v>
      </c>
      <c r="O2344">
        <v>396229</v>
      </c>
      <c r="P2344" t="s">
        <v>192</v>
      </c>
      <c r="Q2344" t="s">
        <v>192</v>
      </c>
      <c r="R2344">
        <v>351</v>
      </c>
      <c r="S2344">
        <v>4071620</v>
      </c>
      <c r="T2344">
        <v>396229</v>
      </c>
      <c r="U2344">
        <v>0</v>
      </c>
      <c r="V2344">
        <v>0</v>
      </c>
      <c r="W2344">
        <v>0</v>
      </c>
      <c r="X2344" s="367"/>
    </row>
    <row r="2345" spans="1:24">
      <c r="A2345" t="s">
        <v>1917</v>
      </c>
      <c r="B2345" t="s">
        <v>1916</v>
      </c>
      <c r="C2345">
        <v>6</v>
      </c>
      <c r="D2345">
        <v>29000</v>
      </c>
      <c r="E2345">
        <v>5666600000</v>
      </c>
      <c r="F2345">
        <v>191600</v>
      </c>
      <c r="G2345">
        <v>195400</v>
      </c>
      <c r="H2345">
        <v>195400</v>
      </c>
      <c r="I2345">
        <v>3800</v>
      </c>
      <c r="J2345">
        <v>1.98</v>
      </c>
      <c r="K2345">
        <v>195400</v>
      </c>
      <c r="L2345">
        <v>3800</v>
      </c>
      <c r="M2345">
        <v>1.98</v>
      </c>
      <c r="N2345">
        <v>195400</v>
      </c>
      <c r="O2345">
        <v>195400</v>
      </c>
      <c r="P2345">
        <v>6300</v>
      </c>
      <c r="Q2345">
        <v>31.02</v>
      </c>
      <c r="R2345">
        <v>174</v>
      </c>
      <c r="S2345">
        <v>1681079</v>
      </c>
      <c r="T2345">
        <v>195400</v>
      </c>
      <c r="U2345">
        <v>0</v>
      </c>
      <c r="V2345">
        <v>0</v>
      </c>
      <c r="W2345">
        <v>0</v>
      </c>
      <c r="X2345" s="367"/>
    </row>
    <row r="2346" spans="1:24">
      <c r="A2346" t="s">
        <v>6495</v>
      </c>
      <c r="B2346" t="s">
        <v>2704</v>
      </c>
      <c r="C2346">
        <v>7</v>
      </c>
      <c r="D2346">
        <v>28280</v>
      </c>
      <c r="E2346">
        <v>115382400</v>
      </c>
      <c r="F2346">
        <v>3970</v>
      </c>
      <c r="G2346">
        <v>4080</v>
      </c>
      <c r="H2346">
        <v>4080</v>
      </c>
      <c r="I2346">
        <v>110</v>
      </c>
      <c r="J2346">
        <v>2.77</v>
      </c>
      <c r="K2346">
        <v>4080</v>
      </c>
      <c r="L2346">
        <v>110</v>
      </c>
      <c r="M2346">
        <v>2.77</v>
      </c>
      <c r="N2346">
        <v>4080</v>
      </c>
      <c r="O2346">
        <v>4080</v>
      </c>
      <c r="P2346">
        <v>260</v>
      </c>
      <c r="Q2346">
        <v>15.69</v>
      </c>
      <c r="R2346">
        <v>5</v>
      </c>
      <c r="S2346">
        <v>427977</v>
      </c>
      <c r="T2346">
        <v>4080</v>
      </c>
      <c r="U2346">
        <v>0</v>
      </c>
      <c r="V2346">
        <v>0</v>
      </c>
      <c r="W2346">
        <v>0</v>
      </c>
      <c r="X2346" s="367"/>
    </row>
    <row r="2347" spans="1:24">
      <c r="A2347" t="s">
        <v>5683</v>
      </c>
      <c r="B2347" t="s">
        <v>4941</v>
      </c>
      <c r="C2347">
        <v>8</v>
      </c>
      <c r="D2347">
        <v>4740000</v>
      </c>
      <c r="E2347">
        <v>4740000</v>
      </c>
      <c r="F2347">
        <v>154649</v>
      </c>
      <c r="G2347">
        <v>1</v>
      </c>
      <c r="H2347">
        <v>1</v>
      </c>
      <c r="I2347">
        <v>-154648</v>
      </c>
      <c r="J2347">
        <v>-100</v>
      </c>
      <c r="K2347">
        <v>1</v>
      </c>
      <c r="L2347">
        <v>-154648</v>
      </c>
      <c r="M2347">
        <v>-100</v>
      </c>
      <c r="N2347">
        <v>1</v>
      </c>
      <c r="O2347">
        <v>1</v>
      </c>
      <c r="P2347" t="s">
        <v>192</v>
      </c>
      <c r="Q2347" t="s">
        <v>192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 s="367"/>
    </row>
    <row r="2348" spans="1:24">
      <c r="A2348" t="s">
        <v>5684</v>
      </c>
      <c r="B2348" t="s">
        <v>5685</v>
      </c>
      <c r="C2348">
        <v>321</v>
      </c>
      <c r="D2348">
        <v>520802</v>
      </c>
      <c r="E2348">
        <v>55041833879</v>
      </c>
      <c r="F2348">
        <v>106273</v>
      </c>
      <c r="G2348">
        <v>106135</v>
      </c>
      <c r="H2348">
        <v>105769</v>
      </c>
      <c r="I2348">
        <v>-504</v>
      </c>
      <c r="J2348">
        <v>-0.47</v>
      </c>
      <c r="K2348">
        <v>105687</v>
      </c>
      <c r="L2348">
        <v>-586</v>
      </c>
      <c r="M2348">
        <v>-0.55000000000000004</v>
      </c>
      <c r="N2348">
        <v>105415</v>
      </c>
      <c r="O2348">
        <v>106135</v>
      </c>
      <c r="P2348" t="s">
        <v>192</v>
      </c>
      <c r="Q2348" t="s">
        <v>192</v>
      </c>
      <c r="R2348">
        <v>1</v>
      </c>
      <c r="S2348">
        <v>10</v>
      </c>
      <c r="T2348">
        <v>105627</v>
      </c>
      <c r="U2348">
        <v>105768</v>
      </c>
      <c r="V2348">
        <v>14644</v>
      </c>
      <c r="W2348">
        <v>2</v>
      </c>
      <c r="X2348" s="367"/>
    </row>
    <row r="2349" spans="1:24">
      <c r="A2349" t="s">
        <v>8856</v>
      </c>
      <c r="B2349" t="s">
        <v>2548</v>
      </c>
      <c r="C2349">
        <v>11</v>
      </c>
      <c r="D2349">
        <v>18192</v>
      </c>
      <c r="E2349">
        <v>3314582400</v>
      </c>
      <c r="F2349">
        <v>177000</v>
      </c>
      <c r="G2349">
        <v>182200</v>
      </c>
      <c r="H2349">
        <v>182200</v>
      </c>
      <c r="I2349">
        <v>5200</v>
      </c>
      <c r="J2349">
        <v>2.94</v>
      </c>
      <c r="K2349">
        <v>182200</v>
      </c>
      <c r="L2349">
        <v>5200</v>
      </c>
      <c r="M2349">
        <v>2.94</v>
      </c>
      <c r="N2349">
        <v>182200</v>
      </c>
      <c r="O2349">
        <v>182200</v>
      </c>
      <c r="P2349">
        <v>9444</v>
      </c>
      <c r="Q2349">
        <v>19.29</v>
      </c>
      <c r="R2349">
        <v>273</v>
      </c>
      <c r="S2349">
        <v>1037164</v>
      </c>
      <c r="T2349">
        <v>182200</v>
      </c>
      <c r="U2349">
        <v>0</v>
      </c>
      <c r="V2349">
        <v>0</v>
      </c>
      <c r="W2349">
        <v>0</v>
      </c>
      <c r="X2349" s="367"/>
    </row>
    <row r="2350" spans="1:24">
      <c r="A2350" t="s">
        <v>3050</v>
      </c>
      <c r="B2350" t="s">
        <v>3048</v>
      </c>
      <c r="C2350">
        <v>7</v>
      </c>
      <c r="D2350">
        <v>5572</v>
      </c>
      <c r="E2350">
        <v>16504264</v>
      </c>
      <c r="F2350">
        <v>2878</v>
      </c>
      <c r="G2350">
        <v>2962</v>
      </c>
      <c r="H2350">
        <v>2962</v>
      </c>
      <c r="I2350">
        <v>84</v>
      </c>
      <c r="J2350">
        <v>2.92</v>
      </c>
      <c r="K2350">
        <v>2962</v>
      </c>
      <c r="L2350">
        <v>84</v>
      </c>
      <c r="M2350">
        <v>2.92</v>
      </c>
      <c r="N2350">
        <v>2962</v>
      </c>
      <c r="O2350">
        <v>2962</v>
      </c>
      <c r="P2350">
        <v>671</v>
      </c>
      <c r="Q2350">
        <v>4.41</v>
      </c>
      <c r="R2350">
        <v>1</v>
      </c>
      <c r="S2350">
        <v>4428</v>
      </c>
      <c r="T2350">
        <v>2962</v>
      </c>
      <c r="U2350">
        <v>0</v>
      </c>
      <c r="V2350">
        <v>0</v>
      </c>
      <c r="W2350">
        <v>0</v>
      </c>
      <c r="X2350" s="367"/>
    </row>
    <row r="2351" spans="1:24">
      <c r="A2351" t="s">
        <v>5686</v>
      </c>
      <c r="B2351" t="s">
        <v>5687</v>
      </c>
      <c r="C2351">
        <v>2</v>
      </c>
      <c r="D2351">
        <v>1000000</v>
      </c>
      <c r="E2351">
        <v>1000000</v>
      </c>
      <c r="F2351">
        <v>13489</v>
      </c>
      <c r="G2351">
        <v>1</v>
      </c>
      <c r="H2351">
        <v>1</v>
      </c>
      <c r="I2351">
        <v>-13488</v>
      </c>
      <c r="J2351">
        <v>-99.99</v>
      </c>
      <c r="K2351">
        <v>1</v>
      </c>
      <c r="L2351">
        <v>-13488</v>
      </c>
      <c r="M2351">
        <v>-99.99</v>
      </c>
      <c r="N2351">
        <v>1</v>
      </c>
      <c r="O2351">
        <v>1</v>
      </c>
      <c r="P2351" t="s">
        <v>192</v>
      </c>
      <c r="Q2351" t="s">
        <v>192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 s="367"/>
    </row>
    <row r="2352" spans="1:24">
      <c r="A2352" t="s">
        <v>5688</v>
      </c>
      <c r="B2352" t="s">
        <v>5689</v>
      </c>
      <c r="C2352">
        <v>0</v>
      </c>
      <c r="D2352">
        <v>0</v>
      </c>
      <c r="E2352">
        <v>0</v>
      </c>
      <c r="F2352">
        <v>895470</v>
      </c>
      <c r="G2352">
        <v>0</v>
      </c>
      <c r="H2352">
        <v>895470</v>
      </c>
      <c r="I2352">
        <v>0</v>
      </c>
      <c r="J2352">
        <v>0</v>
      </c>
      <c r="K2352">
        <v>895470</v>
      </c>
      <c r="L2352">
        <v>0</v>
      </c>
      <c r="M2352">
        <v>0</v>
      </c>
      <c r="N2352">
        <v>0</v>
      </c>
      <c r="O2352">
        <v>0</v>
      </c>
      <c r="P2352" t="s">
        <v>192</v>
      </c>
      <c r="Q2352" t="s">
        <v>192</v>
      </c>
      <c r="R2352">
        <v>0</v>
      </c>
      <c r="S2352">
        <v>0</v>
      </c>
      <c r="T2352">
        <v>0</v>
      </c>
      <c r="U2352">
        <v>868610</v>
      </c>
      <c r="V2352">
        <v>415000</v>
      </c>
      <c r="W2352">
        <v>1</v>
      </c>
      <c r="X2352" s="367"/>
    </row>
    <row r="2353" spans="1:24">
      <c r="A2353" t="s">
        <v>5690</v>
      </c>
      <c r="B2353" t="s">
        <v>5691</v>
      </c>
      <c r="C2353">
        <v>0</v>
      </c>
      <c r="D2353">
        <v>0</v>
      </c>
      <c r="E2353">
        <v>0</v>
      </c>
      <c r="F2353">
        <v>931500</v>
      </c>
      <c r="G2353">
        <v>0</v>
      </c>
      <c r="H2353">
        <v>931500</v>
      </c>
      <c r="I2353">
        <v>0</v>
      </c>
      <c r="J2353">
        <v>0</v>
      </c>
      <c r="K2353">
        <v>931500</v>
      </c>
      <c r="L2353">
        <v>0</v>
      </c>
      <c r="M2353">
        <v>0</v>
      </c>
      <c r="N2353">
        <v>0</v>
      </c>
      <c r="O2353">
        <v>0</v>
      </c>
      <c r="P2353" t="s">
        <v>192</v>
      </c>
      <c r="Q2353" t="s">
        <v>192</v>
      </c>
      <c r="R2353">
        <v>1</v>
      </c>
      <c r="S2353">
        <v>5000</v>
      </c>
      <c r="T2353">
        <v>931500</v>
      </c>
      <c r="U2353">
        <v>940820</v>
      </c>
      <c r="V2353">
        <v>5000</v>
      </c>
      <c r="W2353">
        <v>1</v>
      </c>
      <c r="X2353" s="367"/>
    </row>
    <row r="2354" spans="1:24">
      <c r="A2354" t="s">
        <v>7757</v>
      </c>
      <c r="B2354" t="s">
        <v>6353</v>
      </c>
      <c r="C2354">
        <v>3</v>
      </c>
      <c r="D2354">
        <v>3000000</v>
      </c>
      <c r="E2354">
        <v>3000000</v>
      </c>
      <c r="F2354">
        <v>97322</v>
      </c>
      <c r="G2354">
        <v>1</v>
      </c>
      <c r="H2354">
        <v>1</v>
      </c>
      <c r="I2354">
        <v>-97321</v>
      </c>
      <c r="J2354">
        <v>-100</v>
      </c>
      <c r="K2354">
        <v>1</v>
      </c>
      <c r="L2354">
        <v>-97321</v>
      </c>
      <c r="M2354">
        <v>-100</v>
      </c>
      <c r="N2354">
        <v>1</v>
      </c>
      <c r="O2354">
        <v>1</v>
      </c>
      <c r="P2354" t="s">
        <v>192</v>
      </c>
      <c r="Q2354" t="s">
        <v>192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 s="367"/>
    </row>
    <row r="2355" spans="1:24">
      <c r="A2355" t="s">
        <v>5692</v>
      </c>
      <c r="B2355" t="s">
        <v>5693</v>
      </c>
      <c r="C2355">
        <v>36</v>
      </c>
      <c r="D2355">
        <v>1475609</v>
      </c>
      <c r="E2355">
        <v>23497430740</v>
      </c>
      <c r="F2355">
        <v>15906</v>
      </c>
      <c r="G2355">
        <v>15923</v>
      </c>
      <c r="H2355">
        <v>15924</v>
      </c>
      <c r="I2355">
        <v>18</v>
      </c>
      <c r="J2355">
        <v>0.11</v>
      </c>
      <c r="K2355">
        <v>15924</v>
      </c>
      <c r="L2355">
        <v>18</v>
      </c>
      <c r="M2355">
        <v>0.11</v>
      </c>
      <c r="N2355">
        <v>15923</v>
      </c>
      <c r="O2355">
        <v>15924</v>
      </c>
      <c r="P2355" t="s">
        <v>192</v>
      </c>
      <c r="Q2355" t="s">
        <v>192</v>
      </c>
      <c r="R2355">
        <v>4</v>
      </c>
      <c r="S2355">
        <v>10071451</v>
      </c>
      <c r="T2355">
        <v>15923</v>
      </c>
      <c r="U2355">
        <v>15924</v>
      </c>
      <c r="V2355">
        <v>1500000</v>
      </c>
      <c r="W2355">
        <v>1</v>
      </c>
      <c r="X2355" s="367"/>
    </row>
    <row r="2356" spans="1:24">
      <c r="A2356" t="s">
        <v>8857</v>
      </c>
      <c r="B2356" t="s">
        <v>3931</v>
      </c>
      <c r="C2356">
        <v>3</v>
      </c>
      <c r="D2356">
        <v>519186</v>
      </c>
      <c r="E2356">
        <v>605370876</v>
      </c>
      <c r="F2356">
        <v>1133</v>
      </c>
      <c r="G2356">
        <v>1166</v>
      </c>
      <c r="H2356">
        <v>1166</v>
      </c>
      <c r="I2356">
        <v>33</v>
      </c>
      <c r="J2356">
        <v>2.91</v>
      </c>
      <c r="K2356">
        <v>1166</v>
      </c>
      <c r="L2356">
        <v>33</v>
      </c>
      <c r="M2356">
        <v>2.91</v>
      </c>
      <c r="N2356">
        <v>1166</v>
      </c>
      <c r="O2356">
        <v>1166</v>
      </c>
      <c r="P2356">
        <v>0</v>
      </c>
      <c r="Q2356" t="s">
        <v>192</v>
      </c>
      <c r="R2356">
        <v>10</v>
      </c>
      <c r="S2356">
        <v>3370758</v>
      </c>
      <c r="T2356">
        <v>1166</v>
      </c>
      <c r="U2356">
        <v>0</v>
      </c>
      <c r="V2356">
        <v>0</v>
      </c>
      <c r="W2356">
        <v>0</v>
      </c>
      <c r="X2356" s="367"/>
    </row>
    <row r="2357" spans="1:24">
      <c r="A2357" t="s">
        <v>2218</v>
      </c>
      <c r="B2357" t="s">
        <v>2217</v>
      </c>
      <c r="C2357">
        <v>3813</v>
      </c>
      <c r="D2357">
        <v>961256869</v>
      </c>
      <c r="E2357">
        <v>1175627075587</v>
      </c>
      <c r="F2357">
        <v>1189</v>
      </c>
      <c r="G2357">
        <v>1215</v>
      </c>
      <c r="H2357">
        <v>1224</v>
      </c>
      <c r="I2357">
        <v>35</v>
      </c>
      <c r="J2357">
        <v>2.94</v>
      </c>
      <c r="K2357">
        <v>1223</v>
      </c>
      <c r="L2357">
        <v>34</v>
      </c>
      <c r="M2357">
        <v>2.86</v>
      </c>
      <c r="N2357">
        <v>1197</v>
      </c>
      <c r="O2357">
        <v>1224</v>
      </c>
      <c r="P2357">
        <v>414</v>
      </c>
      <c r="Q2357">
        <v>2.95</v>
      </c>
      <c r="R2357">
        <v>1</v>
      </c>
      <c r="S2357">
        <v>200000</v>
      </c>
      <c r="T2357">
        <v>1224</v>
      </c>
      <c r="U2357">
        <v>0</v>
      </c>
      <c r="V2357">
        <v>0</v>
      </c>
      <c r="W2357">
        <v>0</v>
      </c>
      <c r="X2357" s="367"/>
    </row>
    <row r="2358" spans="1:24">
      <c r="A2358" t="s">
        <v>1877</v>
      </c>
      <c r="B2358" t="s">
        <v>1876</v>
      </c>
      <c r="C2358">
        <v>262</v>
      </c>
      <c r="D2358">
        <v>22719399</v>
      </c>
      <c r="E2358">
        <v>39915875065</v>
      </c>
      <c r="F2358">
        <v>1706</v>
      </c>
      <c r="G2358">
        <v>1756</v>
      </c>
      <c r="H2358">
        <v>1757</v>
      </c>
      <c r="I2358">
        <v>51</v>
      </c>
      <c r="J2358">
        <v>2.99</v>
      </c>
      <c r="K2358">
        <v>1757</v>
      </c>
      <c r="L2358">
        <v>51</v>
      </c>
      <c r="M2358">
        <v>2.99</v>
      </c>
      <c r="N2358">
        <v>1751</v>
      </c>
      <c r="O2358">
        <v>1757</v>
      </c>
      <c r="P2358">
        <v>404</v>
      </c>
      <c r="Q2358">
        <v>4.3499999999999996</v>
      </c>
      <c r="R2358">
        <v>56</v>
      </c>
      <c r="S2358">
        <v>15454790</v>
      </c>
      <c r="T2358">
        <v>1757</v>
      </c>
      <c r="U2358">
        <v>1788</v>
      </c>
      <c r="V2358">
        <v>53213</v>
      </c>
      <c r="W2358">
        <v>2</v>
      </c>
      <c r="X2358" s="367"/>
    </row>
    <row r="2359" spans="1:24">
      <c r="A2359" t="s">
        <v>5694</v>
      </c>
      <c r="B2359" t="s">
        <v>5695</v>
      </c>
      <c r="C2359">
        <v>852</v>
      </c>
      <c r="D2359">
        <v>87694990</v>
      </c>
      <c r="E2359">
        <v>119227253779</v>
      </c>
      <c r="F2359">
        <v>1332</v>
      </c>
      <c r="G2359">
        <v>1370</v>
      </c>
      <c r="H2359">
        <v>1338</v>
      </c>
      <c r="I2359">
        <v>6</v>
      </c>
      <c r="J2359">
        <v>0.45</v>
      </c>
      <c r="K2359">
        <v>1360</v>
      </c>
      <c r="L2359">
        <v>28</v>
      </c>
      <c r="M2359">
        <v>2.1</v>
      </c>
      <c r="N2359">
        <v>1335</v>
      </c>
      <c r="O2359">
        <v>1371</v>
      </c>
      <c r="P2359" t="s">
        <v>192</v>
      </c>
      <c r="Q2359" t="s">
        <v>192</v>
      </c>
      <c r="R2359">
        <v>4</v>
      </c>
      <c r="S2359">
        <v>3040000</v>
      </c>
      <c r="T2359">
        <v>1334</v>
      </c>
      <c r="U2359">
        <v>1341</v>
      </c>
      <c r="V2359">
        <v>134481</v>
      </c>
      <c r="W2359">
        <v>1</v>
      </c>
      <c r="X2359" s="367"/>
    </row>
    <row r="2360" spans="1:24">
      <c r="A2360" t="s">
        <v>5696</v>
      </c>
      <c r="B2360" t="s">
        <v>5697</v>
      </c>
      <c r="C2360">
        <v>0</v>
      </c>
      <c r="D2360">
        <v>0</v>
      </c>
      <c r="E2360">
        <v>0</v>
      </c>
      <c r="F2360">
        <v>1000000</v>
      </c>
      <c r="G2360">
        <v>0</v>
      </c>
      <c r="H2360">
        <v>1000000</v>
      </c>
      <c r="I2360">
        <v>0</v>
      </c>
      <c r="J2360">
        <v>0</v>
      </c>
      <c r="K2360">
        <v>1000000</v>
      </c>
      <c r="L2360">
        <v>0</v>
      </c>
      <c r="M2360">
        <v>0</v>
      </c>
      <c r="N2360">
        <v>0</v>
      </c>
      <c r="O2360">
        <v>0</v>
      </c>
      <c r="P2360" t="s">
        <v>192</v>
      </c>
      <c r="Q2360" t="s">
        <v>192</v>
      </c>
      <c r="R2360">
        <v>1</v>
      </c>
      <c r="S2360">
        <v>5000</v>
      </c>
      <c r="T2360">
        <v>990000</v>
      </c>
      <c r="U2360">
        <v>0</v>
      </c>
      <c r="V2360">
        <v>0</v>
      </c>
      <c r="W2360">
        <v>0</v>
      </c>
      <c r="X2360" s="367"/>
    </row>
    <row r="2361" spans="1:24">
      <c r="A2361" t="s">
        <v>1837</v>
      </c>
      <c r="B2361" t="s">
        <v>1836</v>
      </c>
      <c r="C2361">
        <v>263</v>
      </c>
      <c r="D2361">
        <v>13416230</v>
      </c>
      <c r="E2361">
        <v>23255712494</v>
      </c>
      <c r="F2361">
        <v>1687</v>
      </c>
      <c r="G2361">
        <v>1737</v>
      </c>
      <c r="H2361">
        <v>1737</v>
      </c>
      <c r="I2361">
        <v>50</v>
      </c>
      <c r="J2361">
        <v>2.96</v>
      </c>
      <c r="K2361">
        <v>1733</v>
      </c>
      <c r="L2361">
        <v>46</v>
      </c>
      <c r="M2361">
        <v>2.73</v>
      </c>
      <c r="N2361">
        <v>1714</v>
      </c>
      <c r="O2361">
        <v>1737</v>
      </c>
      <c r="P2361">
        <v>239</v>
      </c>
      <c r="Q2361">
        <v>7.25</v>
      </c>
      <c r="R2361">
        <v>5</v>
      </c>
      <c r="S2361">
        <v>1004170</v>
      </c>
      <c r="T2361">
        <v>1737</v>
      </c>
      <c r="U2361">
        <v>0</v>
      </c>
      <c r="V2361">
        <v>0</v>
      </c>
      <c r="W2361">
        <v>0</v>
      </c>
      <c r="X2361" s="367"/>
    </row>
    <row r="2362" spans="1:24">
      <c r="A2362" t="s">
        <v>5699</v>
      </c>
      <c r="B2362" t="s">
        <v>5700</v>
      </c>
      <c r="C2362">
        <v>540</v>
      </c>
      <c r="D2362">
        <v>7137727</v>
      </c>
      <c r="E2362">
        <v>237225182522</v>
      </c>
      <c r="F2362">
        <v>33398</v>
      </c>
      <c r="G2362">
        <v>33254</v>
      </c>
      <c r="H2362">
        <v>33177</v>
      </c>
      <c r="I2362">
        <v>-221</v>
      </c>
      <c r="J2362">
        <v>-0.66</v>
      </c>
      <c r="K2362">
        <v>33235</v>
      </c>
      <c r="L2362">
        <v>-163</v>
      </c>
      <c r="M2362">
        <v>-0.49</v>
      </c>
      <c r="N2362">
        <v>33118</v>
      </c>
      <c r="O2362">
        <v>33390</v>
      </c>
      <c r="P2362" t="s">
        <v>192</v>
      </c>
      <c r="Q2362" t="s">
        <v>192</v>
      </c>
      <c r="R2362">
        <v>1</v>
      </c>
      <c r="S2362">
        <v>26117</v>
      </c>
      <c r="T2362">
        <v>33177</v>
      </c>
      <c r="U2362">
        <v>33190</v>
      </c>
      <c r="V2362">
        <v>100000</v>
      </c>
      <c r="W2362">
        <v>1</v>
      </c>
      <c r="X2362" s="367"/>
    </row>
    <row r="2363" spans="1:24">
      <c r="A2363" t="s">
        <v>5701</v>
      </c>
      <c r="B2363" t="s">
        <v>5702</v>
      </c>
      <c r="C2363">
        <v>0</v>
      </c>
      <c r="D2363">
        <v>0</v>
      </c>
      <c r="E2363">
        <v>0</v>
      </c>
      <c r="F2363">
        <v>947600</v>
      </c>
      <c r="G2363">
        <v>0</v>
      </c>
      <c r="H2363">
        <v>947600</v>
      </c>
      <c r="I2363">
        <v>0</v>
      </c>
      <c r="J2363">
        <v>0</v>
      </c>
      <c r="K2363">
        <v>947600</v>
      </c>
      <c r="L2363">
        <v>0</v>
      </c>
      <c r="M2363">
        <v>0</v>
      </c>
      <c r="N2363">
        <v>0</v>
      </c>
      <c r="O2363">
        <v>0</v>
      </c>
      <c r="P2363" t="s">
        <v>192</v>
      </c>
      <c r="Q2363" t="s">
        <v>192</v>
      </c>
      <c r="R2363">
        <v>1</v>
      </c>
      <c r="S2363">
        <v>5000</v>
      </c>
      <c r="T2363">
        <v>947500</v>
      </c>
      <c r="U2363">
        <v>0</v>
      </c>
      <c r="V2363">
        <v>0</v>
      </c>
      <c r="W2363">
        <v>0</v>
      </c>
      <c r="X2363" s="367"/>
    </row>
    <row r="2364" spans="1:24">
      <c r="A2364" t="s">
        <v>8691</v>
      </c>
      <c r="B2364" t="s">
        <v>5703</v>
      </c>
      <c r="C2364">
        <v>1</v>
      </c>
      <c r="D2364">
        <v>1500000</v>
      </c>
      <c r="E2364">
        <v>1500000</v>
      </c>
      <c r="F2364">
        <v>35138</v>
      </c>
      <c r="G2364">
        <v>1</v>
      </c>
      <c r="H2364">
        <v>1</v>
      </c>
      <c r="I2364">
        <v>-35137</v>
      </c>
      <c r="J2364">
        <v>-100</v>
      </c>
      <c r="K2364">
        <v>1</v>
      </c>
      <c r="L2364">
        <v>-35137</v>
      </c>
      <c r="M2364">
        <v>-100</v>
      </c>
      <c r="N2364">
        <v>1</v>
      </c>
      <c r="O2364">
        <v>1</v>
      </c>
      <c r="P2364" t="s">
        <v>192</v>
      </c>
      <c r="Q2364" t="s">
        <v>192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 s="367"/>
    </row>
    <row r="2365" spans="1:24">
      <c r="A2365" t="s">
        <v>3124</v>
      </c>
      <c r="B2365" t="s">
        <v>3123</v>
      </c>
      <c r="C2365">
        <v>168</v>
      </c>
      <c r="D2365">
        <v>66185892</v>
      </c>
      <c r="E2365">
        <v>136144379844</v>
      </c>
      <c r="F2365">
        <v>1998</v>
      </c>
      <c r="G2365">
        <v>2057</v>
      </c>
      <c r="H2365">
        <v>2057</v>
      </c>
      <c r="I2365">
        <v>59</v>
      </c>
      <c r="J2365">
        <v>2.95</v>
      </c>
      <c r="K2365">
        <v>2057</v>
      </c>
      <c r="L2365">
        <v>59</v>
      </c>
      <c r="M2365">
        <v>2.95</v>
      </c>
      <c r="N2365">
        <v>2057</v>
      </c>
      <c r="O2365">
        <v>2057</v>
      </c>
      <c r="P2365">
        <v>229</v>
      </c>
      <c r="Q2365">
        <v>8.98</v>
      </c>
      <c r="R2365">
        <v>81</v>
      </c>
      <c r="S2365">
        <v>53329630</v>
      </c>
      <c r="T2365">
        <v>2057</v>
      </c>
      <c r="U2365">
        <v>2096</v>
      </c>
      <c r="V2365">
        <v>2500</v>
      </c>
      <c r="W2365">
        <v>1</v>
      </c>
      <c r="X2365" s="367"/>
    </row>
    <row r="2366" spans="1:24">
      <c r="A2366" t="s">
        <v>2151</v>
      </c>
      <c r="B2366" t="s">
        <v>2150</v>
      </c>
      <c r="C2366">
        <v>514</v>
      </c>
      <c r="D2366">
        <v>13742073</v>
      </c>
      <c r="E2366">
        <v>210098503670</v>
      </c>
      <c r="F2366">
        <v>14850</v>
      </c>
      <c r="G2366">
        <v>15290</v>
      </c>
      <c r="H2366">
        <v>15290</v>
      </c>
      <c r="I2366">
        <v>440</v>
      </c>
      <c r="J2366">
        <v>2.96</v>
      </c>
      <c r="K2366">
        <v>15290</v>
      </c>
      <c r="L2366">
        <v>440</v>
      </c>
      <c r="M2366">
        <v>2.96</v>
      </c>
      <c r="N2366">
        <v>15020</v>
      </c>
      <c r="O2366">
        <v>15290</v>
      </c>
      <c r="P2366">
        <v>-286</v>
      </c>
      <c r="Q2366">
        <v>-53.46</v>
      </c>
      <c r="R2366">
        <v>2</v>
      </c>
      <c r="S2366">
        <v>7491</v>
      </c>
      <c r="T2366">
        <v>15290</v>
      </c>
      <c r="U2366">
        <v>17540</v>
      </c>
      <c r="V2366">
        <v>13000</v>
      </c>
      <c r="W2366">
        <v>1</v>
      </c>
      <c r="X2366" s="367"/>
    </row>
    <row r="2367" spans="1:24">
      <c r="A2367" t="s">
        <v>5704</v>
      </c>
      <c r="B2367" t="s">
        <v>5705</v>
      </c>
      <c r="C2367">
        <v>730</v>
      </c>
      <c r="D2367">
        <v>1401841</v>
      </c>
      <c r="E2367">
        <v>92909620484</v>
      </c>
      <c r="F2367">
        <v>66632</v>
      </c>
      <c r="G2367">
        <v>66322</v>
      </c>
      <c r="H2367">
        <v>66007</v>
      </c>
      <c r="I2367">
        <v>-625</v>
      </c>
      <c r="J2367">
        <v>-0.94</v>
      </c>
      <c r="K2367">
        <v>66277</v>
      </c>
      <c r="L2367">
        <v>-355</v>
      </c>
      <c r="M2367">
        <v>-0.53</v>
      </c>
      <c r="N2367">
        <v>65851</v>
      </c>
      <c r="O2367">
        <v>67000</v>
      </c>
      <c r="P2367" t="s">
        <v>192</v>
      </c>
      <c r="Q2367" t="s">
        <v>192</v>
      </c>
      <c r="R2367">
        <v>7</v>
      </c>
      <c r="S2367">
        <v>6987</v>
      </c>
      <c r="T2367">
        <v>66000</v>
      </c>
      <c r="U2367">
        <v>66001</v>
      </c>
      <c r="V2367">
        <v>1322</v>
      </c>
      <c r="W2367">
        <v>1</v>
      </c>
      <c r="X2367" s="367"/>
    </row>
    <row r="2368" spans="1:24">
      <c r="A2368" t="s">
        <v>5706</v>
      </c>
      <c r="B2368" t="s">
        <v>5707</v>
      </c>
      <c r="C2368">
        <v>0</v>
      </c>
      <c r="D2368">
        <v>0</v>
      </c>
      <c r="E2368">
        <v>0</v>
      </c>
      <c r="F2368">
        <v>1019100</v>
      </c>
      <c r="G2368">
        <v>0</v>
      </c>
      <c r="H2368">
        <v>1019100</v>
      </c>
      <c r="I2368">
        <v>0</v>
      </c>
      <c r="J2368">
        <v>0</v>
      </c>
      <c r="K2368">
        <v>1019100</v>
      </c>
      <c r="L2368">
        <v>0</v>
      </c>
      <c r="M2368">
        <v>0</v>
      </c>
      <c r="N2368">
        <v>0</v>
      </c>
      <c r="O2368">
        <v>0</v>
      </c>
      <c r="P2368" t="s">
        <v>192</v>
      </c>
      <c r="Q2368" t="s">
        <v>192</v>
      </c>
      <c r="R2368">
        <v>1</v>
      </c>
      <c r="S2368">
        <v>5000</v>
      </c>
      <c r="T2368">
        <v>1000000</v>
      </c>
      <c r="U2368">
        <v>1010000</v>
      </c>
      <c r="V2368">
        <v>5000</v>
      </c>
      <c r="W2368">
        <v>1</v>
      </c>
      <c r="X2368" s="367"/>
    </row>
    <row r="2369" spans="1:24">
      <c r="A2369" t="s">
        <v>5708</v>
      </c>
      <c r="B2369" t="s">
        <v>5709</v>
      </c>
      <c r="C2369">
        <v>19</v>
      </c>
      <c r="D2369">
        <v>53770</v>
      </c>
      <c r="E2369">
        <v>50552560280</v>
      </c>
      <c r="F2369">
        <v>942100</v>
      </c>
      <c r="G2369">
        <v>944100</v>
      </c>
      <c r="H2369">
        <v>942160</v>
      </c>
      <c r="I2369">
        <v>60</v>
      </c>
      <c r="J2369">
        <v>0.01</v>
      </c>
      <c r="K2369">
        <v>940160</v>
      </c>
      <c r="L2369">
        <v>-1940</v>
      </c>
      <c r="M2369">
        <v>-0.21</v>
      </c>
      <c r="N2369">
        <v>940000</v>
      </c>
      <c r="O2369">
        <v>944100</v>
      </c>
      <c r="P2369" t="s">
        <v>192</v>
      </c>
      <c r="Q2369" t="s">
        <v>192</v>
      </c>
      <c r="R2369">
        <v>1</v>
      </c>
      <c r="S2369">
        <v>2117</v>
      </c>
      <c r="T2369">
        <v>942160</v>
      </c>
      <c r="U2369">
        <v>944960</v>
      </c>
      <c r="V2369">
        <v>637</v>
      </c>
      <c r="W2369">
        <v>1</v>
      </c>
      <c r="X2369" s="367"/>
    </row>
    <row r="2370" spans="1:24">
      <c r="A2370" t="s">
        <v>5711</v>
      </c>
      <c r="B2370" t="s">
        <v>5712</v>
      </c>
      <c r="C2370">
        <v>322</v>
      </c>
      <c r="D2370">
        <v>314425757</v>
      </c>
      <c r="E2370">
        <v>8206513024466</v>
      </c>
      <c r="F2370">
        <v>26050</v>
      </c>
      <c r="G2370">
        <v>26101</v>
      </c>
      <c r="H2370">
        <v>26100</v>
      </c>
      <c r="I2370">
        <v>50</v>
      </c>
      <c r="J2370">
        <v>0.19</v>
      </c>
      <c r="K2370">
        <v>26100</v>
      </c>
      <c r="L2370">
        <v>50</v>
      </c>
      <c r="M2370">
        <v>0.19</v>
      </c>
      <c r="N2370">
        <v>26100</v>
      </c>
      <c r="O2370">
        <v>26101</v>
      </c>
      <c r="P2370" t="s">
        <v>192</v>
      </c>
      <c r="Q2370" t="s">
        <v>192</v>
      </c>
      <c r="R2370">
        <v>1</v>
      </c>
      <c r="S2370">
        <v>45789039</v>
      </c>
      <c r="T2370">
        <v>26100</v>
      </c>
      <c r="U2370">
        <v>26101</v>
      </c>
      <c r="V2370">
        <v>23233234</v>
      </c>
      <c r="W2370">
        <v>2</v>
      </c>
      <c r="X2370" s="367"/>
    </row>
    <row r="2371" spans="1:24">
      <c r="A2371" t="s">
        <v>5714</v>
      </c>
      <c r="B2371" t="s">
        <v>5715</v>
      </c>
      <c r="C2371">
        <v>48</v>
      </c>
      <c r="D2371">
        <v>86316</v>
      </c>
      <c r="E2371">
        <v>2176771301</v>
      </c>
      <c r="F2371">
        <v>24553</v>
      </c>
      <c r="G2371">
        <v>25277</v>
      </c>
      <c r="H2371">
        <v>25288</v>
      </c>
      <c r="I2371">
        <v>735</v>
      </c>
      <c r="J2371">
        <v>2.99</v>
      </c>
      <c r="K2371">
        <v>25219</v>
      </c>
      <c r="L2371">
        <v>666</v>
      </c>
      <c r="M2371">
        <v>2.71</v>
      </c>
      <c r="N2371">
        <v>23902</v>
      </c>
      <c r="O2371">
        <v>25289</v>
      </c>
      <c r="P2371" t="s">
        <v>192</v>
      </c>
      <c r="Q2371" t="s">
        <v>192</v>
      </c>
      <c r="R2371">
        <v>1</v>
      </c>
      <c r="S2371">
        <v>880</v>
      </c>
      <c r="T2371">
        <v>25011</v>
      </c>
      <c r="U2371">
        <v>25288</v>
      </c>
      <c r="V2371">
        <v>183</v>
      </c>
      <c r="W2371">
        <v>1</v>
      </c>
      <c r="X2371" s="367"/>
    </row>
    <row r="2372" spans="1:24">
      <c r="A2372" t="s">
        <v>8754</v>
      </c>
      <c r="B2372" t="s">
        <v>3033</v>
      </c>
      <c r="C2372">
        <v>1</v>
      </c>
      <c r="D2372">
        <v>12500000</v>
      </c>
      <c r="E2372">
        <v>46250000000</v>
      </c>
      <c r="F2372">
        <v>3670</v>
      </c>
      <c r="G2372">
        <v>3700</v>
      </c>
      <c r="H2372">
        <v>3700</v>
      </c>
      <c r="I2372">
        <v>30</v>
      </c>
      <c r="J2372">
        <v>0.82</v>
      </c>
      <c r="K2372">
        <v>3700</v>
      </c>
      <c r="L2372">
        <v>30</v>
      </c>
      <c r="M2372">
        <v>0.82</v>
      </c>
      <c r="N2372">
        <v>3700</v>
      </c>
      <c r="O2372">
        <v>3700</v>
      </c>
      <c r="P2372">
        <v>460</v>
      </c>
      <c r="Q2372">
        <v>8.0399999999999991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 s="367"/>
    </row>
    <row r="2373" spans="1:24">
      <c r="A2373" t="s">
        <v>5716</v>
      </c>
      <c r="B2373" t="s">
        <v>5717</v>
      </c>
      <c r="C2373">
        <v>178</v>
      </c>
      <c r="D2373">
        <v>4503934</v>
      </c>
      <c r="E2373">
        <v>134743933033</v>
      </c>
      <c r="F2373">
        <v>29046</v>
      </c>
      <c r="G2373">
        <v>29917</v>
      </c>
      <c r="H2373">
        <v>29917</v>
      </c>
      <c r="I2373">
        <v>871</v>
      </c>
      <c r="J2373">
        <v>3</v>
      </c>
      <c r="K2373">
        <v>29917</v>
      </c>
      <c r="L2373">
        <v>871</v>
      </c>
      <c r="M2373">
        <v>3</v>
      </c>
      <c r="N2373">
        <v>29564</v>
      </c>
      <c r="O2373">
        <v>29917</v>
      </c>
      <c r="P2373" t="s">
        <v>192</v>
      </c>
      <c r="Q2373" t="s">
        <v>192</v>
      </c>
      <c r="R2373">
        <v>15</v>
      </c>
      <c r="S2373">
        <v>392820</v>
      </c>
      <c r="T2373">
        <v>29917</v>
      </c>
      <c r="U2373">
        <v>0</v>
      </c>
      <c r="V2373">
        <v>0</v>
      </c>
      <c r="W2373">
        <v>0</v>
      </c>
      <c r="X2373" s="367"/>
    </row>
    <row r="2374" spans="1:24">
      <c r="A2374" t="s">
        <v>5718</v>
      </c>
      <c r="B2374" t="s">
        <v>5719</v>
      </c>
      <c r="C2374">
        <v>0</v>
      </c>
      <c r="D2374">
        <v>0</v>
      </c>
      <c r="E2374">
        <v>0</v>
      </c>
      <c r="F2374">
        <v>1004560</v>
      </c>
      <c r="G2374">
        <v>0</v>
      </c>
      <c r="H2374">
        <v>1000000</v>
      </c>
      <c r="I2374">
        <v>-4560</v>
      </c>
      <c r="J2374">
        <v>-0.45</v>
      </c>
      <c r="K2374">
        <v>1004560</v>
      </c>
      <c r="L2374">
        <v>0</v>
      </c>
      <c r="M2374">
        <v>0</v>
      </c>
      <c r="N2374">
        <v>0</v>
      </c>
      <c r="O2374">
        <v>0</v>
      </c>
      <c r="P2374" t="s">
        <v>192</v>
      </c>
      <c r="Q2374" t="s">
        <v>192</v>
      </c>
      <c r="R2374">
        <v>1</v>
      </c>
      <c r="S2374">
        <v>5000</v>
      </c>
      <c r="T2374">
        <v>995000</v>
      </c>
      <c r="U2374">
        <v>1004950</v>
      </c>
      <c r="V2374">
        <v>5000</v>
      </c>
      <c r="W2374">
        <v>1</v>
      </c>
      <c r="X2374" s="367"/>
    </row>
    <row r="2375" spans="1:24">
      <c r="A2375" t="s">
        <v>5720</v>
      </c>
      <c r="B2375" t="s">
        <v>5721</v>
      </c>
      <c r="C2375">
        <v>0</v>
      </c>
      <c r="D2375">
        <v>0</v>
      </c>
      <c r="E2375">
        <v>0</v>
      </c>
      <c r="F2375">
        <v>1000000</v>
      </c>
      <c r="G2375">
        <v>0</v>
      </c>
      <c r="H2375">
        <v>1000000</v>
      </c>
      <c r="I2375">
        <v>0</v>
      </c>
      <c r="J2375">
        <v>0</v>
      </c>
      <c r="K2375">
        <v>1000000</v>
      </c>
      <c r="L2375">
        <v>0</v>
      </c>
      <c r="M2375">
        <v>0</v>
      </c>
      <c r="N2375">
        <v>0</v>
      </c>
      <c r="O2375">
        <v>0</v>
      </c>
      <c r="P2375" t="s">
        <v>192</v>
      </c>
      <c r="Q2375" t="s">
        <v>192</v>
      </c>
      <c r="R2375">
        <v>1</v>
      </c>
      <c r="S2375">
        <v>7000</v>
      </c>
      <c r="T2375">
        <v>1000000</v>
      </c>
      <c r="U2375">
        <v>1010000</v>
      </c>
      <c r="V2375">
        <v>7000</v>
      </c>
      <c r="W2375">
        <v>1</v>
      </c>
      <c r="X2375" s="367"/>
    </row>
    <row r="2376" spans="1:24">
      <c r="A2376" t="s">
        <v>103</v>
      </c>
      <c r="B2376" t="s">
        <v>102</v>
      </c>
      <c r="C2376">
        <v>3911</v>
      </c>
      <c r="D2376">
        <v>55854014</v>
      </c>
      <c r="E2376">
        <v>1070489391880</v>
      </c>
      <c r="F2376">
        <v>18640</v>
      </c>
      <c r="G2376">
        <v>19000</v>
      </c>
      <c r="H2376">
        <v>19190</v>
      </c>
      <c r="I2376">
        <v>550</v>
      </c>
      <c r="J2376">
        <v>2.95</v>
      </c>
      <c r="K2376">
        <v>19170</v>
      </c>
      <c r="L2376">
        <v>530</v>
      </c>
      <c r="M2376">
        <v>2.84</v>
      </c>
      <c r="N2376">
        <v>18690</v>
      </c>
      <c r="O2376">
        <v>19190</v>
      </c>
      <c r="P2376">
        <v>2993</v>
      </c>
      <c r="Q2376">
        <v>6.4</v>
      </c>
      <c r="R2376">
        <v>17</v>
      </c>
      <c r="S2376">
        <v>424703</v>
      </c>
      <c r="T2376">
        <v>19190</v>
      </c>
      <c r="U2376">
        <v>19270</v>
      </c>
      <c r="V2376">
        <v>4000</v>
      </c>
      <c r="W2376">
        <v>1</v>
      </c>
      <c r="X2376" s="367"/>
    </row>
    <row r="2377" spans="1:24">
      <c r="A2377" t="s">
        <v>5722</v>
      </c>
      <c r="B2377" t="s">
        <v>5723</v>
      </c>
      <c r="C2377">
        <v>0</v>
      </c>
      <c r="D2377">
        <v>0</v>
      </c>
      <c r="E2377">
        <v>0</v>
      </c>
      <c r="F2377">
        <v>737900</v>
      </c>
      <c r="G2377">
        <v>0</v>
      </c>
      <c r="H2377">
        <v>737900</v>
      </c>
      <c r="I2377">
        <v>0</v>
      </c>
      <c r="J2377">
        <v>0</v>
      </c>
      <c r="K2377">
        <v>737900</v>
      </c>
      <c r="L2377">
        <v>0</v>
      </c>
      <c r="M2377">
        <v>0</v>
      </c>
      <c r="N2377">
        <v>0</v>
      </c>
      <c r="O2377">
        <v>0</v>
      </c>
      <c r="P2377" t="s">
        <v>192</v>
      </c>
      <c r="Q2377" t="s">
        <v>192</v>
      </c>
      <c r="R2377">
        <v>1</v>
      </c>
      <c r="S2377">
        <v>4500</v>
      </c>
      <c r="T2377">
        <v>721079</v>
      </c>
      <c r="U2377">
        <v>0</v>
      </c>
      <c r="V2377">
        <v>0</v>
      </c>
      <c r="W2377">
        <v>0</v>
      </c>
      <c r="X2377" s="367"/>
    </row>
    <row r="2378" spans="1:24">
      <c r="A2378" t="s">
        <v>2897</v>
      </c>
      <c r="B2378" t="s">
        <v>2896</v>
      </c>
      <c r="C2378">
        <v>217</v>
      </c>
      <c r="D2378">
        <v>7712774</v>
      </c>
      <c r="E2378">
        <v>105587876060</v>
      </c>
      <c r="F2378">
        <v>13300</v>
      </c>
      <c r="G2378">
        <v>13690</v>
      </c>
      <c r="H2378">
        <v>13690</v>
      </c>
      <c r="I2378">
        <v>390</v>
      </c>
      <c r="J2378">
        <v>2.93</v>
      </c>
      <c r="K2378">
        <v>13410</v>
      </c>
      <c r="L2378">
        <v>110</v>
      </c>
      <c r="M2378">
        <v>0.83</v>
      </c>
      <c r="N2378">
        <v>13690</v>
      </c>
      <c r="O2378">
        <v>13690</v>
      </c>
      <c r="P2378">
        <v>1728</v>
      </c>
      <c r="Q2378">
        <v>7.76</v>
      </c>
      <c r="R2378">
        <v>149</v>
      </c>
      <c r="S2378">
        <v>13445497</v>
      </c>
      <c r="T2378">
        <v>13690</v>
      </c>
      <c r="U2378">
        <v>0</v>
      </c>
      <c r="V2378">
        <v>0</v>
      </c>
      <c r="W2378">
        <v>0</v>
      </c>
      <c r="X2378" s="367"/>
    </row>
    <row r="2379" spans="1:24">
      <c r="A2379" t="s">
        <v>2527</v>
      </c>
      <c r="B2379" t="s">
        <v>2526</v>
      </c>
      <c r="C2379">
        <v>25</v>
      </c>
      <c r="D2379">
        <v>421105</v>
      </c>
      <c r="E2379">
        <v>5583852300</v>
      </c>
      <c r="F2379">
        <v>12880</v>
      </c>
      <c r="G2379">
        <v>13260</v>
      </c>
      <c r="H2379">
        <v>13260</v>
      </c>
      <c r="I2379">
        <v>380</v>
      </c>
      <c r="J2379">
        <v>2.95</v>
      </c>
      <c r="K2379">
        <v>13260</v>
      </c>
      <c r="L2379">
        <v>380</v>
      </c>
      <c r="M2379">
        <v>2.95</v>
      </c>
      <c r="N2379">
        <v>13260</v>
      </c>
      <c r="O2379">
        <v>13260</v>
      </c>
      <c r="P2379">
        <v>2172</v>
      </c>
      <c r="Q2379">
        <v>6.1</v>
      </c>
      <c r="R2379">
        <v>165</v>
      </c>
      <c r="S2379">
        <v>12434910</v>
      </c>
      <c r="T2379">
        <v>13260</v>
      </c>
      <c r="U2379">
        <v>0</v>
      </c>
      <c r="V2379">
        <v>0</v>
      </c>
      <c r="W2379">
        <v>0</v>
      </c>
      <c r="X2379" s="367"/>
    </row>
    <row r="2380" spans="1:24">
      <c r="A2380" t="s">
        <v>5724</v>
      </c>
      <c r="B2380" t="s">
        <v>5725</v>
      </c>
      <c r="C2380">
        <v>0</v>
      </c>
      <c r="D2380">
        <v>0</v>
      </c>
      <c r="E2380">
        <v>0</v>
      </c>
      <c r="F2380">
        <v>1000000</v>
      </c>
      <c r="G2380">
        <v>0</v>
      </c>
      <c r="H2380">
        <v>1000000</v>
      </c>
      <c r="I2380">
        <v>0</v>
      </c>
      <c r="J2380">
        <v>0</v>
      </c>
      <c r="K2380">
        <v>1000000</v>
      </c>
      <c r="L2380">
        <v>0</v>
      </c>
      <c r="M2380">
        <v>0</v>
      </c>
      <c r="N2380">
        <v>0</v>
      </c>
      <c r="O2380">
        <v>0</v>
      </c>
      <c r="P2380" t="s">
        <v>192</v>
      </c>
      <c r="Q2380" t="s">
        <v>192</v>
      </c>
      <c r="R2380">
        <v>1</v>
      </c>
      <c r="S2380">
        <v>5000</v>
      </c>
      <c r="T2380">
        <v>1000000</v>
      </c>
      <c r="U2380">
        <v>0</v>
      </c>
      <c r="V2380">
        <v>0</v>
      </c>
      <c r="W2380">
        <v>0</v>
      </c>
      <c r="X2380" s="367"/>
    </row>
    <row r="2381" spans="1:24">
      <c r="A2381" t="s">
        <v>5726</v>
      </c>
      <c r="B2381" t="s">
        <v>5727</v>
      </c>
      <c r="C2381">
        <v>16</v>
      </c>
      <c r="D2381">
        <v>109564</v>
      </c>
      <c r="E2381">
        <v>1308692041</v>
      </c>
      <c r="F2381">
        <v>11928</v>
      </c>
      <c r="G2381">
        <v>11945</v>
      </c>
      <c r="H2381">
        <v>11945</v>
      </c>
      <c r="I2381">
        <v>17</v>
      </c>
      <c r="J2381">
        <v>0.14000000000000001</v>
      </c>
      <c r="K2381">
        <v>11945</v>
      </c>
      <c r="L2381">
        <v>17</v>
      </c>
      <c r="M2381">
        <v>0.14000000000000001</v>
      </c>
      <c r="N2381">
        <v>11944</v>
      </c>
      <c r="O2381">
        <v>11945</v>
      </c>
      <c r="P2381" t="s">
        <v>192</v>
      </c>
      <c r="Q2381" t="s">
        <v>192</v>
      </c>
      <c r="R2381">
        <v>3</v>
      </c>
      <c r="S2381">
        <v>20950251</v>
      </c>
      <c r="T2381">
        <v>11944</v>
      </c>
      <c r="U2381">
        <v>11945</v>
      </c>
      <c r="V2381">
        <v>1941375</v>
      </c>
      <c r="W2381">
        <v>1</v>
      </c>
      <c r="X2381" s="367"/>
    </row>
    <row r="2382" spans="1:24">
      <c r="A2382" t="s">
        <v>3000</v>
      </c>
      <c r="B2382" t="s">
        <v>2999</v>
      </c>
      <c r="C2382">
        <v>971</v>
      </c>
      <c r="D2382">
        <v>132124426</v>
      </c>
      <c r="E2382">
        <v>236591622352</v>
      </c>
      <c r="F2382">
        <v>1741</v>
      </c>
      <c r="G2382">
        <v>1793</v>
      </c>
      <c r="H2382">
        <v>1793</v>
      </c>
      <c r="I2382">
        <v>52</v>
      </c>
      <c r="J2382">
        <v>2.99</v>
      </c>
      <c r="K2382">
        <v>1791</v>
      </c>
      <c r="L2382">
        <v>50</v>
      </c>
      <c r="M2382">
        <v>2.87</v>
      </c>
      <c r="N2382">
        <v>1755</v>
      </c>
      <c r="O2382">
        <v>1793</v>
      </c>
      <c r="P2382">
        <v>144</v>
      </c>
      <c r="Q2382">
        <v>12.44</v>
      </c>
      <c r="R2382">
        <v>3</v>
      </c>
      <c r="S2382">
        <v>122422</v>
      </c>
      <c r="T2382">
        <v>1790</v>
      </c>
      <c r="U2382">
        <v>0</v>
      </c>
      <c r="V2382">
        <v>0</v>
      </c>
      <c r="W2382">
        <v>0</v>
      </c>
      <c r="X2382" s="367"/>
    </row>
    <row r="2383" spans="1:24">
      <c r="A2383" t="s">
        <v>5728</v>
      </c>
      <c r="B2383" t="s">
        <v>5729</v>
      </c>
      <c r="C2383">
        <v>0</v>
      </c>
      <c r="D2383">
        <v>0</v>
      </c>
      <c r="E2383">
        <v>0</v>
      </c>
      <c r="F2383">
        <v>1000000</v>
      </c>
      <c r="G2383">
        <v>0</v>
      </c>
      <c r="H2383">
        <v>1000000</v>
      </c>
      <c r="I2383">
        <v>0</v>
      </c>
      <c r="J2383">
        <v>0</v>
      </c>
      <c r="K2383">
        <v>1000000</v>
      </c>
      <c r="L2383">
        <v>0</v>
      </c>
      <c r="M2383">
        <v>0</v>
      </c>
      <c r="N2383">
        <v>0</v>
      </c>
      <c r="O2383">
        <v>0</v>
      </c>
      <c r="P2383" t="s">
        <v>192</v>
      </c>
      <c r="Q2383" t="s">
        <v>192</v>
      </c>
      <c r="R2383">
        <v>1</v>
      </c>
      <c r="S2383">
        <v>15000</v>
      </c>
      <c r="T2383">
        <v>990000</v>
      </c>
      <c r="U2383">
        <v>1000000</v>
      </c>
      <c r="V2383">
        <v>15000</v>
      </c>
      <c r="W2383">
        <v>1</v>
      </c>
      <c r="X2383" s="367"/>
    </row>
    <row r="2384" spans="1:24">
      <c r="A2384" t="s">
        <v>5730</v>
      </c>
      <c r="B2384" t="s">
        <v>5731</v>
      </c>
      <c r="C2384">
        <v>0</v>
      </c>
      <c r="D2384">
        <v>0</v>
      </c>
      <c r="E2384">
        <v>0</v>
      </c>
      <c r="F2384">
        <v>983260</v>
      </c>
      <c r="G2384">
        <v>0</v>
      </c>
      <c r="H2384">
        <v>983260</v>
      </c>
      <c r="I2384">
        <v>0</v>
      </c>
      <c r="J2384">
        <v>0</v>
      </c>
      <c r="K2384">
        <v>983260</v>
      </c>
      <c r="L2384">
        <v>0</v>
      </c>
      <c r="M2384">
        <v>0</v>
      </c>
      <c r="N2384">
        <v>0</v>
      </c>
      <c r="O2384">
        <v>0</v>
      </c>
      <c r="P2384" t="s">
        <v>192</v>
      </c>
      <c r="Q2384" t="s">
        <v>192</v>
      </c>
      <c r="R2384">
        <v>1</v>
      </c>
      <c r="S2384">
        <v>10000</v>
      </c>
      <c r="T2384">
        <v>990000</v>
      </c>
      <c r="U2384">
        <v>1010000</v>
      </c>
      <c r="V2384">
        <v>10000</v>
      </c>
      <c r="W2384">
        <v>1</v>
      </c>
      <c r="X2384" s="367"/>
    </row>
    <row r="2385" spans="1:24">
      <c r="A2385" t="s">
        <v>163</v>
      </c>
      <c r="B2385" t="s">
        <v>162</v>
      </c>
      <c r="C2385">
        <v>2013</v>
      </c>
      <c r="D2385">
        <v>93001926</v>
      </c>
      <c r="E2385">
        <v>659035479130</v>
      </c>
      <c r="F2385">
        <v>6900</v>
      </c>
      <c r="G2385">
        <v>7100</v>
      </c>
      <c r="H2385">
        <v>7100</v>
      </c>
      <c r="I2385">
        <v>200</v>
      </c>
      <c r="J2385">
        <v>2.9</v>
      </c>
      <c r="K2385">
        <v>7090</v>
      </c>
      <c r="L2385">
        <v>190</v>
      </c>
      <c r="M2385">
        <v>2.75</v>
      </c>
      <c r="N2385">
        <v>6960</v>
      </c>
      <c r="O2385">
        <v>7100</v>
      </c>
      <c r="P2385">
        <v>841</v>
      </c>
      <c r="Q2385">
        <v>8.43</v>
      </c>
      <c r="R2385">
        <v>109</v>
      </c>
      <c r="S2385">
        <v>8565498</v>
      </c>
      <c r="T2385">
        <v>7100</v>
      </c>
      <c r="U2385">
        <v>0</v>
      </c>
      <c r="V2385">
        <v>0</v>
      </c>
      <c r="W2385">
        <v>0</v>
      </c>
      <c r="X2385" s="367"/>
    </row>
    <row r="2386" spans="1:24">
      <c r="A2386" t="s">
        <v>147</v>
      </c>
      <c r="B2386" t="s">
        <v>146</v>
      </c>
      <c r="C2386">
        <v>1149</v>
      </c>
      <c r="D2386">
        <v>7444900</v>
      </c>
      <c r="E2386">
        <v>215932090100</v>
      </c>
      <c r="F2386">
        <v>28170</v>
      </c>
      <c r="G2386">
        <v>29010</v>
      </c>
      <c r="H2386">
        <v>29010</v>
      </c>
      <c r="I2386">
        <v>840</v>
      </c>
      <c r="J2386">
        <v>2.98</v>
      </c>
      <c r="K2386">
        <v>29000</v>
      </c>
      <c r="L2386">
        <v>830</v>
      </c>
      <c r="M2386">
        <v>2.95</v>
      </c>
      <c r="N2386">
        <v>28820</v>
      </c>
      <c r="O2386">
        <v>29010</v>
      </c>
      <c r="P2386">
        <v>4878</v>
      </c>
      <c r="Q2386">
        <v>5.95</v>
      </c>
      <c r="R2386">
        <v>31</v>
      </c>
      <c r="S2386">
        <v>322312</v>
      </c>
      <c r="T2386">
        <v>29010</v>
      </c>
      <c r="U2386">
        <v>29290</v>
      </c>
      <c r="V2386">
        <v>30002</v>
      </c>
      <c r="W2386">
        <v>2</v>
      </c>
      <c r="X2386" s="367"/>
    </row>
    <row r="2387" spans="1:24">
      <c r="A2387" t="s">
        <v>5732</v>
      </c>
      <c r="B2387" t="s">
        <v>5733</v>
      </c>
      <c r="C2387">
        <v>560</v>
      </c>
      <c r="D2387">
        <v>4897849</v>
      </c>
      <c r="E2387">
        <v>90746299965</v>
      </c>
      <c r="F2387">
        <v>18596</v>
      </c>
      <c r="G2387">
        <v>18420</v>
      </c>
      <c r="H2387">
        <v>18460</v>
      </c>
      <c r="I2387">
        <v>-136</v>
      </c>
      <c r="J2387">
        <v>-0.73</v>
      </c>
      <c r="K2387">
        <v>18528</v>
      </c>
      <c r="L2387">
        <v>-68</v>
      </c>
      <c r="M2387">
        <v>-0.37</v>
      </c>
      <c r="N2387">
        <v>18420</v>
      </c>
      <c r="O2387">
        <v>18733</v>
      </c>
      <c r="P2387" t="s">
        <v>192</v>
      </c>
      <c r="Q2387" t="s">
        <v>192</v>
      </c>
      <c r="R2387">
        <v>5</v>
      </c>
      <c r="S2387">
        <v>26974</v>
      </c>
      <c r="T2387">
        <v>18460</v>
      </c>
      <c r="U2387">
        <v>18499</v>
      </c>
      <c r="V2387">
        <v>68058</v>
      </c>
      <c r="W2387">
        <v>7</v>
      </c>
      <c r="X2387" s="367"/>
    </row>
    <row r="2388" spans="1:24">
      <c r="A2388" t="s">
        <v>8858</v>
      </c>
      <c r="B2388" t="s">
        <v>1860</v>
      </c>
      <c r="C2388">
        <v>1</v>
      </c>
      <c r="D2388">
        <v>24000</v>
      </c>
      <c r="E2388">
        <v>33216000</v>
      </c>
      <c r="F2388">
        <v>1346</v>
      </c>
      <c r="G2388">
        <v>1384</v>
      </c>
      <c r="H2388">
        <v>1384</v>
      </c>
      <c r="I2388">
        <v>38</v>
      </c>
      <c r="J2388">
        <v>2.82</v>
      </c>
      <c r="K2388">
        <v>1384</v>
      </c>
      <c r="L2388">
        <v>38</v>
      </c>
      <c r="M2388">
        <v>2.82</v>
      </c>
      <c r="N2388">
        <v>1384</v>
      </c>
      <c r="O2388">
        <v>1384</v>
      </c>
      <c r="P2388">
        <v>865</v>
      </c>
      <c r="Q2388">
        <v>1.6</v>
      </c>
      <c r="R2388">
        <v>4</v>
      </c>
      <c r="S2388">
        <v>83700</v>
      </c>
      <c r="T2388">
        <v>1384</v>
      </c>
      <c r="U2388">
        <v>0</v>
      </c>
      <c r="V2388">
        <v>0</v>
      </c>
      <c r="W2388">
        <v>0</v>
      </c>
      <c r="X2388" s="367"/>
    </row>
    <row r="2389" spans="1:24">
      <c r="A2389" t="s">
        <v>1898</v>
      </c>
      <c r="B2389" t="s">
        <v>1897</v>
      </c>
      <c r="C2389">
        <v>9</v>
      </c>
      <c r="D2389">
        <v>69997</v>
      </c>
      <c r="E2389">
        <v>880562260</v>
      </c>
      <c r="F2389">
        <v>12220</v>
      </c>
      <c r="G2389">
        <v>12580</v>
      </c>
      <c r="H2389">
        <v>12580</v>
      </c>
      <c r="I2389">
        <v>360</v>
      </c>
      <c r="J2389">
        <v>2.95</v>
      </c>
      <c r="K2389">
        <v>12580</v>
      </c>
      <c r="L2389">
        <v>360</v>
      </c>
      <c r="M2389">
        <v>2.95</v>
      </c>
      <c r="N2389">
        <v>12580</v>
      </c>
      <c r="O2389">
        <v>12580</v>
      </c>
      <c r="P2389">
        <v>248</v>
      </c>
      <c r="Q2389">
        <v>50.73</v>
      </c>
      <c r="R2389">
        <v>1</v>
      </c>
      <c r="S2389">
        <v>43000</v>
      </c>
      <c r="T2389">
        <v>12110</v>
      </c>
      <c r="U2389">
        <v>12580</v>
      </c>
      <c r="V2389">
        <v>125947</v>
      </c>
      <c r="W2389">
        <v>5</v>
      </c>
      <c r="X2389" s="367"/>
    </row>
    <row r="2390" spans="1:24">
      <c r="A2390" t="s">
        <v>5734</v>
      </c>
      <c r="B2390" t="s">
        <v>5735</v>
      </c>
      <c r="C2390">
        <v>0</v>
      </c>
      <c r="D2390">
        <v>0</v>
      </c>
      <c r="E2390">
        <v>0</v>
      </c>
      <c r="F2390">
        <v>902500</v>
      </c>
      <c r="G2390">
        <v>0</v>
      </c>
      <c r="H2390">
        <v>902500</v>
      </c>
      <c r="I2390">
        <v>0</v>
      </c>
      <c r="J2390">
        <v>0</v>
      </c>
      <c r="K2390">
        <v>902500</v>
      </c>
      <c r="L2390">
        <v>0</v>
      </c>
      <c r="M2390">
        <v>0</v>
      </c>
      <c r="N2390">
        <v>0</v>
      </c>
      <c r="O2390">
        <v>0</v>
      </c>
      <c r="P2390" t="s">
        <v>192</v>
      </c>
      <c r="Q2390" t="s">
        <v>192</v>
      </c>
      <c r="R2390">
        <v>1</v>
      </c>
      <c r="S2390">
        <v>5000</v>
      </c>
      <c r="T2390">
        <v>902500</v>
      </c>
      <c r="U2390">
        <v>911500</v>
      </c>
      <c r="V2390">
        <v>5000</v>
      </c>
      <c r="W2390">
        <v>1</v>
      </c>
      <c r="X2390" s="367"/>
    </row>
    <row r="2391" spans="1:24">
      <c r="A2391" t="s">
        <v>3022</v>
      </c>
      <c r="B2391" t="s">
        <v>3021</v>
      </c>
      <c r="C2391">
        <v>26</v>
      </c>
      <c r="D2391">
        <v>116503</v>
      </c>
      <c r="E2391">
        <v>2792576910</v>
      </c>
      <c r="F2391">
        <v>23280</v>
      </c>
      <c r="G2391">
        <v>23970</v>
      </c>
      <c r="H2391">
        <v>23970</v>
      </c>
      <c r="I2391">
        <v>690</v>
      </c>
      <c r="J2391">
        <v>2.96</v>
      </c>
      <c r="K2391">
        <v>23970</v>
      </c>
      <c r="L2391">
        <v>690</v>
      </c>
      <c r="M2391">
        <v>2.96</v>
      </c>
      <c r="N2391">
        <v>23970</v>
      </c>
      <c r="O2391">
        <v>23970</v>
      </c>
      <c r="P2391">
        <v>-28</v>
      </c>
      <c r="Q2391">
        <v>-856.07</v>
      </c>
      <c r="R2391">
        <v>26</v>
      </c>
      <c r="S2391">
        <v>1757604</v>
      </c>
      <c r="T2391">
        <v>23970</v>
      </c>
      <c r="U2391">
        <v>0</v>
      </c>
      <c r="V2391">
        <v>0</v>
      </c>
      <c r="W2391">
        <v>0</v>
      </c>
      <c r="X2391" s="367"/>
    </row>
    <row r="2392" spans="1:24">
      <c r="A2392" t="s">
        <v>5736</v>
      </c>
      <c r="B2392" t="s">
        <v>5737</v>
      </c>
      <c r="C2392">
        <v>0</v>
      </c>
      <c r="D2392">
        <v>0</v>
      </c>
      <c r="E2392">
        <v>0</v>
      </c>
      <c r="F2392">
        <v>1000000</v>
      </c>
      <c r="G2392">
        <v>0</v>
      </c>
      <c r="H2392">
        <v>1000000</v>
      </c>
      <c r="I2392">
        <v>0</v>
      </c>
      <c r="J2392">
        <v>0</v>
      </c>
      <c r="K2392">
        <v>1000000</v>
      </c>
      <c r="L2392">
        <v>0</v>
      </c>
      <c r="M2392">
        <v>0</v>
      </c>
      <c r="N2392">
        <v>0</v>
      </c>
      <c r="O2392">
        <v>0</v>
      </c>
      <c r="P2392" t="s">
        <v>192</v>
      </c>
      <c r="Q2392" t="s">
        <v>192</v>
      </c>
      <c r="R2392">
        <v>1</v>
      </c>
      <c r="S2392">
        <v>12500</v>
      </c>
      <c r="T2392">
        <v>990000</v>
      </c>
      <c r="U2392">
        <v>1000000</v>
      </c>
      <c r="V2392">
        <v>12500</v>
      </c>
      <c r="W2392">
        <v>1</v>
      </c>
      <c r="X2392" s="367"/>
    </row>
    <row r="2393" spans="1:24">
      <c r="A2393" t="s">
        <v>5738</v>
      </c>
      <c r="B2393" t="s">
        <v>5739</v>
      </c>
      <c r="C2393">
        <v>2282</v>
      </c>
      <c r="D2393">
        <v>358616157</v>
      </c>
      <c r="E2393">
        <v>16160861465793</v>
      </c>
      <c r="F2393">
        <v>44932</v>
      </c>
      <c r="G2393">
        <v>45037</v>
      </c>
      <c r="H2393">
        <v>45038</v>
      </c>
      <c r="I2393">
        <v>106</v>
      </c>
      <c r="J2393">
        <v>0.24</v>
      </c>
      <c r="K2393">
        <v>45065</v>
      </c>
      <c r="L2393">
        <v>133</v>
      </c>
      <c r="M2393">
        <v>0.3</v>
      </c>
      <c r="N2393">
        <v>45017</v>
      </c>
      <c r="O2393">
        <v>45140</v>
      </c>
      <c r="P2393" t="s">
        <v>192</v>
      </c>
      <c r="Q2393" t="s">
        <v>192</v>
      </c>
      <c r="R2393">
        <v>14</v>
      </c>
      <c r="S2393">
        <v>318782382</v>
      </c>
      <c r="T2393">
        <v>45037</v>
      </c>
      <c r="U2393">
        <v>45038</v>
      </c>
      <c r="V2393">
        <v>3712349</v>
      </c>
      <c r="W2393">
        <v>4</v>
      </c>
      <c r="X2393" s="367"/>
    </row>
    <row r="2394" spans="1:24">
      <c r="A2394" t="s">
        <v>5740</v>
      </c>
      <c r="B2394" t="s">
        <v>5112</v>
      </c>
      <c r="C2394">
        <v>64</v>
      </c>
      <c r="D2394">
        <v>20475224</v>
      </c>
      <c r="E2394">
        <v>249288853394</v>
      </c>
      <c r="F2394">
        <v>12157</v>
      </c>
      <c r="G2394">
        <v>12175</v>
      </c>
      <c r="H2394">
        <v>12176</v>
      </c>
      <c r="I2394">
        <v>19</v>
      </c>
      <c r="J2394">
        <v>0.16</v>
      </c>
      <c r="K2394">
        <v>12175</v>
      </c>
      <c r="L2394">
        <v>18</v>
      </c>
      <c r="M2394">
        <v>0.15</v>
      </c>
      <c r="N2394">
        <v>12175</v>
      </c>
      <c r="O2394">
        <v>12176</v>
      </c>
      <c r="P2394" t="s">
        <v>192</v>
      </c>
      <c r="Q2394" t="s">
        <v>192</v>
      </c>
      <c r="R2394">
        <v>2</v>
      </c>
      <c r="S2394">
        <v>70000156</v>
      </c>
      <c r="T2394">
        <v>12175</v>
      </c>
      <c r="U2394">
        <v>12176</v>
      </c>
      <c r="V2394">
        <v>9999900</v>
      </c>
      <c r="W2394">
        <v>1</v>
      </c>
      <c r="X2394" s="367"/>
    </row>
    <row r="2395" spans="1:24">
      <c r="A2395" t="s">
        <v>5741</v>
      </c>
      <c r="B2395" t="s">
        <v>5742</v>
      </c>
      <c r="C2395">
        <v>0</v>
      </c>
      <c r="D2395">
        <v>0</v>
      </c>
      <c r="E2395">
        <v>0</v>
      </c>
      <c r="F2395">
        <v>995000</v>
      </c>
      <c r="G2395">
        <v>0</v>
      </c>
      <c r="H2395">
        <v>995000</v>
      </c>
      <c r="I2395">
        <v>0</v>
      </c>
      <c r="J2395">
        <v>0</v>
      </c>
      <c r="K2395">
        <v>995000</v>
      </c>
      <c r="L2395">
        <v>0</v>
      </c>
      <c r="M2395">
        <v>0</v>
      </c>
      <c r="N2395">
        <v>0</v>
      </c>
      <c r="O2395">
        <v>0</v>
      </c>
      <c r="P2395" t="s">
        <v>192</v>
      </c>
      <c r="Q2395" t="s">
        <v>192</v>
      </c>
      <c r="R2395">
        <v>1</v>
      </c>
      <c r="S2395">
        <v>4800</v>
      </c>
      <c r="T2395">
        <v>995000</v>
      </c>
      <c r="U2395">
        <v>1004000</v>
      </c>
      <c r="V2395">
        <v>4800</v>
      </c>
      <c r="W2395">
        <v>1</v>
      </c>
      <c r="X2395" s="367"/>
    </row>
    <row r="2396" spans="1:24">
      <c r="A2396" t="s">
        <v>2994</v>
      </c>
      <c r="B2396" t="s">
        <v>2993</v>
      </c>
      <c r="C2396">
        <v>292</v>
      </c>
      <c r="D2396">
        <v>24316486</v>
      </c>
      <c r="E2396">
        <v>121825594860</v>
      </c>
      <c r="F2396">
        <v>4870</v>
      </c>
      <c r="G2396">
        <v>5010</v>
      </c>
      <c r="H2396">
        <v>5010</v>
      </c>
      <c r="I2396">
        <v>140</v>
      </c>
      <c r="J2396">
        <v>2.87</v>
      </c>
      <c r="K2396">
        <v>5010</v>
      </c>
      <c r="L2396">
        <v>140</v>
      </c>
      <c r="M2396">
        <v>2.87</v>
      </c>
      <c r="N2396">
        <v>5010</v>
      </c>
      <c r="O2396">
        <v>5010</v>
      </c>
      <c r="P2396">
        <v>218</v>
      </c>
      <c r="Q2396">
        <v>22.98</v>
      </c>
      <c r="R2396">
        <v>143</v>
      </c>
      <c r="S2396">
        <v>28323618</v>
      </c>
      <c r="T2396">
        <v>5010</v>
      </c>
      <c r="U2396">
        <v>5610</v>
      </c>
      <c r="V2396">
        <v>134144</v>
      </c>
      <c r="W2396">
        <v>2</v>
      </c>
      <c r="X2396" s="367"/>
    </row>
    <row r="2397" spans="1:24">
      <c r="A2397" t="s">
        <v>5743</v>
      </c>
      <c r="B2397" t="s">
        <v>5744</v>
      </c>
      <c r="C2397">
        <v>0</v>
      </c>
      <c r="D2397">
        <v>0</v>
      </c>
      <c r="E2397">
        <v>0</v>
      </c>
      <c r="F2397">
        <v>1000000</v>
      </c>
      <c r="G2397">
        <v>0</v>
      </c>
      <c r="H2397">
        <v>1000000</v>
      </c>
      <c r="I2397">
        <v>0</v>
      </c>
      <c r="J2397">
        <v>0</v>
      </c>
      <c r="K2397">
        <v>1000000</v>
      </c>
      <c r="L2397">
        <v>0</v>
      </c>
      <c r="M2397">
        <v>0</v>
      </c>
      <c r="N2397">
        <v>0</v>
      </c>
      <c r="O2397">
        <v>0</v>
      </c>
      <c r="P2397" t="s">
        <v>192</v>
      </c>
      <c r="Q2397" t="s">
        <v>192</v>
      </c>
      <c r="R2397">
        <v>1</v>
      </c>
      <c r="S2397">
        <v>10000</v>
      </c>
      <c r="T2397">
        <v>1000000</v>
      </c>
      <c r="U2397">
        <v>1010000</v>
      </c>
      <c r="V2397">
        <v>10000</v>
      </c>
      <c r="W2397">
        <v>1</v>
      </c>
      <c r="X2397" s="367"/>
    </row>
    <row r="2398" spans="1:24">
      <c r="A2398" t="s">
        <v>5745</v>
      </c>
      <c r="B2398" t="s">
        <v>3388</v>
      </c>
      <c r="C2398">
        <v>2</v>
      </c>
      <c r="D2398">
        <v>1200000</v>
      </c>
      <c r="E2398">
        <v>1200000</v>
      </c>
      <c r="F2398">
        <v>65482</v>
      </c>
      <c r="G2398">
        <v>1</v>
      </c>
      <c r="H2398">
        <v>1</v>
      </c>
      <c r="I2398">
        <v>-65481</v>
      </c>
      <c r="J2398">
        <v>-100</v>
      </c>
      <c r="K2398">
        <v>1</v>
      </c>
      <c r="L2398">
        <v>-65481</v>
      </c>
      <c r="M2398">
        <v>-100</v>
      </c>
      <c r="N2398">
        <v>1</v>
      </c>
      <c r="O2398">
        <v>1</v>
      </c>
      <c r="P2398" t="s">
        <v>192</v>
      </c>
      <c r="Q2398" t="s">
        <v>192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 s="367"/>
    </row>
    <row r="2399" spans="1:24">
      <c r="A2399" t="s">
        <v>5746</v>
      </c>
      <c r="B2399" t="s">
        <v>5747</v>
      </c>
      <c r="C2399">
        <v>0</v>
      </c>
      <c r="D2399">
        <v>0</v>
      </c>
      <c r="E2399">
        <v>0</v>
      </c>
      <c r="F2399">
        <v>1004700</v>
      </c>
      <c r="G2399">
        <v>0</v>
      </c>
      <c r="H2399">
        <v>1004700</v>
      </c>
      <c r="I2399">
        <v>0</v>
      </c>
      <c r="J2399">
        <v>0</v>
      </c>
      <c r="K2399">
        <v>1004700</v>
      </c>
      <c r="L2399">
        <v>0</v>
      </c>
      <c r="M2399">
        <v>0</v>
      </c>
      <c r="N2399">
        <v>0</v>
      </c>
      <c r="O2399">
        <v>0</v>
      </c>
      <c r="P2399" t="s">
        <v>192</v>
      </c>
      <c r="Q2399" t="s">
        <v>192</v>
      </c>
      <c r="R2399">
        <v>1</v>
      </c>
      <c r="S2399">
        <v>5000</v>
      </c>
      <c r="T2399">
        <v>995000</v>
      </c>
      <c r="U2399">
        <v>1004950</v>
      </c>
      <c r="V2399">
        <v>5000</v>
      </c>
      <c r="W2399">
        <v>1</v>
      </c>
      <c r="X2399" s="367"/>
    </row>
    <row r="2400" spans="1:24">
      <c r="A2400" t="s">
        <v>2646</v>
      </c>
      <c r="B2400" t="s">
        <v>2645</v>
      </c>
      <c r="C2400">
        <v>775</v>
      </c>
      <c r="D2400">
        <v>26409251</v>
      </c>
      <c r="E2400">
        <v>74001011533</v>
      </c>
      <c r="F2400">
        <v>2733</v>
      </c>
      <c r="G2400">
        <v>2814</v>
      </c>
      <c r="H2400">
        <v>2814</v>
      </c>
      <c r="I2400">
        <v>81</v>
      </c>
      <c r="J2400">
        <v>2.96</v>
      </c>
      <c r="K2400">
        <v>2802</v>
      </c>
      <c r="L2400">
        <v>69</v>
      </c>
      <c r="M2400">
        <v>2.52</v>
      </c>
      <c r="N2400">
        <v>2740</v>
      </c>
      <c r="O2400">
        <v>2814</v>
      </c>
      <c r="P2400">
        <v>119</v>
      </c>
      <c r="Q2400">
        <v>23.55</v>
      </c>
      <c r="R2400">
        <v>1</v>
      </c>
      <c r="S2400">
        <v>5000</v>
      </c>
      <c r="T2400">
        <v>2801</v>
      </c>
      <c r="U2400">
        <v>0</v>
      </c>
      <c r="V2400">
        <v>0</v>
      </c>
      <c r="W2400">
        <v>0</v>
      </c>
      <c r="X2400" s="367"/>
    </row>
    <row r="2401" spans="1:24">
      <c r="A2401" t="s">
        <v>2771</v>
      </c>
      <c r="B2401" t="s">
        <v>2770</v>
      </c>
      <c r="C2401">
        <v>92</v>
      </c>
      <c r="D2401">
        <v>2365796</v>
      </c>
      <c r="E2401">
        <v>20583345900</v>
      </c>
      <c r="F2401">
        <v>8460</v>
      </c>
      <c r="G2401">
        <v>8710</v>
      </c>
      <c r="H2401">
        <v>8710</v>
      </c>
      <c r="I2401">
        <v>250</v>
      </c>
      <c r="J2401">
        <v>2.96</v>
      </c>
      <c r="K2401">
        <v>8700</v>
      </c>
      <c r="L2401">
        <v>240</v>
      </c>
      <c r="M2401">
        <v>2.84</v>
      </c>
      <c r="N2401">
        <v>8630</v>
      </c>
      <c r="O2401">
        <v>8710</v>
      </c>
      <c r="P2401">
        <v>262</v>
      </c>
      <c r="Q2401">
        <v>33.21</v>
      </c>
      <c r="R2401">
        <v>8</v>
      </c>
      <c r="S2401">
        <v>115000</v>
      </c>
      <c r="T2401">
        <v>8710</v>
      </c>
      <c r="U2401">
        <v>0</v>
      </c>
      <c r="V2401">
        <v>0</v>
      </c>
      <c r="W2401">
        <v>0</v>
      </c>
      <c r="X2401" s="367"/>
    </row>
    <row r="2402" spans="1:24">
      <c r="A2402" t="s">
        <v>3034</v>
      </c>
      <c r="B2402" t="s">
        <v>3033</v>
      </c>
      <c r="C2402">
        <v>150</v>
      </c>
      <c r="D2402">
        <v>4179487</v>
      </c>
      <c r="E2402">
        <v>15589918930</v>
      </c>
      <c r="F2402">
        <v>3670</v>
      </c>
      <c r="G2402">
        <v>3670</v>
      </c>
      <c r="H2402">
        <v>3730</v>
      </c>
      <c r="I2402">
        <v>60</v>
      </c>
      <c r="J2402">
        <v>1.63</v>
      </c>
      <c r="K2402">
        <v>3730</v>
      </c>
      <c r="L2402">
        <v>60</v>
      </c>
      <c r="M2402">
        <v>1.63</v>
      </c>
      <c r="N2402">
        <v>3660</v>
      </c>
      <c r="O2402">
        <v>3780</v>
      </c>
      <c r="P2402">
        <v>460</v>
      </c>
      <c r="Q2402">
        <v>8.11</v>
      </c>
      <c r="R2402">
        <v>1</v>
      </c>
      <c r="S2402">
        <v>38696</v>
      </c>
      <c r="T2402">
        <v>3730</v>
      </c>
      <c r="U2402">
        <v>3770</v>
      </c>
      <c r="V2402">
        <v>48335</v>
      </c>
      <c r="W2402">
        <v>1</v>
      </c>
      <c r="X2402" s="367"/>
    </row>
    <row r="2403" spans="1:24">
      <c r="A2403" t="s">
        <v>5748</v>
      </c>
      <c r="B2403" t="s">
        <v>5749</v>
      </c>
      <c r="C2403">
        <v>238</v>
      </c>
      <c r="D2403">
        <v>19462818</v>
      </c>
      <c r="E2403">
        <v>326717518539</v>
      </c>
      <c r="F2403">
        <v>16299</v>
      </c>
      <c r="G2403">
        <v>16787</v>
      </c>
      <c r="H2403">
        <v>16787</v>
      </c>
      <c r="I2403">
        <v>488</v>
      </c>
      <c r="J2403">
        <v>2.99</v>
      </c>
      <c r="K2403">
        <v>16787</v>
      </c>
      <c r="L2403">
        <v>488</v>
      </c>
      <c r="M2403">
        <v>2.99</v>
      </c>
      <c r="N2403">
        <v>16703</v>
      </c>
      <c r="O2403">
        <v>16787</v>
      </c>
      <c r="P2403" t="s">
        <v>192</v>
      </c>
      <c r="Q2403" t="s">
        <v>192</v>
      </c>
      <c r="R2403">
        <v>3</v>
      </c>
      <c r="S2403">
        <v>14134</v>
      </c>
      <c r="T2403">
        <v>16787</v>
      </c>
      <c r="U2403">
        <v>0</v>
      </c>
      <c r="V2403">
        <v>0</v>
      </c>
      <c r="W2403">
        <v>0</v>
      </c>
      <c r="X2403" s="367"/>
    </row>
    <row r="2404" spans="1:24">
      <c r="A2404" t="s">
        <v>5750</v>
      </c>
      <c r="B2404" t="s">
        <v>5751</v>
      </c>
      <c r="C2404">
        <v>0</v>
      </c>
      <c r="D2404">
        <v>0</v>
      </c>
      <c r="E2404">
        <v>0</v>
      </c>
      <c r="F2404">
        <v>869230</v>
      </c>
      <c r="G2404">
        <v>0</v>
      </c>
      <c r="H2404">
        <v>869230</v>
      </c>
      <c r="I2404">
        <v>0</v>
      </c>
      <c r="J2404">
        <v>0</v>
      </c>
      <c r="K2404">
        <v>869230</v>
      </c>
      <c r="L2404">
        <v>0</v>
      </c>
      <c r="M2404">
        <v>0</v>
      </c>
      <c r="N2404">
        <v>0</v>
      </c>
      <c r="O2404">
        <v>0</v>
      </c>
      <c r="P2404" t="s">
        <v>192</v>
      </c>
      <c r="Q2404" t="s">
        <v>192</v>
      </c>
      <c r="R2404">
        <v>1</v>
      </c>
      <c r="S2404">
        <v>5000</v>
      </c>
      <c r="T2404">
        <v>861410</v>
      </c>
      <c r="U2404">
        <v>869230</v>
      </c>
      <c r="V2404">
        <v>148</v>
      </c>
      <c r="W2404">
        <v>1</v>
      </c>
      <c r="X2404" s="367"/>
    </row>
    <row r="2405" spans="1:24">
      <c r="A2405" t="s">
        <v>6480</v>
      </c>
      <c r="B2405" t="s">
        <v>6481</v>
      </c>
      <c r="C2405">
        <v>104</v>
      </c>
      <c r="D2405">
        <v>20721991</v>
      </c>
      <c r="E2405">
        <v>36657202079</v>
      </c>
      <c r="F2405">
        <v>1718</v>
      </c>
      <c r="G2405">
        <v>1769</v>
      </c>
      <c r="H2405">
        <v>1769</v>
      </c>
      <c r="I2405">
        <v>51</v>
      </c>
      <c r="J2405">
        <v>2.97</v>
      </c>
      <c r="K2405">
        <v>1769</v>
      </c>
      <c r="L2405">
        <v>51</v>
      </c>
      <c r="M2405">
        <v>2.97</v>
      </c>
      <c r="N2405">
        <v>1769</v>
      </c>
      <c r="O2405">
        <v>1769</v>
      </c>
      <c r="P2405" t="s">
        <v>192</v>
      </c>
      <c r="Q2405" t="s">
        <v>192</v>
      </c>
      <c r="R2405">
        <v>1</v>
      </c>
      <c r="S2405">
        <v>20000</v>
      </c>
      <c r="T2405">
        <v>1753</v>
      </c>
      <c r="U2405">
        <v>1769</v>
      </c>
      <c r="V2405">
        <v>278009</v>
      </c>
      <c r="W2405">
        <v>1</v>
      </c>
      <c r="X2405" s="367"/>
    </row>
    <row r="2406" spans="1:24">
      <c r="A2406" t="s">
        <v>2497</v>
      </c>
      <c r="B2406" t="s">
        <v>2496</v>
      </c>
      <c r="C2406">
        <v>283</v>
      </c>
      <c r="D2406">
        <v>7591957</v>
      </c>
      <c r="E2406">
        <v>40232882520</v>
      </c>
      <c r="F2406">
        <v>5360</v>
      </c>
      <c r="G2406">
        <v>5520</v>
      </c>
      <c r="H2406">
        <v>5240</v>
      </c>
      <c r="I2406">
        <v>-120</v>
      </c>
      <c r="J2406">
        <v>-2.2400000000000002</v>
      </c>
      <c r="K2406">
        <v>5300</v>
      </c>
      <c r="L2406">
        <v>-60</v>
      </c>
      <c r="M2406">
        <v>-1.1200000000000001</v>
      </c>
      <c r="N2406">
        <v>5200</v>
      </c>
      <c r="O2406">
        <v>5520</v>
      </c>
      <c r="P2406">
        <v>-69</v>
      </c>
      <c r="Q2406">
        <v>-76.81</v>
      </c>
      <c r="R2406">
        <v>1</v>
      </c>
      <c r="S2406">
        <v>300000</v>
      </c>
      <c r="T2406">
        <v>5230</v>
      </c>
      <c r="U2406">
        <v>5310</v>
      </c>
      <c r="V2406">
        <v>7201</v>
      </c>
      <c r="W2406">
        <v>1</v>
      </c>
      <c r="X2406" s="367"/>
    </row>
    <row r="2407" spans="1:24">
      <c r="A2407" t="s">
        <v>2080</v>
      </c>
      <c r="B2407" t="s">
        <v>2079</v>
      </c>
      <c r="C2407">
        <v>837</v>
      </c>
      <c r="D2407">
        <v>261803570</v>
      </c>
      <c r="E2407">
        <v>593508693190</v>
      </c>
      <c r="F2407">
        <v>2201</v>
      </c>
      <c r="G2407">
        <v>2267</v>
      </c>
      <c r="H2407">
        <v>2267</v>
      </c>
      <c r="I2407">
        <v>66</v>
      </c>
      <c r="J2407">
        <v>3</v>
      </c>
      <c r="K2407">
        <v>2267</v>
      </c>
      <c r="L2407">
        <v>66</v>
      </c>
      <c r="M2407">
        <v>3</v>
      </c>
      <c r="N2407">
        <v>2267</v>
      </c>
      <c r="O2407">
        <v>2267</v>
      </c>
      <c r="P2407">
        <v>560</v>
      </c>
      <c r="Q2407">
        <v>4.05</v>
      </c>
      <c r="R2407">
        <v>377</v>
      </c>
      <c r="S2407">
        <v>126267048</v>
      </c>
      <c r="T2407">
        <v>2267</v>
      </c>
      <c r="U2407">
        <v>3410</v>
      </c>
      <c r="V2407">
        <v>60113</v>
      </c>
      <c r="W2407">
        <v>1</v>
      </c>
      <c r="X2407" s="367"/>
    </row>
    <row r="2408" spans="1:24">
      <c r="A2408" t="s">
        <v>5752</v>
      </c>
      <c r="B2408" t="s">
        <v>5753</v>
      </c>
      <c r="C2408">
        <v>0</v>
      </c>
      <c r="D2408">
        <v>0</v>
      </c>
      <c r="E2408">
        <v>0</v>
      </c>
      <c r="F2408">
        <v>1000000</v>
      </c>
      <c r="G2408">
        <v>0</v>
      </c>
      <c r="H2408">
        <v>1000000</v>
      </c>
      <c r="I2408">
        <v>0</v>
      </c>
      <c r="J2408">
        <v>0</v>
      </c>
      <c r="K2408">
        <v>1000000</v>
      </c>
      <c r="L2408">
        <v>0</v>
      </c>
      <c r="M2408">
        <v>0</v>
      </c>
      <c r="N2408">
        <v>0</v>
      </c>
      <c r="O2408">
        <v>0</v>
      </c>
      <c r="P2408" t="s">
        <v>192</v>
      </c>
      <c r="Q2408" t="s">
        <v>192</v>
      </c>
      <c r="R2408">
        <v>1</v>
      </c>
      <c r="S2408">
        <v>2000</v>
      </c>
      <c r="T2408">
        <v>990000</v>
      </c>
      <c r="U2408">
        <v>1000000</v>
      </c>
      <c r="V2408">
        <v>2000</v>
      </c>
      <c r="W2408">
        <v>1</v>
      </c>
      <c r="X2408" s="367"/>
    </row>
    <row r="2409" spans="1:24">
      <c r="A2409" t="s">
        <v>5754</v>
      </c>
      <c r="B2409" t="s">
        <v>5755</v>
      </c>
      <c r="C2409">
        <v>0</v>
      </c>
      <c r="D2409">
        <v>0</v>
      </c>
      <c r="E2409">
        <v>0</v>
      </c>
      <c r="F2409">
        <v>1000000</v>
      </c>
      <c r="G2409">
        <v>0</v>
      </c>
      <c r="H2409">
        <v>1000000</v>
      </c>
      <c r="I2409">
        <v>0</v>
      </c>
      <c r="J2409">
        <v>0</v>
      </c>
      <c r="K2409">
        <v>1000000</v>
      </c>
      <c r="L2409">
        <v>0</v>
      </c>
      <c r="M2409">
        <v>0</v>
      </c>
      <c r="N2409">
        <v>0</v>
      </c>
      <c r="O2409">
        <v>0</v>
      </c>
      <c r="P2409" t="s">
        <v>192</v>
      </c>
      <c r="Q2409" t="s">
        <v>192</v>
      </c>
      <c r="R2409">
        <v>1</v>
      </c>
      <c r="S2409">
        <v>10000</v>
      </c>
      <c r="T2409">
        <v>970000</v>
      </c>
      <c r="U2409">
        <v>0</v>
      </c>
      <c r="V2409">
        <v>0</v>
      </c>
      <c r="W2409">
        <v>0</v>
      </c>
      <c r="X2409" s="367"/>
    </row>
    <row r="2410" spans="1:24">
      <c r="A2410" t="s">
        <v>8703</v>
      </c>
      <c r="B2410" t="s">
        <v>5966</v>
      </c>
      <c r="C2410">
        <v>1</v>
      </c>
      <c r="D2410">
        <v>400000</v>
      </c>
      <c r="E2410">
        <v>400000</v>
      </c>
      <c r="F2410">
        <v>12188</v>
      </c>
      <c r="G2410">
        <v>1</v>
      </c>
      <c r="H2410">
        <v>1</v>
      </c>
      <c r="I2410">
        <v>-12187</v>
      </c>
      <c r="J2410">
        <v>-99.99</v>
      </c>
      <c r="K2410">
        <v>1</v>
      </c>
      <c r="L2410">
        <v>-12187</v>
      </c>
      <c r="M2410">
        <v>-99.99</v>
      </c>
      <c r="N2410">
        <v>1</v>
      </c>
      <c r="O2410">
        <v>1</v>
      </c>
      <c r="P2410" t="s">
        <v>192</v>
      </c>
      <c r="Q2410" t="s">
        <v>192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 s="367"/>
    </row>
    <row r="2411" spans="1:24">
      <c r="A2411" t="s">
        <v>5756</v>
      </c>
      <c r="B2411" t="s">
        <v>5757</v>
      </c>
      <c r="C2411">
        <v>0</v>
      </c>
      <c r="D2411">
        <v>0</v>
      </c>
      <c r="E2411">
        <v>0</v>
      </c>
      <c r="F2411">
        <v>1000000</v>
      </c>
      <c r="G2411">
        <v>0</v>
      </c>
      <c r="H2411">
        <v>1000000</v>
      </c>
      <c r="I2411">
        <v>0</v>
      </c>
      <c r="J2411">
        <v>0</v>
      </c>
      <c r="K2411">
        <v>1000000</v>
      </c>
      <c r="L2411">
        <v>0</v>
      </c>
      <c r="M2411">
        <v>0</v>
      </c>
      <c r="N2411">
        <v>0</v>
      </c>
      <c r="O2411">
        <v>0</v>
      </c>
      <c r="P2411" t="s">
        <v>192</v>
      </c>
      <c r="Q2411" t="s">
        <v>192</v>
      </c>
      <c r="R2411">
        <v>1</v>
      </c>
      <c r="S2411">
        <v>5000</v>
      </c>
      <c r="T2411">
        <v>1000000</v>
      </c>
      <c r="U2411">
        <v>0</v>
      </c>
      <c r="V2411">
        <v>0</v>
      </c>
      <c r="W2411">
        <v>0</v>
      </c>
      <c r="X2411" s="367"/>
    </row>
    <row r="2412" spans="1:24">
      <c r="A2412" t="s">
        <v>5759</v>
      </c>
      <c r="B2412" t="s">
        <v>5760</v>
      </c>
      <c r="C2412">
        <v>0</v>
      </c>
      <c r="D2412">
        <v>0</v>
      </c>
      <c r="E2412">
        <v>0</v>
      </c>
      <c r="F2412">
        <v>921500</v>
      </c>
      <c r="G2412">
        <v>0</v>
      </c>
      <c r="H2412">
        <v>921500</v>
      </c>
      <c r="I2412">
        <v>0</v>
      </c>
      <c r="J2412">
        <v>0</v>
      </c>
      <c r="K2412">
        <v>921500</v>
      </c>
      <c r="L2412">
        <v>0</v>
      </c>
      <c r="M2412">
        <v>0</v>
      </c>
      <c r="N2412">
        <v>0</v>
      </c>
      <c r="O2412">
        <v>0</v>
      </c>
      <c r="P2412" t="s">
        <v>192</v>
      </c>
      <c r="Q2412" t="s">
        <v>192</v>
      </c>
      <c r="R2412">
        <v>1</v>
      </c>
      <c r="S2412">
        <v>5000</v>
      </c>
      <c r="T2412">
        <v>921500</v>
      </c>
      <c r="U2412">
        <v>0</v>
      </c>
      <c r="V2412">
        <v>0</v>
      </c>
      <c r="W2412">
        <v>0</v>
      </c>
      <c r="X2412" s="367"/>
    </row>
    <row r="2413" spans="1:24">
      <c r="A2413" t="s">
        <v>5761</v>
      </c>
      <c r="B2413" t="s">
        <v>5762</v>
      </c>
      <c r="C2413">
        <v>0</v>
      </c>
      <c r="D2413">
        <v>0</v>
      </c>
      <c r="E2413">
        <v>0</v>
      </c>
      <c r="F2413">
        <v>1000000</v>
      </c>
      <c r="G2413">
        <v>0</v>
      </c>
      <c r="H2413">
        <v>1000000</v>
      </c>
      <c r="I2413">
        <v>0</v>
      </c>
      <c r="J2413">
        <v>0</v>
      </c>
      <c r="K2413">
        <v>1000000</v>
      </c>
      <c r="L2413">
        <v>0</v>
      </c>
      <c r="M2413">
        <v>0</v>
      </c>
      <c r="N2413">
        <v>0</v>
      </c>
      <c r="O2413">
        <v>0</v>
      </c>
      <c r="P2413" t="s">
        <v>192</v>
      </c>
      <c r="Q2413" t="s">
        <v>192</v>
      </c>
      <c r="R2413">
        <v>1</v>
      </c>
      <c r="S2413">
        <v>5000</v>
      </c>
      <c r="T2413">
        <v>1000000</v>
      </c>
      <c r="U2413">
        <v>0</v>
      </c>
      <c r="V2413">
        <v>0</v>
      </c>
      <c r="W2413">
        <v>0</v>
      </c>
      <c r="X2413" s="367"/>
    </row>
    <row r="2414" spans="1:24">
      <c r="A2414" t="s">
        <v>1766</v>
      </c>
      <c r="B2414" t="s">
        <v>1765</v>
      </c>
      <c r="C2414">
        <v>198</v>
      </c>
      <c r="D2414">
        <v>61441505</v>
      </c>
      <c r="E2414">
        <v>200667955330</v>
      </c>
      <c r="F2414">
        <v>3171</v>
      </c>
      <c r="G2414">
        <v>3266</v>
      </c>
      <c r="H2414">
        <v>3266</v>
      </c>
      <c r="I2414">
        <v>95</v>
      </c>
      <c r="J2414">
        <v>3</v>
      </c>
      <c r="K2414">
        <v>3266</v>
      </c>
      <c r="L2414">
        <v>95</v>
      </c>
      <c r="M2414">
        <v>3</v>
      </c>
      <c r="N2414">
        <v>3266</v>
      </c>
      <c r="O2414">
        <v>3266</v>
      </c>
      <c r="P2414">
        <v>1869</v>
      </c>
      <c r="Q2414">
        <v>1.75</v>
      </c>
      <c r="R2414">
        <v>304</v>
      </c>
      <c r="S2414">
        <v>171505654</v>
      </c>
      <c r="T2414">
        <v>3266</v>
      </c>
      <c r="U2414">
        <v>0</v>
      </c>
      <c r="V2414">
        <v>0</v>
      </c>
      <c r="W2414">
        <v>0</v>
      </c>
      <c r="X2414" s="367"/>
    </row>
    <row r="2415" spans="1:24">
      <c r="A2415" t="s">
        <v>5763</v>
      </c>
      <c r="B2415" t="s">
        <v>4852</v>
      </c>
      <c r="C2415">
        <v>6181</v>
      </c>
      <c r="D2415">
        <v>545758487</v>
      </c>
      <c r="E2415">
        <v>9072559898680</v>
      </c>
      <c r="F2415">
        <v>16603</v>
      </c>
      <c r="G2415">
        <v>16623</v>
      </c>
      <c r="H2415">
        <v>16629</v>
      </c>
      <c r="I2415">
        <v>26</v>
      </c>
      <c r="J2415">
        <v>0.16</v>
      </c>
      <c r="K2415">
        <v>16624</v>
      </c>
      <c r="L2415">
        <v>21</v>
      </c>
      <c r="M2415">
        <v>0.13</v>
      </c>
      <c r="N2415">
        <v>16623</v>
      </c>
      <c r="O2415">
        <v>16629</v>
      </c>
      <c r="P2415" t="s">
        <v>192</v>
      </c>
      <c r="Q2415" t="s">
        <v>192</v>
      </c>
      <c r="R2415">
        <v>1</v>
      </c>
      <c r="S2415">
        <v>98255</v>
      </c>
      <c r="T2415">
        <v>16629</v>
      </c>
      <c r="U2415">
        <v>16630</v>
      </c>
      <c r="V2415">
        <v>529615</v>
      </c>
      <c r="W2415">
        <v>5</v>
      </c>
      <c r="X2415" s="367"/>
    </row>
    <row r="2416" spans="1:24">
      <c r="A2416" t="s">
        <v>5764</v>
      </c>
      <c r="B2416" t="s">
        <v>5765</v>
      </c>
      <c r="C2416">
        <v>0</v>
      </c>
      <c r="D2416">
        <v>0</v>
      </c>
      <c r="E2416">
        <v>0</v>
      </c>
      <c r="F2416">
        <v>902510</v>
      </c>
      <c r="G2416">
        <v>0</v>
      </c>
      <c r="H2416">
        <v>902510</v>
      </c>
      <c r="I2416">
        <v>0</v>
      </c>
      <c r="J2416">
        <v>0</v>
      </c>
      <c r="K2416">
        <v>902510</v>
      </c>
      <c r="L2416">
        <v>0</v>
      </c>
      <c r="M2416">
        <v>0</v>
      </c>
      <c r="N2416">
        <v>0</v>
      </c>
      <c r="O2416">
        <v>0</v>
      </c>
      <c r="P2416" t="s">
        <v>192</v>
      </c>
      <c r="Q2416" t="s">
        <v>192</v>
      </c>
      <c r="R2416">
        <v>1</v>
      </c>
      <c r="S2416">
        <v>5000</v>
      </c>
      <c r="T2416">
        <v>902500</v>
      </c>
      <c r="U2416">
        <v>0</v>
      </c>
      <c r="V2416">
        <v>0</v>
      </c>
      <c r="W2416">
        <v>0</v>
      </c>
      <c r="X2416" s="367"/>
    </row>
    <row r="2417" spans="1:24">
      <c r="A2417" t="s">
        <v>2459</v>
      </c>
      <c r="B2417" t="s">
        <v>2458</v>
      </c>
      <c r="C2417">
        <v>139</v>
      </c>
      <c r="D2417">
        <v>3990447</v>
      </c>
      <c r="E2417">
        <v>67278936420</v>
      </c>
      <c r="F2417">
        <v>16370</v>
      </c>
      <c r="G2417">
        <v>16860</v>
      </c>
      <c r="H2417">
        <v>16860</v>
      </c>
      <c r="I2417">
        <v>490</v>
      </c>
      <c r="J2417">
        <v>2.99</v>
      </c>
      <c r="K2417">
        <v>16860</v>
      </c>
      <c r="L2417">
        <v>490</v>
      </c>
      <c r="M2417">
        <v>2.99</v>
      </c>
      <c r="N2417">
        <v>16860</v>
      </c>
      <c r="O2417">
        <v>16860</v>
      </c>
      <c r="P2417">
        <v>2767</v>
      </c>
      <c r="Q2417">
        <v>6.09</v>
      </c>
      <c r="R2417">
        <v>130</v>
      </c>
      <c r="S2417">
        <v>8509174</v>
      </c>
      <c r="T2417">
        <v>16860</v>
      </c>
      <c r="U2417">
        <v>0</v>
      </c>
      <c r="V2417">
        <v>0</v>
      </c>
      <c r="W2417">
        <v>0</v>
      </c>
      <c r="X2417" s="367"/>
    </row>
    <row r="2418" spans="1:24">
      <c r="A2418" t="s">
        <v>5766</v>
      </c>
      <c r="B2418" t="s">
        <v>5767</v>
      </c>
      <c r="C2418">
        <v>13</v>
      </c>
      <c r="D2418">
        <v>39695</v>
      </c>
      <c r="E2418">
        <v>1549985960</v>
      </c>
      <c r="F2418">
        <v>37911</v>
      </c>
      <c r="G2418">
        <v>39048</v>
      </c>
      <c r="H2418">
        <v>39048</v>
      </c>
      <c r="I2418">
        <v>1137</v>
      </c>
      <c r="J2418">
        <v>3</v>
      </c>
      <c r="K2418">
        <v>39047</v>
      </c>
      <c r="L2418">
        <v>1136</v>
      </c>
      <c r="M2418">
        <v>3</v>
      </c>
      <c r="N2418">
        <v>39000</v>
      </c>
      <c r="O2418">
        <v>39048</v>
      </c>
      <c r="P2418" t="s">
        <v>192</v>
      </c>
      <c r="Q2418" t="s">
        <v>192</v>
      </c>
      <c r="R2418">
        <v>1</v>
      </c>
      <c r="S2418">
        <v>55</v>
      </c>
      <c r="T2418">
        <v>38605</v>
      </c>
      <c r="U2418">
        <v>39048</v>
      </c>
      <c r="V2418">
        <v>61205</v>
      </c>
      <c r="W2418">
        <v>1</v>
      </c>
      <c r="X2418" s="367"/>
    </row>
    <row r="2419" spans="1:24">
      <c r="A2419" t="s">
        <v>3054</v>
      </c>
      <c r="B2419" t="s">
        <v>3053</v>
      </c>
      <c r="C2419">
        <v>367</v>
      </c>
      <c r="D2419">
        <v>120666263</v>
      </c>
      <c r="E2419">
        <v>187515372702</v>
      </c>
      <c r="F2419">
        <v>1509</v>
      </c>
      <c r="G2419">
        <v>1554</v>
      </c>
      <c r="H2419">
        <v>1554</v>
      </c>
      <c r="I2419">
        <v>45</v>
      </c>
      <c r="J2419">
        <v>2.98</v>
      </c>
      <c r="K2419">
        <v>1554</v>
      </c>
      <c r="L2419">
        <v>45</v>
      </c>
      <c r="M2419">
        <v>2.98</v>
      </c>
      <c r="N2419">
        <v>1554</v>
      </c>
      <c r="O2419">
        <v>1554</v>
      </c>
      <c r="P2419">
        <v>1032</v>
      </c>
      <c r="Q2419">
        <v>1.51</v>
      </c>
      <c r="R2419">
        <v>386</v>
      </c>
      <c r="S2419">
        <v>239738920</v>
      </c>
      <c r="T2419">
        <v>1554</v>
      </c>
      <c r="U2419">
        <v>1557</v>
      </c>
      <c r="V2419">
        <v>48000</v>
      </c>
      <c r="W2419">
        <v>2</v>
      </c>
      <c r="X2419" s="367"/>
    </row>
    <row r="2420" spans="1:24">
      <c r="A2420" t="s">
        <v>5768</v>
      </c>
      <c r="B2420" t="s">
        <v>5769</v>
      </c>
      <c r="C2420">
        <v>0</v>
      </c>
      <c r="D2420">
        <v>0</v>
      </c>
      <c r="E2420">
        <v>0</v>
      </c>
      <c r="F2420">
        <v>831500</v>
      </c>
      <c r="G2420">
        <v>0</v>
      </c>
      <c r="H2420">
        <v>831500</v>
      </c>
      <c r="I2420">
        <v>0</v>
      </c>
      <c r="J2420">
        <v>0</v>
      </c>
      <c r="K2420">
        <v>831500</v>
      </c>
      <c r="L2420">
        <v>0</v>
      </c>
      <c r="M2420">
        <v>0</v>
      </c>
      <c r="N2420">
        <v>0</v>
      </c>
      <c r="O2420">
        <v>0</v>
      </c>
      <c r="P2420" t="s">
        <v>192</v>
      </c>
      <c r="Q2420" t="s">
        <v>192</v>
      </c>
      <c r="R2420">
        <v>1</v>
      </c>
      <c r="S2420">
        <v>15000</v>
      </c>
      <c r="T2420">
        <v>806560</v>
      </c>
      <c r="U2420">
        <v>0</v>
      </c>
      <c r="V2420">
        <v>0</v>
      </c>
      <c r="W2420">
        <v>0</v>
      </c>
      <c r="X2420" s="367"/>
    </row>
    <row r="2421" spans="1:24">
      <c r="A2421" t="s">
        <v>2242</v>
      </c>
      <c r="B2421" t="s">
        <v>2241</v>
      </c>
      <c r="C2421">
        <v>168</v>
      </c>
      <c r="D2421">
        <v>6560081</v>
      </c>
      <c r="E2421">
        <v>71373242540</v>
      </c>
      <c r="F2421">
        <v>10570</v>
      </c>
      <c r="G2421">
        <v>10880</v>
      </c>
      <c r="H2421">
        <v>10880</v>
      </c>
      <c r="I2421">
        <v>310</v>
      </c>
      <c r="J2421">
        <v>2.93</v>
      </c>
      <c r="K2421">
        <v>10880</v>
      </c>
      <c r="L2421">
        <v>310</v>
      </c>
      <c r="M2421">
        <v>2.93</v>
      </c>
      <c r="N2421">
        <v>10860</v>
      </c>
      <c r="O2421">
        <v>10880</v>
      </c>
      <c r="P2421">
        <v>1608</v>
      </c>
      <c r="Q2421">
        <v>6.77</v>
      </c>
      <c r="R2421">
        <v>5</v>
      </c>
      <c r="S2421">
        <v>205889</v>
      </c>
      <c r="T2421">
        <v>10880</v>
      </c>
      <c r="U2421">
        <v>0</v>
      </c>
      <c r="V2421">
        <v>0</v>
      </c>
      <c r="W2421">
        <v>0</v>
      </c>
      <c r="X2421" s="367"/>
    </row>
    <row r="2422" spans="1:24">
      <c r="A2422" t="s">
        <v>3006</v>
      </c>
      <c r="B2422" t="s">
        <v>3005</v>
      </c>
      <c r="C2422">
        <v>564</v>
      </c>
      <c r="D2422">
        <v>40168362</v>
      </c>
      <c r="E2422">
        <v>205260329820</v>
      </c>
      <c r="F2422">
        <v>4970</v>
      </c>
      <c r="G2422">
        <v>5110</v>
      </c>
      <c r="H2422">
        <v>5110</v>
      </c>
      <c r="I2422">
        <v>140</v>
      </c>
      <c r="J2422">
        <v>2.82</v>
      </c>
      <c r="K2422">
        <v>5110</v>
      </c>
      <c r="L2422">
        <v>140</v>
      </c>
      <c r="M2422">
        <v>2.82</v>
      </c>
      <c r="N2422">
        <v>5110</v>
      </c>
      <c r="O2422">
        <v>5110</v>
      </c>
      <c r="P2422">
        <v>1251</v>
      </c>
      <c r="Q2422">
        <v>4.08</v>
      </c>
      <c r="R2422">
        <v>184</v>
      </c>
      <c r="S2422">
        <v>21367132</v>
      </c>
      <c r="T2422">
        <v>5110</v>
      </c>
      <c r="U2422">
        <v>5150</v>
      </c>
      <c r="V2422">
        <v>16000</v>
      </c>
      <c r="W2422">
        <v>3</v>
      </c>
      <c r="X2422" s="367"/>
    </row>
    <row r="2423" spans="1:24">
      <c r="A2423" t="s">
        <v>8688</v>
      </c>
      <c r="B2423" t="s">
        <v>8689</v>
      </c>
      <c r="C2423">
        <v>0</v>
      </c>
      <c r="D2423">
        <v>0</v>
      </c>
      <c r="E2423">
        <v>0</v>
      </c>
      <c r="F2423">
        <v>1000000</v>
      </c>
      <c r="G2423">
        <v>0</v>
      </c>
      <c r="H2423">
        <v>1000000</v>
      </c>
      <c r="I2423">
        <v>0</v>
      </c>
      <c r="J2423">
        <v>0</v>
      </c>
      <c r="K2423">
        <v>1000000</v>
      </c>
      <c r="L2423">
        <v>0</v>
      </c>
      <c r="M2423">
        <v>0</v>
      </c>
      <c r="N2423">
        <v>0</v>
      </c>
      <c r="O2423">
        <v>0</v>
      </c>
      <c r="P2423" t="s">
        <v>192</v>
      </c>
      <c r="Q2423" t="s">
        <v>192</v>
      </c>
      <c r="R2423">
        <v>1</v>
      </c>
      <c r="S2423">
        <v>100000</v>
      </c>
      <c r="T2423">
        <v>999000</v>
      </c>
      <c r="U2423">
        <v>0</v>
      </c>
      <c r="V2423">
        <v>0</v>
      </c>
      <c r="W2423">
        <v>0</v>
      </c>
      <c r="X2423" s="367"/>
    </row>
    <row r="2424" spans="1:24">
      <c r="A2424" t="s">
        <v>5770</v>
      </c>
      <c r="B2424" t="s">
        <v>5771</v>
      </c>
      <c r="C2424">
        <v>0</v>
      </c>
      <c r="D2424">
        <v>0</v>
      </c>
      <c r="E2424">
        <v>0</v>
      </c>
      <c r="F2424">
        <v>6642303</v>
      </c>
      <c r="G2424">
        <v>0</v>
      </c>
      <c r="H2424">
        <v>6642303</v>
      </c>
      <c r="I2424">
        <v>0</v>
      </c>
      <c r="J2424">
        <v>0</v>
      </c>
      <c r="K2424">
        <v>6642303</v>
      </c>
      <c r="L2424">
        <v>0</v>
      </c>
      <c r="M2424">
        <v>0</v>
      </c>
      <c r="N2424">
        <v>0</v>
      </c>
      <c r="O2424">
        <v>0</v>
      </c>
      <c r="P2424" t="s">
        <v>192</v>
      </c>
      <c r="Q2424" t="s">
        <v>192</v>
      </c>
      <c r="R2424">
        <v>1</v>
      </c>
      <c r="S2424">
        <v>11158</v>
      </c>
      <c r="T2424">
        <v>6801120</v>
      </c>
      <c r="U2424">
        <v>6937142</v>
      </c>
      <c r="V2424">
        <v>11158</v>
      </c>
      <c r="W2424">
        <v>1</v>
      </c>
      <c r="X2424" s="367"/>
    </row>
    <row r="2425" spans="1:24">
      <c r="A2425" t="s">
        <v>5772</v>
      </c>
      <c r="B2425" t="s">
        <v>5773</v>
      </c>
      <c r="C2425">
        <v>0</v>
      </c>
      <c r="D2425">
        <v>0</v>
      </c>
      <c r="E2425">
        <v>0</v>
      </c>
      <c r="F2425">
        <v>1000000</v>
      </c>
      <c r="G2425">
        <v>0</v>
      </c>
      <c r="H2425">
        <v>1000000</v>
      </c>
      <c r="I2425">
        <v>0</v>
      </c>
      <c r="J2425">
        <v>0</v>
      </c>
      <c r="K2425">
        <v>1000000</v>
      </c>
      <c r="L2425">
        <v>0</v>
      </c>
      <c r="M2425">
        <v>0</v>
      </c>
      <c r="N2425">
        <v>0</v>
      </c>
      <c r="O2425">
        <v>0</v>
      </c>
      <c r="P2425" t="s">
        <v>192</v>
      </c>
      <c r="Q2425" t="s">
        <v>192</v>
      </c>
      <c r="R2425">
        <v>1</v>
      </c>
      <c r="S2425">
        <v>5000</v>
      </c>
      <c r="T2425">
        <v>999000</v>
      </c>
      <c r="U2425">
        <v>1008990</v>
      </c>
      <c r="V2425">
        <v>5000</v>
      </c>
      <c r="W2425">
        <v>1</v>
      </c>
      <c r="X2425" s="367"/>
    </row>
    <row r="2426" spans="1:24">
      <c r="A2426" t="s">
        <v>5774</v>
      </c>
      <c r="B2426" t="s">
        <v>5775</v>
      </c>
      <c r="C2426">
        <v>0</v>
      </c>
      <c r="D2426">
        <v>0</v>
      </c>
      <c r="E2426">
        <v>0</v>
      </c>
      <c r="F2426">
        <v>1000000</v>
      </c>
      <c r="G2426">
        <v>0</v>
      </c>
      <c r="H2426">
        <v>1000000</v>
      </c>
      <c r="I2426">
        <v>0</v>
      </c>
      <c r="J2426">
        <v>0</v>
      </c>
      <c r="K2426">
        <v>1000000</v>
      </c>
      <c r="L2426">
        <v>0</v>
      </c>
      <c r="M2426">
        <v>0</v>
      </c>
      <c r="N2426">
        <v>0</v>
      </c>
      <c r="O2426">
        <v>0</v>
      </c>
      <c r="P2426" t="s">
        <v>192</v>
      </c>
      <c r="Q2426" t="s">
        <v>192</v>
      </c>
      <c r="R2426">
        <v>1</v>
      </c>
      <c r="S2426">
        <v>5000</v>
      </c>
      <c r="T2426">
        <v>1000000</v>
      </c>
      <c r="U2426">
        <v>0</v>
      </c>
      <c r="V2426">
        <v>0</v>
      </c>
      <c r="W2426">
        <v>0</v>
      </c>
      <c r="X2426" s="367"/>
    </row>
    <row r="2427" spans="1:24">
      <c r="A2427" t="s">
        <v>5776</v>
      </c>
      <c r="B2427" t="s">
        <v>5777</v>
      </c>
      <c r="C2427">
        <v>0</v>
      </c>
      <c r="D2427">
        <v>0</v>
      </c>
      <c r="E2427">
        <v>0</v>
      </c>
      <c r="F2427">
        <v>1000000</v>
      </c>
      <c r="G2427">
        <v>0</v>
      </c>
      <c r="H2427">
        <v>1000000</v>
      </c>
      <c r="I2427">
        <v>0</v>
      </c>
      <c r="J2427">
        <v>0</v>
      </c>
      <c r="K2427">
        <v>1000000</v>
      </c>
      <c r="L2427">
        <v>0</v>
      </c>
      <c r="M2427">
        <v>0</v>
      </c>
      <c r="N2427">
        <v>0</v>
      </c>
      <c r="O2427">
        <v>0</v>
      </c>
      <c r="P2427" t="s">
        <v>192</v>
      </c>
      <c r="Q2427" t="s">
        <v>192</v>
      </c>
      <c r="R2427">
        <v>1</v>
      </c>
      <c r="S2427">
        <v>5000</v>
      </c>
      <c r="T2427">
        <v>1000000</v>
      </c>
      <c r="U2427">
        <v>0</v>
      </c>
      <c r="V2427">
        <v>0</v>
      </c>
      <c r="W2427">
        <v>0</v>
      </c>
      <c r="X2427" s="367"/>
    </row>
    <row r="2428" spans="1:24">
      <c r="A2428" t="s">
        <v>5778</v>
      </c>
      <c r="B2428" t="s">
        <v>5779</v>
      </c>
      <c r="C2428">
        <v>125</v>
      </c>
      <c r="D2428">
        <v>24581174</v>
      </c>
      <c r="E2428">
        <v>1870190717936</v>
      </c>
      <c r="F2428">
        <v>75936</v>
      </c>
      <c r="G2428">
        <v>76088</v>
      </c>
      <c r="H2428">
        <v>76090</v>
      </c>
      <c r="I2428">
        <v>154</v>
      </c>
      <c r="J2428">
        <v>0.2</v>
      </c>
      <c r="K2428">
        <v>76082</v>
      </c>
      <c r="L2428">
        <v>146</v>
      </c>
      <c r="M2428">
        <v>0.19</v>
      </c>
      <c r="N2428">
        <v>76081</v>
      </c>
      <c r="O2428">
        <v>76090</v>
      </c>
      <c r="P2428" t="s">
        <v>192</v>
      </c>
      <c r="Q2428" t="s">
        <v>192</v>
      </c>
      <c r="R2428">
        <v>21</v>
      </c>
      <c r="S2428">
        <v>19960880</v>
      </c>
      <c r="T2428">
        <v>76088</v>
      </c>
      <c r="U2428">
        <v>76090</v>
      </c>
      <c r="V2428">
        <v>298564</v>
      </c>
      <c r="W2428">
        <v>1</v>
      </c>
      <c r="X2428" s="367"/>
    </row>
    <row r="2429" spans="1:24">
      <c r="A2429" t="s">
        <v>5780</v>
      </c>
      <c r="B2429" t="s">
        <v>5781</v>
      </c>
      <c r="C2429">
        <v>17</v>
      </c>
      <c r="D2429">
        <v>176655</v>
      </c>
      <c r="E2429">
        <v>7549704735</v>
      </c>
      <c r="F2429">
        <v>41493</v>
      </c>
      <c r="G2429">
        <v>42737</v>
      </c>
      <c r="H2429">
        <v>42737</v>
      </c>
      <c r="I2429">
        <v>1244</v>
      </c>
      <c r="J2429">
        <v>3</v>
      </c>
      <c r="K2429">
        <v>42737</v>
      </c>
      <c r="L2429">
        <v>1244</v>
      </c>
      <c r="M2429">
        <v>3</v>
      </c>
      <c r="N2429">
        <v>42737</v>
      </c>
      <c r="O2429">
        <v>42737</v>
      </c>
      <c r="P2429" t="s">
        <v>192</v>
      </c>
      <c r="Q2429" t="s">
        <v>192</v>
      </c>
      <c r="R2429">
        <v>1</v>
      </c>
      <c r="S2429">
        <v>50</v>
      </c>
      <c r="T2429">
        <v>41738</v>
      </c>
      <c r="U2429">
        <v>42737</v>
      </c>
      <c r="V2429">
        <v>173345</v>
      </c>
      <c r="W2429">
        <v>2</v>
      </c>
      <c r="X2429" s="367"/>
    </row>
    <row r="2430" spans="1:24">
      <c r="A2430" t="s">
        <v>5782</v>
      </c>
      <c r="B2430" t="s">
        <v>5783</v>
      </c>
      <c r="C2430">
        <v>854</v>
      </c>
      <c r="D2430">
        <v>13815732</v>
      </c>
      <c r="E2430">
        <v>482311920528</v>
      </c>
      <c r="F2430">
        <v>33899</v>
      </c>
      <c r="G2430">
        <v>34911</v>
      </c>
      <c r="H2430">
        <v>34915</v>
      </c>
      <c r="I2430">
        <v>1016</v>
      </c>
      <c r="J2430">
        <v>3</v>
      </c>
      <c r="K2430">
        <v>34910</v>
      </c>
      <c r="L2430">
        <v>1011</v>
      </c>
      <c r="M2430">
        <v>2.98</v>
      </c>
      <c r="N2430">
        <v>34625</v>
      </c>
      <c r="O2430">
        <v>34915</v>
      </c>
      <c r="P2430" t="s">
        <v>192</v>
      </c>
      <c r="Q2430" t="s">
        <v>192</v>
      </c>
      <c r="R2430">
        <v>755</v>
      </c>
      <c r="S2430">
        <v>11938594</v>
      </c>
      <c r="T2430">
        <v>34915</v>
      </c>
      <c r="U2430">
        <v>0</v>
      </c>
      <c r="V2430">
        <v>0</v>
      </c>
      <c r="W2430">
        <v>0</v>
      </c>
      <c r="X2430" s="367"/>
    </row>
    <row r="2431" spans="1:24">
      <c r="A2431" t="s">
        <v>2525</v>
      </c>
      <c r="B2431" t="s">
        <v>2524</v>
      </c>
      <c r="C2431">
        <v>358</v>
      </c>
      <c r="D2431">
        <v>7130875</v>
      </c>
      <c r="E2431">
        <v>34370817500</v>
      </c>
      <c r="F2431">
        <v>4680</v>
      </c>
      <c r="G2431">
        <v>4820</v>
      </c>
      <c r="H2431">
        <v>4820</v>
      </c>
      <c r="I2431">
        <v>140</v>
      </c>
      <c r="J2431">
        <v>2.99</v>
      </c>
      <c r="K2431">
        <v>4820</v>
      </c>
      <c r="L2431">
        <v>140</v>
      </c>
      <c r="M2431">
        <v>2.99</v>
      </c>
      <c r="N2431">
        <v>4820</v>
      </c>
      <c r="O2431">
        <v>4820</v>
      </c>
      <c r="P2431">
        <v>1389</v>
      </c>
      <c r="Q2431">
        <v>3.47</v>
      </c>
      <c r="R2431">
        <v>59</v>
      </c>
      <c r="S2431">
        <v>6416145</v>
      </c>
      <c r="T2431">
        <v>4820</v>
      </c>
      <c r="U2431">
        <v>4960</v>
      </c>
      <c r="V2431">
        <v>142</v>
      </c>
      <c r="W2431">
        <v>1</v>
      </c>
      <c r="X2431" s="367"/>
    </row>
    <row r="2432" spans="1:24">
      <c r="A2432" t="s">
        <v>1820</v>
      </c>
      <c r="B2432" t="s">
        <v>1819</v>
      </c>
      <c r="C2432">
        <v>31</v>
      </c>
      <c r="D2432">
        <v>474533</v>
      </c>
      <c r="E2432">
        <v>4678895380</v>
      </c>
      <c r="F2432">
        <v>9580</v>
      </c>
      <c r="G2432">
        <v>9860</v>
      </c>
      <c r="H2432">
        <v>9860</v>
      </c>
      <c r="I2432">
        <v>280</v>
      </c>
      <c r="J2432">
        <v>2.92</v>
      </c>
      <c r="K2432">
        <v>9860</v>
      </c>
      <c r="L2432">
        <v>280</v>
      </c>
      <c r="M2432">
        <v>2.92</v>
      </c>
      <c r="N2432">
        <v>9860</v>
      </c>
      <c r="O2432">
        <v>9860</v>
      </c>
      <c r="P2432">
        <v>1077</v>
      </c>
      <c r="Q2432">
        <v>9.16</v>
      </c>
      <c r="R2432">
        <v>35</v>
      </c>
      <c r="S2432">
        <v>1706361</v>
      </c>
      <c r="T2432">
        <v>9860</v>
      </c>
      <c r="U2432">
        <v>0</v>
      </c>
      <c r="V2432">
        <v>0</v>
      </c>
      <c r="W2432">
        <v>0</v>
      </c>
      <c r="X2432" s="367"/>
    </row>
    <row r="2433" spans="1:24">
      <c r="A2433" t="s">
        <v>3088</v>
      </c>
      <c r="B2433" t="s">
        <v>3087</v>
      </c>
      <c r="C2433">
        <v>27</v>
      </c>
      <c r="D2433">
        <v>3217146</v>
      </c>
      <c r="E2433">
        <v>7000509696</v>
      </c>
      <c r="F2433">
        <v>2113</v>
      </c>
      <c r="G2433">
        <v>2176</v>
      </c>
      <c r="H2433">
        <v>2176</v>
      </c>
      <c r="I2433">
        <v>63</v>
      </c>
      <c r="J2433">
        <v>2.98</v>
      </c>
      <c r="K2433">
        <v>2176</v>
      </c>
      <c r="L2433">
        <v>63</v>
      </c>
      <c r="M2433">
        <v>2.98</v>
      </c>
      <c r="N2433">
        <v>2176</v>
      </c>
      <c r="O2433">
        <v>2176</v>
      </c>
      <c r="P2433">
        <v>458</v>
      </c>
      <c r="Q2433">
        <v>4.75</v>
      </c>
      <c r="R2433">
        <v>19</v>
      </c>
      <c r="S2433">
        <v>4801935</v>
      </c>
      <c r="T2433">
        <v>2176</v>
      </c>
      <c r="U2433">
        <v>2237</v>
      </c>
      <c r="V2433">
        <v>2500</v>
      </c>
      <c r="W2433">
        <v>1</v>
      </c>
      <c r="X2433" s="367"/>
    </row>
    <row r="2434" spans="1:24">
      <c r="A2434" t="s">
        <v>5784</v>
      </c>
      <c r="B2434" t="s">
        <v>5785</v>
      </c>
      <c r="C2434">
        <v>0</v>
      </c>
      <c r="D2434">
        <v>0</v>
      </c>
      <c r="E2434">
        <v>0</v>
      </c>
      <c r="F2434">
        <v>1000000</v>
      </c>
      <c r="G2434">
        <v>0</v>
      </c>
      <c r="H2434">
        <v>1000000</v>
      </c>
      <c r="I2434">
        <v>0</v>
      </c>
      <c r="J2434">
        <v>0</v>
      </c>
      <c r="K2434">
        <v>1000000</v>
      </c>
      <c r="L2434">
        <v>0</v>
      </c>
      <c r="M2434">
        <v>0</v>
      </c>
      <c r="N2434">
        <v>0</v>
      </c>
      <c r="O2434">
        <v>0</v>
      </c>
      <c r="P2434" t="s">
        <v>192</v>
      </c>
      <c r="Q2434" t="s">
        <v>192</v>
      </c>
      <c r="R2434">
        <v>1</v>
      </c>
      <c r="S2434">
        <v>7000</v>
      </c>
      <c r="T2434">
        <v>990000</v>
      </c>
      <c r="U2434">
        <v>1000000</v>
      </c>
      <c r="V2434">
        <v>7000</v>
      </c>
      <c r="W2434">
        <v>1</v>
      </c>
      <c r="X2434" s="367"/>
    </row>
    <row r="2435" spans="1:24">
      <c r="A2435" t="s">
        <v>1945</v>
      </c>
      <c r="B2435" t="s">
        <v>1944</v>
      </c>
      <c r="C2435">
        <v>151</v>
      </c>
      <c r="D2435">
        <v>2487886</v>
      </c>
      <c r="E2435">
        <v>23162218660</v>
      </c>
      <c r="F2435">
        <v>9040</v>
      </c>
      <c r="G2435">
        <v>9310</v>
      </c>
      <c r="H2435">
        <v>9310</v>
      </c>
      <c r="I2435">
        <v>270</v>
      </c>
      <c r="J2435">
        <v>2.99</v>
      </c>
      <c r="K2435">
        <v>9310</v>
      </c>
      <c r="L2435">
        <v>270</v>
      </c>
      <c r="M2435">
        <v>2.99</v>
      </c>
      <c r="N2435">
        <v>9310</v>
      </c>
      <c r="O2435">
        <v>9310</v>
      </c>
      <c r="P2435">
        <v>2242</v>
      </c>
      <c r="Q2435">
        <v>4.1500000000000004</v>
      </c>
      <c r="R2435">
        <v>230</v>
      </c>
      <c r="S2435">
        <v>15290005</v>
      </c>
      <c r="T2435">
        <v>9310</v>
      </c>
      <c r="U2435">
        <v>0</v>
      </c>
      <c r="V2435">
        <v>0</v>
      </c>
      <c r="W2435">
        <v>0</v>
      </c>
      <c r="X2435" s="367"/>
    </row>
    <row r="2436" spans="1:24">
      <c r="A2436" t="s">
        <v>5786</v>
      </c>
      <c r="B2436" t="s">
        <v>5687</v>
      </c>
      <c r="C2436">
        <v>100</v>
      </c>
      <c r="D2436">
        <v>5101530</v>
      </c>
      <c r="E2436">
        <v>70875420132</v>
      </c>
      <c r="F2436">
        <v>13489</v>
      </c>
      <c r="G2436">
        <v>13893</v>
      </c>
      <c r="H2436">
        <v>13893</v>
      </c>
      <c r="I2436">
        <v>404</v>
      </c>
      <c r="J2436">
        <v>3</v>
      </c>
      <c r="K2436">
        <v>13893</v>
      </c>
      <c r="L2436">
        <v>404</v>
      </c>
      <c r="M2436">
        <v>3</v>
      </c>
      <c r="N2436">
        <v>13860</v>
      </c>
      <c r="O2436">
        <v>13893</v>
      </c>
      <c r="P2436" t="s">
        <v>192</v>
      </c>
      <c r="Q2436" t="s">
        <v>192</v>
      </c>
      <c r="R2436">
        <v>8</v>
      </c>
      <c r="S2436">
        <v>701274</v>
      </c>
      <c r="T2436">
        <v>13893</v>
      </c>
      <c r="U2436">
        <v>0</v>
      </c>
      <c r="V2436">
        <v>0</v>
      </c>
      <c r="W2436">
        <v>0</v>
      </c>
      <c r="X2436" s="367"/>
    </row>
    <row r="2437" spans="1:24">
      <c r="A2437" t="s">
        <v>149</v>
      </c>
      <c r="B2437" t="s">
        <v>148</v>
      </c>
      <c r="C2437">
        <v>355</v>
      </c>
      <c r="D2437">
        <v>8747091</v>
      </c>
      <c r="E2437">
        <v>171617925420</v>
      </c>
      <c r="F2437">
        <v>19050</v>
      </c>
      <c r="G2437">
        <v>19620</v>
      </c>
      <c r="H2437">
        <v>19620</v>
      </c>
      <c r="I2437">
        <v>570</v>
      </c>
      <c r="J2437">
        <v>2.99</v>
      </c>
      <c r="K2437">
        <v>19620</v>
      </c>
      <c r="L2437">
        <v>570</v>
      </c>
      <c r="M2437">
        <v>2.99</v>
      </c>
      <c r="N2437">
        <v>19620</v>
      </c>
      <c r="O2437">
        <v>19620</v>
      </c>
      <c r="P2437">
        <v>3871</v>
      </c>
      <c r="Q2437">
        <v>5.07</v>
      </c>
      <c r="R2437">
        <v>324</v>
      </c>
      <c r="S2437">
        <v>17422134</v>
      </c>
      <c r="T2437">
        <v>19620</v>
      </c>
      <c r="U2437">
        <v>25440</v>
      </c>
      <c r="V2437">
        <v>134049</v>
      </c>
      <c r="W2437">
        <v>11</v>
      </c>
      <c r="X2437" s="367"/>
    </row>
    <row r="2438" spans="1:24">
      <c r="A2438" t="s">
        <v>5787</v>
      </c>
      <c r="B2438" t="s">
        <v>5788</v>
      </c>
      <c r="C2438">
        <v>0</v>
      </c>
      <c r="D2438">
        <v>0</v>
      </c>
      <c r="E2438">
        <v>0</v>
      </c>
      <c r="F2438">
        <v>798990</v>
      </c>
      <c r="G2438">
        <v>0</v>
      </c>
      <c r="H2438">
        <v>798990</v>
      </c>
      <c r="I2438">
        <v>0</v>
      </c>
      <c r="J2438">
        <v>0</v>
      </c>
      <c r="K2438">
        <v>798990</v>
      </c>
      <c r="L2438">
        <v>0</v>
      </c>
      <c r="M2438">
        <v>0</v>
      </c>
      <c r="N2438">
        <v>0</v>
      </c>
      <c r="O2438">
        <v>0</v>
      </c>
      <c r="P2438" t="s">
        <v>192</v>
      </c>
      <c r="Q2438" t="s">
        <v>192</v>
      </c>
      <c r="R2438">
        <v>1</v>
      </c>
      <c r="S2438">
        <v>5000</v>
      </c>
      <c r="T2438">
        <v>798990</v>
      </c>
      <c r="U2438">
        <v>0</v>
      </c>
      <c r="V2438">
        <v>0</v>
      </c>
      <c r="W2438">
        <v>0</v>
      </c>
      <c r="X2438" s="367"/>
    </row>
    <row r="2439" spans="1:24">
      <c r="A2439" t="s">
        <v>5789</v>
      </c>
      <c r="B2439" t="s">
        <v>3244</v>
      </c>
      <c r="C2439">
        <v>15</v>
      </c>
      <c r="D2439">
        <v>4366366</v>
      </c>
      <c r="E2439">
        <v>90789925643</v>
      </c>
      <c r="F2439">
        <v>20762</v>
      </c>
      <c r="G2439">
        <v>20793</v>
      </c>
      <c r="H2439">
        <v>20793</v>
      </c>
      <c r="I2439">
        <v>31</v>
      </c>
      <c r="J2439">
        <v>0.15</v>
      </c>
      <c r="K2439">
        <v>20793</v>
      </c>
      <c r="L2439">
        <v>31</v>
      </c>
      <c r="M2439">
        <v>0.15</v>
      </c>
      <c r="N2439">
        <v>20793</v>
      </c>
      <c r="O2439">
        <v>20794</v>
      </c>
      <c r="P2439" t="s">
        <v>192</v>
      </c>
      <c r="Q2439" t="s">
        <v>192</v>
      </c>
      <c r="R2439">
        <v>1</v>
      </c>
      <c r="S2439">
        <v>25711039</v>
      </c>
      <c r="T2439">
        <v>20793</v>
      </c>
      <c r="U2439">
        <v>20794</v>
      </c>
      <c r="V2439">
        <v>9922694</v>
      </c>
      <c r="W2439">
        <v>1</v>
      </c>
      <c r="X2439" s="367"/>
    </row>
    <row r="2440" spans="1:24">
      <c r="A2440" t="s">
        <v>8859</v>
      </c>
      <c r="B2440" t="s">
        <v>8860</v>
      </c>
      <c r="C2440">
        <v>1</v>
      </c>
      <c r="D2440">
        <v>5000</v>
      </c>
      <c r="E2440">
        <v>4700000000</v>
      </c>
      <c r="F2440">
        <v>934680</v>
      </c>
      <c r="G2440">
        <v>940000</v>
      </c>
      <c r="H2440">
        <v>940000</v>
      </c>
      <c r="I2440">
        <v>5320</v>
      </c>
      <c r="J2440">
        <v>0.56999999999999995</v>
      </c>
      <c r="K2440">
        <v>940000</v>
      </c>
      <c r="L2440">
        <v>5320</v>
      </c>
      <c r="M2440">
        <v>0.56999999999999995</v>
      </c>
      <c r="N2440">
        <v>940000</v>
      </c>
      <c r="O2440">
        <v>940000</v>
      </c>
      <c r="P2440" t="s">
        <v>192</v>
      </c>
      <c r="Q2440" t="s">
        <v>192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 s="367"/>
    </row>
    <row r="2441" spans="1:24">
      <c r="A2441" t="s">
        <v>5790</v>
      </c>
      <c r="B2441" t="s">
        <v>5791</v>
      </c>
      <c r="C2441">
        <v>0</v>
      </c>
      <c r="D2441">
        <v>0</v>
      </c>
      <c r="E2441">
        <v>0</v>
      </c>
      <c r="F2441">
        <v>1000000</v>
      </c>
      <c r="G2441">
        <v>0</v>
      </c>
      <c r="H2441">
        <v>1000000</v>
      </c>
      <c r="I2441">
        <v>0</v>
      </c>
      <c r="J2441">
        <v>0</v>
      </c>
      <c r="K2441">
        <v>1000000</v>
      </c>
      <c r="L2441">
        <v>0</v>
      </c>
      <c r="M2441">
        <v>0</v>
      </c>
      <c r="N2441">
        <v>0</v>
      </c>
      <c r="O2441">
        <v>0</v>
      </c>
      <c r="P2441" t="s">
        <v>192</v>
      </c>
      <c r="Q2441" t="s">
        <v>192</v>
      </c>
      <c r="R2441">
        <v>1</v>
      </c>
      <c r="S2441">
        <v>3000</v>
      </c>
      <c r="T2441">
        <v>999900</v>
      </c>
      <c r="U2441">
        <v>1010000</v>
      </c>
      <c r="V2441">
        <v>3000</v>
      </c>
      <c r="W2441">
        <v>1</v>
      </c>
      <c r="X2441" s="367"/>
    </row>
    <row r="2442" spans="1:24">
      <c r="A2442" t="s">
        <v>5792</v>
      </c>
      <c r="B2442" t="s">
        <v>5793</v>
      </c>
      <c r="C2442">
        <v>42</v>
      </c>
      <c r="D2442">
        <v>2233209</v>
      </c>
      <c r="E2442">
        <v>53956562649</v>
      </c>
      <c r="F2442">
        <v>23458</v>
      </c>
      <c r="G2442">
        <v>24161</v>
      </c>
      <c r="H2442">
        <v>24161</v>
      </c>
      <c r="I2442">
        <v>703</v>
      </c>
      <c r="J2442">
        <v>3</v>
      </c>
      <c r="K2442">
        <v>24161</v>
      </c>
      <c r="L2442">
        <v>703</v>
      </c>
      <c r="M2442">
        <v>3</v>
      </c>
      <c r="N2442">
        <v>24161</v>
      </c>
      <c r="O2442">
        <v>24161</v>
      </c>
      <c r="P2442" t="s">
        <v>192</v>
      </c>
      <c r="Q2442" t="s">
        <v>192</v>
      </c>
      <c r="R2442">
        <v>70</v>
      </c>
      <c r="S2442">
        <v>1688165</v>
      </c>
      <c r="T2442">
        <v>24161</v>
      </c>
      <c r="U2442">
        <v>0</v>
      </c>
      <c r="V2442">
        <v>0</v>
      </c>
      <c r="W2442">
        <v>0</v>
      </c>
      <c r="X2442" s="367"/>
    </row>
    <row r="2443" spans="1:24">
      <c r="A2443" t="s">
        <v>2883</v>
      </c>
      <c r="B2443" t="s">
        <v>2882</v>
      </c>
      <c r="C2443">
        <v>1144</v>
      </c>
      <c r="D2443">
        <v>2875554</v>
      </c>
      <c r="E2443">
        <v>67604274540</v>
      </c>
      <c r="F2443">
        <v>22830</v>
      </c>
      <c r="G2443">
        <v>23510</v>
      </c>
      <c r="H2443">
        <v>23510</v>
      </c>
      <c r="I2443">
        <v>680</v>
      </c>
      <c r="J2443">
        <v>2.98</v>
      </c>
      <c r="K2443">
        <v>23510</v>
      </c>
      <c r="L2443">
        <v>680</v>
      </c>
      <c r="M2443">
        <v>2.98</v>
      </c>
      <c r="N2443">
        <v>23510</v>
      </c>
      <c r="O2443">
        <v>23510</v>
      </c>
      <c r="P2443">
        <v>2731</v>
      </c>
      <c r="Q2443">
        <v>8.61</v>
      </c>
      <c r="R2443">
        <v>460</v>
      </c>
      <c r="S2443">
        <v>4800142</v>
      </c>
      <c r="T2443">
        <v>23510</v>
      </c>
      <c r="U2443">
        <v>0</v>
      </c>
      <c r="V2443">
        <v>0</v>
      </c>
      <c r="W2443">
        <v>0</v>
      </c>
      <c r="X2443" s="367"/>
    </row>
    <row r="2444" spans="1:24">
      <c r="A2444" t="s">
        <v>1749</v>
      </c>
      <c r="B2444" t="s">
        <v>1748</v>
      </c>
      <c r="C2444">
        <v>305</v>
      </c>
      <c r="D2444">
        <v>5946514</v>
      </c>
      <c r="E2444">
        <v>64232885750</v>
      </c>
      <c r="F2444">
        <v>10540</v>
      </c>
      <c r="G2444">
        <v>10800</v>
      </c>
      <c r="H2444">
        <v>10850</v>
      </c>
      <c r="I2444">
        <v>310</v>
      </c>
      <c r="J2444">
        <v>2.94</v>
      </c>
      <c r="K2444">
        <v>10800</v>
      </c>
      <c r="L2444">
        <v>260</v>
      </c>
      <c r="M2444">
        <v>2.4700000000000002</v>
      </c>
      <c r="N2444">
        <v>10700</v>
      </c>
      <c r="O2444">
        <v>10850</v>
      </c>
      <c r="P2444">
        <v>8</v>
      </c>
      <c r="Q2444">
        <v>1350</v>
      </c>
      <c r="R2444">
        <v>5</v>
      </c>
      <c r="S2444">
        <v>175686</v>
      </c>
      <c r="T2444">
        <v>10830</v>
      </c>
      <c r="U2444">
        <v>10850</v>
      </c>
      <c r="V2444">
        <v>281200</v>
      </c>
      <c r="W2444">
        <v>6</v>
      </c>
      <c r="X2444" s="367"/>
    </row>
    <row r="2445" spans="1:24">
      <c r="A2445" t="s">
        <v>5795</v>
      </c>
      <c r="B2445" t="s">
        <v>5796</v>
      </c>
      <c r="C2445">
        <v>9</v>
      </c>
      <c r="D2445">
        <v>41000</v>
      </c>
      <c r="E2445">
        <v>945051000</v>
      </c>
      <c r="F2445">
        <v>22380</v>
      </c>
      <c r="G2445">
        <v>23051</v>
      </c>
      <c r="H2445">
        <v>23050</v>
      </c>
      <c r="I2445">
        <v>670</v>
      </c>
      <c r="J2445">
        <v>2.99</v>
      </c>
      <c r="K2445">
        <v>23050</v>
      </c>
      <c r="L2445">
        <v>670</v>
      </c>
      <c r="M2445">
        <v>2.99</v>
      </c>
      <c r="N2445">
        <v>23050</v>
      </c>
      <c r="O2445">
        <v>23051</v>
      </c>
      <c r="P2445" t="s">
        <v>192</v>
      </c>
      <c r="Q2445" t="s">
        <v>192</v>
      </c>
      <c r="R2445">
        <v>1</v>
      </c>
      <c r="S2445">
        <v>45</v>
      </c>
      <c r="T2445">
        <v>22401</v>
      </c>
      <c r="U2445">
        <v>23051</v>
      </c>
      <c r="V2445">
        <v>261439</v>
      </c>
      <c r="W2445">
        <v>3</v>
      </c>
      <c r="X2445" s="367"/>
    </row>
    <row r="2446" spans="1:24">
      <c r="A2446" t="s">
        <v>2478</v>
      </c>
      <c r="B2446" t="s">
        <v>2477</v>
      </c>
      <c r="C2446">
        <v>701</v>
      </c>
      <c r="D2446">
        <v>19237113</v>
      </c>
      <c r="E2446">
        <v>128066925840</v>
      </c>
      <c r="F2446">
        <v>6470</v>
      </c>
      <c r="G2446">
        <v>6660</v>
      </c>
      <c r="H2446">
        <v>6660</v>
      </c>
      <c r="I2446">
        <v>190</v>
      </c>
      <c r="J2446">
        <v>2.94</v>
      </c>
      <c r="K2446">
        <v>6660</v>
      </c>
      <c r="L2446">
        <v>190</v>
      </c>
      <c r="M2446">
        <v>2.94</v>
      </c>
      <c r="N2446">
        <v>6530</v>
      </c>
      <c r="O2446">
        <v>6660</v>
      </c>
      <c r="P2446">
        <v>706</v>
      </c>
      <c r="Q2446">
        <v>9.43</v>
      </c>
      <c r="R2446">
        <v>2</v>
      </c>
      <c r="S2446">
        <v>10140</v>
      </c>
      <c r="T2446">
        <v>6640</v>
      </c>
      <c r="U2446">
        <v>0</v>
      </c>
      <c r="V2446">
        <v>0</v>
      </c>
      <c r="W2446">
        <v>0</v>
      </c>
      <c r="X2446" s="367"/>
    </row>
    <row r="2447" spans="1:24">
      <c r="A2447" t="s">
        <v>2427</v>
      </c>
      <c r="B2447" t="s">
        <v>2426</v>
      </c>
      <c r="C2447">
        <v>643</v>
      </c>
      <c r="D2447">
        <v>67790963</v>
      </c>
      <c r="E2447">
        <v>405389958740</v>
      </c>
      <c r="F2447">
        <v>5810</v>
      </c>
      <c r="G2447">
        <v>5980</v>
      </c>
      <c r="H2447">
        <v>5980</v>
      </c>
      <c r="I2447">
        <v>170</v>
      </c>
      <c r="J2447">
        <v>2.93</v>
      </c>
      <c r="K2447">
        <v>5980</v>
      </c>
      <c r="L2447">
        <v>170</v>
      </c>
      <c r="M2447">
        <v>2.93</v>
      </c>
      <c r="N2447">
        <v>5980</v>
      </c>
      <c r="O2447">
        <v>5980</v>
      </c>
      <c r="P2447">
        <v>811</v>
      </c>
      <c r="Q2447">
        <v>7.37</v>
      </c>
      <c r="R2447">
        <v>468</v>
      </c>
      <c r="S2447">
        <v>119083847</v>
      </c>
      <c r="T2447">
        <v>5980</v>
      </c>
      <c r="U2447">
        <v>0</v>
      </c>
      <c r="V2447">
        <v>0</v>
      </c>
      <c r="W2447">
        <v>0</v>
      </c>
      <c r="X2447" s="367"/>
    </row>
    <row r="2448" spans="1:24">
      <c r="A2448" t="s">
        <v>5797</v>
      </c>
      <c r="B2448" t="s">
        <v>5798</v>
      </c>
      <c r="C2448">
        <v>94</v>
      </c>
      <c r="D2448">
        <v>1304962</v>
      </c>
      <c r="E2448">
        <v>6006792570</v>
      </c>
      <c r="F2448">
        <v>4480</v>
      </c>
      <c r="G2448">
        <v>4510</v>
      </c>
      <c r="H2448">
        <v>4610</v>
      </c>
      <c r="I2448">
        <v>130</v>
      </c>
      <c r="J2448">
        <v>2.9</v>
      </c>
      <c r="K2448">
        <v>4600</v>
      </c>
      <c r="L2448">
        <v>120</v>
      </c>
      <c r="M2448">
        <v>2.68</v>
      </c>
      <c r="N2448">
        <v>4510</v>
      </c>
      <c r="O2448">
        <v>4610</v>
      </c>
      <c r="P2448">
        <v>-352</v>
      </c>
      <c r="Q2448">
        <v>-13.07</v>
      </c>
      <c r="R2448">
        <v>1</v>
      </c>
      <c r="S2448">
        <v>12000</v>
      </c>
      <c r="T2448">
        <v>4470</v>
      </c>
      <c r="U2448">
        <v>5350</v>
      </c>
      <c r="V2448">
        <v>8127</v>
      </c>
      <c r="W2448">
        <v>1</v>
      </c>
      <c r="X2448" s="367"/>
    </row>
    <row r="2449" spans="1:24">
      <c r="A2449" t="s">
        <v>3126</v>
      </c>
      <c r="B2449" t="s">
        <v>3125</v>
      </c>
      <c r="C2449">
        <v>10</v>
      </c>
      <c r="D2449">
        <v>159313</v>
      </c>
      <c r="E2449">
        <v>549629850</v>
      </c>
      <c r="F2449">
        <v>3350</v>
      </c>
      <c r="G2449">
        <v>3450</v>
      </c>
      <c r="H2449">
        <v>3450</v>
      </c>
      <c r="I2449">
        <v>100</v>
      </c>
      <c r="J2449">
        <v>2.99</v>
      </c>
      <c r="K2449">
        <v>3450</v>
      </c>
      <c r="L2449">
        <v>100</v>
      </c>
      <c r="M2449">
        <v>2.99</v>
      </c>
      <c r="N2449">
        <v>3450</v>
      </c>
      <c r="O2449">
        <v>3450</v>
      </c>
      <c r="P2449">
        <v>633</v>
      </c>
      <c r="Q2449">
        <v>5.45</v>
      </c>
      <c r="R2449">
        <v>12</v>
      </c>
      <c r="S2449">
        <v>1441677</v>
      </c>
      <c r="T2449">
        <v>3450</v>
      </c>
      <c r="U2449">
        <v>0</v>
      </c>
      <c r="V2449">
        <v>0</v>
      </c>
      <c r="W2449">
        <v>0</v>
      </c>
      <c r="X2449" s="367"/>
    </row>
    <row r="2450" spans="1:24">
      <c r="A2450" t="s">
        <v>5799</v>
      </c>
      <c r="B2450" t="s">
        <v>5800</v>
      </c>
      <c r="C2450">
        <v>0</v>
      </c>
      <c r="D2450">
        <v>0</v>
      </c>
      <c r="E2450">
        <v>0</v>
      </c>
      <c r="F2450">
        <v>861000</v>
      </c>
      <c r="G2450">
        <v>0</v>
      </c>
      <c r="H2450">
        <v>861000</v>
      </c>
      <c r="I2450">
        <v>0</v>
      </c>
      <c r="J2450">
        <v>0</v>
      </c>
      <c r="K2450">
        <v>861000</v>
      </c>
      <c r="L2450">
        <v>0</v>
      </c>
      <c r="M2450">
        <v>0</v>
      </c>
      <c r="N2450">
        <v>0</v>
      </c>
      <c r="O2450">
        <v>0</v>
      </c>
      <c r="P2450" t="s">
        <v>192</v>
      </c>
      <c r="Q2450" t="s">
        <v>192</v>
      </c>
      <c r="R2450">
        <v>1</v>
      </c>
      <c r="S2450">
        <v>10000</v>
      </c>
      <c r="T2450">
        <v>818000</v>
      </c>
      <c r="U2450">
        <v>826000</v>
      </c>
      <c r="V2450">
        <v>10000</v>
      </c>
      <c r="W2450">
        <v>1</v>
      </c>
      <c r="X2450" s="367"/>
    </row>
    <row r="2451" spans="1:24">
      <c r="A2451" t="s">
        <v>2965</v>
      </c>
      <c r="B2451" t="s">
        <v>2964</v>
      </c>
      <c r="C2451">
        <v>334</v>
      </c>
      <c r="D2451">
        <v>9114719</v>
      </c>
      <c r="E2451">
        <v>32261505260</v>
      </c>
      <c r="F2451">
        <v>3440</v>
      </c>
      <c r="G2451">
        <v>3530</v>
      </c>
      <c r="H2451">
        <v>3540</v>
      </c>
      <c r="I2451">
        <v>100</v>
      </c>
      <c r="J2451">
        <v>2.91</v>
      </c>
      <c r="K2451">
        <v>3540</v>
      </c>
      <c r="L2451">
        <v>100</v>
      </c>
      <c r="M2451">
        <v>2.91</v>
      </c>
      <c r="N2451">
        <v>3520</v>
      </c>
      <c r="O2451">
        <v>3540</v>
      </c>
      <c r="P2451">
        <v>749</v>
      </c>
      <c r="Q2451">
        <v>4.7300000000000004</v>
      </c>
      <c r="R2451">
        <v>18</v>
      </c>
      <c r="S2451">
        <v>2691901</v>
      </c>
      <c r="T2451">
        <v>3540</v>
      </c>
      <c r="U2451">
        <v>0</v>
      </c>
      <c r="V2451">
        <v>0</v>
      </c>
      <c r="W2451">
        <v>0</v>
      </c>
      <c r="X2451" s="367"/>
    </row>
    <row r="2452" spans="1:24">
      <c r="A2452" t="s">
        <v>8861</v>
      </c>
      <c r="B2452" t="s">
        <v>2066</v>
      </c>
      <c r="C2452">
        <v>4</v>
      </c>
      <c r="D2452">
        <v>61500</v>
      </c>
      <c r="E2452">
        <v>184131000</v>
      </c>
      <c r="F2452">
        <v>2912</v>
      </c>
      <c r="G2452">
        <v>2994</v>
      </c>
      <c r="H2452">
        <v>2994</v>
      </c>
      <c r="I2452">
        <v>82</v>
      </c>
      <c r="J2452">
        <v>2.82</v>
      </c>
      <c r="K2452">
        <v>2994</v>
      </c>
      <c r="L2452">
        <v>82</v>
      </c>
      <c r="M2452">
        <v>2.82</v>
      </c>
      <c r="N2452">
        <v>2994</v>
      </c>
      <c r="O2452">
        <v>2994</v>
      </c>
      <c r="P2452">
        <v>385</v>
      </c>
      <c r="Q2452">
        <v>7.78</v>
      </c>
      <c r="R2452">
        <v>1</v>
      </c>
      <c r="S2452">
        <v>183951</v>
      </c>
      <c r="T2452">
        <v>2994</v>
      </c>
      <c r="U2452">
        <v>0</v>
      </c>
      <c r="V2452">
        <v>0</v>
      </c>
      <c r="W2452">
        <v>0</v>
      </c>
      <c r="X2452" s="367"/>
    </row>
    <row r="2453" spans="1:24">
      <c r="A2453" t="s">
        <v>4980</v>
      </c>
      <c r="B2453" t="s">
        <v>4981</v>
      </c>
      <c r="C2453">
        <v>0</v>
      </c>
      <c r="D2453">
        <v>0</v>
      </c>
      <c r="E2453">
        <v>0</v>
      </c>
      <c r="F2453">
        <v>1000000</v>
      </c>
      <c r="G2453">
        <v>0</v>
      </c>
      <c r="H2453">
        <v>1000000</v>
      </c>
      <c r="I2453">
        <v>0</v>
      </c>
      <c r="J2453">
        <v>0</v>
      </c>
      <c r="K2453">
        <v>1000000</v>
      </c>
      <c r="L2453">
        <v>0</v>
      </c>
      <c r="M2453">
        <v>0</v>
      </c>
      <c r="N2453">
        <v>0</v>
      </c>
      <c r="O2453">
        <v>0</v>
      </c>
      <c r="P2453" t="s">
        <v>192</v>
      </c>
      <c r="Q2453" t="s">
        <v>192</v>
      </c>
      <c r="R2453">
        <v>1</v>
      </c>
      <c r="S2453">
        <v>7500</v>
      </c>
      <c r="T2453">
        <v>970000</v>
      </c>
      <c r="U2453">
        <v>0</v>
      </c>
      <c r="V2453">
        <v>0</v>
      </c>
      <c r="W2453">
        <v>0</v>
      </c>
      <c r="X2453" s="367"/>
    </row>
    <row r="2454" spans="1:24">
      <c r="A2454" t="s">
        <v>3703</v>
      </c>
      <c r="B2454" t="s">
        <v>3704</v>
      </c>
      <c r="C2454">
        <v>2</v>
      </c>
      <c r="D2454">
        <v>31</v>
      </c>
      <c r="E2454">
        <v>27340000</v>
      </c>
      <c r="F2454">
        <v>799</v>
      </c>
      <c r="G2454">
        <v>940</v>
      </c>
      <c r="H2454">
        <v>880</v>
      </c>
      <c r="I2454">
        <v>81</v>
      </c>
      <c r="J2454">
        <v>10.14</v>
      </c>
      <c r="K2454">
        <v>882</v>
      </c>
      <c r="L2454">
        <v>83</v>
      </c>
      <c r="M2454">
        <v>10.39</v>
      </c>
      <c r="N2454">
        <v>880</v>
      </c>
      <c r="O2454">
        <v>940</v>
      </c>
      <c r="P2454" t="s">
        <v>192</v>
      </c>
      <c r="Q2454" t="s">
        <v>192</v>
      </c>
      <c r="R2454">
        <v>1</v>
      </c>
      <c r="S2454">
        <v>50</v>
      </c>
      <c r="T2454">
        <v>881</v>
      </c>
      <c r="U2454">
        <v>1500</v>
      </c>
      <c r="V2454">
        <v>30</v>
      </c>
      <c r="W2454">
        <v>1</v>
      </c>
      <c r="X2454" s="367"/>
    </row>
    <row r="2455" spans="1:24">
      <c r="A2455" t="s">
        <v>7902</v>
      </c>
      <c r="B2455" t="s">
        <v>7903</v>
      </c>
      <c r="C2455">
        <v>14</v>
      </c>
      <c r="D2455">
        <v>427</v>
      </c>
      <c r="E2455">
        <v>519843000</v>
      </c>
      <c r="F2455">
        <v>1865</v>
      </c>
      <c r="G2455">
        <v>1404</v>
      </c>
      <c r="H2455">
        <v>1850</v>
      </c>
      <c r="I2455">
        <v>-15</v>
      </c>
      <c r="J2455">
        <v>-0.8</v>
      </c>
      <c r="K2455">
        <v>1217</v>
      </c>
      <c r="L2455">
        <v>-648</v>
      </c>
      <c r="M2455">
        <v>-34.75</v>
      </c>
      <c r="N2455">
        <v>1000</v>
      </c>
      <c r="O2455">
        <v>1850</v>
      </c>
      <c r="P2455" t="s">
        <v>192</v>
      </c>
      <c r="Q2455" t="s">
        <v>192</v>
      </c>
      <c r="R2455">
        <v>1</v>
      </c>
      <c r="S2455">
        <v>15</v>
      </c>
      <c r="T2455">
        <v>1302</v>
      </c>
      <c r="U2455">
        <v>2098</v>
      </c>
      <c r="V2455">
        <v>2</v>
      </c>
      <c r="W2455">
        <v>1</v>
      </c>
      <c r="X2455" s="367"/>
    </row>
    <row r="2456" spans="1:24">
      <c r="A2456" t="s">
        <v>3470</v>
      </c>
      <c r="B2456" t="s">
        <v>8212</v>
      </c>
      <c r="C2456">
        <v>18</v>
      </c>
      <c r="D2456">
        <v>1095</v>
      </c>
      <c r="E2456">
        <v>615090000</v>
      </c>
      <c r="F2456">
        <v>513</v>
      </c>
      <c r="G2456">
        <v>550</v>
      </c>
      <c r="H2456">
        <v>551</v>
      </c>
      <c r="I2456">
        <v>38</v>
      </c>
      <c r="J2456">
        <v>7.41</v>
      </c>
      <c r="K2456">
        <v>562</v>
      </c>
      <c r="L2456">
        <v>49</v>
      </c>
      <c r="M2456">
        <v>9.5500000000000007</v>
      </c>
      <c r="N2456">
        <v>550</v>
      </c>
      <c r="O2456">
        <v>580</v>
      </c>
      <c r="P2456" t="s">
        <v>192</v>
      </c>
      <c r="Q2456" t="s">
        <v>192</v>
      </c>
      <c r="R2456">
        <v>2</v>
      </c>
      <c r="S2456">
        <v>15</v>
      </c>
      <c r="T2456">
        <v>546</v>
      </c>
      <c r="U2456">
        <v>573</v>
      </c>
      <c r="V2456">
        <v>30</v>
      </c>
      <c r="W2456">
        <v>1</v>
      </c>
      <c r="X2456" s="367"/>
    </row>
    <row r="2457" spans="1:24">
      <c r="A2457" t="s">
        <v>5128</v>
      </c>
      <c r="B2457" t="s">
        <v>5129</v>
      </c>
      <c r="C2457">
        <v>0</v>
      </c>
      <c r="D2457">
        <v>0</v>
      </c>
      <c r="E2457">
        <v>0</v>
      </c>
      <c r="F2457">
        <v>1000000</v>
      </c>
      <c r="G2457">
        <v>0</v>
      </c>
      <c r="H2457">
        <v>1000000</v>
      </c>
      <c r="I2457">
        <v>0</v>
      </c>
      <c r="J2457">
        <v>0</v>
      </c>
      <c r="K2457">
        <v>1000000</v>
      </c>
      <c r="L2457">
        <v>0</v>
      </c>
      <c r="M2457">
        <v>0</v>
      </c>
      <c r="N2457">
        <v>0</v>
      </c>
      <c r="O2457">
        <v>0</v>
      </c>
      <c r="P2457" t="s">
        <v>192</v>
      </c>
      <c r="Q2457" t="s">
        <v>192</v>
      </c>
      <c r="R2457">
        <v>1</v>
      </c>
      <c r="S2457">
        <v>5000</v>
      </c>
      <c r="T2457">
        <v>995000</v>
      </c>
      <c r="U2457">
        <v>0</v>
      </c>
      <c r="V2457">
        <v>0</v>
      </c>
      <c r="W2457">
        <v>0</v>
      </c>
      <c r="X2457" s="367"/>
    </row>
    <row r="2458" spans="1:24">
      <c r="A2458" t="s">
        <v>8480</v>
      </c>
      <c r="B2458" t="s">
        <v>8481</v>
      </c>
      <c r="C2458">
        <v>0</v>
      </c>
      <c r="D2458">
        <v>0</v>
      </c>
      <c r="E2458">
        <v>0</v>
      </c>
      <c r="F2458">
        <v>1</v>
      </c>
      <c r="G2458">
        <v>0</v>
      </c>
      <c r="H2458">
        <v>1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0</v>
      </c>
      <c r="O2458">
        <v>0</v>
      </c>
      <c r="P2458" t="s">
        <v>192</v>
      </c>
      <c r="Q2458" t="s">
        <v>192</v>
      </c>
      <c r="R2458">
        <v>1</v>
      </c>
      <c r="S2458">
        <v>333</v>
      </c>
      <c r="T2458">
        <v>3</v>
      </c>
      <c r="U2458">
        <v>0</v>
      </c>
      <c r="V2458">
        <v>0</v>
      </c>
      <c r="W2458">
        <v>0</v>
      </c>
      <c r="X2458" s="367"/>
    </row>
    <row r="2459" spans="1:24">
      <c r="A2459" t="s">
        <v>3697</v>
      </c>
      <c r="B2459" t="s">
        <v>3698</v>
      </c>
      <c r="C2459">
        <v>1</v>
      </c>
      <c r="D2459">
        <v>20</v>
      </c>
      <c r="E2459">
        <v>24440000</v>
      </c>
      <c r="F2459">
        <v>1099</v>
      </c>
      <c r="G2459">
        <v>1222</v>
      </c>
      <c r="H2459">
        <v>1222</v>
      </c>
      <c r="I2459">
        <v>123</v>
      </c>
      <c r="J2459">
        <v>11.19</v>
      </c>
      <c r="K2459">
        <v>1222</v>
      </c>
      <c r="L2459">
        <v>123</v>
      </c>
      <c r="M2459">
        <v>11.19</v>
      </c>
      <c r="N2459">
        <v>1222</v>
      </c>
      <c r="O2459">
        <v>1222</v>
      </c>
      <c r="P2459" t="s">
        <v>192</v>
      </c>
      <c r="Q2459" t="s">
        <v>192</v>
      </c>
      <c r="R2459">
        <v>1</v>
      </c>
      <c r="S2459">
        <v>20</v>
      </c>
      <c r="T2459">
        <v>1110</v>
      </c>
      <c r="U2459">
        <v>1222</v>
      </c>
      <c r="V2459">
        <v>30</v>
      </c>
      <c r="W2459">
        <v>1</v>
      </c>
      <c r="X2459" s="367"/>
    </row>
    <row r="2460" spans="1:24">
      <c r="A2460" t="s">
        <v>5118</v>
      </c>
      <c r="B2460" t="s">
        <v>5119</v>
      </c>
      <c r="C2460">
        <v>29</v>
      </c>
      <c r="D2460">
        <v>77245</v>
      </c>
      <c r="E2460">
        <v>3130255415</v>
      </c>
      <c r="F2460">
        <v>39374</v>
      </c>
      <c r="G2460">
        <v>40555</v>
      </c>
      <c r="H2460">
        <v>40555</v>
      </c>
      <c r="I2460">
        <v>1181</v>
      </c>
      <c r="J2460">
        <v>3</v>
      </c>
      <c r="K2460">
        <v>40524</v>
      </c>
      <c r="L2460">
        <v>1150</v>
      </c>
      <c r="M2460">
        <v>2.92</v>
      </c>
      <c r="N2460">
        <v>40138</v>
      </c>
      <c r="O2460">
        <v>40555</v>
      </c>
      <c r="P2460" t="s">
        <v>192</v>
      </c>
      <c r="Q2460" t="s">
        <v>192</v>
      </c>
      <c r="R2460">
        <v>1</v>
      </c>
      <c r="S2460">
        <v>23379</v>
      </c>
      <c r="T2460">
        <v>40500</v>
      </c>
      <c r="U2460">
        <v>40555</v>
      </c>
      <c r="V2460">
        <v>100000</v>
      </c>
      <c r="W2460">
        <v>5</v>
      </c>
      <c r="X2460" s="367"/>
    </row>
    <row r="2461" spans="1:24">
      <c r="A2461" t="s">
        <v>8862</v>
      </c>
      <c r="B2461" t="s">
        <v>2999</v>
      </c>
      <c r="C2461">
        <v>3</v>
      </c>
      <c r="D2461">
        <v>15000</v>
      </c>
      <c r="E2461">
        <v>26865000</v>
      </c>
      <c r="F2461">
        <v>1741</v>
      </c>
      <c r="G2461">
        <v>1791</v>
      </c>
      <c r="H2461">
        <v>1791</v>
      </c>
      <c r="I2461">
        <v>50</v>
      </c>
      <c r="J2461">
        <v>2.87</v>
      </c>
      <c r="K2461">
        <v>1791</v>
      </c>
      <c r="L2461">
        <v>50</v>
      </c>
      <c r="M2461">
        <v>2.87</v>
      </c>
      <c r="N2461">
        <v>1791</v>
      </c>
      <c r="O2461">
        <v>1791</v>
      </c>
      <c r="P2461">
        <v>144</v>
      </c>
      <c r="Q2461">
        <v>12.44</v>
      </c>
      <c r="R2461">
        <v>3</v>
      </c>
      <c r="S2461">
        <v>40850</v>
      </c>
      <c r="T2461">
        <v>1791</v>
      </c>
      <c r="U2461">
        <v>0</v>
      </c>
      <c r="V2461">
        <v>0</v>
      </c>
      <c r="W2461">
        <v>0</v>
      </c>
      <c r="X2461" s="367"/>
    </row>
    <row r="2462" spans="1:24">
      <c r="A2462" t="s">
        <v>2355</v>
      </c>
      <c r="B2462" t="s">
        <v>2354</v>
      </c>
      <c r="C2462">
        <v>1221</v>
      </c>
      <c r="D2462">
        <v>59293867</v>
      </c>
      <c r="E2462">
        <v>323307242100</v>
      </c>
      <c r="F2462">
        <v>5310</v>
      </c>
      <c r="G2462">
        <v>5390</v>
      </c>
      <c r="H2462">
        <v>5460</v>
      </c>
      <c r="I2462">
        <v>150</v>
      </c>
      <c r="J2462">
        <v>2.82</v>
      </c>
      <c r="K2462">
        <v>5450</v>
      </c>
      <c r="L2462">
        <v>140</v>
      </c>
      <c r="M2462">
        <v>2.64</v>
      </c>
      <c r="N2462">
        <v>5390</v>
      </c>
      <c r="O2462">
        <v>5460</v>
      </c>
      <c r="P2462">
        <v>237</v>
      </c>
      <c r="Q2462">
        <v>23</v>
      </c>
      <c r="R2462">
        <v>17</v>
      </c>
      <c r="S2462">
        <v>2571485</v>
      </c>
      <c r="T2462">
        <v>5460</v>
      </c>
      <c r="U2462">
        <v>5480</v>
      </c>
      <c r="V2462">
        <v>40040</v>
      </c>
      <c r="W2462">
        <v>1</v>
      </c>
      <c r="X2462" s="367"/>
    </row>
    <row r="2463" spans="1:24">
      <c r="A2463" t="s">
        <v>5035</v>
      </c>
      <c r="B2463" t="s">
        <v>5036</v>
      </c>
      <c r="C2463">
        <v>0</v>
      </c>
      <c r="D2463">
        <v>0</v>
      </c>
      <c r="E2463">
        <v>0</v>
      </c>
      <c r="F2463">
        <v>1000000</v>
      </c>
      <c r="G2463">
        <v>0</v>
      </c>
      <c r="H2463">
        <v>1000000</v>
      </c>
      <c r="I2463">
        <v>0</v>
      </c>
      <c r="J2463">
        <v>0</v>
      </c>
      <c r="K2463">
        <v>1000000</v>
      </c>
      <c r="L2463">
        <v>0</v>
      </c>
      <c r="M2463">
        <v>0</v>
      </c>
      <c r="N2463">
        <v>0</v>
      </c>
      <c r="O2463">
        <v>0</v>
      </c>
      <c r="P2463" t="s">
        <v>192</v>
      </c>
      <c r="Q2463" t="s">
        <v>192</v>
      </c>
      <c r="R2463">
        <v>1</v>
      </c>
      <c r="S2463">
        <v>4300</v>
      </c>
      <c r="T2463">
        <v>1000000</v>
      </c>
      <c r="U2463">
        <v>1010000</v>
      </c>
      <c r="V2463">
        <v>4290</v>
      </c>
      <c r="W2463">
        <v>1</v>
      </c>
      <c r="X2463" s="367"/>
    </row>
    <row r="2464" spans="1:24">
      <c r="A2464" t="s">
        <v>2717</v>
      </c>
      <c r="B2464" t="s">
        <v>2716</v>
      </c>
      <c r="C2464">
        <v>347</v>
      </c>
      <c r="D2464">
        <v>7700895</v>
      </c>
      <c r="E2464">
        <v>115104685040</v>
      </c>
      <c r="F2464">
        <v>14540</v>
      </c>
      <c r="G2464">
        <v>14950</v>
      </c>
      <c r="H2464">
        <v>14970</v>
      </c>
      <c r="I2464">
        <v>430</v>
      </c>
      <c r="J2464">
        <v>2.96</v>
      </c>
      <c r="K2464">
        <v>14950</v>
      </c>
      <c r="L2464">
        <v>410</v>
      </c>
      <c r="M2464">
        <v>2.82</v>
      </c>
      <c r="N2464">
        <v>14700</v>
      </c>
      <c r="O2464">
        <v>14970</v>
      </c>
      <c r="P2464">
        <v>1590</v>
      </c>
      <c r="Q2464">
        <v>9.4</v>
      </c>
      <c r="R2464">
        <v>44</v>
      </c>
      <c r="S2464">
        <v>3402431</v>
      </c>
      <c r="T2464">
        <v>14970</v>
      </c>
      <c r="U2464">
        <v>15080</v>
      </c>
      <c r="V2464">
        <v>348</v>
      </c>
      <c r="W2464">
        <v>1</v>
      </c>
      <c r="X2464" s="367"/>
    </row>
    <row r="2465" spans="1:24">
      <c r="A2465" t="s">
        <v>5101</v>
      </c>
      <c r="B2465" t="s">
        <v>5102</v>
      </c>
      <c r="C2465">
        <v>0</v>
      </c>
      <c r="D2465">
        <v>0</v>
      </c>
      <c r="E2465">
        <v>0</v>
      </c>
      <c r="F2465">
        <v>1000000</v>
      </c>
      <c r="G2465">
        <v>0</v>
      </c>
      <c r="H2465">
        <v>1000000</v>
      </c>
      <c r="I2465">
        <v>0</v>
      </c>
      <c r="J2465">
        <v>0</v>
      </c>
      <c r="K2465">
        <v>1000000</v>
      </c>
      <c r="L2465">
        <v>0</v>
      </c>
      <c r="M2465">
        <v>0</v>
      </c>
      <c r="N2465">
        <v>0</v>
      </c>
      <c r="O2465">
        <v>0</v>
      </c>
      <c r="P2465" t="s">
        <v>192</v>
      </c>
      <c r="Q2465" t="s">
        <v>192</v>
      </c>
      <c r="R2465">
        <v>1</v>
      </c>
      <c r="S2465">
        <v>2250</v>
      </c>
      <c r="T2465">
        <v>1000000</v>
      </c>
      <c r="U2465">
        <v>1010000</v>
      </c>
      <c r="V2465">
        <v>2250</v>
      </c>
      <c r="W2465">
        <v>1</v>
      </c>
      <c r="X2465" s="367"/>
    </row>
    <row r="2466" spans="1:24">
      <c r="A2466" t="s">
        <v>3643</v>
      </c>
      <c r="B2466" t="s">
        <v>3644</v>
      </c>
      <c r="C2466">
        <v>582</v>
      </c>
      <c r="D2466">
        <v>236515</v>
      </c>
      <c r="E2466">
        <v>19101147000</v>
      </c>
      <c r="F2466">
        <v>65</v>
      </c>
      <c r="G2466">
        <v>72</v>
      </c>
      <c r="H2466">
        <v>79</v>
      </c>
      <c r="I2466">
        <v>14</v>
      </c>
      <c r="J2466">
        <v>21.54</v>
      </c>
      <c r="K2466">
        <v>81</v>
      </c>
      <c r="L2466">
        <v>16</v>
      </c>
      <c r="M2466">
        <v>24.62</v>
      </c>
      <c r="N2466">
        <v>72</v>
      </c>
      <c r="O2466">
        <v>83</v>
      </c>
      <c r="P2466" t="s">
        <v>192</v>
      </c>
      <c r="Q2466" t="s">
        <v>192</v>
      </c>
      <c r="R2466">
        <v>1</v>
      </c>
      <c r="S2466">
        <v>1000</v>
      </c>
      <c r="T2466">
        <v>73</v>
      </c>
      <c r="U2466">
        <v>81</v>
      </c>
      <c r="V2466">
        <v>43</v>
      </c>
      <c r="W2466">
        <v>1</v>
      </c>
      <c r="X2466" s="367"/>
    </row>
    <row r="2467" spans="1:24">
      <c r="A2467" t="s">
        <v>2890</v>
      </c>
      <c r="B2467" t="s">
        <v>2888</v>
      </c>
      <c r="C2467">
        <v>2</v>
      </c>
      <c r="D2467">
        <v>17000</v>
      </c>
      <c r="E2467">
        <v>59500000</v>
      </c>
      <c r="F2467">
        <v>3430</v>
      </c>
      <c r="G2467">
        <v>3500</v>
      </c>
      <c r="H2467">
        <v>3500</v>
      </c>
      <c r="I2467">
        <v>70</v>
      </c>
      <c r="J2467">
        <v>2.04</v>
      </c>
      <c r="K2467">
        <v>3500</v>
      </c>
      <c r="L2467">
        <v>70</v>
      </c>
      <c r="M2467">
        <v>2.04</v>
      </c>
      <c r="N2467">
        <v>3500</v>
      </c>
      <c r="O2467">
        <v>3500</v>
      </c>
      <c r="P2467">
        <v>435</v>
      </c>
      <c r="Q2467">
        <v>8.0500000000000007</v>
      </c>
      <c r="R2467">
        <v>0</v>
      </c>
      <c r="S2467">
        <v>0</v>
      </c>
      <c r="T2467">
        <v>0</v>
      </c>
      <c r="U2467">
        <v>3500</v>
      </c>
      <c r="V2467">
        <v>245118</v>
      </c>
      <c r="W2467">
        <v>2</v>
      </c>
      <c r="X2467" s="367"/>
    </row>
    <row r="2468" spans="1:24">
      <c r="A2468" t="s">
        <v>8568</v>
      </c>
      <c r="B2468" t="s">
        <v>8569</v>
      </c>
      <c r="C2468">
        <v>4</v>
      </c>
      <c r="D2468">
        <v>2375</v>
      </c>
      <c r="E2468">
        <v>120141750000</v>
      </c>
      <c r="F2468">
        <v>45988</v>
      </c>
      <c r="G2468">
        <v>50586</v>
      </c>
      <c r="H2468">
        <v>50586</v>
      </c>
      <c r="I2468">
        <v>4598</v>
      </c>
      <c r="J2468">
        <v>10</v>
      </c>
      <c r="K2468">
        <v>50586</v>
      </c>
      <c r="L2468">
        <v>4598</v>
      </c>
      <c r="M2468">
        <v>10</v>
      </c>
      <c r="N2468">
        <v>50586</v>
      </c>
      <c r="O2468">
        <v>50586</v>
      </c>
      <c r="P2468" t="s">
        <v>192</v>
      </c>
      <c r="Q2468" t="s">
        <v>192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 s="367"/>
    </row>
    <row r="2469" spans="1:24">
      <c r="A2469" t="s">
        <v>4984</v>
      </c>
      <c r="B2469" t="s">
        <v>4985</v>
      </c>
      <c r="C2469">
        <v>66</v>
      </c>
      <c r="D2469">
        <v>3823259</v>
      </c>
      <c r="E2469">
        <v>45389504180</v>
      </c>
      <c r="F2469">
        <v>11527</v>
      </c>
      <c r="G2469">
        <v>11872</v>
      </c>
      <c r="H2469">
        <v>11872</v>
      </c>
      <c r="I2469">
        <v>345</v>
      </c>
      <c r="J2469">
        <v>2.99</v>
      </c>
      <c r="K2469">
        <v>11872</v>
      </c>
      <c r="L2469">
        <v>345</v>
      </c>
      <c r="M2469">
        <v>2.99</v>
      </c>
      <c r="N2469">
        <v>11785</v>
      </c>
      <c r="O2469">
        <v>11872</v>
      </c>
      <c r="P2469" t="s">
        <v>192</v>
      </c>
      <c r="Q2469" t="s">
        <v>192</v>
      </c>
      <c r="R2469">
        <v>8</v>
      </c>
      <c r="S2469">
        <v>2790111</v>
      </c>
      <c r="T2469">
        <v>11872</v>
      </c>
      <c r="U2469">
        <v>0</v>
      </c>
      <c r="V2469">
        <v>0</v>
      </c>
      <c r="W2469">
        <v>0</v>
      </c>
      <c r="X2469" s="367"/>
    </row>
    <row r="2470" spans="1:24">
      <c r="A2470" t="s">
        <v>8863</v>
      </c>
      <c r="B2470" t="s">
        <v>3075</v>
      </c>
      <c r="C2470">
        <v>2</v>
      </c>
      <c r="D2470">
        <v>10000</v>
      </c>
      <c r="E2470">
        <v>26340000</v>
      </c>
      <c r="F2470">
        <v>2558</v>
      </c>
      <c r="G2470">
        <v>2634</v>
      </c>
      <c r="H2470">
        <v>2634</v>
      </c>
      <c r="I2470">
        <v>76</v>
      </c>
      <c r="J2470">
        <v>2.97</v>
      </c>
      <c r="K2470">
        <v>2634</v>
      </c>
      <c r="L2470">
        <v>76</v>
      </c>
      <c r="M2470">
        <v>2.97</v>
      </c>
      <c r="N2470">
        <v>2634</v>
      </c>
      <c r="O2470">
        <v>2634</v>
      </c>
      <c r="P2470">
        <v>79</v>
      </c>
      <c r="Q2470">
        <v>33.340000000000003</v>
      </c>
      <c r="R2470">
        <v>1</v>
      </c>
      <c r="S2470">
        <v>33000</v>
      </c>
      <c r="T2470">
        <v>2634</v>
      </c>
      <c r="U2470">
        <v>0</v>
      </c>
      <c r="V2470">
        <v>0</v>
      </c>
      <c r="W2470">
        <v>0</v>
      </c>
      <c r="X2470" s="367"/>
    </row>
    <row r="2471" spans="1:24">
      <c r="A2471" t="s">
        <v>1989</v>
      </c>
      <c r="B2471" t="s">
        <v>1988</v>
      </c>
      <c r="C2471">
        <v>3991</v>
      </c>
      <c r="D2471">
        <v>48778417</v>
      </c>
      <c r="E2471">
        <v>685373014560</v>
      </c>
      <c r="F2471">
        <v>13730</v>
      </c>
      <c r="G2471">
        <v>14000</v>
      </c>
      <c r="H2471">
        <v>13990</v>
      </c>
      <c r="I2471">
        <v>260</v>
      </c>
      <c r="J2471">
        <v>1.89</v>
      </c>
      <c r="K2471">
        <v>14050</v>
      </c>
      <c r="L2471">
        <v>320</v>
      </c>
      <c r="M2471">
        <v>2.33</v>
      </c>
      <c r="N2471">
        <v>13800</v>
      </c>
      <c r="O2471">
        <v>14140</v>
      </c>
      <c r="P2471">
        <v>264</v>
      </c>
      <c r="Q2471">
        <v>53.22</v>
      </c>
      <c r="R2471">
        <v>1</v>
      </c>
      <c r="S2471">
        <v>2000</v>
      </c>
      <c r="T2471">
        <v>13970</v>
      </c>
      <c r="U2471">
        <v>14000</v>
      </c>
      <c r="V2471">
        <v>202000</v>
      </c>
      <c r="W2471">
        <v>3</v>
      </c>
      <c r="X2471" s="367"/>
    </row>
    <row r="2472" spans="1:24">
      <c r="A2472" t="s">
        <v>4138</v>
      </c>
      <c r="B2472" t="s">
        <v>4139</v>
      </c>
      <c r="C2472">
        <v>0</v>
      </c>
      <c r="D2472">
        <v>0</v>
      </c>
      <c r="E2472">
        <v>0</v>
      </c>
      <c r="F2472">
        <v>38961</v>
      </c>
      <c r="G2472">
        <v>0</v>
      </c>
      <c r="H2472">
        <v>38961</v>
      </c>
      <c r="I2472">
        <v>0</v>
      </c>
      <c r="J2472">
        <v>0</v>
      </c>
      <c r="K2472">
        <v>38961</v>
      </c>
      <c r="L2472">
        <v>0</v>
      </c>
      <c r="M2472">
        <v>0</v>
      </c>
      <c r="N2472">
        <v>0</v>
      </c>
      <c r="O2472">
        <v>0</v>
      </c>
      <c r="P2472" t="s">
        <v>192</v>
      </c>
      <c r="Q2472" t="s">
        <v>192</v>
      </c>
      <c r="R2472">
        <v>1</v>
      </c>
      <c r="S2472">
        <v>1</v>
      </c>
      <c r="T2472">
        <v>47401</v>
      </c>
      <c r="U2472">
        <v>0</v>
      </c>
      <c r="V2472">
        <v>0</v>
      </c>
      <c r="W2472">
        <v>0</v>
      </c>
      <c r="X2472" s="367"/>
    </row>
    <row r="2473" spans="1:24">
      <c r="A2473" t="s">
        <v>7724</v>
      </c>
      <c r="B2473" t="s">
        <v>5213</v>
      </c>
      <c r="C2473">
        <v>4</v>
      </c>
      <c r="D2473">
        <v>35000000</v>
      </c>
      <c r="E2473">
        <v>35000000</v>
      </c>
      <c r="F2473">
        <v>26340</v>
      </c>
      <c r="G2473">
        <v>1</v>
      </c>
      <c r="H2473">
        <v>1</v>
      </c>
      <c r="I2473">
        <v>-26339</v>
      </c>
      <c r="J2473">
        <v>-100</v>
      </c>
      <c r="K2473">
        <v>1</v>
      </c>
      <c r="L2473">
        <v>-26339</v>
      </c>
      <c r="M2473">
        <v>-100</v>
      </c>
      <c r="N2473">
        <v>1</v>
      </c>
      <c r="O2473">
        <v>1</v>
      </c>
      <c r="P2473" t="s">
        <v>192</v>
      </c>
      <c r="Q2473" t="s">
        <v>192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 s="367"/>
    </row>
    <row r="2474" spans="1:24">
      <c r="A2474" t="s">
        <v>8390</v>
      </c>
      <c r="B2474" t="s">
        <v>8391</v>
      </c>
      <c r="C2474">
        <v>6</v>
      </c>
      <c r="D2474">
        <v>113</v>
      </c>
      <c r="E2474">
        <v>32198000</v>
      </c>
      <c r="F2474">
        <v>261</v>
      </c>
      <c r="G2474">
        <v>285</v>
      </c>
      <c r="H2474">
        <v>285</v>
      </c>
      <c r="I2474">
        <v>24</v>
      </c>
      <c r="J2474">
        <v>9.1999999999999993</v>
      </c>
      <c r="K2474">
        <v>285</v>
      </c>
      <c r="L2474">
        <v>24</v>
      </c>
      <c r="M2474">
        <v>9.1999999999999993</v>
      </c>
      <c r="N2474">
        <v>284</v>
      </c>
      <c r="O2474">
        <v>285</v>
      </c>
      <c r="P2474" t="s">
        <v>192</v>
      </c>
      <c r="Q2474" t="s">
        <v>192</v>
      </c>
      <c r="R2474">
        <v>1</v>
      </c>
      <c r="S2474">
        <v>200</v>
      </c>
      <c r="T2474">
        <v>270</v>
      </c>
      <c r="U2474">
        <v>288</v>
      </c>
      <c r="V2474">
        <v>50</v>
      </c>
      <c r="W2474">
        <v>1</v>
      </c>
      <c r="X2474" s="367"/>
    </row>
    <row r="2475" spans="1:24">
      <c r="A2475" t="s">
        <v>5094</v>
      </c>
      <c r="B2475" t="s">
        <v>5095</v>
      </c>
      <c r="C2475">
        <v>15</v>
      </c>
      <c r="D2475">
        <v>1517163</v>
      </c>
      <c r="E2475">
        <v>15563488807</v>
      </c>
      <c r="F2475">
        <v>10245</v>
      </c>
      <c r="G2475">
        <v>10258</v>
      </c>
      <c r="H2475">
        <v>10259</v>
      </c>
      <c r="I2475">
        <v>14</v>
      </c>
      <c r="J2475">
        <v>0.14000000000000001</v>
      </c>
      <c r="K2475">
        <v>10258</v>
      </c>
      <c r="L2475">
        <v>13</v>
      </c>
      <c r="M2475">
        <v>0.13</v>
      </c>
      <c r="N2475">
        <v>10258</v>
      </c>
      <c r="O2475">
        <v>10259</v>
      </c>
      <c r="P2475" t="s">
        <v>192</v>
      </c>
      <c r="Q2475" t="s">
        <v>192</v>
      </c>
      <c r="R2475">
        <v>1</v>
      </c>
      <c r="S2475">
        <v>498913812</v>
      </c>
      <c r="T2475">
        <v>10258</v>
      </c>
      <c r="U2475">
        <v>10259</v>
      </c>
      <c r="V2475">
        <v>39569247</v>
      </c>
      <c r="W2475">
        <v>1</v>
      </c>
      <c r="X2475" s="367"/>
    </row>
    <row r="2476" spans="1:24">
      <c r="A2476" t="s">
        <v>5103</v>
      </c>
      <c r="B2476" t="s">
        <v>5104</v>
      </c>
      <c r="C2476">
        <v>110</v>
      </c>
      <c r="D2476">
        <v>682062</v>
      </c>
      <c r="E2476">
        <v>17532765298</v>
      </c>
      <c r="F2476">
        <v>25142</v>
      </c>
      <c r="G2476">
        <v>25896</v>
      </c>
      <c r="H2476">
        <v>25839</v>
      </c>
      <c r="I2476">
        <v>697</v>
      </c>
      <c r="J2476">
        <v>2.77</v>
      </c>
      <c r="K2476">
        <v>25706</v>
      </c>
      <c r="L2476">
        <v>564</v>
      </c>
      <c r="M2476">
        <v>2.2400000000000002</v>
      </c>
      <c r="N2476">
        <v>25401</v>
      </c>
      <c r="O2476">
        <v>25896</v>
      </c>
      <c r="P2476" t="s">
        <v>192</v>
      </c>
      <c r="Q2476" t="s">
        <v>192</v>
      </c>
      <c r="R2476">
        <v>1</v>
      </c>
      <c r="S2476">
        <v>500</v>
      </c>
      <c r="T2476">
        <v>25608</v>
      </c>
      <c r="U2476">
        <v>25839</v>
      </c>
      <c r="V2476">
        <v>13231</v>
      </c>
      <c r="W2476">
        <v>1</v>
      </c>
      <c r="X2476" s="367"/>
    </row>
    <row r="2477" spans="1:24">
      <c r="A2477" t="s">
        <v>5028</v>
      </c>
      <c r="B2477" t="s">
        <v>5029</v>
      </c>
      <c r="C2477">
        <v>15</v>
      </c>
      <c r="D2477">
        <v>198200</v>
      </c>
      <c r="E2477">
        <v>3120336651</v>
      </c>
      <c r="F2477">
        <v>15297</v>
      </c>
      <c r="G2477">
        <v>15403</v>
      </c>
      <c r="H2477">
        <v>15755</v>
      </c>
      <c r="I2477">
        <v>458</v>
      </c>
      <c r="J2477">
        <v>2.99</v>
      </c>
      <c r="K2477">
        <v>15743</v>
      </c>
      <c r="L2477">
        <v>446</v>
      </c>
      <c r="M2477">
        <v>2.92</v>
      </c>
      <c r="N2477">
        <v>15402</v>
      </c>
      <c r="O2477">
        <v>15755</v>
      </c>
      <c r="P2477" t="s">
        <v>192</v>
      </c>
      <c r="Q2477" t="s">
        <v>192</v>
      </c>
      <c r="R2477">
        <v>12</v>
      </c>
      <c r="S2477">
        <v>594043</v>
      </c>
      <c r="T2477">
        <v>15755</v>
      </c>
      <c r="U2477">
        <v>0</v>
      </c>
      <c r="V2477">
        <v>0</v>
      </c>
      <c r="W2477">
        <v>0</v>
      </c>
      <c r="X2477" s="367"/>
    </row>
    <row r="2478" spans="1:24">
      <c r="A2478" t="s">
        <v>4956</v>
      </c>
      <c r="B2478" t="s">
        <v>4957</v>
      </c>
      <c r="C2478">
        <v>100</v>
      </c>
      <c r="D2478">
        <v>674262</v>
      </c>
      <c r="E2478">
        <v>295248142880</v>
      </c>
      <c r="F2478">
        <v>438700</v>
      </c>
      <c r="G2478">
        <v>437420</v>
      </c>
      <c r="H2478">
        <v>438070</v>
      </c>
      <c r="I2478">
        <v>-630</v>
      </c>
      <c r="J2478">
        <v>-0.14000000000000001</v>
      </c>
      <c r="K2478">
        <v>437880</v>
      </c>
      <c r="L2478">
        <v>-820</v>
      </c>
      <c r="M2478">
        <v>-0.19</v>
      </c>
      <c r="N2478">
        <v>437410</v>
      </c>
      <c r="O2478">
        <v>439050</v>
      </c>
      <c r="P2478" t="s">
        <v>192</v>
      </c>
      <c r="Q2478" t="s">
        <v>192</v>
      </c>
      <c r="R2478">
        <v>1</v>
      </c>
      <c r="S2478">
        <v>596</v>
      </c>
      <c r="T2478">
        <v>438130</v>
      </c>
      <c r="U2478">
        <v>438500</v>
      </c>
      <c r="V2478">
        <v>523</v>
      </c>
      <c r="W2478">
        <v>1</v>
      </c>
      <c r="X2478" s="367"/>
    </row>
    <row r="2479" spans="1:24">
      <c r="A2479" t="s">
        <v>4952</v>
      </c>
      <c r="B2479" t="s">
        <v>4953</v>
      </c>
      <c r="C2479">
        <v>166</v>
      </c>
      <c r="D2479">
        <v>3492852</v>
      </c>
      <c r="E2479">
        <v>164244313539</v>
      </c>
      <c r="F2479">
        <v>46902</v>
      </c>
      <c r="G2479">
        <v>46990</v>
      </c>
      <c r="H2479">
        <v>47029</v>
      </c>
      <c r="I2479">
        <v>127</v>
      </c>
      <c r="J2479">
        <v>0.27</v>
      </c>
      <c r="K2479">
        <v>47023</v>
      </c>
      <c r="L2479">
        <v>121</v>
      </c>
      <c r="M2479">
        <v>0.26</v>
      </c>
      <c r="N2479">
        <v>46970</v>
      </c>
      <c r="O2479">
        <v>47029</v>
      </c>
      <c r="P2479" t="s">
        <v>192</v>
      </c>
      <c r="Q2479" t="s">
        <v>192</v>
      </c>
      <c r="R2479">
        <v>4</v>
      </c>
      <c r="S2479">
        <v>25169</v>
      </c>
      <c r="T2479">
        <v>46971</v>
      </c>
      <c r="U2479">
        <v>47029</v>
      </c>
      <c r="V2479">
        <v>138036</v>
      </c>
      <c r="W2479">
        <v>1</v>
      </c>
      <c r="X2479" s="367"/>
    </row>
    <row r="2480" spans="1:24">
      <c r="A2480" t="s">
        <v>5087</v>
      </c>
      <c r="B2480" t="s">
        <v>5088</v>
      </c>
      <c r="C2480">
        <v>69</v>
      </c>
      <c r="D2480">
        <v>7190671</v>
      </c>
      <c r="E2480">
        <v>73799395001</v>
      </c>
      <c r="F2480">
        <v>10251</v>
      </c>
      <c r="G2480">
        <v>10264</v>
      </c>
      <c r="H2480">
        <v>10264</v>
      </c>
      <c r="I2480">
        <v>13</v>
      </c>
      <c r="J2480">
        <v>0.13</v>
      </c>
      <c r="K2480">
        <v>10263</v>
      </c>
      <c r="L2480">
        <v>12</v>
      </c>
      <c r="M2480">
        <v>0.12</v>
      </c>
      <c r="N2480">
        <v>10263</v>
      </c>
      <c r="O2480">
        <v>10264</v>
      </c>
      <c r="P2480" t="s">
        <v>192</v>
      </c>
      <c r="Q2480" t="s">
        <v>192</v>
      </c>
      <c r="R2480">
        <v>12</v>
      </c>
      <c r="S2480">
        <v>199907742</v>
      </c>
      <c r="T2480">
        <v>10263</v>
      </c>
      <c r="U2480">
        <v>10264</v>
      </c>
      <c r="V2480">
        <v>48538870</v>
      </c>
      <c r="W2480">
        <v>1</v>
      </c>
      <c r="X2480" s="367"/>
    </row>
    <row r="2481" spans="1:24">
      <c r="A2481" t="s">
        <v>5089</v>
      </c>
      <c r="B2481" t="s">
        <v>5090</v>
      </c>
      <c r="C2481">
        <v>0</v>
      </c>
      <c r="D2481">
        <v>0</v>
      </c>
      <c r="E2481">
        <v>0</v>
      </c>
      <c r="F2481">
        <v>1000000</v>
      </c>
      <c r="G2481">
        <v>0</v>
      </c>
      <c r="H2481">
        <v>1000000</v>
      </c>
      <c r="I2481">
        <v>0</v>
      </c>
      <c r="J2481">
        <v>0</v>
      </c>
      <c r="K2481">
        <v>1000000</v>
      </c>
      <c r="L2481">
        <v>0</v>
      </c>
      <c r="M2481">
        <v>0</v>
      </c>
      <c r="N2481">
        <v>0</v>
      </c>
      <c r="O2481">
        <v>0</v>
      </c>
      <c r="P2481" t="s">
        <v>192</v>
      </c>
      <c r="Q2481" t="s">
        <v>192</v>
      </c>
      <c r="R2481">
        <v>1</v>
      </c>
      <c r="S2481">
        <v>2000</v>
      </c>
      <c r="T2481">
        <v>1000000</v>
      </c>
      <c r="U2481">
        <v>0</v>
      </c>
      <c r="V2481">
        <v>0</v>
      </c>
      <c r="W2481">
        <v>0</v>
      </c>
      <c r="X2481" s="367"/>
    </row>
    <row r="2482" spans="1:24">
      <c r="A2482" t="s">
        <v>2461</v>
      </c>
      <c r="B2482" t="s">
        <v>2460</v>
      </c>
      <c r="C2482">
        <v>60</v>
      </c>
      <c r="D2482">
        <v>756777</v>
      </c>
      <c r="E2482">
        <v>9906210930</v>
      </c>
      <c r="F2482">
        <v>12710</v>
      </c>
      <c r="G2482">
        <v>13090</v>
      </c>
      <c r="H2482">
        <v>13090</v>
      </c>
      <c r="I2482">
        <v>380</v>
      </c>
      <c r="J2482">
        <v>2.99</v>
      </c>
      <c r="K2482">
        <v>13090</v>
      </c>
      <c r="L2482">
        <v>380</v>
      </c>
      <c r="M2482">
        <v>2.99</v>
      </c>
      <c r="N2482">
        <v>13090</v>
      </c>
      <c r="O2482">
        <v>13090</v>
      </c>
      <c r="P2482">
        <v>1497</v>
      </c>
      <c r="Q2482">
        <v>8.74</v>
      </c>
      <c r="R2482">
        <v>142</v>
      </c>
      <c r="S2482">
        <v>5451674</v>
      </c>
      <c r="T2482">
        <v>13090</v>
      </c>
      <c r="U2482">
        <v>0</v>
      </c>
      <c r="V2482">
        <v>0</v>
      </c>
      <c r="W2482">
        <v>0</v>
      </c>
      <c r="X2482" s="367"/>
    </row>
    <row r="2483" spans="1:24">
      <c r="A2483" t="s">
        <v>7369</v>
      </c>
      <c r="B2483" t="s">
        <v>7884</v>
      </c>
      <c r="C2483">
        <v>120</v>
      </c>
      <c r="D2483">
        <v>2873</v>
      </c>
      <c r="E2483">
        <v>10149739000</v>
      </c>
      <c r="F2483">
        <v>3059</v>
      </c>
      <c r="G2483">
        <v>3700</v>
      </c>
      <c r="H2483">
        <v>3580</v>
      </c>
      <c r="I2483">
        <v>521</v>
      </c>
      <c r="J2483">
        <v>17.03</v>
      </c>
      <c r="K2483">
        <v>3533</v>
      </c>
      <c r="L2483">
        <v>474</v>
      </c>
      <c r="M2483">
        <v>15.5</v>
      </c>
      <c r="N2483">
        <v>3401</v>
      </c>
      <c r="O2483">
        <v>3740</v>
      </c>
      <c r="P2483" t="s">
        <v>192</v>
      </c>
      <c r="Q2483" t="s">
        <v>192</v>
      </c>
      <c r="R2483">
        <v>1</v>
      </c>
      <c r="S2483">
        <v>200</v>
      </c>
      <c r="T2483">
        <v>3579</v>
      </c>
      <c r="U2483">
        <v>3580</v>
      </c>
      <c r="V2483">
        <v>282</v>
      </c>
      <c r="W2483">
        <v>1</v>
      </c>
      <c r="X2483" s="367"/>
    </row>
    <row r="2484" spans="1:24">
      <c r="A2484" t="s">
        <v>5048</v>
      </c>
      <c r="B2484" t="s">
        <v>5049</v>
      </c>
      <c r="C2484">
        <v>0</v>
      </c>
      <c r="D2484">
        <v>0</v>
      </c>
      <c r="E2484">
        <v>0</v>
      </c>
      <c r="F2484">
        <v>1000000</v>
      </c>
      <c r="G2484">
        <v>0</v>
      </c>
      <c r="H2484">
        <v>1000000</v>
      </c>
      <c r="I2484">
        <v>0</v>
      </c>
      <c r="J2484">
        <v>0</v>
      </c>
      <c r="K2484">
        <v>1000000</v>
      </c>
      <c r="L2484">
        <v>0</v>
      </c>
      <c r="M2484">
        <v>0</v>
      </c>
      <c r="N2484">
        <v>0</v>
      </c>
      <c r="O2484">
        <v>0</v>
      </c>
      <c r="P2484" t="s">
        <v>192</v>
      </c>
      <c r="Q2484" t="s">
        <v>192</v>
      </c>
      <c r="R2484">
        <v>1</v>
      </c>
      <c r="S2484">
        <v>5000</v>
      </c>
      <c r="T2484">
        <v>1000000</v>
      </c>
      <c r="U2484">
        <v>0</v>
      </c>
      <c r="V2484">
        <v>0</v>
      </c>
      <c r="W2484">
        <v>0</v>
      </c>
      <c r="X2484" s="367"/>
    </row>
    <row r="2485" spans="1:24">
      <c r="A2485" t="s">
        <v>2942</v>
      </c>
      <c r="B2485" t="s">
        <v>2941</v>
      </c>
      <c r="C2485">
        <v>1089</v>
      </c>
      <c r="D2485">
        <v>485517347</v>
      </c>
      <c r="E2485">
        <v>631172551100</v>
      </c>
      <c r="F2485">
        <v>1263</v>
      </c>
      <c r="G2485">
        <v>1300</v>
      </c>
      <c r="H2485">
        <v>1300</v>
      </c>
      <c r="I2485">
        <v>37</v>
      </c>
      <c r="J2485">
        <v>2.93</v>
      </c>
      <c r="K2485">
        <v>1300</v>
      </c>
      <c r="L2485">
        <v>37</v>
      </c>
      <c r="M2485">
        <v>2.93</v>
      </c>
      <c r="N2485">
        <v>1300</v>
      </c>
      <c r="O2485">
        <v>1300</v>
      </c>
      <c r="P2485">
        <v>668</v>
      </c>
      <c r="Q2485">
        <v>1.95</v>
      </c>
      <c r="R2485">
        <v>531</v>
      </c>
      <c r="S2485">
        <v>184869291</v>
      </c>
      <c r="T2485">
        <v>1300</v>
      </c>
      <c r="U2485">
        <v>2126</v>
      </c>
      <c r="V2485">
        <v>500000</v>
      </c>
      <c r="W2485">
        <v>1</v>
      </c>
      <c r="X2485" s="367"/>
    </row>
    <row r="2486" spans="1:24">
      <c r="A2486" t="s">
        <v>5010</v>
      </c>
      <c r="B2486" t="s">
        <v>5011</v>
      </c>
      <c r="C2486">
        <v>0</v>
      </c>
      <c r="D2486">
        <v>0</v>
      </c>
      <c r="E2486">
        <v>0</v>
      </c>
      <c r="F2486">
        <v>1001470</v>
      </c>
      <c r="G2486">
        <v>0</v>
      </c>
      <c r="H2486">
        <v>1001470</v>
      </c>
      <c r="I2486">
        <v>0</v>
      </c>
      <c r="J2486">
        <v>0</v>
      </c>
      <c r="K2486">
        <v>1001470</v>
      </c>
      <c r="L2486">
        <v>0</v>
      </c>
      <c r="M2486">
        <v>0</v>
      </c>
      <c r="N2486">
        <v>0</v>
      </c>
      <c r="O2486">
        <v>0</v>
      </c>
      <c r="P2486" t="s">
        <v>192</v>
      </c>
      <c r="Q2486" t="s">
        <v>192</v>
      </c>
      <c r="R2486">
        <v>1</v>
      </c>
      <c r="S2486">
        <v>5000</v>
      </c>
      <c r="T2486">
        <v>951400</v>
      </c>
      <c r="U2486">
        <v>0</v>
      </c>
      <c r="V2486">
        <v>0</v>
      </c>
      <c r="W2486">
        <v>0</v>
      </c>
      <c r="X2486" s="367"/>
    </row>
    <row r="2487" spans="1:24">
      <c r="A2487" t="s">
        <v>3779</v>
      </c>
      <c r="B2487" t="s">
        <v>3780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1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0</v>
      </c>
      <c r="O2487">
        <v>0</v>
      </c>
      <c r="P2487" t="s">
        <v>192</v>
      </c>
      <c r="Q2487" t="s">
        <v>192</v>
      </c>
      <c r="R2487">
        <v>1</v>
      </c>
      <c r="S2487">
        <v>1</v>
      </c>
      <c r="T2487">
        <v>14400</v>
      </c>
      <c r="U2487">
        <v>0</v>
      </c>
      <c r="V2487">
        <v>0</v>
      </c>
      <c r="W2487">
        <v>0</v>
      </c>
      <c r="X2487" s="367"/>
    </row>
    <row r="2488" spans="1:24">
      <c r="A2488" t="s">
        <v>2439</v>
      </c>
      <c r="B2488" t="s">
        <v>2438</v>
      </c>
      <c r="C2488">
        <v>290</v>
      </c>
      <c r="D2488">
        <v>18059362</v>
      </c>
      <c r="E2488">
        <v>30321478798</v>
      </c>
      <c r="F2488">
        <v>1631</v>
      </c>
      <c r="G2488">
        <v>1679</v>
      </c>
      <c r="H2488">
        <v>1679</v>
      </c>
      <c r="I2488">
        <v>48</v>
      </c>
      <c r="J2488">
        <v>2.94</v>
      </c>
      <c r="K2488">
        <v>1679</v>
      </c>
      <c r="L2488">
        <v>48</v>
      </c>
      <c r="M2488">
        <v>2.94</v>
      </c>
      <c r="N2488">
        <v>1660</v>
      </c>
      <c r="O2488">
        <v>1679</v>
      </c>
      <c r="P2488">
        <v>130</v>
      </c>
      <c r="Q2488">
        <v>12.92</v>
      </c>
      <c r="R2488">
        <v>46</v>
      </c>
      <c r="S2488">
        <v>3429879</v>
      </c>
      <c r="T2488">
        <v>1679</v>
      </c>
      <c r="U2488">
        <v>1833</v>
      </c>
      <c r="V2488">
        <v>5000</v>
      </c>
      <c r="W2488">
        <v>1</v>
      </c>
      <c r="X2488" s="367"/>
    </row>
    <row r="2489" spans="1:24">
      <c r="A2489" t="s">
        <v>4978</v>
      </c>
      <c r="B2489" t="s">
        <v>4979</v>
      </c>
      <c r="C2489">
        <v>0</v>
      </c>
      <c r="D2489">
        <v>0</v>
      </c>
      <c r="E2489">
        <v>0</v>
      </c>
      <c r="F2489">
        <v>1000000</v>
      </c>
      <c r="G2489">
        <v>0</v>
      </c>
      <c r="H2489">
        <v>1000000</v>
      </c>
      <c r="I2489">
        <v>0</v>
      </c>
      <c r="J2489">
        <v>0</v>
      </c>
      <c r="K2489">
        <v>1000000</v>
      </c>
      <c r="L2489">
        <v>0</v>
      </c>
      <c r="M2489">
        <v>0</v>
      </c>
      <c r="N2489">
        <v>0</v>
      </c>
      <c r="O2489">
        <v>0</v>
      </c>
      <c r="P2489" t="s">
        <v>192</v>
      </c>
      <c r="Q2489" t="s">
        <v>192</v>
      </c>
      <c r="R2489">
        <v>1</v>
      </c>
      <c r="S2489">
        <v>5000</v>
      </c>
      <c r="T2489">
        <v>999999</v>
      </c>
      <c r="U2489">
        <v>1010000</v>
      </c>
      <c r="V2489">
        <v>5000</v>
      </c>
      <c r="W2489">
        <v>1</v>
      </c>
      <c r="X2489" s="367"/>
    </row>
    <row r="2490" spans="1:24">
      <c r="A2490" t="s">
        <v>5000</v>
      </c>
      <c r="B2490" t="s">
        <v>5001</v>
      </c>
      <c r="C2490">
        <v>0</v>
      </c>
      <c r="D2490">
        <v>0</v>
      </c>
      <c r="E2490">
        <v>0</v>
      </c>
      <c r="F2490">
        <v>1000000</v>
      </c>
      <c r="G2490">
        <v>0</v>
      </c>
      <c r="H2490">
        <v>1000000</v>
      </c>
      <c r="I2490">
        <v>0</v>
      </c>
      <c r="J2490">
        <v>0</v>
      </c>
      <c r="K2490">
        <v>1000000</v>
      </c>
      <c r="L2490">
        <v>0</v>
      </c>
      <c r="M2490">
        <v>0</v>
      </c>
      <c r="N2490">
        <v>0</v>
      </c>
      <c r="O2490">
        <v>0</v>
      </c>
      <c r="P2490" t="s">
        <v>192</v>
      </c>
      <c r="Q2490" t="s">
        <v>192</v>
      </c>
      <c r="R2490">
        <v>1</v>
      </c>
      <c r="S2490">
        <v>5000</v>
      </c>
      <c r="T2490">
        <v>997000</v>
      </c>
      <c r="U2490">
        <v>1005000</v>
      </c>
      <c r="V2490">
        <v>5000</v>
      </c>
      <c r="W2490">
        <v>1</v>
      </c>
      <c r="X2490" s="367"/>
    </row>
    <row r="2491" spans="1:24">
      <c r="A2491" t="s">
        <v>5032</v>
      </c>
      <c r="B2491" t="s">
        <v>5033</v>
      </c>
      <c r="C2491">
        <v>51</v>
      </c>
      <c r="D2491">
        <v>1691443</v>
      </c>
      <c r="E2491">
        <v>41301607785</v>
      </c>
      <c r="F2491">
        <v>23712</v>
      </c>
      <c r="G2491">
        <v>24423</v>
      </c>
      <c r="H2491">
        <v>24423</v>
      </c>
      <c r="I2491">
        <v>711</v>
      </c>
      <c r="J2491">
        <v>3</v>
      </c>
      <c r="K2491">
        <v>24418</v>
      </c>
      <c r="L2491">
        <v>706</v>
      </c>
      <c r="M2491">
        <v>2.98</v>
      </c>
      <c r="N2491">
        <v>24221</v>
      </c>
      <c r="O2491">
        <v>24423</v>
      </c>
      <c r="P2491" t="s">
        <v>192</v>
      </c>
      <c r="Q2491" t="s">
        <v>192</v>
      </c>
      <c r="R2491">
        <v>5</v>
      </c>
      <c r="S2491">
        <v>218475</v>
      </c>
      <c r="T2491">
        <v>24423</v>
      </c>
      <c r="U2491">
        <v>0</v>
      </c>
      <c r="V2491">
        <v>0</v>
      </c>
      <c r="W2491">
        <v>0</v>
      </c>
      <c r="X2491" s="367"/>
    </row>
    <row r="2492" spans="1:24">
      <c r="A2492" t="s">
        <v>5022</v>
      </c>
      <c r="B2492" t="s">
        <v>5023</v>
      </c>
      <c r="C2492">
        <v>0</v>
      </c>
      <c r="D2492">
        <v>0</v>
      </c>
      <c r="E2492">
        <v>0</v>
      </c>
      <c r="F2492">
        <v>1000000</v>
      </c>
      <c r="G2492">
        <v>0</v>
      </c>
      <c r="H2492">
        <v>1000000</v>
      </c>
      <c r="I2492">
        <v>0</v>
      </c>
      <c r="J2492">
        <v>0</v>
      </c>
      <c r="K2492">
        <v>1000000</v>
      </c>
      <c r="L2492">
        <v>0</v>
      </c>
      <c r="M2492">
        <v>0</v>
      </c>
      <c r="N2492">
        <v>0</v>
      </c>
      <c r="O2492">
        <v>0</v>
      </c>
      <c r="P2492" t="s">
        <v>192</v>
      </c>
      <c r="Q2492" t="s">
        <v>192</v>
      </c>
      <c r="R2492">
        <v>1</v>
      </c>
      <c r="S2492">
        <v>5000</v>
      </c>
      <c r="T2492">
        <v>1000000</v>
      </c>
      <c r="U2492">
        <v>0</v>
      </c>
      <c r="V2492">
        <v>0</v>
      </c>
      <c r="W2492">
        <v>0</v>
      </c>
      <c r="X2492" s="367"/>
    </row>
    <row r="2493" spans="1:24">
      <c r="A2493" t="s">
        <v>5109</v>
      </c>
      <c r="B2493" t="s">
        <v>4042</v>
      </c>
      <c r="C2493">
        <v>1061</v>
      </c>
      <c r="D2493">
        <v>142491068</v>
      </c>
      <c r="E2493">
        <v>1462217335084</v>
      </c>
      <c r="F2493">
        <v>10247</v>
      </c>
      <c r="G2493">
        <v>10261</v>
      </c>
      <c r="H2493">
        <v>10263</v>
      </c>
      <c r="I2493">
        <v>16</v>
      </c>
      <c r="J2493">
        <v>0.16</v>
      </c>
      <c r="K2493">
        <v>10262</v>
      </c>
      <c r="L2493">
        <v>15</v>
      </c>
      <c r="M2493">
        <v>0.15</v>
      </c>
      <c r="N2493">
        <v>10261</v>
      </c>
      <c r="O2493">
        <v>10263</v>
      </c>
      <c r="P2493" t="s">
        <v>192</v>
      </c>
      <c r="Q2493" t="s">
        <v>192</v>
      </c>
      <c r="R2493">
        <v>32</v>
      </c>
      <c r="S2493">
        <v>5316973</v>
      </c>
      <c r="T2493">
        <v>10262</v>
      </c>
      <c r="U2493">
        <v>10263</v>
      </c>
      <c r="V2493">
        <v>40742443</v>
      </c>
      <c r="W2493">
        <v>1</v>
      </c>
      <c r="X2493" s="367"/>
    </row>
    <row r="2494" spans="1:24">
      <c r="A2494" t="s">
        <v>5050</v>
      </c>
      <c r="B2494" t="s">
        <v>5051</v>
      </c>
      <c r="C2494">
        <v>0</v>
      </c>
      <c r="D2494">
        <v>0</v>
      </c>
      <c r="E2494">
        <v>0</v>
      </c>
      <c r="F2494">
        <v>1000000</v>
      </c>
      <c r="G2494">
        <v>0</v>
      </c>
      <c r="H2494">
        <v>1000000</v>
      </c>
      <c r="I2494">
        <v>0</v>
      </c>
      <c r="J2494">
        <v>0</v>
      </c>
      <c r="K2494">
        <v>1000000</v>
      </c>
      <c r="L2494">
        <v>0</v>
      </c>
      <c r="M2494">
        <v>0</v>
      </c>
      <c r="N2494">
        <v>0</v>
      </c>
      <c r="O2494">
        <v>0</v>
      </c>
      <c r="P2494" t="s">
        <v>192</v>
      </c>
      <c r="Q2494" t="s">
        <v>192</v>
      </c>
      <c r="R2494">
        <v>1</v>
      </c>
      <c r="S2494">
        <v>5000</v>
      </c>
      <c r="T2494">
        <v>990000</v>
      </c>
      <c r="U2494">
        <v>0</v>
      </c>
      <c r="V2494">
        <v>0</v>
      </c>
      <c r="W2494">
        <v>0</v>
      </c>
      <c r="X2494" s="367"/>
    </row>
    <row r="2495" spans="1:24">
      <c r="A2495" t="s">
        <v>4514</v>
      </c>
      <c r="B2495" t="s">
        <v>4515</v>
      </c>
      <c r="C2495">
        <v>713</v>
      </c>
      <c r="D2495">
        <v>339245</v>
      </c>
      <c r="E2495">
        <v>339245000</v>
      </c>
      <c r="F2495">
        <v>1</v>
      </c>
      <c r="G2495">
        <v>1</v>
      </c>
      <c r="H2495">
        <v>1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1</v>
      </c>
      <c r="P2495" t="s">
        <v>192</v>
      </c>
      <c r="Q2495" t="s">
        <v>192</v>
      </c>
      <c r="R2495">
        <v>0</v>
      </c>
      <c r="S2495">
        <v>0</v>
      </c>
      <c r="T2495">
        <v>0</v>
      </c>
      <c r="U2495">
        <v>1</v>
      </c>
      <c r="V2495">
        <v>324753</v>
      </c>
      <c r="W2495">
        <v>354</v>
      </c>
      <c r="X2495" s="367"/>
    </row>
    <row r="2496" spans="1:24">
      <c r="A2496" t="s">
        <v>4998</v>
      </c>
      <c r="B2496" t="s">
        <v>4999</v>
      </c>
      <c r="C2496">
        <v>0</v>
      </c>
      <c r="D2496">
        <v>0</v>
      </c>
      <c r="E2496">
        <v>0</v>
      </c>
      <c r="F2496">
        <v>967000</v>
      </c>
      <c r="G2496">
        <v>0</v>
      </c>
      <c r="H2496">
        <v>967000</v>
      </c>
      <c r="I2496">
        <v>0</v>
      </c>
      <c r="J2496">
        <v>0</v>
      </c>
      <c r="K2496">
        <v>967000</v>
      </c>
      <c r="L2496">
        <v>0</v>
      </c>
      <c r="M2496">
        <v>0</v>
      </c>
      <c r="N2496">
        <v>0</v>
      </c>
      <c r="O2496">
        <v>0</v>
      </c>
      <c r="P2496" t="s">
        <v>192</v>
      </c>
      <c r="Q2496" t="s">
        <v>192</v>
      </c>
      <c r="R2496">
        <v>1</v>
      </c>
      <c r="S2496">
        <v>12500</v>
      </c>
      <c r="T2496">
        <v>1000000</v>
      </c>
      <c r="U2496">
        <v>0</v>
      </c>
      <c r="V2496">
        <v>0</v>
      </c>
      <c r="W2496">
        <v>0</v>
      </c>
      <c r="X2496" s="367"/>
    </row>
    <row r="2497" spans="1:24">
      <c r="A2497" t="s">
        <v>7868</v>
      </c>
      <c r="B2497" t="s">
        <v>7869</v>
      </c>
      <c r="C2497">
        <v>19</v>
      </c>
      <c r="D2497">
        <v>178</v>
      </c>
      <c r="E2497">
        <v>101910000</v>
      </c>
      <c r="F2497">
        <v>446</v>
      </c>
      <c r="G2497">
        <v>444</v>
      </c>
      <c r="H2497">
        <v>1000</v>
      </c>
      <c r="I2497">
        <v>554</v>
      </c>
      <c r="J2497">
        <v>124.22</v>
      </c>
      <c r="K2497">
        <v>573</v>
      </c>
      <c r="L2497">
        <v>127</v>
      </c>
      <c r="M2497">
        <v>28.48</v>
      </c>
      <c r="N2497">
        <v>444</v>
      </c>
      <c r="O2497">
        <v>1000</v>
      </c>
      <c r="P2497" t="s">
        <v>192</v>
      </c>
      <c r="Q2497" t="s">
        <v>192</v>
      </c>
      <c r="R2497">
        <v>1</v>
      </c>
      <c r="S2497">
        <v>3</v>
      </c>
      <c r="T2497">
        <v>500</v>
      </c>
      <c r="U2497">
        <v>820</v>
      </c>
      <c r="V2497">
        <v>11</v>
      </c>
      <c r="W2497">
        <v>1</v>
      </c>
      <c r="X2497" s="367"/>
    </row>
    <row r="2498" spans="1:24">
      <c r="A2498" t="s">
        <v>8024</v>
      </c>
      <c r="B2498" t="s">
        <v>8025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1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 t="s">
        <v>192</v>
      </c>
      <c r="Q2498" t="s">
        <v>192</v>
      </c>
      <c r="R2498">
        <v>1</v>
      </c>
      <c r="S2498">
        <v>100</v>
      </c>
      <c r="T2498">
        <v>1</v>
      </c>
      <c r="U2498">
        <v>0</v>
      </c>
      <c r="V2498">
        <v>0</v>
      </c>
      <c r="W2498">
        <v>0</v>
      </c>
      <c r="X2498" s="367"/>
    </row>
    <row r="2499" spans="1:24">
      <c r="A2499" t="s">
        <v>2130</v>
      </c>
      <c r="B2499" t="s">
        <v>2128</v>
      </c>
      <c r="C2499">
        <v>2</v>
      </c>
      <c r="D2499">
        <v>10000</v>
      </c>
      <c r="E2499">
        <v>50900000</v>
      </c>
      <c r="F2499">
        <v>4950</v>
      </c>
      <c r="G2499">
        <v>5090</v>
      </c>
      <c r="H2499">
        <v>5090</v>
      </c>
      <c r="I2499">
        <v>140</v>
      </c>
      <c r="J2499">
        <v>2.83</v>
      </c>
      <c r="K2499">
        <v>5090</v>
      </c>
      <c r="L2499">
        <v>140</v>
      </c>
      <c r="M2499">
        <v>2.83</v>
      </c>
      <c r="N2499">
        <v>5090</v>
      </c>
      <c r="O2499">
        <v>5090</v>
      </c>
      <c r="P2499">
        <v>1027</v>
      </c>
      <c r="Q2499">
        <v>4.96</v>
      </c>
      <c r="R2499">
        <v>7</v>
      </c>
      <c r="S2499">
        <v>58925</v>
      </c>
      <c r="T2499">
        <v>5090</v>
      </c>
      <c r="U2499">
        <v>0</v>
      </c>
      <c r="V2499">
        <v>0</v>
      </c>
      <c r="W2499">
        <v>0</v>
      </c>
      <c r="X2499" s="367"/>
    </row>
    <row r="2500" spans="1:24">
      <c r="A2500" t="s">
        <v>2085</v>
      </c>
      <c r="B2500" t="s">
        <v>2084</v>
      </c>
      <c r="C2500">
        <v>368</v>
      </c>
      <c r="D2500">
        <v>16507434</v>
      </c>
      <c r="E2500">
        <v>48287634174</v>
      </c>
      <c r="F2500">
        <v>2847</v>
      </c>
      <c r="G2500">
        <v>2920</v>
      </c>
      <c r="H2500">
        <v>2932</v>
      </c>
      <c r="I2500">
        <v>85</v>
      </c>
      <c r="J2500">
        <v>2.99</v>
      </c>
      <c r="K2500">
        <v>2925</v>
      </c>
      <c r="L2500">
        <v>78</v>
      </c>
      <c r="M2500">
        <v>2.74</v>
      </c>
      <c r="N2500">
        <v>2810</v>
      </c>
      <c r="O2500">
        <v>2932</v>
      </c>
      <c r="P2500">
        <v>196</v>
      </c>
      <c r="Q2500">
        <v>14.92</v>
      </c>
      <c r="R2500">
        <v>1</v>
      </c>
      <c r="S2500">
        <v>2057</v>
      </c>
      <c r="T2500">
        <v>2931</v>
      </c>
      <c r="U2500">
        <v>2932</v>
      </c>
      <c r="V2500">
        <v>1148433</v>
      </c>
      <c r="W2500">
        <v>3</v>
      </c>
      <c r="X2500" s="367"/>
    </row>
    <row r="2501" spans="1:24">
      <c r="A2501" t="s">
        <v>2040</v>
      </c>
      <c r="B2501" t="s">
        <v>2039</v>
      </c>
      <c r="C2501">
        <v>343</v>
      </c>
      <c r="D2501">
        <v>14800646</v>
      </c>
      <c r="E2501">
        <v>91601175740</v>
      </c>
      <c r="F2501">
        <v>6010</v>
      </c>
      <c r="G2501">
        <v>6190</v>
      </c>
      <c r="H2501">
        <v>6190</v>
      </c>
      <c r="I2501">
        <v>180</v>
      </c>
      <c r="J2501">
        <v>3</v>
      </c>
      <c r="K2501">
        <v>6190</v>
      </c>
      <c r="L2501">
        <v>180</v>
      </c>
      <c r="M2501">
        <v>3</v>
      </c>
      <c r="N2501">
        <v>6130</v>
      </c>
      <c r="O2501">
        <v>6190</v>
      </c>
      <c r="P2501">
        <v>1121</v>
      </c>
      <c r="Q2501">
        <v>5.52</v>
      </c>
      <c r="R2501">
        <v>17</v>
      </c>
      <c r="S2501">
        <v>963314</v>
      </c>
      <c r="T2501">
        <v>6190</v>
      </c>
      <c r="U2501">
        <v>6200</v>
      </c>
      <c r="V2501">
        <v>20757</v>
      </c>
      <c r="W2501">
        <v>2</v>
      </c>
      <c r="X2501" s="367"/>
    </row>
    <row r="2502" spans="1:24">
      <c r="A2502" t="s">
        <v>2662</v>
      </c>
      <c r="B2502" t="s">
        <v>2661</v>
      </c>
      <c r="C2502">
        <v>787</v>
      </c>
      <c r="D2502">
        <v>71115821</v>
      </c>
      <c r="E2502">
        <v>256728113810</v>
      </c>
      <c r="F2502">
        <v>3510</v>
      </c>
      <c r="G2502">
        <v>3610</v>
      </c>
      <c r="H2502">
        <v>3610</v>
      </c>
      <c r="I2502">
        <v>100</v>
      </c>
      <c r="J2502">
        <v>2.85</v>
      </c>
      <c r="K2502">
        <v>3610</v>
      </c>
      <c r="L2502">
        <v>100</v>
      </c>
      <c r="M2502">
        <v>2.85</v>
      </c>
      <c r="N2502">
        <v>3610</v>
      </c>
      <c r="O2502">
        <v>3610</v>
      </c>
      <c r="P2502">
        <v>786</v>
      </c>
      <c r="Q2502">
        <v>4.59</v>
      </c>
      <c r="R2502">
        <v>750</v>
      </c>
      <c r="S2502">
        <v>141476246</v>
      </c>
      <c r="T2502">
        <v>3610</v>
      </c>
      <c r="U2502">
        <v>0</v>
      </c>
      <c r="V2502">
        <v>0</v>
      </c>
      <c r="W2502">
        <v>0</v>
      </c>
      <c r="X2502" s="367"/>
    </row>
    <row r="2503" spans="1:24">
      <c r="A2503" t="s">
        <v>6050</v>
      </c>
      <c r="B2503" t="s">
        <v>6051</v>
      </c>
      <c r="C2503">
        <v>0</v>
      </c>
      <c r="D2503">
        <v>0</v>
      </c>
      <c r="E2503">
        <v>0</v>
      </c>
      <c r="F2503">
        <v>1000000</v>
      </c>
      <c r="G2503">
        <v>0</v>
      </c>
      <c r="H2503">
        <v>1000000</v>
      </c>
      <c r="I2503">
        <v>0</v>
      </c>
      <c r="J2503">
        <v>0</v>
      </c>
      <c r="K2503">
        <v>1000000</v>
      </c>
      <c r="L2503">
        <v>0</v>
      </c>
      <c r="M2503">
        <v>0</v>
      </c>
      <c r="N2503">
        <v>0</v>
      </c>
      <c r="O2503">
        <v>0</v>
      </c>
      <c r="P2503" t="s">
        <v>192</v>
      </c>
      <c r="Q2503" t="s">
        <v>192</v>
      </c>
      <c r="R2503">
        <v>1</v>
      </c>
      <c r="S2503">
        <v>5000</v>
      </c>
      <c r="T2503">
        <v>995000</v>
      </c>
      <c r="U2503">
        <v>1004950</v>
      </c>
      <c r="V2503">
        <v>5000</v>
      </c>
      <c r="W2503">
        <v>1</v>
      </c>
      <c r="X2503" s="367"/>
    </row>
    <row r="2504" spans="1:24">
      <c r="A2504" t="s">
        <v>125</v>
      </c>
      <c r="B2504" t="s">
        <v>124</v>
      </c>
      <c r="C2504">
        <v>2991</v>
      </c>
      <c r="D2504">
        <v>168349280</v>
      </c>
      <c r="E2504">
        <v>689534926980</v>
      </c>
      <c r="F2504">
        <v>3990</v>
      </c>
      <c r="G2504">
        <v>4100</v>
      </c>
      <c r="H2504">
        <v>4100</v>
      </c>
      <c r="I2504">
        <v>110</v>
      </c>
      <c r="J2504">
        <v>2.76</v>
      </c>
      <c r="K2504">
        <v>4100</v>
      </c>
      <c r="L2504">
        <v>110</v>
      </c>
      <c r="M2504">
        <v>2.76</v>
      </c>
      <c r="N2504">
        <v>4040</v>
      </c>
      <c r="O2504">
        <v>4100</v>
      </c>
      <c r="P2504">
        <v>813</v>
      </c>
      <c r="Q2504">
        <v>5.04</v>
      </c>
      <c r="R2504">
        <v>125</v>
      </c>
      <c r="S2504">
        <v>7279724</v>
      </c>
      <c r="T2504">
        <v>4100</v>
      </c>
      <c r="U2504">
        <v>4790</v>
      </c>
      <c r="V2504">
        <v>15358</v>
      </c>
      <c r="W2504">
        <v>3</v>
      </c>
      <c r="X2504" s="367"/>
    </row>
    <row r="2505" spans="1:24">
      <c r="A2505" t="s">
        <v>7934</v>
      </c>
      <c r="B2505" t="s">
        <v>7935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1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0</v>
      </c>
      <c r="P2505" t="s">
        <v>192</v>
      </c>
      <c r="Q2505" t="s">
        <v>192</v>
      </c>
      <c r="R2505">
        <v>1</v>
      </c>
      <c r="S2505">
        <v>100</v>
      </c>
      <c r="T2505">
        <v>1</v>
      </c>
      <c r="U2505">
        <v>0</v>
      </c>
      <c r="V2505">
        <v>0</v>
      </c>
      <c r="W2505">
        <v>0</v>
      </c>
      <c r="X2505" s="367"/>
    </row>
    <row r="2506" spans="1:24">
      <c r="A2506" t="s">
        <v>6052</v>
      </c>
      <c r="B2506" t="s">
        <v>6053</v>
      </c>
      <c r="C2506">
        <v>0</v>
      </c>
      <c r="D2506">
        <v>0</v>
      </c>
      <c r="E2506">
        <v>0</v>
      </c>
      <c r="F2506">
        <v>2595590</v>
      </c>
      <c r="G2506">
        <v>0</v>
      </c>
      <c r="H2506">
        <v>2595590</v>
      </c>
      <c r="I2506">
        <v>0</v>
      </c>
      <c r="J2506">
        <v>0</v>
      </c>
      <c r="K2506">
        <v>2595590</v>
      </c>
      <c r="L2506">
        <v>0</v>
      </c>
      <c r="M2506">
        <v>0</v>
      </c>
      <c r="N2506">
        <v>0</v>
      </c>
      <c r="O2506">
        <v>0</v>
      </c>
      <c r="P2506" t="s">
        <v>192</v>
      </c>
      <c r="Q2506" t="s">
        <v>192</v>
      </c>
      <c r="R2506">
        <v>1</v>
      </c>
      <c r="S2506">
        <v>19260</v>
      </c>
      <c r="T2506">
        <v>2924128</v>
      </c>
      <c r="U2506">
        <v>0</v>
      </c>
      <c r="V2506">
        <v>0</v>
      </c>
      <c r="W2506">
        <v>0</v>
      </c>
      <c r="X2506" s="367"/>
    </row>
    <row r="2507" spans="1:24">
      <c r="A2507" t="s">
        <v>2050</v>
      </c>
      <c r="B2507" t="s">
        <v>2049</v>
      </c>
      <c r="C2507">
        <v>101</v>
      </c>
      <c r="D2507">
        <v>7513284</v>
      </c>
      <c r="E2507">
        <v>16589331072</v>
      </c>
      <c r="F2507">
        <v>2144</v>
      </c>
      <c r="G2507">
        <v>2208</v>
      </c>
      <c r="H2507">
        <v>2208</v>
      </c>
      <c r="I2507">
        <v>64</v>
      </c>
      <c r="J2507">
        <v>2.99</v>
      </c>
      <c r="K2507">
        <v>2208</v>
      </c>
      <c r="L2507">
        <v>64</v>
      </c>
      <c r="M2507">
        <v>2.99</v>
      </c>
      <c r="N2507">
        <v>2208</v>
      </c>
      <c r="O2507">
        <v>2208</v>
      </c>
      <c r="P2507">
        <v>303</v>
      </c>
      <c r="Q2507">
        <v>7.29</v>
      </c>
      <c r="R2507">
        <v>24</v>
      </c>
      <c r="S2507">
        <v>1557626</v>
      </c>
      <c r="T2507">
        <v>2208</v>
      </c>
      <c r="U2507">
        <v>0</v>
      </c>
      <c r="V2507">
        <v>0</v>
      </c>
      <c r="W2507">
        <v>0</v>
      </c>
      <c r="X2507" s="367"/>
    </row>
    <row r="2508" spans="1:24">
      <c r="A2508" t="s">
        <v>1805</v>
      </c>
      <c r="B2508" t="s">
        <v>1804</v>
      </c>
      <c r="C2508">
        <v>135</v>
      </c>
      <c r="D2508">
        <v>5212885</v>
      </c>
      <c r="E2508">
        <v>34248654450</v>
      </c>
      <c r="F2508">
        <v>6380</v>
      </c>
      <c r="G2508">
        <v>6570</v>
      </c>
      <c r="H2508">
        <v>6570</v>
      </c>
      <c r="I2508">
        <v>190</v>
      </c>
      <c r="J2508">
        <v>2.98</v>
      </c>
      <c r="K2508">
        <v>6570</v>
      </c>
      <c r="L2508">
        <v>190</v>
      </c>
      <c r="M2508">
        <v>2.98</v>
      </c>
      <c r="N2508">
        <v>6570</v>
      </c>
      <c r="O2508">
        <v>6570</v>
      </c>
      <c r="P2508">
        <v>813</v>
      </c>
      <c r="Q2508">
        <v>8.08</v>
      </c>
      <c r="R2508">
        <v>8</v>
      </c>
      <c r="S2508">
        <v>319160</v>
      </c>
      <c r="T2508">
        <v>6570</v>
      </c>
      <c r="U2508">
        <v>0</v>
      </c>
      <c r="V2508">
        <v>0</v>
      </c>
      <c r="W2508">
        <v>0</v>
      </c>
      <c r="X2508" s="367"/>
    </row>
    <row r="2509" spans="1:24">
      <c r="A2509" t="s">
        <v>6054</v>
      </c>
      <c r="B2509" t="s">
        <v>6055</v>
      </c>
      <c r="C2509">
        <v>0</v>
      </c>
      <c r="D2509">
        <v>0</v>
      </c>
      <c r="E2509">
        <v>0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0</v>
      </c>
      <c r="P2509" t="s">
        <v>192</v>
      </c>
      <c r="Q2509" t="s">
        <v>192</v>
      </c>
      <c r="R2509">
        <v>1</v>
      </c>
      <c r="S2509">
        <v>100</v>
      </c>
      <c r="T2509">
        <v>1</v>
      </c>
      <c r="U2509">
        <v>0</v>
      </c>
      <c r="V2509">
        <v>0</v>
      </c>
      <c r="W2509">
        <v>0</v>
      </c>
      <c r="X2509" s="367"/>
    </row>
    <row r="2510" spans="1:24">
      <c r="A2510" t="s">
        <v>8036</v>
      </c>
      <c r="B2510" t="s">
        <v>8037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  <c r="P2510" t="s">
        <v>192</v>
      </c>
      <c r="Q2510" t="s">
        <v>192</v>
      </c>
      <c r="R2510">
        <v>1</v>
      </c>
      <c r="S2510">
        <v>1000</v>
      </c>
      <c r="T2510">
        <v>142</v>
      </c>
      <c r="U2510">
        <v>0</v>
      </c>
      <c r="V2510">
        <v>0</v>
      </c>
      <c r="W2510">
        <v>0</v>
      </c>
      <c r="X2510" s="367"/>
    </row>
    <row r="2511" spans="1:24">
      <c r="A2511" t="s">
        <v>2111</v>
      </c>
      <c r="B2511" t="s">
        <v>2110</v>
      </c>
      <c r="C2511">
        <v>42</v>
      </c>
      <c r="D2511">
        <v>537988</v>
      </c>
      <c r="E2511">
        <v>2689449080</v>
      </c>
      <c r="F2511">
        <v>4860</v>
      </c>
      <c r="G2511">
        <v>4780</v>
      </c>
      <c r="H2511">
        <v>5000</v>
      </c>
      <c r="I2511">
        <v>140</v>
      </c>
      <c r="J2511">
        <v>2.88</v>
      </c>
      <c r="K2511">
        <v>5000</v>
      </c>
      <c r="L2511">
        <v>140</v>
      </c>
      <c r="M2511">
        <v>2.88</v>
      </c>
      <c r="N2511">
        <v>4780</v>
      </c>
      <c r="O2511">
        <v>5000</v>
      </c>
      <c r="P2511">
        <v>458</v>
      </c>
      <c r="Q2511">
        <v>10.92</v>
      </c>
      <c r="R2511">
        <v>7</v>
      </c>
      <c r="S2511">
        <v>314690</v>
      </c>
      <c r="T2511">
        <v>5000</v>
      </c>
      <c r="U2511">
        <v>5050</v>
      </c>
      <c r="V2511">
        <v>30000</v>
      </c>
      <c r="W2511">
        <v>1</v>
      </c>
      <c r="X2511" s="367"/>
    </row>
    <row r="2512" spans="1:24">
      <c r="A2512" t="s">
        <v>6058</v>
      </c>
      <c r="B2512" t="s">
        <v>6059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1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0</v>
      </c>
      <c r="P2512" t="s">
        <v>192</v>
      </c>
      <c r="Q2512" t="s">
        <v>192</v>
      </c>
      <c r="R2512">
        <v>1</v>
      </c>
      <c r="S2512">
        <v>100</v>
      </c>
      <c r="T2512">
        <v>1</v>
      </c>
      <c r="U2512">
        <v>0</v>
      </c>
      <c r="V2512">
        <v>0</v>
      </c>
      <c r="W2512">
        <v>0</v>
      </c>
      <c r="X2512" s="367"/>
    </row>
    <row r="2513" spans="1:24">
      <c r="A2513" t="s">
        <v>3100</v>
      </c>
      <c r="B2513" t="s">
        <v>3099</v>
      </c>
      <c r="C2513">
        <v>160</v>
      </c>
      <c r="D2513">
        <v>3717422</v>
      </c>
      <c r="E2513">
        <v>9894823079</v>
      </c>
      <c r="F2513">
        <v>2589</v>
      </c>
      <c r="G2513">
        <v>2611</v>
      </c>
      <c r="H2513">
        <v>2666</v>
      </c>
      <c r="I2513">
        <v>77</v>
      </c>
      <c r="J2513">
        <v>2.97</v>
      </c>
      <c r="K2513">
        <v>2662</v>
      </c>
      <c r="L2513">
        <v>73</v>
      </c>
      <c r="M2513">
        <v>2.82</v>
      </c>
      <c r="N2513">
        <v>2611</v>
      </c>
      <c r="O2513">
        <v>2666</v>
      </c>
      <c r="P2513">
        <v>-34</v>
      </c>
      <c r="Q2513">
        <v>-78.290000000000006</v>
      </c>
      <c r="R2513">
        <v>3</v>
      </c>
      <c r="S2513">
        <v>120822</v>
      </c>
      <c r="T2513">
        <v>2666</v>
      </c>
      <c r="U2513">
        <v>0</v>
      </c>
      <c r="V2513">
        <v>0</v>
      </c>
      <c r="W2513">
        <v>0</v>
      </c>
      <c r="X2513" s="367"/>
    </row>
    <row r="2514" spans="1:24">
      <c r="A2514" t="s">
        <v>6060</v>
      </c>
      <c r="B2514" t="s">
        <v>6061</v>
      </c>
      <c r="C2514">
        <v>0</v>
      </c>
      <c r="D2514">
        <v>0</v>
      </c>
      <c r="E2514">
        <v>0</v>
      </c>
      <c r="F2514">
        <v>4893320</v>
      </c>
      <c r="G2514">
        <v>0</v>
      </c>
      <c r="H2514">
        <v>4893320</v>
      </c>
      <c r="I2514">
        <v>0</v>
      </c>
      <c r="J2514">
        <v>0</v>
      </c>
      <c r="K2514">
        <v>4893320</v>
      </c>
      <c r="L2514">
        <v>0</v>
      </c>
      <c r="M2514">
        <v>0</v>
      </c>
      <c r="N2514">
        <v>0</v>
      </c>
      <c r="O2514">
        <v>0</v>
      </c>
      <c r="P2514" t="s">
        <v>192</v>
      </c>
      <c r="Q2514" t="s">
        <v>192</v>
      </c>
      <c r="R2514">
        <v>1</v>
      </c>
      <c r="S2514">
        <v>12262</v>
      </c>
      <c r="T2514">
        <v>5353674</v>
      </c>
      <c r="U2514">
        <v>0</v>
      </c>
      <c r="V2514">
        <v>0</v>
      </c>
      <c r="W2514">
        <v>0</v>
      </c>
      <c r="X2514" s="367"/>
    </row>
    <row r="2515" spans="1:24">
      <c r="A2515" t="s">
        <v>8864</v>
      </c>
      <c r="B2515" t="s">
        <v>2613</v>
      </c>
      <c r="C2515">
        <v>4</v>
      </c>
      <c r="D2515">
        <v>29000</v>
      </c>
      <c r="E2515">
        <v>122380000</v>
      </c>
      <c r="F2515">
        <v>4100</v>
      </c>
      <c r="G2515">
        <v>4220</v>
      </c>
      <c r="H2515">
        <v>4220</v>
      </c>
      <c r="I2515">
        <v>120</v>
      </c>
      <c r="J2515">
        <v>2.93</v>
      </c>
      <c r="K2515">
        <v>4220</v>
      </c>
      <c r="L2515">
        <v>120</v>
      </c>
      <c r="M2515">
        <v>2.93</v>
      </c>
      <c r="N2515">
        <v>4220</v>
      </c>
      <c r="O2515">
        <v>4220</v>
      </c>
      <c r="P2515">
        <v>150</v>
      </c>
      <c r="Q2515">
        <v>28.13</v>
      </c>
      <c r="R2515">
        <v>8</v>
      </c>
      <c r="S2515">
        <v>920001</v>
      </c>
      <c r="T2515">
        <v>4220</v>
      </c>
      <c r="U2515">
        <v>0</v>
      </c>
      <c r="V2515">
        <v>0</v>
      </c>
      <c r="W2515">
        <v>0</v>
      </c>
      <c r="X2515" s="367"/>
    </row>
    <row r="2516" spans="1:24">
      <c r="A2516" t="s">
        <v>6062</v>
      </c>
      <c r="B2516" t="s">
        <v>6063</v>
      </c>
      <c r="C2516">
        <v>0</v>
      </c>
      <c r="D2516">
        <v>0</v>
      </c>
      <c r="E2516">
        <v>0</v>
      </c>
      <c r="F2516">
        <v>1000000</v>
      </c>
      <c r="G2516">
        <v>0</v>
      </c>
      <c r="H2516">
        <v>1000000</v>
      </c>
      <c r="I2516">
        <v>0</v>
      </c>
      <c r="J2516">
        <v>0</v>
      </c>
      <c r="K2516">
        <v>1000000</v>
      </c>
      <c r="L2516">
        <v>0</v>
      </c>
      <c r="M2516">
        <v>0</v>
      </c>
      <c r="N2516">
        <v>0</v>
      </c>
      <c r="O2516">
        <v>0</v>
      </c>
      <c r="P2516" t="s">
        <v>192</v>
      </c>
      <c r="Q2516" t="s">
        <v>192</v>
      </c>
      <c r="R2516">
        <v>1</v>
      </c>
      <c r="S2516">
        <v>5000</v>
      </c>
      <c r="T2516">
        <v>995000</v>
      </c>
      <c r="U2516">
        <v>1005000</v>
      </c>
      <c r="V2516">
        <v>5000</v>
      </c>
      <c r="W2516">
        <v>1</v>
      </c>
      <c r="X2516" s="367"/>
    </row>
    <row r="2517" spans="1:24">
      <c r="A2517" t="s">
        <v>6064</v>
      </c>
      <c r="B2517" t="s">
        <v>6065</v>
      </c>
      <c r="C2517">
        <v>0</v>
      </c>
      <c r="D2517">
        <v>0</v>
      </c>
      <c r="E2517">
        <v>0</v>
      </c>
      <c r="F2517">
        <v>16018</v>
      </c>
      <c r="G2517">
        <v>0</v>
      </c>
      <c r="H2517">
        <v>15628</v>
      </c>
      <c r="I2517">
        <v>-390</v>
      </c>
      <c r="J2517">
        <v>-2.4300000000000002</v>
      </c>
      <c r="K2517">
        <v>16018</v>
      </c>
      <c r="L2517">
        <v>0</v>
      </c>
      <c r="M2517">
        <v>0</v>
      </c>
      <c r="N2517">
        <v>0</v>
      </c>
      <c r="O2517">
        <v>0</v>
      </c>
      <c r="P2517" t="s">
        <v>192</v>
      </c>
      <c r="Q2517" t="s">
        <v>192</v>
      </c>
      <c r="R2517">
        <v>1</v>
      </c>
      <c r="S2517">
        <v>33</v>
      </c>
      <c r="T2517">
        <v>4004</v>
      </c>
      <c r="U2517">
        <v>0</v>
      </c>
      <c r="V2517">
        <v>0</v>
      </c>
      <c r="W2517">
        <v>0</v>
      </c>
      <c r="X2517" s="367"/>
    </row>
    <row r="2518" spans="1:24">
      <c r="A2518" t="s">
        <v>6066</v>
      </c>
      <c r="B2518" t="s">
        <v>6067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 t="s">
        <v>192</v>
      </c>
      <c r="Q2518" t="s">
        <v>192</v>
      </c>
      <c r="R2518">
        <v>1</v>
      </c>
      <c r="S2518">
        <v>100</v>
      </c>
      <c r="T2518">
        <v>1</v>
      </c>
      <c r="U2518">
        <v>0</v>
      </c>
      <c r="V2518">
        <v>0</v>
      </c>
      <c r="W2518">
        <v>0</v>
      </c>
      <c r="X2518" s="367"/>
    </row>
    <row r="2519" spans="1:24">
      <c r="A2519" t="s">
        <v>184</v>
      </c>
      <c r="B2519" t="s">
        <v>183</v>
      </c>
      <c r="C2519">
        <v>2018</v>
      </c>
      <c r="D2519">
        <v>60542306</v>
      </c>
      <c r="E2519">
        <v>391000400620</v>
      </c>
      <c r="F2519">
        <v>6310</v>
      </c>
      <c r="G2519">
        <v>6410</v>
      </c>
      <c r="H2519">
        <v>6490</v>
      </c>
      <c r="I2519">
        <v>180</v>
      </c>
      <c r="J2519">
        <v>2.85</v>
      </c>
      <c r="K2519">
        <v>6460</v>
      </c>
      <c r="L2519">
        <v>150</v>
      </c>
      <c r="M2519">
        <v>2.38</v>
      </c>
      <c r="N2519">
        <v>6330</v>
      </c>
      <c r="O2519">
        <v>6490</v>
      </c>
      <c r="P2519">
        <v>1338</v>
      </c>
      <c r="Q2519">
        <v>4.83</v>
      </c>
      <c r="R2519">
        <v>13</v>
      </c>
      <c r="S2519">
        <v>502012</v>
      </c>
      <c r="T2519">
        <v>6490</v>
      </c>
      <c r="U2519">
        <v>6540</v>
      </c>
      <c r="V2519">
        <v>2500</v>
      </c>
      <c r="W2519">
        <v>1</v>
      </c>
      <c r="X2519" s="367"/>
    </row>
    <row r="2520" spans="1:24">
      <c r="A2520" t="s">
        <v>6068</v>
      </c>
      <c r="B2520" t="s">
        <v>6069</v>
      </c>
      <c r="C2520">
        <v>65</v>
      </c>
      <c r="D2520">
        <v>8091</v>
      </c>
      <c r="E2520">
        <v>6305070000</v>
      </c>
      <c r="F2520">
        <v>717</v>
      </c>
      <c r="G2520">
        <v>860</v>
      </c>
      <c r="H2520">
        <v>765</v>
      </c>
      <c r="I2520">
        <v>48</v>
      </c>
      <c r="J2520">
        <v>6.69</v>
      </c>
      <c r="K2520">
        <v>779</v>
      </c>
      <c r="L2520">
        <v>62</v>
      </c>
      <c r="M2520">
        <v>8.65</v>
      </c>
      <c r="N2520">
        <v>765</v>
      </c>
      <c r="O2520">
        <v>860</v>
      </c>
      <c r="P2520" t="s">
        <v>192</v>
      </c>
      <c r="Q2520" t="s">
        <v>192</v>
      </c>
      <c r="R2520">
        <v>1</v>
      </c>
      <c r="S2520">
        <v>100</v>
      </c>
      <c r="T2520">
        <v>1</v>
      </c>
      <c r="U2520">
        <v>993</v>
      </c>
      <c r="V2520">
        <v>20</v>
      </c>
      <c r="W2520">
        <v>1</v>
      </c>
      <c r="X2520" s="367"/>
    </row>
    <row r="2521" spans="1:24">
      <c r="A2521" t="s">
        <v>8317</v>
      </c>
      <c r="B2521" t="s">
        <v>8318</v>
      </c>
      <c r="C2521">
        <v>14</v>
      </c>
      <c r="D2521">
        <v>569</v>
      </c>
      <c r="E2521">
        <v>130606000</v>
      </c>
      <c r="F2521">
        <v>213</v>
      </c>
      <c r="G2521">
        <v>212</v>
      </c>
      <c r="H2521">
        <v>233</v>
      </c>
      <c r="I2521">
        <v>20</v>
      </c>
      <c r="J2521">
        <v>9.39</v>
      </c>
      <c r="K2521">
        <v>230</v>
      </c>
      <c r="L2521">
        <v>17</v>
      </c>
      <c r="M2521">
        <v>7.98</v>
      </c>
      <c r="N2521">
        <v>212</v>
      </c>
      <c r="O2521">
        <v>233</v>
      </c>
      <c r="P2521" t="s">
        <v>192</v>
      </c>
      <c r="Q2521" t="s">
        <v>192</v>
      </c>
      <c r="R2521">
        <v>1</v>
      </c>
      <c r="S2521">
        <v>50</v>
      </c>
      <c r="T2521">
        <v>218</v>
      </c>
      <c r="U2521">
        <v>233</v>
      </c>
      <c r="V2521">
        <v>940</v>
      </c>
      <c r="W2521">
        <v>1</v>
      </c>
      <c r="X2521" s="367"/>
    </row>
    <row r="2522" spans="1:24">
      <c r="A2522" t="s">
        <v>6070</v>
      </c>
      <c r="B2522" t="s">
        <v>6071</v>
      </c>
      <c r="C2522">
        <v>523</v>
      </c>
      <c r="D2522">
        <v>5759305</v>
      </c>
      <c r="E2522">
        <v>161513949420</v>
      </c>
      <c r="F2522">
        <v>26966</v>
      </c>
      <c r="G2522">
        <v>28044</v>
      </c>
      <c r="H2522">
        <v>28044</v>
      </c>
      <c r="I2522">
        <v>1078</v>
      </c>
      <c r="J2522">
        <v>4</v>
      </c>
      <c r="K2522">
        <v>28044</v>
      </c>
      <c r="L2522">
        <v>1078</v>
      </c>
      <c r="M2522">
        <v>4</v>
      </c>
      <c r="N2522">
        <v>28044</v>
      </c>
      <c r="O2522">
        <v>28044</v>
      </c>
      <c r="P2522" t="s">
        <v>192</v>
      </c>
      <c r="Q2522" t="s">
        <v>192</v>
      </c>
      <c r="R2522">
        <v>1123</v>
      </c>
      <c r="S2522">
        <v>64010759</v>
      </c>
      <c r="T2522">
        <v>28044</v>
      </c>
      <c r="U2522">
        <v>28813</v>
      </c>
      <c r="V2522">
        <v>5213</v>
      </c>
      <c r="W2522">
        <v>4</v>
      </c>
      <c r="X2522" s="367"/>
    </row>
    <row r="2523" spans="1:24">
      <c r="A2523" t="s">
        <v>7832</v>
      </c>
      <c r="B2523" t="s">
        <v>7833</v>
      </c>
      <c r="C2523">
        <v>18</v>
      </c>
      <c r="D2523">
        <v>67</v>
      </c>
      <c r="E2523">
        <v>1377980000</v>
      </c>
      <c r="F2523">
        <v>17238</v>
      </c>
      <c r="G2523">
        <v>18015</v>
      </c>
      <c r="H2523">
        <v>21000</v>
      </c>
      <c r="I2523">
        <v>3762</v>
      </c>
      <c r="J2523">
        <v>21.82</v>
      </c>
      <c r="K2523">
        <v>20567</v>
      </c>
      <c r="L2523">
        <v>3329</v>
      </c>
      <c r="M2523">
        <v>19.309999999999999</v>
      </c>
      <c r="N2523">
        <v>18015</v>
      </c>
      <c r="O2523">
        <v>21002</v>
      </c>
      <c r="P2523" t="s">
        <v>192</v>
      </c>
      <c r="Q2523" t="s">
        <v>192</v>
      </c>
      <c r="R2523">
        <v>1</v>
      </c>
      <c r="S2523">
        <v>2</v>
      </c>
      <c r="T2523">
        <v>21000</v>
      </c>
      <c r="U2523">
        <v>27300</v>
      </c>
      <c r="V2523">
        <v>1</v>
      </c>
      <c r="W2523">
        <v>1</v>
      </c>
      <c r="X2523" s="367"/>
    </row>
    <row r="2524" spans="1:24">
      <c r="A2524" t="s">
        <v>6072</v>
      </c>
      <c r="B2524" t="s">
        <v>6073</v>
      </c>
      <c r="C2524">
        <v>0</v>
      </c>
      <c r="D2524">
        <v>0</v>
      </c>
      <c r="E2524">
        <v>0</v>
      </c>
      <c r="F2524">
        <v>1000000</v>
      </c>
      <c r="G2524">
        <v>0</v>
      </c>
      <c r="H2524">
        <v>1000000</v>
      </c>
      <c r="I2524">
        <v>0</v>
      </c>
      <c r="J2524">
        <v>0</v>
      </c>
      <c r="K2524">
        <v>1000000</v>
      </c>
      <c r="L2524">
        <v>0</v>
      </c>
      <c r="M2524">
        <v>0</v>
      </c>
      <c r="N2524">
        <v>0</v>
      </c>
      <c r="O2524">
        <v>0</v>
      </c>
      <c r="P2524" t="s">
        <v>192</v>
      </c>
      <c r="Q2524" t="s">
        <v>192</v>
      </c>
      <c r="R2524">
        <v>1</v>
      </c>
      <c r="S2524">
        <v>5000</v>
      </c>
      <c r="T2524">
        <v>970000</v>
      </c>
      <c r="U2524">
        <v>0</v>
      </c>
      <c r="V2524">
        <v>0</v>
      </c>
      <c r="W2524">
        <v>0</v>
      </c>
      <c r="X2524" s="367"/>
    </row>
    <row r="2525" spans="1:24">
      <c r="A2525" t="s">
        <v>6074</v>
      </c>
      <c r="B2525" t="s">
        <v>6075</v>
      </c>
      <c r="C2525">
        <v>0</v>
      </c>
      <c r="D2525">
        <v>0</v>
      </c>
      <c r="E2525">
        <v>0</v>
      </c>
      <c r="F2525">
        <v>1000000</v>
      </c>
      <c r="G2525">
        <v>0</v>
      </c>
      <c r="H2525">
        <v>1000000</v>
      </c>
      <c r="I2525">
        <v>0</v>
      </c>
      <c r="J2525">
        <v>0</v>
      </c>
      <c r="K2525">
        <v>1000000</v>
      </c>
      <c r="L2525">
        <v>0</v>
      </c>
      <c r="M2525">
        <v>0</v>
      </c>
      <c r="N2525">
        <v>0</v>
      </c>
      <c r="O2525">
        <v>0</v>
      </c>
      <c r="P2525" t="s">
        <v>192</v>
      </c>
      <c r="Q2525" t="s">
        <v>192</v>
      </c>
      <c r="R2525">
        <v>1</v>
      </c>
      <c r="S2525">
        <v>100000</v>
      </c>
      <c r="T2525">
        <v>970000</v>
      </c>
      <c r="U2525">
        <v>0</v>
      </c>
      <c r="V2525">
        <v>0</v>
      </c>
      <c r="W2525">
        <v>0</v>
      </c>
      <c r="X2525" s="367"/>
    </row>
    <row r="2526" spans="1:24">
      <c r="A2526" t="s">
        <v>6076</v>
      </c>
      <c r="B2526" t="s">
        <v>6077</v>
      </c>
      <c r="C2526">
        <v>12</v>
      </c>
      <c r="D2526">
        <v>215</v>
      </c>
      <c r="E2526">
        <v>109650000</v>
      </c>
      <c r="F2526">
        <v>504100</v>
      </c>
      <c r="G2526">
        <v>510000</v>
      </c>
      <c r="H2526">
        <v>510000</v>
      </c>
      <c r="I2526">
        <v>5900</v>
      </c>
      <c r="J2526">
        <v>1.17</v>
      </c>
      <c r="K2526">
        <v>510000</v>
      </c>
      <c r="L2526">
        <v>5900</v>
      </c>
      <c r="M2526">
        <v>1.17</v>
      </c>
      <c r="N2526">
        <v>510000</v>
      </c>
      <c r="O2526">
        <v>510000</v>
      </c>
      <c r="P2526" t="s">
        <v>192</v>
      </c>
      <c r="Q2526" t="s">
        <v>192</v>
      </c>
      <c r="R2526">
        <v>2</v>
      </c>
      <c r="S2526">
        <v>129</v>
      </c>
      <c r="T2526">
        <v>504490</v>
      </c>
      <c r="U2526">
        <v>510000</v>
      </c>
      <c r="V2526">
        <v>4300</v>
      </c>
      <c r="W2526">
        <v>2</v>
      </c>
      <c r="X2526" s="367"/>
    </row>
    <row r="2527" spans="1:24">
      <c r="A2527" t="s">
        <v>6078</v>
      </c>
      <c r="B2527" t="s">
        <v>6079</v>
      </c>
      <c r="C2527">
        <v>0</v>
      </c>
      <c r="D2527">
        <v>0</v>
      </c>
      <c r="E2527">
        <v>0</v>
      </c>
      <c r="F2527">
        <v>1000000</v>
      </c>
      <c r="G2527">
        <v>0</v>
      </c>
      <c r="H2527">
        <v>1000000</v>
      </c>
      <c r="I2527">
        <v>0</v>
      </c>
      <c r="J2527">
        <v>0</v>
      </c>
      <c r="K2527">
        <v>1000000</v>
      </c>
      <c r="L2527">
        <v>0</v>
      </c>
      <c r="M2527">
        <v>0</v>
      </c>
      <c r="N2527">
        <v>0</v>
      </c>
      <c r="O2527">
        <v>0</v>
      </c>
      <c r="P2527" t="s">
        <v>192</v>
      </c>
      <c r="Q2527" t="s">
        <v>192</v>
      </c>
      <c r="R2527">
        <v>1</v>
      </c>
      <c r="S2527">
        <v>100000</v>
      </c>
      <c r="T2527">
        <v>995000</v>
      </c>
      <c r="U2527">
        <v>0</v>
      </c>
      <c r="V2527">
        <v>0</v>
      </c>
      <c r="W2527">
        <v>0</v>
      </c>
      <c r="X2527" s="367"/>
    </row>
    <row r="2528" spans="1:24">
      <c r="A2528" t="s">
        <v>8594</v>
      </c>
      <c r="B2528" t="s">
        <v>6080</v>
      </c>
      <c r="C2528">
        <v>2</v>
      </c>
      <c r="D2528">
        <v>22506960</v>
      </c>
      <c r="E2528">
        <v>19592702551800</v>
      </c>
      <c r="F2528">
        <v>888600</v>
      </c>
      <c r="G2528">
        <v>870265</v>
      </c>
      <c r="H2528">
        <v>870770</v>
      </c>
      <c r="I2528">
        <v>-17830</v>
      </c>
      <c r="J2528">
        <v>-2.0099999999999998</v>
      </c>
      <c r="K2528">
        <v>870517</v>
      </c>
      <c r="L2528">
        <v>-18083</v>
      </c>
      <c r="M2528">
        <v>-2.0299999999999998</v>
      </c>
      <c r="N2528">
        <v>870265</v>
      </c>
      <c r="O2528">
        <v>870770</v>
      </c>
      <c r="P2528" t="s">
        <v>192</v>
      </c>
      <c r="Q2528" t="s">
        <v>192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 s="367"/>
    </row>
    <row r="2529" spans="1:24">
      <c r="A2529" t="s">
        <v>6082</v>
      </c>
      <c r="B2529" t="s">
        <v>6083</v>
      </c>
      <c r="C2529">
        <v>337</v>
      </c>
      <c r="D2529">
        <v>159642</v>
      </c>
      <c r="E2529">
        <v>931287000</v>
      </c>
      <c r="F2529">
        <v>4</v>
      </c>
      <c r="G2529">
        <v>3</v>
      </c>
      <c r="H2529">
        <v>6</v>
      </c>
      <c r="I2529">
        <v>2</v>
      </c>
      <c r="J2529">
        <v>50</v>
      </c>
      <c r="K2529">
        <v>6</v>
      </c>
      <c r="L2529">
        <v>2</v>
      </c>
      <c r="M2529">
        <v>50</v>
      </c>
      <c r="N2529">
        <v>3</v>
      </c>
      <c r="O2529">
        <v>7</v>
      </c>
      <c r="P2529" t="s">
        <v>192</v>
      </c>
      <c r="Q2529" t="s">
        <v>192</v>
      </c>
      <c r="R2529">
        <v>8</v>
      </c>
      <c r="S2529">
        <v>8000</v>
      </c>
      <c r="T2529">
        <v>5</v>
      </c>
      <c r="U2529">
        <v>6</v>
      </c>
      <c r="V2529">
        <v>26445</v>
      </c>
      <c r="W2529">
        <v>27</v>
      </c>
      <c r="X2529" s="367"/>
    </row>
    <row r="2530" spans="1:24">
      <c r="A2530" t="s">
        <v>6084</v>
      </c>
      <c r="B2530" t="s">
        <v>8110</v>
      </c>
      <c r="C2530">
        <v>521</v>
      </c>
      <c r="D2530">
        <v>169521</v>
      </c>
      <c r="E2530">
        <v>15261999000</v>
      </c>
      <c r="F2530">
        <v>57</v>
      </c>
      <c r="G2530">
        <v>98</v>
      </c>
      <c r="H2530">
        <v>87</v>
      </c>
      <c r="I2530">
        <v>30</v>
      </c>
      <c r="J2530">
        <v>52.63</v>
      </c>
      <c r="K2530">
        <v>90</v>
      </c>
      <c r="L2530">
        <v>33</v>
      </c>
      <c r="M2530">
        <v>57.89</v>
      </c>
      <c r="N2530">
        <v>83</v>
      </c>
      <c r="O2530">
        <v>99</v>
      </c>
      <c r="P2530" t="s">
        <v>192</v>
      </c>
      <c r="Q2530" t="s">
        <v>192</v>
      </c>
      <c r="R2530">
        <v>3</v>
      </c>
      <c r="S2530">
        <v>2306</v>
      </c>
      <c r="T2530">
        <v>83</v>
      </c>
      <c r="U2530">
        <v>87</v>
      </c>
      <c r="V2530">
        <v>1147</v>
      </c>
      <c r="W2530">
        <v>2</v>
      </c>
      <c r="X2530" s="367"/>
    </row>
    <row r="2531" spans="1:24">
      <c r="A2531" t="s">
        <v>6086</v>
      </c>
      <c r="B2531" t="s">
        <v>6087</v>
      </c>
      <c r="C2531">
        <v>0</v>
      </c>
      <c r="D2531">
        <v>0</v>
      </c>
      <c r="E2531">
        <v>0</v>
      </c>
      <c r="F2531">
        <v>8848365</v>
      </c>
      <c r="G2531">
        <v>0</v>
      </c>
      <c r="H2531">
        <v>8848365</v>
      </c>
      <c r="I2531">
        <v>0</v>
      </c>
      <c r="J2531">
        <v>0</v>
      </c>
      <c r="K2531">
        <v>8848365</v>
      </c>
      <c r="L2531">
        <v>0</v>
      </c>
      <c r="M2531">
        <v>0</v>
      </c>
      <c r="N2531">
        <v>0</v>
      </c>
      <c r="O2531">
        <v>0</v>
      </c>
      <c r="P2531" t="s">
        <v>192</v>
      </c>
      <c r="Q2531" t="s">
        <v>192</v>
      </c>
      <c r="R2531">
        <v>1</v>
      </c>
      <c r="S2531">
        <v>4407</v>
      </c>
      <c r="T2531">
        <v>9057637</v>
      </c>
      <c r="U2531">
        <v>9238790</v>
      </c>
      <c r="V2531">
        <v>4386</v>
      </c>
      <c r="W2531">
        <v>1</v>
      </c>
      <c r="X2531" s="367"/>
    </row>
    <row r="2532" spans="1:24">
      <c r="A2532" t="s">
        <v>6088</v>
      </c>
      <c r="B2532" t="s">
        <v>6089</v>
      </c>
      <c r="C2532">
        <v>0</v>
      </c>
      <c r="D2532">
        <v>0</v>
      </c>
      <c r="E2532">
        <v>0</v>
      </c>
      <c r="F2532">
        <v>893520</v>
      </c>
      <c r="G2532">
        <v>0</v>
      </c>
      <c r="H2532">
        <v>893520</v>
      </c>
      <c r="I2532">
        <v>0</v>
      </c>
      <c r="J2532">
        <v>0</v>
      </c>
      <c r="K2532">
        <v>893520</v>
      </c>
      <c r="L2532">
        <v>0</v>
      </c>
      <c r="M2532">
        <v>0</v>
      </c>
      <c r="N2532">
        <v>0</v>
      </c>
      <c r="O2532">
        <v>0</v>
      </c>
      <c r="P2532" t="s">
        <v>192</v>
      </c>
      <c r="Q2532" t="s">
        <v>192</v>
      </c>
      <c r="R2532">
        <v>1</v>
      </c>
      <c r="S2532">
        <v>5000</v>
      </c>
      <c r="T2532">
        <v>848850</v>
      </c>
      <c r="U2532">
        <v>0</v>
      </c>
      <c r="V2532">
        <v>0</v>
      </c>
      <c r="W2532">
        <v>0</v>
      </c>
      <c r="X2532" s="367"/>
    </row>
    <row r="2533" spans="1:24">
      <c r="A2533" t="s">
        <v>3069</v>
      </c>
      <c r="B2533" t="s">
        <v>3067</v>
      </c>
      <c r="C2533">
        <v>1</v>
      </c>
      <c r="D2533">
        <v>8727</v>
      </c>
      <c r="E2533">
        <v>7409223</v>
      </c>
      <c r="F2533">
        <v>825</v>
      </c>
      <c r="G2533">
        <v>849</v>
      </c>
      <c r="H2533">
        <v>849</v>
      </c>
      <c r="I2533">
        <v>24</v>
      </c>
      <c r="J2533">
        <v>2.91</v>
      </c>
      <c r="K2533">
        <v>849</v>
      </c>
      <c r="L2533">
        <v>24</v>
      </c>
      <c r="M2533">
        <v>2.91</v>
      </c>
      <c r="N2533">
        <v>849</v>
      </c>
      <c r="O2533">
        <v>849</v>
      </c>
      <c r="P2533">
        <v>335</v>
      </c>
      <c r="Q2533">
        <v>2.5299999999999998</v>
      </c>
      <c r="R2533">
        <v>6</v>
      </c>
      <c r="S2533">
        <v>5820299</v>
      </c>
      <c r="T2533">
        <v>849</v>
      </c>
      <c r="U2533">
        <v>0</v>
      </c>
      <c r="V2533">
        <v>0</v>
      </c>
      <c r="W2533">
        <v>0</v>
      </c>
      <c r="X2533" s="367"/>
    </row>
    <row r="2534" spans="1:24">
      <c r="A2534" t="s">
        <v>6090</v>
      </c>
      <c r="B2534" t="s">
        <v>6091</v>
      </c>
      <c r="C2534">
        <v>0</v>
      </c>
      <c r="D2534">
        <v>0</v>
      </c>
      <c r="E2534">
        <v>0</v>
      </c>
      <c r="F2534">
        <v>1000000</v>
      </c>
      <c r="G2534">
        <v>0</v>
      </c>
      <c r="H2534">
        <v>1000000</v>
      </c>
      <c r="I2534">
        <v>0</v>
      </c>
      <c r="J2534">
        <v>0</v>
      </c>
      <c r="K2534">
        <v>1000000</v>
      </c>
      <c r="L2534">
        <v>0</v>
      </c>
      <c r="M2534">
        <v>0</v>
      </c>
      <c r="N2534">
        <v>0</v>
      </c>
      <c r="O2534">
        <v>0</v>
      </c>
      <c r="P2534" t="s">
        <v>192</v>
      </c>
      <c r="Q2534" t="s">
        <v>192</v>
      </c>
      <c r="R2534">
        <v>1</v>
      </c>
      <c r="S2534">
        <v>6000</v>
      </c>
      <c r="T2534">
        <v>990000</v>
      </c>
      <c r="U2534">
        <v>1000000</v>
      </c>
      <c r="V2534">
        <v>6000</v>
      </c>
      <c r="W2534">
        <v>1</v>
      </c>
      <c r="X2534" s="367"/>
    </row>
    <row r="2535" spans="1:24">
      <c r="A2535" t="s">
        <v>6093</v>
      </c>
      <c r="B2535" t="s">
        <v>6094</v>
      </c>
      <c r="C2535">
        <v>0</v>
      </c>
      <c r="D2535">
        <v>0</v>
      </c>
      <c r="E2535">
        <v>0</v>
      </c>
      <c r="F2535">
        <v>920000</v>
      </c>
      <c r="G2535">
        <v>0</v>
      </c>
      <c r="H2535">
        <v>920000</v>
      </c>
      <c r="I2535">
        <v>0</v>
      </c>
      <c r="J2535">
        <v>0</v>
      </c>
      <c r="K2535">
        <v>920000</v>
      </c>
      <c r="L2535">
        <v>0</v>
      </c>
      <c r="M2535">
        <v>0</v>
      </c>
      <c r="N2535">
        <v>0</v>
      </c>
      <c r="O2535">
        <v>0</v>
      </c>
      <c r="P2535" t="s">
        <v>192</v>
      </c>
      <c r="Q2535" t="s">
        <v>192</v>
      </c>
      <c r="R2535">
        <v>1</v>
      </c>
      <c r="S2535">
        <v>5000</v>
      </c>
      <c r="T2535">
        <v>938220</v>
      </c>
      <c r="U2535">
        <v>947600</v>
      </c>
      <c r="V2535">
        <v>5000</v>
      </c>
      <c r="W2535">
        <v>1</v>
      </c>
      <c r="X2535" s="367"/>
    </row>
    <row r="2536" spans="1:24">
      <c r="A2536" t="s">
        <v>6095</v>
      </c>
      <c r="B2536" t="s">
        <v>8258</v>
      </c>
      <c r="C2536">
        <v>34</v>
      </c>
      <c r="D2536">
        <v>5632</v>
      </c>
      <c r="E2536">
        <v>2395773000</v>
      </c>
      <c r="F2536">
        <v>370</v>
      </c>
      <c r="G2536">
        <v>454</v>
      </c>
      <c r="H2536">
        <v>428</v>
      </c>
      <c r="I2536">
        <v>58</v>
      </c>
      <c r="J2536">
        <v>15.68</v>
      </c>
      <c r="K2536">
        <v>425</v>
      </c>
      <c r="L2536">
        <v>55</v>
      </c>
      <c r="M2536">
        <v>14.86</v>
      </c>
      <c r="N2536">
        <v>421</v>
      </c>
      <c r="O2536">
        <v>454</v>
      </c>
      <c r="P2536" t="s">
        <v>192</v>
      </c>
      <c r="Q2536" t="s">
        <v>192</v>
      </c>
      <c r="R2536">
        <v>1</v>
      </c>
      <c r="S2536">
        <v>19</v>
      </c>
      <c r="T2536">
        <v>421</v>
      </c>
      <c r="U2536">
        <v>429</v>
      </c>
      <c r="V2536">
        <v>3</v>
      </c>
      <c r="W2536">
        <v>1</v>
      </c>
      <c r="X2536" s="367"/>
    </row>
    <row r="2537" spans="1:24">
      <c r="A2537" t="s">
        <v>6097</v>
      </c>
      <c r="B2537" t="s">
        <v>8597</v>
      </c>
      <c r="C2537">
        <v>0</v>
      </c>
      <c r="D2537">
        <v>0</v>
      </c>
      <c r="E2537">
        <v>0</v>
      </c>
      <c r="F2537">
        <v>1</v>
      </c>
      <c r="G2537">
        <v>0</v>
      </c>
      <c r="H2537">
        <v>1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 t="s">
        <v>192</v>
      </c>
      <c r="Q2537" t="s">
        <v>192</v>
      </c>
      <c r="R2537">
        <v>0</v>
      </c>
      <c r="S2537">
        <v>0</v>
      </c>
      <c r="T2537">
        <v>0</v>
      </c>
      <c r="U2537">
        <v>1</v>
      </c>
      <c r="V2537">
        <v>300</v>
      </c>
      <c r="W2537">
        <v>1</v>
      </c>
      <c r="X2537" s="367"/>
    </row>
    <row r="2538" spans="1:24">
      <c r="A2538" t="s">
        <v>7185</v>
      </c>
      <c r="B2538" t="s">
        <v>8111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1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 t="s">
        <v>192</v>
      </c>
      <c r="Q2538" t="s">
        <v>192</v>
      </c>
      <c r="R2538">
        <v>1</v>
      </c>
      <c r="S2538">
        <v>100</v>
      </c>
      <c r="T2538">
        <v>1</v>
      </c>
      <c r="U2538">
        <v>0</v>
      </c>
      <c r="V2538">
        <v>0</v>
      </c>
      <c r="W2538">
        <v>0</v>
      </c>
      <c r="X2538" s="367"/>
    </row>
    <row r="2539" spans="1:24">
      <c r="A2539" t="s">
        <v>3083</v>
      </c>
      <c r="B2539" t="s">
        <v>3082</v>
      </c>
      <c r="C2539">
        <v>505</v>
      </c>
      <c r="D2539">
        <v>13013151</v>
      </c>
      <c r="E2539">
        <v>220909615430</v>
      </c>
      <c r="F2539">
        <v>16510</v>
      </c>
      <c r="G2539">
        <v>16240</v>
      </c>
      <c r="H2539">
        <v>17000</v>
      </c>
      <c r="I2539">
        <v>490</v>
      </c>
      <c r="J2539">
        <v>2.97</v>
      </c>
      <c r="K2539">
        <v>16980</v>
      </c>
      <c r="L2539">
        <v>470</v>
      </c>
      <c r="M2539">
        <v>2.85</v>
      </c>
      <c r="N2539">
        <v>16240</v>
      </c>
      <c r="O2539">
        <v>17000</v>
      </c>
      <c r="P2539">
        <v>653</v>
      </c>
      <c r="Q2539">
        <v>26</v>
      </c>
      <c r="R2539">
        <v>50</v>
      </c>
      <c r="S2539">
        <v>4040617</v>
      </c>
      <c r="T2539">
        <v>17000</v>
      </c>
      <c r="U2539">
        <v>18120</v>
      </c>
      <c r="V2539">
        <v>300</v>
      </c>
      <c r="W2539">
        <v>1</v>
      </c>
      <c r="X2539" s="367"/>
    </row>
    <row r="2540" spans="1:24">
      <c r="A2540" t="s">
        <v>6098</v>
      </c>
      <c r="B2540" t="s">
        <v>6099</v>
      </c>
      <c r="C2540">
        <v>5168</v>
      </c>
      <c r="D2540">
        <v>2615789</v>
      </c>
      <c r="E2540">
        <v>2720654000</v>
      </c>
      <c r="F2540">
        <v>13</v>
      </c>
      <c r="G2540">
        <v>1</v>
      </c>
      <c r="H2540">
        <v>1</v>
      </c>
      <c r="I2540">
        <v>-12</v>
      </c>
      <c r="J2540">
        <v>-92.31</v>
      </c>
      <c r="K2540">
        <v>1</v>
      </c>
      <c r="L2540">
        <v>-12</v>
      </c>
      <c r="M2540">
        <v>-92.31</v>
      </c>
      <c r="N2540">
        <v>1</v>
      </c>
      <c r="O2540">
        <v>2</v>
      </c>
      <c r="P2540" t="s">
        <v>192</v>
      </c>
      <c r="Q2540" t="s">
        <v>192</v>
      </c>
      <c r="R2540">
        <v>0</v>
      </c>
      <c r="S2540">
        <v>0</v>
      </c>
      <c r="T2540">
        <v>0</v>
      </c>
      <c r="U2540">
        <v>1</v>
      </c>
      <c r="V2540">
        <v>364354</v>
      </c>
      <c r="W2540">
        <v>387</v>
      </c>
      <c r="X2540" s="367"/>
    </row>
    <row r="2541" spans="1:24">
      <c r="A2541" t="s">
        <v>8865</v>
      </c>
      <c r="B2541" t="s">
        <v>1847</v>
      </c>
      <c r="C2541">
        <v>2</v>
      </c>
      <c r="D2541">
        <v>150000</v>
      </c>
      <c r="E2541">
        <v>645000000</v>
      </c>
      <c r="F2541">
        <v>4180</v>
      </c>
      <c r="G2541">
        <v>4300</v>
      </c>
      <c r="H2541">
        <v>4300</v>
      </c>
      <c r="I2541">
        <v>120</v>
      </c>
      <c r="J2541">
        <v>2.87</v>
      </c>
      <c r="K2541">
        <v>4300</v>
      </c>
      <c r="L2541">
        <v>120</v>
      </c>
      <c r="M2541">
        <v>2.87</v>
      </c>
      <c r="N2541">
        <v>4300</v>
      </c>
      <c r="O2541">
        <v>4300</v>
      </c>
      <c r="P2541">
        <v>280</v>
      </c>
      <c r="Q2541">
        <v>15.36</v>
      </c>
      <c r="R2541">
        <v>77</v>
      </c>
      <c r="S2541">
        <v>20691255</v>
      </c>
      <c r="T2541">
        <v>4300</v>
      </c>
      <c r="U2541">
        <v>0</v>
      </c>
      <c r="V2541">
        <v>0</v>
      </c>
      <c r="W2541">
        <v>0</v>
      </c>
      <c r="X2541" s="367"/>
    </row>
    <row r="2542" spans="1:24">
      <c r="A2542" t="s">
        <v>2273</v>
      </c>
      <c r="B2542" t="s">
        <v>2271</v>
      </c>
      <c r="C2542">
        <v>9</v>
      </c>
      <c r="D2542">
        <v>1116</v>
      </c>
      <c r="E2542">
        <v>1370448</v>
      </c>
      <c r="F2542">
        <v>1193</v>
      </c>
      <c r="G2542">
        <v>1228</v>
      </c>
      <c r="H2542">
        <v>1228</v>
      </c>
      <c r="I2542">
        <v>35</v>
      </c>
      <c r="J2542">
        <v>2.93</v>
      </c>
      <c r="K2542">
        <v>1228</v>
      </c>
      <c r="L2542">
        <v>35</v>
      </c>
      <c r="M2542">
        <v>2.93</v>
      </c>
      <c r="N2542">
        <v>1228</v>
      </c>
      <c r="O2542">
        <v>1228</v>
      </c>
      <c r="P2542">
        <v>183</v>
      </c>
      <c r="Q2542">
        <v>6.71</v>
      </c>
      <c r="R2542">
        <v>14</v>
      </c>
      <c r="S2542">
        <v>4261299</v>
      </c>
      <c r="T2542">
        <v>1228</v>
      </c>
      <c r="U2542">
        <v>0</v>
      </c>
      <c r="V2542">
        <v>0</v>
      </c>
      <c r="W2542">
        <v>0</v>
      </c>
      <c r="X2542" s="367"/>
    </row>
    <row r="2543" spans="1:24">
      <c r="A2543" t="s">
        <v>6100</v>
      </c>
      <c r="B2543" t="s">
        <v>6101</v>
      </c>
      <c r="C2543">
        <v>2</v>
      </c>
      <c r="D2543">
        <v>23</v>
      </c>
      <c r="E2543">
        <v>113000000</v>
      </c>
      <c r="F2543">
        <v>3599</v>
      </c>
      <c r="G2543">
        <v>4800</v>
      </c>
      <c r="H2543">
        <v>5000</v>
      </c>
      <c r="I2543">
        <v>1401</v>
      </c>
      <c r="J2543">
        <v>38.93</v>
      </c>
      <c r="K2543">
        <v>4913</v>
      </c>
      <c r="L2543">
        <v>1314</v>
      </c>
      <c r="M2543">
        <v>36.51</v>
      </c>
      <c r="N2543">
        <v>4800</v>
      </c>
      <c r="O2543">
        <v>5000</v>
      </c>
      <c r="P2543" t="s">
        <v>192</v>
      </c>
      <c r="Q2543" t="s">
        <v>192</v>
      </c>
      <c r="R2543">
        <v>1</v>
      </c>
      <c r="S2543">
        <v>14</v>
      </c>
      <c r="T2543">
        <v>3600</v>
      </c>
      <c r="U2543">
        <v>4990</v>
      </c>
      <c r="V2543">
        <v>6</v>
      </c>
      <c r="W2543">
        <v>2</v>
      </c>
      <c r="X2543" s="367"/>
    </row>
    <row r="2544" spans="1:24">
      <c r="A2544" t="s">
        <v>6102</v>
      </c>
      <c r="B2544" t="s">
        <v>3280</v>
      </c>
      <c r="C2544">
        <v>3612</v>
      </c>
      <c r="D2544">
        <v>83812523</v>
      </c>
      <c r="E2544">
        <v>764460606603</v>
      </c>
      <c r="F2544">
        <v>8987</v>
      </c>
      <c r="G2544">
        <v>9150</v>
      </c>
      <c r="H2544">
        <v>9142</v>
      </c>
      <c r="I2544">
        <v>155</v>
      </c>
      <c r="J2544">
        <v>1.72</v>
      </c>
      <c r="K2544">
        <v>9121</v>
      </c>
      <c r="L2544">
        <v>134</v>
      </c>
      <c r="M2544">
        <v>1.49</v>
      </c>
      <c r="N2544">
        <v>9080</v>
      </c>
      <c r="O2544">
        <v>9200</v>
      </c>
      <c r="P2544" t="s">
        <v>192</v>
      </c>
      <c r="Q2544" t="s">
        <v>192</v>
      </c>
      <c r="R2544">
        <v>3</v>
      </c>
      <c r="S2544">
        <v>69797</v>
      </c>
      <c r="T2544">
        <v>9142</v>
      </c>
      <c r="U2544">
        <v>9143</v>
      </c>
      <c r="V2544">
        <v>1127</v>
      </c>
      <c r="W2544">
        <v>1</v>
      </c>
      <c r="X2544" s="367"/>
    </row>
    <row r="2545" spans="1:24">
      <c r="A2545" t="s">
        <v>1843</v>
      </c>
      <c r="B2545" t="s">
        <v>1842</v>
      </c>
      <c r="C2545">
        <v>1938</v>
      </c>
      <c r="D2545">
        <v>22296256</v>
      </c>
      <c r="E2545">
        <v>338085646560</v>
      </c>
      <c r="F2545">
        <v>14820</v>
      </c>
      <c r="G2545">
        <v>15250</v>
      </c>
      <c r="H2545">
        <v>15260</v>
      </c>
      <c r="I2545">
        <v>440</v>
      </c>
      <c r="J2545">
        <v>2.97</v>
      </c>
      <c r="K2545">
        <v>15160</v>
      </c>
      <c r="L2545">
        <v>340</v>
      </c>
      <c r="M2545">
        <v>2.29</v>
      </c>
      <c r="N2545">
        <v>14950</v>
      </c>
      <c r="O2545">
        <v>15260</v>
      </c>
      <c r="P2545">
        <v>3739</v>
      </c>
      <c r="Q2545">
        <v>4.05</v>
      </c>
      <c r="R2545">
        <v>19</v>
      </c>
      <c r="S2545">
        <v>496545</v>
      </c>
      <c r="T2545">
        <v>15260</v>
      </c>
      <c r="U2545">
        <v>0</v>
      </c>
      <c r="V2545">
        <v>0</v>
      </c>
      <c r="W2545">
        <v>0</v>
      </c>
      <c r="X2545" s="367"/>
    </row>
    <row r="2546" spans="1:24">
      <c r="A2546" t="s">
        <v>6103</v>
      </c>
      <c r="B2546" t="s">
        <v>6104</v>
      </c>
      <c r="C2546">
        <v>2</v>
      </c>
      <c r="D2546">
        <v>206594810</v>
      </c>
      <c r="E2546">
        <v>168868325151090</v>
      </c>
      <c r="F2546">
        <v>794170</v>
      </c>
      <c r="G2546">
        <v>817158</v>
      </c>
      <c r="H2546">
        <v>817620</v>
      </c>
      <c r="I2546">
        <v>23450</v>
      </c>
      <c r="J2546">
        <v>2.95</v>
      </c>
      <c r="K2546">
        <v>817389</v>
      </c>
      <c r="L2546">
        <v>23219</v>
      </c>
      <c r="M2546">
        <v>2.92</v>
      </c>
      <c r="N2546">
        <v>817158</v>
      </c>
      <c r="O2546">
        <v>817620</v>
      </c>
      <c r="P2546" t="s">
        <v>192</v>
      </c>
      <c r="Q2546" t="s">
        <v>192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 s="367"/>
    </row>
    <row r="2547" spans="1:24">
      <c r="A2547" t="s">
        <v>6105</v>
      </c>
      <c r="B2547" t="s">
        <v>6106</v>
      </c>
      <c r="C2547">
        <v>41</v>
      </c>
      <c r="D2547">
        <v>1180727</v>
      </c>
      <c r="E2547">
        <v>16763223434</v>
      </c>
      <c r="F2547">
        <v>13830</v>
      </c>
      <c r="G2547">
        <v>14200</v>
      </c>
      <c r="H2547">
        <v>14229</v>
      </c>
      <c r="I2547">
        <v>399</v>
      </c>
      <c r="J2547">
        <v>2.89</v>
      </c>
      <c r="K2547">
        <v>14197</v>
      </c>
      <c r="L2547">
        <v>367</v>
      </c>
      <c r="M2547">
        <v>2.65</v>
      </c>
      <c r="N2547">
        <v>14000</v>
      </c>
      <c r="O2547">
        <v>14244</v>
      </c>
      <c r="P2547" t="s">
        <v>192</v>
      </c>
      <c r="Q2547" t="s">
        <v>192</v>
      </c>
      <c r="R2547">
        <v>1</v>
      </c>
      <c r="S2547">
        <v>74379</v>
      </c>
      <c r="T2547">
        <v>14000</v>
      </c>
      <c r="U2547">
        <v>14229</v>
      </c>
      <c r="V2547">
        <v>49925</v>
      </c>
      <c r="W2547">
        <v>1</v>
      </c>
      <c r="X2547" s="367"/>
    </row>
    <row r="2548" spans="1:24">
      <c r="A2548" t="s">
        <v>6107</v>
      </c>
      <c r="B2548" t="s">
        <v>6108</v>
      </c>
      <c r="C2548">
        <v>0</v>
      </c>
      <c r="D2548">
        <v>0</v>
      </c>
      <c r="E2548">
        <v>0</v>
      </c>
      <c r="F2548">
        <v>1000000</v>
      </c>
      <c r="G2548">
        <v>0</v>
      </c>
      <c r="H2548">
        <v>1000000</v>
      </c>
      <c r="I2548">
        <v>0</v>
      </c>
      <c r="J2548">
        <v>0</v>
      </c>
      <c r="K2548">
        <v>1000000</v>
      </c>
      <c r="L2548">
        <v>0</v>
      </c>
      <c r="M2548">
        <v>0</v>
      </c>
      <c r="N2548">
        <v>0</v>
      </c>
      <c r="O2548">
        <v>0</v>
      </c>
      <c r="P2548" t="s">
        <v>192</v>
      </c>
      <c r="Q2548" t="s">
        <v>192</v>
      </c>
      <c r="R2548">
        <v>1</v>
      </c>
      <c r="S2548">
        <v>5000</v>
      </c>
      <c r="T2548">
        <v>1000000</v>
      </c>
      <c r="U2548">
        <v>1010000</v>
      </c>
      <c r="V2548">
        <v>5000</v>
      </c>
      <c r="W2548">
        <v>1</v>
      </c>
      <c r="X2548" s="367"/>
    </row>
    <row r="2549" spans="1:24">
      <c r="A2549" t="s">
        <v>6109</v>
      </c>
      <c r="B2549" t="s">
        <v>6110</v>
      </c>
      <c r="C2549">
        <v>0</v>
      </c>
      <c r="D2549">
        <v>0</v>
      </c>
      <c r="E2549">
        <v>0</v>
      </c>
      <c r="F2549">
        <v>1000000</v>
      </c>
      <c r="G2549">
        <v>0</v>
      </c>
      <c r="H2549">
        <v>1000000</v>
      </c>
      <c r="I2549">
        <v>0</v>
      </c>
      <c r="J2549">
        <v>0</v>
      </c>
      <c r="K2549">
        <v>1000000</v>
      </c>
      <c r="L2549">
        <v>0</v>
      </c>
      <c r="M2549">
        <v>0</v>
      </c>
      <c r="N2549">
        <v>0</v>
      </c>
      <c r="O2549">
        <v>0</v>
      </c>
      <c r="P2549" t="s">
        <v>192</v>
      </c>
      <c r="Q2549" t="s">
        <v>192</v>
      </c>
      <c r="R2549">
        <v>1</v>
      </c>
      <c r="S2549">
        <v>5000</v>
      </c>
      <c r="T2549">
        <v>995000</v>
      </c>
      <c r="U2549">
        <v>1004950</v>
      </c>
      <c r="V2549">
        <v>5000</v>
      </c>
      <c r="W2549">
        <v>1</v>
      </c>
      <c r="X2549" s="367"/>
    </row>
    <row r="2550" spans="1:24">
      <c r="A2550" t="s">
        <v>6583</v>
      </c>
      <c r="B2550" t="s">
        <v>8418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 t="s">
        <v>192</v>
      </c>
      <c r="Q2550" t="s">
        <v>192</v>
      </c>
      <c r="R2550">
        <v>1</v>
      </c>
      <c r="S2550">
        <v>1</v>
      </c>
      <c r="T2550">
        <v>1500</v>
      </c>
      <c r="U2550">
        <v>0</v>
      </c>
      <c r="V2550">
        <v>0</v>
      </c>
      <c r="W2550">
        <v>0</v>
      </c>
      <c r="X2550" s="367"/>
    </row>
    <row r="2551" spans="1:24">
      <c r="A2551" t="s">
        <v>6111</v>
      </c>
      <c r="B2551" t="s">
        <v>6112</v>
      </c>
      <c r="C2551">
        <v>1665</v>
      </c>
      <c r="D2551">
        <v>16320800</v>
      </c>
      <c r="E2551">
        <v>284248297904</v>
      </c>
      <c r="F2551">
        <v>17521</v>
      </c>
      <c r="G2551">
        <v>17500</v>
      </c>
      <c r="H2551">
        <v>17419</v>
      </c>
      <c r="I2551">
        <v>-102</v>
      </c>
      <c r="J2551">
        <v>-0.57999999999999996</v>
      </c>
      <c r="K2551">
        <v>17416</v>
      </c>
      <c r="L2551">
        <v>-105</v>
      </c>
      <c r="M2551">
        <v>-0.6</v>
      </c>
      <c r="N2551">
        <v>17400</v>
      </c>
      <c r="O2551">
        <v>17500</v>
      </c>
      <c r="P2551" t="s">
        <v>192</v>
      </c>
      <c r="Q2551" t="s">
        <v>192</v>
      </c>
      <c r="R2551">
        <v>1</v>
      </c>
      <c r="S2551">
        <v>300</v>
      </c>
      <c r="T2551">
        <v>17418</v>
      </c>
      <c r="U2551">
        <v>17419</v>
      </c>
      <c r="V2551">
        <v>3142</v>
      </c>
      <c r="W2551">
        <v>1</v>
      </c>
      <c r="X2551" s="367"/>
    </row>
    <row r="2552" spans="1:24">
      <c r="A2552" t="s">
        <v>1729</v>
      </c>
      <c r="B2552" t="s">
        <v>1728</v>
      </c>
      <c r="C2552">
        <v>220</v>
      </c>
      <c r="D2552">
        <v>41602083</v>
      </c>
      <c r="E2552">
        <v>133501084347</v>
      </c>
      <c r="F2552">
        <v>3116</v>
      </c>
      <c r="G2552">
        <v>3209</v>
      </c>
      <c r="H2552">
        <v>3209</v>
      </c>
      <c r="I2552">
        <v>93</v>
      </c>
      <c r="J2552">
        <v>2.98</v>
      </c>
      <c r="K2552">
        <v>3209</v>
      </c>
      <c r="L2552">
        <v>93</v>
      </c>
      <c r="M2552">
        <v>2.98</v>
      </c>
      <c r="N2552">
        <v>3209</v>
      </c>
      <c r="O2552">
        <v>3209</v>
      </c>
      <c r="P2552">
        <v>1000</v>
      </c>
      <c r="Q2552">
        <v>3.21</v>
      </c>
      <c r="R2552">
        <v>664</v>
      </c>
      <c r="S2552">
        <v>416483639</v>
      </c>
      <c r="T2552">
        <v>3209</v>
      </c>
      <c r="U2552">
        <v>0</v>
      </c>
      <c r="V2552">
        <v>0</v>
      </c>
      <c r="W2552">
        <v>0</v>
      </c>
      <c r="X2552" s="367"/>
    </row>
    <row r="2553" spans="1:24">
      <c r="A2553" t="s">
        <v>55</v>
      </c>
      <c r="B2553" t="s">
        <v>54</v>
      </c>
      <c r="C2553">
        <v>165</v>
      </c>
      <c r="D2553">
        <v>545072</v>
      </c>
      <c r="E2553">
        <v>30726291130</v>
      </c>
      <c r="F2553">
        <v>54760</v>
      </c>
      <c r="G2553">
        <v>56400</v>
      </c>
      <c r="H2553">
        <v>56400</v>
      </c>
      <c r="I2553">
        <v>1640</v>
      </c>
      <c r="J2553">
        <v>2.99</v>
      </c>
      <c r="K2553">
        <v>56370</v>
      </c>
      <c r="L2553">
        <v>1610</v>
      </c>
      <c r="M2553">
        <v>2.94</v>
      </c>
      <c r="N2553">
        <v>55530</v>
      </c>
      <c r="O2553">
        <v>56400</v>
      </c>
      <c r="P2553">
        <v>8478</v>
      </c>
      <c r="Q2553">
        <v>6.65</v>
      </c>
      <c r="R2553">
        <v>1</v>
      </c>
      <c r="S2553">
        <v>230</v>
      </c>
      <c r="T2553">
        <v>56400</v>
      </c>
      <c r="U2553">
        <v>56570</v>
      </c>
      <c r="V2553">
        <v>1909</v>
      </c>
      <c r="W2553">
        <v>2</v>
      </c>
      <c r="X2553" s="367"/>
    </row>
    <row r="2554" spans="1:24">
      <c r="A2554" t="s">
        <v>6113</v>
      </c>
      <c r="B2554" t="s">
        <v>6114</v>
      </c>
      <c r="C2554">
        <v>0</v>
      </c>
      <c r="D2554">
        <v>0</v>
      </c>
      <c r="E2554">
        <v>0</v>
      </c>
      <c r="F2554">
        <v>1000000</v>
      </c>
      <c r="G2554">
        <v>0</v>
      </c>
      <c r="H2554">
        <v>1000000</v>
      </c>
      <c r="I2554">
        <v>0</v>
      </c>
      <c r="J2554">
        <v>0</v>
      </c>
      <c r="K2554">
        <v>1000000</v>
      </c>
      <c r="L2554">
        <v>0</v>
      </c>
      <c r="M2554">
        <v>0</v>
      </c>
      <c r="N2554">
        <v>0</v>
      </c>
      <c r="O2554">
        <v>0</v>
      </c>
      <c r="P2554" t="s">
        <v>192</v>
      </c>
      <c r="Q2554" t="s">
        <v>192</v>
      </c>
      <c r="R2554">
        <v>1</v>
      </c>
      <c r="S2554">
        <v>5500</v>
      </c>
      <c r="T2554">
        <v>970000</v>
      </c>
      <c r="U2554">
        <v>0</v>
      </c>
      <c r="V2554">
        <v>0</v>
      </c>
      <c r="W2554">
        <v>0</v>
      </c>
      <c r="X2554" s="367"/>
    </row>
    <row r="2555" spans="1:24">
      <c r="A2555" t="s">
        <v>8866</v>
      </c>
      <c r="B2555" t="s">
        <v>2455</v>
      </c>
      <c r="C2555">
        <v>10</v>
      </c>
      <c r="D2555">
        <v>34367</v>
      </c>
      <c r="E2555">
        <v>463267160</v>
      </c>
      <c r="F2555">
        <v>13160</v>
      </c>
      <c r="G2555">
        <v>13480</v>
      </c>
      <c r="H2555">
        <v>13480</v>
      </c>
      <c r="I2555">
        <v>320</v>
      </c>
      <c r="J2555">
        <v>2.4300000000000002</v>
      </c>
      <c r="K2555">
        <v>13480</v>
      </c>
      <c r="L2555">
        <v>320</v>
      </c>
      <c r="M2555">
        <v>2.4300000000000002</v>
      </c>
      <c r="N2555">
        <v>13480</v>
      </c>
      <c r="O2555">
        <v>13480</v>
      </c>
      <c r="P2555">
        <v>1819</v>
      </c>
      <c r="Q2555">
        <v>7.41</v>
      </c>
      <c r="R2555">
        <v>2</v>
      </c>
      <c r="S2555">
        <v>6936</v>
      </c>
      <c r="T2555">
        <v>13480</v>
      </c>
      <c r="U2555">
        <v>0</v>
      </c>
      <c r="V2555">
        <v>0</v>
      </c>
      <c r="W2555">
        <v>0</v>
      </c>
      <c r="X2555" s="367"/>
    </row>
    <row r="2556" spans="1:24">
      <c r="A2556" t="s">
        <v>8496</v>
      </c>
      <c r="B2556" t="s">
        <v>8497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1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 t="s">
        <v>192</v>
      </c>
      <c r="Q2556" t="s">
        <v>192</v>
      </c>
      <c r="R2556">
        <v>1</v>
      </c>
      <c r="S2556">
        <v>999</v>
      </c>
      <c r="T2556">
        <v>4</v>
      </c>
      <c r="U2556">
        <v>0</v>
      </c>
      <c r="V2556">
        <v>0</v>
      </c>
      <c r="W2556">
        <v>0</v>
      </c>
      <c r="X2556" s="367"/>
    </row>
    <row r="2557" spans="1:24">
      <c r="A2557" t="s">
        <v>1962</v>
      </c>
      <c r="B2557" t="s">
        <v>1961</v>
      </c>
      <c r="C2557">
        <v>1659</v>
      </c>
      <c r="D2557">
        <v>239456624</v>
      </c>
      <c r="E2557">
        <v>445616196282</v>
      </c>
      <c r="F2557">
        <v>1807</v>
      </c>
      <c r="G2557">
        <v>1861</v>
      </c>
      <c r="H2557">
        <v>1861</v>
      </c>
      <c r="I2557">
        <v>54</v>
      </c>
      <c r="J2557">
        <v>2.99</v>
      </c>
      <c r="K2557">
        <v>1861</v>
      </c>
      <c r="L2557">
        <v>54</v>
      </c>
      <c r="M2557">
        <v>2.99</v>
      </c>
      <c r="N2557">
        <v>1860</v>
      </c>
      <c r="O2557">
        <v>1861</v>
      </c>
      <c r="P2557">
        <v>655</v>
      </c>
      <c r="Q2557">
        <v>2.84</v>
      </c>
      <c r="R2557">
        <v>133</v>
      </c>
      <c r="S2557">
        <v>50772449</v>
      </c>
      <c r="T2557">
        <v>1861</v>
      </c>
      <c r="U2557">
        <v>0</v>
      </c>
      <c r="V2557">
        <v>0</v>
      </c>
      <c r="W2557">
        <v>0</v>
      </c>
      <c r="X2557" s="367"/>
    </row>
    <row r="2558" spans="1:24">
      <c r="A2558" t="s">
        <v>7710</v>
      </c>
      <c r="B2558" t="s">
        <v>86</v>
      </c>
      <c r="C2558">
        <v>1</v>
      </c>
      <c r="D2558">
        <v>518</v>
      </c>
      <c r="E2558">
        <v>3403260</v>
      </c>
      <c r="F2558">
        <v>6400</v>
      </c>
      <c r="G2558">
        <v>6570</v>
      </c>
      <c r="H2558">
        <v>6570</v>
      </c>
      <c r="I2558">
        <v>170</v>
      </c>
      <c r="J2558">
        <v>2.66</v>
      </c>
      <c r="K2558">
        <v>6570</v>
      </c>
      <c r="L2558">
        <v>170</v>
      </c>
      <c r="M2558">
        <v>2.66</v>
      </c>
      <c r="N2558">
        <v>6570</v>
      </c>
      <c r="O2558">
        <v>6570</v>
      </c>
      <c r="P2558">
        <v>1058</v>
      </c>
      <c r="Q2558">
        <v>6.21</v>
      </c>
      <c r="R2558">
        <v>6</v>
      </c>
      <c r="S2558">
        <v>605535</v>
      </c>
      <c r="T2558">
        <v>6570</v>
      </c>
      <c r="U2558">
        <v>0</v>
      </c>
      <c r="V2558">
        <v>0</v>
      </c>
      <c r="W2558">
        <v>0</v>
      </c>
      <c r="X2558" s="367"/>
    </row>
    <row r="2559" spans="1:24">
      <c r="A2559" t="s">
        <v>6115</v>
      </c>
      <c r="B2559" t="s">
        <v>6116</v>
      </c>
      <c r="C2559">
        <v>0</v>
      </c>
      <c r="D2559">
        <v>0</v>
      </c>
      <c r="E2559">
        <v>0</v>
      </c>
      <c r="F2559">
        <v>1000000</v>
      </c>
      <c r="G2559">
        <v>0</v>
      </c>
      <c r="H2559">
        <v>1000000</v>
      </c>
      <c r="I2559">
        <v>0</v>
      </c>
      <c r="J2559">
        <v>0</v>
      </c>
      <c r="K2559">
        <v>1000000</v>
      </c>
      <c r="L2559">
        <v>0</v>
      </c>
      <c r="M2559">
        <v>0</v>
      </c>
      <c r="N2559">
        <v>0</v>
      </c>
      <c r="O2559">
        <v>0</v>
      </c>
      <c r="P2559" t="s">
        <v>192</v>
      </c>
      <c r="Q2559" t="s">
        <v>192</v>
      </c>
      <c r="R2559">
        <v>1</v>
      </c>
      <c r="S2559">
        <v>25000</v>
      </c>
      <c r="T2559">
        <v>950000</v>
      </c>
      <c r="U2559">
        <v>0</v>
      </c>
      <c r="V2559">
        <v>0</v>
      </c>
      <c r="W2559">
        <v>0</v>
      </c>
      <c r="X2559" s="367"/>
    </row>
    <row r="2560" spans="1:24">
      <c r="A2560" t="s">
        <v>6117</v>
      </c>
      <c r="B2560" t="s">
        <v>5698</v>
      </c>
      <c r="C2560">
        <v>871</v>
      </c>
      <c r="D2560">
        <v>262245367</v>
      </c>
      <c r="E2560">
        <v>3547940500597</v>
      </c>
      <c r="F2560">
        <v>13502</v>
      </c>
      <c r="G2560">
        <v>13529</v>
      </c>
      <c r="H2560">
        <v>13530</v>
      </c>
      <c r="I2560">
        <v>28</v>
      </c>
      <c r="J2560">
        <v>0.21</v>
      </c>
      <c r="K2560">
        <v>13529</v>
      </c>
      <c r="L2560">
        <v>27</v>
      </c>
      <c r="M2560">
        <v>0.2</v>
      </c>
      <c r="N2560">
        <v>13528</v>
      </c>
      <c r="O2560">
        <v>13531</v>
      </c>
      <c r="P2560" t="s">
        <v>192</v>
      </c>
      <c r="Q2560" t="s">
        <v>192</v>
      </c>
      <c r="R2560">
        <v>2</v>
      </c>
      <c r="S2560">
        <v>474566</v>
      </c>
      <c r="T2560">
        <v>13530</v>
      </c>
      <c r="U2560">
        <v>13531</v>
      </c>
      <c r="V2560">
        <v>9973900</v>
      </c>
      <c r="W2560">
        <v>1</v>
      </c>
      <c r="X2560" s="367"/>
    </row>
    <row r="2561" spans="1:24">
      <c r="A2561" t="s">
        <v>6119</v>
      </c>
      <c r="B2561" t="s">
        <v>6120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1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0</v>
      </c>
      <c r="O2561">
        <v>0</v>
      </c>
      <c r="P2561" t="s">
        <v>192</v>
      </c>
      <c r="Q2561" t="s">
        <v>192</v>
      </c>
      <c r="R2561">
        <v>1</v>
      </c>
      <c r="S2561">
        <v>333</v>
      </c>
      <c r="T2561">
        <v>7</v>
      </c>
      <c r="U2561">
        <v>0</v>
      </c>
      <c r="V2561">
        <v>0</v>
      </c>
      <c r="W2561">
        <v>0</v>
      </c>
      <c r="X2561" s="367"/>
    </row>
    <row r="2562" spans="1:24">
      <c r="A2562" t="s">
        <v>6121</v>
      </c>
      <c r="B2562" t="s">
        <v>6122</v>
      </c>
      <c r="C2562">
        <v>0</v>
      </c>
      <c r="D2562">
        <v>0</v>
      </c>
      <c r="E2562">
        <v>0</v>
      </c>
      <c r="F2562">
        <v>820900</v>
      </c>
      <c r="G2562">
        <v>0</v>
      </c>
      <c r="H2562">
        <v>820900</v>
      </c>
      <c r="I2562">
        <v>0</v>
      </c>
      <c r="J2562">
        <v>0</v>
      </c>
      <c r="K2562">
        <v>820900</v>
      </c>
      <c r="L2562">
        <v>0</v>
      </c>
      <c r="M2562">
        <v>0</v>
      </c>
      <c r="N2562">
        <v>0</v>
      </c>
      <c r="O2562">
        <v>0</v>
      </c>
      <c r="P2562" t="s">
        <v>192</v>
      </c>
      <c r="Q2562" t="s">
        <v>192</v>
      </c>
      <c r="R2562">
        <v>1</v>
      </c>
      <c r="S2562">
        <v>20000</v>
      </c>
      <c r="T2562">
        <v>820000</v>
      </c>
      <c r="U2562">
        <v>828000</v>
      </c>
      <c r="V2562">
        <v>20000</v>
      </c>
      <c r="W2562">
        <v>1</v>
      </c>
      <c r="X2562" s="367"/>
    </row>
    <row r="2563" spans="1:24">
      <c r="A2563" t="s">
        <v>6123</v>
      </c>
      <c r="B2563" t="s">
        <v>6124</v>
      </c>
      <c r="C2563">
        <v>508</v>
      </c>
      <c r="D2563">
        <v>313322231</v>
      </c>
      <c r="E2563">
        <v>5853938278933</v>
      </c>
      <c r="F2563">
        <v>18645</v>
      </c>
      <c r="G2563">
        <v>18687</v>
      </c>
      <c r="H2563">
        <v>18687</v>
      </c>
      <c r="I2563">
        <v>42</v>
      </c>
      <c r="J2563">
        <v>0.23</v>
      </c>
      <c r="K2563">
        <v>18683</v>
      </c>
      <c r="L2563">
        <v>38</v>
      </c>
      <c r="M2563">
        <v>0.2</v>
      </c>
      <c r="N2563">
        <v>18680</v>
      </c>
      <c r="O2563">
        <v>18688</v>
      </c>
      <c r="P2563" t="s">
        <v>192</v>
      </c>
      <c r="Q2563" t="s">
        <v>192</v>
      </c>
      <c r="R2563">
        <v>7</v>
      </c>
      <c r="S2563">
        <v>55498390</v>
      </c>
      <c r="T2563">
        <v>18687</v>
      </c>
      <c r="U2563">
        <v>18688</v>
      </c>
      <c r="V2563">
        <v>46629448</v>
      </c>
      <c r="W2563">
        <v>5</v>
      </c>
      <c r="X2563" s="367"/>
    </row>
    <row r="2564" spans="1:24">
      <c r="A2564" t="s">
        <v>8867</v>
      </c>
      <c r="B2564" t="s">
        <v>1823</v>
      </c>
      <c r="C2564">
        <v>1</v>
      </c>
      <c r="D2564">
        <v>3200</v>
      </c>
      <c r="E2564">
        <v>7737600</v>
      </c>
      <c r="F2564">
        <v>2348</v>
      </c>
      <c r="G2564">
        <v>2418</v>
      </c>
      <c r="H2564">
        <v>2418</v>
      </c>
      <c r="I2564">
        <v>70</v>
      </c>
      <c r="J2564">
        <v>2.98</v>
      </c>
      <c r="K2564">
        <v>2418</v>
      </c>
      <c r="L2564">
        <v>70</v>
      </c>
      <c r="M2564">
        <v>2.98</v>
      </c>
      <c r="N2564">
        <v>2418</v>
      </c>
      <c r="O2564">
        <v>2418</v>
      </c>
      <c r="P2564">
        <v>24</v>
      </c>
      <c r="Q2564">
        <v>100.75</v>
      </c>
      <c r="R2564">
        <v>1</v>
      </c>
      <c r="S2564">
        <v>6800</v>
      </c>
      <c r="T2564">
        <v>2418</v>
      </c>
      <c r="U2564">
        <v>0</v>
      </c>
      <c r="V2564">
        <v>0</v>
      </c>
      <c r="W2564">
        <v>0</v>
      </c>
      <c r="X2564" s="367"/>
    </row>
    <row r="2565" spans="1:24">
      <c r="A2565" t="s">
        <v>6125</v>
      </c>
      <c r="B2565" t="s">
        <v>6126</v>
      </c>
      <c r="C2565">
        <v>0</v>
      </c>
      <c r="D2565">
        <v>0</v>
      </c>
      <c r="E2565">
        <v>0</v>
      </c>
      <c r="F2565">
        <v>1000000</v>
      </c>
      <c r="G2565">
        <v>0</v>
      </c>
      <c r="H2565">
        <v>1000000</v>
      </c>
      <c r="I2565">
        <v>0</v>
      </c>
      <c r="J2565">
        <v>0</v>
      </c>
      <c r="K2565">
        <v>1000000</v>
      </c>
      <c r="L2565">
        <v>0</v>
      </c>
      <c r="M2565">
        <v>0</v>
      </c>
      <c r="N2565">
        <v>0</v>
      </c>
      <c r="O2565">
        <v>0</v>
      </c>
      <c r="P2565" t="s">
        <v>192</v>
      </c>
      <c r="Q2565" t="s">
        <v>192</v>
      </c>
      <c r="R2565">
        <v>1</v>
      </c>
      <c r="S2565">
        <v>6250</v>
      </c>
      <c r="T2565">
        <v>1000000</v>
      </c>
      <c r="U2565">
        <v>0</v>
      </c>
      <c r="V2565">
        <v>0</v>
      </c>
      <c r="W2565">
        <v>0</v>
      </c>
      <c r="X2565" s="367"/>
    </row>
    <row r="2566" spans="1:24">
      <c r="A2566" t="s">
        <v>7796</v>
      </c>
      <c r="B2566" t="s">
        <v>7797</v>
      </c>
      <c r="C2566">
        <v>839</v>
      </c>
      <c r="D2566">
        <v>2483392</v>
      </c>
      <c r="E2566">
        <v>184380494500</v>
      </c>
      <c r="F2566">
        <v>72100</v>
      </c>
      <c r="G2566">
        <v>74260</v>
      </c>
      <c r="H2566">
        <v>74260</v>
      </c>
      <c r="I2566">
        <v>2160</v>
      </c>
      <c r="J2566">
        <v>3</v>
      </c>
      <c r="K2566">
        <v>74250</v>
      </c>
      <c r="L2566">
        <v>2150</v>
      </c>
      <c r="M2566">
        <v>2.98</v>
      </c>
      <c r="N2566">
        <v>74000</v>
      </c>
      <c r="O2566">
        <v>74260</v>
      </c>
      <c r="P2566">
        <v>7032</v>
      </c>
      <c r="Q2566">
        <v>10.56</v>
      </c>
      <c r="R2566">
        <v>14</v>
      </c>
      <c r="S2566">
        <v>138147</v>
      </c>
      <c r="T2566">
        <v>74260</v>
      </c>
      <c r="U2566">
        <v>0</v>
      </c>
      <c r="V2566">
        <v>0</v>
      </c>
      <c r="W2566">
        <v>0</v>
      </c>
      <c r="X2566" s="367"/>
    </row>
    <row r="2567" spans="1:24">
      <c r="A2567" t="s">
        <v>6127</v>
      </c>
      <c r="B2567" t="s">
        <v>6128</v>
      </c>
      <c r="C2567">
        <v>743</v>
      </c>
      <c r="D2567">
        <v>8577817</v>
      </c>
      <c r="E2567">
        <v>144636577416</v>
      </c>
      <c r="F2567">
        <v>16948</v>
      </c>
      <c r="G2567">
        <v>16910</v>
      </c>
      <c r="H2567">
        <v>16831</v>
      </c>
      <c r="I2567">
        <v>-117</v>
      </c>
      <c r="J2567">
        <v>-0.69</v>
      </c>
      <c r="K2567">
        <v>16862</v>
      </c>
      <c r="L2567">
        <v>-86</v>
      </c>
      <c r="M2567">
        <v>-0.51</v>
      </c>
      <c r="N2567">
        <v>16800</v>
      </c>
      <c r="O2567">
        <v>17010</v>
      </c>
      <c r="P2567" t="s">
        <v>192</v>
      </c>
      <c r="Q2567" t="s">
        <v>192</v>
      </c>
      <c r="R2567">
        <v>6</v>
      </c>
      <c r="S2567">
        <v>3560</v>
      </c>
      <c r="T2567">
        <v>16821</v>
      </c>
      <c r="U2567">
        <v>16899</v>
      </c>
      <c r="V2567">
        <v>108206</v>
      </c>
      <c r="W2567">
        <v>3</v>
      </c>
      <c r="X2567" s="367"/>
    </row>
    <row r="2568" spans="1:24">
      <c r="A2568" t="s">
        <v>6129</v>
      </c>
      <c r="B2568" t="s">
        <v>6130</v>
      </c>
      <c r="C2568">
        <v>0</v>
      </c>
      <c r="D2568">
        <v>0</v>
      </c>
      <c r="E2568">
        <v>0</v>
      </c>
      <c r="F2568">
        <v>1000000</v>
      </c>
      <c r="G2568">
        <v>0</v>
      </c>
      <c r="H2568">
        <v>1000000</v>
      </c>
      <c r="I2568">
        <v>0</v>
      </c>
      <c r="J2568">
        <v>0</v>
      </c>
      <c r="K2568">
        <v>1000000</v>
      </c>
      <c r="L2568">
        <v>0</v>
      </c>
      <c r="M2568">
        <v>0</v>
      </c>
      <c r="N2568">
        <v>0</v>
      </c>
      <c r="O2568">
        <v>0</v>
      </c>
      <c r="P2568" t="s">
        <v>192</v>
      </c>
      <c r="Q2568" t="s">
        <v>192</v>
      </c>
      <c r="R2568">
        <v>1</v>
      </c>
      <c r="S2568">
        <v>5600</v>
      </c>
      <c r="T2568">
        <v>990000</v>
      </c>
      <c r="U2568">
        <v>1000000</v>
      </c>
      <c r="V2568">
        <v>5600</v>
      </c>
      <c r="W2568">
        <v>1</v>
      </c>
      <c r="X2568" s="367"/>
    </row>
    <row r="2569" spans="1:24">
      <c r="A2569" t="s">
        <v>6131</v>
      </c>
      <c r="B2569" t="s">
        <v>6132</v>
      </c>
      <c r="C2569">
        <v>0</v>
      </c>
      <c r="D2569">
        <v>0</v>
      </c>
      <c r="E2569">
        <v>0</v>
      </c>
      <c r="F2569">
        <v>1000000</v>
      </c>
      <c r="G2569">
        <v>0</v>
      </c>
      <c r="H2569">
        <v>1000000</v>
      </c>
      <c r="I2569">
        <v>0</v>
      </c>
      <c r="J2569">
        <v>0</v>
      </c>
      <c r="K2569">
        <v>1000000</v>
      </c>
      <c r="L2569">
        <v>0</v>
      </c>
      <c r="M2569">
        <v>0</v>
      </c>
      <c r="N2569">
        <v>0</v>
      </c>
      <c r="O2569">
        <v>0</v>
      </c>
      <c r="P2569" t="s">
        <v>192</v>
      </c>
      <c r="Q2569" t="s">
        <v>192</v>
      </c>
      <c r="R2569">
        <v>1</v>
      </c>
      <c r="S2569">
        <v>30000</v>
      </c>
      <c r="T2569">
        <v>990000</v>
      </c>
      <c r="U2569">
        <v>0</v>
      </c>
      <c r="V2569">
        <v>0</v>
      </c>
      <c r="W2569">
        <v>0</v>
      </c>
      <c r="X2569" s="367"/>
    </row>
    <row r="2570" spans="1:24">
      <c r="A2570" t="s">
        <v>7820</v>
      </c>
      <c r="B2570" t="s">
        <v>7821</v>
      </c>
      <c r="C2570">
        <v>623</v>
      </c>
      <c r="D2570">
        <v>1541271</v>
      </c>
      <c r="E2570">
        <v>75712354490</v>
      </c>
      <c r="F2570">
        <v>48590</v>
      </c>
      <c r="G2570">
        <v>48650</v>
      </c>
      <c r="H2570">
        <v>49000</v>
      </c>
      <c r="I2570">
        <v>410</v>
      </c>
      <c r="J2570">
        <v>0.84</v>
      </c>
      <c r="K2570">
        <v>49120</v>
      </c>
      <c r="L2570">
        <v>530</v>
      </c>
      <c r="M2570">
        <v>1.0900000000000001</v>
      </c>
      <c r="N2570">
        <v>48650</v>
      </c>
      <c r="O2570">
        <v>49820</v>
      </c>
      <c r="P2570">
        <v>3353</v>
      </c>
      <c r="Q2570">
        <v>14.65</v>
      </c>
      <c r="R2570">
        <v>1</v>
      </c>
      <c r="S2570">
        <v>150</v>
      </c>
      <c r="T2570">
        <v>48700</v>
      </c>
      <c r="U2570">
        <v>49050</v>
      </c>
      <c r="V2570">
        <v>290</v>
      </c>
      <c r="W2570">
        <v>2</v>
      </c>
      <c r="X2570" s="367"/>
    </row>
    <row r="2571" spans="1:24">
      <c r="A2571" t="s">
        <v>2013</v>
      </c>
      <c r="B2571" t="s">
        <v>2012</v>
      </c>
      <c r="C2571">
        <v>915</v>
      </c>
      <c r="D2571">
        <v>2967506</v>
      </c>
      <c r="E2571">
        <v>43444287840</v>
      </c>
      <c r="F2571">
        <v>14220</v>
      </c>
      <c r="G2571">
        <v>14640</v>
      </c>
      <c r="H2571">
        <v>14640</v>
      </c>
      <c r="I2571">
        <v>420</v>
      </c>
      <c r="J2571">
        <v>2.95</v>
      </c>
      <c r="K2571">
        <v>14640</v>
      </c>
      <c r="L2571">
        <v>420</v>
      </c>
      <c r="M2571">
        <v>2.95</v>
      </c>
      <c r="N2571">
        <v>14640</v>
      </c>
      <c r="O2571">
        <v>14640</v>
      </c>
      <c r="P2571">
        <v>2147</v>
      </c>
      <c r="Q2571">
        <v>6.82</v>
      </c>
      <c r="R2571">
        <v>91</v>
      </c>
      <c r="S2571">
        <v>2436527</v>
      </c>
      <c r="T2571">
        <v>14640</v>
      </c>
      <c r="U2571">
        <v>24180</v>
      </c>
      <c r="V2571">
        <v>10325</v>
      </c>
      <c r="W2571">
        <v>2</v>
      </c>
      <c r="X2571" s="367"/>
    </row>
    <row r="2572" spans="1:24">
      <c r="A2572" t="s">
        <v>7007</v>
      </c>
      <c r="B2572" t="s">
        <v>7008</v>
      </c>
      <c r="C2572">
        <v>2</v>
      </c>
      <c r="D2572">
        <v>1000</v>
      </c>
      <c r="E2572">
        <v>1000000</v>
      </c>
      <c r="F2572">
        <v>2</v>
      </c>
      <c r="G2572">
        <v>1</v>
      </c>
      <c r="H2572">
        <v>1</v>
      </c>
      <c r="I2572">
        <v>-1</v>
      </c>
      <c r="J2572">
        <v>-50</v>
      </c>
      <c r="K2572">
        <v>1</v>
      </c>
      <c r="L2572">
        <v>-1</v>
      </c>
      <c r="M2572">
        <v>-50</v>
      </c>
      <c r="N2572">
        <v>1</v>
      </c>
      <c r="O2572">
        <v>1</v>
      </c>
      <c r="P2572" t="s">
        <v>192</v>
      </c>
      <c r="Q2572" t="s">
        <v>192</v>
      </c>
      <c r="R2572">
        <v>0</v>
      </c>
      <c r="S2572">
        <v>0</v>
      </c>
      <c r="T2572">
        <v>0</v>
      </c>
      <c r="U2572">
        <v>3</v>
      </c>
      <c r="V2572">
        <v>100</v>
      </c>
      <c r="W2572">
        <v>1</v>
      </c>
      <c r="X2572" s="367"/>
    </row>
    <row r="2573" spans="1:24">
      <c r="A2573" t="s">
        <v>1958</v>
      </c>
      <c r="B2573" t="s">
        <v>1957</v>
      </c>
      <c r="C2573">
        <v>573</v>
      </c>
      <c r="D2573">
        <v>35460317</v>
      </c>
      <c r="E2573">
        <v>56204602445</v>
      </c>
      <c r="F2573">
        <v>1539</v>
      </c>
      <c r="G2573">
        <v>1585</v>
      </c>
      <c r="H2573">
        <v>1585</v>
      </c>
      <c r="I2573">
        <v>46</v>
      </c>
      <c r="J2573">
        <v>2.99</v>
      </c>
      <c r="K2573">
        <v>1585</v>
      </c>
      <c r="L2573">
        <v>46</v>
      </c>
      <c r="M2573">
        <v>2.99</v>
      </c>
      <c r="N2573">
        <v>1585</v>
      </c>
      <c r="O2573">
        <v>1585</v>
      </c>
      <c r="P2573">
        <v>561</v>
      </c>
      <c r="Q2573">
        <v>2.83</v>
      </c>
      <c r="R2573">
        <v>58</v>
      </c>
      <c r="S2573">
        <v>20773100</v>
      </c>
      <c r="T2573">
        <v>1585</v>
      </c>
      <c r="U2573">
        <v>1597</v>
      </c>
      <c r="V2573">
        <v>7747</v>
      </c>
      <c r="W2573">
        <v>5</v>
      </c>
      <c r="X2573" s="367"/>
    </row>
    <row r="2574" spans="1:24">
      <c r="A2574" t="s">
        <v>6133</v>
      </c>
      <c r="B2574" t="s">
        <v>6134</v>
      </c>
      <c r="C2574">
        <v>166</v>
      </c>
      <c r="D2574">
        <v>22431415</v>
      </c>
      <c r="E2574">
        <v>900140520867</v>
      </c>
      <c r="F2574">
        <v>40061</v>
      </c>
      <c r="G2574">
        <v>40128</v>
      </c>
      <c r="H2574">
        <v>40128</v>
      </c>
      <c r="I2574">
        <v>67</v>
      </c>
      <c r="J2574">
        <v>0.17</v>
      </c>
      <c r="K2574">
        <v>40129</v>
      </c>
      <c r="L2574">
        <v>68</v>
      </c>
      <c r="M2574">
        <v>0.17</v>
      </c>
      <c r="N2574">
        <v>40128</v>
      </c>
      <c r="O2574">
        <v>40129</v>
      </c>
      <c r="P2574" t="s">
        <v>192</v>
      </c>
      <c r="Q2574" t="s">
        <v>192</v>
      </c>
      <c r="R2574">
        <v>1</v>
      </c>
      <c r="S2574">
        <v>68372109</v>
      </c>
      <c r="T2574">
        <v>40128</v>
      </c>
      <c r="U2574">
        <v>40129</v>
      </c>
      <c r="V2574">
        <v>22539047</v>
      </c>
      <c r="W2574">
        <v>1</v>
      </c>
      <c r="X2574" s="367"/>
    </row>
    <row r="2575" spans="1:24">
      <c r="A2575" t="s">
        <v>155</v>
      </c>
      <c r="B2575" t="s">
        <v>154</v>
      </c>
      <c r="C2575">
        <v>2100</v>
      </c>
      <c r="D2575">
        <v>14797489</v>
      </c>
      <c r="E2575">
        <v>801875928910</v>
      </c>
      <c r="F2575">
        <v>52620</v>
      </c>
      <c r="G2575">
        <v>54190</v>
      </c>
      <c r="H2575">
        <v>54190</v>
      </c>
      <c r="I2575">
        <v>1570</v>
      </c>
      <c r="J2575">
        <v>2.98</v>
      </c>
      <c r="K2575">
        <v>54190</v>
      </c>
      <c r="L2575">
        <v>1570</v>
      </c>
      <c r="M2575">
        <v>2.98</v>
      </c>
      <c r="N2575">
        <v>54190</v>
      </c>
      <c r="O2575">
        <v>54190</v>
      </c>
      <c r="P2575">
        <v>5991</v>
      </c>
      <c r="Q2575">
        <v>9.0500000000000007</v>
      </c>
      <c r="R2575">
        <v>609</v>
      </c>
      <c r="S2575">
        <v>3192808</v>
      </c>
      <c r="T2575">
        <v>54190</v>
      </c>
      <c r="U2575">
        <v>54650</v>
      </c>
      <c r="V2575">
        <v>14300</v>
      </c>
      <c r="W2575">
        <v>1</v>
      </c>
      <c r="X2575" s="367"/>
    </row>
    <row r="2576" spans="1:24">
      <c r="A2576" t="s">
        <v>3090</v>
      </c>
      <c r="B2576" t="s">
        <v>3089</v>
      </c>
      <c r="C2576">
        <v>359</v>
      </c>
      <c r="D2576">
        <v>4988196</v>
      </c>
      <c r="E2576">
        <v>142512759720</v>
      </c>
      <c r="F2576">
        <v>27740</v>
      </c>
      <c r="G2576">
        <v>28570</v>
      </c>
      <c r="H2576">
        <v>28570</v>
      </c>
      <c r="I2576">
        <v>830</v>
      </c>
      <c r="J2576">
        <v>2.99</v>
      </c>
      <c r="K2576">
        <v>28570</v>
      </c>
      <c r="L2576">
        <v>830</v>
      </c>
      <c r="M2576">
        <v>2.99</v>
      </c>
      <c r="N2576">
        <v>28570</v>
      </c>
      <c r="O2576">
        <v>28570</v>
      </c>
      <c r="P2576">
        <v>3838</v>
      </c>
      <c r="Q2576">
        <v>7.44</v>
      </c>
      <c r="R2576">
        <v>132</v>
      </c>
      <c r="S2576">
        <v>9499599</v>
      </c>
      <c r="T2576">
        <v>28570</v>
      </c>
      <c r="U2576">
        <v>0</v>
      </c>
      <c r="V2576">
        <v>0</v>
      </c>
      <c r="W2576">
        <v>0</v>
      </c>
      <c r="X2576" s="367"/>
    </row>
    <row r="2577" spans="1:24">
      <c r="A2577" t="s">
        <v>6135</v>
      </c>
      <c r="B2577" t="s">
        <v>6136</v>
      </c>
      <c r="C2577">
        <v>0</v>
      </c>
      <c r="D2577">
        <v>0</v>
      </c>
      <c r="E2577">
        <v>0</v>
      </c>
      <c r="F2577">
        <v>1000000</v>
      </c>
      <c r="G2577">
        <v>0</v>
      </c>
      <c r="H2577">
        <v>1000000</v>
      </c>
      <c r="I2577">
        <v>0</v>
      </c>
      <c r="J2577">
        <v>0</v>
      </c>
      <c r="K2577">
        <v>1000000</v>
      </c>
      <c r="L2577">
        <v>0</v>
      </c>
      <c r="M2577">
        <v>0</v>
      </c>
      <c r="N2577">
        <v>0</v>
      </c>
      <c r="O2577">
        <v>0</v>
      </c>
      <c r="P2577" t="s">
        <v>192</v>
      </c>
      <c r="Q2577" t="s">
        <v>192</v>
      </c>
      <c r="R2577">
        <v>1</v>
      </c>
      <c r="S2577">
        <v>24000</v>
      </c>
      <c r="T2577">
        <v>995000</v>
      </c>
      <c r="U2577">
        <v>1004950</v>
      </c>
      <c r="V2577">
        <v>6000</v>
      </c>
      <c r="W2577">
        <v>1</v>
      </c>
      <c r="X2577" s="367"/>
    </row>
    <row r="2578" spans="1:24">
      <c r="A2578" t="s">
        <v>6137</v>
      </c>
      <c r="B2578" t="s">
        <v>6138</v>
      </c>
      <c r="C2578">
        <v>0</v>
      </c>
      <c r="D2578">
        <v>0</v>
      </c>
      <c r="E2578">
        <v>0</v>
      </c>
      <c r="F2578">
        <v>902500</v>
      </c>
      <c r="G2578">
        <v>0</v>
      </c>
      <c r="H2578">
        <v>902500</v>
      </c>
      <c r="I2578">
        <v>0</v>
      </c>
      <c r="J2578">
        <v>0</v>
      </c>
      <c r="K2578">
        <v>902500</v>
      </c>
      <c r="L2578">
        <v>0</v>
      </c>
      <c r="M2578">
        <v>0</v>
      </c>
      <c r="N2578">
        <v>0</v>
      </c>
      <c r="O2578">
        <v>0</v>
      </c>
      <c r="P2578" t="s">
        <v>192</v>
      </c>
      <c r="Q2578" t="s">
        <v>192</v>
      </c>
      <c r="R2578">
        <v>1</v>
      </c>
      <c r="S2578">
        <v>6000</v>
      </c>
      <c r="T2578">
        <v>902500</v>
      </c>
      <c r="U2578">
        <v>0</v>
      </c>
      <c r="V2578">
        <v>0</v>
      </c>
      <c r="W2578">
        <v>0</v>
      </c>
      <c r="X2578" s="367"/>
    </row>
    <row r="2579" spans="1:24">
      <c r="A2579" t="s">
        <v>6139</v>
      </c>
      <c r="B2579" t="s">
        <v>5241</v>
      </c>
      <c r="C2579">
        <v>2</v>
      </c>
      <c r="D2579">
        <v>148855587</v>
      </c>
      <c r="E2579">
        <v>148855587</v>
      </c>
      <c r="F2579">
        <v>10242</v>
      </c>
      <c r="G2579">
        <v>1</v>
      </c>
      <c r="H2579">
        <v>1</v>
      </c>
      <c r="I2579">
        <v>-10241</v>
      </c>
      <c r="J2579">
        <v>-99.99</v>
      </c>
      <c r="K2579">
        <v>1</v>
      </c>
      <c r="L2579">
        <v>-10241</v>
      </c>
      <c r="M2579">
        <v>-99.99</v>
      </c>
      <c r="N2579">
        <v>1</v>
      </c>
      <c r="O2579">
        <v>1</v>
      </c>
      <c r="P2579" t="s">
        <v>192</v>
      </c>
      <c r="Q2579" t="s">
        <v>192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 s="367"/>
    </row>
    <row r="2580" spans="1:24">
      <c r="A2580" t="s">
        <v>8679</v>
      </c>
      <c r="B2580" t="s">
        <v>7789</v>
      </c>
      <c r="C2580">
        <v>1</v>
      </c>
      <c r="D2580">
        <v>10000000</v>
      </c>
      <c r="E2580">
        <v>10000000</v>
      </c>
      <c r="F2580">
        <v>11053</v>
      </c>
      <c r="G2580">
        <v>1</v>
      </c>
      <c r="H2580">
        <v>1</v>
      </c>
      <c r="I2580">
        <v>-11052</v>
      </c>
      <c r="J2580">
        <v>-99.99</v>
      </c>
      <c r="K2580">
        <v>1</v>
      </c>
      <c r="L2580">
        <v>-11052</v>
      </c>
      <c r="M2580">
        <v>-99.99</v>
      </c>
      <c r="N2580">
        <v>1</v>
      </c>
      <c r="O2580">
        <v>1</v>
      </c>
      <c r="P2580" t="s">
        <v>192</v>
      </c>
      <c r="Q2580" t="s">
        <v>192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 s="367"/>
    </row>
    <row r="2581" spans="1:24">
      <c r="A2581" t="s">
        <v>6140</v>
      </c>
      <c r="B2581" t="s">
        <v>6141</v>
      </c>
      <c r="C2581">
        <v>7308</v>
      </c>
      <c r="D2581">
        <v>2084894</v>
      </c>
      <c r="E2581">
        <v>34103612000</v>
      </c>
      <c r="F2581">
        <v>10</v>
      </c>
      <c r="G2581">
        <v>13</v>
      </c>
      <c r="H2581">
        <v>19</v>
      </c>
      <c r="I2581">
        <v>9</v>
      </c>
      <c r="J2581">
        <v>90</v>
      </c>
      <c r="K2581">
        <v>16</v>
      </c>
      <c r="L2581">
        <v>6</v>
      </c>
      <c r="M2581">
        <v>60</v>
      </c>
      <c r="N2581">
        <v>13</v>
      </c>
      <c r="O2581">
        <v>22</v>
      </c>
      <c r="P2581" t="s">
        <v>192</v>
      </c>
      <c r="Q2581" t="s">
        <v>192</v>
      </c>
      <c r="R2581">
        <v>1</v>
      </c>
      <c r="S2581">
        <v>627</v>
      </c>
      <c r="T2581">
        <v>18</v>
      </c>
      <c r="U2581">
        <v>19</v>
      </c>
      <c r="V2581">
        <v>4047</v>
      </c>
      <c r="W2581">
        <v>5</v>
      </c>
      <c r="X2581" s="367"/>
    </row>
    <row r="2582" spans="1:24">
      <c r="A2582" t="s">
        <v>6142</v>
      </c>
      <c r="B2582" t="s">
        <v>6143</v>
      </c>
      <c r="C2582">
        <v>0</v>
      </c>
      <c r="D2582">
        <v>0</v>
      </c>
      <c r="E2582">
        <v>0</v>
      </c>
      <c r="F2582">
        <v>1</v>
      </c>
      <c r="G2582">
        <v>0</v>
      </c>
      <c r="H2582">
        <v>1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0</v>
      </c>
      <c r="P2582" t="s">
        <v>192</v>
      </c>
      <c r="Q2582" t="s">
        <v>192</v>
      </c>
      <c r="R2582">
        <v>1</v>
      </c>
      <c r="S2582">
        <v>100</v>
      </c>
      <c r="T2582">
        <v>1</v>
      </c>
      <c r="U2582">
        <v>20000</v>
      </c>
      <c r="V2582">
        <v>2</v>
      </c>
      <c r="W2582">
        <v>1</v>
      </c>
      <c r="X2582" s="367"/>
    </row>
    <row r="2583" spans="1:24">
      <c r="A2583" t="s">
        <v>6144</v>
      </c>
      <c r="B2583" t="s">
        <v>6145</v>
      </c>
      <c r="C2583">
        <v>70</v>
      </c>
      <c r="D2583">
        <v>1809668</v>
      </c>
      <c r="E2583">
        <v>39991186260</v>
      </c>
      <c r="F2583">
        <v>21526</v>
      </c>
      <c r="G2583">
        <v>22171</v>
      </c>
      <c r="H2583">
        <v>22171</v>
      </c>
      <c r="I2583">
        <v>645</v>
      </c>
      <c r="J2583">
        <v>3</v>
      </c>
      <c r="K2583">
        <v>22099</v>
      </c>
      <c r="L2583">
        <v>573</v>
      </c>
      <c r="M2583">
        <v>2.66</v>
      </c>
      <c r="N2583">
        <v>22000</v>
      </c>
      <c r="O2583">
        <v>22171</v>
      </c>
      <c r="P2583" t="s">
        <v>192</v>
      </c>
      <c r="Q2583" t="s">
        <v>192</v>
      </c>
      <c r="R2583">
        <v>2</v>
      </c>
      <c r="S2583">
        <v>120000</v>
      </c>
      <c r="T2583">
        <v>21500</v>
      </c>
      <c r="U2583">
        <v>22171</v>
      </c>
      <c r="V2583">
        <v>342353</v>
      </c>
      <c r="W2583">
        <v>4</v>
      </c>
      <c r="X2583" s="367"/>
    </row>
    <row r="2584" spans="1:24">
      <c r="A2584" t="s">
        <v>6146</v>
      </c>
      <c r="B2584" t="s">
        <v>6147</v>
      </c>
      <c r="C2584">
        <v>0</v>
      </c>
      <c r="D2584">
        <v>0</v>
      </c>
      <c r="E2584">
        <v>0</v>
      </c>
      <c r="F2584">
        <v>905000</v>
      </c>
      <c r="G2584">
        <v>0</v>
      </c>
      <c r="H2584">
        <v>905000</v>
      </c>
      <c r="I2584">
        <v>0</v>
      </c>
      <c r="J2584">
        <v>0</v>
      </c>
      <c r="K2584">
        <v>905000</v>
      </c>
      <c r="L2584">
        <v>0</v>
      </c>
      <c r="M2584">
        <v>0</v>
      </c>
      <c r="N2584">
        <v>0</v>
      </c>
      <c r="O2584">
        <v>0</v>
      </c>
      <c r="P2584" t="s">
        <v>192</v>
      </c>
      <c r="Q2584" t="s">
        <v>192</v>
      </c>
      <c r="R2584">
        <v>1</v>
      </c>
      <c r="S2584">
        <v>6250</v>
      </c>
      <c r="T2584">
        <v>898100</v>
      </c>
      <c r="U2584">
        <v>907100</v>
      </c>
      <c r="V2584">
        <v>6250</v>
      </c>
      <c r="W2584">
        <v>1</v>
      </c>
      <c r="X2584" s="367"/>
    </row>
    <row r="2585" spans="1:24">
      <c r="A2585" t="s">
        <v>6148</v>
      </c>
      <c r="B2585" t="s">
        <v>6149</v>
      </c>
      <c r="C2585">
        <v>0</v>
      </c>
      <c r="D2585">
        <v>0</v>
      </c>
      <c r="E2585">
        <v>0</v>
      </c>
      <c r="F2585">
        <v>883740</v>
      </c>
      <c r="G2585">
        <v>0</v>
      </c>
      <c r="H2585">
        <v>883740</v>
      </c>
      <c r="I2585">
        <v>0</v>
      </c>
      <c r="J2585">
        <v>0</v>
      </c>
      <c r="K2585">
        <v>883740</v>
      </c>
      <c r="L2585">
        <v>0</v>
      </c>
      <c r="M2585">
        <v>0</v>
      </c>
      <c r="N2585">
        <v>0</v>
      </c>
      <c r="O2585">
        <v>0</v>
      </c>
      <c r="P2585" t="s">
        <v>192</v>
      </c>
      <c r="Q2585" t="s">
        <v>192</v>
      </c>
      <c r="R2585">
        <v>1</v>
      </c>
      <c r="S2585">
        <v>15000</v>
      </c>
      <c r="T2585">
        <v>875000</v>
      </c>
      <c r="U2585">
        <v>0</v>
      </c>
      <c r="V2585">
        <v>0</v>
      </c>
      <c r="W2585">
        <v>0</v>
      </c>
      <c r="X2585" s="367"/>
    </row>
    <row r="2586" spans="1:24">
      <c r="A2586" t="s">
        <v>2877</v>
      </c>
      <c r="B2586" t="s">
        <v>2876</v>
      </c>
      <c r="C2586">
        <v>291</v>
      </c>
      <c r="D2586">
        <v>12935308</v>
      </c>
      <c r="E2586">
        <v>38767118076</v>
      </c>
      <c r="F2586">
        <v>2910</v>
      </c>
      <c r="G2586">
        <v>2997</v>
      </c>
      <c r="H2586">
        <v>2997</v>
      </c>
      <c r="I2586">
        <v>87</v>
      </c>
      <c r="J2586">
        <v>2.99</v>
      </c>
      <c r="K2586">
        <v>2997</v>
      </c>
      <c r="L2586">
        <v>87</v>
      </c>
      <c r="M2586">
        <v>2.99</v>
      </c>
      <c r="N2586">
        <v>2997</v>
      </c>
      <c r="O2586">
        <v>2997</v>
      </c>
      <c r="P2586">
        <v>678</v>
      </c>
      <c r="Q2586">
        <v>4.42</v>
      </c>
      <c r="R2586">
        <v>59</v>
      </c>
      <c r="S2586">
        <v>9180881</v>
      </c>
      <c r="T2586">
        <v>2997</v>
      </c>
      <c r="U2586">
        <v>0</v>
      </c>
      <c r="V2586">
        <v>0</v>
      </c>
      <c r="W2586">
        <v>0</v>
      </c>
      <c r="X2586" s="367"/>
    </row>
    <row r="2587" spans="1:24">
      <c r="A2587" t="s">
        <v>7766</v>
      </c>
      <c r="B2587" t="s">
        <v>7767</v>
      </c>
      <c r="C2587">
        <v>0</v>
      </c>
      <c r="D2587">
        <v>0</v>
      </c>
      <c r="E2587">
        <v>0</v>
      </c>
      <c r="F2587">
        <v>768110</v>
      </c>
      <c r="G2587">
        <v>0</v>
      </c>
      <c r="H2587">
        <v>768110</v>
      </c>
      <c r="I2587">
        <v>0</v>
      </c>
      <c r="J2587">
        <v>0</v>
      </c>
      <c r="K2587">
        <v>768110</v>
      </c>
      <c r="L2587">
        <v>0</v>
      </c>
      <c r="M2587">
        <v>0</v>
      </c>
      <c r="N2587">
        <v>0</v>
      </c>
      <c r="O2587">
        <v>0</v>
      </c>
      <c r="P2587" t="s">
        <v>192</v>
      </c>
      <c r="Q2587" t="s">
        <v>192</v>
      </c>
      <c r="R2587">
        <v>1</v>
      </c>
      <c r="S2587">
        <v>100</v>
      </c>
      <c r="T2587">
        <v>9999990</v>
      </c>
      <c r="U2587">
        <v>0</v>
      </c>
      <c r="V2587">
        <v>0</v>
      </c>
      <c r="W2587">
        <v>0</v>
      </c>
      <c r="X2587" s="367"/>
    </row>
    <row r="2588" spans="1:24">
      <c r="A2588" t="s">
        <v>2296</v>
      </c>
      <c r="B2588" t="s">
        <v>78</v>
      </c>
      <c r="C2588">
        <v>19</v>
      </c>
      <c r="D2588">
        <v>296074</v>
      </c>
      <c r="E2588">
        <v>2611372680</v>
      </c>
      <c r="F2588">
        <v>8590</v>
      </c>
      <c r="G2588">
        <v>8820</v>
      </c>
      <c r="H2588">
        <v>8820</v>
      </c>
      <c r="I2588">
        <v>230</v>
      </c>
      <c r="J2588">
        <v>2.68</v>
      </c>
      <c r="K2588">
        <v>8820</v>
      </c>
      <c r="L2588">
        <v>230</v>
      </c>
      <c r="M2588">
        <v>2.68</v>
      </c>
      <c r="N2588">
        <v>8820</v>
      </c>
      <c r="O2588">
        <v>8820</v>
      </c>
      <c r="P2588">
        <v>1761</v>
      </c>
      <c r="Q2588">
        <v>5.01</v>
      </c>
      <c r="R2588">
        <v>14</v>
      </c>
      <c r="S2588">
        <v>413953</v>
      </c>
      <c r="T2588">
        <v>8820</v>
      </c>
      <c r="U2588">
        <v>0</v>
      </c>
      <c r="V2588">
        <v>0</v>
      </c>
      <c r="W2588">
        <v>0</v>
      </c>
      <c r="X2588" s="367"/>
    </row>
    <row r="2589" spans="1:24">
      <c r="A2589" t="s">
        <v>2488</v>
      </c>
      <c r="B2589" t="s">
        <v>2487</v>
      </c>
      <c r="C2589">
        <v>79</v>
      </c>
      <c r="D2589">
        <v>10060357</v>
      </c>
      <c r="E2589">
        <v>16046269415</v>
      </c>
      <c r="F2589">
        <v>1549</v>
      </c>
      <c r="G2589">
        <v>1595</v>
      </c>
      <c r="H2589">
        <v>1595</v>
      </c>
      <c r="I2589">
        <v>46</v>
      </c>
      <c r="J2589">
        <v>2.97</v>
      </c>
      <c r="K2589">
        <v>1595</v>
      </c>
      <c r="L2589">
        <v>46</v>
      </c>
      <c r="M2589">
        <v>2.97</v>
      </c>
      <c r="N2589">
        <v>1595</v>
      </c>
      <c r="O2589">
        <v>1595</v>
      </c>
      <c r="P2589">
        <v>120</v>
      </c>
      <c r="Q2589">
        <v>13.29</v>
      </c>
      <c r="R2589">
        <v>28</v>
      </c>
      <c r="S2589">
        <v>7218935</v>
      </c>
      <c r="T2589">
        <v>1595</v>
      </c>
      <c r="U2589">
        <v>1629</v>
      </c>
      <c r="V2589">
        <v>3500</v>
      </c>
      <c r="W2589">
        <v>1</v>
      </c>
      <c r="X2589" s="367"/>
    </row>
    <row r="2590" spans="1:24">
      <c r="A2590" t="s">
        <v>6150</v>
      </c>
      <c r="B2590" t="s">
        <v>8147</v>
      </c>
      <c r="C2590">
        <v>78</v>
      </c>
      <c r="D2590">
        <v>30379</v>
      </c>
      <c r="E2590">
        <v>228404000</v>
      </c>
      <c r="F2590">
        <v>8</v>
      </c>
      <c r="G2590">
        <v>8</v>
      </c>
      <c r="H2590">
        <v>9</v>
      </c>
      <c r="I2590">
        <v>1</v>
      </c>
      <c r="J2590">
        <v>12.5</v>
      </c>
      <c r="K2590">
        <v>8</v>
      </c>
      <c r="L2590">
        <v>0</v>
      </c>
      <c r="M2590">
        <v>0</v>
      </c>
      <c r="N2590">
        <v>7</v>
      </c>
      <c r="O2590">
        <v>10</v>
      </c>
      <c r="P2590" t="s">
        <v>192</v>
      </c>
      <c r="Q2590" t="s">
        <v>192</v>
      </c>
      <c r="R2590">
        <v>4</v>
      </c>
      <c r="S2590">
        <v>2201</v>
      </c>
      <c r="T2590">
        <v>7</v>
      </c>
      <c r="U2590">
        <v>9</v>
      </c>
      <c r="V2590">
        <v>1001</v>
      </c>
      <c r="W2590">
        <v>2</v>
      </c>
      <c r="X2590" s="367"/>
    </row>
    <row r="2591" spans="1:24">
      <c r="A2591" t="s">
        <v>2954</v>
      </c>
      <c r="B2591" t="s">
        <v>2953</v>
      </c>
      <c r="C2591">
        <v>411</v>
      </c>
      <c r="D2591">
        <v>30435582</v>
      </c>
      <c r="E2591">
        <v>271789747260</v>
      </c>
      <c r="F2591">
        <v>8670</v>
      </c>
      <c r="G2591">
        <v>8930</v>
      </c>
      <c r="H2591">
        <v>8930</v>
      </c>
      <c r="I2591">
        <v>260</v>
      </c>
      <c r="J2591">
        <v>3</v>
      </c>
      <c r="K2591">
        <v>8930</v>
      </c>
      <c r="L2591">
        <v>260</v>
      </c>
      <c r="M2591">
        <v>3</v>
      </c>
      <c r="N2591">
        <v>8930</v>
      </c>
      <c r="O2591">
        <v>8930</v>
      </c>
      <c r="P2591">
        <v>2033</v>
      </c>
      <c r="Q2591">
        <v>4.3899999999999997</v>
      </c>
      <c r="R2591">
        <v>97</v>
      </c>
      <c r="S2591">
        <v>10550162</v>
      </c>
      <c r="T2591">
        <v>8930</v>
      </c>
      <c r="U2591">
        <v>0</v>
      </c>
      <c r="V2591">
        <v>0</v>
      </c>
      <c r="W2591">
        <v>0</v>
      </c>
      <c r="X2591" s="367"/>
    </row>
    <row r="2592" spans="1:24">
      <c r="A2592" t="s">
        <v>6152</v>
      </c>
      <c r="B2592" t="s">
        <v>6153</v>
      </c>
      <c r="C2592">
        <v>0</v>
      </c>
      <c r="D2592">
        <v>0</v>
      </c>
      <c r="E2592">
        <v>0</v>
      </c>
      <c r="F2592">
        <v>1000000</v>
      </c>
      <c r="G2592">
        <v>0</v>
      </c>
      <c r="H2592">
        <v>1000000</v>
      </c>
      <c r="I2592">
        <v>0</v>
      </c>
      <c r="J2592">
        <v>0</v>
      </c>
      <c r="K2592">
        <v>1000000</v>
      </c>
      <c r="L2592">
        <v>0</v>
      </c>
      <c r="M2592">
        <v>0</v>
      </c>
      <c r="N2592">
        <v>0</v>
      </c>
      <c r="O2592">
        <v>0</v>
      </c>
      <c r="P2592" t="s">
        <v>192</v>
      </c>
      <c r="Q2592" t="s">
        <v>192</v>
      </c>
      <c r="R2592">
        <v>1</v>
      </c>
      <c r="S2592">
        <v>5000</v>
      </c>
      <c r="T2592">
        <v>999900</v>
      </c>
      <c r="U2592">
        <v>0</v>
      </c>
      <c r="V2592">
        <v>0</v>
      </c>
      <c r="W2592">
        <v>0</v>
      </c>
      <c r="X2592" s="367"/>
    </row>
    <row r="2593" spans="1:24">
      <c r="A2593" t="s">
        <v>2044</v>
      </c>
      <c r="B2593" t="s">
        <v>2043</v>
      </c>
      <c r="C2593">
        <v>229</v>
      </c>
      <c r="D2593">
        <v>16506248</v>
      </c>
      <c r="E2593">
        <v>34034188347</v>
      </c>
      <c r="F2593">
        <v>2002</v>
      </c>
      <c r="G2593">
        <v>2058</v>
      </c>
      <c r="H2593">
        <v>2062</v>
      </c>
      <c r="I2593">
        <v>60</v>
      </c>
      <c r="J2593">
        <v>3</v>
      </c>
      <c r="K2593">
        <v>2062</v>
      </c>
      <c r="L2593">
        <v>60</v>
      </c>
      <c r="M2593">
        <v>3</v>
      </c>
      <c r="N2593">
        <v>2058</v>
      </c>
      <c r="O2593">
        <v>2062</v>
      </c>
      <c r="P2593">
        <v>320</v>
      </c>
      <c r="Q2593">
        <v>6.44</v>
      </c>
      <c r="R2593">
        <v>2</v>
      </c>
      <c r="S2593">
        <v>127684</v>
      </c>
      <c r="T2593">
        <v>2060</v>
      </c>
      <c r="U2593">
        <v>2099</v>
      </c>
      <c r="V2593">
        <v>335552</v>
      </c>
      <c r="W2593">
        <v>2</v>
      </c>
      <c r="X2593" s="367"/>
    </row>
    <row r="2594" spans="1:24">
      <c r="A2594" t="s">
        <v>6154</v>
      </c>
      <c r="B2594" t="s">
        <v>6155</v>
      </c>
      <c r="C2594">
        <v>0</v>
      </c>
      <c r="D2594">
        <v>0</v>
      </c>
      <c r="E2594">
        <v>0</v>
      </c>
      <c r="F2594">
        <v>902700</v>
      </c>
      <c r="G2594">
        <v>0</v>
      </c>
      <c r="H2594">
        <v>902700</v>
      </c>
      <c r="I2594">
        <v>0</v>
      </c>
      <c r="J2594">
        <v>0</v>
      </c>
      <c r="K2594">
        <v>902700</v>
      </c>
      <c r="L2594">
        <v>0</v>
      </c>
      <c r="M2594">
        <v>0</v>
      </c>
      <c r="N2594">
        <v>0</v>
      </c>
      <c r="O2594">
        <v>0</v>
      </c>
      <c r="P2594" t="s">
        <v>192</v>
      </c>
      <c r="Q2594" t="s">
        <v>192</v>
      </c>
      <c r="R2594">
        <v>1</v>
      </c>
      <c r="S2594">
        <v>12500</v>
      </c>
      <c r="T2594">
        <v>902500</v>
      </c>
      <c r="U2594">
        <v>0</v>
      </c>
      <c r="V2594">
        <v>0</v>
      </c>
      <c r="W2594">
        <v>0</v>
      </c>
      <c r="X2594" s="367"/>
    </row>
    <row r="2595" spans="1:24">
      <c r="A2595" t="s">
        <v>8046</v>
      </c>
      <c r="B2595" t="s">
        <v>8047</v>
      </c>
      <c r="C2595">
        <v>2</v>
      </c>
      <c r="D2595">
        <v>51</v>
      </c>
      <c r="E2595">
        <v>12240000</v>
      </c>
      <c r="F2595">
        <v>231</v>
      </c>
      <c r="G2595">
        <v>240</v>
      </c>
      <c r="H2595">
        <v>240</v>
      </c>
      <c r="I2595">
        <v>9</v>
      </c>
      <c r="J2595">
        <v>3.9</v>
      </c>
      <c r="K2595">
        <v>240</v>
      </c>
      <c r="L2595">
        <v>9</v>
      </c>
      <c r="M2595">
        <v>3.9</v>
      </c>
      <c r="N2595">
        <v>240</v>
      </c>
      <c r="O2595">
        <v>240</v>
      </c>
      <c r="P2595" t="s">
        <v>192</v>
      </c>
      <c r="Q2595" t="s">
        <v>192</v>
      </c>
      <c r="R2595">
        <v>1</v>
      </c>
      <c r="S2595">
        <v>10</v>
      </c>
      <c r="T2595">
        <v>241</v>
      </c>
      <c r="U2595">
        <v>259</v>
      </c>
      <c r="V2595">
        <v>168</v>
      </c>
      <c r="W2595">
        <v>2</v>
      </c>
      <c r="X2595" s="367"/>
    </row>
    <row r="2596" spans="1:24">
      <c r="A2596" t="s">
        <v>2508</v>
      </c>
      <c r="B2596" t="s">
        <v>2507</v>
      </c>
      <c r="C2596">
        <v>68</v>
      </c>
      <c r="D2596">
        <v>1625689</v>
      </c>
      <c r="E2596">
        <v>19719607570</v>
      </c>
      <c r="F2596">
        <v>11780</v>
      </c>
      <c r="G2596">
        <v>12130</v>
      </c>
      <c r="H2596">
        <v>12130</v>
      </c>
      <c r="I2596">
        <v>350</v>
      </c>
      <c r="J2596">
        <v>2.97</v>
      </c>
      <c r="K2596">
        <v>12130</v>
      </c>
      <c r="L2596">
        <v>350</v>
      </c>
      <c r="M2596">
        <v>2.97</v>
      </c>
      <c r="N2596">
        <v>12130</v>
      </c>
      <c r="O2596">
        <v>12130</v>
      </c>
      <c r="P2596">
        <v>2178</v>
      </c>
      <c r="Q2596">
        <v>5.57</v>
      </c>
      <c r="R2596">
        <v>68</v>
      </c>
      <c r="S2596">
        <v>5447347</v>
      </c>
      <c r="T2596">
        <v>12130</v>
      </c>
      <c r="U2596">
        <v>0</v>
      </c>
      <c r="V2596">
        <v>0</v>
      </c>
      <c r="W2596">
        <v>0</v>
      </c>
      <c r="X2596" s="367"/>
    </row>
    <row r="2597" spans="1:24">
      <c r="A2597" t="s">
        <v>7229</v>
      </c>
      <c r="B2597" t="s">
        <v>8345</v>
      </c>
      <c r="C2597">
        <v>25</v>
      </c>
      <c r="D2597">
        <v>199</v>
      </c>
      <c r="E2597">
        <v>2536467906</v>
      </c>
      <c r="F2597">
        <v>8276</v>
      </c>
      <c r="G2597">
        <v>8729</v>
      </c>
      <c r="H2597">
        <v>9999</v>
      </c>
      <c r="I2597">
        <v>1723</v>
      </c>
      <c r="J2597">
        <v>20.82</v>
      </c>
      <c r="K2597">
        <v>9297</v>
      </c>
      <c r="L2597">
        <v>1021</v>
      </c>
      <c r="M2597">
        <v>12.34</v>
      </c>
      <c r="N2597">
        <v>8729</v>
      </c>
      <c r="O2597">
        <v>10000</v>
      </c>
      <c r="P2597" t="s">
        <v>192</v>
      </c>
      <c r="Q2597" t="s">
        <v>192</v>
      </c>
      <c r="R2597">
        <v>1</v>
      </c>
      <c r="S2597">
        <v>1</v>
      </c>
      <c r="T2597">
        <v>8800</v>
      </c>
      <c r="U2597">
        <v>9990</v>
      </c>
      <c r="V2597">
        <v>1</v>
      </c>
      <c r="W2597">
        <v>1</v>
      </c>
      <c r="X2597" s="367"/>
    </row>
    <row r="2598" spans="1:24">
      <c r="A2598" t="s">
        <v>6156</v>
      </c>
      <c r="B2598" t="s">
        <v>8603</v>
      </c>
      <c r="C2598">
        <v>119</v>
      </c>
      <c r="D2598">
        <v>20663</v>
      </c>
      <c r="E2598">
        <v>3727743000</v>
      </c>
      <c r="F2598">
        <v>139</v>
      </c>
      <c r="G2598">
        <v>180</v>
      </c>
      <c r="H2598">
        <v>188</v>
      </c>
      <c r="I2598">
        <v>49</v>
      </c>
      <c r="J2598">
        <v>35.25</v>
      </c>
      <c r="K2598">
        <v>180</v>
      </c>
      <c r="L2598">
        <v>41</v>
      </c>
      <c r="M2598">
        <v>29.5</v>
      </c>
      <c r="N2598">
        <v>170</v>
      </c>
      <c r="O2598">
        <v>210</v>
      </c>
      <c r="P2598" t="s">
        <v>192</v>
      </c>
      <c r="Q2598" t="s">
        <v>192</v>
      </c>
      <c r="R2598">
        <v>1</v>
      </c>
      <c r="S2598">
        <v>390</v>
      </c>
      <c r="T2598">
        <v>180</v>
      </c>
      <c r="U2598">
        <v>188</v>
      </c>
      <c r="V2598">
        <v>733</v>
      </c>
      <c r="W2598">
        <v>2</v>
      </c>
      <c r="X2598" s="367"/>
    </row>
    <row r="2599" spans="1:24">
      <c r="A2599" t="s">
        <v>8356</v>
      </c>
      <c r="B2599" t="s">
        <v>8357</v>
      </c>
      <c r="C2599">
        <v>3</v>
      </c>
      <c r="D2599">
        <v>3</v>
      </c>
      <c r="E2599">
        <v>33000000</v>
      </c>
      <c r="F2599">
        <v>1</v>
      </c>
      <c r="G2599">
        <v>11000</v>
      </c>
      <c r="H2599">
        <v>11000</v>
      </c>
      <c r="I2599">
        <v>10999</v>
      </c>
      <c r="J2599">
        <v>1099900</v>
      </c>
      <c r="K2599">
        <v>11000</v>
      </c>
      <c r="L2599">
        <v>10999</v>
      </c>
      <c r="M2599">
        <v>1099900</v>
      </c>
      <c r="N2599">
        <v>11000</v>
      </c>
      <c r="O2599">
        <v>11000</v>
      </c>
      <c r="P2599" t="s">
        <v>192</v>
      </c>
      <c r="Q2599" t="s">
        <v>192</v>
      </c>
      <c r="R2599">
        <v>1</v>
      </c>
      <c r="S2599">
        <v>111</v>
      </c>
      <c r="T2599">
        <v>11</v>
      </c>
      <c r="U2599">
        <v>0</v>
      </c>
      <c r="V2599">
        <v>0</v>
      </c>
      <c r="W2599">
        <v>0</v>
      </c>
      <c r="X2599" s="367"/>
    </row>
    <row r="2600" spans="1:24">
      <c r="A2600" t="s">
        <v>6159</v>
      </c>
      <c r="B2600" t="s">
        <v>6160</v>
      </c>
      <c r="C2600">
        <v>0</v>
      </c>
      <c r="D2600">
        <v>0</v>
      </c>
      <c r="E2600">
        <v>0</v>
      </c>
      <c r="F2600">
        <v>1000000</v>
      </c>
      <c r="G2600">
        <v>0</v>
      </c>
      <c r="H2600">
        <v>1000000</v>
      </c>
      <c r="I2600">
        <v>0</v>
      </c>
      <c r="J2600">
        <v>0</v>
      </c>
      <c r="K2600">
        <v>1000000</v>
      </c>
      <c r="L2600">
        <v>0</v>
      </c>
      <c r="M2600">
        <v>0</v>
      </c>
      <c r="N2600">
        <v>0</v>
      </c>
      <c r="O2600">
        <v>0</v>
      </c>
      <c r="P2600" t="s">
        <v>192</v>
      </c>
      <c r="Q2600" t="s">
        <v>192</v>
      </c>
      <c r="R2600">
        <v>1</v>
      </c>
      <c r="S2600">
        <v>5000</v>
      </c>
      <c r="T2600">
        <v>1000000</v>
      </c>
      <c r="U2600">
        <v>1010000</v>
      </c>
      <c r="V2600">
        <v>5000</v>
      </c>
      <c r="W2600">
        <v>1</v>
      </c>
      <c r="X2600" s="367"/>
    </row>
    <row r="2601" spans="1:24">
      <c r="A2601" t="s">
        <v>188</v>
      </c>
      <c r="B2601" t="s">
        <v>187</v>
      </c>
      <c r="C2601">
        <v>1581</v>
      </c>
      <c r="D2601">
        <v>35258184</v>
      </c>
      <c r="E2601">
        <v>228159387950</v>
      </c>
      <c r="F2601">
        <v>6330</v>
      </c>
      <c r="G2601">
        <v>6470</v>
      </c>
      <c r="H2601">
        <v>6510</v>
      </c>
      <c r="I2601">
        <v>180</v>
      </c>
      <c r="J2601">
        <v>2.84</v>
      </c>
      <c r="K2601">
        <v>6470</v>
      </c>
      <c r="L2601">
        <v>140</v>
      </c>
      <c r="M2601">
        <v>2.21</v>
      </c>
      <c r="N2601">
        <v>6350</v>
      </c>
      <c r="O2601">
        <v>6510</v>
      </c>
      <c r="P2601">
        <v>953</v>
      </c>
      <c r="Q2601">
        <v>6.79</v>
      </c>
      <c r="R2601">
        <v>7</v>
      </c>
      <c r="S2601">
        <v>445055</v>
      </c>
      <c r="T2601">
        <v>6510</v>
      </c>
      <c r="U2601">
        <v>6540</v>
      </c>
      <c r="V2601">
        <v>2000</v>
      </c>
      <c r="W2601">
        <v>1</v>
      </c>
      <c r="X2601" s="367"/>
    </row>
    <row r="2602" spans="1:24">
      <c r="A2602" t="s">
        <v>1902</v>
      </c>
      <c r="B2602" t="s">
        <v>1901</v>
      </c>
      <c r="C2602">
        <v>3045</v>
      </c>
      <c r="D2602">
        <v>104548837</v>
      </c>
      <c r="E2602">
        <v>1983291437890</v>
      </c>
      <c r="F2602">
        <v>18420</v>
      </c>
      <c r="G2602">
        <v>18970</v>
      </c>
      <c r="H2602">
        <v>18970</v>
      </c>
      <c r="I2602">
        <v>550</v>
      </c>
      <c r="J2602">
        <v>2.99</v>
      </c>
      <c r="K2602">
        <v>18970</v>
      </c>
      <c r="L2602">
        <v>550</v>
      </c>
      <c r="M2602">
        <v>2.99</v>
      </c>
      <c r="N2602">
        <v>18970</v>
      </c>
      <c r="O2602">
        <v>18970</v>
      </c>
      <c r="P2602">
        <v>783</v>
      </c>
      <c r="Q2602">
        <v>24.23</v>
      </c>
      <c r="R2602">
        <v>717</v>
      </c>
      <c r="S2602">
        <v>28853027</v>
      </c>
      <c r="T2602">
        <v>18970</v>
      </c>
      <c r="U2602">
        <v>0</v>
      </c>
      <c r="V2602">
        <v>0</v>
      </c>
      <c r="W2602">
        <v>0</v>
      </c>
      <c r="X2602" s="367"/>
    </row>
    <row r="2603" spans="1:24">
      <c r="A2603" t="s">
        <v>6623</v>
      </c>
      <c r="B2603" t="s">
        <v>8251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1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 t="s">
        <v>192</v>
      </c>
      <c r="Q2603" t="s">
        <v>192</v>
      </c>
      <c r="R2603">
        <v>2</v>
      </c>
      <c r="S2603">
        <v>49</v>
      </c>
      <c r="T2603">
        <v>44</v>
      </c>
      <c r="U2603">
        <v>0</v>
      </c>
      <c r="V2603">
        <v>0</v>
      </c>
      <c r="W2603">
        <v>0</v>
      </c>
      <c r="X2603" s="367"/>
    </row>
    <row r="2604" spans="1:24">
      <c r="A2604" t="s">
        <v>6161</v>
      </c>
      <c r="B2604" t="s">
        <v>6162</v>
      </c>
      <c r="C2604">
        <v>0</v>
      </c>
      <c r="D2604">
        <v>0</v>
      </c>
      <c r="E2604">
        <v>0</v>
      </c>
      <c r="F2604">
        <v>995000</v>
      </c>
      <c r="G2604">
        <v>0</v>
      </c>
      <c r="H2604">
        <v>995000</v>
      </c>
      <c r="I2604">
        <v>0</v>
      </c>
      <c r="J2604">
        <v>0</v>
      </c>
      <c r="K2604">
        <v>995000</v>
      </c>
      <c r="L2604">
        <v>0</v>
      </c>
      <c r="M2604">
        <v>0</v>
      </c>
      <c r="N2604">
        <v>0</v>
      </c>
      <c r="O2604">
        <v>0</v>
      </c>
      <c r="P2604" t="s">
        <v>192</v>
      </c>
      <c r="Q2604" t="s">
        <v>192</v>
      </c>
      <c r="R2604">
        <v>1</v>
      </c>
      <c r="S2604">
        <v>4950</v>
      </c>
      <c r="T2604">
        <v>995000</v>
      </c>
      <c r="U2604">
        <v>1004950</v>
      </c>
      <c r="V2604">
        <v>4950</v>
      </c>
      <c r="W2604">
        <v>1</v>
      </c>
      <c r="X2604" s="367"/>
    </row>
    <row r="2605" spans="1:24">
      <c r="A2605" t="s">
        <v>7714</v>
      </c>
      <c r="B2605" t="s">
        <v>2043</v>
      </c>
      <c r="C2605">
        <v>1</v>
      </c>
      <c r="D2605">
        <v>47834</v>
      </c>
      <c r="E2605">
        <v>98633708</v>
      </c>
      <c r="F2605">
        <v>2002</v>
      </c>
      <c r="G2605">
        <v>2062</v>
      </c>
      <c r="H2605">
        <v>2062</v>
      </c>
      <c r="I2605">
        <v>60</v>
      </c>
      <c r="J2605">
        <v>3</v>
      </c>
      <c r="K2605">
        <v>2062</v>
      </c>
      <c r="L2605">
        <v>60</v>
      </c>
      <c r="M2605">
        <v>3</v>
      </c>
      <c r="N2605">
        <v>2062</v>
      </c>
      <c r="O2605">
        <v>2062</v>
      </c>
      <c r="P2605">
        <v>320</v>
      </c>
      <c r="Q2605">
        <v>6.44</v>
      </c>
      <c r="R2605">
        <v>0</v>
      </c>
      <c r="S2605">
        <v>0</v>
      </c>
      <c r="T2605">
        <v>0</v>
      </c>
      <c r="U2605">
        <v>2062</v>
      </c>
      <c r="V2605">
        <v>7166</v>
      </c>
      <c r="W2605">
        <v>2</v>
      </c>
      <c r="X2605" s="367"/>
    </row>
    <row r="2606" spans="1:24">
      <c r="A2606" t="s">
        <v>2835</v>
      </c>
      <c r="B2606" t="s">
        <v>2834</v>
      </c>
      <c r="C2606">
        <v>633</v>
      </c>
      <c r="D2606">
        <v>40632051</v>
      </c>
      <c r="E2606">
        <v>88707206064</v>
      </c>
      <c r="F2606">
        <v>2141</v>
      </c>
      <c r="G2606">
        <v>2181</v>
      </c>
      <c r="H2606">
        <v>2205</v>
      </c>
      <c r="I2606">
        <v>64</v>
      </c>
      <c r="J2606">
        <v>2.99</v>
      </c>
      <c r="K2606">
        <v>2183</v>
      </c>
      <c r="L2606">
        <v>42</v>
      </c>
      <c r="M2606">
        <v>1.96</v>
      </c>
      <c r="N2606">
        <v>2136</v>
      </c>
      <c r="O2606">
        <v>2205</v>
      </c>
      <c r="P2606">
        <v>644</v>
      </c>
      <c r="Q2606">
        <v>3.39</v>
      </c>
      <c r="R2606">
        <v>6</v>
      </c>
      <c r="S2606">
        <v>1751943</v>
      </c>
      <c r="T2606">
        <v>2205</v>
      </c>
      <c r="U2606">
        <v>2227</v>
      </c>
      <c r="V2606">
        <v>1295</v>
      </c>
      <c r="W2606">
        <v>1</v>
      </c>
      <c r="X2606" s="367"/>
    </row>
    <row r="2607" spans="1:24">
      <c r="A2607" t="s">
        <v>6166</v>
      </c>
      <c r="B2607" t="s">
        <v>6167</v>
      </c>
      <c r="C2607">
        <v>0</v>
      </c>
      <c r="D2607">
        <v>0</v>
      </c>
      <c r="E2607">
        <v>0</v>
      </c>
      <c r="F2607">
        <v>2191</v>
      </c>
      <c r="G2607">
        <v>0</v>
      </c>
      <c r="H2607">
        <v>2191</v>
      </c>
      <c r="I2607">
        <v>0</v>
      </c>
      <c r="J2607">
        <v>0</v>
      </c>
      <c r="K2607">
        <v>2191</v>
      </c>
      <c r="L2607">
        <v>0</v>
      </c>
      <c r="M2607">
        <v>0</v>
      </c>
      <c r="N2607">
        <v>0</v>
      </c>
      <c r="O2607">
        <v>0</v>
      </c>
      <c r="P2607" t="s">
        <v>192</v>
      </c>
      <c r="Q2607" t="s">
        <v>192</v>
      </c>
      <c r="R2607">
        <v>1</v>
      </c>
      <c r="S2607">
        <v>100</v>
      </c>
      <c r="T2607">
        <v>1</v>
      </c>
      <c r="U2607">
        <v>100</v>
      </c>
      <c r="V2607">
        <v>1</v>
      </c>
      <c r="W2607">
        <v>1</v>
      </c>
      <c r="X2607" s="367"/>
    </row>
    <row r="2608" spans="1:24">
      <c r="A2608" t="s">
        <v>6168</v>
      </c>
      <c r="B2608" t="s">
        <v>6169</v>
      </c>
      <c r="C2608">
        <v>0</v>
      </c>
      <c r="D2608">
        <v>0</v>
      </c>
      <c r="E2608">
        <v>0</v>
      </c>
      <c r="F2608">
        <v>1025010</v>
      </c>
      <c r="G2608">
        <v>0</v>
      </c>
      <c r="H2608">
        <v>1000000</v>
      </c>
      <c r="I2608">
        <v>-25010</v>
      </c>
      <c r="J2608">
        <v>-2.44</v>
      </c>
      <c r="K2608">
        <v>1025010</v>
      </c>
      <c r="L2608">
        <v>0</v>
      </c>
      <c r="M2608">
        <v>0</v>
      </c>
      <c r="N2608">
        <v>0</v>
      </c>
      <c r="O2608">
        <v>0</v>
      </c>
      <c r="P2608" t="s">
        <v>192</v>
      </c>
      <c r="Q2608" t="s">
        <v>192</v>
      </c>
      <c r="R2608">
        <v>1</v>
      </c>
      <c r="S2608">
        <v>10000</v>
      </c>
      <c r="T2608">
        <v>1019890</v>
      </c>
      <c r="U2608">
        <v>1030080</v>
      </c>
      <c r="V2608">
        <v>5000</v>
      </c>
      <c r="W2608">
        <v>1</v>
      </c>
      <c r="X2608" s="367"/>
    </row>
    <row r="2609" spans="1:24">
      <c r="A2609" t="s">
        <v>6170</v>
      </c>
      <c r="B2609" t="s">
        <v>6171</v>
      </c>
      <c r="C2609">
        <v>50</v>
      </c>
      <c r="D2609">
        <v>429755</v>
      </c>
      <c r="E2609">
        <v>6699357926</v>
      </c>
      <c r="F2609">
        <v>15289</v>
      </c>
      <c r="G2609">
        <v>15739</v>
      </c>
      <c r="H2609">
        <v>15698</v>
      </c>
      <c r="I2609">
        <v>409</v>
      </c>
      <c r="J2609">
        <v>2.68</v>
      </c>
      <c r="K2609">
        <v>15589</v>
      </c>
      <c r="L2609">
        <v>300</v>
      </c>
      <c r="M2609">
        <v>1.96</v>
      </c>
      <c r="N2609">
        <v>15001</v>
      </c>
      <c r="O2609">
        <v>15739</v>
      </c>
      <c r="P2609" t="s">
        <v>192</v>
      </c>
      <c r="Q2609" t="s">
        <v>192</v>
      </c>
      <c r="R2609">
        <v>1</v>
      </c>
      <c r="S2609">
        <v>1930</v>
      </c>
      <c r="T2609">
        <v>15503</v>
      </c>
      <c r="U2609">
        <v>15738</v>
      </c>
      <c r="V2609">
        <v>322</v>
      </c>
      <c r="W2609">
        <v>1</v>
      </c>
      <c r="X2609" s="367"/>
    </row>
    <row r="2610" spans="1:24">
      <c r="A2610" t="s">
        <v>6172</v>
      </c>
      <c r="B2610" t="s">
        <v>6173</v>
      </c>
      <c r="C2610">
        <v>90</v>
      </c>
      <c r="D2610">
        <v>27494</v>
      </c>
      <c r="E2610">
        <v>314357000</v>
      </c>
      <c r="F2610">
        <v>38</v>
      </c>
      <c r="G2610">
        <v>41</v>
      </c>
      <c r="H2610">
        <v>9</v>
      </c>
      <c r="I2610">
        <v>-29</v>
      </c>
      <c r="J2610">
        <v>-76.319999999999993</v>
      </c>
      <c r="K2610">
        <v>11</v>
      </c>
      <c r="L2610">
        <v>-27</v>
      </c>
      <c r="M2610">
        <v>-71.05</v>
      </c>
      <c r="N2610">
        <v>5</v>
      </c>
      <c r="O2610">
        <v>41</v>
      </c>
      <c r="P2610" t="s">
        <v>192</v>
      </c>
      <c r="Q2610" t="s">
        <v>192</v>
      </c>
      <c r="R2610">
        <v>1</v>
      </c>
      <c r="S2610">
        <v>1000</v>
      </c>
      <c r="T2610">
        <v>6</v>
      </c>
      <c r="U2610">
        <v>9</v>
      </c>
      <c r="V2610">
        <v>964</v>
      </c>
      <c r="W2610">
        <v>1</v>
      </c>
      <c r="X2610" s="367"/>
    </row>
    <row r="2611" spans="1:24">
      <c r="A2611" t="s">
        <v>6174</v>
      </c>
      <c r="B2611" t="s">
        <v>6175</v>
      </c>
      <c r="C2611">
        <v>4</v>
      </c>
      <c r="D2611">
        <v>870</v>
      </c>
      <c r="E2611">
        <v>2244964997</v>
      </c>
      <c r="F2611">
        <v>2596945</v>
      </c>
      <c r="G2611">
        <v>2620000</v>
      </c>
      <c r="H2611">
        <v>2580000</v>
      </c>
      <c r="I2611">
        <v>-16945</v>
      </c>
      <c r="J2611">
        <v>-0.65</v>
      </c>
      <c r="K2611">
        <v>2580419</v>
      </c>
      <c r="L2611">
        <v>-16526</v>
      </c>
      <c r="M2611">
        <v>-0.64</v>
      </c>
      <c r="N2611">
        <v>2580000</v>
      </c>
      <c r="O2611">
        <v>2620000</v>
      </c>
      <c r="P2611" t="s">
        <v>192</v>
      </c>
      <c r="Q2611" t="s">
        <v>192</v>
      </c>
      <c r="R2611">
        <v>1</v>
      </c>
      <c r="S2611">
        <v>1141</v>
      </c>
      <c r="T2611">
        <v>2580000</v>
      </c>
      <c r="U2611">
        <v>2585000</v>
      </c>
      <c r="V2611">
        <v>10</v>
      </c>
      <c r="W2611">
        <v>1</v>
      </c>
      <c r="X2611" s="367"/>
    </row>
    <row r="2612" spans="1:24">
      <c r="A2612" t="s">
        <v>6176</v>
      </c>
      <c r="B2612" t="s">
        <v>6177</v>
      </c>
      <c r="C2612">
        <v>0</v>
      </c>
      <c r="D2612">
        <v>0</v>
      </c>
      <c r="E2612">
        <v>0</v>
      </c>
      <c r="F2612">
        <v>6</v>
      </c>
      <c r="G2612">
        <v>0</v>
      </c>
      <c r="H2612">
        <v>6</v>
      </c>
      <c r="I2612">
        <v>0</v>
      </c>
      <c r="J2612">
        <v>0</v>
      </c>
      <c r="K2612">
        <v>6</v>
      </c>
      <c r="L2612">
        <v>0</v>
      </c>
      <c r="M2612">
        <v>0</v>
      </c>
      <c r="N2612">
        <v>0</v>
      </c>
      <c r="O2612">
        <v>0</v>
      </c>
      <c r="P2612" t="s">
        <v>192</v>
      </c>
      <c r="Q2612" t="s">
        <v>192</v>
      </c>
      <c r="R2612">
        <v>1</v>
      </c>
      <c r="S2612">
        <v>100</v>
      </c>
      <c r="T2612">
        <v>1</v>
      </c>
      <c r="U2612">
        <v>0</v>
      </c>
      <c r="V2612">
        <v>0</v>
      </c>
      <c r="W2612">
        <v>0</v>
      </c>
      <c r="X2612" s="367"/>
    </row>
    <row r="2613" spans="1:24">
      <c r="A2613" t="s">
        <v>2083</v>
      </c>
      <c r="B2613" t="s">
        <v>2082</v>
      </c>
      <c r="C2613">
        <v>270</v>
      </c>
      <c r="D2613">
        <v>47895519</v>
      </c>
      <c r="E2613">
        <v>52876652976</v>
      </c>
      <c r="F2613">
        <v>1072</v>
      </c>
      <c r="G2613">
        <v>1104</v>
      </c>
      <c r="H2613">
        <v>1104</v>
      </c>
      <c r="I2613">
        <v>32</v>
      </c>
      <c r="J2613">
        <v>2.99</v>
      </c>
      <c r="K2613">
        <v>1104</v>
      </c>
      <c r="L2613">
        <v>32</v>
      </c>
      <c r="M2613">
        <v>2.99</v>
      </c>
      <c r="N2613">
        <v>1104</v>
      </c>
      <c r="O2613">
        <v>1104</v>
      </c>
      <c r="P2613">
        <v>-1300</v>
      </c>
      <c r="Q2613">
        <v>-0.85</v>
      </c>
      <c r="R2613">
        <v>137</v>
      </c>
      <c r="S2613">
        <v>109946832</v>
      </c>
      <c r="T2613">
        <v>1104</v>
      </c>
      <c r="U2613">
        <v>0</v>
      </c>
      <c r="V2613">
        <v>0</v>
      </c>
      <c r="W2613">
        <v>0</v>
      </c>
      <c r="X2613" s="367"/>
    </row>
    <row r="2614" spans="1:24">
      <c r="A2614" t="s">
        <v>6178</v>
      </c>
      <c r="B2614" t="s">
        <v>6179</v>
      </c>
      <c r="C2614">
        <v>5405</v>
      </c>
      <c r="D2614">
        <v>540279</v>
      </c>
      <c r="E2614">
        <v>566862763000</v>
      </c>
      <c r="F2614">
        <v>400</v>
      </c>
      <c r="G2614">
        <v>900</v>
      </c>
      <c r="H2614">
        <v>1033</v>
      </c>
      <c r="I2614">
        <v>633</v>
      </c>
      <c r="J2614">
        <v>158.25</v>
      </c>
      <c r="K2614">
        <v>1049</v>
      </c>
      <c r="L2614">
        <v>649</v>
      </c>
      <c r="M2614">
        <v>162.25</v>
      </c>
      <c r="N2614">
        <v>900</v>
      </c>
      <c r="O2614">
        <v>1182</v>
      </c>
      <c r="P2614" t="s">
        <v>192</v>
      </c>
      <c r="Q2614" t="s">
        <v>192</v>
      </c>
      <c r="R2614">
        <v>1</v>
      </c>
      <c r="S2614">
        <v>300</v>
      </c>
      <c r="T2614">
        <v>1015</v>
      </c>
      <c r="U2614">
        <v>1040</v>
      </c>
      <c r="V2614">
        <v>5</v>
      </c>
      <c r="W2614">
        <v>1</v>
      </c>
      <c r="X2614" s="367"/>
    </row>
    <row r="2615" spans="1:24">
      <c r="A2615" t="s">
        <v>2578</v>
      </c>
      <c r="B2615" t="s">
        <v>2577</v>
      </c>
      <c r="C2615">
        <v>148</v>
      </c>
      <c r="D2615">
        <v>2152754</v>
      </c>
      <c r="E2615">
        <v>17808483800</v>
      </c>
      <c r="F2615">
        <v>8040</v>
      </c>
      <c r="G2615">
        <v>8230</v>
      </c>
      <c r="H2615">
        <v>8270</v>
      </c>
      <c r="I2615">
        <v>230</v>
      </c>
      <c r="J2615">
        <v>2.86</v>
      </c>
      <c r="K2615">
        <v>8270</v>
      </c>
      <c r="L2615">
        <v>230</v>
      </c>
      <c r="M2615">
        <v>2.86</v>
      </c>
      <c r="N2615">
        <v>8230</v>
      </c>
      <c r="O2615">
        <v>8280</v>
      </c>
      <c r="P2615">
        <v>586</v>
      </c>
      <c r="Q2615">
        <v>14.11</v>
      </c>
      <c r="R2615">
        <v>1</v>
      </c>
      <c r="S2615">
        <v>10000</v>
      </c>
      <c r="T2615">
        <v>8270</v>
      </c>
      <c r="U2615">
        <v>8280</v>
      </c>
      <c r="V2615">
        <v>1305436</v>
      </c>
      <c r="W2615">
        <v>15</v>
      </c>
      <c r="X2615" s="367"/>
    </row>
    <row r="2616" spans="1:24">
      <c r="A2616" t="s">
        <v>6180</v>
      </c>
      <c r="B2616" t="s">
        <v>6181</v>
      </c>
      <c r="C2616">
        <v>0</v>
      </c>
      <c r="D2616">
        <v>0</v>
      </c>
      <c r="E2616">
        <v>0</v>
      </c>
      <c r="F2616">
        <v>971822</v>
      </c>
      <c r="G2616">
        <v>0</v>
      </c>
      <c r="H2616">
        <v>971822</v>
      </c>
      <c r="I2616">
        <v>0</v>
      </c>
      <c r="J2616">
        <v>0</v>
      </c>
      <c r="K2616">
        <v>971822</v>
      </c>
      <c r="L2616">
        <v>0</v>
      </c>
      <c r="M2616">
        <v>0</v>
      </c>
      <c r="N2616">
        <v>0</v>
      </c>
      <c r="O2616">
        <v>0</v>
      </c>
      <c r="P2616" t="s">
        <v>192</v>
      </c>
      <c r="Q2616" t="s">
        <v>192</v>
      </c>
      <c r="R2616">
        <v>1</v>
      </c>
      <c r="S2616">
        <v>16000</v>
      </c>
      <c r="T2616">
        <v>942668</v>
      </c>
      <c r="U2616">
        <v>0</v>
      </c>
      <c r="V2616">
        <v>0</v>
      </c>
      <c r="W2616">
        <v>0</v>
      </c>
      <c r="X2616" s="367"/>
    </row>
    <row r="2617" spans="1:24">
      <c r="A2617" t="s">
        <v>7856</v>
      </c>
      <c r="B2617" t="s">
        <v>7857</v>
      </c>
      <c r="C2617">
        <v>64</v>
      </c>
      <c r="D2617">
        <v>1204</v>
      </c>
      <c r="E2617">
        <v>3414455000</v>
      </c>
      <c r="F2617">
        <v>2297</v>
      </c>
      <c r="G2617">
        <v>3289</v>
      </c>
      <c r="H2617">
        <v>3040</v>
      </c>
      <c r="I2617">
        <v>743</v>
      </c>
      <c r="J2617">
        <v>32.35</v>
      </c>
      <c r="K2617">
        <v>2836</v>
      </c>
      <c r="L2617">
        <v>539</v>
      </c>
      <c r="M2617">
        <v>23.47</v>
      </c>
      <c r="N2617">
        <v>2680</v>
      </c>
      <c r="O2617">
        <v>3333</v>
      </c>
      <c r="P2617" t="s">
        <v>192</v>
      </c>
      <c r="Q2617" t="s">
        <v>192</v>
      </c>
      <c r="R2617">
        <v>1</v>
      </c>
      <c r="S2617">
        <v>10</v>
      </c>
      <c r="T2617">
        <v>2999</v>
      </c>
      <c r="U2617">
        <v>9999</v>
      </c>
      <c r="V2617">
        <v>2</v>
      </c>
      <c r="W2617">
        <v>1</v>
      </c>
      <c r="X2617" s="367"/>
    </row>
    <row r="2618" spans="1:24">
      <c r="A2618" t="s">
        <v>8868</v>
      </c>
      <c r="B2618" t="s">
        <v>2964</v>
      </c>
      <c r="C2618">
        <v>1</v>
      </c>
      <c r="D2618">
        <v>9000</v>
      </c>
      <c r="E2618">
        <v>31860000</v>
      </c>
      <c r="F2618">
        <v>3440</v>
      </c>
      <c r="G2618">
        <v>3540</v>
      </c>
      <c r="H2618">
        <v>3540</v>
      </c>
      <c r="I2618">
        <v>100</v>
      </c>
      <c r="J2618">
        <v>2.91</v>
      </c>
      <c r="K2618">
        <v>3540</v>
      </c>
      <c r="L2618">
        <v>100</v>
      </c>
      <c r="M2618">
        <v>2.91</v>
      </c>
      <c r="N2618">
        <v>3540</v>
      </c>
      <c r="O2618">
        <v>3540</v>
      </c>
      <c r="P2618">
        <v>749</v>
      </c>
      <c r="Q2618">
        <v>4.7300000000000004</v>
      </c>
      <c r="R2618">
        <v>2</v>
      </c>
      <c r="S2618">
        <v>9259</v>
      </c>
      <c r="T2618">
        <v>3540</v>
      </c>
      <c r="U2618">
        <v>0</v>
      </c>
      <c r="V2618">
        <v>0</v>
      </c>
      <c r="W2618">
        <v>0</v>
      </c>
      <c r="X2618" s="367"/>
    </row>
    <row r="2619" spans="1:24">
      <c r="A2619" t="s">
        <v>6182</v>
      </c>
      <c r="B2619" t="s">
        <v>6183</v>
      </c>
      <c r="C2619">
        <v>0</v>
      </c>
      <c r="D2619">
        <v>0</v>
      </c>
      <c r="E2619">
        <v>0</v>
      </c>
      <c r="F2619">
        <v>1000000</v>
      </c>
      <c r="G2619">
        <v>0</v>
      </c>
      <c r="H2619">
        <v>1000000</v>
      </c>
      <c r="I2619">
        <v>0</v>
      </c>
      <c r="J2619">
        <v>0</v>
      </c>
      <c r="K2619">
        <v>1000000</v>
      </c>
      <c r="L2619">
        <v>0</v>
      </c>
      <c r="M2619">
        <v>0</v>
      </c>
      <c r="N2619">
        <v>0</v>
      </c>
      <c r="O2619">
        <v>0</v>
      </c>
      <c r="P2619" t="s">
        <v>192</v>
      </c>
      <c r="Q2619" t="s">
        <v>192</v>
      </c>
      <c r="R2619">
        <v>1</v>
      </c>
      <c r="S2619">
        <v>10000</v>
      </c>
      <c r="T2619">
        <v>995000</v>
      </c>
      <c r="U2619">
        <v>1004950</v>
      </c>
      <c r="V2619">
        <v>5000</v>
      </c>
      <c r="W2619">
        <v>1</v>
      </c>
      <c r="X2619" s="367"/>
    </row>
    <row r="2620" spans="1:24">
      <c r="A2620" t="s">
        <v>8869</v>
      </c>
      <c r="B2620" t="s">
        <v>140</v>
      </c>
      <c r="C2620">
        <v>16</v>
      </c>
      <c r="D2620">
        <v>6510</v>
      </c>
      <c r="E2620">
        <v>303300900</v>
      </c>
      <c r="F2620">
        <v>45260</v>
      </c>
      <c r="G2620">
        <v>46590</v>
      </c>
      <c r="H2620">
        <v>46590</v>
      </c>
      <c r="I2620">
        <v>1330</v>
      </c>
      <c r="J2620">
        <v>2.94</v>
      </c>
      <c r="K2620">
        <v>46590</v>
      </c>
      <c r="L2620">
        <v>1330</v>
      </c>
      <c r="M2620">
        <v>2.94</v>
      </c>
      <c r="N2620">
        <v>46590</v>
      </c>
      <c r="O2620">
        <v>46590</v>
      </c>
      <c r="P2620">
        <v>3275</v>
      </c>
      <c r="Q2620">
        <v>14.23</v>
      </c>
      <c r="R2620">
        <v>47</v>
      </c>
      <c r="S2620">
        <v>499084</v>
      </c>
      <c r="T2620">
        <v>46590</v>
      </c>
      <c r="U2620">
        <v>0</v>
      </c>
      <c r="V2620">
        <v>0</v>
      </c>
      <c r="W2620">
        <v>0</v>
      </c>
      <c r="X2620" s="367"/>
    </row>
    <row r="2621" spans="1:24">
      <c r="A2621" t="s">
        <v>2853</v>
      </c>
      <c r="B2621" t="s">
        <v>2852</v>
      </c>
      <c r="C2621">
        <v>362</v>
      </c>
      <c r="D2621">
        <v>31706398</v>
      </c>
      <c r="E2621">
        <v>65345786334</v>
      </c>
      <c r="F2621">
        <v>2002</v>
      </c>
      <c r="G2621">
        <v>2043</v>
      </c>
      <c r="H2621">
        <v>2062</v>
      </c>
      <c r="I2621">
        <v>60</v>
      </c>
      <c r="J2621">
        <v>3</v>
      </c>
      <c r="K2621">
        <v>2061</v>
      </c>
      <c r="L2621">
        <v>59</v>
      </c>
      <c r="M2621">
        <v>2.95</v>
      </c>
      <c r="N2621">
        <v>2043</v>
      </c>
      <c r="O2621">
        <v>2062</v>
      </c>
      <c r="P2621">
        <v>-113</v>
      </c>
      <c r="Q2621">
        <v>-18.239999999999998</v>
      </c>
      <c r="R2621">
        <v>2</v>
      </c>
      <c r="S2621">
        <v>1004832</v>
      </c>
      <c r="T2621">
        <v>2062</v>
      </c>
      <c r="U2621">
        <v>2164</v>
      </c>
      <c r="V2621">
        <v>500000</v>
      </c>
      <c r="W2621">
        <v>1</v>
      </c>
      <c r="X2621" s="367"/>
    </row>
    <row r="2622" spans="1:24">
      <c r="A2622" t="s">
        <v>2252</v>
      </c>
      <c r="B2622" t="s">
        <v>2251</v>
      </c>
      <c r="C2622">
        <v>210</v>
      </c>
      <c r="D2622">
        <v>3210249</v>
      </c>
      <c r="E2622">
        <v>53097397860</v>
      </c>
      <c r="F2622">
        <v>16060</v>
      </c>
      <c r="G2622">
        <v>16540</v>
      </c>
      <c r="H2622">
        <v>16540</v>
      </c>
      <c r="I2622">
        <v>480</v>
      </c>
      <c r="J2622">
        <v>2.99</v>
      </c>
      <c r="K2622">
        <v>16540</v>
      </c>
      <c r="L2622">
        <v>480</v>
      </c>
      <c r="M2622">
        <v>2.99</v>
      </c>
      <c r="N2622">
        <v>16310</v>
      </c>
      <c r="O2622">
        <v>16540</v>
      </c>
      <c r="P2622">
        <v>2402</v>
      </c>
      <c r="Q2622">
        <v>6.89</v>
      </c>
      <c r="R2622">
        <v>39</v>
      </c>
      <c r="S2622">
        <v>681987</v>
      </c>
      <c r="T2622">
        <v>16540</v>
      </c>
      <c r="U2622">
        <v>16630</v>
      </c>
      <c r="V2622">
        <v>2300</v>
      </c>
      <c r="W2622">
        <v>3</v>
      </c>
      <c r="X2622" s="367"/>
    </row>
    <row r="2623" spans="1:24">
      <c r="A2623" t="s">
        <v>8870</v>
      </c>
      <c r="B2623" t="s">
        <v>1744</v>
      </c>
      <c r="C2623">
        <v>1</v>
      </c>
      <c r="D2623">
        <v>33</v>
      </c>
      <c r="E2623">
        <v>51051</v>
      </c>
      <c r="F2623">
        <v>1503</v>
      </c>
      <c r="G2623">
        <v>1547</v>
      </c>
      <c r="H2623">
        <v>1547</v>
      </c>
      <c r="I2623">
        <v>44</v>
      </c>
      <c r="J2623">
        <v>2.93</v>
      </c>
      <c r="K2623">
        <v>1547</v>
      </c>
      <c r="L2623">
        <v>44</v>
      </c>
      <c r="M2623">
        <v>2.93</v>
      </c>
      <c r="N2623">
        <v>1547</v>
      </c>
      <c r="O2623">
        <v>1547</v>
      </c>
      <c r="P2623">
        <v>268</v>
      </c>
      <c r="Q2623">
        <v>5.77</v>
      </c>
      <c r="R2623">
        <v>4</v>
      </c>
      <c r="S2623">
        <v>1658588</v>
      </c>
      <c r="T2623">
        <v>1547</v>
      </c>
      <c r="U2623">
        <v>0</v>
      </c>
      <c r="V2623">
        <v>0</v>
      </c>
      <c r="W2623">
        <v>0</v>
      </c>
      <c r="X2623" s="367"/>
    </row>
    <row r="2624" spans="1:24">
      <c r="A2624" t="s">
        <v>1776</v>
      </c>
      <c r="B2624" t="s">
        <v>1775</v>
      </c>
      <c r="C2624">
        <v>38</v>
      </c>
      <c r="D2624">
        <v>3938352</v>
      </c>
      <c r="E2624">
        <v>8286292608</v>
      </c>
      <c r="F2624">
        <v>2043</v>
      </c>
      <c r="G2624">
        <v>2104</v>
      </c>
      <c r="H2624">
        <v>2104</v>
      </c>
      <c r="I2624">
        <v>61</v>
      </c>
      <c r="J2624">
        <v>2.99</v>
      </c>
      <c r="K2624">
        <v>2104</v>
      </c>
      <c r="L2624">
        <v>61</v>
      </c>
      <c r="M2624">
        <v>2.99</v>
      </c>
      <c r="N2624">
        <v>2104</v>
      </c>
      <c r="O2624">
        <v>2104</v>
      </c>
      <c r="P2624">
        <v>299</v>
      </c>
      <c r="Q2624">
        <v>7.04</v>
      </c>
      <c r="R2624">
        <v>5</v>
      </c>
      <c r="S2624">
        <v>3046739</v>
      </c>
      <c r="T2624">
        <v>2104</v>
      </c>
      <c r="U2624">
        <v>0</v>
      </c>
      <c r="V2624">
        <v>0</v>
      </c>
      <c r="W2624">
        <v>0</v>
      </c>
      <c r="X2624" s="367"/>
    </row>
    <row r="2625" spans="1:24">
      <c r="A2625" t="s">
        <v>7900</v>
      </c>
      <c r="B2625" t="s">
        <v>7901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1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0</v>
      </c>
      <c r="P2625" t="s">
        <v>192</v>
      </c>
      <c r="Q2625" t="s">
        <v>192</v>
      </c>
      <c r="R2625">
        <v>1</v>
      </c>
      <c r="S2625">
        <v>2</v>
      </c>
      <c r="T2625">
        <v>570</v>
      </c>
      <c r="U2625">
        <v>3480</v>
      </c>
      <c r="V2625">
        <v>5</v>
      </c>
      <c r="W2625">
        <v>1</v>
      </c>
      <c r="X2625" s="367"/>
    </row>
    <row r="2626" spans="1:24">
      <c r="A2626" t="s">
        <v>6184</v>
      </c>
      <c r="B2626" t="s">
        <v>6185</v>
      </c>
      <c r="C2626">
        <v>0</v>
      </c>
      <c r="D2626">
        <v>0</v>
      </c>
      <c r="E2626">
        <v>0</v>
      </c>
      <c r="F2626">
        <v>872410</v>
      </c>
      <c r="G2626">
        <v>0</v>
      </c>
      <c r="H2626">
        <v>872410</v>
      </c>
      <c r="I2626">
        <v>0</v>
      </c>
      <c r="J2626">
        <v>0</v>
      </c>
      <c r="K2626">
        <v>872410</v>
      </c>
      <c r="L2626">
        <v>0</v>
      </c>
      <c r="M2626">
        <v>0</v>
      </c>
      <c r="N2626">
        <v>0</v>
      </c>
      <c r="O2626">
        <v>0</v>
      </c>
      <c r="P2626" t="s">
        <v>192</v>
      </c>
      <c r="Q2626" t="s">
        <v>192</v>
      </c>
      <c r="R2626">
        <v>1</v>
      </c>
      <c r="S2626">
        <v>20000</v>
      </c>
      <c r="T2626">
        <v>863800</v>
      </c>
      <c r="U2626">
        <v>0</v>
      </c>
      <c r="V2626">
        <v>0</v>
      </c>
      <c r="W2626">
        <v>0</v>
      </c>
      <c r="X2626" s="367"/>
    </row>
    <row r="2627" spans="1:24">
      <c r="A2627" t="s">
        <v>7355</v>
      </c>
      <c r="B2627" t="s">
        <v>7356</v>
      </c>
      <c r="C2627">
        <v>54</v>
      </c>
      <c r="D2627">
        <v>21374</v>
      </c>
      <c r="E2627">
        <v>4513303000</v>
      </c>
      <c r="F2627">
        <v>189</v>
      </c>
      <c r="G2627">
        <v>210</v>
      </c>
      <c r="H2627">
        <v>220</v>
      </c>
      <c r="I2627">
        <v>31</v>
      </c>
      <c r="J2627">
        <v>16.399999999999999</v>
      </c>
      <c r="K2627">
        <v>211</v>
      </c>
      <c r="L2627">
        <v>22</v>
      </c>
      <c r="M2627">
        <v>11.64</v>
      </c>
      <c r="N2627">
        <v>200</v>
      </c>
      <c r="O2627">
        <v>220</v>
      </c>
      <c r="P2627" t="s">
        <v>192</v>
      </c>
      <c r="Q2627" t="s">
        <v>192</v>
      </c>
      <c r="R2627">
        <v>1</v>
      </c>
      <c r="S2627">
        <v>50</v>
      </c>
      <c r="T2627">
        <v>201</v>
      </c>
      <c r="U2627">
        <v>219</v>
      </c>
      <c r="V2627">
        <v>60</v>
      </c>
      <c r="W2627">
        <v>1</v>
      </c>
      <c r="X2627" s="367"/>
    </row>
    <row r="2628" spans="1:24">
      <c r="A2628" t="s">
        <v>6186</v>
      </c>
      <c r="B2628" t="s">
        <v>6187</v>
      </c>
      <c r="C2628">
        <v>36</v>
      </c>
      <c r="D2628">
        <v>937412</v>
      </c>
      <c r="E2628">
        <v>9499039194</v>
      </c>
      <c r="F2628">
        <v>10108</v>
      </c>
      <c r="G2628">
        <v>10133</v>
      </c>
      <c r="H2628">
        <v>10134</v>
      </c>
      <c r="I2628">
        <v>26</v>
      </c>
      <c r="J2628">
        <v>0.26</v>
      </c>
      <c r="K2628">
        <v>10133</v>
      </c>
      <c r="L2628">
        <v>25</v>
      </c>
      <c r="M2628">
        <v>0.25</v>
      </c>
      <c r="N2628">
        <v>10133</v>
      </c>
      <c r="O2628">
        <v>10134</v>
      </c>
      <c r="P2628" t="s">
        <v>192</v>
      </c>
      <c r="Q2628" t="s">
        <v>192</v>
      </c>
      <c r="R2628">
        <v>1</v>
      </c>
      <c r="S2628">
        <v>299337779</v>
      </c>
      <c r="T2628">
        <v>10133</v>
      </c>
      <c r="U2628">
        <v>10134</v>
      </c>
      <c r="V2628">
        <v>29787552</v>
      </c>
      <c r="W2628">
        <v>2</v>
      </c>
      <c r="X2628" s="367"/>
    </row>
    <row r="2629" spans="1:24">
      <c r="A2629" t="s">
        <v>2616</v>
      </c>
      <c r="B2629" t="s">
        <v>2615</v>
      </c>
      <c r="C2629">
        <v>83</v>
      </c>
      <c r="D2629">
        <v>1401824</v>
      </c>
      <c r="E2629">
        <v>16891979200</v>
      </c>
      <c r="F2629">
        <v>11700</v>
      </c>
      <c r="G2629">
        <v>12050</v>
      </c>
      <c r="H2629">
        <v>12050</v>
      </c>
      <c r="I2629">
        <v>350</v>
      </c>
      <c r="J2629">
        <v>2.99</v>
      </c>
      <c r="K2629">
        <v>12050</v>
      </c>
      <c r="L2629">
        <v>350</v>
      </c>
      <c r="M2629">
        <v>2.99</v>
      </c>
      <c r="N2629">
        <v>12050</v>
      </c>
      <c r="O2629">
        <v>12050</v>
      </c>
      <c r="P2629">
        <v>2624</v>
      </c>
      <c r="Q2629">
        <v>4.59</v>
      </c>
      <c r="R2629">
        <v>8</v>
      </c>
      <c r="S2629">
        <v>344551</v>
      </c>
      <c r="T2629">
        <v>12050</v>
      </c>
      <c r="U2629">
        <v>0</v>
      </c>
      <c r="V2629">
        <v>0</v>
      </c>
      <c r="W2629">
        <v>0</v>
      </c>
      <c r="X2629" s="367"/>
    </row>
    <row r="2630" spans="1:24">
      <c r="A2630" t="s">
        <v>6775</v>
      </c>
      <c r="B2630" t="s">
        <v>6776</v>
      </c>
      <c r="C2630">
        <v>0</v>
      </c>
      <c r="D2630">
        <v>0</v>
      </c>
      <c r="E2630">
        <v>0</v>
      </c>
      <c r="F2630">
        <v>60</v>
      </c>
      <c r="G2630">
        <v>0</v>
      </c>
      <c r="H2630">
        <v>60</v>
      </c>
      <c r="I2630">
        <v>0</v>
      </c>
      <c r="J2630">
        <v>0</v>
      </c>
      <c r="K2630">
        <v>60</v>
      </c>
      <c r="L2630">
        <v>0</v>
      </c>
      <c r="M2630">
        <v>0</v>
      </c>
      <c r="N2630">
        <v>0</v>
      </c>
      <c r="O2630">
        <v>0</v>
      </c>
      <c r="P2630" t="s">
        <v>192</v>
      </c>
      <c r="Q2630" t="s">
        <v>192</v>
      </c>
      <c r="R2630">
        <v>1</v>
      </c>
      <c r="S2630">
        <v>1000</v>
      </c>
      <c r="T2630">
        <v>2</v>
      </c>
      <c r="U2630">
        <v>0</v>
      </c>
      <c r="V2630">
        <v>0</v>
      </c>
      <c r="W2630">
        <v>0</v>
      </c>
      <c r="X2630" s="367"/>
    </row>
    <row r="2631" spans="1:24">
      <c r="A2631" t="s">
        <v>8252</v>
      </c>
      <c r="B2631" t="s">
        <v>8253</v>
      </c>
      <c r="C2631">
        <v>0</v>
      </c>
      <c r="D2631">
        <v>0</v>
      </c>
      <c r="E2631">
        <v>0</v>
      </c>
      <c r="F2631">
        <v>1</v>
      </c>
      <c r="G2631">
        <v>0</v>
      </c>
      <c r="H2631">
        <v>1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0</v>
      </c>
      <c r="O2631">
        <v>0</v>
      </c>
      <c r="P2631" t="s">
        <v>192</v>
      </c>
      <c r="Q2631" t="s">
        <v>192</v>
      </c>
      <c r="R2631">
        <v>7</v>
      </c>
      <c r="S2631">
        <v>6044</v>
      </c>
      <c r="T2631">
        <v>44</v>
      </c>
      <c r="U2631">
        <v>0</v>
      </c>
      <c r="V2631">
        <v>0</v>
      </c>
      <c r="W2631">
        <v>0</v>
      </c>
      <c r="X2631" s="367"/>
    </row>
    <row r="2632" spans="1:24">
      <c r="A2632" t="s">
        <v>6189</v>
      </c>
      <c r="B2632" t="s">
        <v>6190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1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 t="s">
        <v>192</v>
      </c>
      <c r="Q2632" t="s">
        <v>192</v>
      </c>
      <c r="R2632">
        <v>0</v>
      </c>
      <c r="S2632">
        <v>0</v>
      </c>
      <c r="T2632">
        <v>0</v>
      </c>
      <c r="U2632">
        <v>1</v>
      </c>
      <c r="V2632">
        <v>4651</v>
      </c>
      <c r="W2632">
        <v>7</v>
      </c>
      <c r="X2632" s="367"/>
    </row>
    <row r="2633" spans="1:24">
      <c r="A2633" t="s">
        <v>6191</v>
      </c>
      <c r="B2633" t="s">
        <v>6192</v>
      </c>
      <c r="C2633">
        <v>0</v>
      </c>
      <c r="D2633">
        <v>0</v>
      </c>
      <c r="E2633">
        <v>0</v>
      </c>
      <c r="F2633">
        <v>1000000</v>
      </c>
      <c r="G2633">
        <v>0</v>
      </c>
      <c r="H2633">
        <v>1000000</v>
      </c>
      <c r="I2633">
        <v>0</v>
      </c>
      <c r="J2633">
        <v>0</v>
      </c>
      <c r="K2633">
        <v>1000000</v>
      </c>
      <c r="L2633">
        <v>0</v>
      </c>
      <c r="M2633">
        <v>0</v>
      </c>
      <c r="N2633">
        <v>0</v>
      </c>
      <c r="O2633">
        <v>0</v>
      </c>
      <c r="P2633" t="s">
        <v>192</v>
      </c>
      <c r="Q2633" t="s">
        <v>192</v>
      </c>
      <c r="R2633">
        <v>1</v>
      </c>
      <c r="S2633">
        <v>9980</v>
      </c>
      <c r="T2633">
        <v>995000</v>
      </c>
      <c r="U2633">
        <v>1004950</v>
      </c>
      <c r="V2633">
        <v>7450</v>
      </c>
      <c r="W2633">
        <v>1</v>
      </c>
      <c r="X2633" s="367"/>
    </row>
    <row r="2634" spans="1:24">
      <c r="A2634" t="s">
        <v>6193</v>
      </c>
      <c r="B2634" t="s">
        <v>6194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1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 t="s">
        <v>192</v>
      </c>
      <c r="Q2634" t="s">
        <v>192</v>
      </c>
      <c r="R2634">
        <v>1</v>
      </c>
      <c r="S2634">
        <v>100</v>
      </c>
      <c r="T2634">
        <v>101</v>
      </c>
      <c r="U2634">
        <v>0</v>
      </c>
      <c r="V2634">
        <v>0</v>
      </c>
      <c r="W2634">
        <v>0</v>
      </c>
      <c r="X2634" s="367"/>
    </row>
    <row r="2635" spans="1:24">
      <c r="A2635" t="s">
        <v>8553</v>
      </c>
      <c r="B2635" t="s">
        <v>8554</v>
      </c>
      <c r="C2635">
        <v>166</v>
      </c>
      <c r="D2635">
        <v>4899097</v>
      </c>
      <c r="E2635">
        <v>32513194210</v>
      </c>
      <c r="F2635">
        <v>6470</v>
      </c>
      <c r="G2635">
        <v>6660</v>
      </c>
      <c r="H2635">
        <v>6610</v>
      </c>
      <c r="I2635">
        <v>140</v>
      </c>
      <c r="J2635">
        <v>2.16</v>
      </c>
      <c r="K2635">
        <v>6640</v>
      </c>
      <c r="L2635">
        <v>170</v>
      </c>
      <c r="M2635">
        <v>2.63</v>
      </c>
      <c r="N2635">
        <v>6520</v>
      </c>
      <c r="O2635">
        <v>6660</v>
      </c>
      <c r="P2635">
        <v>517</v>
      </c>
      <c r="Q2635">
        <v>12.84</v>
      </c>
      <c r="R2635">
        <v>1</v>
      </c>
      <c r="S2635">
        <v>98078</v>
      </c>
      <c r="T2635">
        <v>6480</v>
      </c>
      <c r="U2635">
        <v>6610</v>
      </c>
      <c r="V2635">
        <v>12000</v>
      </c>
      <c r="W2635">
        <v>1</v>
      </c>
      <c r="X2635" s="367"/>
    </row>
    <row r="2636" spans="1:24">
      <c r="A2636" t="s">
        <v>8871</v>
      </c>
      <c r="B2636" t="s">
        <v>2539</v>
      </c>
      <c r="C2636">
        <v>9</v>
      </c>
      <c r="D2636">
        <v>416000</v>
      </c>
      <c r="E2636">
        <v>2433600000</v>
      </c>
      <c r="F2636">
        <v>5680</v>
      </c>
      <c r="G2636">
        <v>5850</v>
      </c>
      <c r="H2636">
        <v>5850</v>
      </c>
      <c r="I2636">
        <v>170</v>
      </c>
      <c r="J2636">
        <v>2.99</v>
      </c>
      <c r="K2636">
        <v>5850</v>
      </c>
      <c r="L2636">
        <v>170</v>
      </c>
      <c r="M2636">
        <v>2.99</v>
      </c>
      <c r="N2636">
        <v>5850</v>
      </c>
      <c r="O2636">
        <v>5850</v>
      </c>
      <c r="P2636">
        <v>910</v>
      </c>
      <c r="Q2636">
        <v>6.43</v>
      </c>
      <c r="R2636">
        <v>3</v>
      </c>
      <c r="S2636">
        <v>243796</v>
      </c>
      <c r="T2636">
        <v>5850</v>
      </c>
      <c r="U2636">
        <v>0</v>
      </c>
      <c r="V2636">
        <v>0</v>
      </c>
      <c r="W2636">
        <v>0</v>
      </c>
      <c r="X2636" s="367"/>
    </row>
    <row r="2637" spans="1:24">
      <c r="A2637" t="s">
        <v>8872</v>
      </c>
      <c r="B2637" t="s">
        <v>2241</v>
      </c>
      <c r="C2637">
        <v>4</v>
      </c>
      <c r="D2637">
        <v>600000</v>
      </c>
      <c r="E2637">
        <v>6528000000</v>
      </c>
      <c r="F2637">
        <v>10570</v>
      </c>
      <c r="G2637">
        <v>10880</v>
      </c>
      <c r="H2637">
        <v>10880</v>
      </c>
      <c r="I2637">
        <v>310</v>
      </c>
      <c r="J2637">
        <v>2.93</v>
      </c>
      <c r="K2637">
        <v>10880</v>
      </c>
      <c r="L2637">
        <v>310</v>
      </c>
      <c r="M2637">
        <v>2.93</v>
      </c>
      <c r="N2637">
        <v>10880</v>
      </c>
      <c r="O2637">
        <v>10880</v>
      </c>
      <c r="P2637">
        <v>1608</v>
      </c>
      <c r="Q2637">
        <v>6.77</v>
      </c>
      <c r="R2637">
        <v>7</v>
      </c>
      <c r="S2637">
        <v>1401000</v>
      </c>
      <c r="T2637">
        <v>10880</v>
      </c>
      <c r="U2637">
        <v>0</v>
      </c>
      <c r="V2637">
        <v>0</v>
      </c>
      <c r="W2637">
        <v>0</v>
      </c>
      <c r="X2637" s="367"/>
    </row>
    <row r="2638" spans="1:24">
      <c r="A2638" t="s">
        <v>2846</v>
      </c>
      <c r="B2638" t="s">
        <v>2845</v>
      </c>
      <c r="C2638">
        <v>449</v>
      </c>
      <c r="D2638">
        <v>23395891</v>
      </c>
      <c r="E2638">
        <v>213370525920</v>
      </c>
      <c r="F2638">
        <v>8860</v>
      </c>
      <c r="G2638">
        <v>9120</v>
      </c>
      <c r="H2638">
        <v>9120</v>
      </c>
      <c r="I2638">
        <v>260</v>
      </c>
      <c r="J2638">
        <v>2.93</v>
      </c>
      <c r="K2638">
        <v>9120</v>
      </c>
      <c r="L2638">
        <v>260</v>
      </c>
      <c r="M2638">
        <v>2.93</v>
      </c>
      <c r="N2638">
        <v>9120</v>
      </c>
      <c r="O2638">
        <v>9120</v>
      </c>
      <c r="P2638">
        <v>694</v>
      </c>
      <c r="Q2638">
        <v>13.14</v>
      </c>
      <c r="R2638">
        <v>155</v>
      </c>
      <c r="S2638">
        <v>31831236</v>
      </c>
      <c r="T2638">
        <v>9120</v>
      </c>
      <c r="U2638">
        <v>9720</v>
      </c>
      <c r="V2638">
        <v>6019</v>
      </c>
      <c r="W2638">
        <v>2</v>
      </c>
      <c r="X2638" s="367"/>
    </row>
    <row r="2639" spans="1:24">
      <c r="A2639" t="s">
        <v>1810</v>
      </c>
      <c r="B2639" t="s">
        <v>1809</v>
      </c>
      <c r="C2639">
        <v>119</v>
      </c>
      <c r="D2639">
        <v>4051218</v>
      </c>
      <c r="E2639">
        <v>22443747720</v>
      </c>
      <c r="F2639">
        <v>5380</v>
      </c>
      <c r="G2639">
        <v>5540</v>
      </c>
      <c r="H2639">
        <v>5540</v>
      </c>
      <c r="I2639">
        <v>160</v>
      </c>
      <c r="J2639">
        <v>2.97</v>
      </c>
      <c r="K2639">
        <v>5540</v>
      </c>
      <c r="L2639">
        <v>160</v>
      </c>
      <c r="M2639">
        <v>2.97</v>
      </c>
      <c r="N2639">
        <v>5540</v>
      </c>
      <c r="O2639">
        <v>5540</v>
      </c>
      <c r="P2639">
        <v>466</v>
      </c>
      <c r="Q2639">
        <v>11.89</v>
      </c>
      <c r="R2639">
        <v>26</v>
      </c>
      <c r="S2639">
        <v>2433594</v>
      </c>
      <c r="T2639">
        <v>5540</v>
      </c>
      <c r="U2639">
        <v>0</v>
      </c>
      <c r="V2639">
        <v>0</v>
      </c>
      <c r="W2639">
        <v>0</v>
      </c>
      <c r="X2639" s="367"/>
    </row>
    <row r="2640" spans="1:24">
      <c r="A2640" t="s">
        <v>6195</v>
      </c>
      <c r="B2640" t="s">
        <v>6196</v>
      </c>
      <c r="C2640">
        <v>0</v>
      </c>
      <c r="D2640">
        <v>0</v>
      </c>
      <c r="E2640">
        <v>0</v>
      </c>
      <c r="F2640">
        <v>1050000</v>
      </c>
      <c r="G2640">
        <v>0</v>
      </c>
      <c r="H2640">
        <v>1050000</v>
      </c>
      <c r="I2640">
        <v>0</v>
      </c>
      <c r="J2640">
        <v>0</v>
      </c>
      <c r="K2640">
        <v>1050000</v>
      </c>
      <c r="L2640">
        <v>0</v>
      </c>
      <c r="M2640">
        <v>0</v>
      </c>
      <c r="N2640">
        <v>0</v>
      </c>
      <c r="O2640">
        <v>0</v>
      </c>
      <c r="P2640" t="s">
        <v>192</v>
      </c>
      <c r="Q2640" t="s">
        <v>192</v>
      </c>
      <c r="R2640">
        <v>1</v>
      </c>
      <c r="S2640">
        <v>5000</v>
      </c>
      <c r="T2640">
        <v>997500</v>
      </c>
      <c r="U2640">
        <v>0</v>
      </c>
      <c r="V2640">
        <v>0</v>
      </c>
      <c r="W2640">
        <v>0</v>
      </c>
      <c r="X2640" s="367"/>
    </row>
    <row r="2641" spans="1:24">
      <c r="A2641" t="s">
        <v>1865</v>
      </c>
      <c r="B2641" t="s">
        <v>1864</v>
      </c>
      <c r="C2641">
        <v>268</v>
      </c>
      <c r="D2641">
        <v>12217311</v>
      </c>
      <c r="E2641">
        <v>128149844680</v>
      </c>
      <c r="F2641">
        <v>10190</v>
      </c>
      <c r="G2641">
        <v>10490</v>
      </c>
      <c r="H2641">
        <v>10490</v>
      </c>
      <c r="I2641">
        <v>300</v>
      </c>
      <c r="J2641">
        <v>2.94</v>
      </c>
      <c r="K2641">
        <v>10490</v>
      </c>
      <c r="L2641">
        <v>300</v>
      </c>
      <c r="M2641">
        <v>2.94</v>
      </c>
      <c r="N2641">
        <v>10310</v>
      </c>
      <c r="O2641">
        <v>10490</v>
      </c>
      <c r="P2641">
        <v>1090</v>
      </c>
      <c r="Q2641">
        <v>9.6199999999999992</v>
      </c>
      <c r="R2641">
        <v>11</v>
      </c>
      <c r="S2641">
        <v>102786</v>
      </c>
      <c r="T2641">
        <v>10490</v>
      </c>
      <c r="U2641">
        <v>0</v>
      </c>
      <c r="V2641">
        <v>0</v>
      </c>
      <c r="W2641">
        <v>0</v>
      </c>
      <c r="X2641" s="367"/>
    </row>
    <row r="2642" spans="1:24">
      <c r="A2642" t="s">
        <v>7952</v>
      </c>
      <c r="B2642" t="s">
        <v>7953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1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0</v>
      </c>
      <c r="O2642">
        <v>0</v>
      </c>
      <c r="P2642" t="s">
        <v>192</v>
      </c>
      <c r="Q2642" t="s">
        <v>192</v>
      </c>
      <c r="R2642">
        <v>1</v>
      </c>
      <c r="S2642">
        <v>10</v>
      </c>
      <c r="T2642">
        <v>5010</v>
      </c>
      <c r="U2642">
        <v>0</v>
      </c>
      <c r="V2642">
        <v>0</v>
      </c>
      <c r="W2642">
        <v>0</v>
      </c>
      <c r="X2642" s="367"/>
    </row>
    <row r="2643" spans="1:24">
      <c r="A2643" t="s">
        <v>1762</v>
      </c>
      <c r="B2643" t="s">
        <v>146</v>
      </c>
      <c r="C2643">
        <v>2</v>
      </c>
      <c r="D2643">
        <v>1500</v>
      </c>
      <c r="E2643">
        <v>43500000</v>
      </c>
      <c r="F2643">
        <v>28170</v>
      </c>
      <c r="G2643">
        <v>29000</v>
      </c>
      <c r="H2643">
        <v>29000</v>
      </c>
      <c r="I2643">
        <v>830</v>
      </c>
      <c r="J2643">
        <v>2.95</v>
      </c>
      <c r="K2643">
        <v>29000</v>
      </c>
      <c r="L2643">
        <v>830</v>
      </c>
      <c r="M2643">
        <v>2.95</v>
      </c>
      <c r="N2643">
        <v>29000</v>
      </c>
      <c r="O2643">
        <v>29000</v>
      </c>
      <c r="P2643">
        <v>4878</v>
      </c>
      <c r="Q2643">
        <v>5.95</v>
      </c>
      <c r="R2643">
        <v>20</v>
      </c>
      <c r="S2643">
        <v>502314</v>
      </c>
      <c r="T2643">
        <v>29000</v>
      </c>
      <c r="U2643">
        <v>0</v>
      </c>
      <c r="V2643">
        <v>0</v>
      </c>
      <c r="W2643">
        <v>0</v>
      </c>
      <c r="X2643" s="367"/>
    </row>
    <row r="2644" spans="1:24">
      <c r="A2644" t="s">
        <v>6384</v>
      </c>
      <c r="B2644" t="s">
        <v>6385</v>
      </c>
      <c r="C2644">
        <v>0</v>
      </c>
      <c r="D2644">
        <v>0</v>
      </c>
      <c r="E2644">
        <v>0</v>
      </c>
      <c r="F2644">
        <v>995000</v>
      </c>
      <c r="G2644">
        <v>0</v>
      </c>
      <c r="H2644">
        <v>995000</v>
      </c>
      <c r="I2644">
        <v>0</v>
      </c>
      <c r="J2644">
        <v>0</v>
      </c>
      <c r="K2644">
        <v>995000</v>
      </c>
      <c r="L2644">
        <v>0</v>
      </c>
      <c r="M2644">
        <v>0</v>
      </c>
      <c r="N2644">
        <v>0</v>
      </c>
      <c r="O2644">
        <v>0</v>
      </c>
      <c r="P2644" t="s">
        <v>192</v>
      </c>
      <c r="Q2644" t="s">
        <v>192</v>
      </c>
      <c r="R2644">
        <v>1</v>
      </c>
      <c r="S2644">
        <v>10000</v>
      </c>
      <c r="T2644">
        <v>995000</v>
      </c>
      <c r="U2644">
        <v>1004950</v>
      </c>
      <c r="V2644">
        <v>5000</v>
      </c>
      <c r="W2644">
        <v>1</v>
      </c>
      <c r="X2644" s="367"/>
    </row>
    <row r="2645" spans="1:24">
      <c r="A2645" t="s">
        <v>6386</v>
      </c>
      <c r="B2645" t="s">
        <v>6387</v>
      </c>
      <c r="C2645">
        <v>0</v>
      </c>
      <c r="D2645">
        <v>0</v>
      </c>
      <c r="E2645">
        <v>0</v>
      </c>
      <c r="F2645">
        <v>1000000</v>
      </c>
      <c r="G2645">
        <v>0</v>
      </c>
      <c r="H2645">
        <v>1000000</v>
      </c>
      <c r="I2645">
        <v>0</v>
      </c>
      <c r="J2645">
        <v>0</v>
      </c>
      <c r="K2645">
        <v>1000000</v>
      </c>
      <c r="L2645">
        <v>0</v>
      </c>
      <c r="M2645">
        <v>0</v>
      </c>
      <c r="N2645">
        <v>0</v>
      </c>
      <c r="O2645">
        <v>0</v>
      </c>
      <c r="P2645" t="s">
        <v>192</v>
      </c>
      <c r="Q2645" t="s">
        <v>192</v>
      </c>
      <c r="R2645">
        <v>1</v>
      </c>
      <c r="S2645">
        <v>7500</v>
      </c>
      <c r="T2645">
        <v>1000000</v>
      </c>
      <c r="U2645">
        <v>0</v>
      </c>
      <c r="V2645">
        <v>0</v>
      </c>
      <c r="W2645">
        <v>0</v>
      </c>
      <c r="X2645" s="367"/>
    </row>
    <row r="2646" spans="1:24">
      <c r="A2646" t="s">
        <v>6388</v>
      </c>
      <c r="B2646" t="s">
        <v>6389</v>
      </c>
      <c r="C2646">
        <v>0</v>
      </c>
      <c r="D2646">
        <v>0</v>
      </c>
      <c r="E2646">
        <v>0</v>
      </c>
      <c r="F2646">
        <v>1005000</v>
      </c>
      <c r="G2646">
        <v>0</v>
      </c>
      <c r="H2646">
        <v>1000000</v>
      </c>
      <c r="I2646">
        <v>-5000</v>
      </c>
      <c r="J2646">
        <v>-0.5</v>
      </c>
      <c r="K2646">
        <v>1005000</v>
      </c>
      <c r="L2646">
        <v>0</v>
      </c>
      <c r="M2646">
        <v>0</v>
      </c>
      <c r="N2646">
        <v>0</v>
      </c>
      <c r="O2646">
        <v>0</v>
      </c>
      <c r="P2646" t="s">
        <v>192</v>
      </c>
      <c r="Q2646" t="s">
        <v>192</v>
      </c>
      <c r="R2646">
        <v>1</v>
      </c>
      <c r="S2646">
        <v>2995</v>
      </c>
      <c r="T2646">
        <v>1000000</v>
      </c>
      <c r="U2646">
        <v>1010000</v>
      </c>
      <c r="V2646">
        <v>2995</v>
      </c>
      <c r="W2646">
        <v>1</v>
      </c>
      <c r="X2646" s="367"/>
    </row>
    <row r="2647" spans="1:24">
      <c r="A2647" t="s">
        <v>8145</v>
      </c>
      <c r="B2647" t="s">
        <v>8146</v>
      </c>
      <c r="C2647">
        <v>13</v>
      </c>
      <c r="D2647">
        <v>350969</v>
      </c>
      <c r="E2647">
        <v>2670874090</v>
      </c>
      <c r="F2647">
        <v>7390</v>
      </c>
      <c r="G2647">
        <v>7610</v>
      </c>
      <c r="H2647">
        <v>7610</v>
      </c>
      <c r="I2647">
        <v>220</v>
      </c>
      <c r="J2647">
        <v>2.98</v>
      </c>
      <c r="K2647">
        <v>7610</v>
      </c>
      <c r="L2647">
        <v>220</v>
      </c>
      <c r="M2647">
        <v>2.98</v>
      </c>
      <c r="N2647">
        <v>7610</v>
      </c>
      <c r="O2647">
        <v>7610</v>
      </c>
      <c r="P2647">
        <v>1112</v>
      </c>
      <c r="Q2647">
        <v>6.84</v>
      </c>
      <c r="R2647">
        <v>16</v>
      </c>
      <c r="S2647">
        <v>1389960</v>
      </c>
      <c r="T2647">
        <v>7610</v>
      </c>
      <c r="U2647">
        <v>0</v>
      </c>
      <c r="V2647">
        <v>0</v>
      </c>
      <c r="W2647">
        <v>0</v>
      </c>
      <c r="X2647" s="367"/>
    </row>
    <row r="2648" spans="1:24">
      <c r="A2648" t="s">
        <v>6390</v>
      </c>
      <c r="B2648" t="s">
        <v>6391</v>
      </c>
      <c r="C2648">
        <v>4</v>
      </c>
      <c r="D2648">
        <v>1100</v>
      </c>
      <c r="E2648">
        <v>1100000</v>
      </c>
      <c r="F2648">
        <v>19</v>
      </c>
      <c r="G2648">
        <v>1</v>
      </c>
      <c r="H2648">
        <v>1</v>
      </c>
      <c r="I2648">
        <v>-18</v>
      </c>
      <c r="J2648">
        <v>-94.74</v>
      </c>
      <c r="K2648">
        <v>1</v>
      </c>
      <c r="L2648">
        <v>-18</v>
      </c>
      <c r="M2648">
        <v>-94.74</v>
      </c>
      <c r="N2648">
        <v>1</v>
      </c>
      <c r="O2648">
        <v>1</v>
      </c>
      <c r="P2648" t="s">
        <v>192</v>
      </c>
      <c r="Q2648" t="s">
        <v>192</v>
      </c>
      <c r="R2648">
        <v>0</v>
      </c>
      <c r="S2648">
        <v>0</v>
      </c>
      <c r="T2648">
        <v>0</v>
      </c>
      <c r="U2648">
        <v>2</v>
      </c>
      <c r="V2648">
        <v>100</v>
      </c>
      <c r="W2648">
        <v>1</v>
      </c>
      <c r="X2648" s="367"/>
    </row>
    <row r="2649" spans="1:24">
      <c r="A2649" t="s">
        <v>199</v>
      </c>
      <c r="B2649" t="s">
        <v>198</v>
      </c>
      <c r="C2649">
        <v>4649</v>
      </c>
      <c r="D2649">
        <v>5943054544</v>
      </c>
      <c r="E2649">
        <v>3928359053584</v>
      </c>
      <c r="F2649">
        <v>642</v>
      </c>
      <c r="G2649">
        <v>661</v>
      </c>
      <c r="H2649">
        <v>661</v>
      </c>
      <c r="I2649">
        <v>19</v>
      </c>
      <c r="J2649">
        <v>2.96</v>
      </c>
      <c r="K2649">
        <v>661</v>
      </c>
      <c r="L2649">
        <v>19</v>
      </c>
      <c r="M2649">
        <v>2.96</v>
      </c>
      <c r="N2649">
        <v>661</v>
      </c>
      <c r="O2649">
        <v>661</v>
      </c>
      <c r="P2649">
        <v>105</v>
      </c>
      <c r="Q2649">
        <v>6.3</v>
      </c>
      <c r="R2649">
        <v>8048</v>
      </c>
      <c r="S2649">
        <v>19207962458</v>
      </c>
      <c r="T2649">
        <v>661</v>
      </c>
      <c r="U2649">
        <v>699</v>
      </c>
      <c r="V2649">
        <v>14993</v>
      </c>
      <c r="W2649">
        <v>1</v>
      </c>
      <c r="X2649" s="367"/>
    </row>
    <row r="2650" spans="1:24">
      <c r="A2650" t="s">
        <v>7846</v>
      </c>
      <c r="B2650" t="s">
        <v>7847</v>
      </c>
      <c r="C2650">
        <v>82</v>
      </c>
      <c r="D2650">
        <v>1067</v>
      </c>
      <c r="E2650">
        <v>4494495000</v>
      </c>
      <c r="F2650">
        <v>2553</v>
      </c>
      <c r="G2650">
        <v>6500</v>
      </c>
      <c r="H2650">
        <v>3900</v>
      </c>
      <c r="I2650">
        <v>1347</v>
      </c>
      <c r="J2650">
        <v>52.76</v>
      </c>
      <c r="K2650">
        <v>4212</v>
      </c>
      <c r="L2650">
        <v>1659</v>
      </c>
      <c r="M2650">
        <v>64.98</v>
      </c>
      <c r="N2650">
        <v>3011</v>
      </c>
      <c r="O2650">
        <v>6500</v>
      </c>
      <c r="P2650" t="s">
        <v>192</v>
      </c>
      <c r="Q2650" t="s">
        <v>192</v>
      </c>
      <c r="R2650">
        <v>1</v>
      </c>
      <c r="S2650">
        <v>20</v>
      </c>
      <c r="T2650">
        <v>3800</v>
      </c>
      <c r="U2650">
        <v>4530</v>
      </c>
      <c r="V2650">
        <v>5</v>
      </c>
      <c r="W2650">
        <v>1</v>
      </c>
      <c r="X2650" s="367"/>
    </row>
    <row r="2651" spans="1:24">
      <c r="A2651" t="s">
        <v>6392</v>
      </c>
      <c r="B2651" t="s">
        <v>8350</v>
      </c>
      <c r="C2651">
        <v>75</v>
      </c>
      <c r="D2651">
        <v>2966</v>
      </c>
      <c r="E2651">
        <v>6539361525</v>
      </c>
      <c r="F2651">
        <v>1139</v>
      </c>
      <c r="G2651">
        <v>1400</v>
      </c>
      <c r="H2651">
        <v>1600</v>
      </c>
      <c r="I2651">
        <v>461</v>
      </c>
      <c r="J2651">
        <v>40.47</v>
      </c>
      <c r="K2651">
        <v>1608</v>
      </c>
      <c r="L2651">
        <v>469</v>
      </c>
      <c r="M2651">
        <v>41.18</v>
      </c>
      <c r="N2651">
        <v>1400</v>
      </c>
      <c r="O2651">
        <v>1999</v>
      </c>
      <c r="P2651" t="s">
        <v>192</v>
      </c>
      <c r="Q2651" t="s">
        <v>192</v>
      </c>
      <c r="R2651">
        <v>1</v>
      </c>
      <c r="S2651">
        <v>1</v>
      </c>
      <c r="T2651">
        <v>1554</v>
      </c>
      <c r="U2651">
        <v>1640</v>
      </c>
      <c r="V2651">
        <v>120</v>
      </c>
      <c r="W2651">
        <v>1</v>
      </c>
      <c r="X2651" s="367"/>
    </row>
    <row r="2652" spans="1:24">
      <c r="A2652" t="s">
        <v>2873</v>
      </c>
      <c r="B2652" t="s">
        <v>154</v>
      </c>
      <c r="C2652">
        <v>7</v>
      </c>
      <c r="D2652">
        <v>3863</v>
      </c>
      <c r="E2652">
        <v>209335970</v>
      </c>
      <c r="F2652">
        <v>52620</v>
      </c>
      <c r="G2652">
        <v>54190</v>
      </c>
      <c r="H2652">
        <v>54190</v>
      </c>
      <c r="I2652">
        <v>1570</v>
      </c>
      <c r="J2652">
        <v>2.98</v>
      </c>
      <c r="K2652">
        <v>54190</v>
      </c>
      <c r="L2652">
        <v>1570</v>
      </c>
      <c r="M2652">
        <v>2.98</v>
      </c>
      <c r="N2652">
        <v>54190</v>
      </c>
      <c r="O2652">
        <v>54190</v>
      </c>
      <c r="P2652">
        <v>5991</v>
      </c>
      <c r="Q2652">
        <v>9.0500000000000007</v>
      </c>
      <c r="R2652">
        <v>286</v>
      </c>
      <c r="S2652">
        <v>6283023</v>
      </c>
      <c r="T2652">
        <v>54190</v>
      </c>
      <c r="U2652">
        <v>0</v>
      </c>
      <c r="V2652">
        <v>0</v>
      </c>
      <c r="W2652">
        <v>0</v>
      </c>
      <c r="X2652" s="367"/>
    </row>
    <row r="2653" spans="1:24">
      <c r="A2653" t="s">
        <v>6394</v>
      </c>
      <c r="B2653" t="s">
        <v>5739</v>
      </c>
      <c r="C2653">
        <v>2</v>
      </c>
      <c r="D2653">
        <v>5660766</v>
      </c>
      <c r="E2653">
        <v>254953588866</v>
      </c>
      <c r="F2653">
        <v>44932</v>
      </c>
      <c r="G2653">
        <v>45040</v>
      </c>
      <c r="H2653">
        <v>45034</v>
      </c>
      <c r="I2653">
        <v>102</v>
      </c>
      <c r="J2653">
        <v>0.23</v>
      </c>
      <c r="K2653">
        <v>45039</v>
      </c>
      <c r="L2653">
        <v>107</v>
      </c>
      <c r="M2653">
        <v>0.24</v>
      </c>
      <c r="N2653">
        <v>45034</v>
      </c>
      <c r="O2653">
        <v>45040</v>
      </c>
      <c r="P2653" t="s">
        <v>192</v>
      </c>
      <c r="Q2653" t="s">
        <v>192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 s="367"/>
    </row>
    <row r="2654" spans="1:24">
      <c r="A2654" t="s">
        <v>3049</v>
      </c>
      <c r="B2654" t="s">
        <v>3048</v>
      </c>
      <c r="C2654">
        <v>566</v>
      </c>
      <c r="D2654">
        <v>15544437</v>
      </c>
      <c r="E2654">
        <v>46042368367</v>
      </c>
      <c r="F2654">
        <v>2878</v>
      </c>
      <c r="G2654">
        <v>2960</v>
      </c>
      <c r="H2654">
        <v>2964</v>
      </c>
      <c r="I2654">
        <v>86</v>
      </c>
      <c r="J2654">
        <v>2.99</v>
      </c>
      <c r="K2654">
        <v>2962</v>
      </c>
      <c r="L2654">
        <v>84</v>
      </c>
      <c r="M2654">
        <v>2.92</v>
      </c>
      <c r="N2654">
        <v>2855</v>
      </c>
      <c r="O2654">
        <v>2964</v>
      </c>
      <c r="P2654">
        <v>671</v>
      </c>
      <c r="Q2654">
        <v>4.41</v>
      </c>
      <c r="R2654">
        <v>16</v>
      </c>
      <c r="S2654">
        <v>1107506</v>
      </c>
      <c r="T2654">
        <v>2964</v>
      </c>
      <c r="U2654">
        <v>3017</v>
      </c>
      <c r="V2654">
        <v>2000</v>
      </c>
      <c r="W2654">
        <v>1</v>
      </c>
      <c r="X2654" s="367"/>
    </row>
    <row r="2655" spans="1:24">
      <c r="A2655" t="s">
        <v>6395</v>
      </c>
      <c r="B2655" t="s">
        <v>6396</v>
      </c>
      <c r="C2655">
        <v>9716</v>
      </c>
      <c r="D2655">
        <v>4090652</v>
      </c>
      <c r="E2655">
        <v>390389114000</v>
      </c>
      <c r="F2655">
        <v>76</v>
      </c>
      <c r="G2655">
        <v>95</v>
      </c>
      <c r="H2655">
        <v>96</v>
      </c>
      <c r="I2655">
        <v>20</v>
      </c>
      <c r="J2655">
        <v>26.32</v>
      </c>
      <c r="K2655">
        <v>95</v>
      </c>
      <c r="L2655">
        <v>19</v>
      </c>
      <c r="M2655">
        <v>25</v>
      </c>
      <c r="N2655">
        <v>93</v>
      </c>
      <c r="O2655">
        <v>98</v>
      </c>
      <c r="P2655" t="s">
        <v>192</v>
      </c>
      <c r="Q2655" t="s">
        <v>192</v>
      </c>
      <c r="R2655">
        <v>15</v>
      </c>
      <c r="S2655">
        <v>14170</v>
      </c>
      <c r="T2655">
        <v>95</v>
      </c>
      <c r="U2655">
        <v>96</v>
      </c>
      <c r="V2655">
        <v>9783</v>
      </c>
      <c r="W2655">
        <v>15</v>
      </c>
      <c r="X2655" s="367"/>
    </row>
    <row r="2656" spans="1:24">
      <c r="A2656" t="s">
        <v>8500</v>
      </c>
      <c r="B2656" t="s">
        <v>8501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 t="s">
        <v>192</v>
      </c>
      <c r="Q2656" t="s">
        <v>192</v>
      </c>
      <c r="R2656">
        <v>1</v>
      </c>
      <c r="S2656">
        <v>99</v>
      </c>
      <c r="T2656">
        <v>19</v>
      </c>
      <c r="U2656">
        <v>0</v>
      </c>
      <c r="V2656">
        <v>0</v>
      </c>
      <c r="W2656">
        <v>0</v>
      </c>
      <c r="X2656" s="367"/>
    </row>
    <row r="2657" spans="1:24">
      <c r="A2657" t="s">
        <v>2861</v>
      </c>
      <c r="B2657" t="s">
        <v>2860</v>
      </c>
      <c r="C2657">
        <v>588</v>
      </c>
      <c r="D2657">
        <v>5982819</v>
      </c>
      <c r="E2657">
        <v>38574493940</v>
      </c>
      <c r="F2657">
        <v>6300</v>
      </c>
      <c r="G2657">
        <v>6480</v>
      </c>
      <c r="H2657">
        <v>6420</v>
      </c>
      <c r="I2657">
        <v>120</v>
      </c>
      <c r="J2657">
        <v>1.9</v>
      </c>
      <c r="K2657">
        <v>6450</v>
      </c>
      <c r="L2657">
        <v>150</v>
      </c>
      <c r="M2657">
        <v>2.38</v>
      </c>
      <c r="N2657">
        <v>6340</v>
      </c>
      <c r="O2657">
        <v>6480</v>
      </c>
      <c r="P2657">
        <v>351</v>
      </c>
      <c r="Q2657">
        <v>18.38</v>
      </c>
      <c r="R2657">
        <v>1</v>
      </c>
      <c r="S2657">
        <v>781</v>
      </c>
      <c r="T2657">
        <v>6410</v>
      </c>
      <c r="U2657">
        <v>6460</v>
      </c>
      <c r="V2657">
        <v>1970</v>
      </c>
      <c r="W2657">
        <v>1</v>
      </c>
      <c r="X2657" s="367"/>
    </row>
    <row r="2658" spans="1:24">
      <c r="A2658" t="s">
        <v>6397</v>
      </c>
      <c r="B2658" t="s">
        <v>6398</v>
      </c>
      <c r="C2658">
        <v>2427</v>
      </c>
      <c r="D2658">
        <v>130042</v>
      </c>
      <c r="E2658">
        <v>621266125000</v>
      </c>
      <c r="F2658">
        <v>3510</v>
      </c>
      <c r="G2658">
        <v>4951</v>
      </c>
      <c r="H2658">
        <v>4788</v>
      </c>
      <c r="I2658">
        <v>1278</v>
      </c>
      <c r="J2658">
        <v>36.409999999999997</v>
      </c>
      <c r="K2658">
        <v>4777</v>
      </c>
      <c r="L2658">
        <v>1267</v>
      </c>
      <c r="M2658">
        <v>36.1</v>
      </c>
      <c r="N2658">
        <v>4030</v>
      </c>
      <c r="O2658">
        <v>4990</v>
      </c>
      <c r="P2658" t="s">
        <v>192</v>
      </c>
      <c r="Q2658" t="s">
        <v>192</v>
      </c>
      <c r="R2658">
        <v>1</v>
      </c>
      <c r="S2658">
        <v>39</v>
      </c>
      <c r="T2658">
        <v>4790</v>
      </c>
      <c r="U2658">
        <v>4797</v>
      </c>
      <c r="V2658">
        <v>40</v>
      </c>
      <c r="W2658">
        <v>1</v>
      </c>
      <c r="X2658" s="367"/>
    </row>
    <row r="2659" spans="1:24">
      <c r="A2659" t="s">
        <v>6399</v>
      </c>
      <c r="B2659" t="s">
        <v>6400</v>
      </c>
      <c r="C2659">
        <v>0</v>
      </c>
      <c r="D2659">
        <v>0</v>
      </c>
      <c r="E2659">
        <v>0</v>
      </c>
      <c r="F2659">
        <v>839500</v>
      </c>
      <c r="G2659">
        <v>0</v>
      </c>
      <c r="H2659">
        <v>839500</v>
      </c>
      <c r="I2659">
        <v>0</v>
      </c>
      <c r="J2659">
        <v>0</v>
      </c>
      <c r="K2659">
        <v>839500</v>
      </c>
      <c r="L2659">
        <v>0</v>
      </c>
      <c r="M2659">
        <v>0</v>
      </c>
      <c r="N2659">
        <v>0</v>
      </c>
      <c r="O2659">
        <v>0</v>
      </c>
      <c r="P2659" t="s">
        <v>192</v>
      </c>
      <c r="Q2659" t="s">
        <v>192</v>
      </c>
      <c r="R2659">
        <v>1</v>
      </c>
      <c r="S2659">
        <v>3750</v>
      </c>
      <c r="T2659">
        <v>839500</v>
      </c>
      <c r="U2659">
        <v>0</v>
      </c>
      <c r="V2659">
        <v>0</v>
      </c>
      <c r="W2659">
        <v>0</v>
      </c>
      <c r="X2659" s="367"/>
    </row>
    <row r="2660" spans="1:24">
      <c r="A2660" t="s">
        <v>8873</v>
      </c>
      <c r="B2660" t="s">
        <v>2345</v>
      </c>
      <c r="C2660">
        <v>19</v>
      </c>
      <c r="D2660">
        <v>114326</v>
      </c>
      <c r="E2660">
        <v>4827986980</v>
      </c>
      <c r="F2660">
        <v>41000</v>
      </c>
      <c r="G2660">
        <v>42230</v>
      </c>
      <c r="H2660">
        <v>42230</v>
      </c>
      <c r="I2660">
        <v>1230</v>
      </c>
      <c r="J2660">
        <v>3</v>
      </c>
      <c r="K2660">
        <v>42230</v>
      </c>
      <c r="L2660">
        <v>1230</v>
      </c>
      <c r="M2660">
        <v>3</v>
      </c>
      <c r="N2660">
        <v>42230</v>
      </c>
      <c r="O2660">
        <v>42230</v>
      </c>
      <c r="P2660">
        <v>9661</v>
      </c>
      <c r="Q2660">
        <v>4.37</v>
      </c>
      <c r="R2660">
        <v>507</v>
      </c>
      <c r="S2660">
        <v>14726341</v>
      </c>
      <c r="T2660">
        <v>42230</v>
      </c>
      <c r="U2660">
        <v>0</v>
      </c>
      <c r="V2660">
        <v>0</v>
      </c>
      <c r="W2660">
        <v>0</v>
      </c>
      <c r="X2660" s="367"/>
    </row>
    <row r="2661" spans="1:24">
      <c r="A2661" t="s">
        <v>6401</v>
      </c>
      <c r="B2661" t="s">
        <v>6402</v>
      </c>
      <c r="C2661">
        <v>0</v>
      </c>
      <c r="D2661">
        <v>0</v>
      </c>
      <c r="E2661">
        <v>0</v>
      </c>
      <c r="F2661">
        <v>809951</v>
      </c>
      <c r="G2661">
        <v>0</v>
      </c>
      <c r="H2661">
        <v>809951</v>
      </c>
      <c r="I2661">
        <v>0</v>
      </c>
      <c r="J2661">
        <v>0</v>
      </c>
      <c r="K2661">
        <v>809951</v>
      </c>
      <c r="L2661">
        <v>0</v>
      </c>
      <c r="M2661">
        <v>0</v>
      </c>
      <c r="N2661">
        <v>0</v>
      </c>
      <c r="O2661">
        <v>0</v>
      </c>
      <c r="P2661" t="s">
        <v>192</v>
      </c>
      <c r="Q2661" t="s">
        <v>192</v>
      </c>
      <c r="R2661">
        <v>1</v>
      </c>
      <c r="S2661">
        <v>15000</v>
      </c>
      <c r="T2661">
        <v>809950</v>
      </c>
      <c r="U2661">
        <v>817950</v>
      </c>
      <c r="V2661">
        <v>15000</v>
      </c>
      <c r="W2661">
        <v>1</v>
      </c>
      <c r="X2661" s="367"/>
    </row>
    <row r="2662" spans="1:24">
      <c r="A2662" t="s">
        <v>6403</v>
      </c>
      <c r="B2662" t="s">
        <v>6404</v>
      </c>
      <c r="C2662">
        <v>1393</v>
      </c>
      <c r="D2662">
        <v>725570</v>
      </c>
      <c r="E2662">
        <v>7370622000</v>
      </c>
      <c r="F2662">
        <v>6</v>
      </c>
      <c r="G2662">
        <v>7</v>
      </c>
      <c r="H2662">
        <v>11</v>
      </c>
      <c r="I2662">
        <v>5</v>
      </c>
      <c r="J2662">
        <v>83.33</v>
      </c>
      <c r="K2662">
        <v>10</v>
      </c>
      <c r="L2662">
        <v>4</v>
      </c>
      <c r="M2662">
        <v>66.67</v>
      </c>
      <c r="N2662">
        <v>7</v>
      </c>
      <c r="O2662">
        <v>12</v>
      </c>
      <c r="P2662" t="s">
        <v>192</v>
      </c>
      <c r="Q2662" t="s">
        <v>192</v>
      </c>
      <c r="R2662">
        <v>1</v>
      </c>
      <c r="S2662">
        <v>1000</v>
      </c>
      <c r="T2662">
        <v>10</v>
      </c>
      <c r="U2662">
        <v>11</v>
      </c>
      <c r="V2662">
        <v>29130</v>
      </c>
      <c r="W2662">
        <v>32</v>
      </c>
      <c r="X2662" s="367"/>
    </row>
    <row r="2663" spans="1:24">
      <c r="A2663" t="s">
        <v>7371</v>
      </c>
      <c r="B2663" t="s">
        <v>7883</v>
      </c>
      <c r="C2663">
        <v>42</v>
      </c>
      <c r="D2663">
        <v>1488</v>
      </c>
      <c r="E2663">
        <v>6638304000</v>
      </c>
      <c r="F2663">
        <v>4048</v>
      </c>
      <c r="G2663">
        <v>4750</v>
      </c>
      <c r="H2663">
        <v>4418</v>
      </c>
      <c r="I2663">
        <v>370</v>
      </c>
      <c r="J2663">
        <v>9.14</v>
      </c>
      <c r="K2663">
        <v>4461</v>
      </c>
      <c r="L2663">
        <v>413</v>
      </c>
      <c r="M2663">
        <v>10.199999999999999</v>
      </c>
      <c r="N2663">
        <v>4245</v>
      </c>
      <c r="O2663">
        <v>4835</v>
      </c>
      <c r="P2663" t="s">
        <v>192</v>
      </c>
      <c r="Q2663" t="s">
        <v>192</v>
      </c>
      <c r="R2663">
        <v>1</v>
      </c>
      <c r="S2663">
        <v>5</v>
      </c>
      <c r="T2663">
        <v>4418</v>
      </c>
      <c r="U2663">
        <v>4499</v>
      </c>
      <c r="V2663">
        <v>22</v>
      </c>
      <c r="W2663">
        <v>1</v>
      </c>
      <c r="X2663" s="367"/>
    </row>
    <row r="2664" spans="1:24">
      <c r="A2664" t="s">
        <v>81</v>
      </c>
      <c r="B2664" t="s">
        <v>80</v>
      </c>
      <c r="C2664">
        <v>932</v>
      </c>
      <c r="D2664">
        <v>3045668</v>
      </c>
      <c r="E2664">
        <v>149798913280</v>
      </c>
      <c r="F2664">
        <v>47760</v>
      </c>
      <c r="G2664">
        <v>49190</v>
      </c>
      <c r="H2664">
        <v>49190</v>
      </c>
      <c r="I2664">
        <v>1430</v>
      </c>
      <c r="J2664">
        <v>2.99</v>
      </c>
      <c r="K2664">
        <v>49180</v>
      </c>
      <c r="L2664">
        <v>1420</v>
      </c>
      <c r="M2664">
        <v>2.97</v>
      </c>
      <c r="N2664">
        <v>48380</v>
      </c>
      <c r="O2664">
        <v>49190</v>
      </c>
      <c r="P2664">
        <v>8801</v>
      </c>
      <c r="Q2664">
        <v>5.59</v>
      </c>
      <c r="R2664">
        <v>59</v>
      </c>
      <c r="S2664">
        <v>387898</v>
      </c>
      <c r="T2664">
        <v>49190</v>
      </c>
      <c r="U2664">
        <v>50480</v>
      </c>
      <c r="V2664">
        <v>100</v>
      </c>
      <c r="W2664">
        <v>1</v>
      </c>
      <c r="X2664" s="367"/>
    </row>
    <row r="2665" spans="1:24">
      <c r="A2665" t="s">
        <v>6405</v>
      </c>
      <c r="B2665" t="s">
        <v>6406</v>
      </c>
      <c r="C2665">
        <v>0</v>
      </c>
      <c r="D2665">
        <v>0</v>
      </c>
      <c r="E2665">
        <v>0</v>
      </c>
      <c r="F2665">
        <v>1000000</v>
      </c>
      <c r="G2665">
        <v>0</v>
      </c>
      <c r="H2665">
        <v>1000000</v>
      </c>
      <c r="I2665">
        <v>0</v>
      </c>
      <c r="J2665">
        <v>0</v>
      </c>
      <c r="K2665">
        <v>1000000</v>
      </c>
      <c r="L2665">
        <v>0</v>
      </c>
      <c r="M2665">
        <v>0</v>
      </c>
      <c r="N2665">
        <v>0</v>
      </c>
      <c r="O2665">
        <v>0</v>
      </c>
      <c r="P2665" t="s">
        <v>192</v>
      </c>
      <c r="Q2665" t="s">
        <v>192</v>
      </c>
      <c r="R2665">
        <v>1</v>
      </c>
      <c r="S2665">
        <v>7500</v>
      </c>
      <c r="T2665">
        <v>955000</v>
      </c>
      <c r="U2665">
        <v>0</v>
      </c>
      <c r="V2665">
        <v>0</v>
      </c>
      <c r="W2665">
        <v>0</v>
      </c>
      <c r="X2665" s="367"/>
    </row>
    <row r="2666" spans="1:24">
      <c r="A2666" t="s">
        <v>6407</v>
      </c>
      <c r="B2666" t="s">
        <v>6408</v>
      </c>
      <c r="C2666">
        <v>431</v>
      </c>
      <c r="D2666">
        <v>7506724</v>
      </c>
      <c r="E2666">
        <v>736109342168</v>
      </c>
      <c r="F2666">
        <v>95204</v>
      </c>
      <c r="G2666">
        <v>98060</v>
      </c>
      <c r="H2666">
        <v>98060</v>
      </c>
      <c r="I2666">
        <v>2856</v>
      </c>
      <c r="J2666">
        <v>3</v>
      </c>
      <c r="K2666">
        <v>98060</v>
      </c>
      <c r="L2666">
        <v>2856</v>
      </c>
      <c r="M2666">
        <v>3</v>
      </c>
      <c r="N2666">
        <v>98059</v>
      </c>
      <c r="O2666">
        <v>98060</v>
      </c>
      <c r="P2666" t="s">
        <v>192</v>
      </c>
      <c r="Q2666" t="s">
        <v>192</v>
      </c>
      <c r="R2666">
        <v>1</v>
      </c>
      <c r="S2666">
        <v>12</v>
      </c>
      <c r="T2666">
        <v>98059</v>
      </c>
      <c r="U2666">
        <v>0</v>
      </c>
      <c r="V2666">
        <v>0</v>
      </c>
      <c r="W2666">
        <v>0</v>
      </c>
      <c r="X2666" s="367"/>
    </row>
    <row r="2667" spans="1:24">
      <c r="A2667" t="s">
        <v>7467</v>
      </c>
      <c r="B2667" t="s">
        <v>7468</v>
      </c>
      <c r="C2667">
        <v>0</v>
      </c>
      <c r="D2667">
        <v>0</v>
      </c>
      <c r="E2667">
        <v>0</v>
      </c>
      <c r="F2667">
        <v>10</v>
      </c>
      <c r="G2667">
        <v>0</v>
      </c>
      <c r="H2667">
        <v>10</v>
      </c>
      <c r="I2667">
        <v>0</v>
      </c>
      <c r="J2667">
        <v>0</v>
      </c>
      <c r="K2667">
        <v>10</v>
      </c>
      <c r="L2667">
        <v>0</v>
      </c>
      <c r="M2667">
        <v>0</v>
      </c>
      <c r="N2667">
        <v>0</v>
      </c>
      <c r="O2667">
        <v>0</v>
      </c>
      <c r="P2667" t="s">
        <v>192</v>
      </c>
      <c r="Q2667" t="s">
        <v>192</v>
      </c>
      <c r="R2667">
        <v>1</v>
      </c>
      <c r="S2667">
        <v>100</v>
      </c>
      <c r="T2667">
        <v>1</v>
      </c>
      <c r="U2667">
        <v>29</v>
      </c>
      <c r="V2667">
        <v>100</v>
      </c>
      <c r="W2667">
        <v>1</v>
      </c>
      <c r="X2667" s="367"/>
    </row>
    <row r="2668" spans="1:24">
      <c r="A2668" t="s">
        <v>6409</v>
      </c>
      <c r="B2668" t="s">
        <v>8261</v>
      </c>
      <c r="C2668">
        <v>1326</v>
      </c>
      <c r="D2668">
        <v>517781</v>
      </c>
      <c r="E2668">
        <v>36988114000</v>
      </c>
      <c r="F2668">
        <v>47</v>
      </c>
      <c r="G2668">
        <v>70</v>
      </c>
      <c r="H2668">
        <v>78</v>
      </c>
      <c r="I2668">
        <v>31</v>
      </c>
      <c r="J2668">
        <v>65.959999999999994</v>
      </c>
      <c r="K2668">
        <v>71</v>
      </c>
      <c r="L2668">
        <v>24</v>
      </c>
      <c r="M2668">
        <v>51.06</v>
      </c>
      <c r="N2668">
        <v>62</v>
      </c>
      <c r="O2668">
        <v>79</v>
      </c>
      <c r="P2668" t="s">
        <v>192</v>
      </c>
      <c r="Q2668" t="s">
        <v>192</v>
      </c>
      <c r="R2668">
        <v>2</v>
      </c>
      <c r="S2668">
        <v>1796</v>
      </c>
      <c r="T2668">
        <v>74</v>
      </c>
      <c r="U2668">
        <v>78</v>
      </c>
      <c r="V2668">
        <v>11622</v>
      </c>
      <c r="W2668">
        <v>13</v>
      </c>
      <c r="X2668" s="367"/>
    </row>
    <row r="2669" spans="1:24">
      <c r="A2669" t="s">
        <v>8874</v>
      </c>
      <c r="B2669" t="s">
        <v>2943</v>
      </c>
      <c r="C2669">
        <v>1</v>
      </c>
      <c r="D2669">
        <v>10000</v>
      </c>
      <c r="E2669">
        <v>99400000</v>
      </c>
      <c r="F2669">
        <v>9660</v>
      </c>
      <c r="G2669">
        <v>9940</v>
      </c>
      <c r="H2669">
        <v>9940</v>
      </c>
      <c r="I2669">
        <v>280</v>
      </c>
      <c r="J2669">
        <v>2.9</v>
      </c>
      <c r="K2669">
        <v>9940</v>
      </c>
      <c r="L2669">
        <v>280</v>
      </c>
      <c r="M2669">
        <v>2.9</v>
      </c>
      <c r="N2669">
        <v>9940</v>
      </c>
      <c r="O2669">
        <v>9940</v>
      </c>
      <c r="P2669">
        <v>813</v>
      </c>
      <c r="Q2669">
        <v>12.23</v>
      </c>
      <c r="R2669">
        <v>130</v>
      </c>
      <c r="S2669">
        <v>34736061</v>
      </c>
      <c r="T2669">
        <v>9940</v>
      </c>
      <c r="U2669">
        <v>0</v>
      </c>
      <c r="V2669">
        <v>0</v>
      </c>
      <c r="W2669">
        <v>0</v>
      </c>
      <c r="X2669" s="367"/>
    </row>
    <row r="2670" spans="1:24">
      <c r="A2670" t="s">
        <v>2910</v>
      </c>
      <c r="B2670" t="s">
        <v>2909</v>
      </c>
      <c r="C2670">
        <v>373</v>
      </c>
      <c r="D2670">
        <v>27566942</v>
      </c>
      <c r="E2670">
        <v>197930643560</v>
      </c>
      <c r="F2670">
        <v>6980</v>
      </c>
      <c r="G2670">
        <v>7180</v>
      </c>
      <c r="H2670">
        <v>7180</v>
      </c>
      <c r="I2670">
        <v>200</v>
      </c>
      <c r="J2670">
        <v>2.87</v>
      </c>
      <c r="K2670">
        <v>7180</v>
      </c>
      <c r="L2670">
        <v>200</v>
      </c>
      <c r="M2670">
        <v>2.87</v>
      </c>
      <c r="N2670">
        <v>7180</v>
      </c>
      <c r="O2670">
        <v>7180</v>
      </c>
      <c r="P2670">
        <v>598</v>
      </c>
      <c r="Q2670">
        <v>12.01</v>
      </c>
      <c r="R2670">
        <v>5</v>
      </c>
      <c r="S2670">
        <v>553756</v>
      </c>
      <c r="T2670">
        <v>7180</v>
      </c>
      <c r="U2670">
        <v>0</v>
      </c>
      <c r="V2670">
        <v>0</v>
      </c>
      <c r="W2670">
        <v>0</v>
      </c>
      <c r="X2670" s="367"/>
    </row>
    <row r="2671" spans="1:24">
      <c r="A2671" t="s">
        <v>2946</v>
      </c>
      <c r="B2671" t="s">
        <v>2945</v>
      </c>
      <c r="C2671">
        <v>755</v>
      </c>
      <c r="D2671">
        <v>13719652</v>
      </c>
      <c r="E2671">
        <v>20171814239</v>
      </c>
      <c r="F2671">
        <v>1431</v>
      </c>
      <c r="G2671">
        <v>1431</v>
      </c>
      <c r="H2671">
        <v>1473</v>
      </c>
      <c r="I2671">
        <v>42</v>
      </c>
      <c r="J2671">
        <v>2.94</v>
      </c>
      <c r="K2671">
        <v>1470</v>
      </c>
      <c r="L2671">
        <v>39</v>
      </c>
      <c r="M2671">
        <v>2.73</v>
      </c>
      <c r="N2671">
        <v>1431</v>
      </c>
      <c r="O2671">
        <v>1473</v>
      </c>
      <c r="P2671">
        <v>235</v>
      </c>
      <c r="Q2671">
        <v>6.26</v>
      </c>
      <c r="R2671">
        <v>2</v>
      </c>
      <c r="S2671">
        <v>274399</v>
      </c>
      <c r="T2671">
        <v>1473</v>
      </c>
      <c r="U2671">
        <v>0</v>
      </c>
      <c r="V2671">
        <v>0</v>
      </c>
      <c r="W2671">
        <v>0</v>
      </c>
      <c r="X2671" s="367"/>
    </row>
    <row r="2672" spans="1:24">
      <c r="A2672" t="s">
        <v>6411</v>
      </c>
      <c r="B2672" t="s">
        <v>6092</v>
      </c>
      <c r="C2672">
        <v>11</v>
      </c>
      <c r="D2672">
        <v>55054</v>
      </c>
      <c r="E2672">
        <v>20306243430</v>
      </c>
      <c r="F2672">
        <v>358216</v>
      </c>
      <c r="G2672">
        <v>368200</v>
      </c>
      <c r="H2672">
        <v>368962</v>
      </c>
      <c r="I2672">
        <v>10746</v>
      </c>
      <c r="J2672">
        <v>3</v>
      </c>
      <c r="K2672">
        <v>368842</v>
      </c>
      <c r="L2672">
        <v>10626</v>
      </c>
      <c r="M2672">
        <v>2.97</v>
      </c>
      <c r="N2672">
        <v>364322</v>
      </c>
      <c r="O2672">
        <v>368962</v>
      </c>
      <c r="P2672" t="s">
        <v>192</v>
      </c>
      <c r="Q2672" t="s">
        <v>192</v>
      </c>
      <c r="R2672">
        <v>6</v>
      </c>
      <c r="S2672">
        <v>105294</v>
      </c>
      <c r="T2672">
        <v>368962</v>
      </c>
      <c r="U2672">
        <v>0</v>
      </c>
      <c r="V2672">
        <v>0</v>
      </c>
      <c r="W2672">
        <v>0</v>
      </c>
      <c r="X2672" s="367"/>
    </row>
    <row r="2673" spans="1:24">
      <c r="A2673" t="s">
        <v>6412</v>
      </c>
      <c r="B2673" t="s">
        <v>6413</v>
      </c>
      <c r="C2673">
        <v>0</v>
      </c>
      <c r="D2673">
        <v>0</v>
      </c>
      <c r="E2673">
        <v>0</v>
      </c>
      <c r="F2673">
        <v>1000000</v>
      </c>
      <c r="G2673">
        <v>0</v>
      </c>
      <c r="H2673">
        <v>1000000</v>
      </c>
      <c r="I2673">
        <v>0</v>
      </c>
      <c r="J2673">
        <v>0</v>
      </c>
      <c r="K2673">
        <v>1000000</v>
      </c>
      <c r="L2673">
        <v>0</v>
      </c>
      <c r="M2673">
        <v>0</v>
      </c>
      <c r="N2673">
        <v>0</v>
      </c>
      <c r="O2673">
        <v>0</v>
      </c>
      <c r="P2673" t="s">
        <v>192</v>
      </c>
      <c r="Q2673" t="s">
        <v>192</v>
      </c>
      <c r="R2673">
        <v>1</v>
      </c>
      <c r="S2673">
        <v>5000</v>
      </c>
      <c r="T2673">
        <v>995000</v>
      </c>
      <c r="U2673">
        <v>1004950</v>
      </c>
      <c r="V2673">
        <v>5000</v>
      </c>
      <c r="W2673">
        <v>1</v>
      </c>
      <c r="X2673" s="367"/>
    </row>
    <row r="2674" spans="1:24">
      <c r="A2674" t="s">
        <v>6414</v>
      </c>
      <c r="B2674" t="s">
        <v>6415</v>
      </c>
      <c r="C2674">
        <v>0</v>
      </c>
      <c r="D2674">
        <v>0</v>
      </c>
      <c r="E2674">
        <v>0</v>
      </c>
      <c r="F2674">
        <v>1000000</v>
      </c>
      <c r="G2674">
        <v>0</v>
      </c>
      <c r="H2674">
        <v>1000000</v>
      </c>
      <c r="I2674">
        <v>0</v>
      </c>
      <c r="J2674">
        <v>0</v>
      </c>
      <c r="K2674">
        <v>1000000</v>
      </c>
      <c r="L2674">
        <v>0</v>
      </c>
      <c r="M2674">
        <v>0</v>
      </c>
      <c r="N2674">
        <v>0</v>
      </c>
      <c r="O2674">
        <v>0</v>
      </c>
      <c r="P2674" t="s">
        <v>192</v>
      </c>
      <c r="Q2674" t="s">
        <v>192</v>
      </c>
      <c r="R2674">
        <v>1</v>
      </c>
      <c r="S2674">
        <v>5000</v>
      </c>
      <c r="T2674">
        <v>950000</v>
      </c>
      <c r="U2674">
        <v>0</v>
      </c>
      <c r="V2674">
        <v>0</v>
      </c>
      <c r="W2674">
        <v>0</v>
      </c>
      <c r="X2674" s="367"/>
    </row>
    <row r="2675" spans="1:24">
      <c r="A2675" t="s">
        <v>6416</v>
      </c>
      <c r="B2675" t="s">
        <v>3357</v>
      </c>
      <c r="C2675">
        <v>1084</v>
      </c>
      <c r="D2675">
        <v>6575712</v>
      </c>
      <c r="E2675">
        <v>223997757290</v>
      </c>
      <c r="F2675">
        <v>35776</v>
      </c>
      <c r="G2675">
        <v>35573</v>
      </c>
      <c r="H2675">
        <v>35409</v>
      </c>
      <c r="I2675">
        <v>-367</v>
      </c>
      <c r="J2675">
        <v>-1.03</v>
      </c>
      <c r="K2675">
        <v>34064</v>
      </c>
      <c r="L2675">
        <v>-1712</v>
      </c>
      <c r="M2675">
        <v>-4.79</v>
      </c>
      <c r="N2675">
        <v>32199</v>
      </c>
      <c r="O2675">
        <v>35650</v>
      </c>
      <c r="P2675" t="s">
        <v>192</v>
      </c>
      <c r="Q2675" t="s">
        <v>192</v>
      </c>
      <c r="R2675">
        <v>1</v>
      </c>
      <c r="S2675">
        <v>30</v>
      </c>
      <c r="T2675">
        <v>35391</v>
      </c>
      <c r="U2675">
        <v>35410</v>
      </c>
      <c r="V2675">
        <v>14297</v>
      </c>
      <c r="W2675">
        <v>3</v>
      </c>
      <c r="X2675" s="367"/>
    </row>
    <row r="2676" spans="1:24">
      <c r="A2676" t="s">
        <v>6417</v>
      </c>
      <c r="B2676" t="s">
        <v>6418</v>
      </c>
      <c r="C2676">
        <v>0</v>
      </c>
      <c r="D2676">
        <v>0</v>
      </c>
      <c r="E2676">
        <v>0</v>
      </c>
      <c r="F2676">
        <v>858750</v>
      </c>
      <c r="G2676">
        <v>0</v>
      </c>
      <c r="H2676">
        <v>858750</v>
      </c>
      <c r="I2676">
        <v>0</v>
      </c>
      <c r="J2676">
        <v>0</v>
      </c>
      <c r="K2676">
        <v>858750</v>
      </c>
      <c r="L2676">
        <v>0</v>
      </c>
      <c r="M2676">
        <v>0</v>
      </c>
      <c r="N2676">
        <v>0</v>
      </c>
      <c r="O2676">
        <v>0</v>
      </c>
      <c r="P2676" t="s">
        <v>192</v>
      </c>
      <c r="Q2676" t="s">
        <v>192</v>
      </c>
      <c r="R2676">
        <v>1</v>
      </c>
      <c r="S2676">
        <v>5000</v>
      </c>
      <c r="T2676">
        <v>858750</v>
      </c>
      <c r="U2676">
        <v>0</v>
      </c>
      <c r="V2676">
        <v>0</v>
      </c>
      <c r="W2676">
        <v>0</v>
      </c>
      <c r="X2676" s="367"/>
    </row>
    <row r="2677" spans="1:24">
      <c r="A2677" t="s">
        <v>139</v>
      </c>
      <c r="B2677" t="s">
        <v>138</v>
      </c>
      <c r="C2677">
        <v>640</v>
      </c>
      <c r="D2677">
        <v>60399289</v>
      </c>
      <c r="E2677">
        <v>664996171890</v>
      </c>
      <c r="F2677">
        <v>10690</v>
      </c>
      <c r="G2677">
        <v>11010</v>
      </c>
      <c r="H2677">
        <v>11010</v>
      </c>
      <c r="I2677">
        <v>320</v>
      </c>
      <c r="J2677">
        <v>2.99</v>
      </c>
      <c r="K2677">
        <v>11010</v>
      </c>
      <c r="L2677">
        <v>320</v>
      </c>
      <c r="M2677">
        <v>2.99</v>
      </c>
      <c r="N2677">
        <v>11010</v>
      </c>
      <c r="O2677">
        <v>11010</v>
      </c>
      <c r="P2677">
        <v>2884</v>
      </c>
      <c r="Q2677">
        <v>3.82</v>
      </c>
      <c r="R2677">
        <v>212</v>
      </c>
      <c r="S2677">
        <v>25885200</v>
      </c>
      <c r="T2677">
        <v>11010</v>
      </c>
      <c r="U2677">
        <v>0</v>
      </c>
      <c r="V2677">
        <v>0</v>
      </c>
      <c r="W2677">
        <v>0</v>
      </c>
      <c r="X2677" s="367"/>
    </row>
    <row r="2678" spans="1:24">
      <c r="A2678" t="s">
        <v>6419</v>
      </c>
      <c r="B2678" t="s">
        <v>6420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 t="s">
        <v>192</v>
      </c>
      <c r="Q2678" t="s">
        <v>192</v>
      </c>
      <c r="R2678">
        <v>1</v>
      </c>
      <c r="S2678">
        <v>44</v>
      </c>
      <c r="T2678">
        <v>44</v>
      </c>
      <c r="U2678">
        <v>0</v>
      </c>
      <c r="V2678">
        <v>0</v>
      </c>
      <c r="W2678">
        <v>0</v>
      </c>
      <c r="X2678" s="367"/>
    </row>
    <row r="2679" spans="1:24">
      <c r="A2679" t="s">
        <v>2226</v>
      </c>
      <c r="B2679" t="s">
        <v>2225</v>
      </c>
      <c r="C2679">
        <v>297</v>
      </c>
      <c r="D2679">
        <v>2657773</v>
      </c>
      <c r="E2679">
        <v>37368288380</v>
      </c>
      <c r="F2679">
        <v>13660</v>
      </c>
      <c r="G2679">
        <v>14060</v>
      </c>
      <c r="H2679">
        <v>14060</v>
      </c>
      <c r="I2679">
        <v>400</v>
      </c>
      <c r="J2679">
        <v>2.93</v>
      </c>
      <c r="K2679">
        <v>14060</v>
      </c>
      <c r="L2679">
        <v>400</v>
      </c>
      <c r="M2679">
        <v>2.93</v>
      </c>
      <c r="N2679">
        <v>14060</v>
      </c>
      <c r="O2679">
        <v>14060</v>
      </c>
      <c r="P2679">
        <v>2957</v>
      </c>
      <c r="Q2679">
        <v>4.75</v>
      </c>
      <c r="R2679">
        <v>50</v>
      </c>
      <c r="S2679">
        <v>1932651</v>
      </c>
      <c r="T2679">
        <v>14060</v>
      </c>
      <c r="U2679">
        <v>0</v>
      </c>
      <c r="V2679">
        <v>0</v>
      </c>
      <c r="W2679">
        <v>0</v>
      </c>
      <c r="X2679" s="367"/>
    </row>
    <row r="2680" spans="1:24">
      <c r="A2680" t="s">
        <v>2220</v>
      </c>
      <c r="B2680" t="s">
        <v>2219</v>
      </c>
      <c r="C2680">
        <v>79</v>
      </c>
      <c r="D2680">
        <v>1743825</v>
      </c>
      <c r="E2680">
        <v>17194114500</v>
      </c>
      <c r="F2680">
        <v>9580</v>
      </c>
      <c r="G2680">
        <v>9860</v>
      </c>
      <c r="H2680">
        <v>9860</v>
      </c>
      <c r="I2680">
        <v>280</v>
      </c>
      <c r="J2680">
        <v>2.92</v>
      </c>
      <c r="K2680">
        <v>9860</v>
      </c>
      <c r="L2680">
        <v>280</v>
      </c>
      <c r="M2680">
        <v>2.92</v>
      </c>
      <c r="N2680">
        <v>9860</v>
      </c>
      <c r="O2680">
        <v>9860</v>
      </c>
      <c r="P2680">
        <v>1530</v>
      </c>
      <c r="Q2680">
        <v>6.44</v>
      </c>
      <c r="R2680">
        <v>141</v>
      </c>
      <c r="S2680">
        <v>19558900</v>
      </c>
      <c r="T2680">
        <v>9860</v>
      </c>
      <c r="U2680">
        <v>0</v>
      </c>
      <c r="V2680">
        <v>0</v>
      </c>
      <c r="W2680">
        <v>0</v>
      </c>
      <c r="X2680" s="367"/>
    </row>
    <row r="2681" spans="1:24">
      <c r="A2681" t="s">
        <v>1867</v>
      </c>
      <c r="B2681" t="s">
        <v>1866</v>
      </c>
      <c r="C2681">
        <v>832</v>
      </c>
      <c r="D2681">
        <v>94263618</v>
      </c>
      <c r="E2681">
        <v>197859334182</v>
      </c>
      <c r="F2681">
        <v>2038</v>
      </c>
      <c r="G2681">
        <v>2099</v>
      </c>
      <c r="H2681">
        <v>2099</v>
      </c>
      <c r="I2681">
        <v>61</v>
      </c>
      <c r="J2681">
        <v>2.99</v>
      </c>
      <c r="K2681">
        <v>2099</v>
      </c>
      <c r="L2681">
        <v>61</v>
      </c>
      <c r="M2681">
        <v>2.99</v>
      </c>
      <c r="N2681">
        <v>2099</v>
      </c>
      <c r="O2681">
        <v>2099</v>
      </c>
      <c r="P2681">
        <v>710</v>
      </c>
      <c r="Q2681">
        <v>2.96</v>
      </c>
      <c r="R2681">
        <v>303</v>
      </c>
      <c r="S2681">
        <v>23794906</v>
      </c>
      <c r="T2681">
        <v>2099</v>
      </c>
      <c r="U2681">
        <v>2360</v>
      </c>
      <c r="V2681">
        <v>5632</v>
      </c>
      <c r="W2681">
        <v>1</v>
      </c>
      <c r="X2681" s="367"/>
    </row>
    <row r="2682" spans="1:24">
      <c r="A2682" t="s">
        <v>6422</v>
      </c>
      <c r="B2682" t="s">
        <v>6423</v>
      </c>
      <c r="C2682">
        <v>0</v>
      </c>
      <c r="D2682">
        <v>0</v>
      </c>
      <c r="E2682">
        <v>0</v>
      </c>
      <c r="F2682">
        <v>1000000</v>
      </c>
      <c r="G2682">
        <v>0</v>
      </c>
      <c r="H2682">
        <v>1000000</v>
      </c>
      <c r="I2682">
        <v>0</v>
      </c>
      <c r="J2682">
        <v>0</v>
      </c>
      <c r="K2682">
        <v>1000000</v>
      </c>
      <c r="L2682">
        <v>0</v>
      </c>
      <c r="M2682">
        <v>0</v>
      </c>
      <c r="N2682">
        <v>0</v>
      </c>
      <c r="O2682">
        <v>0</v>
      </c>
      <c r="P2682" t="s">
        <v>192</v>
      </c>
      <c r="Q2682" t="s">
        <v>192</v>
      </c>
      <c r="R2682">
        <v>1</v>
      </c>
      <c r="S2682">
        <v>5000</v>
      </c>
      <c r="T2682">
        <v>995000</v>
      </c>
      <c r="U2682">
        <v>1004900</v>
      </c>
      <c r="V2682">
        <v>5000</v>
      </c>
      <c r="W2682">
        <v>1</v>
      </c>
      <c r="X2682" s="367"/>
    </row>
    <row r="2683" spans="1:24">
      <c r="A2683" t="s">
        <v>8042</v>
      </c>
      <c r="B2683" t="s">
        <v>8043</v>
      </c>
      <c r="C2683">
        <v>1</v>
      </c>
      <c r="D2683">
        <v>1</v>
      </c>
      <c r="E2683">
        <v>16000</v>
      </c>
      <c r="F2683">
        <v>16</v>
      </c>
      <c r="G2683">
        <v>16</v>
      </c>
      <c r="H2683">
        <v>16</v>
      </c>
      <c r="I2683">
        <v>0</v>
      </c>
      <c r="J2683">
        <v>0</v>
      </c>
      <c r="K2683">
        <v>16</v>
      </c>
      <c r="L2683">
        <v>0</v>
      </c>
      <c r="M2683">
        <v>0</v>
      </c>
      <c r="N2683">
        <v>16</v>
      </c>
      <c r="O2683">
        <v>16</v>
      </c>
      <c r="P2683" t="s">
        <v>192</v>
      </c>
      <c r="Q2683" t="s">
        <v>192</v>
      </c>
      <c r="R2683">
        <v>1</v>
      </c>
      <c r="S2683">
        <v>999</v>
      </c>
      <c r="T2683">
        <v>3</v>
      </c>
      <c r="U2683">
        <v>16</v>
      </c>
      <c r="V2683">
        <v>59</v>
      </c>
      <c r="W2683">
        <v>1</v>
      </c>
      <c r="X2683" s="367"/>
    </row>
    <row r="2684" spans="1:24">
      <c r="A2684" t="s">
        <v>8044</v>
      </c>
      <c r="B2684" t="s">
        <v>8045</v>
      </c>
      <c r="C2684">
        <v>17</v>
      </c>
      <c r="D2684">
        <v>3648</v>
      </c>
      <c r="E2684">
        <v>18240000</v>
      </c>
      <c r="F2684">
        <v>5</v>
      </c>
      <c r="G2684">
        <v>5</v>
      </c>
      <c r="H2684">
        <v>5</v>
      </c>
      <c r="I2684">
        <v>0</v>
      </c>
      <c r="J2684">
        <v>0</v>
      </c>
      <c r="K2684">
        <v>5</v>
      </c>
      <c r="L2684">
        <v>0</v>
      </c>
      <c r="M2684">
        <v>0</v>
      </c>
      <c r="N2684">
        <v>5</v>
      </c>
      <c r="O2684">
        <v>5</v>
      </c>
      <c r="P2684" t="s">
        <v>192</v>
      </c>
      <c r="Q2684" t="s">
        <v>192</v>
      </c>
      <c r="R2684">
        <v>2</v>
      </c>
      <c r="S2684">
        <v>1500</v>
      </c>
      <c r="T2684">
        <v>4</v>
      </c>
      <c r="U2684">
        <v>5</v>
      </c>
      <c r="V2684">
        <v>902</v>
      </c>
      <c r="W2684">
        <v>1</v>
      </c>
      <c r="X2684" s="367"/>
    </row>
    <row r="2685" spans="1:24">
      <c r="A2685" t="s">
        <v>6424</v>
      </c>
      <c r="B2685" t="s">
        <v>6425</v>
      </c>
      <c r="C2685">
        <v>0</v>
      </c>
      <c r="D2685">
        <v>0</v>
      </c>
      <c r="E2685">
        <v>0</v>
      </c>
      <c r="F2685">
        <v>953920</v>
      </c>
      <c r="G2685">
        <v>0</v>
      </c>
      <c r="H2685">
        <v>953920</v>
      </c>
      <c r="I2685">
        <v>0</v>
      </c>
      <c r="J2685">
        <v>0</v>
      </c>
      <c r="K2685">
        <v>953920</v>
      </c>
      <c r="L2685">
        <v>0</v>
      </c>
      <c r="M2685">
        <v>0</v>
      </c>
      <c r="N2685">
        <v>0</v>
      </c>
      <c r="O2685">
        <v>0</v>
      </c>
      <c r="P2685" t="s">
        <v>192</v>
      </c>
      <c r="Q2685" t="s">
        <v>192</v>
      </c>
      <c r="R2685">
        <v>1</v>
      </c>
      <c r="S2685">
        <v>5000</v>
      </c>
      <c r="T2685">
        <v>973000</v>
      </c>
      <c r="U2685">
        <v>982530</v>
      </c>
      <c r="V2685">
        <v>5000</v>
      </c>
      <c r="W2685">
        <v>1</v>
      </c>
      <c r="X2685" s="367"/>
    </row>
    <row r="2686" spans="1:24">
      <c r="A2686" t="s">
        <v>2572</v>
      </c>
      <c r="B2686" t="s">
        <v>2571</v>
      </c>
      <c r="C2686">
        <v>129</v>
      </c>
      <c r="D2686">
        <v>1657744</v>
      </c>
      <c r="E2686">
        <v>18183469080</v>
      </c>
      <c r="F2686">
        <v>10660</v>
      </c>
      <c r="G2686">
        <v>10950</v>
      </c>
      <c r="H2686">
        <v>10970</v>
      </c>
      <c r="I2686">
        <v>310</v>
      </c>
      <c r="J2686">
        <v>2.91</v>
      </c>
      <c r="K2686">
        <v>10970</v>
      </c>
      <c r="L2686">
        <v>310</v>
      </c>
      <c r="M2686">
        <v>2.91</v>
      </c>
      <c r="N2686">
        <v>10940</v>
      </c>
      <c r="O2686">
        <v>10970</v>
      </c>
      <c r="P2686">
        <v>-302</v>
      </c>
      <c r="Q2686">
        <v>-36.32</v>
      </c>
      <c r="R2686">
        <v>11</v>
      </c>
      <c r="S2686">
        <v>643714</v>
      </c>
      <c r="T2686">
        <v>10970</v>
      </c>
      <c r="U2686">
        <v>0</v>
      </c>
      <c r="V2686">
        <v>0</v>
      </c>
      <c r="W2686">
        <v>0</v>
      </c>
      <c r="X2686" s="367"/>
    </row>
    <row r="2687" spans="1:24">
      <c r="A2687" t="s">
        <v>6426</v>
      </c>
      <c r="B2687" t="s">
        <v>6427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1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 t="s">
        <v>192</v>
      </c>
      <c r="Q2687" t="s">
        <v>192</v>
      </c>
      <c r="R2687">
        <v>1</v>
      </c>
      <c r="S2687">
        <v>111</v>
      </c>
      <c r="T2687">
        <v>11</v>
      </c>
      <c r="U2687">
        <v>0</v>
      </c>
      <c r="V2687">
        <v>0</v>
      </c>
      <c r="W2687">
        <v>0</v>
      </c>
      <c r="X2687" s="367"/>
    </row>
    <row r="2688" spans="1:24">
      <c r="A2688" t="s">
        <v>6428</v>
      </c>
      <c r="B2688" t="s">
        <v>6429</v>
      </c>
      <c r="C2688">
        <v>505</v>
      </c>
      <c r="D2688">
        <v>12507900</v>
      </c>
      <c r="E2688">
        <v>357868198901</v>
      </c>
      <c r="F2688">
        <v>27782</v>
      </c>
      <c r="G2688">
        <v>28580</v>
      </c>
      <c r="H2688">
        <v>28615</v>
      </c>
      <c r="I2688">
        <v>833</v>
      </c>
      <c r="J2688">
        <v>3</v>
      </c>
      <c r="K2688">
        <v>28611</v>
      </c>
      <c r="L2688">
        <v>829</v>
      </c>
      <c r="M2688">
        <v>2.98</v>
      </c>
      <c r="N2688">
        <v>28502</v>
      </c>
      <c r="O2688">
        <v>28615</v>
      </c>
      <c r="P2688" t="s">
        <v>192</v>
      </c>
      <c r="Q2688" t="s">
        <v>192</v>
      </c>
      <c r="R2688">
        <v>1</v>
      </c>
      <c r="S2688">
        <v>34</v>
      </c>
      <c r="T2688">
        <v>28615</v>
      </c>
      <c r="U2688">
        <v>0</v>
      </c>
      <c r="V2688">
        <v>0</v>
      </c>
      <c r="W2688">
        <v>0</v>
      </c>
      <c r="X2688" s="367"/>
    </row>
    <row r="2689" spans="1:24">
      <c r="A2689" t="s">
        <v>6430</v>
      </c>
      <c r="B2689" t="s">
        <v>6431</v>
      </c>
      <c r="C2689">
        <v>1246</v>
      </c>
      <c r="D2689">
        <v>49286462</v>
      </c>
      <c r="E2689">
        <v>2063239742904</v>
      </c>
      <c r="F2689">
        <v>40855</v>
      </c>
      <c r="G2689">
        <v>42080</v>
      </c>
      <c r="H2689">
        <v>42080</v>
      </c>
      <c r="I2689">
        <v>1225</v>
      </c>
      <c r="J2689">
        <v>3</v>
      </c>
      <c r="K2689">
        <v>41862</v>
      </c>
      <c r="L2689">
        <v>1007</v>
      </c>
      <c r="M2689">
        <v>2.46</v>
      </c>
      <c r="N2689">
        <v>41700</v>
      </c>
      <c r="O2689">
        <v>42080</v>
      </c>
      <c r="P2689" t="s">
        <v>192</v>
      </c>
      <c r="Q2689" t="s">
        <v>192</v>
      </c>
      <c r="R2689">
        <v>2</v>
      </c>
      <c r="S2689">
        <v>22000</v>
      </c>
      <c r="T2689">
        <v>42080</v>
      </c>
      <c r="U2689">
        <v>0</v>
      </c>
      <c r="V2689">
        <v>0</v>
      </c>
      <c r="W2689">
        <v>0</v>
      </c>
      <c r="X2689" s="367"/>
    </row>
    <row r="2690" spans="1:24">
      <c r="A2690" t="s">
        <v>6432</v>
      </c>
      <c r="B2690" t="s">
        <v>6433</v>
      </c>
      <c r="C2690">
        <v>1</v>
      </c>
      <c r="D2690">
        <v>66</v>
      </c>
      <c r="E2690">
        <v>2244000</v>
      </c>
      <c r="F2690">
        <v>114</v>
      </c>
      <c r="G2690">
        <v>34</v>
      </c>
      <c r="H2690">
        <v>34</v>
      </c>
      <c r="I2690">
        <v>-80</v>
      </c>
      <c r="J2690">
        <v>-70.180000000000007</v>
      </c>
      <c r="K2690">
        <v>34</v>
      </c>
      <c r="L2690">
        <v>-80</v>
      </c>
      <c r="M2690">
        <v>-70.180000000000007</v>
      </c>
      <c r="N2690">
        <v>34</v>
      </c>
      <c r="O2690">
        <v>34</v>
      </c>
      <c r="P2690" t="s">
        <v>192</v>
      </c>
      <c r="Q2690" t="s">
        <v>192</v>
      </c>
      <c r="R2690">
        <v>1</v>
      </c>
      <c r="S2690">
        <v>10</v>
      </c>
      <c r="T2690">
        <v>63</v>
      </c>
      <c r="U2690">
        <v>99</v>
      </c>
      <c r="V2690">
        <v>500</v>
      </c>
      <c r="W2690">
        <v>1</v>
      </c>
      <c r="X2690" s="367"/>
    </row>
    <row r="2691" spans="1:24">
      <c r="A2691" t="s">
        <v>7920</v>
      </c>
      <c r="B2691" t="s">
        <v>7921</v>
      </c>
      <c r="C2691">
        <v>0</v>
      </c>
      <c r="D2691">
        <v>0</v>
      </c>
      <c r="E2691">
        <v>0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 t="s">
        <v>192</v>
      </c>
      <c r="Q2691" t="s">
        <v>192</v>
      </c>
      <c r="R2691">
        <v>1</v>
      </c>
      <c r="S2691">
        <v>44</v>
      </c>
      <c r="T2691">
        <v>44</v>
      </c>
      <c r="U2691">
        <v>0</v>
      </c>
      <c r="V2691">
        <v>0</v>
      </c>
      <c r="W2691">
        <v>0</v>
      </c>
      <c r="X2691" s="367"/>
    </row>
    <row r="2692" spans="1:24">
      <c r="A2692" t="s">
        <v>7682</v>
      </c>
      <c r="B2692" t="s">
        <v>152</v>
      </c>
      <c r="C2692">
        <v>1</v>
      </c>
      <c r="D2692">
        <v>30</v>
      </c>
      <c r="E2692">
        <v>240600</v>
      </c>
      <c r="F2692">
        <v>7820</v>
      </c>
      <c r="G2692">
        <v>8020</v>
      </c>
      <c r="H2692">
        <v>8020</v>
      </c>
      <c r="I2692">
        <v>200</v>
      </c>
      <c r="J2692">
        <v>2.56</v>
      </c>
      <c r="K2692">
        <v>8020</v>
      </c>
      <c r="L2692">
        <v>200</v>
      </c>
      <c r="M2692">
        <v>2.56</v>
      </c>
      <c r="N2692">
        <v>8020</v>
      </c>
      <c r="O2692">
        <v>8020</v>
      </c>
      <c r="P2692">
        <v>1099</v>
      </c>
      <c r="Q2692">
        <v>7.3</v>
      </c>
      <c r="R2692">
        <v>9</v>
      </c>
      <c r="S2692">
        <v>125739</v>
      </c>
      <c r="T2692">
        <v>8020</v>
      </c>
      <c r="U2692">
        <v>0</v>
      </c>
      <c r="V2692">
        <v>0</v>
      </c>
      <c r="W2692">
        <v>0</v>
      </c>
      <c r="X2692" s="367"/>
    </row>
    <row r="2693" spans="1:24">
      <c r="A2693" t="s">
        <v>2260</v>
      </c>
      <c r="B2693" t="s">
        <v>2259</v>
      </c>
      <c r="C2693">
        <v>139</v>
      </c>
      <c r="D2693">
        <v>8031975</v>
      </c>
      <c r="E2693">
        <v>76785681000</v>
      </c>
      <c r="F2693">
        <v>9290</v>
      </c>
      <c r="G2693">
        <v>9560</v>
      </c>
      <c r="H2693">
        <v>9560</v>
      </c>
      <c r="I2693">
        <v>270</v>
      </c>
      <c r="J2693">
        <v>2.91</v>
      </c>
      <c r="K2693">
        <v>9560</v>
      </c>
      <c r="L2693">
        <v>270</v>
      </c>
      <c r="M2693">
        <v>2.91</v>
      </c>
      <c r="N2693">
        <v>9560</v>
      </c>
      <c r="O2693">
        <v>9560</v>
      </c>
      <c r="P2693">
        <v>1396</v>
      </c>
      <c r="Q2693">
        <v>6.85</v>
      </c>
      <c r="R2693">
        <v>46</v>
      </c>
      <c r="S2693">
        <v>4180640</v>
      </c>
      <c r="T2693">
        <v>9560</v>
      </c>
      <c r="U2693">
        <v>0</v>
      </c>
      <c r="V2693">
        <v>0</v>
      </c>
      <c r="W2693">
        <v>0</v>
      </c>
      <c r="X2693" s="367"/>
    </row>
    <row r="2694" spans="1:24">
      <c r="A2694" t="s">
        <v>8680</v>
      </c>
      <c r="B2694" t="s">
        <v>4026</v>
      </c>
      <c r="C2694">
        <v>3</v>
      </c>
      <c r="D2694">
        <v>27951292</v>
      </c>
      <c r="E2694">
        <v>3756094618960</v>
      </c>
      <c r="F2694">
        <v>134192</v>
      </c>
      <c r="G2694">
        <v>134380</v>
      </c>
      <c r="H2694">
        <v>134380</v>
      </c>
      <c r="I2694">
        <v>188</v>
      </c>
      <c r="J2694">
        <v>0.14000000000000001</v>
      </c>
      <c r="K2694">
        <v>134380</v>
      </c>
      <c r="L2694">
        <v>188</v>
      </c>
      <c r="M2694">
        <v>0.14000000000000001</v>
      </c>
      <c r="N2694">
        <v>134380</v>
      </c>
      <c r="O2694">
        <v>134380</v>
      </c>
      <c r="P2694" t="s">
        <v>192</v>
      </c>
      <c r="Q2694" t="s">
        <v>192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 s="367"/>
    </row>
    <row r="2695" spans="1:24">
      <c r="A2695" t="s">
        <v>2634</v>
      </c>
      <c r="B2695" t="s">
        <v>2633</v>
      </c>
      <c r="C2695">
        <v>66</v>
      </c>
      <c r="D2695">
        <v>1106572</v>
      </c>
      <c r="E2695">
        <v>14850196240</v>
      </c>
      <c r="F2695">
        <v>13030</v>
      </c>
      <c r="G2695">
        <v>13420</v>
      </c>
      <c r="H2695">
        <v>13420</v>
      </c>
      <c r="I2695">
        <v>390</v>
      </c>
      <c r="J2695">
        <v>2.99</v>
      </c>
      <c r="K2695">
        <v>13420</v>
      </c>
      <c r="L2695">
        <v>390</v>
      </c>
      <c r="M2695">
        <v>2.99</v>
      </c>
      <c r="N2695">
        <v>13420</v>
      </c>
      <c r="O2695">
        <v>13420</v>
      </c>
      <c r="P2695">
        <v>1524</v>
      </c>
      <c r="Q2695">
        <v>8.81</v>
      </c>
      <c r="R2695">
        <v>91</v>
      </c>
      <c r="S2695">
        <v>4291580</v>
      </c>
      <c r="T2695">
        <v>13420</v>
      </c>
      <c r="U2695">
        <v>0</v>
      </c>
      <c r="V2695">
        <v>0</v>
      </c>
      <c r="W2695">
        <v>0</v>
      </c>
      <c r="X2695" s="367"/>
    </row>
    <row r="2696" spans="1:24">
      <c r="A2696" t="s">
        <v>6225</v>
      </c>
      <c r="B2696" t="s">
        <v>6226</v>
      </c>
      <c r="C2696">
        <v>2089</v>
      </c>
      <c r="D2696">
        <v>14671549</v>
      </c>
      <c r="E2696">
        <v>473610555208</v>
      </c>
      <c r="F2696">
        <v>31427</v>
      </c>
      <c r="G2696">
        <v>32000</v>
      </c>
      <c r="H2696">
        <v>32369</v>
      </c>
      <c r="I2696">
        <v>942</v>
      </c>
      <c r="J2696">
        <v>3</v>
      </c>
      <c r="K2696">
        <v>32281</v>
      </c>
      <c r="L2696">
        <v>854</v>
      </c>
      <c r="M2696">
        <v>2.72</v>
      </c>
      <c r="N2696">
        <v>31909</v>
      </c>
      <c r="O2696">
        <v>32369</v>
      </c>
      <c r="P2696" t="s">
        <v>192</v>
      </c>
      <c r="Q2696" t="s">
        <v>192</v>
      </c>
      <c r="R2696">
        <v>92</v>
      </c>
      <c r="S2696">
        <v>2690932</v>
      </c>
      <c r="T2696">
        <v>32369</v>
      </c>
      <c r="U2696">
        <v>32423</v>
      </c>
      <c r="V2696">
        <v>500</v>
      </c>
      <c r="W2696">
        <v>1</v>
      </c>
      <c r="X2696" s="367"/>
    </row>
    <row r="2697" spans="1:24">
      <c r="A2697" t="s">
        <v>6227</v>
      </c>
      <c r="B2697" t="s">
        <v>6228</v>
      </c>
      <c r="C2697">
        <v>0</v>
      </c>
      <c r="D2697">
        <v>0</v>
      </c>
      <c r="E2697">
        <v>0</v>
      </c>
      <c r="F2697">
        <v>1000000</v>
      </c>
      <c r="G2697">
        <v>0</v>
      </c>
      <c r="H2697">
        <v>1000000</v>
      </c>
      <c r="I2697">
        <v>0</v>
      </c>
      <c r="J2697">
        <v>0</v>
      </c>
      <c r="K2697">
        <v>1000000</v>
      </c>
      <c r="L2697">
        <v>0</v>
      </c>
      <c r="M2697">
        <v>0</v>
      </c>
      <c r="N2697">
        <v>0</v>
      </c>
      <c r="O2697">
        <v>0</v>
      </c>
      <c r="P2697" t="s">
        <v>192</v>
      </c>
      <c r="Q2697" t="s">
        <v>192</v>
      </c>
      <c r="R2697">
        <v>1</v>
      </c>
      <c r="S2697">
        <v>4000</v>
      </c>
      <c r="T2697">
        <v>1000000</v>
      </c>
      <c r="U2697">
        <v>0</v>
      </c>
      <c r="V2697">
        <v>0</v>
      </c>
      <c r="W2697">
        <v>0</v>
      </c>
      <c r="X2697" s="367"/>
    </row>
    <row r="2698" spans="1:24">
      <c r="A2698" t="s">
        <v>6197</v>
      </c>
      <c r="B2698" t="s">
        <v>6198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1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 t="s">
        <v>192</v>
      </c>
      <c r="Q2698" t="s">
        <v>192</v>
      </c>
      <c r="R2698">
        <v>1</v>
      </c>
      <c r="S2698">
        <v>20</v>
      </c>
      <c r="T2698">
        <v>1003</v>
      </c>
      <c r="U2698">
        <v>0</v>
      </c>
      <c r="V2698">
        <v>0</v>
      </c>
      <c r="W2698">
        <v>0</v>
      </c>
      <c r="X2698" s="367"/>
    </row>
    <row r="2699" spans="1:24">
      <c r="A2699" t="s">
        <v>6200</v>
      </c>
      <c r="B2699" t="s">
        <v>6201</v>
      </c>
      <c r="C2699">
        <v>20</v>
      </c>
      <c r="D2699">
        <v>99</v>
      </c>
      <c r="E2699">
        <v>893386000</v>
      </c>
      <c r="F2699">
        <v>6728</v>
      </c>
      <c r="G2699">
        <v>7447</v>
      </c>
      <c r="H2699">
        <v>9000</v>
      </c>
      <c r="I2699">
        <v>2272</v>
      </c>
      <c r="J2699">
        <v>33.770000000000003</v>
      </c>
      <c r="K2699">
        <v>9024</v>
      </c>
      <c r="L2699">
        <v>2296</v>
      </c>
      <c r="M2699">
        <v>34.130000000000003</v>
      </c>
      <c r="N2699">
        <v>7447</v>
      </c>
      <c r="O2699">
        <v>9800</v>
      </c>
      <c r="P2699" t="s">
        <v>192</v>
      </c>
      <c r="Q2699" t="s">
        <v>192</v>
      </c>
      <c r="R2699">
        <v>1</v>
      </c>
      <c r="S2699">
        <v>6</v>
      </c>
      <c r="T2699">
        <v>9011</v>
      </c>
      <c r="U2699">
        <v>12859</v>
      </c>
      <c r="V2699">
        <v>5</v>
      </c>
      <c r="W2699">
        <v>1</v>
      </c>
      <c r="X2699" s="367"/>
    </row>
    <row r="2700" spans="1:24">
      <c r="A2700" t="s">
        <v>2048</v>
      </c>
      <c r="B2700" t="s">
        <v>2047</v>
      </c>
      <c r="C2700">
        <v>134</v>
      </c>
      <c r="D2700">
        <v>1065728</v>
      </c>
      <c r="E2700">
        <v>26757321500</v>
      </c>
      <c r="F2700">
        <v>25170</v>
      </c>
      <c r="G2700">
        <v>24950</v>
      </c>
      <c r="H2700">
        <v>24950</v>
      </c>
      <c r="I2700">
        <v>-220</v>
      </c>
      <c r="J2700">
        <v>-0.87</v>
      </c>
      <c r="K2700">
        <v>25110</v>
      </c>
      <c r="L2700">
        <v>-60</v>
      </c>
      <c r="M2700">
        <v>-0.24</v>
      </c>
      <c r="N2700">
        <v>24510</v>
      </c>
      <c r="O2700">
        <v>25800</v>
      </c>
      <c r="P2700">
        <v>407</v>
      </c>
      <c r="Q2700">
        <v>61.7</v>
      </c>
      <c r="R2700">
        <v>1</v>
      </c>
      <c r="S2700">
        <v>4114</v>
      </c>
      <c r="T2700">
        <v>25220</v>
      </c>
      <c r="U2700">
        <v>25230</v>
      </c>
      <c r="V2700">
        <v>100000</v>
      </c>
      <c r="W2700">
        <v>1</v>
      </c>
      <c r="X2700" s="367"/>
    </row>
    <row r="2701" spans="1:24">
      <c r="A2701" t="s">
        <v>1974</v>
      </c>
      <c r="B2701" t="s">
        <v>1973</v>
      </c>
      <c r="C2701">
        <v>47</v>
      </c>
      <c r="D2701">
        <v>2495856</v>
      </c>
      <c r="E2701">
        <v>4599862608</v>
      </c>
      <c r="F2701">
        <v>1790</v>
      </c>
      <c r="G2701">
        <v>1843</v>
      </c>
      <c r="H2701">
        <v>1843</v>
      </c>
      <c r="I2701">
        <v>53</v>
      </c>
      <c r="J2701">
        <v>2.96</v>
      </c>
      <c r="K2701">
        <v>1843</v>
      </c>
      <c r="L2701">
        <v>53</v>
      </c>
      <c r="M2701">
        <v>2.96</v>
      </c>
      <c r="N2701">
        <v>1843</v>
      </c>
      <c r="O2701">
        <v>1843</v>
      </c>
      <c r="P2701">
        <v>167</v>
      </c>
      <c r="Q2701">
        <v>11.04</v>
      </c>
      <c r="R2701">
        <v>4</v>
      </c>
      <c r="S2701">
        <v>2340610</v>
      </c>
      <c r="T2701">
        <v>1843</v>
      </c>
      <c r="U2701">
        <v>1955</v>
      </c>
      <c r="V2701">
        <v>1400000</v>
      </c>
      <c r="W2701">
        <v>2</v>
      </c>
      <c r="X2701" s="367"/>
    </row>
    <row r="2702" spans="1:24">
      <c r="A2702" t="s">
        <v>6202</v>
      </c>
      <c r="B2702" t="s">
        <v>6203</v>
      </c>
      <c r="C2702">
        <v>0</v>
      </c>
      <c r="D2702">
        <v>0</v>
      </c>
      <c r="E2702">
        <v>0</v>
      </c>
      <c r="F2702">
        <v>1000000</v>
      </c>
      <c r="G2702">
        <v>0</v>
      </c>
      <c r="H2702">
        <v>1000000</v>
      </c>
      <c r="I2702">
        <v>0</v>
      </c>
      <c r="J2702">
        <v>0</v>
      </c>
      <c r="K2702">
        <v>1000000</v>
      </c>
      <c r="L2702">
        <v>0</v>
      </c>
      <c r="M2702">
        <v>0</v>
      </c>
      <c r="N2702">
        <v>0</v>
      </c>
      <c r="O2702">
        <v>0</v>
      </c>
      <c r="P2702" t="s">
        <v>192</v>
      </c>
      <c r="Q2702" t="s">
        <v>192</v>
      </c>
      <c r="R2702">
        <v>1</v>
      </c>
      <c r="S2702">
        <v>3000</v>
      </c>
      <c r="T2702">
        <v>950000</v>
      </c>
      <c r="U2702">
        <v>0</v>
      </c>
      <c r="V2702">
        <v>0</v>
      </c>
      <c r="W2702">
        <v>0</v>
      </c>
      <c r="X2702" s="367"/>
    </row>
    <row r="2703" spans="1:24">
      <c r="A2703" t="s">
        <v>6204</v>
      </c>
      <c r="B2703" t="s">
        <v>6205</v>
      </c>
      <c r="C2703">
        <v>7846</v>
      </c>
      <c r="D2703">
        <v>220603277</v>
      </c>
      <c r="E2703">
        <v>6423077489079</v>
      </c>
      <c r="F2703">
        <v>29088</v>
      </c>
      <c r="G2703">
        <v>29103</v>
      </c>
      <c r="H2703">
        <v>29128</v>
      </c>
      <c r="I2703">
        <v>40</v>
      </c>
      <c r="J2703">
        <v>0.14000000000000001</v>
      </c>
      <c r="K2703">
        <v>29116</v>
      </c>
      <c r="L2703">
        <v>28</v>
      </c>
      <c r="M2703">
        <v>0.1</v>
      </c>
      <c r="N2703">
        <v>29101</v>
      </c>
      <c r="O2703">
        <v>29130</v>
      </c>
      <c r="P2703" t="s">
        <v>192</v>
      </c>
      <c r="Q2703" t="s">
        <v>192</v>
      </c>
      <c r="R2703">
        <v>1</v>
      </c>
      <c r="S2703">
        <v>19238</v>
      </c>
      <c r="T2703">
        <v>29129</v>
      </c>
      <c r="U2703">
        <v>29130</v>
      </c>
      <c r="V2703">
        <v>280139</v>
      </c>
      <c r="W2703">
        <v>5</v>
      </c>
      <c r="X2703" s="367"/>
    </row>
    <row r="2704" spans="1:24">
      <c r="A2704" t="s">
        <v>6206</v>
      </c>
      <c r="B2704" t="s">
        <v>6207</v>
      </c>
      <c r="C2704">
        <v>31</v>
      </c>
      <c r="D2704">
        <v>3099304</v>
      </c>
      <c r="E2704">
        <v>50961973433</v>
      </c>
      <c r="F2704">
        <v>16419</v>
      </c>
      <c r="G2704">
        <v>16444</v>
      </c>
      <c r="H2704">
        <v>16444</v>
      </c>
      <c r="I2704">
        <v>25</v>
      </c>
      <c r="J2704">
        <v>0.15</v>
      </c>
      <c r="K2704">
        <v>16443</v>
      </c>
      <c r="L2704">
        <v>24</v>
      </c>
      <c r="M2704">
        <v>0.15</v>
      </c>
      <c r="N2704">
        <v>16443</v>
      </c>
      <c r="O2704">
        <v>16444</v>
      </c>
      <c r="P2704" t="s">
        <v>192</v>
      </c>
      <c r="Q2704" t="s">
        <v>192</v>
      </c>
      <c r="R2704">
        <v>2</v>
      </c>
      <c r="S2704">
        <v>12039080</v>
      </c>
      <c r="T2704">
        <v>16443</v>
      </c>
      <c r="U2704">
        <v>16444</v>
      </c>
      <c r="V2704">
        <v>9893923</v>
      </c>
      <c r="W2704">
        <v>2</v>
      </c>
      <c r="X2704" s="367"/>
    </row>
    <row r="2705" spans="1:24">
      <c r="A2705" t="s">
        <v>6208</v>
      </c>
      <c r="B2705" t="s">
        <v>8254</v>
      </c>
      <c r="C2705">
        <v>97</v>
      </c>
      <c r="D2705">
        <v>10861</v>
      </c>
      <c r="E2705">
        <v>6390483000</v>
      </c>
      <c r="F2705">
        <v>544</v>
      </c>
      <c r="G2705">
        <v>595</v>
      </c>
      <c r="H2705">
        <v>600</v>
      </c>
      <c r="I2705">
        <v>56</v>
      </c>
      <c r="J2705">
        <v>10.29</v>
      </c>
      <c r="K2705">
        <v>588</v>
      </c>
      <c r="L2705">
        <v>44</v>
      </c>
      <c r="M2705">
        <v>8.09</v>
      </c>
      <c r="N2705">
        <v>570</v>
      </c>
      <c r="O2705">
        <v>600</v>
      </c>
      <c r="P2705" t="s">
        <v>192</v>
      </c>
      <c r="Q2705" t="s">
        <v>192</v>
      </c>
      <c r="R2705">
        <v>1</v>
      </c>
      <c r="S2705">
        <v>4</v>
      </c>
      <c r="T2705">
        <v>584</v>
      </c>
      <c r="U2705">
        <v>612</v>
      </c>
      <c r="V2705">
        <v>50</v>
      </c>
      <c r="W2705">
        <v>1</v>
      </c>
      <c r="X2705" s="367"/>
    </row>
    <row r="2706" spans="1:24">
      <c r="A2706" t="s">
        <v>6210</v>
      </c>
      <c r="B2706" t="s">
        <v>6211</v>
      </c>
      <c r="C2706">
        <v>156</v>
      </c>
      <c r="D2706">
        <v>2543849</v>
      </c>
      <c r="E2706">
        <v>66248286485</v>
      </c>
      <c r="F2706">
        <v>25299</v>
      </c>
      <c r="G2706">
        <v>26057</v>
      </c>
      <c r="H2706">
        <v>26057</v>
      </c>
      <c r="I2706">
        <v>758</v>
      </c>
      <c r="J2706">
        <v>3</v>
      </c>
      <c r="K2706">
        <v>26043</v>
      </c>
      <c r="L2706">
        <v>744</v>
      </c>
      <c r="M2706">
        <v>2.94</v>
      </c>
      <c r="N2706">
        <v>25588</v>
      </c>
      <c r="O2706">
        <v>26057</v>
      </c>
      <c r="P2706" t="s">
        <v>192</v>
      </c>
      <c r="Q2706" t="s">
        <v>192</v>
      </c>
      <c r="R2706">
        <v>20</v>
      </c>
      <c r="S2706">
        <v>227605</v>
      </c>
      <c r="T2706">
        <v>26057</v>
      </c>
      <c r="U2706">
        <v>0</v>
      </c>
      <c r="V2706">
        <v>0</v>
      </c>
      <c r="W2706">
        <v>0</v>
      </c>
      <c r="X2706" s="367"/>
    </row>
    <row r="2707" spans="1:24">
      <c r="A2707" t="s">
        <v>3078</v>
      </c>
      <c r="B2707" t="s">
        <v>3077</v>
      </c>
      <c r="C2707">
        <v>11</v>
      </c>
      <c r="D2707">
        <v>510519</v>
      </c>
      <c r="E2707">
        <v>1366974544</v>
      </c>
      <c r="F2707">
        <v>2644</v>
      </c>
      <c r="G2707">
        <v>2657</v>
      </c>
      <c r="H2707">
        <v>2700</v>
      </c>
      <c r="I2707">
        <v>56</v>
      </c>
      <c r="J2707">
        <v>2.12</v>
      </c>
      <c r="K2707">
        <v>2678</v>
      </c>
      <c r="L2707">
        <v>34</v>
      </c>
      <c r="M2707">
        <v>1.29</v>
      </c>
      <c r="N2707">
        <v>2646</v>
      </c>
      <c r="O2707">
        <v>2722</v>
      </c>
      <c r="P2707">
        <v>252</v>
      </c>
      <c r="Q2707">
        <v>10.63</v>
      </c>
      <c r="R2707">
        <v>1</v>
      </c>
      <c r="S2707">
        <v>20000</v>
      </c>
      <c r="T2707">
        <v>2681</v>
      </c>
      <c r="U2707">
        <v>2700</v>
      </c>
      <c r="V2707">
        <v>39291</v>
      </c>
      <c r="W2707">
        <v>1</v>
      </c>
      <c r="X2707" s="367"/>
    </row>
    <row r="2708" spans="1:24">
      <c r="A2708" t="s">
        <v>6212</v>
      </c>
      <c r="B2708" t="s">
        <v>6213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0</v>
      </c>
      <c r="K2708">
        <v>1</v>
      </c>
      <c r="L2708">
        <v>0</v>
      </c>
      <c r="M2708">
        <v>0</v>
      </c>
      <c r="N2708">
        <v>0</v>
      </c>
      <c r="O2708">
        <v>0</v>
      </c>
      <c r="P2708" t="s">
        <v>192</v>
      </c>
      <c r="Q2708" t="s">
        <v>192</v>
      </c>
      <c r="R2708">
        <v>1</v>
      </c>
      <c r="S2708">
        <v>100</v>
      </c>
      <c r="T2708">
        <v>100</v>
      </c>
      <c r="U2708">
        <v>0</v>
      </c>
      <c r="V2708">
        <v>0</v>
      </c>
      <c r="W2708">
        <v>0</v>
      </c>
      <c r="X2708" s="367"/>
    </row>
    <row r="2709" spans="1:24">
      <c r="A2709" t="s">
        <v>8048</v>
      </c>
      <c r="B2709" t="s">
        <v>8049</v>
      </c>
      <c r="C2709">
        <v>15</v>
      </c>
      <c r="D2709">
        <v>5266</v>
      </c>
      <c r="E2709">
        <v>15869000</v>
      </c>
      <c r="F2709">
        <v>3</v>
      </c>
      <c r="G2709">
        <v>12</v>
      </c>
      <c r="H2709">
        <v>3</v>
      </c>
      <c r="I2709">
        <v>0</v>
      </c>
      <c r="J2709">
        <v>0</v>
      </c>
      <c r="K2709">
        <v>3</v>
      </c>
      <c r="L2709">
        <v>0</v>
      </c>
      <c r="M2709">
        <v>0</v>
      </c>
      <c r="N2709">
        <v>3</v>
      </c>
      <c r="O2709">
        <v>12</v>
      </c>
      <c r="P2709" t="s">
        <v>192</v>
      </c>
      <c r="Q2709" t="s">
        <v>192</v>
      </c>
      <c r="R2709">
        <v>12</v>
      </c>
      <c r="S2709">
        <v>11310</v>
      </c>
      <c r="T2709">
        <v>2</v>
      </c>
      <c r="U2709">
        <v>4</v>
      </c>
      <c r="V2709">
        <v>1190</v>
      </c>
      <c r="W2709">
        <v>2</v>
      </c>
      <c r="X2709" s="367"/>
    </row>
    <row r="2710" spans="1:24">
      <c r="A2710" t="s">
        <v>53</v>
      </c>
      <c r="B2710" t="s">
        <v>52</v>
      </c>
      <c r="C2710">
        <v>234</v>
      </c>
      <c r="D2710">
        <v>8442904</v>
      </c>
      <c r="E2710">
        <v>87384056400</v>
      </c>
      <c r="F2710">
        <v>10050</v>
      </c>
      <c r="G2710">
        <v>10350</v>
      </c>
      <c r="H2710">
        <v>10350</v>
      </c>
      <c r="I2710">
        <v>300</v>
      </c>
      <c r="J2710">
        <v>2.99</v>
      </c>
      <c r="K2710">
        <v>10350</v>
      </c>
      <c r="L2710">
        <v>300</v>
      </c>
      <c r="M2710">
        <v>2.99</v>
      </c>
      <c r="N2710">
        <v>10350</v>
      </c>
      <c r="O2710">
        <v>10350</v>
      </c>
      <c r="P2710">
        <v>1489</v>
      </c>
      <c r="Q2710">
        <v>6.95</v>
      </c>
      <c r="R2710">
        <v>97</v>
      </c>
      <c r="S2710">
        <v>5173409</v>
      </c>
      <c r="T2710">
        <v>10350</v>
      </c>
      <c r="U2710">
        <v>11620</v>
      </c>
      <c r="V2710">
        <v>500</v>
      </c>
      <c r="W2710">
        <v>1</v>
      </c>
      <c r="X2710" s="367"/>
    </row>
    <row r="2711" spans="1:24">
      <c r="A2711" t="s">
        <v>2005</v>
      </c>
      <c r="B2711" t="s">
        <v>2004</v>
      </c>
      <c r="C2711">
        <v>997</v>
      </c>
      <c r="D2711">
        <v>12160190</v>
      </c>
      <c r="E2711">
        <v>487256673720</v>
      </c>
      <c r="F2711">
        <v>38910</v>
      </c>
      <c r="G2711">
        <v>40070</v>
      </c>
      <c r="H2711">
        <v>40070</v>
      </c>
      <c r="I2711">
        <v>1160</v>
      </c>
      <c r="J2711">
        <v>2.98</v>
      </c>
      <c r="K2711">
        <v>40070</v>
      </c>
      <c r="L2711">
        <v>1160</v>
      </c>
      <c r="M2711">
        <v>2.98</v>
      </c>
      <c r="N2711">
        <v>39560</v>
      </c>
      <c r="O2711">
        <v>40070</v>
      </c>
      <c r="P2711">
        <v>4968</v>
      </c>
      <c r="Q2711">
        <v>8.07</v>
      </c>
      <c r="R2711">
        <v>197</v>
      </c>
      <c r="S2711">
        <v>4973236</v>
      </c>
      <c r="T2711">
        <v>40070</v>
      </c>
      <c r="U2711">
        <v>0</v>
      </c>
      <c r="V2711">
        <v>0</v>
      </c>
      <c r="W2711">
        <v>0</v>
      </c>
      <c r="X2711" s="367"/>
    </row>
    <row r="2712" spans="1:24">
      <c r="A2712" t="s">
        <v>6214</v>
      </c>
      <c r="B2712" t="s">
        <v>8133</v>
      </c>
      <c r="C2712">
        <v>158</v>
      </c>
      <c r="D2712">
        <v>39978</v>
      </c>
      <c r="E2712">
        <v>664389000</v>
      </c>
      <c r="F2712">
        <v>17</v>
      </c>
      <c r="G2712">
        <v>18</v>
      </c>
      <c r="H2712">
        <v>18</v>
      </c>
      <c r="I2712">
        <v>1</v>
      </c>
      <c r="J2712">
        <v>5.88</v>
      </c>
      <c r="K2712">
        <v>17</v>
      </c>
      <c r="L2712">
        <v>0</v>
      </c>
      <c r="M2712">
        <v>0</v>
      </c>
      <c r="N2712">
        <v>12</v>
      </c>
      <c r="O2712">
        <v>20</v>
      </c>
      <c r="P2712" t="s">
        <v>192</v>
      </c>
      <c r="Q2712" t="s">
        <v>192</v>
      </c>
      <c r="R2712">
        <v>2</v>
      </c>
      <c r="S2712">
        <v>1029</v>
      </c>
      <c r="T2712">
        <v>14</v>
      </c>
      <c r="U2712">
        <v>18</v>
      </c>
      <c r="V2712">
        <v>634</v>
      </c>
      <c r="W2712">
        <v>1</v>
      </c>
      <c r="X2712" s="367"/>
    </row>
    <row r="2713" spans="1:24">
      <c r="A2713" t="s">
        <v>2158</v>
      </c>
      <c r="B2713" t="s">
        <v>2156</v>
      </c>
      <c r="C2713">
        <v>2</v>
      </c>
      <c r="D2713">
        <v>1802</v>
      </c>
      <c r="E2713">
        <v>5568180</v>
      </c>
      <c r="F2713">
        <v>3000</v>
      </c>
      <c r="G2713">
        <v>3090</v>
      </c>
      <c r="H2713">
        <v>3090</v>
      </c>
      <c r="I2713">
        <v>90</v>
      </c>
      <c r="J2713">
        <v>3</v>
      </c>
      <c r="K2713">
        <v>3090</v>
      </c>
      <c r="L2713">
        <v>90</v>
      </c>
      <c r="M2713">
        <v>3</v>
      </c>
      <c r="N2713">
        <v>3090</v>
      </c>
      <c r="O2713">
        <v>3090</v>
      </c>
      <c r="P2713">
        <v>1405</v>
      </c>
      <c r="Q2713">
        <v>2.2000000000000002</v>
      </c>
      <c r="R2713">
        <v>6</v>
      </c>
      <c r="S2713">
        <v>679584</v>
      </c>
      <c r="T2713">
        <v>3090</v>
      </c>
      <c r="U2713">
        <v>0</v>
      </c>
      <c r="V2713">
        <v>0</v>
      </c>
      <c r="W2713">
        <v>0</v>
      </c>
      <c r="X2713" s="367"/>
    </row>
    <row r="2714" spans="1:24">
      <c r="A2714" t="s">
        <v>6216</v>
      </c>
      <c r="B2714" t="s">
        <v>6217</v>
      </c>
      <c r="C2714">
        <v>0</v>
      </c>
      <c r="D2714">
        <v>0</v>
      </c>
      <c r="E2714">
        <v>0</v>
      </c>
      <c r="F2714">
        <v>902502</v>
      </c>
      <c r="G2714">
        <v>0</v>
      </c>
      <c r="H2714">
        <v>902502</v>
      </c>
      <c r="I2714">
        <v>0</v>
      </c>
      <c r="J2714">
        <v>0</v>
      </c>
      <c r="K2714">
        <v>902502</v>
      </c>
      <c r="L2714">
        <v>0</v>
      </c>
      <c r="M2714">
        <v>0</v>
      </c>
      <c r="N2714">
        <v>0</v>
      </c>
      <c r="O2714">
        <v>0</v>
      </c>
      <c r="P2714" t="s">
        <v>192</v>
      </c>
      <c r="Q2714" t="s">
        <v>192</v>
      </c>
      <c r="R2714">
        <v>1</v>
      </c>
      <c r="S2714">
        <v>9500</v>
      </c>
      <c r="T2714">
        <v>902501</v>
      </c>
      <c r="U2714">
        <v>0</v>
      </c>
      <c r="V2714">
        <v>0</v>
      </c>
      <c r="W2714">
        <v>0</v>
      </c>
      <c r="X2714" s="367"/>
    </row>
    <row r="2715" spans="1:24">
      <c r="A2715" t="s">
        <v>6218</v>
      </c>
      <c r="B2715" t="s">
        <v>6219</v>
      </c>
      <c r="C2715">
        <v>0</v>
      </c>
      <c r="D2715">
        <v>0</v>
      </c>
      <c r="E2715">
        <v>0</v>
      </c>
      <c r="F2715">
        <v>1000000</v>
      </c>
      <c r="G2715">
        <v>0</v>
      </c>
      <c r="H2715">
        <v>1000000</v>
      </c>
      <c r="I2715">
        <v>0</v>
      </c>
      <c r="J2715">
        <v>0</v>
      </c>
      <c r="K2715">
        <v>1000000</v>
      </c>
      <c r="L2715">
        <v>0</v>
      </c>
      <c r="M2715">
        <v>0</v>
      </c>
      <c r="N2715">
        <v>0</v>
      </c>
      <c r="O2715">
        <v>0</v>
      </c>
      <c r="P2715" t="s">
        <v>192</v>
      </c>
      <c r="Q2715" t="s">
        <v>192</v>
      </c>
      <c r="R2715">
        <v>1</v>
      </c>
      <c r="S2715">
        <v>3000</v>
      </c>
      <c r="T2715">
        <v>1000000</v>
      </c>
      <c r="U2715">
        <v>0</v>
      </c>
      <c r="V2715">
        <v>0</v>
      </c>
      <c r="W2715">
        <v>0</v>
      </c>
      <c r="X2715" s="367"/>
    </row>
    <row r="2716" spans="1:24">
      <c r="A2716" t="s">
        <v>2145</v>
      </c>
      <c r="B2716" t="s">
        <v>2144</v>
      </c>
      <c r="C2716">
        <v>172</v>
      </c>
      <c r="D2716">
        <v>531856</v>
      </c>
      <c r="E2716">
        <v>6243989440</v>
      </c>
      <c r="F2716">
        <v>11400</v>
      </c>
      <c r="G2716">
        <v>11740</v>
      </c>
      <c r="H2716">
        <v>11740</v>
      </c>
      <c r="I2716">
        <v>340</v>
      </c>
      <c r="J2716">
        <v>2.98</v>
      </c>
      <c r="K2716">
        <v>11740</v>
      </c>
      <c r="L2716">
        <v>340</v>
      </c>
      <c r="M2716">
        <v>2.98</v>
      </c>
      <c r="N2716">
        <v>11740</v>
      </c>
      <c r="O2716">
        <v>11740</v>
      </c>
      <c r="P2716">
        <v>1095</v>
      </c>
      <c r="Q2716">
        <v>10.72</v>
      </c>
      <c r="R2716">
        <v>116</v>
      </c>
      <c r="S2716">
        <v>7609887</v>
      </c>
      <c r="T2716">
        <v>11740</v>
      </c>
      <c r="U2716">
        <v>0</v>
      </c>
      <c r="V2716">
        <v>0</v>
      </c>
      <c r="W2716">
        <v>0</v>
      </c>
      <c r="X2716" s="367"/>
    </row>
    <row r="2717" spans="1:24">
      <c r="A2717" t="s">
        <v>1886</v>
      </c>
      <c r="B2717" t="s">
        <v>1885</v>
      </c>
      <c r="C2717">
        <v>136</v>
      </c>
      <c r="D2717">
        <v>15839082</v>
      </c>
      <c r="E2717">
        <v>45426487176</v>
      </c>
      <c r="F2717">
        <v>2785</v>
      </c>
      <c r="G2717">
        <v>2868</v>
      </c>
      <c r="H2717">
        <v>2868</v>
      </c>
      <c r="I2717">
        <v>83</v>
      </c>
      <c r="J2717">
        <v>2.98</v>
      </c>
      <c r="K2717">
        <v>2868</v>
      </c>
      <c r="L2717">
        <v>83</v>
      </c>
      <c r="M2717">
        <v>2.98</v>
      </c>
      <c r="N2717">
        <v>2868</v>
      </c>
      <c r="O2717">
        <v>2868</v>
      </c>
      <c r="P2717">
        <v>93</v>
      </c>
      <c r="Q2717">
        <v>30.84</v>
      </c>
      <c r="R2717">
        <v>130</v>
      </c>
      <c r="S2717">
        <v>49332469</v>
      </c>
      <c r="T2717">
        <v>2868</v>
      </c>
      <c r="U2717">
        <v>0</v>
      </c>
      <c r="V2717">
        <v>0</v>
      </c>
      <c r="W2717">
        <v>0</v>
      </c>
      <c r="X2717" s="367"/>
    </row>
    <row r="2718" spans="1:24">
      <c r="A2718" t="s">
        <v>6220</v>
      </c>
      <c r="B2718" t="s">
        <v>6221</v>
      </c>
      <c r="C2718">
        <v>18</v>
      </c>
      <c r="D2718">
        <v>65516</v>
      </c>
      <c r="E2718">
        <v>2701748808</v>
      </c>
      <c r="F2718">
        <v>40037</v>
      </c>
      <c r="G2718">
        <v>41238</v>
      </c>
      <c r="H2718">
        <v>41238</v>
      </c>
      <c r="I2718">
        <v>1201</v>
      </c>
      <c r="J2718">
        <v>3</v>
      </c>
      <c r="K2718">
        <v>41238</v>
      </c>
      <c r="L2718">
        <v>1201</v>
      </c>
      <c r="M2718">
        <v>3</v>
      </c>
      <c r="N2718">
        <v>41238</v>
      </c>
      <c r="O2718">
        <v>41238</v>
      </c>
      <c r="P2718" t="s">
        <v>192</v>
      </c>
      <c r="Q2718" t="s">
        <v>192</v>
      </c>
      <c r="R2718">
        <v>1</v>
      </c>
      <c r="S2718">
        <v>232418</v>
      </c>
      <c r="T2718">
        <v>41238</v>
      </c>
      <c r="U2718">
        <v>0</v>
      </c>
      <c r="V2718">
        <v>0</v>
      </c>
      <c r="W2718">
        <v>0</v>
      </c>
      <c r="X2718" s="367"/>
    </row>
    <row r="2719" spans="1:24">
      <c r="A2719" t="s">
        <v>2319</v>
      </c>
      <c r="B2719" t="s">
        <v>2318</v>
      </c>
      <c r="C2719">
        <v>185</v>
      </c>
      <c r="D2719">
        <v>6371744</v>
      </c>
      <c r="E2719">
        <v>23660127370</v>
      </c>
      <c r="F2719">
        <v>3620</v>
      </c>
      <c r="G2719">
        <v>3720</v>
      </c>
      <c r="H2719">
        <v>3720</v>
      </c>
      <c r="I2719">
        <v>100</v>
      </c>
      <c r="J2719">
        <v>2.76</v>
      </c>
      <c r="K2719">
        <v>3710</v>
      </c>
      <c r="L2719">
        <v>90</v>
      </c>
      <c r="M2719">
        <v>2.4900000000000002</v>
      </c>
      <c r="N2719">
        <v>3680</v>
      </c>
      <c r="O2719">
        <v>3720</v>
      </c>
      <c r="P2719">
        <v>330</v>
      </c>
      <c r="Q2719">
        <v>11.24</v>
      </c>
      <c r="R2719">
        <v>5</v>
      </c>
      <c r="S2719">
        <v>1351902</v>
      </c>
      <c r="T2719">
        <v>3720</v>
      </c>
      <c r="U2719">
        <v>0</v>
      </c>
      <c r="V2719">
        <v>0</v>
      </c>
      <c r="W2719">
        <v>0</v>
      </c>
      <c r="X2719" s="367"/>
    </row>
    <row r="2720" spans="1:24">
      <c r="A2720" t="s">
        <v>6222</v>
      </c>
      <c r="B2720" t="s">
        <v>8617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1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 t="s">
        <v>192</v>
      </c>
      <c r="Q2720" t="s">
        <v>192</v>
      </c>
      <c r="R2720">
        <v>1</v>
      </c>
      <c r="S2720">
        <v>100</v>
      </c>
      <c r="T2720">
        <v>1</v>
      </c>
      <c r="U2720">
        <v>0</v>
      </c>
      <c r="V2720">
        <v>0</v>
      </c>
      <c r="W2720">
        <v>0</v>
      </c>
      <c r="X2720" s="367"/>
    </row>
    <row r="2721" spans="1:24">
      <c r="A2721" t="s">
        <v>6223</v>
      </c>
      <c r="B2721" t="s">
        <v>6224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1</v>
      </c>
      <c r="I2721">
        <v>0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0</v>
      </c>
      <c r="P2721" t="s">
        <v>192</v>
      </c>
      <c r="Q2721" t="s">
        <v>192</v>
      </c>
      <c r="R2721">
        <v>1</v>
      </c>
      <c r="S2721">
        <v>50</v>
      </c>
      <c r="T2721">
        <v>600</v>
      </c>
      <c r="U2721">
        <v>0</v>
      </c>
      <c r="V2721">
        <v>0</v>
      </c>
      <c r="W2721">
        <v>0</v>
      </c>
      <c r="X2721" s="367"/>
    </row>
    <row r="2722" spans="1:24">
      <c r="A2722" t="s">
        <v>85</v>
      </c>
      <c r="B2722" t="s">
        <v>84</v>
      </c>
      <c r="C2722">
        <v>378</v>
      </c>
      <c r="D2722">
        <v>701389</v>
      </c>
      <c r="E2722">
        <v>58406654060</v>
      </c>
      <c r="F2722">
        <v>81220</v>
      </c>
      <c r="G2722">
        <v>81600</v>
      </c>
      <c r="H2722">
        <v>83650</v>
      </c>
      <c r="I2722">
        <v>2430</v>
      </c>
      <c r="J2722">
        <v>2.99</v>
      </c>
      <c r="K2722">
        <v>83270</v>
      </c>
      <c r="L2722">
        <v>2050</v>
      </c>
      <c r="M2722">
        <v>2.52</v>
      </c>
      <c r="N2722">
        <v>81600</v>
      </c>
      <c r="O2722">
        <v>83650</v>
      </c>
      <c r="P2722">
        <v>11188</v>
      </c>
      <c r="Q2722">
        <v>7.44</v>
      </c>
      <c r="R2722">
        <v>4</v>
      </c>
      <c r="S2722">
        <v>19792</v>
      </c>
      <c r="T2722">
        <v>83650</v>
      </c>
      <c r="U2722">
        <v>84550</v>
      </c>
      <c r="V2722">
        <v>60</v>
      </c>
      <c r="W2722">
        <v>1</v>
      </c>
      <c r="X2722" s="367"/>
    </row>
    <row r="2723" spans="1:24">
      <c r="A2723" t="s">
        <v>6229</v>
      </c>
      <c r="B2723" t="s">
        <v>6230</v>
      </c>
      <c r="C2723">
        <v>0</v>
      </c>
      <c r="D2723">
        <v>0</v>
      </c>
      <c r="E2723">
        <v>0</v>
      </c>
      <c r="F2723">
        <v>4952576</v>
      </c>
      <c r="G2723">
        <v>0</v>
      </c>
      <c r="H2723">
        <v>4952576</v>
      </c>
      <c r="I2723">
        <v>0</v>
      </c>
      <c r="J2723">
        <v>0</v>
      </c>
      <c r="K2723">
        <v>4952576</v>
      </c>
      <c r="L2723">
        <v>0</v>
      </c>
      <c r="M2723">
        <v>0</v>
      </c>
      <c r="N2723">
        <v>0</v>
      </c>
      <c r="O2723">
        <v>0</v>
      </c>
      <c r="P2723" t="s">
        <v>192</v>
      </c>
      <c r="Q2723" t="s">
        <v>192</v>
      </c>
      <c r="R2723">
        <v>1</v>
      </c>
      <c r="S2723">
        <v>50000</v>
      </c>
      <c r="T2723">
        <v>4940000</v>
      </c>
      <c r="U2723">
        <v>5000000</v>
      </c>
      <c r="V2723">
        <v>50000</v>
      </c>
      <c r="W2723">
        <v>1</v>
      </c>
      <c r="X2723" s="367"/>
    </row>
    <row r="2724" spans="1:24">
      <c r="A2724" t="s">
        <v>2580</v>
      </c>
      <c r="B2724" t="s">
        <v>2579</v>
      </c>
      <c r="C2724">
        <v>67</v>
      </c>
      <c r="D2724">
        <v>1806864</v>
      </c>
      <c r="E2724">
        <v>32035698720</v>
      </c>
      <c r="F2724">
        <v>17220</v>
      </c>
      <c r="G2724">
        <v>17730</v>
      </c>
      <c r="H2724">
        <v>17730</v>
      </c>
      <c r="I2724">
        <v>510</v>
      </c>
      <c r="J2724">
        <v>2.96</v>
      </c>
      <c r="K2724">
        <v>17730</v>
      </c>
      <c r="L2724">
        <v>510</v>
      </c>
      <c r="M2724">
        <v>2.96</v>
      </c>
      <c r="N2724">
        <v>17730</v>
      </c>
      <c r="O2724">
        <v>17730</v>
      </c>
      <c r="P2724">
        <v>2086</v>
      </c>
      <c r="Q2724">
        <v>8.5</v>
      </c>
      <c r="R2724">
        <v>83</v>
      </c>
      <c r="S2724">
        <v>4445890</v>
      </c>
      <c r="T2724">
        <v>17730</v>
      </c>
      <c r="U2724">
        <v>0</v>
      </c>
      <c r="V2724">
        <v>0</v>
      </c>
      <c r="W2724">
        <v>0</v>
      </c>
      <c r="X2724" s="367"/>
    </row>
    <row r="2725" spans="1:24">
      <c r="A2725" t="s">
        <v>8875</v>
      </c>
      <c r="B2725" t="s">
        <v>1920</v>
      </c>
      <c r="C2725">
        <v>2</v>
      </c>
      <c r="D2725">
        <v>11000</v>
      </c>
      <c r="E2725">
        <v>100320000</v>
      </c>
      <c r="F2725">
        <v>9040</v>
      </c>
      <c r="G2725">
        <v>9120</v>
      </c>
      <c r="H2725">
        <v>9120</v>
      </c>
      <c r="I2725">
        <v>80</v>
      </c>
      <c r="J2725">
        <v>0.88</v>
      </c>
      <c r="K2725">
        <v>9120</v>
      </c>
      <c r="L2725">
        <v>80</v>
      </c>
      <c r="M2725">
        <v>0.88</v>
      </c>
      <c r="N2725">
        <v>9120</v>
      </c>
      <c r="O2725">
        <v>9120</v>
      </c>
      <c r="P2725">
        <v>308</v>
      </c>
      <c r="Q2725">
        <v>29.61</v>
      </c>
      <c r="R2725">
        <v>0</v>
      </c>
      <c r="S2725">
        <v>0</v>
      </c>
      <c r="T2725">
        <v>0</v>
      </c>
      <c r="U2725">
        <v>9120</v>
      </c>
      <c r="V2725">
        <v>299000</v>
      </c>
      <c r="W2725">
        <v>2</v>
      </c>
      <c r="X2725" s="367"/>
    </row>
    <row r="2726" spans="1:24">
      <c r="A2726" t="s">
        <v>7373</v>
      </c>
      <c r="B2726" t="s">
        <v>7882</v>
      </c>
      <c r="C2726">
        <v>56</v>
      </c>
      <c r="D2726">
        <v>1246</v>
      </c>
      <c r="E2726">
        <v>6191687000</v>
      </c>
      <c r="F2726">
        <v>4504</v>
      </c>
      <c r="G2726">
        <v>5989</v>
      </c>
      <c r="H2726">
        <v>4900</v>
      </c>
      <c r="I2726">
        <v>396</v>
      </c>
      <c r="J2726">
        <v>8.7899999999999991</v>
      </c>
      <c r="K2726">
        <v>4969</v>
      </c>
      <c r="L2726">
        <v>465</v>
      </c>
      <c r="M2726">
        <v>10.32</v>
      </c>
      <c r="N2726">
        <v>4850</v>
      </c>
      <c r="O2726">
        <v>5989</v>
      </c>
      <c r="P2726" t="s">
        <v>192</v>
      </c>
      <c r="Q2726" t="s">
        <v>192</v>
      </c>
      <c r="R2726">
        <v>1</v>
      </c>
      <c r="S2726">
        <v>433</v>
      </c>
      <c r="T2726">
        <v>4872</v>
      </c>
      <c r="U2726">
        <v>4970</v>
      </c>
      <c r="V2726">
        <v>9</v>
      </c>
      <c r="W2726">
        <v>1</v>
      </c>
      <c r="X2726" s="367"/>
    </row>
    <row r="2727" spans="1:24">
      <c r="A2727" t="s">
        <v>2735</v>
      </c>
      <c r="B2727" t="s">
        <v>2734</v>
      </c>
      <c r="C2727">
        <v>815</v>
      </c>
      <c r="D2727">
        <v>261152365</v>
      </c>
      <c r="E2727">
        <v>679518453730</v>
      </c>
      <c r="F2727">
        <v>2527</v>
      </c>
      <c r="G2727">
        <v>2602</v>
      </c>
      <c r="H2727">
        <v>2602</v>
      </c>
      <c r="I2727">
        <v>75</v>
      </c>
      <c r="J2727">
        <v>2.97</v>
      </c>
      <c r="K2727">
        <v>2602</v>
      </c>
      <c r="L2727">
        <v>75</v>
      </c>
      <c r="M2727">
        <v>2.97</v>
      </c>
      <c r="N2727">
        <v>2602</v>
      </c>
      <c r="O2727">
        <v>2602</v>
      </c>
      <c r="P2727">
        <v>241</v>
      </c>
      <c r="Q2727">
        <v>10.8</v>
      </c>
      <c r="R2727">
        <v>1027</v>
      </c>
      <c r="S2727">
        <v>740064346</v>
      </c>
      <c r="T2727">
        <v>2602</v>
      </c>
      <c r="U2727">
        <v>0</v>
      </c>
      <c r="V2727">
        <v>0</v>
      </c>
      <c r="W2727">
        <v>0</v>
      </c>
      <c r="X2727" s="367"/>
    </row>
    <row r="2728" spans="1:24">
      <c r="A2728" t="s">
        <v>7838</v>
      </c>
      <c r="B2728" t="s">
        <v>7839</v>
      </c>
      <c r="C2728">
        <v>30</v>
      </c>
      <c r="D2728">
        <v>164</v>
      </c>
      <c r="E2728">
        <v>1898310000</v>
      </c>
      <c r="F2728">
        <v>9147</v>
      </c>
      <c r="G2728">
        <v>11000</v>
      </c>
      <c r="H2728">
        <v>12000</v>
      </c>
      <c r="I2728">
        <v>2853</v>
      </c>
      <c r="J2728">
        <v>31.19</v>
      </c>
      <c r="K2728">
        <v>11575</v>
      </c>
      <c r="L2728">
        <v>2428</v>
      </c>
      <c r="M2728">
        <v>26.54</v>
      </c>
      <c r="N2728">
        <v>11000</v>
      </c>
      <c r="O2728">
        <v>12000</v>
      </c>
      <c r="P2728" t="s">
        <v>192</v>
      </c>
      <c r="Q2728" t="s">
        <v>192</v>
      </c>
      <c r="R2728">
        <v>1</v>
      </c>
      <c r="S2728">
        <v>1</v>
      </c>
      <c r="T2728">
        <v>11281</v>
      </c>
      <c r="U2728">
        <v>12000</v>
      </c>
      <c r="V2728">
        <v>10</v>
      </c>
      <c r="W2728">
        <v>1</v>
      </c>
      <c r="X2728" s="367"/>
    </row>
    <row r="2729" spans="1:24">
      <c r="A2729" t="s">
        <v>1733</v>
      </c>
      <c r="B2729" t="s">
        <v>1732</v>
      </c>
      <c r="C2729">
        <v>160</v>
      </c>
      <c r="D2729">
        <v>9479466</v>
      </c>
      <c r="E2729">
        <v>19931546626</v>
      </c>
      <c r="F2729">
        <v>2042</v>
      </c>
      <c r="G2729">
        <v>2101</v>
      </c>
      <c r="H2729">
        <v>2103</v>
      </c>
      <c r="I2729">
        <v>61</v>
      </c>
      <c r="J2729">
        <v>2.99</v>
      </c>
      <c r="K2729">
        <v>2103</v>
      </c>
      <c r="L2729">
        <v>61</v>
      </c>
      <c r="M2729">
        <v>2.99</v>
      </c>
      <c r="N2729">
        <v>2077</v>
      </c>
      <c r="O2729">
        <v>2103</v>
      </c>
      <c r="P2729">
        <v>376</v>
      </c>
      <c r="Q2729">
        <v>5.59</v>
      </c>
      <c r="R2729">
        <v>6</v>
      </c>
      <c r="S2729">
        <v>3676450</v>
      </c>
      <c r="T2729">
        <v>2103</v>
      </c>
      <c r="U2729">
        <v>0</v>
      </c>
      <c r="V2729">
        <v>0</v>
      </c>
      <c r="W2729">
        <v>0</v>
      </c>
      <c r="X2729" s="367"/>
    </row>
    <row r="2730" spans="1:24">
      <c r="A2730" t="s">
        <v>7349</v>
      </c>
      <c r="B2730" t="s">
        <v>7350</v>
      </c>
      <c r="C2730">
        <v>2</v>
      </c>
      <c r="D2730">
        <v>22</v>
      </c>
      <c r="E2730">
        <v>5600000</v>
      </c>
      <c r="F2730">
        <v>220</v>
      </c>
      <c r="G2730">
        <v>250</v>
      </c>
      <c r="H2730">
        <v>260</v>
      </c>
      <c r="I2730">
        <v>40</v>
      </c>
      <c r="J2730">
        <v>18.18</v>
      </c>
      <c r="K2730">
        <v>255</v>
      </c>
      <c r="L2730">
        <v>35</v>
      </c>
      <c r="M2730">
        <v>15.91</v>
      </c>
      <c r="N2730">
        <v>250</v>
      </c>
      <c r="O2730">
        <v>260</v>
      </c>
      <c r="P2730" t="s">
        <v>192</v>
      </c>
      <c r="Q2730" t="s">
        <v>192</v>
      </c>
      <c r="R2730">
        <v>1</v>
      </c>
      <c r="S2730">
        <v>1000</v>
      </c>
      <c r="T2730">
        <v>250</v>
      </c>
      <c r="U2730">
        <v>0</v>
      </c>
      <c r="V2730">
        <v>0</v>
      </c>
      <c r="W2730">
        <v>0</v>
      </c>
      <c r="X2730" s="367"/>
    </row>
    <row r="2731" spans="1:24">
      <c r="A2731" t="s">
        <v>6231</v>
      </c>
      <c r="B2731" t="s">
        <v>6232</v>
      </c>
      <c r="C2731">
        <v>2</v>
      </c>
      <c r="D2731">
        <v>51</v>
      </c>
      <c r="E2731">
        <v>78900000</v>
      </c>
      <c r="F2731">
        <v>1198</v>
      </c>
      <c r="G2731">
        <v>1500</v>
      </c>
      <c r="H2731">
        <v>1548</v>
      </c>
      <c r="I2731">
        <v>350</v>
      </c>
      <c r="J2731">
        <v>29.22</v>
      </c>
      <c r="K2731">
        <v>1547</v>
      </c>
      <c r="L2731">
        <v>349</v>
      </c>
      <c r="M2731">
        <v>29.13</v>
      </c>
      <c r="N2731">
        <v>1500</v>
      </c>
      <c r="O2731">
        <v>1548</v>
      </c>
      <c r="P2731" t="s">
        <v>192</v>
      </c>
      <c r="Q2731" t="s">
        <v>192</v>
      </c>
      <c r="R2731">
        <v>1</v>
      </c>
      <c r="S2731">
        <v>1</v>
      </c>
      <c r="T2731">
        <v>300</v>
      </c>
      <c r="U2731">
        <v>1548</v>
      </c>
      <c r="V2731">
        <v>60</v>
      </c>
      <c r="W2731">
        <v>2</v>
      </c>
      <c r="X2731" s="367"/>
    </row>
    <row r="2732" spans="1:24">
      <c r="A2732" t="s">
        <v>2078</v>
      </c>
      <c r="B2732" t="s">
        <v>2077</v>
      </c>
      <c r="C2732">
        <v>217</v>
      </c>
      <c r="D2732">
        <v>33950229</v>
      </c>
      <c r="E2732">
        <v>50478505125</v>
      </c>
      <c r="F2732">
        <v>1444</v>
      </c>
      <c r="G2732">
        <v>1487</v>
      </c>
      <c r="H2732">
        <v>1487</v>
      </c>
      <c r="I2732">
        <v>43</v>
      </c>
      <c r="J2732">
        <v>2.98</v>
      </c>
      <c r="K2732">
        <v>1487</v>
      </c>
      <c r="L2732">
        <v>43</v>
      </c>
      <c r="M2732">
        <v>2.98</v>
      </c>
      <c r="N2732">
        <v>1478</v>
      </c>
      <c r="O2732">
        <v>1487</v>
      </c>
      <c r="P2732">
        <v>10</v>
      </c>
      <c r="Q2732">
        <v>148.69999999999999</v>
      </c>
      <c r="R2732">
        <v>27</v>
      </c>
      <c r="S2732">
        <v>7391625</v>
      </c>
      <c r="T2732">
        <v>1487</v>
      </c>
      <c r="U2732">
        <v>0</v>
      </c>
      <c r="V2732">
        <v>0</v>
      </c>
      <c r="W2732">
        <v>0</v>
      </c>
      <c r="X2732" s="367"/>
    </row>
    <row r="2733" spans="1:24">
      <c r="A2733" t="s">
        <v>6233</v>
      </c>
      <c r="B2733" t="s">
        <v>6234</v>
      </c>
      <c r="C2733">
        <v>0</v>
      </c>
      <c r="D2733">
        <v>0</v>
      </c>
      <c r="E2733">
        <v>0</v>
      </c>
      <c r="F2733">
        <v>3979825</v>
      </c>
      <c r="G2733">
        <v>0</v>
      </c>
      <c r="H2733">
        <v>3979825</v>
      </c>
      <c r="I2733">
        <v>0</v>
      </c>
      <c r="J2733">
        <v>0</v>
      </c>
      <c r="K2733">
        <v>3979825</v>
      </c>
      <c r="L2733">
        <v>0</v>
      </c>
      <c r="M2733">
        <v>0</v>
      </c>
      <c r="N2733">
        <v>0</v>
      </c>
      <c r="O2733">
        <v>0</v>
      </c>
      <c r="P2733" t="s">
        <v>192</v>
      </c>
      <c r="Q2733" t="s">
        <v>192</v>
      </c>
      <c r="R2733">
        <v>1</v>
      </c>
      <c r="S2733">
        <v>5300</v>
      </c>
      <c r="T2733">
        <v>4068765</v>
      </c>
      <c r="U2733">
        <v>4150140</v>
      </c>
      <c r="V2733">
        <v>5300</v>
      </c>
      <c r="W2733">
        <v>1</v>
      </c>
      <c r="X2733" s="367"/>
    </row>
    <row r="2734" spans="1:24">
      <c r="A2734" t="s">
        <v>6235</v>
      </c>
      <c r="B2734" t="s">
        <v>6236</v>
      </c>
      <c r="C2734">
        <v>0</v>
      </c>
      <c r="D2734">
        <v>0</v>
      </c>
      <c r="E2734">
        <v>0</v>
      </c>
      <c r="F2734">
        <v>9548</v>
      </c>
      <c r="G2734">
        <v>0</v>
      </c>
      <c r="H2734">
        <v>9548</v>
      </c>
      <c r="I2734">
        <v>0</v>
      </c>
      <c r="J2734">
        <v>0</v>
      </c>
      <c r="K2734">
        <v>9548</v>
      </c>
      <c r="L2734">
        <v>0</v>
      </c>
      <c r="M2734">
        <v>0</v>
      </c>
      <c r="N2734">
        <v>0</v>
      </c>
      <c r="O2734">
        <v>0</v>
      </c>
      <c r="P2734" t="s">
        <v>192</v>
      </c>
      <c r="Q2734" t="s">
        <v>192</v>
      </c>
      <c r="R2734">
        <v>1</v>
      </c>
      <c r="S2734">
        <v>10</v>
      </c>
      <c r="T2734">
        <v>2100</v>
      </c>
      <c r="U2734">
        <v>0</v>
      </c>
      <c r="V2734">
        <v>0</v>
      </c>
      <c r="W2734">
        <v>0</v>
      </c>
      <c r="X2734" s="367"/>
    </row>
    <row r="2735" spans="1:24">
      <c r="A2735" t="s">
        <v>6237</v>
      </c>
      <c r="B2735" t="s">
        <v>6238</v>
      </c>
      <c r="C2735">
        <v>0</v>
      </c>
      <c r="D2735">
        <v>0</v>
      </c>
      <c r="E2735">
        <v>0</v>
      </c>
      <c r="F2735">
        <v>6686</v>
      </c>
      <c r="G2735">
        <v>0</v>
      </c>
      <c r="H2735">
        <v>6694</v>
      </c>
      <c r="I2735">
        <v>8</v>
      </c>
      <c r="J2735">
        <v>0.12</v>
      </c>
      <c r="K2735">
        <v>6686</v>
      </c>
      <c r="L2735">
        <v>0</v>
      </c>
      <c r="M2735">
        <v>0</v>
      </c>
      <c r="N2735">
        <v>0</v>
      </c>
      <c r="O2735">
        <v>0</v>
      </c>
      <c r="P2735" t="s">
        <v>192</v>
      </c>
      <c r="Q2735" t="s">
        <v>192</v>
      </c>
      <c r="R2735">
        <v>1</v>
      </c>
      <c r="S2735">
        <v>10</v>
      </c>
      <c r="T2735">
        <v>36</v>
      </c>
      <c r="U2735">
        <v>9000</v>
      </c>
      <c r="V2735">
        <v>51</v>
      </c>
      <c r="W2735">
        <v>1</v>
      </c>
      <c r="X2735" s="367"/>
    </row>
    <row r="2736" spans="1:24">
      <c r="A2736" t="s">
        <v>8434</v>
      </c>
      <c r="B2736" t="s">
        <v>8435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1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 t="s">
        <v>192</v>
      </c>
      <c r="Q2736" t="s">
        <v>192</v>
      </c>
      <c r="R2736">
        <v>1</v>
      </c>
      <c r="S2736">
        <v>100</v>
      </c>
      <c r="T2736">
        <v>1</v>
      </c>
      <c r="U2736">
        <v>0</v>
      </c>
      <c r="V2736">
        <v>0</v>
      </c>
      <c r="W2736">
        <v>0</v>
      </c>
      <c r="X2736" s="367"/>
    </row>
    <row r="2737" spans="1:24">
      <c r="A2737" t="s">
        <v>2997</v>
      </c>
      <c r="B2737" t="s">
        <v>2996</v>
      </c>
      <c r="C2737">
        <v>506</v>
      </c>
      <c r="D2737">
        <v>47518422</v>
      </c>
      <c r="E2737">
        <v>283684979340</v>
      </c>
      <c r="F2737">
        <v>5800</v>
      </c>
      <c r="G2737">
        <v>5970</v>
      </c>
      <c r="H2737">
        <v>5970</v>
      </c>
      <c r="I2737">
        <v>170</v>
      </c>
      <c r="J2737">
        <v>2.93</v>
      </c>
      <c r="K2737">
        <v>5970</v>
      </c>
      <c r="L2737">
        <v>170</v>
      </c>
      <c r="M2737">
        <v>2.93</v>
      </c>
      <c r="N2737">
        <v>5970</v>
      </c>
      <c r="O2737">
        <v>5970</v>
      </c>
      <c r="P2737">
        <v>2887</v>
      </c>
      <c r="Q2737">
        <v>2.0699999999999998</v>
      </c>
      <c r="R2737">
        <v>168</v>
      </c>
      <c r="S2737">
        <v>21115084</v>
      </c>
      <c r="T2737">
        <v>5970</v>
      </c>
      <c r="U2737">
        <v>6890</v>
      </c>
      <c r="V2737">
        <v>2006</v>
      </c>
      <c r="W2737">
        <v>1</v>
      </c>
      <c r="X2737" s="367"/>
    </row>
    <row r="2738" spans="1:24">
      <c r="A2738" t="s">
        <v>8405</v>
      </c>
      <c r="B2738" t="s">
        <v>8406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1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 t="s">
        <v>192</v>
      </c>
      <c r="Q2738" t="s">
        <v>192</v>
      </c>
      <c r="R2738">
        <v>1</v>
      </c>
      <c r="S2738">
        <v>555</v>
      </c>
      <c r="T2738">
        <v>5</v>
      </c>
      <c r="U2738">
        <v>0</v>
      </c>
      <c r="V2738">
        <v>0</v>
      </c>
      <c r="W2738">
        <v>0</v>
      </c>
      <c r="X2738" s="367"/>
    </row>
    <row r="2739" spans="1:24">
      <c r="A2739" t="s">
        <v>6478</v>
      </c>
      <c r="B2739" t="s">
        <v>4953</v>
      </c>
      <c r="C2739">
        <v>1</v>
      </c>
      <c r="D2739">
        <v>900000</v>
      </c>
      <c r="E2739">
        <v>900000</v>
      </c>
      <c r="F2739">
        <v>46902</v>
      </c>
      <c r="G2739">
        <v>1</v>
      </c>
      <c r="H2739">
        <v>1</v>
      </c>
      <c r="I2739">
        <v>-46901</v>
      </c>
      <c r="J2739">
        <v>-100</v>
      </c>
      <c r="K2739">
        <v>1</v>
      </c>
      <c r="L2739">
        <v>-46901</v>
      </c>
      <c r="M2739">
        <v>-100</v>
      </c>
      <c r="N2739">
        <v>1</v>
      </c>
      <c r="O2739">
        <v>1</v>
      </c>
      <c r="P2739" t="s">
        <v>192</v>
      </c>
      <c r="Q2739" t="s">
        <v>192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 s="367"/>
    </row>
    <row r="2740" spans="1:24">
      <c r="A2740" t="s">
        <v>7918</v>
      </c>
      <c r="B2740" t="s">
        <v>7919</v>
      </c>
      <c r="C2740">
        <v>0</v>
      </c>
      <c r="D2740">
        <v>0</v>
      </c>
      <c r="E2740">
        <v>0</v>
      </c>
      <c r="F2740">
        <v>1</v>
      </c>
      <c r="G2740">
        <v>0</v>
      </c>
      <c r="H2740">
        <v>1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 t="s">
        <v>192</v>
      </c>
      <c r="Q2740" t="s">
        <v>192</v>
      </c>
      <c r="R2740">
        <v>1</v>
      </c>
      <c r="S2740">
        <v>44</v>
      </c>
      <c r="T2740">
        <v>77</v>
      </c>
      <c r="U2740">
        <v>0</v>
      </c>
      <c r="V2740">
        <v>0</v>
      </c>
      <c r="W2740">
        <v>0</v>
      </c>
      <c r="X2740" s="367"/>
    </row>
    <row r="2741" spans="1:24">
      <c r="A2741" t="s">
        <v>8675</v>
      </c>
      <c r="B2741" t="s">
        <v>8676</v>
      </c>
      <c r="C2741">
        <v>4141</v>
      </c>
      <c r="D2741">
        <v>613176735</v>
      </c>
      <c r="E2741">
        <v>832895126045</v>
      </c>
      <c r="F2741">
        <v>1329</v>
      </c>
      <c r="G2741">
        <v>1359</v>
      </c>
      <c r="H2741">
        <v>1349</v>
      </c>
      <c r="I2741">
        <v>20</v>
      </c>
      <c r="J2741">
        <v>1.5</v>
      </c>
      <c r="K2741">
        <v>1358</v>
      </c>
      <c r="L2741">
        <v>29</v>
      </c>
      <c r="M2741">
        <v>2.1800000000000002</v>
      </c>
      <c r="N2741">
        <v>1330</v>
      </c>
      <c r="O2741">
        <v>1368</v>
      </c>
      <c r="P2741">
        <v>60</v>
      </c>
      <c r="Q2741">
        <v>22.63</v>
      </c>
      <c r="R2741">
        <v>1</v>
      </c>
      <c r="S2741">
        <v>579950</v>
      </c>
      <c r="T2741">
        <v>1346</v>
      </c>
      <c r="U2741">
        <v>1351</v>
      </c>
      <c r="V2741">
        <v>42335</v>
      </c>
      <c r="W2741">
        <v>2</v>
      </c>
      <c r="X2741" s="367"/>
    </row>
    <row r="2742" spans="1:24">
      <c r="A2742" t="s">
        <v>2357</v>
      </c>
      <c r="B2742" t="s">
        <v>2356</v>
      </c>
      <c r="C2742">
        <v>135</v>
      </c>
      <c r="D2742">
        <v>2247161</v>
      </c>
      <c r="E2742">
        <v>15252784820</v>
      </c>
      <c r="F2742">
        <v>6600</v>
      </c>
      <c r="G2742">
        <v>6740</v>
      </c>
      <c r="H2742">
        <v>6790</v>
      </c>
      <c r="I2742">
        <v>190</v>
      </c>
      <c r="J2742">
        <v>2.88</v>
      </c>
      <c r="K2742">
        <v>6790</v>
      </c>
      <c r="L2742">
        <v>190</v>
      </c>
      <c r="M2742">
        <v>2.88</v>
      </c>
      <c r="N2742">
        <v>6740</v>
      </c>
      <c r="O2742">
        <v>6790</v>
      </c>
      <c r="P2742">
        <v>1545</v>
      </c>
      <c r="Q2742">
        <v>4.3899999999999997</v>
      </c>
      <c r="R2742">
        <v>7</v>
      </c>
      <c r="S2742">
        <v>149226</v>
      </c>
      <c r="T2742">
        <v>6790</v>
      </c>
      <c r="U2742">
        <v>6840</v>
      </c>
      <c r="V2742">
        <v>1000</v>
      </c>
      <c r="W2742">
        <v>1</v>
      </c>
      <c r="X2742" s="367"/>
    </row>
    <row r="2743" spans="1:24">
      <c r="A2743" t="s">
        <v>2776</v>
      </c>
      <c r="B2743" t="s">
        <v>2775</v>
      </c>
      <c r="C2743">
        <v>822</v>
      </c>
      <c r="D2743">
        <v>120878868</v>
      </c>
      <c r="E2743">
        <v>184457778664</v>
      </c>
      <c r="F2743">
        <v>1482</v>
      </c>
      <c r="G2743">
        <v>1526</v>
      </c>
      <c r="H2743">
        <v>1526</v>
      </c>
      <c r="I2743">
        <v>44</v>
      </c>
      <c r="J2743">
        <v>2.97</v>
      </c>
      <c r="K2743">
        <v>1526</v>
      </c>
      <c r="L2743">
        <v>44</v>
      </c>
      <c r="M2743">
        <v>2.97</v>
      </c>
      <c r="N2743">
        <v>1511</v>
      </c>
      <c r="O2743">
        <v>1526</v>
      </c>
      <c r="P2743">
        <v>166</v>
      </c>
      <c r="Q2743">
        <v>9.19</v>
      </c>
      <c r="R2743">
        <v>66</v>
      </c>
      <c r="S2743">
        <v>14279677</v>
      </c>
      <c r="T2743">
        <v>1526</v>
      </c>
      <c r="U2743">
        <v>0</v>
      </c>
      <c r="V2743">
        <v>0</v>
      </c>
      <c r="W2743">
        <v>0</v>
      </c>
      <c r="X2743" s="367"/>
    </row>
    <row r="2744" spans="1:24">
      <c r="A2744" t="s">
        <v>6243</v>
      </c>
      <c r="B2744" t="s">
        <v>6244</v>
      </c>
      <c r="C2744">
        <v>333</v>
      </c>
      <c r="D2744">
        <v>383245302</v>
      </c>
      <c r="E2744">
        <v>8030143396922</v>
      </c>
      <c r="F2744">
        <v>20903</v>
      </c>
      <c r="G2744">
        <v>20953</v>
      </c>
      <c r="H2744">
        <v>20954</v>
      </c>
      <c r="I2744">
        <v>51</v>
      </c>
      <c r="J2744">
        <v>0.24</v>
      </c>
      <c r="K2744">
        <v>20953</v>
      </c>
      <c r="L2744">
        <v>50</v>
      </c>
      <c r="M2744">
        <v>0.24</v>
      </c>
      <c r="N2744">
        <v>20953</v>
      </c>
      <c r="O2744">
        <v>20954</v>
      </c>
      <c r="P2744" t="s">
        <v>192</v>
      </c>
      <c r="Q2744" t="s">
        <v>192</v>
      </c>
      <c r="R2744">
        <v>2</v>
      </c>
      <c r="S2744">
        <v>199989770</v>
      </c>
      <c r="T2744">
        <v>20953</v>
      </c>
      <c r="U2744">
        <v>20954</v>
      </c>
      <c r="V2744">
        <v>157202029</v>
      </c>
      <c r="W2744">
        <v>1</v>
      </c>
      <c r="X2744" s="367"/>
    </row>
    <row r="2745" spans="1:24">
      <c r="A2745" t="s">
        <v>8618</v>
      </c>
      <c r="B2745" t="s">
        <v>8619</v>
      </c>
      <c r="C2745">
        <v>2</v>
      </c>
      <c r="D2745">
        <v>240763528</v>
      </c>
      <c r="E2745">
        <v>194443875520428</v>
      </c>
      <c r="F2745">
        <v>806330</v>
      </c>
      <c r="G2745">
        <v>807367</v>
      </c>
      <c r="H2745">
        <v>807860</v>
      </c>
      <c r="I2745">
        <v>1530</v>
      </c>
      <c r="J2745">
        <v>0.19</v>
      </c>
      <c r="K2745">
        <v>807613</v>
      </c>
      <c r="L2745">
        <v>1283</v>
      </c>
      <c r="M2745">
        <v>0.16</v>
      </c>
      <c r="N2745">
        <v>807367</v>
      </c>
      <c r="O2745">
        <v>807860</v>
      </c>
      <c r="P2745" t="s">
        <v>192</v>
      </c>
      <c r="Q2745" t="s">
        <v>192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 s="367"/>
    </row>
    <row r="2746" spans="1:24">
      <c r="A2746" t="s">
        <v>6245</v>
      </c>
      <c r="B2746" t="s">
        <v>8620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1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P2746" t="s">
        <v>192</v>
      </c>
      <c r="Q2746" t="s">
        <v>192</v>
      </c>
      <c r="R2746">
        <v>1</v>
      </c>
      <c r="S2746">
        <v>100</v>
      </c>
      <c r="T2746">
        <v>1</v>
      </c>
      <c r="U2746">
        <v>0</v>
      </c>
      <c r="V2746">
        <v>0</v>
      </c>
      <c r="W2746">
        <v>0</v>
      </c>
      <c r="X2746" s="367"/>
    </row>
    <row r="2747" spans="1:24">
      <c r="A2747" t="s">
        <v>8360</v>
      </c>
      <c r="B2747" t="s">
        <v>8361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1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 t="s">
        <v>192</v>
      </c>
      <c r="Q2747" t="s">
        <v>192</v>
      </c>
      <c r="R2747">
        <v>1</v>
      </c>
      <c r="S2747">
        <v>9</v>
      </c>
      <c r="T2747">
        <v>150</v>
      </c>
      <c r="U2747">
        <v>0</v>
      </c>
      <c r="V2747">
        <v>0</v>
      </c>
      <c r="W2747">
        <v>0</v>
      </c>
      <c r="X2747" s="367"/>
    </row>
    <row r="2748" spans="1:24">
      <c r="A2748" t="s">
        <v>7181</v>
      </c>
      <c r="B2748" t="s">
        <v>8118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1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 t="s">
        <v>192</v>
      </c>
      <c r="Q2748" t="s">
        <v>192</v>
      </c>
      <c r="R2748">
        <v>1</v>
      </c>
      <c r="S2748">
        <v>100</v>
      </c>
      <c r="T2748">
        <v>1</v>
      </c>
      <c r="U2748">
        <v>0</v>
      </c>
      <c r="V2748">
        <v>0</v>
      </c>
      <c r="W2748">
        <v>0</v>
      </c>
      <c r="X2748" s="367"/>
    </row>
    <row r="2749" spans="1:24">
      <c r="A2749" t="s">
        <v>1828</v>
      </c>
      <c r="B2749" t="s">
        <v>1827</v>
      </c>
      <c r="C2749">
        <v>60</v>
      </c>
      <c r="D2749">
        <v>4236341</v>
      </c>
      <c r="E2749">
        <v>21901882970</v>
      </c>
      <c r="F2749">
        <v>5020</v>
      </c>
      <c r="G2749">
        <v>5170</v>
      </c>
      <c r="H2749">
        <v>5170</v>
      </c>
      <c r="I2749">
        <v>150</v>
      </c>
      <c r="J2749">
        <v>2.99</v>
      </c>
      <c r="K2749">
        <v>5170</v>
      </c>
      <c r="L2749">
        <v>150</v>
      </c>
      <c r="M2749">
        <v>2.99</v>
      </c>
      <c r="N2749">
        <v>5170</v>
      </c>
      <c r="O2749">
        <v>5170</v>
      </c>
      <c r="P2749">
        <v>576</v>
      </c>
      <c r="Q2749">
        <v>8.98</v>
      </c>
      <c r="R2749">
        <v>41</v>
      </c>
      <c r="S2749">
        <v>6948172</v>
      </c>
      <c r="T2749">
        <v>5170</v>
      </c>
      <c r="U2749">
        <v>5580</v>
      </c>
      <c r="V2749">
        <v>1531868</v>
      </c>
      <c r="W2749">
        <v>6</v>
      </c>
      <c r="X2749" s="367"/>
    </row>
    <row r="2750" spans="1:24">
      <c r="A2750" t="s">
        <v>6246</v>
      </c>
      <c r="B2750" t="s">
        <v>6247</v>
      </c>
      <c r="C2750">
        <v>0</v>
      </c>
      <c r="D2750">
        <v>0</v>
      </c>
      <c r="E2750">
        <v>0</v>
      </c>
      <c r="F2750">
        <v>861290</v>
      </c>
      <c r="G2750">
        <v>0</v>
      </c>
      <c r="H2750">
        <v>861290</v>
      </c>
      <c r="I2750">
        <v>0</v>
      </c>
      <c r="J2750">
        <v>0</v>
      </c>
      <c r="K2750">
        <v>861290</v>
      </c>
      <c r="L2750">
        <v>0</v>
      </c>
      <c r="M2750">
        <v>0</v>
      </c>
      <c r="N2750">
        <v>0</v>
      </c>
      <c r="O2750">
        <v>0</v>
      </c>
      <c r="P2750" t="s">
        <v>192</v>
      </c>
      <c r="Q2750" t="s">
        <v>192</v>
      </c>
      <c r="R2750">
        <v>1</v>
      </c>
      <c r="S2750">
        <v>7500</v>
      </c>
      <c r="T2750">
        <v>835452</v>
      </c>
      <c r="U2750">
        <v>0</v>
      </c>
      <c r="V2750">
        <v>0</v>
      </c>
      <c r="W2750">
        <v>0</v>
      </c>
      <c r="X2750" s="367"/>
    </row>
    <row r="2751" spans="1:24">
      <c r="A2751" t="s">
        <v>6248</v>
      </c>
      <c r="B2751" t="s">
        <v>6249</v>
      </c>
      <c r="C2751">
        <v>48</v>
      </c>
      <c r="D2751">
        <v>3895332</v>
      </c>
      <c r="E2751">
        <v>100997380006</v>
      </c>
      <c r="F2751">
        <v>25185</v>
      </c>
      <c r="G2751">
        <v>25778</v>
      </c>
      <c r="H2751">
        <v>25940</v>
      </c>
      <c r="I2751">
        <v>755</v>
      </c>
      <c r="J2751">
        <v>3</v>
      </c>
      <c r="K2751">
        <v>25928</v>
      </c>
      <c r="L2751">
        <v>743</v>
      </c>
      <c r="M2751">
        <v>2.95</v>
      </c>
      <c r="N2751">
        <v>25778</v>
      </c>
      <c r="O2751">
        <v>25940</v>
      </c>
      <c r="P2751" t="s">
        <v>192</v>
      </c>
      <c r="Q2751" t="s">
        <v>192</v>
      </c>
      <c r="R2751">
        <v>4</v>
      </c>
      <c r="S2751">
        <v>225463</v>
      </c>
      <c r="T2751">
        <v>25940</v>
      </c>
      <c r="U2751">
        <v>0</v>
      </c>
      <c r="V2751">
        <v>0</v>
      </c>
      <c r="W2751">
        <v>0</v>
      </c>
      <c r="X2751" s="367"/>
    </row>
    <row r="2752" spans="1:24">
      <c r="A2752" t="s">
        <v>6250</v>
      </c>
      <c r="B2752" t="s">
        <v>6251</v>
      </c>
      <c r="C2752">
        <v>178</v>
      </c>
      <c r="D2752">
        <v>39262</v>
      </c>
      <c r="E2752">
        <v>9813892000</v>
      </c>
      <c r="F2752">
        <v>230</v>
      </c>
      <c r="G2752">
        <v>239</v>
      </c>
      <c r="H2752">
        <v>251</v>
      </c>
      <c r="I2752">
        <v>21</v>
      </c>
      <c r="J2752">
        <v>9.1300000000000008</v>
      </c>
      <c r="K2752">
        <v>250</v>
      </c>
      <c r="L2752">
        <v>20</v>
      </c>
      <c r="M2752">
        <v>8.6999999999999993</v>
      </c>
      <c r="N2752">
        <v>239</v>
      </c>
      <c r="O2752">
        <v>252</v>
      </c>
      <c r="P2752" t="s">
        <v>192</v>
      </c>
      <c r="Q2752" t="s">
        <v>192</v>
      </c>
      <c r="R2752">
        <v>1</v>
      </c>
      <c r="S2752">
        <v>20</v>
      </c>
      <c r="T2752">
        <v>241</v>
      </c>
      <c r="U2752">
        <v>252</v>
      </c>
      <c r="V2752">
        <v>540</v>
      </c>
      <c r="W2752">
        <v>3</v>
      </c>
      <c r="X2752" s="367"/>
    </row>
    <row r="2753" spans="1:24">
      <c r="A2753" t="s">
        <v>6252</v>
      </c>
      <c r="B2753" t="s">
        <v>6253</v>
      </c>
      <c r="C2753">
        <v>0</v>
      </c>
      <c r="D2753">
        <v>0</v>
      </c>
      <c r="E2753">
        <v>0</v>
      </c>
      <c r="F2753">
        <v>3553</v>
      </c>
      <c r="G2753">
        <v>0</v>
      </c>
      <c r="H2753">
        <v>3512</v>
      </c>
      <c r="I2753">
        <v>-41</v>
      </c>
      <c r="J2753">
        <v>-1.1499999999999999</v>
      </c>
      <c r="K2753">
        <v>3553</v>
      </c>
      <c r="L2753">
        <v>0</v>
      </c>
      <c r="M2753">
        <v>0</v>
      </c>
      <c r="N2753">
        <v>0</v>
      </c>
      <c r="O2753">
        <v>0</v>
      </c>
      <c r="P2753" t="s">
        <v>192</v>
      </c>
      <c r="Q2753" t="s">
        <v>192</v>
      </c>
      <c r="R2753">
        <v>1</v>
      </c>
      <c r="S2753">
        <v>500</v>
      </c>
      <c r="T2753">
        <v>11</v>
      </c>
      <c r="U2753">
        <v>0</v>
      </c>
      <c r="V2753">
        <v>0</v>
      </c>
      <c r="W2753">
        <v>0</v>
      </c>
      <c r="X2753" s="367"/>
    </row>
    <row r="2754" spans="1:24">
      <c r="A2754" t="s">
        <v>7113</v>
      </c>
      <c r="B2754" t="s">
        <v>8121</v>
      </c>
      <c r="C2754">
        <v>7</v>
      </c>
      <c r="D2754">
        <v>4100</v>
      </c>
      <c r="E2754">
        <v>47000000</v>
      </c>
      <c r="F2754">
        <v>16</v>
      </c>
      <c r="G2754">
        <v>16</v>
      </c>
      <c r="H2754">
        <v>10</v>
      </c>
      <c r="I2754">
        <v>-6</v>
      </c>
      <c r="J2754">
        <v>-37.5</v>
      </c>
      <c r="K2754">
        <v>11</v>
      </c>
      <c r="L2754">
        <v>-5</v>
      </c>
      <c r="M2754">
        <v>-31.25</v>
      </c>
      <c r="N2754">
        <v>10</v>
      </c>
      <c r="O2754">
        <v>16</v>
      </c>
      <c r="P2754" t="s">
        <v>192</v>
      </c>
      <c r="Q2754" t="s">
        <v>192</v>
      </c>
      <c r="R2754">
        <v>1</v>
      </c>
      <c r="S2754">
        <v>10</v>
      </c>
      <c r="T2754">
        <v>5</v>
      </c>
      <c r="U2754">
        <v>20</v>
      </c>
      <c r="V2754">
        <v>1000</v>
      </c>
      <c r="W2754">
        <v>1</v>
      </c>
      <c r="X2754" s="367"/>
    </row>
    <row r="2755" spans="1:24">
      <c r="A2755" t="s">
        <v>6897</v>
      </c>
      <c r="B2755" t="s">
        <v>6898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1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0</v>
      </c>
      <c r="O2755">
        <v>0</v>
      </c>
      <c r="P2755" t="s">
        <v>192</v>
      </c>
      <c r="Q2755" t="s">
        <v>192</v>
      </c>
      <c r="R2755">
        <v>1</v>
      </c>
      <c r="S2755">
        <v>111</v>
      </c>
      <c r="T2755">
        <v>11</v>
      </c>
      <c r="U2755">
        <v>0</v>
      </c>
      <c r="V2755">
        <v>0</v>
      </c>
      <c r="W2755">
        <v>0</v>
      </c>
      <c r="X2755" s="367"/>
    </row>
    <row r="2756" spans="1:24">
      <c r="A2756" t="s">
        <v>6254</v>
      </c>
      <c r="B2756" t="s">
        <v>6255</v>
      </c>
      <c r="C2756">
        <v>37</v>
      </c>
      <c r="D2756">
        <v>632799</v>
      </c>
      <c r="E2756">
        <v>15740515225</v>
      </c>
      <c r="F2756">
        <v>24211</v>
      </c>
      <c r="G2756">
        <v>24935</v>
      </c>
      <c r="H2756">
        <v>24851</v>
      </c>
      <c r="I2756">
        <v>640</v>
      </c>
      <c r="J2756">
        <v>2.64</v>
      </c>
      <c r="K2756">
        <v>24874</v>
      </c>
      <c r="L2756">
        <v>663</v>
      </c>
      <c r="M2756">
        <v>2.74</v>
      </c>
      <c r="N2756">
        <v>24851</v>
      </c>
      <c r="O2756">
        <v>24935</v>
      </c>
      <c r="P2756" t="s">
        <v>192</v>
      </c>
      <c r="Q2756" t="s">
        <v>192</v>
      </c>
      <c r="R2756">
        <v>2</v>
      </c>
      <c r="S2756">
        <v>50042</v>
      </c>
      <c r="T2756">
        <v>24850</v>
      </c>
      <c r="U2756">
        <v>24851</v>
      </c>
      <c r="V2756">
        <v>85381</v>
      </c>
      <c r="W2756">
        <v>1</v>
      </c>
      <c r="X2756" s="367"/>
    </row>
    <row r="2757" spans="1:24">
      <c r="A2757" t="s">
        <v>6256</v>
      </c>
      <c r="B2757" t="s">
        <v>6257</v>
      </c>
      <c r="C2757">
        <v>35</v>
      </c>
      <c r="D2757">
        <v>175010</v>
      </c>
      <c r="E2757">
        <v>4145022808</v>
      </c>
      <c r="F2757">
        <v>23002</v>
      </c>
      <c r="G2757">
        <v>23691</v>
      </c>
      <c r="H2757">
        <v>23692</v>
      </c>
      <c r="I2757">
        <v>690</v>
      </c>
      <c r="J2757">
        <v>3</v>
      </c>
      <c r="K2757">
        <v>23684</v>
      </c>
      <c r="L2757">
        <v>682</v>
      </c>
      <c r="M2757">
        <v>2.96</v>
      </c>
      <c r="N2757">
        <v>23200</v>
      </c>
      <c r="O2757">
        <v>23692</v>
      </c>
      <c r="P2757" t="s">
        <v>192</v>
      </c>
      <c r="Q2757" t="s">
        <v>192</v>
      </c>
      <c r="R2757">
        <v>1</v>
      </c>
      <c r="S2757">
        <v>85</v>
      </c>
      <c r="T2757">
        <v>23692</v>
      </c>
      <c r="U2757">
        <v>0</v>
      </c>
      <c r="V2757">
        <v>0</v>
      </c>
      <c r="W2757">
        <v>0</v>
      </c>
      <c r="X2757" s="367"/>
    </row>
    <row r="2758" spans="1:24">
      <c r="A2758" t="s">
        <v>6258</v>
      </c>
      <c r="B2758" t="s">
        <v>6259</v>
      </c>
      <c r="C2758">
        <v>81</v>
      </c>
      <c r="D2758">
        <v>2131619</v>
      </c>
      <c r="E2758">
        <v>51044398926</v>
      </c>
      <c r="F2758">
        <v>23265</v>
      </c>
      <c r="G2758">
        <v>23848</v>
      </c>
      <c r="H2758">
        <v>23962</v>
      </c>
      <c r="I2758">
        <v>697</v>
      </c>
      <c r="J2758">
        <v>3</v>
      </c>
      <c r="K2758">
        <v>23946</v>
      </c>
      <c r="L2758">
        <v>681</v>
      </c>
      <c r="M2758">
        <v>2.93</v>
      </c>
      <c r="N2758">
        <v>23730</v>
      </c>
      <c r="O2758">
        <v>23962</v>
      </c>
      <c r="P2758" t="s">
        <v>192</v>
      </c>
      <c r="Q2758" t="s">
        <v>192</v>
      </c>
      <c r="R2758">
        <v>2</v>
      </c>
      <c r="S2758">
        <v>239491</v>
      </c>
      <c r="T2758">
        <v>23962</v>
      </c>
      <c r="U2758">
        <v>0</v>
      </c>
      <c r="V2758">
        <v>0</v>
      </c>
      <c r="W2758">
        <v>0</v>
      </c>
      <c r="X2758" s="367"/>
    </row>
    <row r="2759" spans="1:24">
      <c r="A2759" t="s">
        <v>6260</v>
      </c>
      <c r="B2759" t="s">
        <v>6261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1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0</v>
      </c>
      <c r="P2759" t="s">
        <v>192</v>
      </c>
      <c r="Q2759" t="s">
        <v>192</v>
      </c>
      <c r="R2759">
        <v>1</v>
      </c>
      <c r="S2759">
        <v>200</v>
      </c>
      <c r="T2759">
        <v>1010</v>
      </c>
      <c r="U2759">
        <v>0</v>
      </c>
      <c r="V2759">
        <v>0</v>
      </c>
      <c r="W2759">
        <v>0</v>
      </c>
      <c r="X2759" s="367"/>
    </row>
    <row r="2760" spans="1:24">
      <c r="A2760" t="s">
        <v>6995</v>
      </c>
      <c r="B2760" t="s">
        <v>6996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1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0</v>
      </c>
      <c r="O2760">
        <v>0</v>
      </c>
      <c r="P2760" t="s">
        <v>192</v>
      </c>
      <c r="Q2760" t="s">
        <v>192</v>
      </c>
      <c r="R2760">
        <v>1</v>
      </c>
      <c r="S2760">
        <v>100</v>
      </c>
      <c r="T2760">
        <v>1</v>
      </c>
      <c r="U2760">
        <v>0</v>
      </c>
      <c r="V2760">
        <v>0</v>
      </c>
      <c r="W2760">
        <v>0</v>
      </c>
      <c r="X2760" s="367"/>
    </row>
    <row r="2761" spans="1:24">
      <c r="A2761" t="s">
        <v>8428</v>
      </c>
      <c r="B2761" t="s">
        <v>8429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1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0</v>
      </c>
      <c r="P2761" t="s">
        <v>192</v>
      </c>
      <c r="Q2761" t="s">
        <v>192</v>
      </c>
      <c r="R2761">
        <v>1</v>
      </c>
      <c r="S2761">
        <v>100</v>
      </c>
      <c r="T2761">
        <v>1</v>
      </c>
      <c r="U2761">
        <v>0</v>
      </c>
      <c r="V2761">
        <v>0</v>
      </c>
      <c r="W2761">
        <v>0</v>
      </c>
      <c r="X2761" s="367"/>
    </row>
    <row r="2762" spans="1:24">
      <c r="A2762" t="s">
        <v>2492</v>
      </c>
      <c r="B2762" t="s">
        <v>2491</v>
      </c>
      <c r="C2762">
        <v>248</v>
      </c>
      <c r="D2762">
        <v>55237368</v>
      </c>
      <c r="E2762">
        <v>49819367369</v>
      </c>
      <c r="F2762">
        <v>876</v>
      </c>
      <c r="G2762">
        <v>902</v>
      </c>
      <c r="H2762">
        <v>895</v>
      </c>
      <c r="I2762">
        <v>19</v>
      </c>
      <c r="J2762">
        <v>2.17</v>
      </c>
      <c r="K2762">
        <v>902</v>
      </c>
      <c r="L2762">
        <v>26</v>
      </c>
      <c r="M2762">
        <v>2.97</v>
      </c>
      <c r="N2762">
        <v>895</v>
      </c>
      <c r="O2762">
        <v>902</v>
      </c>
      <c r="P2762">
        <v>41</v>
      </c>
      <c r="Q2762">
        <v>22</v>
      </c>
      <c r="R2762">
        <v>1</v>
      </c>
      <c r="S2762">
        <v>895623</v>
      </c>
      <c r="T2762">
        <v>890</v>
      </c>
      <c r="U2762">
        <v>902</v>
      </c>
      <c r="V2762">
        <v>653581</v>
      </c>
      <c r="W2762">
        <v>1</v>
      </c>
      <c r="X2762" s="367"/>
    </row>
    <row r="2763" spans="1:24">
      <c r="A2763" t="s">
        <v>6262</v>
      </c>
      <c r="B2763" t="s">
        <v>6263</v>
      </c>
      <c r="C2763">
        <v>200</v>
      </c>
      <c r="D2763">
        <v>10921664</v>
      </c>
      <c r="E2763">
        <v>163724460934</v>
      </c>
      <c r="F2763">
        <v>14556</v>
      </c>
      <c r="G2763">
        <v>14988</v>
      </c>
      <c r="H2763">
        <v>14992</v>
      </c>
      <c r="I2763">
        <v>436</v>
      </c>
      <c r="J2763">
        <v>3</v>
      </c>
      <c r="K2763">
        <v>14991</v>
      </c>
      <c r="L2763">
        <v>435</v>
      </c>
      <c r="M2763">
        <v>2.99</v>
      </c>
      <c r="N2763">
        <v>14901</v>
      </c>
      <c r="O2763">
        <v>14992</v>
      </c>
      <c r="P2763" t="s">
        <v>192</v>
      </c>
      <c r="Q2763" t="s">
        <v>192</v>
      </c>
      <c r="R2763">
        <v>2</v>
      </c>
      <c r="S2763">
        <v>41979</v>
      </c>
      <c r="T2763">
        <v>14992</v>
      </c>
      <c r="U2763">
        <v>15990</v>
      </c>
      <c r="V2763">
        <v>1500</v>
      </c>
      <c r="W2763">
        <v>1</v>
      </c>
      <c r="X2763" s="367"/>
    </row>
    <row r="2764" spans="1:24">
      <c r="A2764" t="s">
        <v>6264</v>
      </c>
      <c r="B2764" t="s">
        <v>6265</v>
      </c>
      <c r="C2764">
        <v>0</v>
      </c>
      <c r="D2764">
        <v>0</v>
      </c>
      <c r="E2764">
        <v>0</v>
      </c>
      <c r="F2764">
        <v>1000000</v>
      </c>
      <c r="G2764">
        <v>0</v>
      </c>
      <c r="H2764">
        <v>1000000</v>
      </c>
      <c r="I2764">
        <v>0</v>
      </c>
      <c r="J2764">
        <v>0</v>
      </c>
      <c r="K2764">
        <v>1000000</v>
      </c>
      <c r="L2764">
        <v>0</v>
      </c>
      <c r="M2764">
        <v>0</v>
      </c>
      <c r="N2764">
        <v>0</v>
      </c>
      <c r="O2764">
        <v>0</v>
      </c>
      <c r="P2764" t="s">
        <v>192</v>
      </c>
      <c r="Q2764" t="s">
        <v>192</v>
      </c>
      <c r="R2764">
        <v>1</v>
      </c>
      <c r="S2764">
        <v>5000</v>
      </c>
      <c r="T2764">
        <v>990000</v>
      </c>
      <c r="U2764">
        <v>1000000</v>
      </c>
      <c r="V2764">
        <v>5000</v>
      </c>
      <c r="W2764">
        <v>1</v>
      </c>
      <c r="X2764" s="367"/>
    </row>
    <row r="2765" spans="1:24">
      <c r="A2765" t="s">
        <v>6266</v>
      </c>
      <c r="B2765" t="s">
        <v>6267</v>
      </c>
      <c r="C2765">
        <v>0</v>
      </c>
      <c r="D2765">
        <v>0</v>
      </c>
      <c r="E2765">
        <v>0</v>
      </c>
      <c r="F2765">
        <v>999900</v>
      </c>
      <c r="G2765">
        <v>0</v>
      </c>
      <c r="H2765">
        <v>999900</v>
      </c>
      <c r="I2765">
        <v>0</v>
      </c>
      <c r="J2765">
        <v>0</v>
      </c>
      <c r="K2765">
        <v>999900</v>
      </c>
      <c r="L2765">
        <v>0</v>
      </c>
      <c r="M2765">
        <v>0</v>
      </c>
      <c r="N2765">
        <v>0</v>
      </c>
      <c r="O2765">
        <v>0</v>
      </c>
      <c r="P2765" t="s">
        <v>192</v>
      </c>
      <c r="Q2765" t="s">
        <v>192</v>
      </c>
      <c r="R2765">
        <v>1</v>
      </c>
      <c r="S2765">
        <v>5000</v>
      </c>
      <c r="T2765">
        <v>999900</v>
      </c>
      <c r="U2765">
        <v>1010000</v>
      </c>
      <c r="V2765">
        <v>5000</v>
      </c>
      <c r="W2765">
        <v>1</v>
      </c>
      <c r="X2765" s="367"/>
    </row>
    <row r="2766" spans="1:24">
      <c r="A2766" t="s">
        <v>6268</v>
      </c>
      <c r="B2766" t="s">
        <v>6269</v>
      </c>
      <c r="C2766">
        <v>0</v>
      </c>
      <c r="D2766">
        <v>0</v>
      </c>
      <c r="E2766">
        <v>0</v>
      </c>
      <c r="F2766">
        <v>1000000</v>
      </c>
      <c r="G2766">
        <v>0</v>
      </c>
      <c r="H2766">
        <v>1000000</v>
      </c>
      <c r="I2766">
        <v>0</v>
      </c>
      <c r="J2766">
        <v>0</v>
      </c>
      <c r="K2766">
        <v>1000000</v>
      </c>
      <c r="L2766">
        <v>0</v>
      </c>
      <c r="M2766">
        <v>0</v>
      </c>
      <c r="N2766">
        <v>0</v>
      </c>
      <c r="O2766">
        <v>0</v>
      </c>
      <c r="P2766" t="s">
        <v>192</v>
      </c>
      <c r="Q2766" t="s">
        <v>192</v>
      </c>
      <c r="R2766">
        <v>1</v>
      </c>
      <c r="S2766">
        <v>5000</v>
      </c>
      <c r="T2766">
        <v>1000000</v>
      </c>
      <c r="U2766">
        <v>1010000</v>
      </c>
      <c r="V2766">
        <v>5000</v>
      </c>
      <c r="W2766">
        <v>1</v>
      </c>
      <c r="X2766" s="367"/>
    </row>
    <row r="2767" spans="1:24">
      <c r="A2767" t="s">
        <v>6993</v>
      </c>
      <c r="B2767" t="s">
        <v>6994</v>
      </c>
      <c r="C2767">
        <v>0</v>
      </c>
      <c r="D2767">
        <v>0</v>
      </c>
      <c r="E2767">
        <v>0</v>
      </c>
      <c r="F2767">
        <v>246</v>
      </c>
      <c r="G2767">
        <v>0</v>
      </c>
      <c r="H2767">
        <v>246</v>
      </c>
      <c r="I2767">
        <v>0</v>
      </c>
      <c r="J2767">
        <v>0</v>
      </c>
      <c r="K2767">
        <v>246</v>
      </c>
      <c r="L2767">
        <v>0</v>
      </c>
      <c r="M2767">
        <v>0</v>
      </c>
      <c r="N2767">
        <v>0</v>
      </c>
      <c r="O2767">
        <v>0</v>
      </c>
      <c r="P2767" t="s">
        <v>192</v>
      </c>
      <c r="Q2767" t="s">
        <v>192</v>
      </c>
      <c r="R2767">
        <v>1</v>
      </c>
      <c r="S2767">
        <v>100</v>
      </c>
      <c r="T2767">
        <v>1</v>
      </c>
      <c r="U2767">
        <v>0</v>
      </c>
      <c r="V2767">
        <v>0</v>
      </c>
      <c r="W2767">
        <v>0</v>
      </c>
      <c r="X2767" s="367"/>
    </row>
    <row r="2768" spans="1:24">
      <c r="A2768" t="s">
        <v>6270</v>
      </c>
      <c r="B2768" t="s">
        <v>6271</v>
      </c>
      <c r="C2768">
        <v>0</v>
      </c>
      <c r="D2768">
        <v>0</v>
      </c>
      <c r="E2768">
        <v>0</v>
      </c>
      <c r="F2768">
        <v>1000000</v>
      </c>
      <c r="G2768">
        <v>0</v>
      </c>
      <c r="H2768">
        <v>1000000</v>
      </c>
      <c r="I2768">
        <v>0</v>
      </c>
      <c r="J2768">
        <v>0</v>
      </c>
      <c r="K2768">
        <v>1000000</v>
      </c>
      <c r="L2768">
        <v>0</v>
      </c>
      <c r="M2768">
        <v>0</v>
      </c>
      <c r="N2768">
        <v>0</v>
      </c>
      <c r="O2768">
        <v>0</v>
      </c>
      <c r="P2768" t="s">
        <v>192</v>
      </c>
      <c r="Q2768" t="s">
        <v>192</v>
      </c>
      <c r="R2768">
        <v>1</v>
      </c>
      <c r="S2768">
        <v>5000</v>
      </c>
      <c r="T2768">
        <v>995000</v>
      </c>
      <c r="U2768">
        <v>1004000</v>
      </c>
      <c r="V2768">
        <v>5000</v>
      </c>
      <c r="W2768">
        <v>1</v>
      </c>
      <c r="X2768" s="367"/>
    </row>
    <row r="2769" spans="1:24">
      <c r="A2769" t="s">
        <v>2547</v>
      </c>
      <c r="B2769" t="s">
        <v>2546</v>
      </c>
      <c r="C2769">
        <v>591</v>
      </c>
      <c r="D2769">
        <v>9969174</v>
      </c>
      <c r="E2769">
        <v>107694796540</v>
      </c>
      <c r="F2769">
        <v>10550</v>
      </c>
      <c r="G2769">
        <v>10750</v>
      </c>
      <c r="H2769">
        <v>10860</v>
      </c>
      <c r="I2769">
        <v>310</v>
      </c>
      <c r="J2769">
        <v>2.94</v>
      </c>
      <c r="K2769">
        <v>10800</v>
      </c>
      <c r="L2769">
        <v>250</v>
      </c>
      <c r="M2769">
        <v>2.37</v>
      </c>
      <c r="N2769">
        <v>10440</v>
      </c>
      <c r="O2769">
        <v>10860</v>
      </c>
      <c r="P2769">
        <v>1620</v>
      </c>
      <c r="Q2769">
        <v>6.67</v>
      </c>
      <c r="R2769">
        <v>21</v>
      </c>
      <c r="S2769">
        <v>1956993</v>
      </c>
      <c r="T2769">
        <v>10860</v>
      </c>
      <c r="U2769">
        <v>10940</v>
      </c>
      <c r="V2769">
        <v>5000</v>
      </c>
      <c r="W2769">
        <v>1</v>
      </c>
      <c r="X2769" s="367"/>
    </row>
    <row r="2770" spans="1:24">
      <c r="A2770" t="s">
        <v>6272</v>
      </c>
      <c r="B2770" t="s">
        <v>6273</v>
      </c>
      <c r="C2770">
        <v>0</v>
      </c>
      <c r="D2770">
        <v>0</v>
      </c>
      <c r="E2770">
        <v>0</v>
      </c>
      <c r="F2770">
        <v>970000</v>
      </c>
      <c r="G2770">
        <v>0</v>
      </c>
      <c r="H2770">
        <v>970000</v>
      </c>
      <c r="I2770">
        <v>0</v>
      </c>
      <c r="J2770">
        <v>0</v>
      </c>
      <c r="K2770">
        <v>970000</v>
      </c>
      <c r="L2770">
        <v>0</v>
      </c>
      <c r="M2770">
        <v>0</v>
      </c>
      <c r="N2770">
        <v>0</v>
      </c>
      <c r="O2770">
        <v>0</v>
      </c>
      <c r="P2770" t="s">
        <v>192</v>
      </c>
      <c r="Q2770" t="s">
        <v>192</v>
      </c>
      <c r="R2770">
        <v>1</v>
      </c>
      <c r="S2770">
        <v>5000</v>
      </c>
      <c r="T2770">
        <v>1000000</v>
      </c>
      <c r="U2770">
        <v>0</v>
      </c>
      <c r="V2770">
        <v>0</v>
      </c>
      <c r="W2770">
        <v>0</v>
      </c>
      <c r="X2770" s="367"/>
    </row>
    <row r="2771" spans="1:24">
      <c r="A2771" t="s">
        <v>8263</v>
      </c>
      <c r="B2771" t="s">
        <v>8264</v>
      </c>
      <c r="C2771">
        <v>0</v>
      </c>
      <c r="D2771">
        <v>0</v>
      </c>
      <c r="E2771">
        <v>0</v>
      </c>
      <c r="F2771">
        <v>1</v>
      </c>
      <c r="G2771">
        <v>0</v>
      </c>
      <c r="H2771">
        <v>1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>
        <v>0</v>
      </c>
      <c r="P2771" t="s">
        <v>192</v>
      </c>
      <c r="Q2771" t="s">
        <v>192</v>
      </c>
      <c r="R2771">
        <v>1</v>
      </c>
      <c r="S2771">
        <v>99</v>
      </c>
      <c r="T2771">
        <v>33</v>
      </c>
      <c r="U2771">
        <v>300</v>
      </c>
      <c r="V2771">
        <v>100</v>
      </c>
      <c r="W2771">
        <v>1</v>
      </c>
      <c r="X2771" s="367"/>
    </row>
    <row r="2772" spans="1:24">
      <c r="A2772" t="s">
        <v>6274</v>
      </c>
      <c r="B2772" t="s">
        <v>6275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P2772" t="s">
        <v>192</v>
      </c>
      <c r="Q2772" t="s">
        <v>192</v>
      </c>
      <c r="R2772">
        <v>1</v>
      </c>
      <c r="S2772">
        <v>100</v>
      </c>
      <c r="T2772">
        <v>1</v>
      </c>
      <c r="U2772">
        <v>0</v>
      </c>
      <c r="V2772">
        <v>0</v>
      </c>
      <c r="W2772">
        <v>0</v>
      </c>
      <c r="X2772" s="367"/>
    </row>
    <row r="2773" spans="1:24">
      <c r="A2773" t="s">
        <v>6276</v>
      </c>
      <c r="B2773" t="s">
        <v>6277</v>
      </c>
      <c r="C2773">
        <v>2</v>
      </c>
      <c r="D2773">
        <v>19</v>
      </c>
      <c r="E2773">
        <v>170321000</v>
      </c>
      <c r="F2773">
        <v>6364</v>
      </c>
      <c r="G2773">
        <v>8339</v>
      </c>
      <c r="H2773">
        <v>8999</v>
      </c>
      <c r="I2773">
        <v>2635</v>
      </c>
      <c r="J2773">
        <v>41.4</v>
      </c>
      <c r="K2773">
        <v>8964</v>
      </c>
      <c r="L2773">
        <v>2600</v>
      </c>
      <c r="M2773">
        <v>40.85</v>
      </c>
      <c r="N2773">
        <v>8339</v>
      </c>
      <c r="O2773">
        <v>8999</v>
      </c>
      <c r="P2773" t="s">
        <v>192</v>
      </c>
      <c r="Q2773" t="s">
        <v>192</v>
      </c>
      <c r="R2773">
        <v>1</v>
      </c>
      <c r="S2773">
        <v>10</v>
      </c>
      <c r="T2773">
        <v>7340</v>
      </c>
      <c r="U2773">
        <v>0</v>
      </c>
      <c r="V2773">
        <v>0</v>
      </c>
      <c r="W2773">
        <v>0</v>
      </c>
      <c r="X2773" s="367"/>
    </row>
    <row r="2774" spans="1:24">
      <c r="A2774" t="s">
        <v>6278</v>
      </c>
      <c r="B2774" t="s">
        <v>6279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1</v>
      </c>
      <c r="I2774">
        <v>0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 t="s">
        <v>192</v>
      </c>
      <c r="Q2774" t="s">
        <v>192</v>
      </c>
      <c r="R2774">
        <v>1</v>
      </c>
      <c r="S2774">
        <v>100</v>
      </c>
      <c r="T2774">
        <v>1</v>
      </c>
      <c r="U2774">
        <v>0</v>
      </c>
      <c r="V2774">
        <v>0</v>
      </c>
      <c r="W2774">
        <v>0</v>
      </c>
      <c r="X2774" s="367"/>
    </row>
    <row r="2775" spans="1:24">
      <c r="A2775" t="s">
        <v>2100</v>
      </c>
      <c r="B2775" t="s">
        <v>2099</v>
      </c>
      <c r="C2775">
        <v>140</v>
      </c>
      <c r="D2775">
        <v>2377600</v>
      </c>
      <c r="E2775">
        <v>29387136000</v>
      </c>
      <c r="F2775">
        <v>12000</v>
      </c>
      <c r="G2775">
        <v>12360</v>
      </c>
      <c r="H2775">
        <v>12360</v>
      </c>
      <c r="I2775">
        <v>360</v>
      </c>
      <c r="J2775">
        <v>3</v>
      </c>
      <c r="K2775">
        <v>12360</v>
      </c>
      <c r="L2775">
        <v>360</v>
      </c>
      <c r="M2775">
        <v>3</v>
      </c>
      <c r="N2775">
        <v>12360</v>
      </c>
      <c r="O2775">
        <v>12360</v>
      </c>
      <c r="P2775">
        <v>1668</v>
      </c>
      <c r="Q2775">
        <v>7.41</v>
      </c>
      <c r="R2775">
        <v>69</v>
      </c>
      <c r="S2775">
        <v>3989453</v>
      </c>
      <c r="T2775">
        <v>12360</v>
      </c>
      <c r="U2775">
        <v>0</v>
      </c>
      <c r="V2775">
        <v>0</v>
      </c>
      <c r="W2775">
        <v>0</v>
      </c>
      <c r="X2775" s="367"/>
    </row>
    <row r="2776" spans="1:24">
      <c r="A2776" t="s">
        <v>6280</v>
      </c>
      <c r="B2776" t="s">
        <v>6281</v>
      </c>
      <c r="C2776">
        <v>0</v>
      </c>
      <c r="D2776">
        <v>0</v>
      </c>
      <c r="E2776">
        <v>0</v>
      </c>
      <c r="F2776">
        <v>1000000</v>
      </c>
      <c r="G2776">
        <v>0</v>
      </c>
      <c r="H2776">
        <v>1000000</v>
      </c>
      <c r="I2776">
        <v>0</v>
      </c>
      <c r="J2776">
        <v>0</v>
      </c>
      <c r="K2776">
        <v>1000000</v>
      </c>
      <c r="L2776">
        <v>0</v>
      </c>
      <c r="M2776">
        <v>0</v>
      </c>
      <c r="N2776">
        <v>0</v>
      </c>
      <c r="O2776">
        <v>0</v>
      </c>
      <c r="P2776" t="s">
        <v>192</v>
      </c>
      <c r="Q2776" t="s">
        <v>192</v>
      </c>
      <c r="R2776">
        <v>1</v>
      </c>
      <c r="S2776">
        <v>5000</v>
      </c>
      <c r="T2776">
        <v>995000</v>
      </c>
      <c r="U2776">
        <v>1004950</v>
      </c>
      <c r="V2776">
        <v>5000</v>
      </c>
      <c r="W2776">
        <v>1</v>
      </c>
      <c r="X2776" s="367"/>
    </row>
    <row r="2777" spans="1:24">
      <c r="A2777" t="s">
        <v>8876</v>
      </c>
      <c r="B2777" t="s">
        <v>175</v>
      </c>
      <c r="C2777">
        <v>17</v>
      </c>
      <c r="D2777">
        <v>83792</v>
      </c>
      <c r="E2777">
        <v>941822080</v>
      </c>
      <c r="F2777">
        <v>10920</v>
      </c>
      <c r="G2777">
        <v>11240</v>
      </c>
      <c r="H2777">
        <v>11240</v>
      </c>
      <c r="I2777">
        <v>320</v>
      </c>
      <c r="J2777">
        <v>2.93</v>
      </c>
      <c r="K2777">
        <v>11240</v>
      </c>
      <c r="L2777">
        <v>320</v>
      </c>
      <c r="M2777">
        <v>2.93</v>
      </c>
      <c r="N2777">
        <v>11240</v>
      </c>
      <c r="O2777">
        <v>11240</v>
      </c>
      <c r="P2777">
        <v>1816</v>
      </c>
      <c r="Q2777">
        <v>6.19</v>
      </c>
      <c r="R2777">
        <v>2706</v>
      </c>
      <c r="S2777">
        <v>252477738</v>
      </c>
      <c r="T2777">
        <v>11240</v>
      </c>
      <c r="U2777">
        <v>0</v>
      </c>
      <c r="V2777">
        <v>0</v>
      </c>
      <c r="W2777">
        <v>0</v>
      </c>
      <c r="X2777" s="367"/>
    </row>
    <row r="2778" spans="1:24">
      <c r="A2778" t="s">
        <v>6282</v>
      </c>
      <c r="B2778" t="s">
        <v>6283</v>
      </c>
      <c r="C2778">
        <v>0</v>
      </c>
      <c r="D2778">
        <v>0</v>
      </c>
      <c r="E2778">
        <v>0</v>
      </c>
      <c r="F2778">
        <v>1000000</v>
      </c>
      <c r="G2778">
        <v>0</v>
      </c>
      <c r="H2778">
        <v>1000000</v>
      </c>
      <c r="I2778">
        <v>0</v>
      </c>
      <c r="J2778">
        <v>0</v>
      </c>
      <c r="K2778">
        <v>1000000</v>
      </c>
      <c r="L2778">
        <v>0</v>
      </c>
      <c r="M2778">
        <v>0</v>
      </c>
      <c r="N2778">
        <v>0</v>
      </c>
      <c r="O2778">
        <v>0</v>
      </c>
      <c r="P2778" t="s">
        <v>192</v>
      </c>
      <c r="Q2778" t="s">
        <v>192</v>
      </c>
      <c r="R2778">
        <v>1</v>
      </c>
      <c r="S2778">
        <v>10000</v>
      </c>
      <c r="T2778">
        <v>1000000</v>
      </c>
      <c r="U2778">
        <v>1010000</v>
      </c>
      <c r="V2778">
        <v>10000</v>
      </c>
      <c r="W2778">
        <v>1</v>
      </c>
      <c r="X2778" s="367"/>
    </row>
    <row r="2779" spans="1:24">
      <c r="A2779" t="s">
        <v>6284</v>
      </c>
      <c r="B2779" t="s">
        <v>6285</v>
      </c>
      <c r="C2779">
        <v>0</v>
      </c>
      <c r="D2779">
        <v>0</v>
      </c>
      <c r="E2779">
        <v>0</v>
      </c>
      <c r="F2779">
        <v>1019737</v>
      </c>
      <c r="G2779">
        <v>0</v>
      </c>
      <c r="H2779">
        <v>1019737</v>
      </c>
      <c r="I2779">
        <v>0</v>
      </c>
      <c r="J2779">
        <v>0</v>
      </c>
      <c r="K2779">
        <v>1019737</v>
      </c>
      <c r="L2779">
        <v>0</v>
      </c>
      <c r="M2779">
        <v>0</v>
      </c>
      <c r="N2779">
        <v>0</v>
      </c>
      <c r="O2779">
        <v>0</v>
      </c>
      <c r="P2779" t="s">
        <v>192</v>
      </c>
      <c r="Q2779" t="s">
        <v>192</v>
      </c>
      <c r="R2779">
        <v>1</v>
      </c>
      <c r="S2779">
        <v>3000</v>
      </c>
      <c r="T2779">
        <v>876893</v>
      </c>
      <c r="U2779">
        <v>0</v>
      </c>
      <c r="V2779">
        <v>0</v>
      </c>
      <c r="W2779">
        <v>0</v>
      </c>
      <c r="X2779" s="367"/>
    </row>
    <row r="2780" spans="1:24">
      <c r="A2780" t="s">
        <v>6286</v>
      </c>
      <c r="B2780" t="s">
        <v>5421</v>
      </c>
      <c r="C2780">
        <v>6857</v>
      </c>
      <c r="D2780">
        <v>2282149</v>
      </c>
      <c r="E2780">
        <v>2952891567062</v>
      </c>
      <c r="F2780">
        <v>1300635</v>
      </c>
      <c r="G2780">
        <v>1300000</v>
      </c>
      <c r="H2780">
        <v>1293206</v>
      </c>
      <c r="I2780">
        <v>-7429</v>
      </c>
      <c r="J2780">
        <v>-0.56999999999999995</v>
      </c>
      <c r="K2780">
        <v>1293908</v>
      </c>
      <c r="L2780">
        <v>-6727</v>
      </c>
      <c r="M2780">
        <v>-0.52</v>
      </c>
      <c r="N2780">
        <v>1290003</v>
      </c>
      <c r="O2780">
        <v>1300321</v>
      </c>
      <c r="P2780" t="s">
        <v>192</v>
      </c>
      <c r="Q2780" t="s">
        <v>192</v>
      </c>
      <c r="R2780">
        <v>2</v>
      </c>
      <c r="S2780">
        <v>2620</v>
      </c>
      <c r="T2780">
        <v>1293205</v>
      </c>
      <c r="U2780">
        <v>1293270</v>
      </c>
      <c r="V2780">
        <v>1860</v>
      </c>
      <c r="W2780">
        <v>5</v>
      </c>
      <c r="X2780" s="367"/>
    </row>
    <row r="2781" spans="1:24">
      <c r="A2781" t="s">
        <v>6287</v>
      </c>
      <c r="B2781" t="s">
        <v>6288</v>
      </c>
      <c r="C2781">
        <v>0</v>
      </c>
      <c r="D2781">
        <v>0</v>
      </c>
      <c r="E2781">
        <v>0</v>
      </c>
      <c r="F2781">
        <v>1000000</v>
      </c>
      <c r="G2781">
        <v>0</v>
      </c>
      <c r="H2781">
        <v>1000000</v>
      </c>
      <c r="I2781">
        <v>0</v>
      </c>
      <c r="J2781">
        <v>0</v>
      </c>
      <c r="K2781">
        <v>1000000</v>
      </c>
      <c r="L2781">
        <v>0</v>
      </c>
      <c r="M2781">
        <v>0</v>
      </c>
      <c r="N2781">
        <v>0</v>
      </c>
      <c r="O2781">
        <v>0</v>
      </c>
      <c r="P2781" t="s">
        <v>192</v>
      </c>
      <c r="Q2781" t="s">
        <v>192</v>
      </c>
      <c r="R2781">
        <v>1</v>
      </c>
      <c r="S2781">
        <v>5000</v>
      </c>
      <c r="T2781">
        <v>995000</v>
      </c>
      <c r="U2781">
        <v>1004950</v>
      </c>
      <c r="V2781">
        <v>5000</v>
      </c>
      <c r="W2781">
        <v>1</v>
      </c>
      <c r="X2781" s="367"/>
    </row>
    <row r="2782" spans="1:24">
      <c r="A2782" t="s">
        <v>2866</v>
      </c>
      <c r="B2782" t="s">
        <v>2865</v>
      </c>
      <c r="C2782">
        <v>292</v>
      </c>
      <c r="D2782">
        <v>1329965</v>
      </c>
      <c r="E2782">
        <v>20561258900</v>
      </c>
      <c r="F2782">
        <v>15010</v>
      </c>
      <c r="G2782">
        <v>15460</v>
      </c>
      <c r="H2782">
        <v>15460</v>
      </c>
      <c r="I2782">
        <v>450</v>
      </c>
      <c r="J2782">
        <v>3</v>
      </c>
      <c r="K2782">
        <v>15460</v>
      </c>
      <c r="L2782">
        <v>450</v>
      </c>
      <c r="M2782">
        <v>3</v>
      </c>
      <c r="N2782">
        <v>15460</v>
      </c>
      <c r="O2782">
        <v>15460</v>
      </c>
      <c r="P2782">
        <v>2027</v>
      </c>
      <c r="Q2782">
        <v>7.63</v>
      </c>
      <c r="R2782">
        <v>84</v>
      </c>
      <c r="S2782">
        <v>5378290</v>
      </c>
      <c r="T2782">
        <v>15460</v>
      </c>
      <c r="U2782">
        <v>0</v>
      </c>
      <c r="V2782">
        <v>0</v>
      </c>
      <c r="W2782">
        <v>0</v>
      </c>
      <c r="X2782" s="367"/>
    </row>
    <row r="2783" spans="1:24">
      <c r="A2783" t="s">
        <v>6289</v>
      </c>
      <c r="B2783" t="s">
        <v>6290</v>
      </c>
      <c r="C2783">
        <v>0</v>
      </c>
      <c r="D2783">
        <v>0</v>
      </c>
      <c r="E2783">
        <v>0</v>
      </c>
      <c r="F2783">
        <v>1000000</v>
      </c>
      <c r="G2783">
        <v>0</v>
      </c>
      <c r="H2783">
        <v>1000000</v>
      </c>
      <c r="I2783">
        <v>0</v>
      </c>
      <c r="J2783">
        <v>0</v>
      </c>
      <c r="K2783">
        <v>1000000</v>
      </c>
      <c r="L2783">
        <v>0</v>
      </c>
      <c r="M2783">
        <v>0</v>
      </c>
      <c r="N2783">
        <v>0</v>
      </c>
      <c r="O2783">
        <v>0</v>
      </c>
      <c r="P2783" t="s">
        <v>192</v>
      </c>
      <c r="Q2783" t="s">
        <v>192</v>
      </c>
      <c r="R2783">
        <v>1</v>
      </c>
      <c r="S2783">
        <v>5000</v>
      </c>
      <c r="T2783">
        <v>1000000</v>
      </c>
      <c r="U2783">
        <v>1010000</v>
      </c>
      <c r="V2783">
        <v>5000</v>
      </c>
      <c r="W2783">
        <v>1</v>
      </c>
      <c r="X2783" s="367"/>
    </row>
    <row r="2784" spans="1:24">
      <c r="A2784" t="s">
        <v>2972</v>
      </c>
      <c r="B2784" t="s">
        <v>2971</v>
      </c>
      <c r="C2784">
        <v>152</v>
      </c>
      <c r="D2784">
        <v>15071157</v>
      </c>
      <c r="E2784">
        <v>35914567131</v>
      </c>
      <c r="F2784">
        <v>2314</v>
      </c>
      <c r="G2784">
        <v>2383</v>
      </c>
      <c r="H2784">
        <v>2383</v>
      </c>
      <c r="I2784">
        <v>69</v>
      </c>
      <c r="J2784">
        <v>2.98</v>
      </c>
      <c r="K2784">
        <v>2383</v>
      </c>
      <c r="L2784">
        <v>69</v>
      </c>
      <c r="M2784">
        <v>2.98</v>
      </c>
      <c r="N2784">
        <v>2383</v>
      </c>
      <c r="O2784">
        <v>2383</v>
      </c>
      <c r="P2784">
        <v>724</v>
      </c>
      <c r="Q2784">
        <v>3.29</v>
      </c>
      <c r="R2784">
        <v>32</v>
      </c>
      <c r="S2784">
        <v>5083072</v>
      </c>
      <c r="T2784">
        <v>2383</v>
      </c>
      <c r="U2784">
        <v>0</v>
      </c>
      <c r="V2784">
        <v>0</v>
      </c>
      <c r="W2784">
        <v>0</v>
      </c>
      <c r="X2784" s="367"/>
    </row>
    <row r="2785" spans="1:24">
      <c r="A2785" t="s">
        <v>7041</v>
      </c>
      <c r="B2785" t="s">
        <v>7042</v>
      </c>
      <c r="C2785">
        <v>0</v>
      </c>
      <c r="D2785">
        <v>0</v>
      </c>
      <c r="E2785">
        <v>0</v>
      </c>
      <c r="F2785">
        <v>100</v>
      </c>
      <c r="G2785">
        <v>0</v>
      </c>
      <c r="H2785">
        <v>100</v>
      </c>
      <c r="I2785">
        <v>0</v>
      </c>
      <c r="J2785">
        <v>0</v>
      </c>
      <c r="K2785">
        <v>100</v>
      </c>
      <c r="L2785">
        <v>0</v>
      </c>
      <c r="M2785">
        <v>0</v>
      </c>
      <c r="N2785">
        <v>0</v>
      </c>
      <c r="O2785">
        <v>0</v>
      </c>
      <c r="P2785" t="s">
        <v>192</v>
      </c>
      <c r="Q2785" t="s">
        <v>192</v>
      </c>
      <c r="R2785">
        <v>1</v>
      </c>
      <c r="S2785">
        <v>25</v>
      </c>
      <c r="T2785">
        <v>111</v>
      </c>
      <c r="U2785">
        <v>145</v>
      </c>
      <c r="V2785">
        <v>20</v>
      </c>
      <c r="W2785">
        <v>2</v>
      </c>
      <c r="X2785" s="367"/>
    </row>
    <row r="2786" spans="1:24">
      <c r="A2786" t="s">
        <v>2067</v>
      </c>
      <c r="B2786" t="s">
        <v>2066</v>
      </c>
      <c r="C2786">
        <v>220</v>
      </c>
      <c r="D2786">
        <v>13013463</v>
      </c>
      <c r="E2786">
        <v>38966399336</v>
      </c>
      <c r="F2786">
        <v>2912</v>
      </c>
      <c r="G2786">
        <v>2999</v>
      </c>
      <c r="H2786">
        <v>2936</v>
      </c>
      <c r="I2786">
        <v>24</v>
      </c>
      <c r="J2786">
        <v>0.82</v>
      </c>
      <c r="K2786">
        <v>2994</v>
      </c>
      <c r="L2786">
        <v>82</v>
      </c>
      <c r="M2786">
        <v>2.82</v>
      </c>
      <c r="N2786">
        <v>2912</v>
      </c>
      <c r="O2786">
        <v>2999</v>
      </c>
      <c r="P2786">
        <v>385</v>
      </c>
      <c r="Q2786">
        <v>7.78</v>
      </c>
      <c r="R2786">
        <v>1</v>
      </c>
      <c r="S2786">
        <v>2693</v>
      </c>
      <c r="T2786">
        <v>2939</v>
      </c>
      <c r="U2786">
        <v>2994</v>
      </c>
      <c r="V2786">
        <v>360431</v>
      </c>
      <c r="W2786">
        <v>2</v>
      </c>
      <c r="X2786" s="367"/>
    </row>
    <row r="2787" spans="1:24">
      <c r="A2787" t="s">
        <v>6291</v>
      </c>
      <c r="B2787" t="s">
        <v>6292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1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 t="s">
        <v>192</v>
      </c>
      <c r="Q2787" t="s">
        <v>192</v>
      </c>
      <c r="R2787">
        <v>1</v>
      </c>
      <c r="S2787">
        <v>1</v>
      </c>
      <c r="T2787">
        <v>6000</v>
      </c>
      <c r="U2787">
        <v>0</v>
      </c>
      <c r="V2787">
        <v>0</v>
      </c>
      <c r="W2787">
        <v>0</v>
      </c>
      <c r="X2787" s="367"/>
    </row>
    <row r="2788" spans="1:24">
      <c r="A2788" t="s">
        <v>6293</v>
      </c>
      <c r="B2788" t="s">
        <v>6294</v>
      </c>
      <c r="C2788">
        <v>0</v>
      </c>
      <c r="D2788">
        <v>0</v>
      </c>
      <c r="E2788">
        <v>0</v>
      </c>
      <c r="F2788">
        <v>1000000</v>
      </c>
      <c r="G2788">
        <v>0</v>
      </c>
      <c r="H2788">
        <v>1000000</v>
      </c>
      <c r="I2788">
        <v>0</v>
      </c>
      <c r="J2788">
        <v>0</v>
      </c>
      <c r="K2788">
        <v>1000000</v>
      </c>
      <c r="L2788">
        <v>0</v>
      </c>
      <c r="M2788">
        <v>0</v>
      </c>
      <c r="N2788">
        <v>0</v>
      </c>
      <c r="O2788">
        <v>0</v>
      </c>
      <c r="P2788" t="s">
        <v>192</v>
      </c>
      <c r="Q2788" t="s">
        <v>192</v>
      </c>
      <c r="R2788">
        <v>1</v>
      </c>
      <c r="S2788">
        <v>5000</v>
      </c>
      <c r="T2788">
        <v>950000</v>
      </c>
      <c r="U2788">
        <v>0</v>
      </c>
      <c r="V2788">
        <v>0</v>
      </c>
      <c r="W2788">
        <v>0</v>
      </c>
      <c r="X2788" s="367"/>
    </row>
    <row r="2789" spans="1:24">
      <c r="A2789" t="s">
        <v>6295</v>
      </c>
      <c r="B2789" t="s">
        <v>6296</v>
      </c>
      <c r="C2789">
        <v>0</v>
      </c>
      <c r="D2789">
        <v>0</v>
      </c>
      <c r="E2789">
        <v>0</v>
      </c>
      <c r="F2789">
        <v>999975</v>
      </c>
      <c r="G2789">
        <v>0</v>
      </c>
      <c r="H2789">
        <v>995000</v>
      </c>
      <c r="I2789">
        <v>-4975</v>
      </c>
      <c r="J2789">
        <v>-0.5</v>
      </c>
      <c r="K2789">
        <v>999975</v>
      </c>
      <c r="L2789">
        <v>0</v>
      </c>
      <c r="M2789">
        <v>0</v>
      </c>
      <c r="N2789">
        <v>0</v>
      </c>
      <c r="O2789">
        <v>0</v>
      </c>
      <c r="P2789" t="s">
        <v>192</v>
      </c>
      <c r="Q2789" t="s">
        <v>192</v>
      </c>
      <c r="R2789">
        <v>1</v>
      </c>
      <c r="S2789">
        <v>10000</v>
      </c>
      <c r="T2789">
        <v>995000</v>
      </c>
      <c r="U2789">
        <v>1004950</v>
      </c>
      <c r="V2789">
        <v>7500</v>
      </c>
      <c r="W2789">
        <v>1</v>
      </c>
      <c r="X2789" s="367"/>
    </row>
    <row r="2790" spans="1:24">
      <c r="A2790" t="s">
        <v>6539</v>
      </c>
      <c r="B2790" t="s">
        <v>8135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1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0</v>
      </c>
      <c r="P2790" t="s">
        <v>192</v>
      </c>
      <c r="Q2790" t="s">
        <v>192</v>
      </c>
      <c r="R2790">
        <v>1</v>
      </c>
      <c r="S2790">
        <v>100</v>
      </c>
      <c r="T2790">
        <v>1</v>
      </c>
      <c r="U2790">
        <v>0</v>
      </c>
      <c r="V2790">
        <v>0</v>
      </c>
      <c r="W2790">
        <v>0</v>
      </c>
      <c r="X2790" s="367"/>
    </row>
    <row r="2791" spans="1:24">
      <c r="A2791" t="s">
        <v>1832</v>
      </c>
      <c r="B2791" t="s">
        <v>1831</v>
      </c>
      <c r="C2791">
        <v>566</v>
      </c>
      <c r="D2791">
        <v>3696911</v>
      </c>
      <c r="E2791">
        <v>28021659880</v>
      </c>
      <c r="F2791">
        <v>7360</v>
      </c>
      <c r="G2791">
        <v>7580</v>
      </c>
      <c r="H2791">
        <v>7580</v>
      </c>
      <c r="I2791">
        <v>220</v>
      </c>
      <c r="J2791">
        <v>2.99</v>
      </c>
      <c r="K2791">
        <v>7580</v>
      </c>
      <c r="L2791">
        <v>220</v>
      </c>
      <c r="M2791">
        <v>2.99</v>
      </c>
      <c r="N2791">
        <v>7530</v>
      </c>
      <c r="O2791">
        <v>7580</v>
      </c>
      <c r="P2791">
        <v>825</v>
      </c>
      <c r="Q2791">
        <v>9.19</v>
      </c>
      <c r="R2791">
        <v>26</v>
      </c>
      <c r="S2791">
        <v>1624416</v>
      </c>
      <c r="T2791">
        <v>7580</v>
      </c>
      <c r="U2791">
        <v>0</v>
      </c>
      <c r="V2791">
        <v>0</v>
      </c>
      <c r="W2791">
        <v>0</v>
      </c>
      <c r="X2791" s="367"/>
    </row>
    <row r="2792" spans="1:24">
      <c r="A2792" t="s">
        <v>6297</v>
      </c>
      <c r="B2792" t="s">
        <v>6298</v>
      </c>
      <c r="C2792">
        <v>638</v>
      </c>
      <c r="D2792">
        <v>75832236</v>
      </c>
      <c r="E2792">
        <v>1605936183857</v>
      </c>
      <c r="F2792">
        <v>21136</v>
      </c>
      <c r="G2792">
        <v>21177</v>
      </c>
      <c r="H2792">
        <v>21178</v>
      </c>
      <c r="I2792">
        <v>42</v>
      </c>
      <c r="J2792">
        <v>0.2</v>
      </c>
      <c r="K2792">
        <v>21177</v>
      </c>
      <c r="L2792">
        <v>41</v>
      </c>
      <c r="M2792">
        <v>0.19</v>
      </c>
      <c r="N2792">
        <v>21177</v>
      </c>
      <c r="O2792">
        <v>21178</v>
      </c>
      <c r="P2792" t="s">
        <v>192</v>
      </c>
      <c r="Q2792" t="s">
        <v>192</v>
      </c>
      <c r="R2792">
        <v>92</v>
      </c>
      <c r="S2792">
        <v>316356156</v>
      </c>
      <c r="T2792">
        <v>21177</v>
      </c>
      <c r="U2792">
        <v>21178</v>
      </c>
      <c r="V2792">
        <v>14325311</v>
      </c>
      <c r="W2792">
        <v>1</v>
      </c>
      <c r="X2792" s="367"/>
    </row>
    <row r="2793" spans="1:24">
      <c r="A2793" t="s">
        <v>7842</v>
      </c>
      <c r="B2793" t="s">
        <v>7843</v>
      </c>
      <c r="C2793">
        <v>45</v>
      </c>
      <c r="D2793">
        <v>333</v>
      </c>
      <c r="E2793">
        <v>2610476000</v>
      </c>
      <c r="F2793">
        <v>5469</v>
      </c>
      <c r="G2793">
        <v>6645</v>
      </c>
      <c r="H2793">
        <v>7800</v>
      </c>
      <c r="I2793">
        <v>2331</v>
      </c>
      <c r="J2793">
        <v>42.62</v>
      </c>
      <c r="K2793">
        <v>7839</v>
      </c>
      <c r="L2793">
        <v>2370</v>
      </c>
      <c r="M2793">
        <v>43.34</v>
      </c>
      <c r="N2793">
        <v>6645</v>
      </c>
      <c r="O2793">
        <v>8800</v>
      </c>
      <c r="P2793" t="s">
        <v>192</v>
      </c>
      <c r="Q2793" t="s">
        <v>192</v>
      </c>
      <c r="R2793">
        <v>1</v>
      </c>
      <c r="S2793">
        <v>20</v>
      </c>
      <c r="T2793">
        <v>7750</v>
      </c>
      <c r="U2793">
        <v>8500</v>
      </c>
      <c r="V2793">
        <v>5</v>
      </c>
      <c r="W2793">
        <v>1</v>
      </c>
      <c r="X2793" s="367"/>
    </row>
    <row r="2794" spans="1:24">
      <c r="A2794" t="s">
        <v>7047</v>
      </c>
      <c r="B2794" t="s">
        <v>7048</v>
      </c>
      <c r="C2794">
        <v>1</v>
      </c>
      <c r="D2794">
        <v>38</v>
      </c>
      <c r="E2794">
        <v>38000</v>
      </c>
      <c r="F2794">
        <v>1</v>
      </c>
      <c r="G2794">
        <v>1</v>
      </c>
      <c r="H2794">
        <v>1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1</v>
      </c>
      <c r="O2794">
        <v>1</v>
      </c>
      <c r="P2794" t="s">
        <v>192</v>
      </c>
      <c r="Q2794" t="s">
        <v>192</v>
      </c>
      <c r="R2794">
        <v>0</v>
      </c>
      <c r="S2794">
        <v>0</v>
      </c>
      <c r="T2794">
        <v>0</v>
      </c>
      <c r="U2794">
        <v>10</v>
      </c>
      <c r="V2794">
        <v>926</v>
      </c>
      <c r="W2794">
        <v>1</v>
      </c>
      <c r="X2794" s="367"/>
    </row>
    <row r="2795" spans="1:24">
      <c r="A2795" t="s">
        <v>6299</v>
      </c>
      <c r="B2795" t="s">
        <v>6300</v>
      </c>
      <c r="C2795">
        <v>24</v>
      </c>
      <c r="D2795">
        <v>131000</v>
      </c>
      <c r="E2795">
        <v>4932414150</v>
      </c>
      <c r="F2795">
        <v>36559</v>
      </c>
      <c r="G2795">
        <v>37616</v>
      </c>
      <c r="H2795">
        <v>37655</v>
      </c>
      <c r="I2795">
        <v>1096</v>
      </c>
      <c r="J2795">
        <v>3</v>
      </c>
      <c r="K2795">
        <v>37652</v>
      </c>
      <c r="L2795">
        <v>1093</v>
      </c>
      <c r="M2795">
        <v>2.99</v>
      </c>
      <c r="N2795">
        <v>37616</v>
      </c>
      <c r="O2795">
        <v>37655</v>
      </c>
      <c r="P2795" t="s">
        <v>192</v>
      </c>
      <c r="Q2795" t="s">
        <v>192</v>
      </c>
      <c r="R2795">
        <v>1</v>
      </c>
      <c r="S2795">
        <v>2000</v>
      </c>
      <c r="T2795">
        <v>37620</v>
      </c>
      <c r="U2795">
        <v>37655</v>
      </c>
      <c r="V2795">
        <v>79150</v>
      </c>
      <c r="W2795">
        <v>1</v>
      </c>
      <c r="X2795" s="367"/>
    </row>
    <row r="2796" spans="1:24">
      <c r="A2796" t="s">
        <v>6815</v>
      </c>
      <c r="B2796" t="s">
        <v>7936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1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 t="s">
        <v>192</v>
      </c>
      <c r="Q2796" t="s">
        <v>192</v>
      </c>
      <c r="R2796">
        <v>1</v>
      </c>
      <c r="S2796">
        <v>100</v>
      </c>
      <c r="T2796">
        <v>1</v>
      </c>
      <c r="U2796">
        <v>0</v>
      </c>
      <c r="V2796">
        <v>0</v>
      </c>
      <c r="W2796">
        <v>0</v>
      </c>
      <c r="X2796" s="367"/>
    </row>
    <row r="2797" spans="1:24">
      <c r="A2797" t="s">
        <v>6301</v>
      </c>
      <c r="B2797" t="s">
        <v>2223</v>
      </c>
      <c r="C2797">
        <v>78</v>
      </c>
      <c r="D2797">
        <v>46521400</v>
      </c>
      <c r="E2797">
        <v>20934630000</v>
      </c>
      <c r="F2797">
        <v>388</v>
      </c>
      <c r="G2797">
        <v>450</v>
      </c>
      <c r="H2797">
        <v>450</v>
      </c>
      <c r="I2797">
        <v>62</v>
      </c>
      <c r="J2797">
        <v>15.98</v>
      </c>
      <c r="K2797">
        <v>450</v>
      </c>
      <c r="L2797">
        <v>62</v>
      </c>
      <c r="M2797">
        <v>15.98</v>
      </c>
      <c r="N2797">
        <v>450</v>
      </c>
      <c r="O2797">
        <v>450</v>
      </c>
      <c r="P2797">
        <v>36</v>
      </c>
      <c r="Q2797">
        <v>12.5</v>
      </c>
      <c r="R2797">
        <v>129</v>
      </c>
      <c r="S2797">
        <v>90970811</v>
      </c>
      <c r="T2797">
        <v>450</v>
      </c>
      <c r="U2797">
        <v>0</v>
      </c>
      <c r="V2797">
        <v>0</v>
      </c>
      <c r="W2797">
        <v>0</v>
      </c>
      <c r="X2797" s="367"/>
    </row>
    <row r="2798" spans="1:24">
      <c r="A2798" t="s">
        <v>8265</v>
      </c>
      <c r="B2798" t="s">
        <v>8266</v>
      </c>
      <c r="C2798">
        <v>57</v>
      </c>
      <c r="D2798">
        <v>5384</v>
      </c>
      <c r="E2798">
        <v>346070000</v>
      </c>
      <c r="F2798">
        <v>55</v>
      </c>
      <c r="G2798">
        <v>100</v>
      </c>
      <c r="H2798">
        <v>69</v>
      </c>
      <c r="I2798">
        <v>14</v>
      </c>
      <c r="J2798">
        <v>25.45</v>
      </c>
      <c r="K2798">
        <v>64</v>
      </c>
      <c r="L2798">
        <v>9</v>
      </c>
      <c r="M2798">
        <v>16.36</v>
      </c>
      <c r="N2798">
        <v>60</v>
      </c>
      <c r="O2798">
        <v>110</v>
      </c>
      <c r="P2798" t="s">
        <v>192</v>
      </c>
      <c r="Q2798" t="s">
        <v>192</v>
      </c>
      <c r="R2798">
        <v>1</v>
      </c>
      <c r="S2798">
        <v>800</v>
      </c>
      <c r="T2798">
        <v>65</v>
      </c>
      <c r="U2798">
        <v>72</v>
      </c>
      <c r="V2798">
        <v>200</v>
      </c>
      <c r="W2798">
        <v>1</v>
      </c>
      <c r="X2798" s="367"/>
    </row>
    <row r="2799" spans="1:24">
      <c r="A2799" t="s">
        <v>131</v>
      </c>
      <c r="B2799" t="s">
        <v>130</v>
      </c>
      <c r="C2799">
        <v>538</v>
      </c>
      <c r="D2799">
        <v>38207589</v>
      </c>
      <c r="E2799">
        <v>139018504270</v>
      </c>
      <c r="F2799">
        <v>3540</v>
      </c>
      <c r="G2799">
        <v>3640</v>
      </c>
      <c r="H2799">
        <v>3640</v>
      </c>
      <c r="I2799">
        <v>100</v>
      </c>
      <c r="J2799">
        <v>2.82</v>
      </c>
      <c r="K2799">
        <v>3640</v>
      </c>
      <c r="L2799">
        <v>100</v>
      </c>
      <c r="M2799">
        <v>2.82</v>
      </c>
      <c r="N2799">
        <v>3570</v>
      </c>
      <c r="O2799">
        <v>3640</v>
      </c>
      <c r="P2799">
        <v>612</v>
      </c>
      <c r="Q2799">
        <v>5.95</v>
      </c>
      <c r="R2799">
        <v>10</v>
      </c>
      <c r="S2799">
        <v>1967337</v>
      </c>
      <c r="T2799">
        <v>3640</v>
      </c>
      <c r="U2799">
        <v>0</v>
      </c>
      <c r="V2799">
        <v>0</v>
      </c>
      <c r="W2799">
        <v>0</v>
      </c>
      <c r="X2799" s="367"/>
    </row>
    <row r="2800" spans="1:24">
      <c r="A2800" t="s">
        <v>6302</v>
      </c>
      <c r="B2800" t="s">
        <v>6303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1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 t="s">
        <v>192</v>
      </c>
      <c r="Q2800" t="s">
        <v>192</v>
      </c>
      <c r="R2800">
        <v>1</v>
      </c>
      <c r="S2800">
        <v>100</v>
      </c>
      <c r="T2800">
        <v>1</v>
      </c>
      <c r="U2800">
        <v>9500</v>
      </c>
      <c r="V2800">
        <v>1</v>
      </c>
      <c r="W2800">
        <v>1</v>
      </c>
      <c r="X2800" s="367"/>
    </row>
    <row r="2801" spans="1:24">
      <c r="A2801" t="s">
        <v>8877</v>
      </c>
      <c r="B2801" t="s">
        <v>2854</v>
      </c>
      <c r="C2801">
        <v>8</v>
      </c>
      <c r="D2801">
        <v>63050</v>
      </c>
      <c r="E2801">
        <v>247156000</v>
      </c>
      <c r="F2801">
        <v>3820</v>
      </c>
      <c r="G2801">
        <v>3920</v>
      </c>
      <c r="H2801">
        <v>3920</v>
      </c>
      <c r="I2801">
        <v>100</v>
      </c>
      <c r="J2801">
        <v>2.62</v>
      </c>
      <c r="K2801">
        <v>3920</v>
      </c>
      <c r="L2801">
        <v>100</v>
      </c>
      <c r="M2801">
        <v>2.62</v>
      </c>
      <c r="N2801">
        <v>3920</v>
      </c>
      <c r="O2801">
        <v>3920</v>
      </c>
      <c r="P2801">
        <v>586</v>
      </c>
      <c r="Q2801">
        <v>6.69</v>
      </c>
      <c r="R2801">
        <v>1</v>
      </c>
      <c r="S2801">
        <v>8850</v>
      </c>
      <c r="T2801">
        <v>3920</v>
      </c>
      <c r="U2801">
        <v>0</v>
      </c>
      <c r="V2801">
        <v>0</v>
      </c>
      <c r="W2801">
        <v>0</v>
      </c>
      <c r="X2801" s="367"/>
    </row>
    <row r="2802" spans="1:24">
      <c r="A2802" t="s">
        <v>6304</v>
      </c>
      <c r="B2802" t="s">
        <v>5925</v>
      </c>
      <c r="C2802">
        <v>176</v>
      </c>
      <c r="D2802">
        <v>6165618</v>
      </c>
      <c r="E2802">
        <v>344063836438</v>
      </c>
      <c r="F2802">
        <v>55016</v>
      </c>
      <c r="G2802">
        <v>56664</v>
      </c>
      <c r="H2802">
        <v>56666</v>
      </c>
      <c r="I2802">
        <v>1650</v>
      </c>
      <c r="J2802">
        <v>3</v>
      </c>
      <c r="K2802">
        <v>55804</v>
      </c>
      <c r="L2802">
        <v>788</v>
      </c>
      <c r="M2802">
        <v>1.43</v>
      </c>
      <c r="N2802">
        <v>55670</v>
      </c>
      <c r="O2802">
        <v>56666</v>
      </c>
      <c r="P2802" t="s">
        <v>192</v>
      </c>
      <c r="Q2802" t="s">
        <v>192</v>
      </c>
      <c r="R2802">
        <v>1</v>
      </c>
      <c r="S2802">
        <v>100</v>
      </c>
      <c r="T2802">
        <v>56360</v>
      </c>
      <c r="U2802">
        <v>56666</v>
      </c>
      <c r="V2802">
        <v>1868428</v>
      </c>
      <c r="W2802">
        <v>4</v>
      </c>
      <c r="X2802" s="367"/>
    </row>
    <row r="2803" spans="1:24">
      <c r="A2803" t="s">
        <v>2749</v>
      </c>
      <c r="B2803" t="s">
        <v>2748</v>
      </c>
      <c r="C2803">
        <v>137</v>
      </c>
      <c r="D2803">
        <v>7180740</v>
      </c>
      <c r="E2803">
        <v>53137476000</v>
      </c>
      <c r="F2803">
        <v>7190</v>
      </c>
      <c r="G2803">
        <v>7400</v>
      </c>
      <c r="H2803">
        <v>7400</v>
      </c>
      <c r="I2803">
        <v>210</v>
      </c>
      <c r="J2803">
        <v>2.92</v>
      </c>
      <c r="K2803">
        <v>7400</v>
      </c>
      <c r="L2803">
        <v>210</v>
      </c>
      <c r="M2803">
        <v>2.92</v>
      </c>
      <c r="N2803">
        <v>7400</v>
      </c>
      <c r="O2803">
        <v>7400</v>
      </c>
      <c r="P2803">
        <v>1317</v>
      </c>
      <c r="Q2803">
        <v>5.62</v>
      </c>
      <c r="R2803">
        <v>61</v>
      </c>
      <c r="S2803">
        <v>2561241</v>
      </c>
      <c r="T2803">
        <v>7400</v>
      </c>
      <c r="U2803">
        <v>7430</v>
      </c>
      <c r="V2803">
        <v>537</v>
      </c>
      <c r="W2803">
        <v>1</v>
      </c>
      <c r="X2803" s="367"/>
    </row>
    <row r="2804" spans="1:24">
      <c r="A2804" t="s">
        <v>3074</v>
      </c>
      <c r="B2804" t="s">
        <v>3072</v>
      </c>
      <c r="C2804">
        <v>18</v>
      </c>
      <c r="D2804">
        <v>6602913</v>
      </c>
      <c r="E2804">
        <v>16474267935</v>
      </c>
      <c r="F2804">
        <v>2423</v>
      </c>
      <c r="G2804">
        <v>2495</v>
      </c>
      <c r="H2804">
        <v>2495</v>
      </c>
      <c r="I2804">
        <v>72</v>
      </c>
      <c r="J2804">
        <v>2.97</v>
      </c>
      <c r="K2804">
        <v>2495</v>
      </c>
      <c r="L2804">
        <v>72</v>
      </c>
      <c r="M2804">
        <v>2.97</v>
      </c>
      <c r="N2804">
        <v>2495</v>
      </c>
      <c r="O2804">
        <v>2495</v>
      </c>
      <c r="P2804">
        <v>314</v>
      </c>
      <c r="Q2804">
        <v>7.95</v>
      </c>
      <c r="R2804">
        <v>16</v>
      </c>
      <c r="S2804">
        <v>5725390</v>
      </c>
      <c r="T2804">
        <v>2495</v>
      </c>
      <c r="U2804">
        <v>0</v>
      </c>
      <c r="V2804">
        <v>0</v>
      </c>
      <c r="W2804">
        <v>0</v>
      </c>
      <c r="X2804" s="367"/>
    </row>
    <row r="2805" spans="1:24">
      <c r="A2805" t="s">
        <v>6305</v>
      </c>
      <c r="B2805" t="s">
        <v>6306</v>
      </c>
      <c r="C2805">
        <v>61</v>
      </c>
      <c r="D2805">
        <v>15134</v>
      </c>
      <c r="E2805">
        <v>2096101000</v>
      </c>
      <c r="F2805">
        <v>94</v>
      </c>
      <c r="G2805">
        <v>140</v>
      </c>
      <c r="H2805">
        <v>141</v>
      </c>
      <c r="I2805">
        <v>47</v>
      </c>
      <c r="J2805">
        <v>50</v>
      </c>
      <c r="K2805">
        <v>139</v>
      </c>
      <c r="L2805">
        <v>45</v>
      </c>
      <c r="M2805">
        <v>47.87</v>
      </c>
      <c r="N2805">
        <v>125</v>
      </c>
      <c r="O2805">
        <v>144</v>
      </c>
      <c r="P2805" t="s">
        <v>192</v>
      </c>
      <c r="Q2805" t="s">
        <v>192</v>
      </c>
      <c r="R2805">
        <v>1</v>
      </c>
      <c r="S2805">
        <v>100</v>
      </c>
      <c r="T2805">
        <v>138</v>
      </c>
      <c r="U2805">
        <v>144</v>
      </c>
      <c r="V2805">
        <v>200</v>
      </c>
      <c r="W2805">
        <v>1</v>
      </c>
      <c r="X2805" s="367"/>
    </row>
    <row r="2806" spans="1:24">
      <c r="A2806" t="s">
        <v>6307</v>
      </c>
      <c r="B2806" t="s">
        <v>6308</v>
      </c>
      <c r="C2806">
        <v>0</v>
      </c>
      <c r="D2806">
        <v>0</v>
      </c>
      <c r="E2806">
        <v>0</v>
      </c>
      <c r="F2806">
        <v>1000000</v>
      </c>
      <c r="G2806">
        <v>0</v>
      </c>
      <c r="H2806">
        <v>1000000</v>
      </c>
      <c r="I2806">
        <v>0</v>
      </c>
      <c r="J2806">
        <v>0</v>
      </c>
      <c r="K2806">
        <v>1000000</v>
      </c>
      <c r="L2806">
        <v>0</v>
      </c>
      <c r="M2806">
        <v>0</v>
      </c>
      <c r="N2806">
        <v>0</v>
      </c>
      <c r="O2806">
        <v>0</v>
      </c>
      <c r="P2806" t="s">
        <v>192</v>
      </c>
      <c r="Q2806" t="s">
        <v>192</v>
      </c>
      <c r="R2806">
        <v>1</v>
      </c>
      <c r="S2806">
        <v>5000</v>
      </c>
      <c r="T2806">
        <v>1000000</v>
      </c>
      <c r="U2806">
        <v>0</v>
      </c>
      <c r="V2806">
        <v>0</v>
      </c>
      <c r="W2806">
        <v>0</v>
      </c>
      <c r="X2806" s="367"/>
    </row>
    <row r="2807" spans="1:24">
      <c r="A2807" t="s">
        <v>6309</v>
      </c>
      <c r="B2807" t="s">
        <v>6310</v>
      </c>
      <c r="C2807">
        <v>562</v>
      </c>
      <c r="D2807">
        <v>241159</v>
      </c>
      <c r="E2807">
        <v>18240094000</v>
      </c>
      <c r="F2807">
        <v>48</v>
      </c>
      <c r="G2807">
        <v>58</v>
      </c>
      <c r="H2807">
        <v>71</v>
      </c>
      <c r="I2807">
        <v>23</v>
      </c>
      <c r="J2807">
        <v>47.92</v>
      </c>
      <c r="K2807">
        <v>76</v>
      </c>
      <c r="L2807">
        <v>28</v>
      </c>
      <c r="M2807">
        <v>58.33</v>
      </c>
      <c r="N2807">
        <v>58</v>
      </c>
      <c r="O2807">
        <v>85</v>
      </c>
      <c r="P2807" t="s">
        <v>192</v>
      </c>
      <c r="Q2807" t="s">
        <v>192</v>
      </c>
      <c r="R2807">
        <v>5</v>
      </c>
      <c r="S2807">
        <v>5000</v>
      </c>
      <c r="T2807">
        <v>52</v>
      </c>
      <c r="U2807">
        <v>74</v>
      </c>
      <c r="V2807">
        <v>1000</v>
      </c>
      <c r="W2807">
        <v>1</v>
      </c>
      <c r="X2807" s="367"/>
    </row>
    <row r="2808" spans="1:24">
      <c r="A2808" t="s">
        <v>6311</v>
      </c>
      <c r="B2808" t="s">
        <v>6312</v>
      </c>
      <c r="C2808">
        <v>35</v>
      </c>
      <c r="D2808">
        <v>4062</v>
      </c>
      <c r="E2808">
        <v>4894609000</v>
      </c>
      <c r="F2808">
        <v>1143</v>
      </c>
      <c r="G2808">
        <v>1208</v>
      </c>
      <c r="H2808">
        <v>1220</v>
      </c>
      <c r="I2808">
        <v>77</v>
      </c>
      <c r="J2808">
        <v>6.74</v>
      </c>
      <c r="K2808">
        <v>1205</v>
      </c>
      <c r="L2808">
        <v>62</v>
      </c>
      <c r="M2808">
        <v>5.42</v>
      </c>
      <c r="N2808">
        <v>1200</v>
      </c>
      <c r="O2808">
        <v>1220</v>
      </c>
      <c r="P2808" t="s">
        <v>192</v>
      </c>
      <c r="Q2808" t="s">
        <v>192</v>
      </c>
      <c r="R2808">
        <v>1</v>
      </c>
      <c r="S2808">
        <v>296</v>
      </c>
      <c r="T2808">
        <v>1200</v>
      </c>
      <c r="U2808">
        <v>0</v>
      </c>
      <c r="V2808">
        <v>0</v>
      </c>
      <c r="W2808">
        <v>0</v>
      </c>
      <c r="X2808" s="367"/>
    </row>
    <row r="2809" spans="1:24">
      <c r="A2809" t="s">
        <v>8430</v>
      </c>
      <c r="B2809" t="s">
        <v>8431</v>
      </c>
      <c r="C2809">
        <v>0</v>
      </c>
      <c r="D2809">
        <v>0</v>
      </c>
      <c r="E2809">
        <v>0</v>
      </c>
      <c r="F2809">
        <v>1</v>
      </c>
      <c r="G2809">
        <v>0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v>0</v>
      </c>
      <c r="P2809" t="s">
        <v>192</v>
      </c>
      <c r="Q2809" t="s">
        <v>192</v>
      </c>
      <c r="R2809">
        <v>1</v>
      </c>
      <c r="S2809">
        <v>111</v>
      </c>
      <c r="T2809">
        <v>11</v>
      </c>
      <c r="U2809">
        <v>0</v>
      </c>
      <c r="V2809">
        <v>0</v>
      </c>
      <c r="W2809">
        <v>0</v>
      </c>
      <c r="X2809" s="367"/>
    </row>
    <row r="2810" spans="1:24">
      <c r="A2810" t="s">
        <v>6313</v>
      </c>
      <c r="B2810" t="s">
        <v>5703</v>
      </c>
      <c r="C2810">
        <v>10</v>
      </c>
      <c r="D2810">
        <v>1605235</v>
      </c>
      <c r="E2810">
        <v>57980505120</v>
      </c>
      <c r="F2810">
        <v>35138</v>
      </c>
      <c r="G2810">
        <v>36000</v>
      </c>
      <c r="H2810">
        <v>36192</v>
      </c>
      <c r="I2810">
        <v>1054</v>
      </c>
      <c r="J2810">
        <v>3</v>
      </c>
      <c r="K2810">
        <v>36120</v>
      </c>
      <c r="L2810">
        <v>982</v>
      </c>
      <c r="M2810">
        <v>2.79</v>
      </c>
      <c r="N2810">
        <v>36000</v>
      </c>
      <c r="O2810">
        <v>36192</v>
      </c>
      <c r="P2810" t="s">
        <v>192</v>
      </c>
      <c r="Q2810" t="s">
        <v>192</v>
      </c>
      <c r="R2810">
        <v>5</v>
      </c>
      <c r="S2810">
        <v>534118</v>
      </c>
      <c r="T2810">
        <v>36192</v>
      </c>
      <c r="U2810">
        <v>0</v>
      </c>
      <c r="V2810">
        <v>0</v>
      </c>
      <c r="W2810">
        <v>0</v>
      </c>
      <c r="X2810" s="367"/>
    </row>
    <row r="2811" spans="1:24">
      <c r="A2811" t="s">
        <v>6314</v>
      </c>
      <c r="B2811" t="s">
        <v>6315</v>
      </c>
      <c r="C2811">
        <v>0</v>
      </c>
      <c r="D2811">
        <v>0</v>
      </c>
      <c r="E2811">
        <v>0</v>
      </c>
      <c r="F2811">
        <v>1000000</v>
      </c>
      <c r="G2811">
        <v>0</v>
      </c>
      <c r="H2811">
        <v>1000000</v>
      </c>
      <c r="I2811">
        <v>0</v>
      </c>
      <c r="J2811">
        <v>0</v>
      </c>
      <c r="K2811">
        <v>1000000</v>
      </c>
      <c r="L2811">
        <v>0</v>
      </c>
      <c r="M2811">
        <v>0</v>
      </c>
      <c r="N2811">
        <v>0</v>
      </c>
      <c r="O2811">
        <v>0</v>
      </c>
      <c r="P2811" t="s">
        <v>192</v>
      </c>
      <c r="Q2811" t="s">
        <v>192</v>
      </c>
      <c r="R2811">
        <v>1</v>
      </c>
      <c r="S2811">
        <v>5000</v>
      </c>
      <c r="T2811">
        <v>1000000</v>
      </c>
      <c r="U2811">
        <v>1001000</v>
      </c>
      <c r="V2811">
        <v>5000</v>
      </c>
      <c r="W2811">
        <v>1</v>
      </c>
      <c r="X2811" s="367"/>
    </row>
    <row r="2812" spans="1:24">
      <c r="A2812" t="s">
        <v>6316</v>
      </c>
      <c r="B2812" t="s">
        <v>6317</v>
      </c>
      <c r="C2812">
        <v>0</v>
      </c>
      <c r="D2812">
        <v>0</v>
      </c>
      <c r="E2812">
        <v>0</v>
      </c>
      <c r="F2812">
        <v>1491776</v>
      </c>
      <c r="G2812">
        <v>0</v>
      </c>
      <c r="H2812">
        <v>1491776</v>
      </c>
      <c r="I2812">
        <v>0</v>
      </c>
      <c r="J2812">
        <v>0</v>
      </c>
      <c r="K2812">
        <v>1491776</v>
      </c>
      <c r="L2812">
        <v>0</v>
      </c>
      <c r="M2812">
        <v>0</v>
      </c>
      <c r="N2812">
        <v>0</v>
      </c>
      <c r="O2812">
        <v>0</v>
      </c>
      <c r="P2812" t="s">
        <v>192</v>
      </c>
      <c r="Q2812" t="s">
        <v>192</v>
      </c>
      <c r="R2812">
        <v>1</v>
      </c>
      <c r="S2812">
        <v>8283</v>
      </c>
      <c r="T2812">
        <v>1515058</v>
      </c>
      <c r="U2812">
        <v>1515059</v>
      </c>
      <c r="V2812">
        <v>8283</v>
      </c>
      <c r="W2812">
        <v>1</v>
      </c>
      <c r="X2812" s="367"/>
    </row>
    <row r="2813" spans="1:24">
      <c r="A2813" t="s">
        <v>7786</v>
      </c>
      <c r="B2813" t="s">
        <v>7787</v>
      </c>
      <c r="C2813">
        <v>478</v>
      </c>
      <c r="D2813">
        <v>73221321</v>
      </c>
      <c r="E2813">
        <v>92367999154</v>
      </c>
      <c r="F2813">
        <v>1228</v>
      </c>
      <c r="G2813">
        <v>1243</v>
      </c>
      <c r="H2813">
        <v>1264</v>
      </c>
      <c r="I2813">
        <v>36</v>
      </c>
      <c r="J2813">
        <v>2.93</v>
      </c>
      <c r="K2813">
        <v>1261</v>
      </c>
      <c r="L2813">
        <v>33</v>
      </c>
      <c r="M2813">
        <v>2.69</v>
      </c>
      <c r="N2813">
        <v>1240</v>
      </c>
      <c r="O2813">
        <v>1264</v>
      </c>
      <c r="P2813">
        <v>146</v>
      </c>
      <c r="Q2813">
        <v>8.64</v>
      </c>
      <c r="R2813">
        <v>1</v>
      </c>
      <c r="S2813">
        <v>200000</v>
      </c>
      <c r="T2813">
        <v>1256</v>
      </c>
      <c r="U2813">
        <v>0</v>
      </c>
      <c r="V2813">
        <v>0</v>
      </c>
      <c r="W2813">
        <v>0</v>
      </c>
      <c r="X2813" s="367"/>
    </row>
    <row r="2814" spans="1:24">
      <c r="A2814" t="s">
        <v>6318</v>
      </c>
      <c r="B2814" t="s">
        <v>6319</v>
      </c>
      <c r="C2814">
        <v>0</v>
      </c>
      <c r="D2814">
        <v>0</v>
      </c>
      <c r="E2814">
        <v>0</v>
      </c>
      <c r="F2814">
        <v>1000000</v>
      </c>
      <c r="G2814">
        <v>0</v>
      </c>
      <c r="H2814">
        <v>1000000</v>
      </c>
      <c r="I2814">
        <v>0</v>
      </c>
      <c r="J2814">
        <v>0</v>
      </c>
      <c r="K2814">
        <v>1000000</v>
      </c>
      <c r="L2814">
        <v>0</v>
      </c>
      <c r="M2814">
        <v>0</v>
      </c>
      <c r="N2814">
        <v>0</v>
      </c>
      <c r="O2814">
        <v>0</v>
      </c>
      <c r="P2814" t="s">
        <v>192</v>
      </c>
      <c r="Q2814" t="s">
        <v>192</v>
      </c>
      <c r="R2814">
        <v>1</v>
      </c>
      <c r="S2814">
        <v>7500</v>
      </c>
      <c r="T2814">
        <v>995000</v>
      </c>
      <c r="U2814">
        <v>0</v>
      </c>
      <c r="V2814">
        <v>0</v>
      </c>
      <c r="W2814">
        <v>0</v>
      </c>
      <c r="X2814" s="367"/>
    </row>
    <row r="2815" spans="1:24">
      <c r="A2815" t="s">
        <v>6320</v>
      </c>
      <c r="B2815" t="s">
        <v>6321</v>
      </c>
      <c r="C2815">
        <v>0</v>
      </c>
      <c r="D2815">
        <v>0</v>
      </c>
      <c r="E2815">
        <v>0</v>
      </c>
      <c r="F2815">
        <v>1000000</v>
      </c>
      <c r="G2815">
        <v>0</v>
      </c>
      <c r="H2815">
        <v>1000000</v>
      </c>
      <c r="I2815">
        <v>0</v>
      </c>
      <c r="J2815">
        <v>0</v>
      </c>
      <c r="K2815">
        <v>1000000</v>
      </c>
      <c r="L2815">
        <v>0</v>
      </c>
      <c r="M2815">
        <v>0</v>
      </c>
      <c r="N2815">
        <v>0</v>
      </c>
      <c r="O2815">
        <v>0</v>
      </c>
      <c r="P2815" t="s">
        <v>192</v>
      </c>
      <c r="Q2815" t="s">
        <v>192</v>
      </c>
      <c r="R2815">
        <v>1</v>
      </c>
      <c r="S2815">
        <v>9000</v>
      </c>
      <c r="T2815">
        <v>990000</v>
      </c>
      <c r="U2815">
        <v>0</v>
      </c>
      <c r="V2815">
        <v>0</v>
      </c>
      <c r="W2815">
        <v>0</v>
      </c>
      <c r="X2815" s="367"/>
    </row>
    <row r="2816" spans="1:24">
      <c r="A2816" t="s">
        <v>6322</v>
      </c>
      <c r="B2816" t="s">
        <v>6323</v>
      </c>
      <c r="C2816">
        <v>35</v>
      </c>
      <c r="D2816">
        <v>906829</v>
      </c>
      <c r="E2816">
        <v>11318836994</v>
      </c>
      <c r="F2816">
        <v>12135</v>
      </c>
      <c r="G2816">
        <v>12350</v>
      </c>
      <c r="H2816">
        <v>12499</v>
      </c>
      <c r="I2816">
        <v>364</v>
      </c>
      <c r="J2816">
        <v>3</v>
      </c>
      <c r="K2816">
        <v>12482</v>
      </c>
      <c r="L2816">
        <v>347</v>
      </c>
      <c r="M2816">
        <v>2.86</v>
      </c>
      <c r="N2816">
        <v>12300</v>
      </c>
      <c r="O2816">
        <v>12499</v>
      </c>
      <c r="P2816" t="s">
        <v>192</v>
      </c>
      <c r="Q2816" t="s">
        <v>192</v>
      </c>
      <c r="R2816">
        <v>1</v>
      </c>
      <c r="S2816">
        <v>5000</v>
      </c>
      <c r="T2816">
        <v>12491</v>
      </c>
      <c r="U2816">
        <v>0</v>
      </c>
      <c r="V2816">
        <v>0</v>
      </c>
      <c r="W2816">
        <v>0</v>
      </c>
      <c r="X2816" s="367"/>
    </row>
    <row r="2817" spans="1:24">
      <c r="A2817" t="s">
        <v>6324</v>
      </c>
      <c r="B2817" t="s">
        <v>6325</v>
      </c>
      <c r="C2817">
        <v>0</v>
      </c>
      <c r="D2817">
        <v>0</v>
      </c>
      <c r="E2817">
        <v>0</v>
      </c>
      <c r="F2817">
        <v>1000000</v>
      </c>
      <c r="G2817">
        <v>0</v>
      </c>
      <c r="H2817">
        <v>1000000</v>
      </c>
      <c r="I2817">
        <v>0</v>
      </c>
      <c r="J2817">
        <v>0</v>
      </c>
      <c r="K2817">
        <v>1000000</v>
      </c>
      <c r="L2817">
        <v>0</v>
      </c>
      <c r="M2817">
        <v>0</v>
      </c>
      <c r="N2817">
        <v>0</v>
      </c>
      <c r="O2817">
        <v>0</v>
      </c>
      <c r="P2817" t="s">
        <v>192</v>
      </c>
      <c r="Q2817" t="s">
        <v>192</v>
      </c>
      <c r="R2817">
        <v>1</v>
      </c>
      <c r="S2817">
        <v>5000</v>
      </c>
      <c r="T2817">
        <v>1000000</v>
      </c>
      <c r="U2817">
        <v>1010000</v>
      </c>
      <c r="V2817">
        <v>5000</v>
      </c>
      <c r="W2817">
        <v>1</v>
      </c>
      <c r="X2817" s="367"/>
    </row>
    <row r="2818" spans="1:24">
      <c r="A2818" t="s">
        <v>8763</v>
      </c>
      <c r="B2818" t="s">
        <v>8764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1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 t="s">
        <v>192</v>
      </c>
      <c r="Q2818" t="s">
        <v>192</v>
      </c>
      <c r="R2818">
        <v>1</v>
      </c>
      <c r="S2818">
        <v>246</v>
      </c>
      <c r="T2818">
        <v>81</v>
      </c>
      <c r="U2818">
        <v>222</v>
      </c>
      <c r="V2818">
        <v>40</v>
      </c>
      <c r="W2818">
        <v>1</v>
      </c>
      <c r="X2818" s="367"/>
    </row>
    <row r="2819" spans="1:24">
      <c r="A2819" t="s">
        <v>6326</v>
      </c>
      <c r="B2819" t="s">
        <v>5561</v>
      </c>
      <c r="C2819">
        <v>94</v>
      </c>
      <c r="D2819">
        <v>31146478</v>
      </c>
      <c r="E2819">
        <v>663006520792</v>
      </c>
      <c r="F2819">
        <v>21258</v>
      </c>
      <c r="G2819">
        <v>21286</v>
      </c>
      <c r="H2819">
        <v>21287</v>
      </c>
      <c r="I2819">
        <v>29</v>
      </c>
      <c r="J2819">
        <v>0.14000000000000001</v>
      </c>
      <c r="K2819">
        <v>21287</v>
      </c>
      <c r="L2819">
        <v>29</v>
      </c>
      <c r="M2819">
        <v>0.14000000000000001</v>
      </c>
      <c r="N2819">
        <v>21286</v>
      </c>
      <c r="O2819">
        <v>21287</v>
      </c>
      <c r="P2819" t="s">
        <v>192</v>
      </c>
      <c r="Q2819" t="s">
        <v>192</v>
      </c>
      <c r="R2819">
        <v>2</v>
      </c>
      <c r="S2819">
        <v>99479487</v>
      </c>
      <c r="T2819">
        <v>21286</v>
      </c>
      <c r="U2819">
        <v>21287</v>
      </c>
      <c r="V2819">
        <v>433774</v>
      </c>
      <c r="W2819">
        <v>2</v>
      </c>
      <c r="X2819" s="367"/>
    </row>
    <row r="2820" spans="1:24">
      <c r="A2820" t="s">
        <v>6777</v>
      </c>
      <c r="B2820" t="s">
        <v>6778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1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0</v>
      </c>
      <c r="O2820">
        <v>0</v>
      </c>
      <c r="P2820" t="s">
        <v>192</v>
      </c>
      <c r="Q2820" t="s">
        <v>192</v>
      </c>
      <c r="R2820">
        <v>1</v>
      </c>
      <c r="S2820">
        <v>100</v>
      </c>
      <c r="T2820">
        <v>1</v>
      </c>
      <c r="U2820">
        <v>0</v>
      </c>
      <c r="V2820">
        <v>0</v>
      </c>
      <c r="W2820">
        <v>0</v>
      </c>
      <c r="X2820" s="367"/>
    </row>
    <row r="2821" spans="1:24">
      <c r="A2821" t="s">
        <v>6911</v>
      </c>
      <c r="B2821" t="s">
        <v>6912</v>
      </c>
      <c r="C2821">
        <v>0</v>
      </c>
      <c r="D2821">
        <v>0</v>
      </c>
      <c r="E2821">
        <v>0</v>
      </c>
      <c r="F2821">
        <v>1</v>
      </c>
      <c r="G2821">
        <v>0</v>
      </c>
      <c r="H2821">
        <v>1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 t="s">
        <v>192</v>
      </c>
      <c r="Q2821" t="s">
        <v>192</v>
      </c>
      <c r="R2821">
        <v>3</v>
      </c>
      <c r="S2821">
        <v>2200</v>
      </c>
      <c r="T2821">
        <v>7</v>
      </c>
      <c r="U2821">
        <v>0</v>
      </c>
      <c r="V2821">
        <v>0</v>
      </c>
      <c r="W2821">
        <v>0</v>
      </c>
      <c r="X2821" s="367"/>
    </row>
    <row r="2822" spans="1:24">
      <c r="A2822" t="s">
        <v>6327</v>
      </c>
      <c r="B2822" t="s">
        <v>8232</v>
      </c>
      <c r="C2822">
        <v>24</v>
      </c>
      <c r="D2822">
        <v>718</v>
      </c>
      <c r="E2822">
        <v>386101000</v>
      </c>
      <c r="F2822">
        <v>492</v>
      </c>
      <c r="G2822">
        <v>589</v>
      </c>
      <c r="H2822">
        <v>540</v>
      </c>
      <c r="I2822">
        <v>48</v>
      </c>
      <c r="J2822">
        <v>9.76</v>
      </c>
      <c r="K2822">
        <v>538</v>
      </c>
      <c r="L2822">
        <v>46</v>
      </c>
      <c r="M2822">
        <v>9.35</v>
      </c>
      <c r="N2822">
        <v>523</v>
      </c>
      <c r="O2822">
        <v>589</v>
      </c>
      <c r="P2822" t="s">
        <v>192</v>
      </c>
      <c r="Q2822" t="s">
        <v>192</v>
      </c>
      <c r="R2822">
        <v>1</v>
      </c>
      <c r="S2822">
        <v>30</v>
      </c>
      <c r="T2822">
        <v>531</v>
      </c>
      <c r="U2822">
        <v>550</v>
      </c>
      <c r="V2822">
        <v>6</v>
      </c>
      <c r="W2822">
        <v>1</v>
      </c>
      <c r="X2822" s="367"/>
    </row>
    <row r="2823" spans="1:24">
      <c r="A2823" t="s">
        <v>8058</v>
      </c>
      <c r="B2823" t="s">
        <v>8059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1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 t="s">
        <v>192</v>
      </c>
      <c r="Q2823" t="s">
        <v>192</v>
      </c>
      <c r="R2823">
        <v>1</v>
      </c>
      <c r="S2823">
        <v>99</v>
      </c>
      <c r="T2823">
        <v>19</v>
      </c>
      <c r="U2823">
        <v>0</v>
      </c>
      <c r="V2823">
        <v>0</v>
      </c>
      <c r="W2823">
        <v>0</v>
      </c>
      <c r="X2823" s="367"/>
    </row>
    <row r="2824" spans="1:24">
      <c r="A2824" t="s">
        <v>6329</v>
      </c>
      <c r="B2824" t="s">
        <v>6330</v>
      </c>
      <c r="C2824">
        <v>2362</v>
      </c>
      <c r="D2824">
        <v>18639122</v>
      </c>
      <c r="E2824">
        <v>838668472651</v>
      </c>
      <c r="F2824">
        <v>44657</v>
      </c>
      <c r="G2824">
        <v>44869</v>
      </c>
      <c r="H2824">
        <v>45014</v>
      </c>
      <c r="I2824">
        <v>357</v>
      </c>
      <c r="J2824">
        <v>0.8</v>
      </c>
      <c r="K2824">
        <v>44995</v>
      </c>
      <c r="L2824">
        <v>338</v>
      </c>
      <c r="M2824">
        <v>0.76</v>
      </c>
      <c r="N2824">
        <v>44840</v>
      </c>
      <c r="O2824">
        <v>45122</v>
      </c>
      <c r="P2824" t="s">
        <v>192</v>
      </c>
      <c r="Q2824" t="s">
        <v>192</v>
      </c>
      <c r="R2824">
        <v>2</v>
      </c>
      <c r="S2824">
        <v>1586</v>
      </c>
      <c r="T2824">
        <v>45014</v>
      </c>
      <c r="U2824">
        <v>45019</v>
      </c>
      <c r="V2824">
        <v>13100</v>
      </c>
      <c r="W2824">
        <v>1</v>
      </c>
      <c r="X2824" s="367"/>
    </row>
    <row r="2825" spans="1:24">
      <c r="A2825" t="s">
        <v>151</v>
      </c>
      <c r="B2825" t="s">
        <v>150</v>
      </c>
      <c r="C2825">
        <v>665</v>
      </c>
      <c r="D2825">
        <v>3071870</v>
      </c>
      <c r="E2825">
        <v>171484198780</v>
      </c>
      <c r="F2825">
        <v>54210</v>
      </c>
      <c r="G2825">
        <v>55810</v>
      </c>
      <c r="H2825">
        <v>55830</v>
      </c>
      <c r="I2825">
        <v>1620</v>
      </c>
      <c r="J2825">
        <v>2.99</v>
      </c>
      <c r="K2825">
        <v>55820</v>
      </c>
      <c r="L2825">
        <v>1610</v>
      </c>
      <c r="M2825">
        <v>2.97</v>
      </c>
      <c r="N2825">
        <v>55230</v>
      </c>
      <c r="O2825">
        <v>55830</v>
      </c>
      <c r="P2825">
        <v>9454</v>
      </c>
      <c r="Q2825">
        <v>5.9</v>
      </c>
      <c r="R2825">
        <v>8</v>
      </c>
      <c r="S2825">
        <v>94335</v>
      </c>
      <c r="T2825">
        <v>55830</v>
      </c>
      <c r="U2825">
        <v>62850</v>
      </c>
      <c r="V2825">
        <v>400</v>
      </c>
      <c r="W2825">
        <v>1</v>
      </c>
      <c r="X2825" s="367"/>
    </row>
    <row r="2826" spans="1:24">
      <c r="A2826" t="s">
        <v>6331</v>
      </c>
      <c r="B2826" t="s">
        <v>6332</v>
      </c>
      <c r="C2826">
        <v>0</v>
      </c>
      <c r="D2826">
        <v>0</v>
      </c>
      <c r="E2826">
        <v>0</v>
      </c>
      <c r="F2826">
        <v>921500</v>
      </c>
      <c r="G2826">
        <v>0</v>
      </c>
      <c r="H2826">
        <v>921500</v>
      </c>
      <c r="I2826">
        <v>0</v>
      </c>
      <c r="J2826">
        <v>0</v>
      </c>
      <c r="K2826">
        <v>921500</v>
      </c>
      <c r="L2826">
        <v>0</v>
      </c>
      <c r="M2826">
        <v>0</v>
      </c>
      <c r="N2826">
        <v>0</v>
      </c>
      <c r="O2826">
        <v>0</v>
      </c>
      <c r="P2826" t="s">
        <v>192</v>
      </c>
      <c r="Q2826" t="s">
        <v>192</v>
      </c>
      <c r="R2826">
        <v>1</v>
      </c>
      <c r="S2826">
        <v>5000</v>
      </c>
      <c r="T2826">
        <v>921500</v>
      </c>
      <c r="U2826">
        <v>0</v>
      </c>
      <c r="V2826">
        <v>0</v>
      </c>
      <c r="W2826">
        <v>0</v>
      </c>
      <c r="X2826" s="367"/>
    </row>
    <row r="2827" spans="1:24">
      <c r="A2827" t="s">
        <v>6333</v>
      </c>
      <c r="B2827" t="s">
        <v>6334</v>
      </c>
      <c r="C2827">
        <v>0</v>
      </c>
      <c r="D2827">
        <v>0</v>
      </c>
      <c r="E2827">
        <v>0</v>
      </c>
      <c r="F2827">
        <v>1000000</v>
      </c>
      <c r="G2827">
        <v>0</v>
      </c>
      <c r="H2827">
        <v>1000000</v>
      </c>
      <c r="I2827">
        <v>0</v>
      </c>
      <c r="J2827">
        <v>0</v>
      </c>
      <c r="K2827">
        <v>1000000</v>
      </c>
      <c r="L2827">
        <v>0</v>
      </c>
      <c r="M2827">
        <v>0</v>
      </c>
      <c r="N2827">
        <v>0</v>
      </c>
      <c r="O2827">
        <v>0</v>
      </c>
      <c r="P2827" t="s">
        <v>192</v>
      </c>
      <c r="Q2827" t="s">
        <v>192</v>
      </c>
      <c r="R2827">
        <v>1</v>
      </c>
      <c r="S2827">
        <v>5000</v>
      </c>
      <c r="T2827">
        <v>970000</v>
      </c>
      <c r="U2827">
        <v>0</v>
      </c>
      <c r="V2827">
        <v>0</v>
      </c>
      <c r="W2827">
        <v>0</v>
      </c>
      <c r="X2827" s="367"/>
    </row>
    <row r="2828" spans="1:24">
      <c r="A2828" t="s">
        <v>8233</v>
      </c>
      <c r="B2828" t="s">
        <v>8234</v>
      </c>
      <c r="C2828">
        <v>1</v>
      </c>
      <c r="D2828">
        <v>1</v>
      </c>
      <c r="E2828">
        <v>199000</v>
      </c>
      <c r="F2828">
        <v>200</v>
      </c>
      <c r="G2828">
        <v>199</v>
      </c>
      <c r="H2828">
        <v>199</v>
      </c>
      <c r="I2828">
        <v>-1</v>
      </c>
      <c r="J2828">
        <v>-0.5</v>
      </c>
      <c r="K2828">
        <v>199</v>
      </c>
      <c r="L2828">
        <v>-1</v>
      </c>
      <c r="M2828">
        <v>-0.5</v>
      </c>
      <c r="N2828">
        <v>199</v>
      </c>
      <c r="O2828">
        <v>199</v>
      </c>
      <c r="P2828" t="s">
        <v>192</v>
      </c>
      <c r="Q2828" t="s">
        <v>192</v>
      </c>
      <c r="R2828">
        <v>1</v>
      </c>
      <c r="S2828">
        <v>100</v>
      </c>
      <c r="T2828">
        <v>60</v>
      </c>
      <c r="U2828">
        <v>199</v>
      </c>
      <c r="V2828">
        <v>99</v>
      </c>
      <c r="W2828">
        <v>1</v>
      </c>
      <c r="X2828" s="367"/>
    </row>
    <row r="2829" spans="1:24">
      <c r="A2829" t="s">
        <v>6335</v>
      </c>
      <c r="B2829" t="s">
        <v>6336</v>
      </c>
      <c r="C2829">
        <v>0</v>
      </c>
      <c r="D2829">
        <v>0</v>
      </c>
      <c r="E2829">
        <v>0</v>
      </c>
      <c r="F2829">
        <v>5550</v>
      </c>
      <c r="G2829">
        <v>0</v>
      </c>
      <c r="H2829">
        <v>5550</v>
      </c>
      <c r="I2829">
        <v>0</v>
      </c>
      <c r="J2829">
        <v>0</v>
      </c>
      <c r="K2829">
        <v>5550</v>
      </c>
      <c r="L2829">
        <v>0</v>
      </c>
      <c r="M2829">
        <v>0</v>
      </c>
      <c r="N2829">
        <v>0</v>
      </c>
      <c r="O2829">
        <v>0</v>
      </c>
      <c r="P2829" t="s">
        <v>192</v>
      </c>
      <c r="Q2829" t="s">
        <v>192</v>
      </c>
      <c r="R2829">
        <v>1</v>
      </c>
      <c r="S2829">
        <v>15</v>
      </c>
      <c r="T2829">
        <v>5500</v>
      </c>
      <c r="U2829">
        <v>7000</v>
      </c>
      <c r="V2829">
        <v>200</v>
      </c>
      <c r="W2829">
        <v>2</v>
      </c>
      <c r="X2829" s="367"/>
    </row>
    <row r="2830" spans="1:24">
      <c r="A2830" t="s">
        <v>6337</v>
      </c>
      <c r="B2830" t="s">
        <v>6338</v>
      </c>
      <c r="C2830">
        <v>0</v>
      </c>
      <c r="D2830">
        <v>0</v>
      </c>
      <c r="E2830">
        <v>0</v>
      </c>
      <c r="F2830">
        <v>300</v>
      </c>
      <c r="G2830">
        <v>0</v>
      </c>
      <c r="H2830">
        <v>300</v>
      </c>
      <c r="I2830">
        <v>0</v>
      </c>
      <c r="J2830">
        <v>0</v>
      </c>
      <c r="K2830">
        <v>300</v>
      </c>
      <c r="L2830">
        <v>0</v>
      </c>
      <c r="M2830">
        <v>0</v>
      </c>
      <c r="N2830">
        <v>0</v>
      </c>
      <c r="O2830">
        <v>0</v>
      </c>
      <c r="P2830" t="s">
        <v>192</v>
      </c>
      <c r="Q2830" t="s">
        <v>192</v>
      </c>
      <c r="R2830">
        <v>1</v>
      </c>
      <c r="S2830">
        <v>100</v>
      </c>
      <c r="T2830">
        <v>1</v>
      </c>
      <c r="U2830">
        <v>390</v>
      </c>
      <c r="V2830">
        <v>1</v>
      </c>
      <c r="W2830">
        <v>1</v>
      </c>
      <c r="X2830" s="367"/>
    </row>
    <row r="2831" spans="1:24">
      <c r="A2831" t="s">
        <v>6340</v>
      </c>
      <c r="B2831" t="s">
        <v>6341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1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 t="s">
        <v>192</v>
      </c>
      <c r="Q2831" t="s">
        <v>192</v>
      </c>
      <c r="R2831">
        <v>1</v>
      </c>
      <c r="S2831">
        <v>44</v>
      </c>
      <c r="T2831">
        <v>44</v>
      </c>
      <c r="U2831">
        <v>0</v>
      </c>
      <c r="V2831">
        <v>0</v>
      </c>
      <c r="W2831">
        <v>0</v>
      </c>
      <c r="X2831" s="367"/>
    </row>
    <row r="2832" spans="1:24">
      <c r="A2832" t="s">
        <v>6342</v>
      </c>
      <c r="B2832" t="s">
        <v>6343</v>
      </c>
      <c r="C2832">
        <v>46</v>
      </c>
      <c r="D2832">
        <v>2100443</v>
      </c>
      <c r="E2832">
        <v>23798019190</v>
      </c>
      <c r="F2832">
        <v>11000</v>
      </c>
      <c r="G2832">
        <v>11330</v>
      </c>
      <c r="H2832">
        <v>11330</v>
      </c>
      <c r="I2832">
        <v>330</v>
      </c>
      <c r="J2832">
        <v>3</v>
      </c>
      <c r="K2832">
        <v>11330</v>
      </c>
      <c r="L2832">
        <v>330</v>
      </c>
      <c r="M2832">
        <v>3</v>
      </c>
      <c r="N2832">
        <v>11330</v>
      </c>
      <c r="O2832">
        <v>11330</v>
      </c>
      <c r="P2832" t="s">
        <v>192</v>
      </c>
      <c r="Q2832" t="s">
        <v>192</v>
      </c>
      <c r="R2832">
        <v>1</v>
      </c>
      <c r="S2832">
        <v>44020</v>
      </c>
      <c r="T2832">
        <v>11330</v>
      </c>
      <c r="U2832">
        <v>0</v>
      </c>
      <c r="V2832">
        <v>0</v>
      </c>
      <c r="W2832">
        <v>0</v>
      </c>
      <c r="X2832" s="367"/>
    </row>
    <row r="2833" spans="1:24">
      <c r="A2833" t="s">
        <v>6344</v>
      </c>
      <c r="B2833" t="s">
        <v>6345</v>
      </c>
      <c r="C2833">
        <v>0</v>
      </c>
      <c r="D2833">
        <v>0</v>
      </c>
      <c r="E2833">
        <v>0</v>
      </c>
      <c r="F2833">
        <v>1000000</v>
      </c>
      <c r="G2833">
        <v>0</v>
      </c>
      <c r="H2833">
        <v>1000000</v>
      </c>
      <c r="I2833">
        <v>0</v>
      </c>
      <c r="J2833">
        <v>0</v>
      </c>
      <c r="K2833">
        <v>1000000</v>
      </c>
      <c r="L2833">
        <v>0</v>
      </c>
      <c r="M2833">
        <v>0</v>
      </c>
      <c r="N2833">
        <v>0</v>
      </c>
      <c r="O2833">
        <v>0</v>
      </c>
      <c r="P2833" t="s">
        <v>192</v>
      </c>
      <c r="Q2833" t="s">
        <v>192</v>
      </c>
      <c r="R2833">
        <v>1</v>
      </c>
      <c r="S2833">
        <v>8747</v>
      </c>
      <c r="T2833">
        <v>995000</v>
      </c>
      <c r="U2833">
        <v>0</v>
      </c>
      <c r="V2833">
        <v>0</v>
      </c>
      <c r="W2833">
        <v>0</v>
      </c>
      <c r="X2833" s="367"/>
    </row>
    <row r="2834" spans="1:24">
      <c r="A2834" t="s">
        <v>6903</v>
      </c>
      <c r="B2834" t="s">
        <v>6904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1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0</v>
      </c>
      <c r="P2834" t="s">
        <v>192</v>
      </c>
      <c r="Q2834" t="s">
        <v>192</v>
      </c>
      <c r="R2834">
        <v>1</v>
      </c>
      <c r="S2834">
        <v>100</v>
      </c>
      <c r="T2834">
        <v>1</v>
      </c>
      <c r="U2834">
        <v>0</v>
      </c>
      <c r="V2834">
        <v>0</v>
      </c>
      <c r="W2834">
        <v>0</v>
      </c>
      <c r="X2834" s="367"/>
    </row>
    <row r="2835" spans="1:24">
      <c r="A2835" t="s">
        <v>6346</v>
      </c>
      <c r="B2835" t="s">
        <v>6347</v>
      </c>
      <c r="C2835">
        <v>0</v>
      </c>
      <c r="D2835">
        <v>0</v>
      </c>
      <c r="E2835">
        <v>0</v>
      </c>
      <c r="F2835">
        <v>1000000</v>
      </c>
      <c r="G2835">
        <v>0</v>
      </c>
      <c r="H2835">
        <v>1000000</v>
      </c>
      <c r="I2835">
        <v>0</v>
      </c>
      <c r="J2835">
        <v>0</v>
      </c>
      <c r="K2835">
        <v>1000000</v>
      </c>
      <c r="L2835">
        <v>0</v>
      </c>
      <c r="M2835">
        <v>0</v>
      </c>
      <c r="N2835">
        <v>0</v>
      </c>
      <c r="O2835">
        <v>0</v>
      </c>
      <c r="P2835" t="s">
        <v>192</v>
      </c>
      <c r="Q2835" t="s">
        <v>192</v>
      </c>
      <c r="R2835">
        <v>1</v>
      </c>
      <c r="S2835">
        <v>15000</v>
      </c>
      <c r="T2835">
        <v>990000</v>
      </c>
      <c r="U2835">
        <v>1000000</v>
      </c>
      <c r="V2835">
        <v>15000</v>
      </c>
      <c r="W2835">
        <v>1</v>
      </c>
      <c r="X2835" s="367"/>
    </row>
    <row r="2836" spans="1:24">
      <c r="A2836" t="s">
        <v>6348</v>
      </c>
      <c r="B2836" t="s">
        <v>6349</v>
      </c>
      <c r="C2836">
        <v>3</v>
      </c>
      <c r="D2836">
        <v>1966</v>
      </c>
      <c r="E2836">
        <v>5013500000</v>
      </c>
      <c r="F2836">
        <v>2560811</v>
      </c>
      <c r="G2836">
        <v>2570000</v>
      </c>
      <c r="H2836">
        <v>2550000</v>
      </c>
      <c r="I2836">
        <v>-10811</v>
      </c>
      <c r="J2836">
        <v>-0.42</v>
      </c>
      <c r="K2836">
        <v>2550102</v>
      </c>
      <c r="L2836">
        <v>-10709</v>
      </c>
      <c r="M2836">
        <v>-0.42</v>
      </c>
      <c r="N2836">
        <v>2550000</v>
      </c>
      <c r="O2836">
        <v>2570000</v>
      </c>
      <c r="P2836" t="s">
        <v>192</v>
      </c>
      <c r="Q2836" t="s">
        <v>192</v>
      </c>
      <c r="R2836">
        <v>2</v>
      </c>
      <c r="S2836">
        <v>397</v>
      </c>
      <c r="T2836">
        <v>2550000</v>
      </c>
      <c r="U2836">
        <v>2569984</v>
      </c>
      <c r="V2836">
        <v>450</v>
      </c>
      <c r="W2836">
        <v>3</v>
      </c>
      <c r="X2836" s="367"/>
    </row>
    <row r="2837" spans="1:24">
      <c r="A2837" t="s">
        <v>6350</v>
      </c>
      <c r="B2837" t="s">
        <v>6351</v>
      </c>
      <c r="C2837">
        <v>190</v>
      </c>
      <c r="D2837">
        <v>28859798</v>
      </c>
      <c r="E2837">
        <v>600904106530</v>
      </c>
      <c r="F2837">
        <v>20780</v>
      </c>
      <c r="G2837">
        <v>20821</v>
      </c>
      <c r="H2837">
        <v>20822</v>
      </c>
      <c r="I2837">
        <v>42</v>
      </c>
      <c r="J2837">
        <v>0.2</v>
      </c>
      <c r="K2837">
        <v>20821</v>
      </c>
      <c r="L2837">
        <v>41</v>
      </c>
      <c r="M2837">
        <v>0.2</v>
      </c>
      <c r="N2837">
        <v>20821</v>
      </c>
      <c r="O2837">
        <v>20822</v>
      </c>
      <c r="P2837" t="s">
        <v>192</v>
      </c>
      <c r="Q2837" t="s">
        <v>192</v>
      </c>
      <c r="R2837">
        <v>2</v>
      </c>
      <c r="S2837">
        <v>150000850</v>
      </c>
      <c r="T2837">
        <v>20821</v>
      </c>
      <c r="U2837">
        <v>20822</v>
      </c>
      <c r="V2837">
        <v>14759391</v>
      </c>
      <c r="W2837">
        <v>1</v>
      </c>
      <c r="X2837" s="367"/>
    </row>
    <row r="2838" spans="1:24">
      <c r="A2838" t="s">
        <v>6915</v>
      </c>
      <c r="B2838" t="s">
        <v>6916</v>
      </c>
      <c r="C2838">
        <v>0</v>
      </c>
      <c r="D2838">
        <v>0</v>
      </c>
      <c r="E2838">
        <v>0</v>
      </c>
      <c r="F2838">
        <v>4</v>
      </c>
      <c r="G2838">
        <v>0</v>
      </c>
      <c r="H2838">
        <v>3</v>
      </c>
      <c r="I2838">
        <v>-1</v>
      </c>
      <c r="J2838">
        <v>-25</v>
      </c>
      <c r="K2838">
        <v>4</v>
      </c>
      <c r="L2838">
        <v>0</v>
      </c>
      <c r="M2838">
        <v>0</v>
      </c>
      <c r="N2838">
        <v>0</v>
      </c>
      <c r="O2838">
        <v>0</v>
      </c>
      <c r="P2838" t="s">
        <v>192</v>
      </c>
      <c r="Q2838" t="s">
        <v>192</v>
      </c>
      <c r="R2838">
        <v>2</v>
      </c>
      <c r="S2838">
        <v>1178</v>
      </c>
      <c r="T2838">
        <v>1</v>
      </c>
      <c r="U2838">
        <v>0</v>
      </c>
      <c r="V2838">
        <v>0</v>
      </c>
      <c r="W2838">
        <v>0</v>
      </c>
      <c r="X2838" s="367"/>
    </row>
    <row r="2839" spans="1:24">
      <c r="A2839" t="s">
        <v>6352</v>
      </c>
      <c r="B2839" t="s">
        <v>6353</v>
      </c>
      <c r="C2839">
        <v>30</v>
      </c>
      <c r="D2839">
        <v>643191</v>
      </c>
      <c r="E2839">
        <v>64474109031</v>
      </c>
      <c r="F2839">
        <v>97322</v>
      </c>
      <c r="G2839">
        <v>100241</v>
      </c>
      <c r="H2839">
        <v>100241</v>
      </c>
      <c r="I2839">
        <v>2919</v>
      </c>
      <c r="J2839">
        <v>3</v>
      </c>
      <c r="K2839">
        <v>100241</v>
      </c>
      <c r="L2839">
        <v>2919</v>
      </c>
      <c r="M2839">
        <v>3</v>
      </c>
      <c r="N2839">
        <v>100241</v>
      </c>
      <c r="O2839">
        <v>100241</v>
      </c>
      <c r="P2839" t="s">
        <v>192</v>
      </c>
      <c r="Q2839" t="s">
        <v>192</v>
      </c>
      <c r="R2839">
        <v>30</v>
      </c>
      <c r="S2839">
        <v>1950359</v>
      </c>
      <c r="T2839">
        <v>100241</v>
      </c>
      <c r="U2839">
        <v>0</v>
      </c>
      <c r="V2839">
        <v>0</v>
      </c>
      <c r="W2839">
        <v>0</v>
      </c>
      <c r="X2839" s="367"/>
    </row>
    <row r="2840" spans="1:24">
      <c r="A2840" t="s">
        <v>6354</v>
      </c>
      <c r="B2840" t="s">
        <v>6355</v>
      </c>
      <c r="C2840">
        <v>0</v>
      </c>
      <c r="D2840">
        <v>0</v>
      </c>
      <c r="E2840">
        <v>0</v>
      </c>
      <c r="F2840">
        <v>1000000</v>
      </c>
      <c r="G2840">
        <v>0</v>
      </c>
      <c r="H2840">
        <v>1000000</v>
      </c>
      <c r="I2840">
        <v>0</v>
      </c>
      <c r="J2840">
        <v>0</v>
      </c>
      <c r="K2840">
        <v>1000000</v>
      </c>
      <c r="L2840">
        <v>0</v>
      </c>
      <c r="M2840">
        <v>0</v>
      </c>
      <c r="N2840">
        <v>0</v>
      </c>
      <c r="O2840">
        <v>0</v>
      </c>
      <c r="P2840" t="s">
        <v>192</v>
      </c>
      <c r="Q2840" t="s">
        <v>192</v>
      </c>
      <c r="R2840">
        <v>1</v>
      </c>
      <c r="S2840">
        <v>30000</v>
      </c>
      <c r="T2840">
        <v>995000</v>
      </c>
      <c r="U2840">
        <v>1005000</v>
      </c>
      <c r="V2840">
        <v>30000</v>
      </c>
      <c r="W2840">
        <v>1</v>
      </c>
      <c r="X2840" s="367"/>
    </row>
    <row r="2841" spans="1:24">
      <c r="A2841" t="s">
        <v>2365</v>
      </c>
      <c r="B2841" t="s">
        <v>2364</v>
      </c>
      <c r="C2841">
        <v>65</v>
      </c>
      <c r="D2841">
        <v>1198489</v>
      </c>
      <c r="E2841">
        <v>17186332260</v>
      </c>
      <c r="F2841">
        <v>13930</v>
      </c>
      <c r="G2841">
        <v>14340</v>
      </c>
      <c r="H2841">
        <v>14340</v>
      </c>
      <c r="I2841">
        <v>410</v>
      </c>
      <c r="J2841">
        <v>2.94</v>
      </c>
      <c r="K2841">
        <v>14340</v>
      </c>
      <c r="L2841">
        <v>410</v>
      </c>
      <c r="M2841">
        <v>2.94</v>
      </c>
      <c r="N2841">
        <v>14340</v>
      </c>
      <c r="O2841">
        <v>14340</v>
      </c>
      <c r="P2841">
        <v>317</v>
      </c>
      <c r="Q2841">
        <v>45.24</v>
      </c>
      <c r="R2841">
        <v>28</v>
      </c>
      <c r="S2841">
        <v>1722687</v>
      </c>
      <c r="T2841">
        <v>14340</v>
      </c>
      <c r="U2841">
        <v>0</v>
      </c>
      <c r="V2841">
        <v>0</v>
      </c>
      <c r="W2841">
        <v>0</v>
      </c>
      <c r="X2841" s="367"/>
    </row>
    <row r="2842" spans="1:24">
      <c r="A2842" t="s">
        <v>6356</v>
      </c>
      <c r="B2842" t="s">
        <v>6357</v>
      </c>
      <c r="C2842">
        <v>0</v>
      </c>
      <c r="D2842">
        <v>0</v>
      </c>
      <c r="E2842">
        <v>0</v>
      </c>
      <c r="F2842">
        <v>1514000</v>
      </c>
      <c r="G2842">
        <v>0</v>
      </c>
      <c r="H2842">
        <v>1514000</v>
      </c>
      <c r="I2842">
        <v>0</v>
      </c>
      <c r="J2842">
        <v>0</v>
      </c>
      <c r="K2842">
        <v>1514000</v>
      </c>
      <c r="L2842">
        <v>0</v>
      </c>
      <c r="M2842">
        <v>0</v>
      </c>
      <c r="N2842">
        <v>0</v>
      </c>
      <c r="O2842">
        <v>0</v>
      </c>
      <c r="P2842" t="s">
        <v>192</v>
      </c>
      <c r="Q2842" t="s">
        <v>192</v>
      </c>
      <c r="R2842">
        <v>1</v>
      </c>
      <c r="S2842">
        <v>1000</v>
      </c>
      <c r="T2842">
        <v>1514000</v>
      </c>
      <c r="U2842">
        <v>1550000</v>
      </c>
      <c r="V2842">
        <v>1000</v>
      </c>
      <c r="W2842">
        <v>1</v>
      </c>
      <c r="X2842" s="367"/>
    </row>
    <row r="2843" spans="1:24">
      <c r="A2843" t="s">
        <v>2870</v>
      </c>
      <c r="B2843" t="s">
        <v>2869</v>
      </c>
      <c r="C2843">
        <v>5</v>
      </c>
      <c r="D2843">
        <v>300832</v>
      </c>
      <c r="E2843">
        <v>1016812160</v>
      </c>
      <c r="F2843">
        <v>3290</v>
      </c>
      <c r="G2843">
        <v>3380</v>
      </c>
      <c r="H2843">
        <v>3380</v>
      </c>
      <c r="I2843">
        <v>90</v>
      </c>
      <c r="J2843">
        <v>2.74</v>
      </c>
      <c r="K2843">
        <v>3380</v>
      </c>
      <c r="L2843">
        <v>90</v>
      </c>
      <c r="M2843">
        <v>2.74</v>
      </c>
      <c r="N2843">
        <v>3380</v>
      </c>
      <c r="O2843">
        <v>3380</v>
      </c>
      <c r="P2843">
        <v>995</v>
      </c>
      <c r="Q2843">
        <v>3.4</v>
      </c>
      <c r="R2843">
        <v>36</v>
      </c>
      <c r="S2843">
        <v>6612957</v>
      </c>
      <c r="T2843">
        <v>3380</v>
      </c>
      <c r="U2843">
        <v>0</v>
      </c>
      <c r="V2843">
        <v>0</v>
      </c>
      <c r="W2843">
        <v>0</v>
      </c>
      <c r="X2843" s="367"/>
    </row>
    <row r="2844" spans="1:24">
      <c r="A2844" t="s">
        <v>6359</v>
      </c>
      <c r="B2844" t="s">
        <v>6360</v>
      </c>
      <c r="C2844">
        <v>0</v>
      </c>
      <c r="D2844">
        <v>0</v>
      </c>
      <c r="E2844">
        <v>0</v>
      </c>
      <c r="F2844">
        <v>814508</v>
      </c>
      <c r="G2844">
        <v>0</v>
      </c>
      <c r="H2844">
        <v>814508</v>
      </c>
      <c r="I2844">
        <v>0</v>
      </c>
      <c r="J2844">
        <v>0</v>
      </c>
      <c r="K2844">
        <v>814508</v>
      </c>
      <c r="L2844">
        <v>0</v>
      </c>
      <c r="M2844">
        <v>0</v>
      </c>
      <c r="N2844">
        <v>0</v>
      </c>
      <c r="O2844">
        <v>0</v>
      </c>
      <c r="P2844" t="s">
        <v>192</v>
      </c>
      <c r="Q2844" t="s">
        <v>192</v>
      </c>
      <c r="R2844">
        <v>1</v>
      </c>
      <c r="S2844">
        <v>7500</v>
      </c>
      <c r="T2844">
        <v>790073</v>
      </c>
      <c r="U2844">
        <v>0</v>
      </c>
      <c r="V2844">
        <v>0</v>
      </c>
      <c r="W2844">
        <v>0</v>
      </c>
      <c r="X2844" s="367"/>
    </row>
    <row r="2845" spans="1:24">
      <c r="A2845" t="s">
        <v>8060</v>
      </c>
      <c r="B2845" t="s">
        <v>8061</v>
      </c>
      <c r="C2845">
        <v>0</v>
      </c>
      <c r="D2845">
        <v>0</v>
      </c>
      <c r="E2845">
        <v>0</v>
      </c>
      <c r="F2845">
        <v>10</v>
      </c>
      <c r="G2845">
        <v>0</v>
      </c>
      <c r="H2845">
        <v>10</v>
      </c>
      <c r="I2845">
        <v>0</v>
      </c>
      <c r="J2845">
        <v>0</v>
      </c>
      <c r="K2845">
        <v>10</v>
      </c>
      <c r="L2845">
        <v>0</v>
      </c>
      <c r="M2845">
        <v>0</v>
      </c>
      <c r="N2845">
        <v>0</v>
      </c>
      <c r="O2845">
        <v>0</v>
      </c>
      <c r="P2845" t="s">
        <v>192</v>
      </c>
      <c r="Q2845" t="s">
        <v>192</v>
      </c>
      <c r="R2845">
        <v>2</v>
      </c>
      <c r="S2845">
        <v>1478</v>
      </c>
      <c r="T2845">
        <v>2</v>
      </c>
      <c r="U2845">
        <v>10</v>
      </c>
      <c r="V2845">
        <v>1000</v>
      </c>
      <c r="W2845">
        <v>1</v>
      </c>
      <c r="X2845" s="367"/>
    </row>
    <row r="2846" spans="1:24">
      <c r="A2846" t="s">
        <v>6361</v>
      </c>
      <c r="B2846" t="s">
        <v>6362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1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0</v>
      </c>
      <c r="P2846" t="s">
        <v>192</v>
      </c>
      <c r="Q2846" t="s">
        <v>192</v>
      </c>
      <c r="R2846">
        <v>1</v>
      </c>
      <c r="S2846">
        <v>1</v>
      </c>
      <c r="T2846">
        <v>5001</v>
      </c>
      <c r="U2846">
        <v>0</v>
      </c>
      <c r="V2846">
        <v>0</v>
      </c>
      <c r="W2846">
        <v>0</v>
      </c>
      <c r="X2846" s="367"/>
    </row>
    <row r="2847" spans="1:24">
      <c r="A2847" t="s">
        <v>6363</v>
      </c>
      <c r="B2847" t="s">
        <v>6364</v>
      </c>
      <c r="C2847">
        <v>111</v>
      </c>
      <c r="D2847">
        <v>343</v>
      </c>
      <c r="E2847">
        <v>3035276000</v>
      </c>
      <c r="F2847">
        <v>11304</v>
      </c>
      <c r="G2847">
        <v>7160</v>
      </c>
      <c r="H2847">
        <v>8900</v>
      </c>
      <c r="I2847">
        <v>-2404</v>
      </c>
      <c r="J2847">
        <v>-21.27</v>
      </c>
      <c r="K2847">
        <v>8849</v>
      </c>
      <c r="L2847">
        <v>-2455</v>
      </c>
      <c r="M2847">
        <v>-21.72</v>
      </c>
      <c r="N2847">
        <v>7160</v>
      </c>
      <c r="O2847">
        <v>9795</v>
      </c>
      <c r="P2847" t="s">
        <v>192</v>
      </c>
      <c r="Q2847" t="s">
        <v>192</v>
      </c>
      <c r="R2847">
        <v>1</v>
      </c>
      <c r="S2847">
        <v>5</v>
      </c>
      <c r="T2847">
        <v>8615</v>
      </c>
      <c r="U2847">
        <v>9900</v>
      </c>
      <c r="V2847">
        <v>11</v>
      </c>
      <c r="W2847">
        <v>1</v>
      </c>
      <c r="X2847" s="367"/>
    </row>
    <row r="2848" spans="1:24">
      <c r="A2848" t="s">
        <v>6365</v>
      </c>
      <c r="B2848" t="s">
        <v>6366</v>
      </c>
      <c r="C2848">
        <v>825</v>
      </c>
      <c r="D2848">
        <v>8763257</v>
      </c>
      <c r="E2848">
        <v>258283739254</v>
      </c>
      <c r="F2848">
        <v>28650</v>
      </c>
      <c r="G2848">
        <v>29509</v>
      </c>
      <c r="H2848">
        <v>29509</v>
      </c>
      <c r="I2848">
        <v>859</v>
      </c>
      <c r="J2848">
        <v>3</v>
      </c>
      <c r="K2848">
        <v>29473</v>
      </c>
      <c r="L2848">
        <v>823</v>
      </c>
      <c r="M2848">
        <v>2.87</v>
      </c>
      <c r="N2848">
        <v>29270</v>
      </c>
      <c r="O2848">
        <v>29509</v>
      </c>
      <c r="P2848" t="s">
        <v>192</v>
      </c>
      <c r="Q2848" t="s">
        <v>192</v>
      </c>
      <c r="R2848">
        <v>25</v>
      </c>
      <c r="S2848">
        <v>1351801</v>
      </c>
      <c r="T2848">
        <v>29509</v>
      </c>
      <c r="U2848">
        <v>0</v>
      </c>
      <c r="V2848">
        <v>0</v>
      </c>
      <c r="W2848">
        <v>0</v>
      </c>
      <c r="X2848" s="367"/>
    </row>
    <row r="2849" spans="1:24">
      <c r="A2849" t="s">
        <v>2490</v>
      </c>
      <c r="B2849" t="s">
        <v>2489</v>
      </c>
      <c r="C2849">
        <v>633</v>
      </c>
      <c r="D2849">
        <v>11735244</v>
      </c>
      <c r="E2849">
        <v>241938722840</v>
      </c>
      <c r="F2849">
        <v>20070</v>
      </c>
      <c r="G2849">
        <v>20670</v>
      </c>
      <c r="H2849">
        <v>20670</v>
      </c>
      <c r="I2849">
        <v>600</v>
      </c>
      <c r="J2849">
        <v>2.99</v>
      </c>
      <c r="K2849">
        <v>20620</v>
      </c>
      <c r="L2849">
        <v>550</v>
      </c>
      <c r="M2849">
        <v>2.74</v>
      </c>
      <c r="N2849">
        <v>20130</v>
      </c>
      <c r="O2849">
        <v>20670</v>
      </c>
      <c r="P2849">
        <v>2821</v>
      </c>
      <c r="Q2849">
        <v>7.31</v>
      </c>
      <c r="R2849">
        <v>42</v>
      </c>
      <c r="S2849">
        <v>2493468</v>
      </c>
      <c r="T2849">
        <v>20670</v>
      </c>
      <c r="U2849">
        <v>0</v>
      </c>
      <c r="V2849">
        <v>0</v>
      </c>
      <c r="W2849">
        <v>0</v>
      </c>
      <c r="X2849" s="367"/>
    </row>
    <row r="2850" spans="1:24">
      <c r="A2850" t="s">
        <v>6367</v>
      </c>
      <c r="B2850" t="s">
        <v>6368</v>
      </c>
      <c r="C2850">
        <v>2</v>
      </c>
      <c r="D2850">
        <v>22</v>
      </c>
      <c r="E2850">
        <v>121000</v>
      </c>
      <c r="F2850">
        <v>1</v>
      </c>
      <c r="G2850">
        <v>6</v>
      </c>
      <c r="H2850">
        <v>5</v>
      </c>
      <c r="I2850">
        <v>4</v>
      </c>
      <c r="J2850">
        <v>400</v>
      </c>
      <c r="K2850">
        <v>5</v>
      </c>
      <c r="L2850">
        <v>4</v>
      </c>
      <c r="M2850">
        <v>400</v>
      </c>
      <c r="N2850">
        <v>5</v>
      </c>
      <c r="O2850">
        <v>6</v>
      </c>
      <c r="P2850" t="s">
        <v>192</v>
      </c>
      <c r="Q2850" t="s">
        <v>192</v>
      </c>
      <c r="R2850">
        <v>2</v>
      </c>
      <c r="S2850">
        <v>1250</v>
      </c>
      <c r="T2850">
        <v>1</v>
      </c>
      <c r="U2850">
        <v>0</v>
      </c>
      <c r="V2850">
        <v>0</v>
      </c>
      <c r="W2850">
        <v>0</v>
      </c>
      <c r="X2850" s="367"/>
    </row>
    <row r="2851" spans="1:24">
      <c r="A2851" t="s">
        <v>6369</v>
      </c>
      <c r="B2851" t="s">
        <v>6370</v>
      </c>
      <c r="C2851">
        <v>1</v>
      </c>
      <c r="D2851">
        <v>3</v>
      </c>
      <c r="E2851">
        <v>12150000</v>
      </c>
      <c r="F2851">
        <v>5928</v>
      </c>
      <c r="G2851">
        <v>4050</v>
      </c>
      <c r="H2851">
        <v>4050</v>
      </c>
      <c r="I2851">
        <v>-1878</v>
      </c>
      <c r="J2851">
        <v>-31.68</v>
      </c>
      <c r="K2851">
        <v>4050</v>
      </c>
      <c r="L2851">
        <v>-1878</v>
      </c>
      <c r="M2851">
        <v>-31.68</v>
      </c>
      <c r="N2851">
        <v>4050</v>
      </c>
      <c r="O2851">
        <v>4050</v>
      </c>
      <c r="P2851" t="s">
        <v>192</v>
      </c>
      <c r="Q2851" t="s">
        <v>192</v>
      </c>
      <c r="R2851">
        <v>1</v>
      </c>
      <c r="S2851">
        <v>10</v>
      </c>
      <c r="T2851">
        <v>4000</v>
      </c>
      <c r="U2851">
        <v>0</v>
      </c>
      <c r="V2851">
        <v>0</v>
      </c>
      <c r="W2851">
        <v>0</v>
      </c>
      <c r="X2851" s="367"/>
    </row>
    <row r="2852" spans="1:24">
      <c r="A2852" t="s">
        <v>8878</v>
      </c>
      <c r="B2852" t="s">
        <v>1903</v>
      </c>
      <c r="C2852">
        <v>1</v>
      </c>
      <c r="D2852">
        <v>3000</v>
      </c>
      <c r="E2852">
        <v>7848000</v>
      </c>
      <c r="F2852">
        <v>2545</v>
      </c>
      <c r="G2852">
        <v>2616</v>
      </c>
      <c r="H2852">
        <v>2616</v>
      </c>
      <c r="I2852">
        <v>71</v>
      </c>
      <c r="J2852">
        <v>2.79</v>
      </c>
      <c r="K2852">
        <v>2616</v>
      </c>
      <c r="L2852">
        <v>71</v>
      </c>
      <c r="M2852">
        <v>2.79</v>
      </c>
      <c r="N2852">
        <v>2616</v>
      </c>
      <c r="O2852">
        <v>2616</v>
      </c>
      <c r="P2852">
        <v>754</v>
      </c>
      <c r="Q2852">
        <v>3.47</v>
      </c>
      <c r="R2852">
        <v>104</v>
      </c>
      <c r="S2852">
        <v>102171961</v>
      </c>
      <c r="T2852">
        <v>2616</v>
      </c>
      <c r="U2852">
        <v>0</v>
      </c>
      <c r="V2852">
        <v>0</v>
      </c>
      <c r="W2852">
        <v>0</v>
      </c>
      <c r="X2852" s="367"/>
    </row>
    <row r="2853" spans="1:24">
      <c r="A2853" t="s">
        <v>8269</v>
      </c>
      <c r="B2853" t="s">
        <v>8270</v>
      </c>
      <c r="C2853">
        <v>223</v>
      </c>
      <c r="D2853">
        <v>5056327</v>
      </c>
      <c r="E2853">
        <v>71018529760</v>
      </c>
      <c r="F2853">
        <v>13988</v>
      </c>
      <c r="G2853">
        <v>13990</v>
      </c>
      <c r="H2853">
        <v>14083</v>
      </c>
      <c r="I2853">
        <v>95</v>
      </c>
      <c r="J2853">
        <v>0.68</v>
      </c>
      <c r="K2853">
        <v>14045</v>
      </c>
      <c r="L2853">
        <v>57</v>
      </c>
      <c r="M2853">
        <v>0.41</v>
      </c>
      <c r="N2853">
        <v>13990</v>
      </c>
      <c r="O2853">
        <v>14084</v>
      </c>
      <c r="P2853" t="s">
        <v>192</v>
      </c>
      <c r="Q2853" t="s">
        <v>192</v>
      </c>
      <c r="R2853">
        <v>1</v>
      </c>
      <c r="S2853">
        <v>50000</v>
      </c>
      <c r="T2853">
        <v>13950</v>
      </c>
      <c r="U2853">
        <v>14154</v>
      </c>
      <c r="V2853">
        <v>72</v>
      </c>
      <c r="W2853">
        <v>3</v>
      </c>
      <c r="X2853" s="367"/>
    </row>
    <row r="2854" spans="1:24">
      <c r="A2854" t="s">
        <v>1972</v>
      </c>
      <c r="B2854" t="s">
        <v>1971</v>
      </c>
      <c r="C2854">
        <v>2686</v>
      </c>
      <c r="D2854">
        <v>38892318</v>
      </c>
      <c r="E2854">
        <v>640760619390</v>
      </c>
      <c r="F2854">
        <v>16230</v>
      </c>
      <c r="G2854">
        <v>16710</v>
      </c>
      <c r="H2854">
        <v>16710</v>
      </c>
      <c r="I2854">
        <v>480</v>
      </c>
      <c r="J2854">
        <v>2.96</v>
      </c>
      <c r="K2854">
        <v>16480</v>
      </c>
      <c r="L2854">
        <v>250</v>
      </c>
      <c r="M2854">
        <v>1.54</v>
      </c>
      <c r="N2854">
        <v>15820</v>
      </c>
      <c r="O2854">
        <v>16710</v>
      </c>
      <c r="P2854">
        <v>6363</v>
      </c>
      <c r="Q2854">
        <v>2.59</v>
      </c>
      <c r="R2854">
        <v>35</v>
      </c>
      <c r="S2854">
        <v>1510996</v>
      </c>
      <c r="T2854">
        <v>16710</v>
      </c>
      <c r="U2854">
        <v>18750</v>
      </c>
      <c r="V2854">
        <v>400</v>
      </c>
      <c r="W2854">
        <v>1</v>
      </c>
      <c r="X2854" s="367"/>
    </row>
    <row r="2855" spans="1:24">
      <c r="A2855" t="s">
        <v>6371</v>
      </c>
      <c r="B2855" t="s">
        <v>6372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1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 t="s">
        <v>192</v>
      </c>
      <c r="Q2855" t="s">
        <v>192</v>
      </c>
      <c r="R2855">
        <v>2</v>
      </c>
      <c r="S2855">
        <v>200</v>
      </c>
      <c r="T2855">
        <v>1</v>
      </c>
      <c r="U2855">
        <v>0</v>
      </c>
      <c r="V2855">
        <v>0</v>
      </c>
      <c r="W2855">
        <v>0</v>
      </c>
      <c r="X2855" s="367"/>
    </row>
    <row r="2856" spans="1:24">
      <c r="A2856" t="s">
        <v>6373</v>
      </c>
      <c r="B2856" t="s">
        <v>6374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1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 t="s">
        <v>192</v>
      </c>
      <c r="Q2856" t="s">
        <v>192</v>
      </c>
      <c r="R2856">
        <v>1</v>
      </c>
      <c r="S2856">
        <v>44</v>
      </c>
      <c r="T2856">
        <v>89</v>
      </c>
      <c r="U2856">
        <v>0</v>
      </c>
      <c r="V2856">
        <v>0</v>
      </c>
      <c r="W2856">
        <v>0</v>
      </c>
      <c r="X2856" s="367"/>
    </row>
    <row r="2857" spans="1:24">
      <c r="A2857" t="s">
        <v>6767</v>
      </c>
      <c r="B2857" t="s">
        <v>6768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1</v>
      </c>
      <c r="I2857">
        <v>0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0</v>
      </c>
      <c r="P2857" t="s">
        <v>192</v>
      </c>
      <c r="Q2857" t="s">
        <v>192</v>
      </c>
      <c r="R2857">
        <v>1</v>
      </c>
      <c r="S2857">
        <v>100</v>
      </c>
      <c r="T2857">
        <v>1</v>
      </c>
      <c r="U2857">
        <v>0</v>
      </c>
      <c r="V2857">
        <v>0</v>
      </c>
      <c r="W2857">
        <v>0</v>
      </c>
      <c r="X2857" s="367"/>
    </row>
    <row r="2858" spans="1:24">
      <c r="A2858" t="s">
        <v>6375</v>
      </c>
      <c r="B2858" t="s">
        <v>4111</v>
      </c>
      <c r="C2858">
        <v>7</v>
      </c>
      <c r="D2858">
        <v>8087</v>
      </c>
      <c r="E2858">
        <v>170904701</v>
      </c>
      <c r="F2858">
        <v>20547</v>
      </c>
      <c r="G2858">
        <v>21163</v>
      </c>
      <c r="H2858">
        <v>20683</v>
      </c>
      <c r="I2858">
        <v>136</v>
      </c>
      <c r="J2858">
        <v>0.66</v>
      </c>
      <c r="K2858">
        <v>21133</v>
      </c>
      <c r="L2858">
        <v>586</v>
      </c>
      <c r="M2858">
        <v>2.85</v>
      </c>
      <c r="N2858">
        <v>20683</v>
      </c>
      <c r="O2858">
        <v>21163</v>
      </c>
      <c r="P2858" t="s">
        <v>192</v>
      </c>
      <c r="Q2858" t="s">
        <v>192</v>
      </c>
      <c r="R2858">
        <v>1</v>
      </c>
      <c r="S2858">
        <v>299</v>
      </c>
      <c r="T2858">
        <v>20683</v>
      </c>
      <c r="U2858">
        <v>21163</v>
      </c>
      <c r="V2858">
        <v>94705</v>
      </c>
      <c r="W2858">
        <v>1</v>
      </c>
      <c r="X2858" s="367"/>
    </row>
    <row r="2859" spans="1:24">
      <c r="A2859" t="s">
        <v>6376</v>
      </c>
      <c r="B2859" t="s">
        <v>6377</v>
      </c>
      <c r="C2859">
        <v>5</v>
      </c>
      <c r="D2859">
        <v>29</v>
      </c>
      <c r="E2859">
        <v>322990000</v>
      </c>
      <c r="F2859">
        <v>9652</v>
      </c>
      <c r="G2859">
        <v>14990</v>
      </c>
      <c r="H2859">
        <v>11000</v>
      </c>
      <c r="I2859">
        <v>1348</v>
      </c>
      <c r="J2859">
        <v>13.97</v>
      </c>
      <c r="K2859">
        <v>11138</v>
      </c>
      <c r="L2859">
        <v>1486</v>
      </c>
      <c r="M2859">
        <v>15.4</v>
      </c>
      <c r="N2859">
        <v>11000</v>
      </c>
      <c r="O2859">
        <v>14990</v>
      </c>
      <c r="P2859" t="s">
        <v>192</v>
      </c>
      <c r="Q2859" t="s">
        <v>192</v>
      </c>
      <c r="R2859">
        <v>1</v>
      </c>
      <c r="S2859">
        <v>10</v>
      </c>
      <c r="T2859">
        <v>11507</v>
      </c>
      <c r="U2859">
        <v>14970</v>
      </c>
      <c r="V2859">
        <v>5</v>
      </c>
      <c r="W2859">
        <v>1</v>
      </c>
      <c r="X2859" s="367"/>
    </row>
    <row r="2860" spans="1:24">
      <c r="A2860" t="s">
        <v>6378</v>
      </c>
      <c r="B2860" t="s">
        <v>6379</v>
      </c>
      <c r="C2860">
        <v>0</v>
      </c>
      <c r="D2860">
        <v>0</v>
      </c>
      <c r="E2860">
        <v>0</v>
      </c>
      <c r="F2860">
        <v>1000000</v>
      </c>
      <c r="G2860">
        <v>0</v>
      </c>
      <c r="H2860">
        <v>1000000</v>
      </c>
      <c r="I2860">
        <v>0</v>
      </c>
      <c r="J2860">
        <v>0</v>
      </c>
      <c r="K2860">
        <v>1000000</v>
      </c>
      <c r="L2860">
        <v>0</v>
      </c>
      <c r="M2860">
        <v>0</v>
      </c>
      <c r="N2860">
        <v>0</v>
      </c>
      <c r="O2860">
        <v>0</v>
      </c>
      <c r="P2860" t="s">
        <v>192</v>
      </c>
      <c r="Q2860" t="s">
        <v>192</v>
      </c>
      <c r="R2860">
        <v>1</v>
      </c>
      <c r="S2860">
        <v>5000</v>
      </c>
      <c r="T2860">
        <v>1000000</v>
      </c>
      <c r="U2860">
        <v>0</v>
      </c>
      <c r="V2860">
        <v>0</v>
      </c>
      <c r="W2860">
        <v>0</v>
      </c>
      <c r="X2860" s="367"/>
    </row>
    <row r="2861" spans="1:24">
      <c r="A2861" t="s">
        <v>2733</v>
      </c>
      <c r="B2861" t="s">
        <v>2732</v>
      </c>
      <c r="C2861">
        <v>466</v>
      </c>
      <c r="D2861">
        <v>5244491</v>
      </c>
      <c r="E2861">
        <v>223028615310</v>
      </c>
      <c r="F2861">
        <v>41300</v>
      </c>
      <c r="G2861">
        <v>42530</v>
      </c>
      <c r="H2861">
        <v>42530</v>
      </c>
      <c r="I2861">
        <v>1230</v>
      </c>
      <c r="J2861">
        <v>2.98</v>
      </c>
      <c r="K2861">
        <v>42530</v>
      </c>
      <c r="L2861">
        <v>1230</v>
      </c>
      <c r="M2861">
        <v>2.98</v>
      </c>
      <c r="N2861">
        <v>41900</v>
      </c>
      <c r="O2861">
        <v>42530</v>
      </c>
      <c r="P2861">
        <v>6419</v>
      </c>
      <c r="Q2861">
        <v>6.63</v>
      </c>
      <c r="R2861">
        <v>54</v>
      </c>
      <c r="S2861">
        <v>1413627</v>
      </c>
      <c r="T2861">
        <v>42530</v>
      </c>
      <c r="U2861">
        <v>43460</v>
      </c>
      <c r="V2861">
        <v>509</v>
      </c>
      <c r="W2861">
        <v>2</v>
      </c>
      <c r="X2861" s="367"/>
    </row>
    <row r="2862" spans="1:24">
      <c r="A2862" t="s">
        <v>2908</v>
      </c>
      <c r="B2862" t="s">
        <v>2906</v>
      </c>
      <c r="C2862">
        <v>1</v>
      </c>
      <c r="D2862">
        <v>5000</v>
      </c>
      <c r="E2862">
        <v>23750000</v>
      </c>
      <c r="F2862">
        <v>4620</v>
      </c>
      <c r="G2862">
        <v>4750</v>
      </c>
      <c r="H2862">
        <v>4750</v>
      </c>
      <c r="I2862">
        <v>130</v>
      </c>
      <c r="J2862">
        <v>2.81</v>
      </c>
      <c r="K2862">
        <v>4750</v>
      </c>
      <c r="L2862">
        <v>130</v>
      </c>
      <c r="M2862">
        <v>2.81</v>
      </c>
      <c r="N2862">
        <v>4750</v>
      </c>
      <c r="O2862">
        <v>4750</v>
      </c>
      <c r="P2862">
        <v>935</v>
      </c>
      <c r="Q2862">
        <v>5.08</v>
      </c>
      <c r="R2862">
        <v>19</v>
      </c>
      <c r="S2862">
        <v>3742500</v>
      </c>
      <c r="T2862">
        <v>4750</v>
      </c>
      <c r="U2862">
        <v>0</v>
      </c>
      <c r="V2862">
        <v>0</v>
      </c>
      <c r="W2862">
        <v>0</v>
      </c>
      <c r="X2862" s="367"/>
    </row>
    <row r="2863" spans="1:24">
      <c r="A2863" t="s">
        <v>6380</v>
      </c>
      <c r="B2863" t="s">
        <v>6381</v>
      </c>
      <c r="C2863">
        <v>0</v>
      </c>
      <c r="D2863">
        <v>0</v>
      </c>
      <c r="E2863">
        <v>0</v>
      </c>
      <c r="F2863">
        <v>1000000</v>
      </c>
      <c r="G2863">
        <v>0</v>
      </c>
      <c r="H2863">
        <v>1000000</v>
      </c>
      <c r="I2863">
        <v>0</v>
      </c>
      <c r="J2863">
        <v>0</v>
      </c>
      <c r="K2863">
        <v>1000000</v>
      </c>
      <c r="L2863">
        <v>0</v>
      </c>
      <c r="M2863">
        <v>0</v>
      </c>
      <c r="N2863">
        <v>0</v>
      </c>
      <c r="O2863">
        <v>0</v>
      </c>
      <c r="P2863" t="s">
        <v>192</v>
      </c>
      <c r="Q2863" t="s">
        <v>192</v>
      </c>
      <c r="R2863">
        <v>1</v>
      </c>
      <c r="S2863">
        <v>6250</v>
      </c>
      <c r="T2863">
        <v>995000</v>
      </c>
      <c r="U2863">
        <v>0</v>
      </c>
      <c r="V2863">
        <v>0</v>
      </c>
      <c r="W2863">
        <v>0</v>
      </c>
      <c r="X2863" s="367"/>
    </row>
    <row r="2864" spans="1:24">
      <c r="A2864" t="s">
        <v>6382</v>
      </c>
      <c r="B2864" t="s">
        <v>6383</v>
      </c>
      <c r="C2864">
        <v>639</v>
      </c>
      <c r="D2864">
        <v>216391150</v>
      </c>
      <c r="E2864">
        <v>6309365987940</v>
      </c>
      <c r="F2864">
        <v>29089</v>
      </c>
      <c r="G2864">
        <v>29156</v>
      </c>
      <c r="H2864">
        <v>29158</v>
      </c>
      <c r="I2864">
        <v>69</v>
      </c>
      <c r="J2864">
        <v>0.24</v>
      </c>
      <c r="K2864">
        <v>29157</v>
      </c>
      <c r="L2864">
        <v>68</v>
      </c>
      <c r="M2864">
        <v>0.23</v>
      </c>
      <c r="N2864">
        <v>29156</v>
      </c>
      <c r="O2864">
        <v>29158</v>
      </c>
      <c r="P2864" t="s">
        <v>192</v>
      </c>
      <c r="Q2864" t="s">
        <v>192</v>
      </c>
      <c r="R2864">
        <v>3</v>
      </c>
      <c r="S2864">
        <v>81309</v>
      </c>
      <c r="T2864">
        <v>29157</v>
      </c>
      <c r="U2864">
        <v>29158</v>
      </c>
      <c r="V2864">
        <v>14172192</v>
      </c>
      <c r="W2864">
        <v>1</v>
      </c>
      <c r="X2864" s="367"/>
    </row>
    <row r="2865" spans="1:24">
      <c r="A2865" t="s">
        <v>4045</v>
      </c>
      <c r="B2865" t="s">
        <v>4046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1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 t="s">
        <v>192</v>
      </c>
      <c r="Q2865" t="s">
        <v>192</v>
      </c>
      <c r="R2865">
        <v>1</v>
      </c>
      <c r="S2865">
        <v>100</v>
      </c>
      <c r="T2865">
        <v>1</v>
      </c>
      <c r="U2865">
        <v>0</v>
      </c>
      <c r="V2865">
        <v>0</v>
      </c>
      <c r="W2865">
        <v>0</v>
      </c>
      <c r="X2865" s="367"/>
    </row>
    <row r="2866" spans="1:24">
      <c r="A2866" t="s">
        <v>6605</v>
      </c>
      <c r="B2866" t="s">
        <v>8557</v>
      </c>
      <c r="C2866">
        <v>4</v>
      </c>
      <c r="D2866">
        <v>59</v>
      </c>
      <c r="E2866">
        <v>586788</v>
      </c>
      <c r="F2866">
        <v>8</v>
      </c>
      <c r="G2866">
        <v>1</v>
      </c>
      <c r="H2866">
        <v>10</v>
      </c>
      <c r="I2866">
        <v>2</v>
      </c>
      <c r="J2866">
        <v>25</v>
      </c>
      <c r="K2866">
        <v>7</v>
      </c>
      <c r="L2866">
        <v>-1</v>
      </c>
      <c r="M2866">
        <v>-12.5</v>
      </c>
      <c r="N2866">
        <v>1</v>
      </c>
      <c r="O2866">
        <v>10</v>
      </c>
      <c r="P2866" t="s">
        <v>192</v>
      </c>
      <c r="Q2866" t="s">
        <v>192</v>
      </c>
      <c r="R2866">
        <v>0</v>
      </c>
      <c r="S2866">
        <v>0</v>
      </c>
      <c r="T2866">
        <v>0</v>
      </c>
      <c r="U2866">
        <v>10</v>
      </c>
      <c r="V2866">
        <v>141</v>
      </c>
      <c r="W2866">
        <v>1</v>
      </c>
      <c r="X2866" s="367"/>
    </row>
    <row r="2867" spans="1:24">
      <c r="A2867" t="s">
        <v>4047</v>
      </c>
      <c r="B2867" t="s">
        <v>8107</v>
      </c>
      <c r="C2867">
        <v>1786</v>
      </c>
      <c r="D2867">
        <v>854151</v>
      </c>
      <c r="E2867">
        <v>1183108000</v>
      </c>
      <c r="F2867">
        <v>2</v>
      </c>
      <c r="G2867">
        <v>1</v>
      </c>
      <c r="H2867">
        <v>1</v>
      </c>
      <c r="I2867">
        <v>-1</v>
      </c>
      <c r="J2867">
        <v>-50</v>
      </c>
      <c r="K2867">
        <v>1</v>
      </c>
      <c r="L2867">
        <v>-1</v>
      </c>
      <c r="M2867">
        <v>-50</v>
      </c>
      <c r="N2867">
        <v>1</v>
      </c>
      <c r="O2867">
        <v>2</v>
      </c>
      <c r="P2867" t="s">
        <v>192</v>
      </c>
      <c r="Q2867" t="s">
        <v>192</v>
      </c>
      <c r="R2867">
        <v>7</v>
      </c>
      <c r="S2867">
        <v>7000</v>
      </c>
      <c r="T2867">
        <v>1</v>
      </c>
      <c r="U2867">
        <v>1</v>
      </c>
      <c r="V2867">
        <v>1000</v>
      </c>
      <c r="W2867">
        <v>1</v>
      </c>
      <c r="X2867" s="367"/>
    </row>
    <row r="2868" spans="1:24">
      <c r="A2868" t="s">
        <v>7175</v>
      </c>
      <c r="B2868" t="s">
        <v>8108</v>
      </c>
      <c r="C2868">
        <v>18</v>
      </c>
      <c r="D2868">
        <v>2748</v>
      </c>
      <c r="E2868">
        <v>576260000</v>
      </c>
      <c r="F2868">
        <v>172</v>
      </c>
      <c r="G2868">
        <v>250</v>
      </c>
      <c r="H2868">
        <v>210</v>
      </c>
      <c r="I2868">
        <v>38</v>
      </c>
      <c r="J2868">
        <v>22.09</v>
      </c>
      <c r="K2868">
        <v>210</v>
      </c>
      <c r="L2868">
        <v>38</v>
      </c>
      <c r="M2868">
        <v>22.09</v>
      </c>
      <c r="N2868">
        <v>200</v>
      </c>
      <c r="O2868">
        <v>250</v>
      </c>
      <c r="P2868" t="s">
        <v>192</v>
      </c>
      <c r="Q2868" t="s">
        <v>192</v>
      </c>
      <c r="R2868">
        <v>1</v>
      </c>
      <c r="S2868">
        <v>35</v>
      </c>
      <c r="T2868">
        <v>206</v>
      </c>
      <c r="U2868">
        <v>220</v>
      </c>
      <c r="V2868">
        <v>481</v>
      </c>
      <c r="W2868">
        <v>1</v>
      </c>
      <c r="X2868" s="367"/>
    </row>
    <row r="2869" spans="1:24">
      <c r="A2869" t="s">
        <v>4049</v>
      </c>
      <c r="B2869" t="s">
        <v>8662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1</v>
      </c>
      <c r="I2869">
        <v>0</v>
      </c>
      <c r="J2869">
        <v>0</v>
      </c>
      <c r="K2869">
        <v>1</v>
      </c>
      <c r="L2869">
        <v>0</v>
      </c>
      <c r="M2869">
        <v>0</v>
      </c>
      <c r="N2869">
        <v>0</v>
      </c>
      <c r="O2869">
        <v>0</v>
      </c>
      <c r="P2869" t="s">
        <v>192</v>
      </c>
      <c r="Q2869" t="s">
        <v>192</v>
      </c>
      <c r="R2869">
        <v>0</v>
      </c>
      <c r="S2869">
        <v>0</v>
      </c>
      <c r="T2869">
        <v>0</v>
      </c>
      <c r="U2869">
        <v>4</v>
      </c>
      <c r="V2869">
        <v>100</v>
      </c>
      <c r="W2869">
        <v>1</v>
      </c>
      <c r="X2869" s="367"/>
    </row>
    <row r="2870" spans="1:24">
      <c r="A2870" t="s">
        <v>2920</v>
      </c>
      <c r="B2870" t="s">
        <v>2919</v>
      </c>
      <c r="C2870">
        <v>120</v>
      </c>
      <c r="D2870">
        <v>1354634</v>
      </c>
      <c r="E2870">
        <v>7511878370</v>
      </c>
      <c r="F2870">
        <v>5390</v>
      </c>
      <c r="G2870">
        <v>5540</v>
      </c>
      <c r="H2870">
        <v>5550</v>
      </c>
      <c r="I2870">
        <v>160</v>
      </c>
      <c r="J2870">
        <v>2.97</v>
      </c>
      <c r="K2870">
        <v>5550</v>
      </c>
      <c r="L2870">
        <v>160</v>
      </c>
      <c r="M2870">
        <v>2.97</v>
      </c>
      <c r="N2870">
        <v>5470</v>
      </c>
      <c r="O2870">
        <v>5550</v>
      </c>
      <c r="P2870">
        <v>1680</v>
      </c>
      <c r="Q2870">
        <v>3.3</v>
      </c>
      <c r="R2870">
        <v>6</v>
      </c>
      <c r="S2870">
        <v>101353</v>
      </c>
      <c r="T2870">
        <v>5550</v>
      </c>
      <c r="U2870">
        <v>0</v>
      </c>
      <c r="V2870">
        <v>0</v>
      </c>
      <c r="W2870">
        <v>0</v>
      </c>
      <c r="X2870" s="367"/>
    </row>
    <row r="2871" spans="1:24">
      <c r="A2871" t="s">
        <v>961</v>
      </c>
      <c r="B2871" t="s">
        <v>2286</v>
      </c>
      <c r="C2871">
        <v>589</v>
      </c>
      <c r="D2871">
        <v>8910031</v>
      </c>
      <c r="E2871">
        <v>75013906920</v>
      </c>
      <c r="F2871">
        <v>8230</v>
      </c>
      <c r="G2871">
        <v>8470</v>
      </c>
      <c r="H2871">
        <v>8450</v>
      </c>
      <c r="I2871">
        <v>220</v>
      </c>
      <c r="J2871">
        <v>2.67</v>
      </c>
      <c r="K2871">
        <v>8420</v>
      </c>
      <c r="L2871">
        <v>190</v>
      </c>
      <c r="M2871">
        <v>2.31</v>
      </c>
      <c r="N2871">
        <v>8300</v>
      </c>
      <c r="O2871">
        <v>8470</v>
      </c>
      <c r="P2871">
        <v>615</v>
      </c>
      <c r="Q2871">
        <v>13.69</v>
      </c>
      <c r="R2871">
        <v>1</v>
      </c>
      <c r="S2871">
        <v>1050</v>
      </c>
      <c r="T2871">
        <v>8450</v>
      </c>
      <c r="U2871">
        <v>8460</v>
      </c>
      <c r="V2871">
        <v>22650</v>
      </c>
      <c r="W2871">
        <v>5</v>
      </c>
      <c r="X2871" s="367"/>
    </row>
    <row r="2872" spans="1:24">
      <c r="A2872" t="s">
        <v>4050</v>
      </c>
      <c r="B2872" t="s">
        <v>4051</v>
      </c>
      <c r="C2872">
        <v>0</v>
      </c>
      <c r="D2872">
        <v>0</v>
      </c>
      <c r="E2872">
        <v>0</v>
      </c>
      <c r="F2872">
        <v>1000000</v>
      </c>
      <c r="G2872">
        <v>0</v>
      </c>
      <c r="H2872">
        <v>1000000</v>
      </c>
      <c r="I2872">
        <v>0</v>
      </c>
      <c r="J2872">
        <v>0</v>
      </c>
      <c r="K2872">
        <v>1000000</v>
      </c>
      <c r="L2872">
        <v>0</v>
      </c>
      <c r="M2872">
        <v>0</v>
      </c>
      <c r="N2872">
        <v>0</v>
      </c>
      <c r="O2872">
        <v>0</v>
      </c>
      <c r="P2872" t="s">
        <v>192</v>
      </c>
      <c r="Q2872" t="s">
        <v>192</v>
      </c>
      <c r="R2872">
        <v>1</v>
      </c>
      <c r="S2872">
        <v>5000</v>
      </c>
      <c r="T2872">
        <v>1000000</v>
      </c>
      <c r="U2872">
        <v>0</v>
      </c>
      <c r="V2872">
        <v>0</v>
      </c>
      <c r="W2872">
        <v>0</v>
      </c>
      <c r="X2872" s="367"/>
    </row>
    <row r="2873" spans="1:24">
      <c r="A2873" t="s">
        <v>7381</v>
      </c>
      <c r="B2873" t="s">
        <v>7878</v>
      </c>
      <c r="C2873">
        <v>5</v>
      </c>
      <c r="D2873">
        <v>22</v>
      </c>
      <c r="E2873">
        <v>151000000</v>
      </c>
      <c r="F2873">
        <v>6475</v>
      </c>
      <c r="G2873">
        <v>6700</v>
      </c>
      <c r="H2873">
        <v>7000</v>
      </c>
      <c r="I2873">
        <v>525</v>
      </c>
      <c r="J2873">
        <v>8.11</v>
      </c>
      <c r="K2873">
        <v>6864</v>
      </c>
      <c r="L2873">
        <v>389</v>
      </c>
      <c r="M2873">
        <v>6.01</v>
      </c>
      <c r="N2873">
        <v>6700</v>
      </c>
      <c r="O2873">
        <v>7000</v>
      </c>
      <c r="P2873" t="s">
        <v>192</v>
      </c>
      <c r="Q2873" t="s">
        <v>192</v>
      </c>
      <c r="R2873">
        <v>1</v>
      </c>
      <c r="S2873">
        <v>10</v>
      </c>
      <c r="T2873">
        <v>6000</v>
      </c>
      <c r="U2873">
        <v>10255</v>
      </c>
      <c r="V2873">
        <v>7</v>
      </c>
      <c r="W2873">
        <v>1</v>
      </c>
      <c r="X2873" s="367"/>
    </row>
    <row r="2874" spans="1:24">
      <c r="A2874" t="s">
        <v>4052</v>
      </c>
      <c r="B2874" t="s">
        <v>4053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1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P2874" t="s">
        <v>192</v>
      </c>
      <c r="Q2874" t="s">
        <v>192</v>
      </c>
      <c r="R2874">
        <v>1</v>
      </c>
      <c r="S2874">
        <v>100</v>
      </c>
      <c r="T2874">
        <v>1</v>
      </c>
      <c r="U2874">
        <v>0</v>
      </c>
      <c r="V2874">
        <v>0</v>
      </c>
      <c r="W2874">
        <v>0</v>
      </c>
      <c r="X2874" s="367"/>
    </row>
    <row r="2875" spans="1:24">
      <c r="A2875" t="s">
        <v>4054</v>
      </c>
      <c r="B2875" t="s">
        <v>4055</v>
      </c>
      <c r="C2875">
        <v>0</v>
      </c>
      <c r="D2875">
        <v>0</v>
      </c>
      <c r="E2875">
        <v>0</v>
      </c>
      <c r="F2875">
        <v>1000000</v>
      </c>
      <c r="G2875">
        <v>0</v>
      </c>
      <c r="H2875">
        <v>1000000</v>
      </c>
      <c r="I2875">
        <v>0</v>
      </c>
      <c r="J2875">
        <v>0</v>
      </c>
      <c r="K2875">
        <v>1000000</v>
      </c>
      <c r="L2875">
        <v>0</v>
      </c>
      <c r="M2875">
        <v>0</v>
      </c>
      <c r="N2875">
        <v>0</v>
      </c>
      <c r="O2875">
        <v>0</v>
      </c>
      <c r="P2875" t="s">
        <v>192</v>
      </c>
      <c r="Q2875" t="s">
        <v>192</v>
      </c>
      <c r="R2875">
        <v>1</v>
      </c>
      <c r="S2875">
        <v>5000</v>
      </c>
      <c r="T2875">
        <v>1000000</v>
      </c>
      <c r="U2875">
        <v>1010000</v>
      </c>
      <c r="V2875">
        <v>5000</v>
      </c>
      <c r="W2875">
        <v>1</v>
      </c>
      <c r="X2875" s="367"/>
    </row>
    <row r="2876" spans="1:24">
      <c r="A2876" t="s">
        <v>4056</v>
      </c>
      <c r="B2876" t="s">
        <v>4057</v>
      </c>
      <c r="C2876">
        <v>21</v>
      </c>
      <c r="D2876">
        <v>644</v>
      </c>
      <c r="E2876">
        <v>833225000</v>
      </c>
      <c r="F2876">
        <v>1160</v>
      </c>
      <c r="G2876">
        <v>1350</v>
      </c>
      <c r="H2876">
        <v>1250</v>
      </c>
      <c r="I2876">
        <v>90</v>
      </c>
      <c r="J2876">
        <v>7.76</v>
      </c>
      <c r="K2876">
        <v>1294</v>
      </c>
      <c r="L2876">
        <v>134</v>
      </c>
      <c r="M2876">
        <v>11.55</v>
      </c>
      <c r="N2876">
        <v>1250</v>
      </c>
      <c r="O2876">
        <v>1350</v>
      </c>
      <c r="P2876" t="s">
        <v>192</v>
      </c>
      <c r="Q2876" t="s">
        <v>192</v>
      </c>
      <c r="R2876">
        <v>1</v>
      </c>
      <c r="S2876">
        <v>100</v>
      </c>
      <c r="T2876">
        <v>1</v>
      </c>
      <c r="U2876">
        <v>1260</v>
      </c>
      <c r="V2876">
        <v>80</v>
      </c>
      <c r="W2876">
        <v>1</v>
      </c>
      <c r="X2876" s="367"/>
    </row>
    <row r="2877" spans="1:24">
      <c r="A2877" t="s">
        <v>2450</v>
      </c>
      <c r="B2877" t="s">
        <v>2449</v>
      </c>
      <c r="C2877">
        <v>303</v>
      </c>
      <c r="D2877">
        <v>725681</v>
      </c>
      <c r="E2877">
        <v>38243518770</v>
      </c>
      <c r="F2877">
        <v>51230</v>
      </c>
      <c r="G2877">
        <v>52760</v>
      </c>
      <c r="H2877">
        <v>52760</v>
      </c>
      <c r="I2877">
        <v>1530</v>
      </c>
      <c r="J2877">
        <v>2.99</v>
      </c>
      <c r="K2877">
        <v>52700</v>
      </c>
      <c r="L2877">
        <v>1470</v>
      </c>
      <c r="M2877">
        <v>2.87</v>
      </c>
      <c r="N2877">
        <v>52340</v>
      </c>
      <c r="O2877">
        <v>52760</v>
      </c>
      <c r="P2877">
        <v>63</v>
      </c>
      <c r="Q2877">
        <v>836.51</v>
      </c>
      <c r="R2877">
        <v>9</v>
      </c>
      <c r="S2877">
        <v>68009</v>
      </c>
      <c r="T2877">
        <v>52760</v>
      </c>
      <c r="U2877">
        <v>0</v>
      </c>
      <c r="V2877">
        <v>0</v>
      </c>
      <c r="W2877">
        <v>0</v>
      </c>
      <c r="X2877" s="367"/>
    </row>
    <row r="2878" spans="1:24">
      <c r="A2878" t="s">
        <v>4058</v>
      </c>
      <c r="B2878" t="s">
        <v>4059</v>
      </c>
      <c r="C2878">
        <v>0</v>
      </c>
      <c r="D2878">
        <v>0</v>
      </c>
      <c r="E2878">
        <v>0</v>
      </c>
      <c r="F2878">
        <v>826511</v>
      </c>
      <c r="G2878">
        <v>0</v>
      </c>
      <c r="H2878">
        <v>826511</v>
      </c>
      <c r="I2878">
        <v>0</v>
      </c>
      <c r="J2878">
        <v>0</v>
      </c>
      <c r="K2878">
        <v>826511</v>
      </c>
      <c r="L2878">
        <v>0</v>
      </c>
      <c r="M2878">
        <v>0</v>
      </c>
      <c r="N2878">
        <v>0</v>
      </c>
      <c r="O2878">
        <v>0</v>
      </c>
      <c r="P2878" t="s">
        <v>192</v>
      </c>
      <c r="Q2878" t="s">
        <v>192</v>
      </c>
      <c r="R2878">
        <v>1</v>
      </c>
      <c r="S2878">
        <v>2500</v>
      </c>
      <c r="T2878">
        <v>826510</v>
      </c>
      <c r="U2878">
        <v>0</v>
      </c>
      <c r="V2878">
        <v>0</v>
      </c>
      <c r="W2878">
        <v>0</v>
      </c>
      <c r="X2878" s="367"/>
    </row>
    <row r="2879" spans="1:24">
      <c r="A2879" t="s">
        <v>2700</v>
      </c>
      <c r="B2879" t="s">
        <v>2698</v>
      </c>
      <c r="C2879">
        <v>1</v>
      </c>
      <c r="D2879">
        <v>13957</v>
      </c>
      <c r="E2879">
        <v>21158812</v>
      </c>
      <c r="F2879">
        <v>1472</v>
      </c>
      <c r="G2879">
        <v>1516</v>
      </c>
      <c r="H2879">
        <v>1516</v>
      </c>
      <c r="I2879">
        <v>44</v>
      </c>
      <c r="J2879">
        <v>2.99</v>
      </c>
      <c r="K2879">
        <v>1516</v>
      </c>
      <c r="L2879">
        <v>44</v>
      </c>
      <c r="M2879">
        <v>2.99</v>
      </c>
      <c r="N2879">
        <v>1516</v>
      </c>
      <c r="O2879">
        <v>1516</v>
      </c>
      <c r="P2879">
        <v>221</v>
      </c>
      <c r="Q2879">
        <v>6.86</v>
      </c>
      <c r="R2879">
        <v>43</v>
      </c>
      <c r="S2879">
        <v>24909030</v>
      </c>
      <c r="T2879">
        <v>1516</v>
      </c>
      <c r="U2879">
        <v>0</v>
      </c>
      <c r="V2879">
        <v>0</v>
      </c>
      <c r="W2879">
        <v>0</v>
      </c>
      <c r="X2879" s="367"/>
    </row>
    <row r="2880" spans="1:24">
      <c r="A2880" t="s">
        <v>4060</v>
      </c>
      <c r="B2880" t="s">
        <v>4061</v>
      </c>
      <c r="C2880">
        <v>0</v>
      </c>
      <c r="D2880">
        <v>0</v>
      </c>
      <c r="E2880">
        <v>0</v>
      </c>
      <c r="F2880">
        <v>1000000</v>
      </c>
      <c r="G2880">
        <v>0</v>
      </c>
      <c r="H2880">
        <v>1000000</v>
      </c>
      <c r="I2880">
        <v>0</v>
      </c>
      <c r="J2880">
        <v>0</v>
      </c>
      <c r="K2880">
        <v>1000000</v>
      </c>
      <c r="L2880">
        <v>0</v>
      </c>
      <c r="M2880">
        <v>0</v>
      </c>
      <c r="N2880">
        <v>0</v>
      </c>
      <c r="O2880">
        <v>0</v>
      </c>
      <c r="P2880" t="s">
        <v>192</v>
      </c>
      <c r="Q2880" t="s">
        <v>192</v>
      </c>
      <c r="R2880">
        <v>1</v>
      </c>
      <c r="S2880">
        <v>5000</v>
      </c>
      <c r="T2880">
        <v>1000000</v>
      </c>
      <c r="U2880">
        <v>0</v>
      </c>
      <c r="V2880">
        <v>0</v>
      </c>
      <c r="W2880">
        <v>0</v>
      </c>
      <c r="X2880" s="367"/>
    </row>
    <row r="2881" spans="1:24">
      <c r="A2881" t="s">
        <v>2969</v>
      </c>
      <c r="B2881" t="s">
        <v>2968</v>
      </c>
      <c r="C2881">
        <v>287</v>
      </c>
      <c r="D2881">
        <v>16751064</v>
      </c>
      <c r="E2881">
        <v>39797718122</v>
      </c>
      <c r="F2881">
        <v>2307</v>
      </c>
      <c r="G2881">
        <v>2376</v>
      </c>
      <c r="H2881">
        <v>2376</v>
      </c>
      <c r="I2881">
        <v>69</v>
      </c>
      <c r="J2881">
        <v>2.99</v>
      </c>
      <c r="K2881">
        <v>2376</v>
      </c>
      <c r="L2881">
        <v>69</v>
      </c>
      <c r="M2881">
        <v>2.99</v>
      </c>
      <c r="N2881">
        <v>2370</v>
      </c>
      <c r="O2881">
        <v>2376</v>
      </c>
      <c r="P2881">
        <v>642</v>
      </c>
      <c r="Q2881">
        <v>3.7</v>
      </c>
      <c r="R2881">
        <v>7</v>
      </c>
      <c r="S2881">
        <v>141703</v>
      </c>
      <c r="T2881">
        <v>2376</v>
      </c>
      <c r="U2881">
        <v>0</v>
      </c>
      <c r="V2881">
        <v>0</v>
      </c>
      <c r="W2881">
        <v>0</v>
      </c>
      <c r="X2881" s="367"/>
    </row>
    <row r="2882" spans="1:24">
      <c r="A2882" t="s">
        <v>4062</v>
      </c>
      <c r="B2882" t="s">
        <v>4063</v>
      </c>
      <c r="C2882">
        <v>0</v>
      </c>
      <c r="D2882">
        <v>0</v>
      </c>
      <c r="E2882">
        <v>0</v>
      </c>
      <c r="F2882">
        <v>834000</v>
      </c>
      <c r="G2882">
        <v>0</v>
      </c>
      <c r="H2882">
        <v>834000</v>
      </c>
      <c r="I2882">
        <v>0</v>
      </c>
      <c r="J2882">
        <v>0</v>
      </c>
      <c r="K2882">
        <v>834000</v>
      </c>
      <c r="L2882">
        <v>0</v>
      </c>
      <c r="M2882">
        <v>0</v>
      </c>
      <c r="N2882">
        <v>0</v>
      </c>
      <c r="O2882">
        <v>0</v>
      </c>
      <c r="P2882" t="s">
        <v>192</v>
      </c>
      <c r="Q2882" t="s">
        <v>192</v>
      </c>
      <c r="R2882">
        <v>1</v>
      </c>
      <c r="S2882">
        <v>15000</v>
      </c>
      <c r="T2882">
        <v>834000</v>
      </c>
      <c r="U2882">
        <v>842000</v>
      </c>
      <c r="V2882">
        <v>15000</v>
      </c>
      <c r="W2882">
        <v>1</v>
      </c>
      <c r="X2882" s="367"/>
    </row>
    <row r="2883" spans="1:24">
      <c r="A2883" t="s">
        <v>7896</v>
      </c>
      <c r="B2883" t="s">
        <v>7897</v>
      </c>
      <c r="C2883">
        <v>0</v>
      </c>
      <c r="D2883">
        <v>0</v>
      </c>
      <c r="E2883">
        <v>0</v>
      </c>
      <c r="F2883">
        <v>500</v>
      </c>
      <c r="G2883">
        <v>0</v>
      </c>
      <c r="H2883">
        <v>500</v>
      </c>
      <c r="I2883">
        <v>0</v>
      </c>
      <c r="J2883">
        <v>0</v>
      </c>
      <c r="K2883">
        <v>500</v>
      </c>
      <c r="L2883">
        <v>0</v>
      </c>
      <c r="M2883">
        <v>0</v>
      </c>
      <c r="N2883">
        <v>0</v>
      </c>
      <c r="O2883">
        <v>0</v>
      </c>
      <c r="P2883" t="s">
        <v>192</v>
      </c>
      <c r="Q2883" t="s">
        <v>192</v>
      </c>
      <c r="R2883">
        <v>1</v>
      </c>
      <c r="S2883">
        <v>33</v>
      </c>
      <c r="T2883">
        <v>111</v>
      </c>
      <c r="U2883">
        <v>1970</v>
      </c>
      <c r="V2883">
        <v>10</v>
      </c>
      <c r="W2883">
        <v>1</v>
      </c>
      <c r="X2883" s="367"/>
    </row>
    <row r="2884" spans="1:24">
      <c r="A2884" t="s">
        <v>2697</v>
      </c>
      <c r="B2884" t="s">
        <v>2696</v>
      </c>
      <c r="C2884">
        <v>970</v>
      </c>
      <c r="D2884">
        <v>2394778</v>
      </c>
      <c r="E2884">
        <v>182191249260</v>
      </c>
      <c r="F2884">
        <v>73980</v>
      </c>
      <c r="G2884">
        <v>76190</v>
      </c>
      <c r="H2884">
        <v>76190</v>
      </c>
      <c r="I2884">
        <v>2210</v>
      </c>
      <c r="J2884">
        <v>2.99</v>
      </c>
      <c r="K2884">
        <v>76080</v>
      </c>
      <c r="L2884">
        <v>2100</v>
      </c>
      <c r="M2884">
        <v>2.84</v>
      </c>
      <c r="N2884">
        <v>74060</v>
      </c>
      <c r="O2884">
        <v>76190</v>
      </c>
      <c r="P2884">
        <v>5671</v>
      </c>
      <c r="Q2884">
        <v>13.42</v>
      </c>
      <c r="R2884">
        <v>24</v>
      </c>
      <c r="S2884">
        <v>33613</v>
      </c>
      <c r="T2884">
        <v>76190</v>
      </c>
      <c r="U2884">
        <v>77260</v>
      </c>
      <c r="V2884">
        <v>66</v>
      </c>
      <c r="W2884">
        <v>1</v>
      </c>
      <c r="X2884" s="367"/>
    </row>
    <row r="2885" spans="1:24">
      <c r="A2885" t="s">
        <v>1928</v>
      </c>
      <c r="B2885" t="s">
        <v>1927</v>
      </c>
      <c r="C2885">
        <v>13252</v>
      </c>
      <c r="D2885">
        <v>770430315</v>
      </c>
      <c r="E2885">
        <v>4271569763660</v>
      </c>
      <c r="F2885">
        <v>5700</v>
      </c>
      <c r="G2885">
        <v>5530</v>
      </c>
      <c r="H2885">
        <v>5530</v>
      </c>
      <c r="I2885">
        <v>-170</v>
      </c>
      <c r="J2885">
        <v>-2.98</v>
      </c>
      <c r="K2885">
        <v>5540</v>
      </c>
      <c r="L2885">
        <v>-160</v>
      </c>
      <c r="M2885">
        <v>-2.81</v>
      </c>
      <c r="N2885">
        <v>5530</v>
      </c>
      <c r="O2885">
        <v>5690</v>
      </c>
      <c r="P2885">
        <v>154</v>
      </c>
      <c r="Q2885">
        <v>35.97</v>
      </c>
      <c r="R2885">
        <v>0</v>
      </c>
      <c r="S2885">
        <v>0</v>
      </c>
      <c r="T2885">
        <v>0</v>
      </c>
      <c r="U2885">
        <v>5530</v>
      </c>
      <c r="V2885">
        <v>12561158</v>
      </c>
      <c r="W2885">
        <v>50</v>
      </c>
      <c r="X2885" s="367"/>
    </row>
    <row r="2886" spans="1:24">
      <c r="A2886" t="s">
        <v>4066</v>
      </c>
      <c r="B2886" t="s">
        <v>4067</v>
      </c>
      <c r="C2886">
        <v>293</v>
      </c>
      <c r="D2886">
        <v>15140</v>
      </c>
      <c r="E2886">
        <v>12563889000</v>
      </c>
      <c r="F2886">
        <v>582</v>
      </c>
      <c r="G2886">
        <v>515</v>
      </c>
      <c r="H2886">
        <v>900</v>
      </c>
      <c r="I2886">
        <v>318</v>
      </c>
      <c r="J2886">
        <v>54.64</v>
      </c>
      <c r="K2886">
        <v>830</v>
      </c>
      <c r="L2886">
        <v>248</v>
      </c>
      <c r="M2886">
        <v>42.61</v>
      </c>
      <c r="N2886">
        <v>515</v>
      </c>
      <c r="O2886">
        <v>989</v>
      </c>
      <c r="P2886" t="s">
        <v>192</v>
      </c>
      <c r="Q2886" t="s">
        <v>192</v>
      </c>
      <c r="R2886">
        <v>17</v>
      </c>
      <c r="S2886">
        <v>16263</v>
      </c>
      <c r="T2886">
        <v>880</v>
      </c>
      <c r="U2886">
        <v>939</v>
      </c>
      <c r="V2886">
        <v>150</v>
      </c>
      <c r="W2886">
        <v>1</v>
      </c>
      <c r="X2886" s="367"/>
    </row>
    <row r="2887" spans="1:24">
      <c r="A2887" t="s">
        <v>4068</v>
      </c>
      <c r="B2887" t="s">
        <v>4069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1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0</v>
      </c>
      <c r="P2887" t="s">
        <v>192</v>
      </c>
      <c r="Q2887" t="s">
        <v>192</v>
      </c>
      <c r="R2887">
        <v>1</v>
      </c>
      <c r="S2887">
        <v>111</v>
      </c>
      <c r="T2887">
        <v>11</v>
      </c>
      <c r="U2887">
        <v>0</v>
      </c>
      <c r="V2887">
        <v>0</v>
      </c>
      <c r="W2887">
        <v>0</v>
      </c>
      <c r="X2887" s="367"/>
    </row>
    <row r="2888" spans="1:24">
      <c r="A2888" t="s">
        <v>4070</v>
      </c>
      <c r="B2888" t="s">
        <v>4071</v>
      </c>
      <c r="C2888">
        <v>0</v>
      </c>
      <c r="D2888">
        <v>0</v>
      </c>
      <c r="E2888">
        <v>0</v>
      </c>
      <c r="F2888">
        <v>1080000</v>
      </c>
      <c r="G2888">
        <v>0</v>
      </c>
      <c r="H2888">
        <v>1080000</v>
      </c>
      <c r="I2888">
        <v>0</v>
      </c>
      <c r="J2888">
        <v>0</v>
      </c>
      <c r="K2888">
        <v>1080000</v>
      </c>
      <c r="L2888">
        <v>0</v>
      </c>
      <c r="M2888">
        <v>0</v>
      </c>
      <c r="N2888">
        <v>0</v>
      </c>
      <c r="O2888">
        <v>0</v>
      </c>
      <c r="P2888" t="s">
        <v>192</v>
      </c>
      <c r="Q2888" t="s">
        <v>192</v>
      </c>
      <c r="R2888">
        <v>1</v>
      </c>
      <c r="S2888">
        <v>5000</v>
      </c>
      <c r="T2888">
        <v>1075000</v>
      </c>
      <c r="U2888">
        <v>1085000</v>
      </c>
      <c r="V2888">
        <v>5000</v>
      </c>
      <c r="W2888">
        <v>1</v>
      </c>
      <c r="X2888" s="367"/>
    </row>
    <row r="2889" spans="1:24">
      <c r="A2889" t="s">
        <v>8034</v>
      </c>
      <c r="B2889" t="s">
        <v>8035</v>
      </c>
      <c r="C2889">
        <v>0</v>
      </c>
      <c r="D2889">
        <v>0</v>
      </c>
      <c r="E2889">
        <v>0</v>
      </c>
      <c r="F2889">
        <v>1</v>
      </c>
      <c r="G2889">
        <v>0</v>
      </c>
      <c r="H2889">
        <v>1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0</v>
      </c>
      <c r="P2889" t="s">
        <v>192</v>
      </c>
      <c r="Q2889" t="s">
        <v>192</v>
      </c>
      <c r="R2889">
        <v>2</v>
      </c>
      <c r="S2889">
        <v>1099</v>
      </c>
      <c r="T2889">
        <v>15</v>
      </c>
      <c r="U2889">
        <v>0</v>
      </c>
      <c r="V2889">
        <v>0</v>
      </c>
      <c r="W2889">
        <v>0</v>
      </c>
      <c r="X2889" s="367"/>
    </row>
    <row r="2890" spans="1:24">
      <c r="A2890" t="s">
        <v>8738</v>
      </c>
      <c r="B2890" t="s">
        <v>8739</v>
      </c>
      <c r="C2890">
        <v>133</v>
      </c>
      <c r="D2890">
        <v>50397</v>
      </c>
      <c r="E2890">
        <v>4271004000</v>
      </c>
      <c r="F2890">
        <v>47</v>
      </c>
      <c r="G2890">
        <v>79</v>
      </c>
      <c r="H2890">
        <v>90</v>
      </c>
      <c r="I2890">
        <v>43</v>
      </c>
      <c r="J2890">
        <v>91.49</v>
      </c>
      <c r="K2890">
        <v>85</v>
      </c>
      <c r="L2890">
        <v>38</v>
      </c>
      <c r="M2890">
        <v>80.849999999999994</v>
      </c>
      <c r="N2890">
        <v>62</v>
      </c>
      <c r="O2890">
        <v>99</v>
      </c>
      <c r="P2890" t="s">
        <v>192</v>
      </c>
      <c r="Q2890" t="s">
        <v>192</v>
      </c>
      <c r="R2890">
        <v>1</v>
      </c>
      <c r="S2890">
        <v>400</v>
      </c>
      <c r="T2890">
        <v>86</v>
      </c>
      <c r="U2890">
        <v>90</v>
      </c>
      <c r="V2890">
        <v>349</v>
      </c>
      <c r="W2890">
        <v>1</v>
      </c>
      <c r="X2890" s="367"/>
    </row>
    <row r="2891" spans="1:24">
      <c r="A2891" t="s">
        <v>4074</v>
      </c>
      <c r="B2891" t="s">
        <v>4075</v>
      </c>
      <c r="C2891">
        <v>0</v>
      </c>
      <c r="D2891">
        <v>0</v>
      </c>
      <c r="E2891">
        <v>0</v>
      </c>
      <c r="F2891">
        <v>970000</v>
      </c>
      <c r="G2891">
        <v>0</v>
      </c>
      <c r="H2891">
        <v>970000</v>
      </c>
      <c r="I2891">
        <v>0</v>
      </c>
      <c r="J2891">
        <v>0</v>
      </c>
      <c r="K2891">
        <v>970000</v>
      </c>
      <c r="L2891">
        <v>0</v>
      </c>
      <c r="M2891">
        <v>0</v>
      </c>
      <c r="N2891">
        <v>0</v>
      </c>
      <c r="O2891">
        <v>0</v>
      </c>
      <c r="P2891" t="s">
        <v>192</v>
      </c>
      <c r="Q2891" t="s">
        <v>192</v>
      </c>
      <c r="R2891">
        <v>1</v>
      </c>
      <c r="S2891">
        <v>10000</v>
      </c>
      <c r="T2891">
        <v>995000</v>
      </c>
      <c r="U2891">
        <v>1004950</v>
      </c>
      <c r="V2891">
        <v>7500</v>
      </c>
      <c r="W2891">
        <v>1</v>
      </c>
      <c r="X2891" s="367"/>
    </row>
    <row r="2892" spans="1:24">
      <c r="A2892" t="s">
        <v>215</v>
      </c>
      <c r="B2892" t="s">
        <v>214</v>
      </c>
      <c r="C2892">
        <v>170</v>
      </c>
      <c r="D2892">
        <v>1232397</v>
      </c>
      <c r="E2892">
        <v>95375203830</v>
      </c>
      <c r="F2892">
        <v>75140</v>
      </c>
      <c r="G2892">
        <v>77390</v>
      </c>
      <c r="H2892">
        <v>77390</v>
      </c>
      <c r="I2892">
        <v>2250</v>
      </c>
      <c r="J2892">
        <v>2.99</v>
      </c>
      <c r="K2892">
        <v>77390</v>
      </c>
      <c r="L2892">
        <v>2250</v>
      </c>
      <c r="M2892">
        <v>2.99</v>
      </c>
      <c r="N2892">
        <v>77390</v>
      </c>
      <c r="O2892">
        <v>77390</v>
      </c>
      <c r="P2892">
        <v>12169</v>
      </c>
      <c r="Q2892">
        <v>6.36</v>
      </c>
      <c r="R2892">
        <v>17</v>
      </c>
      <c r="S2892">
        <v>58679</v>
      </c>
      <c r="T2892">
        <v>77390</v>
      </c>
      <c r="U2892">
        <v>0</v>
      </c>
      <c r="V2892">
        <v>0</v>
      </c>
      <c r="W2892">
        <v>0</v>
      </c>
      <c r="X2892" s="367"/>
    </row>
    <row r="2893" spans="1:24">
      <c r="A2893" t="s">
        <v>4076</v>
      </c>
      <c r="B2893" t="s">
        <v>4077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1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0</v>
      </c>
      <c r="P2893" t="s">
        <v>192</v>
      </c>
      <c r="Q2893" t="s">
        <v>192</v>
      </c>
      <c r="R2893">
        <v>1</v>
      </c>
      <c r="S2893">
        <v>100</v>
      </c>
      <c r="T2893">
        <v>1</v>
      </c>
      <c r="U2893">
        <v>0</v>
      </c>
      <c r="V2893">
        <v>0</v>
      </c>
      <c r="W2893">
        <v>0</v>
      </c>
      <c r="X2893" s="367"/>
    </row>
    <row r="2894" spans="1:24">
      <c r="A2894" t="s">
        <v>4078</v>
      </c>
      <c r="B2894" t="s">
        <v>4079</v>
      </c>
      <c r="C2894">
        <v>0</v>
      </c>
      <c r="D2894">
        <v>0</v>
      </c>
      <c r="E2894">
        <v>0</v>
      </c>
      <c r="F2894">
        <v>811978</v>
      </c>
      <c r="G2894">
        <v>0</v>
      </c>
      <c r="H2894">
        <v>811978</v>
      </c>
      <c r="I2894">
        <v>0</v>
      </c>
      <c r="J2894">
        <v>0</v>
      </c>
      <c r="K2894">
        <v>811978</v>
      </c>
      <c r="L2894">
        <v>0</v>
      </c>
      <c r="M2894">
        <v>0</v>
      </c>
      <c r="N2894">
        <v>0</v>
      </c>
      <c r="O2894">
        <v>0</v>
      </c>
      <c r="P2894" t="s">
        <v>192</v>
      </c>
      <c r="Q2894" t="s">
        <v>192</v>
      </c>
      <c r="R2894">
        <v>1</v>
      </c>
      <c r="S2894">
        <v>3000</v>
      </c>
      <c r="T2894">
        <v>787619</v>
      </c>
      <c r="U2894">
        <v>0</v>
      </c>
      <c r="V2894">
        <v>0</v>
      </c>
      <c r="W2894">
        <v>0</v>
      </c>
      <c r="X2894" s="367"/>
    </row>
    <row r="2895" spans="1:24">
      <c r="A2895" t="s">
        <v>4080</v>
      </c>
      <c r="B2895" t="s">
        <v>4081</v>
      </c>
      <c r="C2895">
        <v>0</v>
      </c>
      <c r="D2895">
        <v>0</v>
      </c>
      <c r="E2895">
        <v>0</v>
      </c>
      <c r="F2895">
        <v>1000000</v>
      </c>
      <c r="G2895">
        <v>0</v>
      </c>
      <c r="H2895">
        <v>1000000</v>
      </c>
      <c r="I2895">
        <v>0</v>
      </c>
      <c r="J2895">
        <v>0</v>
      </c>
      <c r="K2895">
        <v>1000000</v>
      </c>
      <c r="L2895">
        <v>0</v>
      </c>
      <c r="M2895">
        <v>0</v>
      </c>
      <c r="N2895">
        <v>0</v>
      </c>
      <c r="O2895">
        <v>0</v>
      </c>
      <c r="P2895" t="s">
        <v>192</v>
      </c>
      <c r="Q2895" t="s">
        <v>192</v>
      </c>
      <c r="R2895">
        <v>1</v>
      </c>
      <c r="S2895">
        <v>5000</v>
      </c>
      <c r="T2895">
        <v>1000000</v>
      </c>
      <c r="U2895">
        <v>0</v>
      </c>
      <c r="V2895">
        <v>0</v>
      </c>
      <c r="W2895">
        <v>0</v>
      </c>
      <c r="X2895" s="367"/>
    </row>
    <row r="2896" spans="1:24">
      <c r="A2896" t="s">
        <v>4082</v>
      </c>
      <c r="B2896" t="s">
        <v>4083</v>
      </c>
      <c r="C2896">
        <v>0</v>
      </c>
      <c r="D2896">
        <v>0</v>
      </c>
      <c r="E2896">
        <v>0</v>
      </c>
      <c r="F2896">
        <v>1000000</v>
      </c>
      <c r="G2896">
        <v>0</v>
      </c>
      <c r="H2896">
        <v>1000000</v>
      </c>
      <c r="I2896">
        <v>0</v>
      </c>
      <c r="J2896">
        <v>0</v>
      </c>
      <c r="K2896">
        <v>1000000</v>
      </c>
      <c r="L2896">
        <v>0</v>
      </c>
      <c r="M2896">
        <v>0</v>
      </c>
      <c r="N2896">
        <v>0</v>
      </c>
      <c r="O2896">
        <v>0</v>
      </c>
      <c r="P2896" t="s">
        <v>192</v>
      </c>
      <c r="Q2896" t="s">
        <v>192</v>
      </c>
      <c r="R2896">
        <v>1</v>
      </c>
      <c r="S2896">
        <v>5600</v>
      </c>
      <c r="T2896">
        <v>995000</v>
      </c>
      <c r="U2896">
        <v>1004950</v>
      </c>
      <c r="V2896">
        <v>5600</v>
      </c>
      <c r="W2896">
        <v>1</v>
      </c>
      <c r="X2896" s="367"/>
    </row>
    <row r="2897" spans="1:24">
      <c r="A2897" t="s">
        <v>4084</v>
      </c>
      <c r="B2897" t="s">
        <v>4085</v>
      </c>
      <c r="C2897">
        <v>21</v>
      </c>
      <c r="D2897">
        <v>1097</v>
      </c>
      <c r="E2897">
        <v>8369773000</v>
      </c>
      <c r="F2897">
        <v>6556</v>
      </c>
      <c r="G2897">
        <v>7868</v>
      </c>
      <c r="H2897">
        <v>7743</v>
      </c>
      <c r="I2897">
        <v>1187</v>
      </c>
      <c r="J2897">
        <v>18.11</v>
      </c>
      <c r="K2897">
        <v>7630</v>
      </c>
      <c r="L2897">
        <v>1074</v>
      </c>
      <c r="M2897">
        <v>16.38</v>
      </c>
      <c r="N2897">
        <v>7559</v>
      </c>
      <c r="O2897">
        <v>7868</v>
      </c>
      <c r="P2897" t="s">
        <v>192</v>
      </c>
      <c r="Q2897" t="s">
        <v>192</v>
      </c>
      <c r="R2897">
        <v>1</v>
      </c>
      <c r="S2897">
        <v>100</v>
      </c>
      <c r="T2897">
        <v>1</v>
      </c>
      <c r="U2897">
        <v>7800</v>
      </c>
      <c r="V2897">
        <v>66</v>
      </c>
      <c r="W2897">
        <v>1</v>
      </c>
      <c r="X2897" s="367"/>
    </row>
    <row r="2898" spans="1:24">
      <c r="A2898" t="s">
        <v>4088</v>
      </c>
      <c r="B2898" t="s">
        <v>4089</v>
      </c>
      <c r="C2898">
        <v>0</v>
      </c>
      <c r="D2898">
        <v>0</v>
      </c>
      <c r="E2898">
        <v>0</v>
      </c>
      <c r="F2898">
        <v>1</v>
      </c>
      <c r="G2898">
        <v>0</v>
      </c>
      <c r="H2898">
        <v>1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  <c r="O2898">
        <v>0</v>
      </c>
      <c r="P2898" t="s">
        <v>192</v>
      </c>
      <c r="Q2898" t="s">
        <v>192</v>
      </c>
      <c r="R2898">
        <v>1</v>
      </c>
      <c r="S2898">
        <v>100</v>
      </c>
      <c r="T2898">
        <v>1</v>
      </c>
      <c r="U2898">
        <v>0</v>
      </c>
      <c r="V2898">
        <v>0</v>
      </c>
      <c r="W2898">
        <v>0</v>
      </c>
      <c r="X2898" s="367"/>
    </row>
    <row r="2899" spans="1:24">
      <c r="A2899" t="s">
        <v>4090</v>
      </c>
      <c r="B2899" t="s">
        <v>4091</v>
      </c>
      <c r="C2899">
        <v>0</v>
      </c>
      <c r="D2899">
        <v>0</v>
      </c>
      <c r="E2899">
        <v>0</v>
      </c>
      <c r="F2899">
        <v>2595590</v>
      </c>
      <c r="G2899">
        <v>0</v>
      </c>
      <c r="H2899">
        <v>2595590</v>
      </c>
      <c r="I2899">
        <v>0</v>
      </c>
      <c r="J2899">
        <v>0</v>
      </c>
      <c r="K2899">
        <v>2595590</v>
      </c>
      <c r="L2899">
        <v>0</v>
      </c>
      <c r="M2899">
        <v>0</v>
      </c>
      <c r="N2899">
        <v>0</v>
      </c>
      <c r="O2899">
        <v>0</v>
      </c>
      <c r="P2899" t="s">
        <v>192</v>
      </c>
      <c r="Q2899" t="s">
        <v>192</v>
      </c>
      <c r="R2899">
        <v>1</v>
      </c>
      <c r="S2899">
        <v>19265</v>
      </c>
      <c r="T2899">
        <v>2750000</v>
      </c>
      <c r="U2899">
        <v>0</v>
      </c>
      <c r="V2899">
        <v>0</v>
      </c>
      <c r="W2899">
        <v>0</v>
      </c>
      <c r="X2899" s="367"/>
    </row>
    <row r="2900" spans="1:24">
      <c r="A2900" t="s">
        <v>221</v>
      </c>
      <c r="B2900" t="s">
        <v>220</v>
      </c>
      <c r="C2900">
        <v>54</v>
      </c>
      <c r="D2900">
        <v>2112836</v>
      </c>
      <c r="E2900">
        <v>20071942000</v>
      </c>
      <c r="F2900">
        <v>9230</v>
      </c>
      <c r="G2900">
        <v>9500</v>
      </c>
      <c r="H2900">
        <v>9500</v>
      </c>
      <c r="I2900">
        <v>270</v>
      </c>
      <c r="J2900">
        <v>2.93</v>
      </c>
      <c r="K2900">
        <v>9500</v>
      </c>
      <c r="L2900">
        <v>270</v>
      </c>
      <c r="M2900">
        <v>2.93</v>
      </c>
      <c r="N2900">
        <v>9500</v>
      </c>
      <c r="O2900">
        <v>9500</v>
      </c>
      <c r="P2900">
        <v>1442</v>
      </c>
      <c r="Q2900">
        <v>6.59</v>
      </c>
      <c r="R2900">
        <v>517</v>
      </c>
      <c r="S2900">
        <v>94418604</v>
      </c>
      <c r="T2900">
        <v>9500</v>
      </c>
      <c r="U2900">
        <v>0</v>
      </c>
      <c r="V2900">
        <v>0</v>
      </c>
      <c r="W2900">
        <v>0</v>
      </c>
      <c r="X2900" s="367"/>
    </row>
    <row r="2901" spans="1:24">
      <c r="A2901" t="s">
        <v>4092</v>
      </c>
      <c r="B2901" t="s">
        <v>4093</v>
      </c>
      <c r="C2901">
        <v>0</v>
      </c>
      <c r="D2901">
        <v>0</v>
      </c>
      <c r="E2901">
        <v>0</v>
      </c>
      <c r="F2901">
        <v>2708154</v>
      </c>
      <c r="G2901">
        <v>0</v>
      </c>
      <c r="H2901">
        <v>2708154</v>
      </c>
      <c r="I2901">
        <v>0</v>
      </c>
      <c r="J2901">
        <v>0</v>
      </c>
      <c r="K2901">
        <v>2708154</v>
      </c>
      <c r="L2901">
        <v>0</v>
      </c>
      <c r="M2901">
        <v>0</v>
      </c>
      <c r="N2901">
        <v>0</v>
      </c>
      <c r="O2901">
        <v>0</v>
      </c>
      <c r="P2901" t="s">
        <v>192</v>
      </c>
      <c r="Q2901" t="s">
        <v>192</v>
      </c>
      <c r="R2901">
        <v>1</v>
      </c>
      <c r="S2901">
        <v>83951</v>
      </c>
      <c r="T2901">
        <v>2754104</v>
      </c>
      <c r="U2901">
        <v>2809186</v>
      </c>
      <c r="V2901">
        <v>83951</v>
      </c>
      <c r="W2901">
        <v>1</v>
      </c>
      <c r="X2901" s="367"/>
    </row>
    <row r="2902" spans="1:24">
      <c r="A2902" t="s">
        <v>4094</v>
      </c>
      <c r="B2902" t="s">
        <v>4095</v>
      </c>
      <c r="C2902">
        <v>0</v>
      </c>
      <c r="D2902">
        <v>0</v>
      </c>
      <c r="E2902">
        <v>0</v>
      </c>
      <c r="F2902">
        <v>1000000</v>
      </c>
      <c r="G2902">
        <v>0</v>
      </c>
      <c r="H2902">
        <v>1000000</v>
      </c>
      <c r="I2902">
        <v>0</v>
      </c>
      <c r="J2902">
        <v>0</v>
      </c>
      <c r="K2902">
        <v>1000000</v>
      </c>
      <c r="L2902">
        <v>0</v>
      </c>
      <c r="M2902">
        <v>0</v>
      </c>
      <c r="N2902">
        <v>0</v>
      </c>
      <c r="O2902">
        <v>0</v>
      </c>
      <c r="P2902" t="s">
        <v>192</v>
      </c>
      <c r="Q2902" t="s">
        <v>192</v>
      </c>
      <c r="R2902">
        <v>1</v>
      </c>
      <c r="S2902">
        <v>5000</v>
      </c>
      <c r="T2902">
        <v>1000000</v>
      </c>
      <c r="U2902">
        <v>1010000</v>
      </c>
      <c r="V2902">
        <v>5000</v>
      </c>
      <c r="W2902">
        <v>1</v>
      </c>
      <c r="X2902" s="367"/>
    </row>
    <row r="2903" spans="1:24">
      <c r="A2903" t="s">
        <v>2244</v>
      </c>
      <c r="B2903" t="s">
        <v>2243</v>
      </c>
      <c r="C2903">
        <v>526</v>
      </c>
      <c r="D2903">
        <v>9428285</v>
      </c>
      <c r="E2903">
        <v>98593663210</v>
      </c>
      <c r="F2903">
        <v>10160</v>
      </c>
      <c r="G2903">
        <v>10460</v>
      </c>
      <c r="H2903">
        <v>10460</v>
      </c>
      <c r="I2903">
        <v>300</v>
      </c>
      <c r="J2903">
        <v>2.95</v>
      </c>
      <c r="K2903">
        <v>10460</v>
      </c>
      <c r="L2903">
        <v>300</v>
      </c>
      <c r="M2903">
        <v>2.95</v>
      </c>
      <c r="N2903">
        <v>10180</v>
      </c>
      <c r="O2903">
        <v>10460</v>
      </c>
      <c r="P2903">
        <v>2342</v>
      </c>
      <c r="Q2903">
        <v>4.47</v>
      </c>
      <c r="R2903">
        <v>12</v>
      </c>
      <c r="S2903">
        <v>392862</v>
      </c>
      <c r="T2903">
        <v>10460</v>
      </c>
      <c r="U2903">
        <v>10740</v>
      </c>
      <c r="V2903">
        <v>376</v>
      </c>
      <c r="W2903">
        <v>1</v>
      </c>
      <c r="X2903" s="367"/>
    </row>
    <row r="2904" spans="1:24">
      <c r="A2904" t="s">
        <v>4096</v>
      </c>
      <c r="B2904" t="s">
        <v>8564</v>
      </c>
      <c r="C2904">
        <v>18</v>
      </c>
      <c r="D2904">
        <v>3283</v>
      </c>
      <c r="E2904">
        <v>787620000</v>
      </c>
      <c r="F2904">
        <v>220</v>
      </c>
      <c r="G2904">
        <v>240</v>
      </c>
      <c r="H2904">
        <v>225</v>
      </c>
      <c r="I2904">
        <v>5</v>
      </c>
      <c r="J2904">
        <v>2.27</v>
      </c>
      <c r="K2904">
        <v>240</v>
      </c>
      <c r="L2904">
        <v>20</v>
      </c>
      <c r="M2904">
        <v>9.09</v>
      </c>
      <c r="N2904">
        <v>225</v>
      </c>
      <c r="O2904">
        <v>255</v>
      </c>
      <c r="P2904" t="s">
        <v>192</v>
      </c>
      <c r="Q2904" t="s">
        <v>192</v>
      </c>
      <c r="R2904">
        <v>1</v>
      </c>
      <c r="S2904">
        <v>170</v>
      </c>
      <c r="T2904">
        <v>225</v>
      </c>
      <c r="U2904">
        <v>244</v>
      </c>
      <c r="V2904">
        <v>503</v>
      </c>
      <c r="W2904">
        <v>1</v>
      </c>
      <c r="X2904" s="367"/>
    </row>
    <row r="2905" spans="1:24">
      <c r="A2905" t="s">
        <v>4097</v>
      </c>
      <c r="B2905" t="s">
        <v>4098</v>
      </c>
      <c r="C2905">
        <v>0</v>
      </c>
      <c r="D2905">
        <v>0</v>
      </c>
      <c r="E2905">
        <v>0</v>
      </c>
      <c r="F2905">
        <v>1000000</v>
      </c>
      <c r="G2905">
        <v>0</v>
      </c>
      <c r="H2905">
        <v>1000000</v>
      </c>
      <c r="I2905">
        <v>0</v>
      </c>
      <c r="J2905">
        <v>0</v>
      </c>
      <c r="K2905">
        <v>1000000</v>
      </c>
      <c r="L2905">
        <v>0</v>
      </c>
      <c r="M2905">
        <v>0</v>
      </c>
      <c r="N2905">
        <v>0</v>
      </c>
      <c r="O2905">
        <v>0</v>
      </c>
      <c r="P2905" t="s">
        <v>192</v>
      </c>
      <c r="Q2905" t="s">
        <v>192</v>
      </c>
      <c r="R2905">
        <v>1</v>
      </c>
      <c r="S2905">
        <v>4375</v>
      </c>
      <c r="T2905">
        <v>970000</v>
      </c>
      <c r="U2905">
        <v>0</v>
      </c>
      <c r="V2905">
        <v>0</v>
      </c>
      <c r="W2905">
        <v>0</v>
      </c>
      <c r="X2905" s="367"/>
    </row>
    <row r="2906" spans="1:24">
      <c r="A2906" t="s">
        <v>4099</v>
      </c>
      <c r="B2906" t="s">
        <v>4100</v>
      </c>
      <c r="C2906">
        <v>0</v>
      </c>
      <c r="D2906">
        <v>0</v>
      </c>
      <c r="E2906">
        <v>0</v>
      </c>
      <c r="F2906">
        <v>1000000</v>
      </c>
      <c r="G2906">
        <v>0</v>
      </c>
      <c r="H2906">
        <v>1000000</v>
      </c>
      <c r="I2906">
        <v>0</v>
      </c>
      <c r="J2906">
        <v>0</v>
      </c>
      <c r="K2906">
        <v>1000000</v>
      </c>
      <c r="L2906">
        <v>0</v>
      </c>
      <c r="M2906">
        <v>0</v>
      </c>
      <c r="N2906">
        <v>0</v>
      </c>
      <c r="O2906">
        <v>0</v>
      </c>
      <c r="P2906" t="s">
        <v>192</v>
      </c>
      <c r="Q2906" t="s">
        <v>192</v>
      </c>
      <c r="R2906">
        <v>1</v>
      </c>
      <c r="S2906">
        <v>7500</v>
      </c>
      <c r="T2906">
        <v>995000</v>
      </c>
      <c r="U2906">
        <v>0</v>
      </c>
      <c r="V2906">
        <v>0</v>
      </c>
      <c r="W2906">
        <v>0</v>
      </c>
      <c r="X2906" s="367"/>
    </row>
    <row r="2907" spans="1:24">
      <c r="A2907" t="s">
        <v>8358</v>
      </c>
      <c r="B2907" t="s">
        <v>8359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1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0</v>
      </c>
      <c r="P2907" t="s">
        <v>192</v>
      </c>
      <c r="Q2907" t="s">
        <v>192</v>
      </c>
      <c r="R2907">
        <v>1</v>
      </c>
      <c r="S2907">
        <v>1</v>
      </c>
      <c r="T2907">
        <v>6750</v>
      </c>
      <c r="U2907">
        <v>0</v>
      </c>
      <c r="V2907">
        <v>0</v>
      </c>
      <c r="W2907">
        <v>0</v>
      </c>
      <c r="X2907" s="367"/>
    </row>
    <row r="2908" spans="1:24">
      <c r="A2908" t="s">
        <v>4101</v>
      </c>
      <c r="B2908" t="s">
        <v>4102</v>
      </c>
      <c r="C2908">
        <v>0</v>
      </c>
      <c r="D2908">
        <v>0</v>
      </c>
      <c r="E2908">
        <v>0</v>
      </c>
      <c r="F2908">
        <v>1</v>
      </c>
      <c r="G2908">
        <v>0</v>
      </c>
      <c r="H2908">
        <v>1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  <c r="P2908" t="s">
        <v>192</v>
      </c>
      <c r="Q2908" t="s">
        <v>192</v>
      </c>
      <c r="R2908">
        <v>1</v>
      </c>
      <c r="S2908">
        <v>1</v>
      </c>
      <c r="T2908">
        <v>100</v>
      </c>
      <c r="U2908">
        <v>0</v>
      </c>
      <c r="V2908">
        <v>0</v>
      </c>
      <c r="W2908">
        <v>0</v>
      </c>
      <c r="X2908" s="367"/>
    </row>
    <row r="2909" spans="1:24">
      <c r="A2909" t="s">
        <v>208</v>
      </c>
      <c r="B2909" t="s">
        <v>207</v>
      </c>
      <c r="C2909">
        <v>328</v>
      </c>
      <c r="D2909">
        <v>1434178</v>
      </c>
      <c r="E2909">
        <v>24148358566</v>
      </c>
      <c r="F2909">
        <v>16363</v>
      </c>
      <c r="G2909">
        <v>16853</v>
      </c>
      <c r="H2909">
        <v>16845</v>
      </c>
      <c r="I2909">
        <v>482</v>
      </c>
      <c r="J2909">
        <v>2.95</v>
      </c>
      <c r="K2909">
        <v>16838</v>
      </c>
      <c r="L2909">
        <v>475</v>
      </c>
      <c r="M2909">
        <v>2.9</v>
      </c>
      <c r="N2909">
        <v>16600</v>
      </c>
      <c r="O2909">
        <v>16853</v>
      </c>
      <c r="P2909" t="s">
        <v>192</v>
      </c>
      <c r="Q2909" t="s">
        <v>192</v>
      </c>
      <c r="R2909">
        <v>2</v>
      </c>
      <c r="S2909">
        <v>992</v>
      </c>
      <c r="T2909">
        <v>16845</v>
      </c>
      <c r="U2909">
        <v>0</v>
      </c>
      <c r="V2909">
        <v>0</v>
      </c>
      <c r="W2909">
        <v>0</v>
      </c>
      <c r="X2909" s="367"/>
    </row>
    <row r="2910" spans="1:24">
      <c r="A2910" t="s">
        <v>8696</v>
      </c>
      <c r="B2910" t="s">
        <v>5009</v>
      </c>
      <c r="C2910">
        <v>2</v>
      </c>
      <c r="D2910">
        <v>300000</v>
      </c>
      <c r="E2910">
        <v>300000</v>
      </c>
      <c r="F2910">
        <v>21888</v>
      </c>
      <c r="G2910">
        <v>1</v>
      </c>
      <c r="H2910">
        <v>1</v>
      </c>
      <c r="I2910">
        <v>-21887</v>
      </c>
      <c r="J2910">
        <v>-100</v>
      </c>
      <c r="K2910">
        <v>1</v>
      </c>
      <c r="L2910">
        <v>-21887</v>
      </c>
      <c r="M2910">
        <v>-100</v>
      </c>
      <c r="N2910">
        <v>1</v>
      </c>
      <c r="O2910">
        <v>1</v>
      </c>
      <c r="P2910" t="s">
        <v>192</v>
      </c>
      <c r="Q2910" t="s">
        <v>192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 s="367"/>
    </row>
    <row r="2911" spans="1:24">
      <c r="A2911" t="s">
        <v>8256</v>
      </c>
      <c r="B2911" t="s">
        <v>8257</v>
      </c>
      <c r="C2911">
        <v>62</v>
      </c>
      <c r="D2911">
        <v>15875</v>
      </c>
      <c r="E2911">
        <v>4130521000</v>
      </c>
      <c r="F2911">
        <v>211</v>
      </c>
      <c r="G2911">
        <v>300</v>
      </c>
      <c r="H2911">
        <v>259</v>
      </c>
      <c r="I2911">
        <v>48</v>
      </c>
      <c r="J2911">
        <v>22.75</v>
      </c>
      <c r="K2911">
        <v>260</v>
      </c>
      <c r="L2911">
        <v>49</v>
      </c>
      <c r="M2911">
        <v>23.22</v>
      </c>
      <c r="N2911">
        <v>240</v>
      </c>
      <c r="O2911">
        <v>300</v>
      </c>
      <c r="P2911" t="s">
        <v>192</v>
      </c>
      <c r="Q2911" t="s">
        <v>192</v>
      </c>
      <c r="R2911">
        <v>1</v>
      </c>
      <c r="S2911">
        <v>1000</v>
      </c>
      <c r="T2911">
        <v>242</v>
      </c>
      <c r="U2911">
        <v>258</v>
      </c>
      <c r="V2911">
        <v>1</v>
      </c>
      <c r="W2911">
        <v>1</v>
      </c>
      <c r="X2911" s="367"/>
    </row>
    <row r="2912" spans="1:24">
      <c r="A2912" t="s">
        <v>4103</v>
      </c>
      <c r="B2912" t="s">
        <v>8109</v>
      </c>
      <c r="C2912">
        <v>222</v>
      </c>
      <c r="D2912">
        <v>83849</v>
      </c>
      <c r="E2912">
        <v>3514284000</v>
      </c>
      <c r="F2912">
        <v>22</v>
      </c>
      <c r="G2912">
        <v>39</v>
      </c>
      <c r="H2912">
        <v>40</v>
      </c>
      <c r="I2912">
        <v>18</v>
      </c>
      <c r="J2912">
        <v>81.819999999999993</v>
      </c>
      <c r="K2912">
        <v>42</v>
      </c>
      <c r="L2912">
        <v>20</v>
      </c>
      <c r="M2912">
        <v>90.91</v>
      </c>
      <c r="N2912">
        <v>39</v>
      </c>
      <c r="O2912">
        <v>50</v>
      </c>
      <c r="P2912" t="s">
        <v>192</v>
      </c>
      <c r="Q2912" t="s">
        <v>192</v>
      </c>
      <c r="R2912">
        <v>2</v>
      </c>
      <c r="S2912">
        <v>400</v>
      </c>
      <c r="T2912">
        <v>40</v>
      </c>
      <c r="U2912">
        <v>43</v>
      </c>
      <c r="V2912">
        <v>1015</v>
      </c>
      <c r="W2912">
        <v>3</v>
      </c>
      <c r="X2912" s="367"/>
    </row>
    <row r="2913" spans="1:24">
      <c r="A2913" t="s">
        <v>4107</v>
      </c>
      <c r="B2913" t="s">
        <v>4108</v>
      </c>
      <c r="C2913">
        <v>0</v>
      </c>
      <c r="D2913">
        <v>0</v>
      </c>
      <c r="E2913">
        <v>0</v>
      </c>
      <c r="F2913">
        <v>858000</v>
      </c>
      <c r="G2913">
        <v>0</v>
      </c>
      <c r="H2913">
        <v>858000</v>
      </c>
      <c r="I2913">
        <v>0</v>
      </c>
      <c r="J2913">
        <v>0</v>
      </c>
      <c r="K2913">
        <v>858000</v>
      </c>
      <c r="L2913">
        <v>0</v>
      </c>
      <c r="M2913">
        <v>0</v>
      </c>
      <c r="N2913">
        <v>0</v>
      </c>
      <c r="O2913">
        <v>0</v>
      </c>
      <c r="P2913" t="s">
        <v>192</v>
      </c>
      <c r="Q2913" t="s">
        <v>192</v>
      </c>
      <c r="R2913">
        <v>1</v>
      </c>
      <c r="S2913">
        <v>15000</v>
      </c>
      <c r="T2913">
        <v>849510</v>
      </c>
      <c r="U2913">
        <v>0</v>
      </c>
      <c r="V2913">
        <v>0</v>
      </c>
      <c r="W2913">
        <v>0</v>
      </c>
      <c r="X2913" s="367"/>
    </row>
    <row r="2914" spans="1:24">
      <c r="A2914" t="s">
        <v>4109</v>
      </c>
      <c r="B2914" t="s">
        <v>2902</v>
      </c>
      <c r="C2914">
        <v>1</v>
      </c>
      <c r="D2914">
        <v>15000</v>
      </c>
      <c r="E2914">
        <v>49950000</v>
      </c>
      <c r="F2914">
        <v>3240</v>
      </c>
      <c r="G2914">
        <v>3330</v>
      </c>
      <c r="H2914">
        <v>3330</v>
      </c>
      <c r="I2914">
        <v>90</v>
      </c>
      <c r="J2914">
        <v>2.78</v>
      </c>
      <c r="K2914">
        <v>3330</v>
      </c>
      <c r="L2914">
        <v>90</v>
      </c>
      <c r="M2914">
        <v>2.78</v>
      </c>
      <c r="N2914">
        <v>3330</v>
      </c>
      <c r="O2914">
        <v>3330</v>
      </c>
      <c r="P2914">
        <v>201</v>
      </c>
      <c r="Q2914">
        <v>16.57</v>
      </c>
      <c r="R2914">
        <v>5</v>
      </c>
      <c r="S2914">
        <v>547594</v>
      </c>
      <c r="T2914">
        <v>3330</v>
      </c>
      <c r="U2914">
        <v>0</v>
      </c>
      <c r="V2914">
        <v>0</v>
      </c>
      <c r="W2914">
        <v>0</v>
      </c>
      <c r="X2914" s="367"/>
    </row>
    <row r="2915" spans="1:24">
      <c r="A2915" t="s">
        <v>2574</v>
      </c>
      <c r="B2915" t="s">
        <v>2573</v>
      </c>
      <c r="C2915">
        <v>4695</v>
      </c>
      <c r="D2915">
        <v>121320344</v>
      </c>
      <c r="E2915">
        <v>901142459910</v>
      </c>
      <c r="F2915">
        <v>7410</v>
      </c>
      <c r="G2915">
        <v>7630</v>
      </c>
      <c r="H2915">
        <v>7370</v>
      </c>
      <c r="I2915">
        <v>-40</v>
      </c>
      <c r="J2915">
        <v>-0.54</v>
      </c>
      <c r="K2915">
        <v>7430</v>
      </c>
      <c r="L2915">
        <v>20</v>
      </c>
      <c r="M2915">
        <v>0.27</v>
      </c>
      <c r="N2915">
        <v>7260</v>
      </c>
      <c r="O2915">
        <v>7630</v>
      </c>
      <c r="P2915">
        <v>1905</v>
      </c>
      <c r="Q2915">
        <v>3.9</v>
      </c>
      <c r="R2915">
        <v>2</v>
      </c>
      <c r="S2915">
        <v>80000</v>
      </c>
      <c r="T2915">
        <v>7370</v>
      </c>
      <c r="U2915">
        <v>7400</v>
      </c>
      <c r="V2915">
        <v>100000</v>
      </c>
      <c r="W2915">
        <v>1</v>
      </c>
      <c r="X2915" s="367"/>
    </row>
    <row r="2916" spans="1:24">
      <c r="A2916" t="s">
        <v>4112</v>
      </c>
      <c r="B2916" t="s">
        <v>4113</v>
      </c>
      <c r="C2916">
        <v>0</v>
      </c>
      <c r="D2916">
        <v>0</v>
      </c>
      <c r="E2916">
        <v>0</v>
      </c>
      <c r="F2916">
        <v>1</v>
      </c>
      <c r="G2916">
        <v>0</v>
      </c>
      <c r="H2916">
        <v>1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0</v>
      </c>
      <c r="O2916">
        <v>0</v>
      </c>
      <c r="P2916" t="s">
        <v>192</v>
      </c>
      <c r="Q2916" t="s">
        <v>192</v>
      </c>
      <c r="R2916">
        <v>1</v>
      </c>
      <c r="S2916">
        <v>9</v>
      </c>
      <c r="T2916">
        <v>150</v>
      </c>
      <c r="U2916">
        <v>0</v>
      </c>
      <c r="V2916">
        <v>0</v>
      </c>
      <c r="W2916">
        <v>0</v>
      </c>
      <c r="X2916" s="367"/>
    </row>
    <row r="2917" spans="1:24">
      <c r="A2917" t="s">
        <v>115</v>
      </c>
      <c r="B2917" t="s">
        <v>114</v>
      </c>
      <c r="C2917">
        <v>45</v>
      </c>
      <c r="D2917">
        <v>2970865</v>
      </c>
      <c r="E2917">
        <v>13784813600</v>
      </c>
      <c r="F2917">
        <v>4510</v>
      </c>
      <c r="G2917">
        <v>4640</v>
      </c>
      <c r="H2917">
        <v>4640</v>
      </c>
      <c r="I2917">
        <v>130</v>
      </c>
      <c r="J2917">
        <v>2.88</v>
      </c>
      <c r="K2917">
        <v>4640</v>
      </c>
      <c r="L2917">
        <v>130</v>
      </c>
      <c r="M2917">
        <v>2.88</v>
      </c>
      <c r="N2917">
        <v>4640</v>
      </c>
      <c r="O2917">
        <v>4640</v>
      </c>
      <c r="P2917">
        <v>1216</v>
      </c>
      <c r="Q2917">
        <v>3.82</v>
      </c>
      <c r="R2917">
        <v>1202</v>
      </c>
      <c r="S2917">
        <v>286964944</v>
      </c>
      <c r="T2917">
        <v>4640</v>
      </c>
      <c r="U2917">
        <v>0</v>
      </c>
      <c r="V2917">
        <v>0</v>
      </c>
      <c r="W2917">
        <v>0</v>
      </c>
      <c r="X2917" s="367"/>
    </row>
    <row r="2918" spans="1:24">
      <c r="A2918" t="s">
        <v>8879</v>
      </c>
      <c r="B2918" t="s">
        <v>8114</v>
      </c>
      <c r="C2918">
        <v>48</v>
      </c>
      <c r="D2918">
        <v>58167</v>
      </c>
      <c r="E2918">
        <v>1096447950</v>
      </c>
      <c r="F2918">
        <v>18360</v>
      </c>
      <c r="G2918">
        <v>18850</v>
      </c>
      <c r="H2918">
        <v>18850</v>
      </c>
      <c r="I2918">
        <v>490</v>
      </c>
      <c r="J2918">
        <v>2.67</v>
      </c>
      <c r="K2918">
        <v>18850</v>
      </c>
      <c r="L2918">
        <v>490</v>
      </c>
      <c r="M2918">
        <v>2.67</v>
      </c>
      <c r="N2918">
        <v>18850</v>
      </c>
      <c r="O2918">
        <v>18850</v>
      </c>
      <c r="P2918">
        <v>3513</v>
      </c>
      <c r="Q2918">
        <v>5.37</v>
      </c>
      <c r="R2918">
        <v>42</v>
      </c>
      <c r="S2918">
        <v>1512376</v>
      </c>
      <c r="T2918">
        <v>18850</v>
      </c>
      <c r="U2918">
        <v>0</v>
      </c>
      <c r="V2918">
        <v>0</v>
      </c>
      <c r="W2918">
        <v>0</v>
      </c>
      <c r="X2918" s="367"/>
    </row>
    <row r="2919" spans="1:24">
      <c r="A2919" t="s">
        <v>4115</v>
      </c>
      <c r="B2919" t="s">
        <v>4116</v>
      </c>
      <c r="C2919">
        <v>113</v>
      </c>
      <c r="D2919">
        <v>3123052</v>
      </c>
      <c r="E2919">
        <v>55308430670</v>
      </c>
      <c r="F2919">
        <v>17218</v>
      </c>
      <c r="G2919">
        <v>17734</v>
      </c>
      <c r="H2919">
        <v>17732</v>
      </c>
      <c r="I2919">
        <v>514</v>
      </c>
      <c r="J2919">
        <v>2.99</v>
      </c>
      <c r="K2919">
        <v>17710</v>
      </c>
      <c r="L2919">
        <v>492</v>
      </c>
      <c r="M2919">
        <v>2.86</v>
      </c>
      <c r="N2919">
        <v>17560</v>
      </c>
      <c r="O2919">
        <v>17734</v>
      </c>
      <c r="P2919" t="s">
        <v>192</v>
      </c>
      <c r="Q2919" t="s">
        <v>192</v>
      </c>
      <c r="R2919">
        <v>1</v>
      </c>
      <c r="S2919">
        <v>999</v>
      </c>
      <c r="T2919">
        <v>17560</v>
      </c>
      <c r="U2919">
        <v>17733</v>
      </c>
      <c r="V2919">
        <v>49463</v>
      </c>
      <c r="W2919">
        <v>1</v>
      </c>
      <c r="X2919" s="367"/>
    </row>
    <row r="2920" spans="1:24">
      <c r="A2920" t="s">
        <v>2266</v>
      </c>
      <c r="B2920" t="s">
        <v>2265</v>
      </c>
      <c r="C2920">
        <v>202</v>
      </c>
      <c r="D2920">
        <v>11818468</v>
      </c>
      <c r="E2920">
        <v>119838655520</v>
      </c>
      <c r="F2920">
        <v>9850</v>
      </c>
      <c r="G2920">
        <v>10140</v>
      </c>
      <c r="H2920">
        <v>10140</v>
      </c>
      <c r="I2920">
        <v>290</v>
      </c>
      <c r="J2920">
        <v>2.94</v>
      </c>
      <c r="K2920">
        <v>10140</v>
      </c>
      <c r="L2920">
        <v>290</v>
      </c>
      <c r="M2920">
        <v>2.94</v>
      </c>
      <c r="N2920">
        <v>10120</v>
      </c>
      <c r="O2920">
        <v>10140</v>
      </c>
      <c r="P2920">
        <v>1225</v>
      </c>
      <c r="Q2920">
        <v>8.2799999999999994</v>
      </c>
      <c r="R2920">
        <v>18</v>
      </c>
      <c r="S2920">
        <v>443395</v>
      </c>
      <c r="T2920">
        <v>10140</v>
      </c>
      <c r="U2920">
        <v>0</v>
      </c>
      <c r="V2920">
        <v>0</v>
      </c>
      <c r="W2920">
        <v>0</v>
      </c>
      <c r="X2920" s="367"/>
    </row>
    <row r="2921" spans="1:24">
      <c r="A2921" t="s">
        <v>7788</v>
      </c>
      <c r="B2921" t="s">
        <v>7789</v>
      </c>
      <c r="C2921">
        <v>2683</v>
      </c>
      <c r="D2921">
        <v>88987058</v>
      </c>
      <c r="E2921">
        <v>1002200699687</v>
      </c>
      <c r="F2921">
        <v>11053</v>
      </c>
      <c r="G2921">
        <v>11238</v>
      </c>
      <c r="H2921">
        <v>11231</v>
      </c>
      <c r="I2921">
        <v>178</v>
      </c>
      <c r="J2921">
        <v>1.61</v>
      </c>
      <c r="K2921">
        <v>11262</v>
      </c>
      <c r="L2921">
        <v>209</v>
      </c>
      <c r="M2921">
        <v>1.89</v>
      </c>
      <c r="N2921">
        <v>11200</v>
      </c>
      <c r="O2921">
        <v>11346</v>
      </c>
      <c r="P2921" t="s">
        <v>192</v>
      </c>
      <c r="Q2921" t="s">
        <v>192</v>
      </c>
      <c r="R2921">
        <v>5</v>
      </c>
      <c r="S2921">
        <v>181754</v>
      </c>
      <c r="T2921">
        <v>11231</v>
      </c>
      <c r="U2921">
        <v>11232</v>
      </c>
      <c r="V2921">
        <v>46015</v>
      </c>
      <c r="W2921">
        <v>1</v>
      </c>
      <c r="X2921" s="367"/>
    </row>
    <row r="2922" spans="1:24">
      <c r="A2922" t="s">
        <v>4117</v>
      </c>
      <c r="B2922" t="s">
        <v>4118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1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 t="s">
        <v>192</v>
      </c>
      <c r="Q2922" t="s">
        <v>192</v>
      </c>
      <c r="R2922">
        <v>1</v>
      </c>
      <c r="S2922">
        <v>444</v>
      </c>
      <c r="T2922">
        <v>4</v>
      </c>
      <c r="U2922">
        <v>0</v>
      </c>
      <c r="V2922">
        <v>0</v>
      </c>
      <c r="W2922">
        <v>0</v>
      </c>
      <c r="X2922" s="367"/>
    </row>
    <row r="2923" spans="1:24">
      <c r="A2923" t="s">
        <v>4119</v>
      </c>
      <c r="B2923" t="s">
        <v>4120</v>
      </c>
      <c r="C2923">
        <v>0</v>
      </c>
      <c r="D2923">
        <v>0</v>
      </c>
      <c r="E2923">
        <v>0</v>
      </c>
      <c r="F2923">
        <v>1000000</v>
      </c>
      <c r="G2923">
        <v>0</v>
      </c>
      <c r="H2923">
        <v>1000000</v>
      </c>
      <c r="I2923">
        <v>0</v>
      </c>
      <c r="J2923">
        <v>0</v>
      </c>
      <c r="K2923">
        <v>1000000</v>
      </c>
      <c r="L2923">
        <v>0</v>
      </c>
      <c r="M2923">
        <v>0</v>
      </c>
      <c r="N2923">
        <v>0</v>
      </c>
      <c r="O2923">
        <v>0</v>
      </c>
      <c r="P2923" t="s">
        <v>192</v>
      </c>
      <c r="Q2923" t="s">
        <v>192</v>
      </c>
      <c r="R2923">
        <v>1</v>
      </c>
      <c r="S2923">
        <v>825</v>
      </c>
      <c r="T2923">
        <v>970000</v>
      </c>
      <c r="U2923">
        <v>0</v>
      </c>
      <c r="V2923">
        <v>0</v>
      </c>
      <c r="W2923">
        <v>0</v>
      </c>
      <c r="X2923" s="367"/>
    </row>
    <row r="2924" spans="1:24">
      <c r="A2924" t="s">
        <v>4121</v>
      </c>
      <c r="B2924" t="s">
        <v>4122</v>
      </c>
      <c r="C2924">
        <v>6</v>
      </c>
      <c r="D2924">
        <v>126600000</v>
      </c>
      <c r="E2924">
        <v>126600000</v>
      </c>
      <c r="F2924">
        <v>35506</v>
      </c>
      <c r="G2924">
        <v>1</v>
      </c>
      <c r="H2924">
        <v>1</v>
      </c>
      <c r="I2924">
        <v>-35505</v>
      </c>
      <c r="J2924">
        <v>-100</v>
      </c>
      <c r="K2924">
        <v>1</v>
      </c>
      <c r="L2924">
        <v>-35505</v>
      </c>
      <c r="M2924">
        <v>-100</v>
      </c>
      <c r="N2924">
        <v>1</v>
      </c>
      <c r="O2924">
        <v>1</v>
      </c>
      <c r="P2924" t="s">
        <v>192</v>
      </c>
      <c r="Q2924" t="s">
        <v>192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 s="367"/>
    </row>
    <row r="2925" spans="1:24">
      <c r="A2925" t="s">
        <v>2652</v>
      </c>
      <c r="B2925" t="s">
        <v>2651</v>
      </c>
      <c r="C2925">
        <v>31</v>
      </c>
      <c r="D2925">
        <v>57502</v>
      </c>
      <c r="E2925">
        <v>3867584520</v>
      </c>
      <c r="F2925">
        <v>65310</v>
      </c>
      <c r="G2925">
        <v>67260</v>
      </c>
      <c r="H2925">
        <v>67260</v>
      </c>
      <c r="I2925">
        <v>1950</v>
      </c>
      <c r="J2925">
        <v>2.99</v>
      </c>
      <c r="K2925">
        <v>66410</v>
      </c>
      <c r="L2925">
        <v>1100</v>
      </c>
      <c r="M2925">
        <v>1.68</v>
      </c>
      <c r="N2925">
        <v>67260</v>
      </c>
      <c r="O2925">
        <v>67260</v>
      </c>
      <c r="P2925">
        <v>5894</v>
      </c>
      <c r="Q2925">
        <v>11.27</v>
      </c>
      <c r="R2925">
        <v>13</v>
      </c>
      <c r="S2925">
        <v>83257</v>
      </c>
      <c r="T2925">
        <v>67260</v>
      </c>
      <c r="U2925">
        <v>0</v>
      </c>
      <c r="V2925">
        <v>0</v>
      </c>
      <c r="W2925">
        <v>0</v>
      </c>
      <c r="X2925" s="367"/>
    </row>
    <row r="2926" spans="1:24">
      <c r="A2926" t="s">
        <v>4123</v>
      </c>
      <c r="B2926" t="s">
        <v>4124</v>
      </c>
      <c r="C2926">
        <v>127</v>
      </c>
      <c r="D2926">
        <v>6935050</v>
      </c>
      <c r="E2926">
        <v>138347833011</v>
      </c>
      <c r="F2926">
        <v>19381</v>
      </c>
      <c r="G2926">
        <v>19962</v>
      </c>
      <c r="H2926">
        <v>19962</v>
      </c>
      <c r="I2926">
        <v>581</v>
      </c>
      <c r="J2926">
        <v>3</v>
      </c>
      <c r="K2926">
        <v>19949</v>
      </c>
      <c r="L2926">
        <v>568</v>
      </c>
      <c r="M2926">
        <v>2.93</v>
      </c>
      <c r="N2926">
        <v>19813</v>
      </c>
      <c r="O2926">
        <v>19962</v>
      </c>
      <c r="P2926" t="s">
        <v>192</v>
      </c>
      <c r="Q2926" t="s">
        <v>192</v>
      </c>
      <c r="R2926">
        <v>1</v>
      </c>
      <c r="S2926">
        <v>19315</v>
      </c>
      <c r="T2926">
        <v>19962</v>
      </c>
      <c r="U2926">
        <v>0</v>
      </c>
      <c r="V2926">
        <v>0</v>
      </c>
      <c r="W2926">
        <v>0</v>
      </c>
      <c r="X2926" s="367"/>
    </row>
    <row r="2927" spans="1:24">
      <c r="A2927" t="s">
        <v>4125</v>
      </c>
      <c r="B2927" t="s">
        <v>4126</v>
      </c>
      <c r="C2927">
        <v>1078</v>
      </c>
      <c r="D2927">
        <v>459138</v>
      </c>
      <c r="E2927">
        <v>27946739000</v>
      </c>
      <c r="F2927">
        <v>25</v>
      </c>
      <c r="G2927">
        <v>59</v>
      </c>
      <c r="H2927">
        <v>67</v>
      </c>
      <c r="I2927">
        <v>42</v>
      </c>
      <c r="J2927">
        <v>168</v>
      </c>
      <c r="K2927">
        <v>61</v>
      </c>
      <c r="L2927">
        <v>36</v>
      </c>
      <c r="M2927">
        <v>144</v>
      </c>
      <c r="N2927">
        <v>56</v>
      </c>
      <c r="O2927">
        <v>67</v>
      </c>
      <c r="P2927" t="s">
        <v>192</v>
      </c>
      <c r="Q2927" t="s">
        <v>192</v>
      </c>
      <c r="R2927">
        <v>2</v>
      </c>
      <c r="S2927">
        <v>1591</v>
      </c>
      <c r="T2927">
        <v>61</v>
      </c>
      <c r="U2927">
        <v>66</v>
      </c>
      <c r="V2927">
        <v>1000</v>
      </c>
      <c r="W2927">
        <v>1</v>
      </c>
      <c r="X2927" s="367"/>
    </row>
    <row r="2928" spans="1:24">
      <c r="A2928" t="s">
        <v>7537</v>
      </c>
      <c r="B2928" t="s">
        <v>7538</v>
      </c>
      <c r="C2928">
        <v>0</v>
      </c>
      <c r="D2928">
        <v>0</v>
      </c>
      <c r="E2928">
        <v>0</v>
      </c>
      <c r="F2928">
        <v>116</v>
      </c>
      <c r="G2928">
        <v>0</v>
      </c>
      <c r="H2928">
        <v>116</v>
      </c>
      <c r="I2928">
        <v>0</v>
      </c>
      <c r="J2928">
        <v>0</v>
      </c>
      <c r="K2928">
        <v>116</v>
      </c>
      <c r="L2928">
        <v>0</v>
      </c>
      <c r="M2928">
        <v>0</v>
      </c>
      <c r="N2928">
        <v>0</v>
      </c>
      <c r="O2928">
        <v>0</v>
      </c>
      <c r="P2928" t="s">
        <v>192</v>
      </c>
      <c r="Q2928" t="s">
        <v>192</v>
      </c>
      <c r="R2928">
        <v>1</v>
      </c>
      <c r="S2928">
        <v>200</v>
      </c>
      <c r="T2928">
        <v>145</v>
      </c>
      <c r="U2928">
        <v>0</v>
      </c>
      <c r="V2928">
        <v>0</v>
      </c>
      <c r="W2928">
        <v>0</v>
      </c>
      <c r="X2928" s="367"/>
    </row>
    <row r="2929" spans="1:24">
      <c r="A2929" t="s">
        <v>8595</v>
      </c>
      <c r="B2929" t="s">
        <v>8596</v>
      </c>
      <c r="C2929">
        <v>2</v>
      </c>
      <c r="D2929">
        <v>70371346</v>
      </c>
      <c r="E2929">
        <v>56601714356834</v>
      </c>
      <c r="F2929">
        <v>804410</v>
      </c>
      <c r="G2929">
        <v>804088</v>
      </c>
      <c r="H2929">
        <v>804570</v>
      </c>
      <c r="I2929">
        <v>160</v>
      </c>
      <c r="J2929">
        <v>0.02</v>
      </c>
      <c r="K2929">
        <v>804329</v>
      </c>
      <c r="L2929">
        <v>-81</v>
      </c>
      <c r="M2929">
        <v>-0.01</v>
      </c>
      <c r="N2929">
        <v>804088</v>
      </c>
      <c r="O2929">
        <v>804570</v>
      </c>
      <c r="P2929" t="s">
        <v>192</v>
      </c>
      <c r="Q2929" t="s">
        <v>192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 s="367"/>
    </row>
    <row r="2930" spans="1:24">
      <c r="A2930" t="s">
        <v>1938</v>
      </c>
      <c r="B2930" t="s">
        <v>1937</v>
      </c>
      <c r="C2930">
        <v>183</v>
      </c>
      <c r="D2930">
        <v>4961231</v>
      </c>
      <c r="E2930">
        <v>8615443424</v>
      </c>
      <c r="F2930">
        <v>1687</v>
      </c>
      <c r="G2930">
        <v>1737</v>
      </c>
      <c r="H2930">
        <v>1737</v>
      </c>
      <c r="I2930">
        <v>50</v>
      </c>
      <c r="J2930">
        <v>2.96</v>
      </c>
      <c r="K2930">
        <v>1737</v>
      </c>
      <c r="L2930">
        <v>50</v>
      </c>
      <c r="M2930">
        <v>2.96</v>
      </c>
      <c r="N2930">
        <v>1705</v>
      </c>
      <c r="O2930">
        <v>1737</v>
      </c>
      <c r="P2930">
        <v>483</v>
      </c>
      <c r="Q2930">
        <v>3.6</v>
      </c>
      <c r="R2930">
        <v>1</v>
      </c>
      <c r="S2930">
        <v>184005</v>
      </c>
      <c r="T2930">
        <v>1737</v>
      </c>
      <c r="U2930">
        <v>0</v>
      </c>
      <c r="V2930">
        <v>0</v>
      </c>
      <c r="W2930">
        <v>0</v>
      </c>
      <c r="X2930" s="367"/>
    </row>
    <row r="2931" spans="1:24">
      <c r="A2931" t="s">
        <v>167</v>
      </c>
      <c r="B2931" t="s">
        <v>166</v>
      </c>
      <c r="C2931">
        <v>237</v>
      </c>
      <c r="D2931">
        <v>1880671</v>
      </c>
      <c r="E2931">
        <v>135163824770</v>
      </c>
      <c r="F2931">
        <v>69780</v>
      </c>
      <c r="G2931">
        <v>71870</v>
      </c>
      <c r="H2931">
        <v>71870</v>
      </c>
      <c r="I2931">
        <v>2090</v>
      </c>
      <c r="J2931">
        <v>3</v>
      </c>
      <c r="K2931">
        <v>71870</v>
      </c>
      <c r="L2931">
        <v>2090</v>
      </c>
      <c r="M2931">
        <v>3</v>
      </c>
      <c r="N2931">
        <v>71870</v>
      </c>
      <c r="O2931">
        <v>71870</v>
      </c>
      <c r="P2931">
        <v>9289</v>
      </c>
      <c r="Q2931">
        <v>7.74</v>
      </c>
      <c r="R2931">
        <v>54</v>
      </c>
      <c r="S2931">
        <v>677080</v>
      </c>
      <c r="T2931">
        <v>71870</v>
      </c>
      <c r="U2931">
        <v>72010</v>
      </c>
      <c r="V2931">
        <v>3000</v>
      </c>
      <c r="W2931">
        <v>1</v>
      </c>
      <c r="X2931" s="367"/>
    </row>
    <row r="2932" spans="1:24">
      <c r="A2932" t="s">
        <v>91</v>
      </c>
      <c r="B2932" t="s">
        <v>90</v>
      </c>
      <c r="C2932">
        <v>388</v>
      </c>
      <c r="D2932">
        <v>35595714</v>
      </c>
      <c r="E2932">
        <v>122449256160</v>
      </c>
      <c r="F2932">
        <v>3340</v>
      </c>
      <c r="G2932">
        <v>3440</v>
      </c>
      <c r="H2932">
        <v>3440</v>
      </c>
      <c r="I2932">
        <v>100</v>
      </c>
      <c r="J2932">
        <v>2.99</v>
      </c>
      <c r="K2932">
        <v>3440</v>
      </c>
      <c r="L2932">
        <v>100</v>
      </c>
      <c r="M2932">
        <v>2.99</v>
      </c>
      <c r="N2932">
        <v>3440</v>
      </c>
      <c r="O2932">
        <v>3440</v>
      </c>
      <c r="P2932">
        <v>590</v>
      </c>
      <c r="Q2932">
        <v>5.83</v>
      </c>
      <c r="R2932">
        <v>194</v>
      </c>
      <c r="S2932">
        <v>18933781</v>
      </c>
      <c r="T2932">
        <v>3440</v>
      </c>
      <c r="U2932">
        <v>0</v>
      </c>
      <c r="V2932">
        <v>0</v>
      </c>
      <c r="W2932">
        <v>0</v>
      </c>
      <c r="X2932" s="367"/>
    </row>
    <row r="2933" spans="1:24">
      <c r="A2933" t="s">
        <v>8598</v>
      </c>
      <c r="B2933" t="s">
        <v>8599</v>
      </c>
      <c r="C2933">
        <v>2</v>
      </c>
      <c r="D2933">
        <v>36113040</v>
      </c>
      <c r="E2933">
        <v>31582298001600</v>
      </c>
      <c r="F2933">
        <v>880630</v>
      </c>
      <c r="G2933">
        <v>874290</v>
      </c>
      <c r="H2933">
        <v>874790</v>
      </c>
      <c r="I2933">
        <v>-5840</v>
      </c>
      <c r="J2933">
        <v>-0.66</v>
      </c>
      <c r="K2933">
        <v>874540</v>
      </c>
      <c r="L2933">
        <v>-6090</v>
      </c>
      <c r="M2933">
        <v>-0.69</v>
      </c>
      <c r="N2933">
        <v>874290</v>
      </c>
      <c r="O2933">
        <v>874790</v>
      </c>
      <c r="P2933" t="s">
        <v>192</v>
      </c>
      <c r="Q2933" t="s">
        <v>192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 s="367"/>
    </row>
    <row r="2934" spans="1:24">
      <c r="A2934" t="s">
        <v>4129</v>
      </c>
      <c r="B2934" t="s">
        <v>8545</v>
      </c>
      <c r="C2934">
        <v>122</v>
      </c>
      <c r="D2934">
        <v>114675</v>
      </c>
      <c r="E2934">
        <v>114675000</v>
      </c>
      <c r="F2934">
        <v>1</v>
      </c>
      <c r="G2934">
        <v>1</v>
      </c>
      <c r="H2934">
        <v>1</v>
      </c>
      <c r="I2934">
        <v>0</v>
      </c>
      <c r="J2934">
        <v>0</v>
      </c>
      <c r="K2934">
        <v>1</v>
      </c>
      <c r="L2934">
        <v>0</v>
      </c>
      <c r="M2934">
        <v>0</v>
      </c>
      <c r="N2934">
        <v>1</v>
      </c>
      <c r="O2934">
        <v>1</v>
      </c>
      <c r="P2934" t="s">
        <v>192</v>
      </c>
      <c r="Q2934" t="s">
        <v>192</v>
      </c>
      <c r="R2934">
        <v>0</v>
      </c>
      <c r="S2934">
        <v>0</v>
      </c>
      <c r="T2934">
        <v>0</v>
      </c>
      <c r="U2934">
        <v>1</v>
      </c>
      <c r="V2934">
        <v>107517</v>
      </c>
      <c r="W2934">
        <v>176</v>
      </c>
      <c r="X2934" s="367"/>
    </row>
    <row r="2935" spans="1:24">
      <c r="A2935" t="s">
        <v>8740</v>
      </c>
      <c r="B2935" t="s">
        <v>8741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1</v>
      </c>
      <c r="I2935">
        <v>0</v>
      </c>
      <c r="J2935">
        <v>0</v>
      </c>
      <c r="K2935">
        <v>1</v>
      </c>
      <c r="L2935">
        <v>0</v>
      </c>
      <c r="M2935">
        <v>0</v>
      </c>
      <c r="N2935">
        <v>0</v>
      </c>
      <c r="O2935">
        <v>0</v>
      </c>
      <c r="P2935" t="s">
        <v>192</v>
      </c>
      <c r="Q2935" t="s">
        <v>192</v>
      </c>
      <c r="R2935">
        <v>1</v>
      </c>
      <c r="S2935">
        <v>93</v>
      </c>
      <c r="T2935">
        <v>214</v>
      </c>
      <c r="U2935">
        <v>333</v>
      </c>
      <c r="V2935">
        <v>10</v>
      </c>
      <c r="W2935">
        <v>1</v>
      </c>
      <c r="X2935" s="367"/>
    </row>
    <row r="2936" spans="1:24">
      <c r="A2936" t="s">
        <v>4131</v>
      </c>
      <c r="B2936" t="s">
        <v>8600</v>
      </c>
      <c r="C2936">
        <v>375</v>
      </c>
      <c r="D2936">
        <v>94405</v>
      </c>
      <c r="E2936">
        <v>14339376000</v>
      </c>
      <c r="F2936">
        <v>114</v>
      </c>
      <c r="G2936">
        <v>168</v>
      </c>
      <c r="H2936">
        <v>150</v>
      </c>
      <c r="I2936">
        <v>36</v>
      </c>
      <c r="J2936">
        <v>31.58</v>
      </c>
      <c r="K2936">
        <v>152</v>
      </c>
      <c r="L2936">
        <v>38</v>
      </c>
      <c r="M2936">
        <v>33.33</v>
      </c>
      <c r="N2936">
        <v>118</v>
      </c>
      <c r="O2936">
        <v>198</v>
      </c>
      <c r="P2936" t="s">
        <v>192</v>
      </c>
      <c r="Q2936" t="s">
        <v>192</v>
      </c>
      <c r="R2936">
        <v>1</v>
      </c>
      <c r="S2936">
        <v>806</v>
      </c>
      <c r="T2936">
        <v>150</v>
      </c>
      <c r="U2936">
        <v>151</v>
      </c>
      <c r="V2936">
        <v>1000</v>
      </c>
      <c r="W2936">
        <v>1</v>
      </c>
      <c r="X2936" s="367"/>
    </row>
    <row r="2937" spans="1:24">
      <c r="A2937" t="s">
        <v>7173</v>
      </c>
      <c r="B2937" t="s">
        <v>8112</v>
      </c>
      <c r="C2937">
        <v>10</v>
      </c>
      <c r="D2937">
        <v>7500</v>
      </c>
      <c r="E2937">
        <v>851500000</v>
      </c>
      <c r="F2937">
        <v>62</v>
      </c>
      <c r="G2937">
        <v>110</v>
      </c>
      <c r="H2937">
        <v>113</v>
      </c>
      <c r="I2937">
        <v>51</v>
      </c>
      <c r="J2937">
        <v>82.26</v>
      </c>
      <c r="K2937">
        <v>114</v>
      </c>
      <c r="L2937">
        <v>52</v>
      </c>
      <c r="M2937">
        <v>83.87</v>
      </c>
      <c r="N2937">
        <v>110</v>
      </c>
      <c r="O2937">
        <v>115</v>
      </c>
      <c r="P2937" t="s">
        <v>192</v>
      </c>
      <c r="Q2937" t="s">
        <v>192</v>
      </c>
      <c r="R2937">
        <v>1</v>
      </c>
      <c r="S2937">
        <v>20</v>
      </c>
      <c r="T2937">
        <v>93</v>
      </c>
      <c r="U2937">
        <v>110</v>
      </c>
      <c r="V2937">
        <v>500</v>
      </c>
      <c r="W2937">
        <v>1</v>
      </c>
      <c r="X2937" s="367"/>
    </row>
    <row r="2938" spans="1:24">
      <c r="A2938" t="s">
        <v>4568</v>
      </c>
      <c r="B2938" t="s">
        <v>4569</v>
      </c>
      <c r="C2938">
        <v>0</v>
      </c>
      <c r="D2938">
        <v>0</v>
      </c>
      <c r="E2938">
        <v>0</v>
      </c>
      <c r="F2938">
        <v>1000000</v>
      </c>
      <c r="G2938">
        <v>0</v>
      </c>
      <c r="H2938">
        <v>1000000</v>
      </c>
      <c r="I2938">
        <v>0</v>
      </c>
      <c r="J2938">
        <v>0</v>
      </c>
      <c r="K2938">
        <v>1000000</v>
      </c>
      <c r="L2938">
        <v>0</v>
      </c>
      <c r="M2938">
        <v>0</v>
      </c>
      <c r="N2938">
        <v>0</v>
      </c>
      <c r="O2938">
        <v>0</v>
      </c>
      <c r="P2938" t="s">
        <v>192</v>
      </c>
      <c r="Q2938" t="s">
        <v>192</v>
      </c>
      <c r="R2938">
        <v>1</v>
      </c>
      <c r="S2938">
        <v>4000</v>
      </c>
      <c r="T2938">
        <v>970000</v>
      </c>
      <c r="U2938">
        <v>0</v>
      </c>
      <c r="V2938">
        <v>0</v>
      </c>
      <c r="W2938">
        <v>0</v>
      </c>
      <c r="X2938" s="367"/>
    </row>
    <row r="2939" spans="1:24">
      <c r="A2939" t="s">
        <v>2275</v>
      </c>
      <c r="B2939" t="s">
        <v>2274</v>
      </c>
      <c r="C2939">
        <v>23</v>
      </c>
      <c r="D2939">
        <v>1963667</v>
      </c>
      <c r="E2939">
        <v>3149721868</v>
      </c>
      <c r="F2939">
        <v>1573</v>
      </c>
      <c r="G2939">
        <v>1604</v>
      </c>
      <c r="H2939">
        <v>1604</v>
      </c>
      <c r="I2939">
        <v>31</v>
      </c>
      <c r="J2939">
        <v>1.97</v>
      </c>
      <c r="K2939">
        <v>1604</v>
      </c>
      <c r="L2939">
        <v>31</v>
      </c>
      <c r="M2939">
        <v>1.97</v>
      </c>
      <c r="N2939">
        <v>1604</v>
      </c>
      <c r="O2939">
        <v>1604</v>
      </c>
      <c r="P2939">
        <v>-1</v>
      </c>
      <c r="Q2939">
        <v>-1604</v>
      </c>
      <c r="R2939">
        <v>10</v>
      </c>
      <c r="S2939">
        <v>3198752</v>
      </c>
      <c r="T2939">
        <v>1604</v>
      </c>
      <c r="U2939">
        <v>1617</v>
      </c>
      <c r="V2939">
        <v>40000</v>
      </c>
      <c r="W2939">
        <v>1</v>
      </c>
      <c r="X2939" s="367"/>
    </row>
    <row r="2940" spans="1:24">
      <c r="A2940" t="s">
        <v>4570</v>
      </c>
      <c r="B2940" t="s">
        <v>4571</v>
      </c>
      <c r="C2940">
        <v>0</v>
      </c>
      <c r="D2940">
        <v>0</v>
      </c>
      <c r="E2940">
        <v>0</v>
      </c>
      <c r="F2940">
        <v>1000000</v>
      </c>
      <c r="G2940">
        <v>0</v>
      </c>
      <c r="H2940">
        <v>1000000</v>
      </c>
      <c r="I2940">
        <v>0</v>
      </c>
      <c r="J2940">
        <v>0</v>
      </c>
      <c r="K2940">
        <v>1000000</v>
      </c>
      <c r="L2940">
        <v>0</v>
      </c>
      <c r="M2940">
        <v>0</v>
      </c>
      <c r="N2940">
        <v>0</v>
      </c>
      <c r="O2940">
        <v>0</v>
      </c>
      <c r="P2940" t="s">
        <v>192</v>
      </c>
      <c r="Q2940" t="s">
        <v>192</v>
      </c>
      <c r="R2940">
        <v>1</v>
      </c>
      <c r="S2940">
        <v>5000</v>
      </c>
      <c r="T2940">
        <v>970000</v>
      </c>
      <c r="U2940">
        <v>0</v>
      </c>
      <c r="V2940">
        <v>0</v>
      </c>
      <c r="W2940">
        <v>0</v>
      </c>
      <c r="X2940" s="367"/>
    </row>
    <row r="2941" spans="1:24">
      <c r="A2941" t="s">
        <v>4574</v>
      </c>
      <c r="B2941" t="s">
        <v>4575</v>
      </c>
      <c r="C2941">
        <v>0</v>
      </c>
      <c r="D2941">
        <v>0</v>
      </c>
      <c r="E2941">
        <v>0</v>
      </c>
      <c r="F2941">
        <v>1026220</v>
      </c>
      <c r="G2941">
        <v>0</v>
      </c>
      <c r="H2941">
        <v>1000000</v>
      </c>
      <c r="I2941">
        <v>-26220</v>
      </c>
      <c r="J2941">
        <v>-2.56</v>
      </c>
      <c r="K2941">
        <v>1026220</v>
      </c>
      <c r="L2941">
        <v>0</v>
      </c>
      <c r="M2941">
        <v>0</v>
      </c>
      <c r="N2941">
        <v>0</v>
      </c>
      <c r="O2941">
        <v>0</v>
      </c>
      <c r="P2941" t="s">
        <v>192</v>
      </c>
      <c r="Q2941" t="s">
        <v>192</v>
      </c>
      <c r="R2941">
        <v>1</v>
      </c>
      <c r="S2941">
        <v>5000</v>
      </c>
      <c r="T2941">
        <v>995440</v>
      </c>
      <c r="U2941">
        <v>1004950</v>
      </c>
      <c r="V2941">
        <v>5000</v>
      </c>
      <c r="W2941">
        <v>1</v>
      </c>
      <c r="X2941" s="367"/>
    </row>
    <row r="2942" spans="1:24">
      <c r="A2942" t="s">
        <v>4576</v>
      </c>
      <c r="B2942" t="s">
        <v>4577</v>
      </c>
      <c r="C2942">
        <v>0</v>
      </c>
      <c r="D2942">
        <v>0</v>
      </c>
      <c r="E2942">
        <v>0</v>
      </c>
      <c r="F2942">
        <v>853639</v>
      </c>
      <c r="G2942">
        <v>0</v>
      </c>
      <c r="H2942">
        <v>853639</v>
      </c>
      <c r="I2942">
        <v>0</v>
      </c>
      <c r="J2942">
        <v>0</v>
      </c>
      <c r="K2942">
        <v>853639</v>
      </c>
      <c r="L2942">
        <v>0</v>
      </c>
      <c r="M2942">
        <v>0</v>
      </c>
      <c r="N2942">
        <v>0</v>
      </c>
      <c r="O2942">
        <v>0</v>
      </c>
      <c r="P2942" t="s">
        <v>192</v>
      </c>
      <c r="Q2942" t="s">
        <v>192</v>
      </c>
      <c r="R2942">
        <v>1</v>
      </c>
      <c r="S2942">
        <v>9500</v>
      </c>
      <c r="T2942">
        <v>836038</v>
      </c>
      <c r="U2942">
        <v>0</v>
      </c>
      <c r="V2942">
        <v>0</v>
      </c>
      <c r="W2942">
        <v>0</v>
      </c>
      <c r="X2942" s="367"/>
    </row>
    <row r="2943" spans="1:24">
      <c r="A2943" t="s">
        <v>4578</v>
      </c>
      <c r="B2943" t="s">
        <v>4579</v>
      </c>
      <c r="C2943">
        <v>25</v>
      </c>
      <c r="D2943">
        <v>1113</v>
      </c>
      <c r="E2943">
        <v>6834598000</v>
      </c>
      <c r="F2943">
        <v>4816</v>
      </c>
      <c r="G2943">
        <v>6666</v>
      </c>
      <c r="H2943">
        <v>6044</v>
      </c>
      <c r="I2943">
        <v>1228</v>
      </c>
      <c r="J2943">
        <v>25.5</v>
      </c>
      <c r="K2943">
        <v>6141</v>
      </c>
      <c r="L2943">
        <v>1325</v>
      </c>
      <c r="M2943">
        <v>27.51</v>
      </c>
      <c r="N2943">
        <v>6044</v>
      </c>
      <c r="O2943">
        <v>6666</v>
      </c>
      <c r="P2943" t="s">
        <v>192</v>
      </c>
      <c r="Q2943" t="s">
        <v>192</v>
      </c>
      <c r="R2943">
        <v>1</v>
      </c>
      <c r="S2943">
        <v>100</v>
      </c>
      <c r="T2943">
        <v>1</v>
      </c>
      <c r="U2943">
        <v>6160</v>
      </c>
      <c r="V2943">
        <v>37</v>
      </c>
      <c r="W2943">
        <v>1</v>
      </c>
      <c r="X2943" s="367"/>
    </row>
    <row r="2944" spans="1:24">
      <c r="A2944" t="s">
        <v>8113</v>
      </c>
      <c r="B2944" t="s">
        <v>8114</v>
      </c>
      <c r="C2944">
        <v>12727</v>
      </c>
      <c r="D2944">
        <v>39843040</v>
      </c>
      <c r="E2944">
        <v>750843999800</v>
      </c>
      <c r="F2944">
        <v>18360</v>
      </c>
      <c r="G2944">
        <v>18900</v>
      </c>
      <c r="H2944">
        <v>18910</v>
      </c>
      <c r="I2944">
        <v>550</v>
      </c>
      <c r="J2944">
        <v>3</v>
      </c>
      <c r="K2944">
        <v>18850</v>
      </c>
      <c r="L2944">
        <v>490</v>
      </c>
      <c r="M2944">
        <v>2.67</v>
      </c>
      <c r="N2944">
        <v>18530</v>
      </c>
      <c r="O2944">
        <v>18910</v>
      </c>
      <c r="P2944">
        <v>3513</v>
      </c>
      <c r="Q2944">
        <v>5.37</v>
      </c>
      <c r="R2944">
        <v>83</v>
      </c>
      <c r="S2944">
        <v>3043498</v>
      </c>
      <c r="T2944">
        <v>18910</v>
      </c>
      <c r="U2944">
        <v>0</v>
      </c>
      <c r="V2944">
        <v>0</v>
      </c>
      <c r="W2944">
        <v>0</v>
      </c>
      <c r="X2944" s="367"/>
    </row>
    <row r="2945" spans="1:24">
      <c r="A2945" t="s">
        <v>2648</v>
      </c>
      <c r="B2945" t="s">
        <v>2647</v>
      </c>
      <c r="C2945">
        <v>30</v>
      </c>
      <c r="D2945">
        <v>2570087</v>
      </c>
      <c r="E2945">
        <v>23387791700</v>
      </c>
      <c r="F2945">
        <v>8840</v>
      </c>
      <c r="G2945">
        <v>9100</v>
      </c>
      <c r="H2945">
        <v>9100</v>
      </c>
      <c r="I2945">
        <v>260</v>
      </c>
      <c r="J2945">
        <v>2.94</v>
      </c>
      <c r="K2945">
        <v>9100</v>
      </c>
      <c r="L2945">
        <v>260</v>
      </c>
      <c r="M2945">
        <v>2.94</v>
      </c>
      <c r="N2945">
        <v>9100</v>
      </c>
      <c r="O2945">
        <v>9100</v>
      </c>
      <c r="P2945">
        <v>1018</v>
      </c>
      <c r="Q2945">
        <v>8.94</v>
      </c>
      <c r="R2945">
        <v>74</v>
      </c>
      <c r="S2945">
        <v>9132339</v>
      </c>
      <c r="T2945">
        <v>9100</v>
      </c>
      <c r="U2945">
        <v>0</v>
      </c>
      <c r="V2945">
        <v>0</v>
      </c>
      <c r="W2945">
        <v>0</v>
      </c>
      <c r="X2945" s="367"/>
    </row>
    <row r="2946" spans="1:24">
      <c r="A2946" t="s">
        <v>2781</v>
      </c>
      <c r="B2946" t="s">
        <v>2780</v>
      </c>
      <c r="C2946">
        <v>321</v>
      </c>
      <c r="D2946">
        <v>19873302</v>
      </c>
      <c r="E2946">
        <v>84262800480</v>
      </c>
      <c r="F2946">
        <v>4120</v>
      </c>
      <c r="G2946">
        <v>4240</v>
      </c>
      <c r="H2946">
        <v>4240</v>
      </c>
      <c r="I2946">
        <v>120</v>
      </c>
      <c r="J2946">
        <v>2.91</v>
      </c>
      <c r="K2946">
        <v>4240</v>
      </c>
      <c r="L2946">
        <v>120</v>
      </c>
      <c r="M2946">
        <v>2.91</v>
      </c>
      <c r="N2946">
        <v>4240</v>
      </c>
      <c r="O2946">
        <v>4240</v>
      </c>
      <c r="P2946">
        <v>949</v>
      </c>
      <c r="Q2946">
        <v>4.47</v>
      </c>
      <c r="R2946">
        <v>21</v>
      </c>
      <c r="S2946">
        <v>1738690</v>
      </c>
      <c r="T2946">
        <v>4240</v>
      </c>
      <c r="U2946">
        <v>0</v>
      </c>
      <c r="V2946">
        <v>0</v>
      </c>
      <c r="W2946">
        <v>0</v>
      </c>
      <c r="X2946" s="367"/>
    </row>
    <row r="2947" spans="1:24">
      <c r="A2947" t="s">
        <v>7529</v>
      </c>
      <c r="B2947" t="s">
        <v>7530</v>
      </c>
      <c r="C2947">
        <v>0</v>
      </c>
      <c r="D2947">
        <v>0</v>
      </c>
      <c r="E2947">
        <v>0</v>
      </c>
      <c r="F2947">
        <v>66</v>
      </c>
      <c r="G2947">
        <v>0</v>
      </c>
      <c r="H2947">
        <v>66</v>
      </c>
      <c r="I2947">
        <v>0</v>
      </c>
      <c r="J2947">
        <v>0</v>
      </c>
      <c r="K2947">
        <v>66</v>
      </c>
      <c r="L2947">
        <v>0</v>
      </c>
      <c r="M2947">
        <v>0</v>
      </c>
      <c r="N2947">
        <v>0</v>
      </c>
      <c r="O2947">
        <v>0</v>
      </c>
      <c r="P2947" t="s">
        <v>192</v>
      </c>
      <c r="Q2947" t="s">
        <v>192</v>
      </c>
      <c r="R2947">
        <v>1</v>
      </c>
      <c r="S2947">
        <v>100</v>
      </c>
      <c r="T2947">
        <v>50</v>
      </c>
      <c r="U2947">
        <v>0</v>
      </c>
      <c r="V2947">
        <v>0</v>
      </c>
      <c r="W2947">
        <v>0</v>
      </c>
      <c r="X2947" s="367"/>
    </row>
    <row r="2948" spans="1:24">
      <c r="A2948" t="s">
        <v>8399</v>
      </c>
      <c r="B2948" t="s">
        <v>8400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1</v>
      </c>
      <c r="I2948">
        <v>0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0</v>
      </c>
      <c r="P2948" t="s">
        <v>192</v>
      </c>
      <c r="Q2948" t="s">
        <v>192</v>
      </c>
      <c r="R2948">
        <v>1</v>
      </c>
      <c r="S2948">
        <v>333</v>
      </c>
      <c r="T2948">
        <v>3</v>
      </c>
      <c r="U2948">
        <v>0</v>
      </c>
      <c r="V2948">
        <v>0</v>
      </c>
      <c r="W2948">
        <v>0</v>
      </c>
      <c r="X2948" s="367"/>
    </row>
    <row r="2949" spans="1:24">
      <c r="A2949" t="s">
        <v>4580</v>
      </c>
      <c r="B2949" t="s">
        <v>4581</v>
      </c>
      <c r="C2949">
        <v>0</v>
      </c>
      <c r="D2949">
        <v>0</v>
      </c>
      <c r="E2949">
        <v>0</v>
      </c>
      <c r="F2949">
        <v>300</v>
      </c>
      <c r="G2949">
        <v>0</v>
      </c>
      <c r="H2949">
        <v>300</v>
      </c>
      <c r="I2949">
        <v>0</v>
      </c>
      <c r="J2949">
        <v>0</v>
      </c>
      <c r="K2949">
        <v>300</v>
      </c>
      <c r="L2949">
        <v>0</v>
      </c>
      <c r="M2949">
        <v>0</v>
      </c>
      <c r="N2949">
        <v>0</v>
      </c>
      <c r="O2949">
        <v>0</v>
      </c>
      <c r="P2949" t="s">
        <v>192</v>
      </c>
      <c r="Q2949" t="s">
        <v>192</v>
      </c>
      <c r="R2949">
        <v>1</v>
      </c>
      <c r="S2949">
        <v>444</v>
      </c>
      <c r="T2949">
        <v>4</v>
      </c>
      <c r="U2949">
        <v>0</v>
      </c>
      <c r="V2949">
        <v>0</v>
      </c>
      <c r="W2949">
        <v>0</v>
      </c>
      <c r="X2949" s="367"/>
    </row>
    <row r="2950" spans="1:24">
      <c r="A2950" t="s">
        <v>4582</v>
      </c>
      <c r="B2950" t="s">
        <v>8565</v>
      </c>
      <c r="C2950">
        <v>24</v>
      </c>
      <c r="D2950">
        <v>11601</v>
      </c>
      <c r="E2950">
        <v>922900000</v>
      </c>
      <c r="F2950">
        <v>46</v>
      </c>
      <c r="G2950">
        <v>80</v>
      </c>
      <c r="H2950">
        <v>70</v>
      </c>
      <c r="I2950">
        <v>24</v>
      </c>
      <c r="J2950">
        <v>52.17</v>
      </c>
      <c r="K2950">
        <v>80</v>
      </c>
      <c r="L2950">
        <v>34</v>
      </c>
      <c r="M2950">
        <v>73.91</v>
      </c>
      <c r="N2950">
        <v>70</v>
      </c>
      <c r="O2950">
        <v>90</v>
      </c>
      <c r="P2950" t="s">
        <v>192</v>
      </c>
      <c r="Q2950" t="s">
        <v>192</v>
      </c>
      <c r="R2950">
        <v>4</v>
      </c>
      <c r="S2950">
        <v>4000</v>
      </c>
      <c r="T2950">
        <v>5</v>
      </c>
      <c r="U2950">
        <v>80</v>
      </c>
      <c r="V2950">
        <v>947</v>
      </c>
      <c r="W2950">
        <v>1</v>
      </c>
      <c r="X2950" s="367"/>
    </row>
    <row r="2951" spans="1:24">
      <c r="A2951" t="s">
        <v>8498</v>
      </c>
      <c r="B2951" t="s">
        <v>8499</v>
      </c>
      <c r="C2951">
        <v>2</v>
      </c>
      <c r="D2951">
        <v>468</v>
      </c>
      <c r="E2951">
        <v>655200000</v>
      </c>
      <c r="F2951">
        <v>1100</v>
      </c>
      <c r="G2951">
        <v>1400</v>
      </c>
      <c r="H2951">
        <v>1400</v>
      </c>
      <c r="I2951">
        <v>300</v>
      </c>
      <c r="J2951">
        <v>27.27</v>
      </c>
      <c r="K2951">
        <v>1400</v>
      </c>
      <c r="L2951">
        <v>300</v>
      </c>
      <c r="M2951">
        <v>27.27</v>
      </c>
      <c r="N2951">
        <v>1400</v>
      </c>
      <c r="O2951">
        <v>1400</v>
      </c>
      <c r="P2951" t="s">
        <v>192</v>
      </c>
      <c r="Q2951" t="s">
        <v>192</v>
      </c>
      <c r="R2951">
        <v>1</v>
      </c>
      <c r="S2951">
        <v>532</v>
      </c>
      <c r="T2951">
        <v>1400</v>
      </c>
      <c r="U2951">
        <v>1766</v>
      </c>
      <c r="V2951">
        <v>3</v>
      </c>
      <c r="W2951">
        <v>1</v>
      </c>
      <c r="X2951" s="367"/>
    </row>
    <row r="2952" spans="1:24">
      <c r="A2952" t="s">
        <v>4583</v>
      </c>
      <c r="B2952" t="s">
        <v>8601</v>
      </c>
      <c r="C2952">
        <v>0</v>
      </c>
      <c r="D2952">
        <v>0</v>
      </c>
      <c r="E2952">
        <v>0</v>
      </c>
      <c r="F2952">
        <v>140</v>
      </c>
      <c r="G2952">
        <v>0</v>
      </c>
      <c r="H2952">
        <v>140</v>
      </c>
      <c r="I2952">
        <v>0</v>
      </c>
      <c r="J2952">
        <v>0</v>
      </c>
      <c r="K2952">
        <v>140</v>
      </c>
      <c r="L2952">
        <v>0</v>
      </c>
      <c r="M2952">
        <v>0</v>
      </c>
      <c r="N2952">
        <v>0</v>
      </c>
      <c r="O2952">
        <v>0</v>
      </c>
      <c r="P2952" t="s">
        <v>192</v>
      </c>
      <c r="Q2952" t="s">
        <v>192</v>
      </c>
      <c r="R2952">
        <v>3</v>
      </c>
      <c r="S2952">
        <v>3000</v>
      </c>
      <c r="T2952">
        <v>2</v>
      </c>
      <c r="U2952">
        <v>0</v>
      </c>
      <c r="V2952">
        <v>0</v>
      </c>
      <c r="W2952">
        <v>0</v>
      </c>
      <c r="X2952" s="367"/>
    </row>
    <row r="2953" spans="1:24">
      <c r="A2953" t="s">
        <v>4584</v>
      </c>
      <c r="B2953" t="s">
        <v>4585</v>
      </c>
      <c r="C2953">
        <v>0</v>
      </c>
      <c r="D2953">
        <v>0</v>
      </c>
      <c r="E2953">
        <v>0</v>
      </c>
      <c r="F2953">
        <v>1</v>
      </c>
      <c r="G2953">
        <v>0</v>
      </c>
      <c r="H2953">
        <v>1</v>
      </c>
      <c r="I2953">
        <v>0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 t="s">
        <v>192</v>
      </c>
      <c r="Q2953" t="s">
        <v>192</v>
      </c>
      <c r="R2953">
        <v>1</v>
      </c>
      <c r="S2953">
        <v>111</v>
      </c>
      <c r="T2953">
        <v>11</v>
      </c>
      <c r="U2953">
        <v>0</v>
      </c>
      <c r="V2953">
        <v>0</v>
      </c>
      <c r="W2953">
        <v>0</v>
      </c>
      <c r="X2953" s="367"/>
    </row>
    <row r="2954" spans="1:24">
      <c r="A2954" t="s">
        <v>4587</v>
      </c>
      <c r="B2954" t="s">
        <v>4588</v>
      </c>
      <c r="C2954">
        <v>54</v>
      </c>
      <c r="D2954">
        <v>43388</v>
      </c>
      <c r="E2954">
        <v>21851198393</v>
      </c>
      <c r="F2954">
        <v>489658</v>
      </c>
      <c r="G2954">
        <v>503996</v>
      </c>
      <c r="H2954">
        <v>504347</v>
      </c>
      <c r="I2954">
        <v>14689</v>
      </c>
      <c r="J2954">
        <v>3</v>
      </c>
      <c r="K2954">
        <v>503623</v>
      </c>
      <c r="L2954">
        <v>13965</v>
      </c>
      <c r="M2954">
        <v>2.85</v>
      </c>
      <c r="N2954">
        <v>494561</v>
      </c>
      <c r="O2954">
        <v>504347</v>
      </c>
      <c r="P2954" t="s">
        <v>192</v>
      </c>
      <c r="Q2954" t="s">
        <v>192</v>
      </c>
      <c r="R2954">
        <v>3</v>
      </c>
      <c r="S2954">
        <v>24844</v>
      </c>
      <c r="T2954">
        <v>504347</v>
      </c>
      <c r="U2954">
        <v>0</v>
      </c>
      <c r="V2954">
        <v>0</v>
      </c>
      <c r="W2954">
        <v>0</v>
      </c>
      <c r="X2954" s="367"/>
    </row>
    <row r="2955" spans="1:24">
      <c r="A2955" t="s">
        <v>4589</v>
      </c>
      <c r="B2955" t="s">
        <v>4590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1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 t="s">
        <v>192</v>
      </c>
      <c r="Q2955" t="s">
        <v>192</v>
      </c>
      <c r="R2955">
        <v>1</v>
      </c>
      <c r="S2955">
        <v>111</v>
      </c>
      <c r="T2955">
        <v>11</v>
      </c>
      <c r="U2955">
        <v>0</v>
      </c>
      <c r="V2955">
        <v>0</v>
      </c>
      <c r="W2955">
        <v>0</v>
      </c>
      <c r="X2955" s="367"/>
    </row>
    <row r="2956" spans="1:24">
      <c r="A2956" t="s">
        <v>4591</v>
      </c>
      <c r="B2956" t="s">
        <v>4592</v>
      </c>
      <c r="C2956">
        <v>0</v>
      </c>
      <c r="D2956">
        <v>0</v>
      </c>
      <c r="E2956">
        <v>0</v>
      </c>
      <c r="F2956">
        <v>1000000</v>
      </c>
      <c r="G2956">
        <v>0</v>
      </c>
      <c r="H2956">
        <v>1000000</v>
      </c>
      <c r="I2956">
        <v>0</v>
      </c>
      <c r="J2956">
        <v>0</v>
      </c>
      <c r="K2956">
        <v>1000000</v>
      </c>
      <c r="L2956">
        <v>0</v>
      </c>
      <c r="M2956">
        <v>0</v>
      </c>
      <c r="N2956">
        <v>0</v>
      </c>
      <c r="O2956">
        <v>0</v>
      </c>
      <c r="P2956" t="s">
        <v>192</v>
      </c>
      <c r="Q2956" t="s">
        <v>192</v>
      </c>
      <c r="R2956">
        <v>1</v>
      </c>
      <c r="S2956">
        <v>15000</v>
      </c>
      <c r="T2956">
        <v>1000000</v>
      </c>
      <c r="U2956">
        <v>1010000</v>
      </c>
      <c r="V2956">
        <v>15000</v>
      </c>
      <c r="W2956">
        <v>1</v>
      </c>
      <c r="X2956" s="367"/>
    </row>
    <row r="2957" spans="1:24">
      <c r="A2957" t="s">
        <v>968</v>
      </c>
      <c r="B2957" t="s">
        <v>2321</v>
      </c>
      <c r="C2957">
        <v>253</v>
      </c>
      <c r="D2957">
        <v>7354095</v>
      </c>
      <c r="E2957">
        <v>38343793090</v>
      </c>
      <c r="F2957">
        <v>5120</v>
      </c>
      <c r="G2957">
        <v>5270</v>
      </c>
      <c r="H2957">
        <v>5270</v>
      </c>
      <c r="I2957">
        <v>150</v>
      </c>
      <c r="J2957">
        <v>2.93</v>
      </c>
      <c r="K2957">
        <v>5210</v>
      </c>
      <c r="L2957">
        <v>90</v>
      </c>
      <c r="M2957">
        <v>1.76</v>
      </c>
      <c r="N2957">
        <v>5020</v>
      </c>
      <c r="O2957">
        <v>5270</v>
      </c>
      <c r="P2957">
        <v>243</v>
      </c>
      <c r="Q2957">
        <v>21.44</v>
      </c>
      <c r="R2957">
        <v>3</v>
      </c>
      <c r="S2957">
        <v>120000</v>
      </c>
      <c r="T2957">
        <v>5200</v>
      </c>
      <c r="U2957">
        <v>0</v>
      </c>
      <c r="V2957">
        <v>0</v>
      </c>
      <c r="W2957">
        <v>0</v>
      </c>
      <c r="X2957" s="367"/>
    </row>
    <row r="2958" spans="1:24">
      <c r="A2958" t="s">
        <v>4593</v>
      </c>
      <c r="B2958" t="s">
        <v>4594</v>
      </c>
      <c r="C2958">
        <v>348</v>
      </c>
      <c r="D2958">
        <v>44593428</v>
      </c>
      <c r="E2958">
        <v>1663122063008</v>
      </c>
      <c r="F2958">
        <v>37241</v>
      </c>
      <c r="G2958">
        <v>37295</v>
      </c>
      <c r="H2958">
        <v>37296</v>
      </c>
      <c r="I2958">
        <v>55</v>
      </c>
      <c r="J2958">
        <v>0.15</v>
      </c>
      <c r="K2958">
        <v>37295</v>
      </c>
      <c r="L2958">
        <v>54</v>
      </c>
      <c r="M2958">
        <v>0.15</v>
      </c>
      <c r="N2958">
        <v>37295</v>
      </c>
      <c r="O2958">
        <v>37296</v>
      </c>
      <c r="P2958" t="s">
        <v>192</v>
      </c>
      <c r="Q2958" t="s">
        <v>192</v>
      </c>
      <c r="R2958">
        <v>1</v>
      </c>
      <c r="S2958">
        <v>201418244</v>
      </c>
      <c r="T2958">
        <v>37295</v>
      </c>
      <c r="U2958">
        <v>37296</v>
      </c>
      <c r="V2958">
        <v>14473316</v>
      </c>
      <c r="W2958">
        <v>1</v>
      </c>
      <c r="X2958" s="367"/>
    </row>
    <row r="2959" spans="1:24">
      <c r="A2959" t="s">
        <v>4595</v>
      </c>
      <c r="B2959" t="s">
        <v>4596</v>
      </c>
      <c r="C2959">
        <v>0</v>
      </c>
      <c r="D2959">
        <v>0</v>
      </c>
      <c r="E2959">
        <v>0</v>
      </c>
      <c r="F2959">
        <v>3250000</v>
      </c>
      <c r="G2959">
        <v>0</v>
      </c>
      <c r="H2959">
        <v>3250000</v>
      </c>
      <c r="I2959">
        <v>0</v>
      </c>
      <c r="J2959">
        <v>0</v>
      </c>
      <c r="K2959">
        <v>3250000</v>
      </c>
      <c r="L2959">
        <v>0</v>
      </c>
      <c r="M2959">
        <v>0</v>
      </c>
      <c r="N2959">
        <v>0</v>
      </c>
      <c r="O2959">
        <v>0</v>
      </c>
      <c r="P2959" t="s">
        <v>192</v>
      </c>
      <c r="Q2959" t="s">
        <v>192</v>
      </c>
      <c r="R2959">
        <v>1</v>
      </c>
      <c r="S2959">
        <v>6153</v>
      </c>
      <c r="T2959">
        <v>3687659</v>
      </c>
      <c r="U2959">
        <v>3724536</v>
      </c>
      <c r="V2959">
        <v>6153</v>
      </c>
      <c r="W2959">
        <v>1</v>
      </c>
      <c r="X2959" s="367"/>
    </row>
    <row r="2960" spans="1:24">
      <c r="A2960" t="s">
        <v>4597</v>
      </c>
      <c r="B2960" t="s">
        <v>4598</v>
      </c>
      <c r="C2960">
        <v>5</v>
      </c>
      <c r="D2960">
        <v>2255</v>
      </c>
      <c r="E2960">
        <v>1932791080</v>
      </c>
      <c r="F2960">
        <v>857870</v>
      </c>
      <c r="G2960">
        <v>859970</v>
      </c>
      <c r="H2960">
        <v>855500</v>
      </c>
      <c r="I2960">
        <v>-2370</v>
      </c>
      <c r="J2960">
        <v>-0.28000000000000003</v>
      </c>
      <c r="K2960">
        <v>857110</v>
      </c>
      <c r="L2960">
        <v>-760</v>
      </c>
      <c r="M2960">
        <v>-0.09</v>
      </c>
      <c r="N2960">
        <v>855500</v>
      </c>
      <c r="O2960">
        <v>859970</v>
      </c>
      <c r="P2960" t="s">
        <v>192</v>
      </c>
      <c r="Q2960" t="s">
        <v>192</v>
      </c>
      <c r="R2960">
        <v>2</v>
      </c>
      <c r="S2960">
        <v>597</v>
      </c>
      <c r="T2960">
        <v>855530</v>
      </c>
      <c r="U2960">
        <v>859970</v>
      </c>
      <c r="V2960">
        <v>1136</v>
      </c>
      <c r="W2960">
        <v>1</v>
      </c>
      <c r="X2960" s="367"/>
    </row>
    <row r="2961" spans="1:24">
      <c r="A2961" t="s">
        <v>8038</v>
      </c>
      <c r="B2961" t="s">
        <v>8039</v>
      </c>
      <c r="C2961">
        <v>0</v>
      </c>
      <c r="D2961">
        <v>0</v>
      </c>
      <c r="E2961">
        <v>0</v>
      </c>
      <c r="F2961">
        <v>1</v>
      </c>
      <c r="G2961">
        <v>0</v>
      </c>
      <c r="H2961">
        <v>1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0</v>
      </c>
      <c r="P2961" t="s">
        <v>192</v>
      </c>
      <c r="Q2961" t="s">
        <v>192</v>
      </c>
      <c r="R2961">
        <v>1</v>
      </c>
      <c r="S2961">
        <v>99</v>
      </c>
      <c r="T2961">
        <v>15</v>
      </c>
      <c r="U2961">
        <v>0</v>
      </c>
      <c r="V2961">
        <v>0</v>
      </c>
      <c r="W2961">
        <v>0</v>
      </c>
      <c r="X2961" s="367"/>
    </row>
    <row r="2962" spans="1:24">
      <c r="A2962" t="s">
        <v>4599</v>
      </c>
      <c r="B2962" t="s">
        <v>4600</v>
      </c>
      <c r="C2962">
        <v>57</v>
      </c>
      <c r="D2962">
        <v>11817</v>
      </c>
      <c r="E2962">
        <v>2120617000</v>
      </c>
      <c r="F2962">
        <v>136</v>
      </c>
      <c r="G2962">
        <v>180</v>
      </c>
      <c r="H2962">
        <v>191</v>
      </c>
      <c r="I2962">
        <v>55</v>
      </c>
      <c r="J2962">
        <v>40.44</v>
      </c>
      <c r="K2962">
        <v>179</v>
      </c>
      <c r="L2962">
        <v>43</v>
      </c>
      <c r="M2962">
        <v>31.62</v>
      </c>
      <c r="N2962">
        <v>166</v>
      </c>
      <c r="O2962">
        <v>200</v>
      </c>
      <c r="P2962" t="s">
        <v>192</v>
      </c>
      <c r="Q2962" t="s">
        <v>192</v>
      </c>
      <c r="R2962">
        <v>2</v>
      </c>
      <c r="S2962">
        <v>2000</v>
      </c>
      <c r="T2962">
        <v>175</v>
      </c>
      <c r="U2962">
        <v>191</v>
      </c>
      <c r="V2962">
        <v>900</v>
      </c>
      <c r="W2962">
        <v>1</v>
      </c>
      <c r="X2962" s="367"/>
    </row>
    <row r="2963" spans="1:24">
      <c r="A2963" t="s">
        <v>4601</v>
      </c>
      <c r="B2963" t="s">
        <v>4602</v>
      </c>
      <c r="C2963">
        <v>0</v>
      </c>
      <c r="D2963">
        <v>0</v>
      </c>
      <c r="E2963">
        <v>0</v>
      </c>
      <c r="F2963">
        <v>6332</v>
      </c>
      <c r="G2963">
        <v>0</v>
      </c>
      <c r="H2963">
        <v>6338</v>
      </c>
      <c r="I2963">
        <v>6</v>
      </c>
      <c r="J2963">
        <v>0.09</v>
      </c>
      <c r="K2963">
        <v>6332</v>
      </c>
      <c r="L2963">
        <v>0</v>
      </c>
      <c r="M2963">
        <v>0</v>
      </c>
      <c r="N2963">
        <v>0</v>
      </c>
      <c r="O2963">
        <v>0</v>
      </c>
      <c r="P2963" t="s">
        <v>192</v>
      </c>
      <c r="Q2963" t="s">
        <v>192</v>
      </c>
      <c r="R2963">
        <v>1</v>
      </c>
      <c r="S2963">
        <v>1</v>
      </c>
      <c r="T2963">
        <v>7700</v>
      </c>
      <c r="U2963">
        <v>0</v>
      </c>
      <c r="V2963">
        <v>0</v>
      </c>
      <c r="W2963">
        <v>0</v>
      </c>
      <c r="X2963" s="367"/>
    </row>
    <row r="2964" spans="1:24">
      <c r="A2964" t="s">
        <v>8450</v>
      </c>
      <c r="B2964" t="s">
        <v>8451</v>
      </c>
      <c r="C2964">
        <v>0</v>
      </c>
      <c r="D2964">
        <v>0</v>
      </c>
      <c r="E2964">
        <v>0</v>
      </c>
      <c r="F2964">
        <v>1800000</v>
      </c>
      <c r="G2964">
        <v>0</v>
      </c>
      <c r="H2964">
        <v>1800000</v>
      </c>
      <c r="I2964">
        <v>0</v>
      </c>
      <c r="J2964">
        <v>0</v>
      </c>
      <c r="K2964">
        <v>1800000</v>
      </c>
      <c r="L2964">
        <v>0</v>
      </c>
      <c r="M2964">
        <v>0</v>
      </c>
      <c r="N2964">
        <v>0</v>
      </c>
      <c r="O2964">
        <v>0</v>
      </c>
      <c r="P2964" t="s">
        <v>192</v>
      </c>
      <c r="Q2964" t="s">
        <v>192</v>
      </c>
      <c r="R2964">
        <v>1</v>
      </c>
      <c r="S2964">
        <v>100</v>
      </c>
      <c r="T2964">
        <v>1620000</v>
      </c>
      <c r="U2964">
        <v>0</v>
      </c>
      <c r="V2964">
        <v>0</v>
      </c>
      <c r="W2964">
        <v>0</v>
      </c>
      <c r="X2964" s="367"/>
    </row>
    <row r="2965" spans="1:24">
      <c r="A2965" t="s">
        <v>8546</v>
      </c>
      <c r="B2965" t="s">
        <v>8547</v>
      </c>
      <c r="C2965">
        <v>92</v>
      </c>
      <c r="D2965">
        <v>1666788</v>
      </c>
      <c r="E2965">
        <v>17426739178</v>
      </c>
      <c r="F2965">
        <v>10178</v>
      </c>
      <c r="G2965">
        <v>10400</v>
      </c>
      <c r="H2965">
        <v>10461</v>
      </c>
      <c r="I2965">
        <v>283</v>
      </c>
      <c r="J2965">
        <v>2.78</v>
      </c>
      <c r="K2965">
        <v>10455</v>
      </c>
      <c r="L2965">
        <v>277</v>
      </c>
      <c r="M2965">
        <v>2.72</v>
      </c>
      <c r="N2965">
        <v>10370</v>
      </c>
      <c r="O2965">
        <v>10463</v>
      </c>
      <c r="P2965" t="s">
        <v>192</v>
      </c>
      <c r="Q2965" t="s">
        <v>192</v>
      </c>
      <c r="R2965">
        <v>1</v>
      </c>
      <c r="S2965">
        <v>2555</v>
      </c>
      <c r="T2965">
        <v>10413</v>
      </c>
      <c r="U2965">
        <v>10462</v>
      </c>
      <c r="V2965">
        <v>83089</v>
      </c>
      <c r="W2965">
        <v>1</v>
      </c>
      <c r="X2965" s="367"/>
    </row>
    <row r="2966" spans="1:24">
      <c r="A2966" t="s">
        <v>4605</v>
      </c>
      <c r="B2966" t="s">
        <v>4606</v>
      </c>
      <c r="C2966">
        <v>1</v>
      </c>
      <c r="D2966">
        <v>7</v>
      </c>
      <c r="E2966">
        <v>14000</v>
      </c>
      <c r="F2966">
        <v>300</v>
      </c>
      <c r="G2966">
        <v>2</v>
      </c>
      <c r="H2966">
        <v>2</v>
      </c>
      <c r="I2966">
        <v>-298</v>
      </c>
      <c r="J2966">
        <v>-99.33</v>
      </c>
      <c r="K2966">
        <v>2</v>
      </c>
      <c r="L2966">
        <v>-298</v>
      </c>
      <c r="M2966">
        <v>-99.33</v>
      </c>
      <c r="N2966">
        <v>2</v>
      </c>
      <c r="O2966">
        <v>2</v>
      </c>
      <c r="P2966" t="s">
        <v>192</v>
      </c>
      <c r="Q2966" t="s">
        <v>192</v>
      </c>
      <c r="R2966">
        <v>1</v>
      </c>
      <c r="S2966">
        <v>100</v>
      </c>
      <c r="T2966">
        <v>1</v>
      </c>
      <c r="U2966">
        <v>0</v>
      </c>
      <c r="V2966">
        <v>0</v>
      </c>
      <c r="W2966">
        <v>0</v>
      </c>
      <c r="X2966" s="367"/>
    </row>
    <row r="2967" spans="1:24">
      <c r="A2967" t="s">
        <v>4607</v>
      </c>
      <c r="B2967" t="s">
        <v>4608</v>
      </c>
      <c r="C2967">
        <v>30</v>
      </c>
      <c r="D2967">
        <v>256942</v>
      </c>
      <c r="E2967">
        <v>4553634725</v>
      </c>
      <c r="F2967">
        <v>17292</v>
      </c>
      <c r="G2967">
        <v>17808</v>
      </c>
      <c r="H2967">
        <v>17808</v>
      </c>
      <c r="I2967">
        <v>516</v>
      </c>
      <c r="J2967">
        <v>2.98</v>
      </c>
      <c r="K2967">
        <v>17722</v>
      </c>
      <c r="L2967">
        <v>430</v>
      </c>
      <c r="M2967">
        <v>2.4900000000000002</v>
      </c>
      <c r="N2967">
        <v>17500</v>
      </c>
      <c r="O2967">
        <v>17810</v>
      </c>
      <c r="P2967" t="s">
        <v>192</v>
      </c>
      <c r="Q2967" t="s">
        <v>192</v>
      </c>
      <c r="R2967">
        <v>1</v>
      </c>
      <c r="S2967">
        <v>72172</v>
      </c>
      <c r="T2967">
        <v>17700</v>
      </c>
      <c r="U2967">
        <v>17810</v>
      </c>
      <c r="V2967">
        <v>5000</v>
      </c>
      <c r="W2967">
        <v>1</v>
      </c>
      <c r="X2967" s="367"/>
    </row>
    <row r="2968" spans="1:24">
      <c r="A2968" t="s">
        <v>4609</v>
      </c>
      <c r="B2968" t="s">
        <v>4610</v>
      </c>
      <c r="C2968">
        <v>0</v>
      </c>
      <c r="D2968">
        <v>0</v>
      </c>
      <c r="E2968">
        <v>0</v>
      </c>
      <c r="F2968">
        <v>1</v>
      </c>
      <c r="G2968">
        <v>0</v>
      </c>
      <c r="H2968">
        <v>1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0</v>
      </c>
      <c r="P2968" t="s">
        <v>192</v>
      </c>
      <c r="Q2968" t="s">
        <v>192</v>
      </c>
      <c r="R2968">
        <v>1</v>
      </c>
      <c r="S2968">
        <v>20</v>
      </c>
      <c r="T2968">
        <v>1001</v>
      </c>
      <c r="U2968">
        <v>0</v>
      </c>
      <c r="V2968">
        <v>0</v>
      </c>
      <c r="W2968">
        <v>0</v>
      </c>
      <c r="X2968" s="367"/>
    </row>
    <row r="2969" spans="1:24">
      <c r="A2969" t="s">
        <v>8880</v>
      </c>
      <c r="B2969" t="s">
        <v>2341</v>
      </c>
      <c r="C2969">
        <v>8</v>
      </c>
      <c r="D2969">
        <v>1014</v>
      </c>
      <c r="E2969">
        <v>12309960</v>
      </c>
      <c r="F2969">
        <v>11810</v>
      </c>
      <c r="G2969">
        <v>12140</v>
      </c>
      <c r="H2969">
        <v>12140</v>
      </c>
      <c r="I2969">
        <v>330</v>
      </c>
      <c r="J2969">
        <v>2.79</v>
      </c>
      <c r="K2969">
        <v>12140</v>
      </c>
      <c r="L2969">
        <v>330</v>
      </c>
      <c r="M2969">
        <v>2.79</v>
      </c>
      <c r="N2969">
        <v>12140</v>
      </c>
      <c r="O2969">
        <v>12140</v>
      </c>
      <c r="P2969">
        <v>1318</v>
      </c>
      <c r="Q2969">
        <v>9.2100000000000009</v>
      </c>
      <c r="R2969">
        <v>3</v>
      </c>
      <c r="S2969">
        <v>185586</v>
      </c>
      <c r="T2969">
        <v>12140</v>
      </c>
      <c r="U2969">
        <v>0</v>
      </c>
      <c r="V2969">
        <v>0</v>
      </c>
      <c r="W2969">
        <v>0</v>
      </c>
      <c r="X2969" s="367"/>
    </row>
    <row r="2970" spans="1:24">
      <c r="A2970" t="s">
        <v>2757</v>
      </c>
      <c r="B2970" t="s">
        <v>132</v>
      </c>
      <c r="C2970">
        <v>19</v>
      </c>
      <c r="D2970">
        <v>2029000</v>
      </c>
      <c r="E2970">
        <v>9516010000</v>
      </c>
      <c r="F2970">
        <v>4770</v>
      </c>
      <c r="G2970">
        <v>4690</v>
      </c>
      <c r="H2970">
        <v>4690</v>
      </c>
      <c r="I2970">
        <v>-80</v>
      </c>
      <c r="J2970">
        <v>-1.68</v>
      </c>
      <c r="K2970">
        <v>4690</v>
      </c>
      <c r="L2970">
        <v>-80</v>
      </c>
      <c r="M2970">
        <v>-1.68</v>
      </c>
      <c r="N2970">
        <v>4690</v>
      </c>
      <c r="O2970">
        <v>4690</v>
      </c>
      <c r="P2970">
        <v>742</v>
      </c>
      <c r="Q2970">
        <v>6.32</v>
      </c>
      <c r="R2970">
        <v>23</v>
      </c>
      <c r="S2970">
        <v>4641283</v>
      </c>
      <c r="T2970">
        <v>4690</v>
      </c>
      <c r="U2970">
        <v>0</v>
      </c>
      <c r="V2970">
        <v>0</v>
      </c>
      <c r="W2970">
        <v>0</v>
      </c>
      <c r="X2970" s="367"/>
    </row>
    <row r="2971" spans="1:24">
      <c r="A2971" t="s">
        <v>4611</v>
      </c>
      <c r="B2971" t="s">
        <v>4612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1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0</v>
      </c>
      <c r="P2971" t="s">
        <v>192</v>
      </c>
      <c r="Q2971" t="s">
        <v>192</v>
      </c>
      <c r="R2971">
        <v>1</v>
      </c>
      <c r="S2971">
        <v>100</v>
      </c>
      <c r="T2971">
        <v>1</v>
      </c>
      <c r="U2971">
        <v>0</v>
      </c>
      <c r="V2971">
        <v>0</v>
      </c>
      <c r="W2971">
        <v>0</v>
      </c>
      <c r="X2971" s="367"/>
    </row>
    <row r="2972" spans="1:24">
      <c r="A2972" t="s">
        <v>4613</v>
      </c>
      <c r="B2972" t="s">
        <v>4614</v>
      </c>
      <c r="C2972">
        <v>0</v>
      </c>
      <c r="D2972">
        <v>0</v>
      </c>
      <c r="E2972">
        <v>0</v>
      </c>
      <c r="F2972">
        <v>1</v>
      </c>
      <c r="G2972">
        <v>0</v>
      </c>
      <c r="H2972">
        <v>1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0</v>
      </c>
      <c r="O2972">
        <v>0</v>
      </c>
      <c r="P2972" t="s">
        <v>192</v>
      </c>
      <c r="Q2972" t="s">
        <v>192</v>
      </c>
      <c r="R2972">
        <v>1</v>
      </c>
      <c r="S2972">
        <v>100</v>
      </c>
      <c r="T2972">
        <v>1</v>
      </c>
      <c r="U2972">
        <v>0</v>
      </c>
      <c r="V2972">
        <v>0</v>
      </c>
      <c r="W2972">
        <v>0</v>
      </c>
      <c r="X2972" s="367"/>
    </row>
    <row r="2973" spans="1:24">
      <c r="A2973" t="s">
        <v>1904</v>
      </c>
      <c r="B2973" t="s">
        <v>1903</v>
      </c>
      <c r="C2973">
        <v>860</v>
      </c>
      <c r="D2973">
        <v>116485449</v>
      </c>
      <c r="E2973">
        <v>304779022412</v>
      </c>
      <c r="F2973">
        <v>2545</v>
      </c>
      <c r="G2973">
        <v>2620</v>
      </c>
      <c r="H2973">
        <v>2621</v>
      </c>
      <c r="I2973">
        <v>76</v>
      </c>
      <c r="J2973">
        <v>2.99</v>
      </c>
      <c r="K2973">
        <v>2616</v>
      </c>
      <c r="L2973">
        <v>71</v>
      </c>
      <c r="M2973">
        <v>2.79</v>
      </c>
      <c r="N2973">
        <v>2581</v>
      </c>
      <c r="O2973">
        <v>2621</v>
      </c>
      <c r="P2973">
        <v>754</v>
      </c>
      <c r="Q2973">
        <v>3.47</v>
      </c>
      <c r="R2973">
        <v>11</v>
      </c>
      <c r="S2973">
        <v>724803</v>
      </c>
      <c r="T2973">
        <v>2621</v>
      </c>
      <c r="U2973">
        <v>0</v>
      </c>
      <c r="V2973">
        <v>0</v>
      </c>
      <c r="W2973">
        <v>0</v>
      </c>
      <c r="X2973" s="367"/>
    </row>
    <row r="2974" spans="1:24">
      <c r="A2974" t="s">
        <v>4615</v>
      </c>
      <c r="B2974" t="s">
        <v>8337</v>
      </c>
      <c r="C2974">
        <v>78</v>
      </c>
      <c r="D2974">
        <v>1718</v>
      </c>
      <c r="E2974">
        <v>15432713598</v>
      </c>
      <c r="F2974">
        <v>6460</v>
      </c>
      <c r="G2974">
        <v>6530</v>
      </c>
      <c r="H2974">
        <v>6539</v>
      </c>
      <c r="I2974">
        <v>79</v>
      </c>
      <c r="J2974">
        <v>1.22</v>
      </c>
      <c r="K2974">
        <v>6552</v>
      </c>
      <c r="L2974">
        <v>92</v>
      </c>
      <c r="M2974">
        <v>1.42</v>
      </c>
      <c r="N2974">
        <v>6460</v>
      </c>
      <c r="O2974">
        <v>6650</v>
      </c>
      <c r="P2974" t="s">
        <v>192</v>
      </c>
      <c r="Q2974" t="s">
        <v>192</v>
      </c>
      <c r="R2974">
        <v>1</v>
      </c>
      <c r="S2974">
        <v>6</v>
      </c>
      <c r="T2974">
        <v>6502</v>
      </c>
      <c r="U2974">
        <v>0</v>
      </c>
      <c r="V2974">
        <v>0</v>
      </c>
      <c r="W2974">
        <v>0</v>
      </c>
      <c r="X2974" s="367"/>
    </row>
    <row r="2975" spans="1:24">
      <c r="A2975" t="s">
        <v>2725</v>
      </c>
      <c r="B2975" t="s">
        <v>2724</v>
      </c>
      <c r="C2975">
        <v>156</v>
      </c>
      <c r="D2975">
        <v>9269980</v>
      </c>
      <c r="E2975">
        <v>42363808600</v>
      </c>
      <c r="F2975">
        <v>4440</v>
      </c>
      <c r="G2975">
        <v>4570</v>
      </c>
      <c r="H2975">
        <v>4570</v>
      </c>
      <c r="I2975">
        <v>130</v>
      </c>
      <c r="J2975">
        <v>2.93</v>
      </c>
      <c r="K2975">
        <v>4570</v>
      </c>
      <c r="L2975">
        <v>130</v>
      </c>
      <c r="M2975">
        <v>2.93</v>
      </c>
      <c r="N2975">
        <v>4570</v>
      </c>
      <c r="O2975">
        <v>4570</v>
      </c>
      <c r="P2975">
        <v>722</v>
      </c>
      <c r="Q2975">
        <v>6.33</v>
      </c>
      <c r="R2975">
        <v>115</v>
      </c>
      <c r="S2975">
        <v>24236151</v>
      </c>
      <c r="T2975">
        <v>4570</v>
      </c>
      <c r="U2975">
        <v>0</v>
      </c>
      <c r="V2975">
        <v>0</v>
      </c>
      <c r="W2975">
        <v>0</v>
      </c>
      <c r="X2975" s="367"/>
    </row>
    <row r="2976" spans="1:24">
      <c r="A2976" t="s">
        <v>4617</v>
      </c>
      <c r="B2976" t="s">
        <v>4618</v>
      </c>
      <c r="C2976">
        <v>0</v>
      </c>
      <c r="D2976">
        <v>0</v>
      </c>
      <c r="E2976">
        <v>0</v>
      </c>
      <c r="F2976">
        <v>1000000</v>
      </c>
      <c r="G2976">
        <v>0</v>
      </c>
      <c r="H2976">
        <v>1000000</v>
      </c>
      <c r="I2976">
        <v>0</v>
      </c>
      <c r="J2976">
        <v>0</v>
      </c>
      <c r="K2976">
        <v>1000000</v>
      </c>
      <c r="L2976">
        <v>0</v>
      </c>
      <c r="M2976">
        <v>0</v>
      </c>
      <c r="N2976">
        <v>0</v>
      </c>
      <c r="O2976">
        <v>0</v>
      </c>
      <c r="P2976" t="s">
        <v>192</v>
      </c>
      <c r="Q2976" t="s">
        <v>192</v>
      </c>
      <c r="R2976">
        <v>1</v>
      </c>
      <c r="S2976">
        <v>5000</v>
      </c>
      <c r="T2976">
        <v>1000000</v>
      </c>
      <c r="U2976">
        <v>1010000</v>
      </c>
      <c r="V2976">
        <v>5000</v>
      </c>
      <c r="W2976">
        <v>1</v>
      </c>
      <c r="X2976" s="367"/>
    </row>
    <row r="2977" spans="1:24">
      <c r="A2977" t="s">
        <v>8249</v>
      </c>
      <c r="B2977" t="s">
        <v>8250</v>
      </c>
      <c r="C2977">
        <v>0</v>
      </c>
      <c r="D2977">
        <v>0</v>
      </c>
      <c r="E2977">
        <v>0</v>
      </c>
      <c r="F2977">
        <v>1</v>
      </c>
      <c r="G2977">
        <v>0</v>
      </c>
      <c r="H2977">
        <v>1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 t="s">
        <v>192</v>
      </c>
      <c r="Q2977" t="s">
        <v>192</v>
      </c>
      <c r="R2977">
        <v>1</v>
      </c>
      <c r="S2977">
        <v>393</v>
      </c>
      <c r="T2977">
        <v>10</v>
      </c>
      <c r="U2977">
        <v>65</v>
      </c>
      <c r="V2977">
        <v>100</v>
      </c>
      <c r="W2977">
        <v>1</v>
      </c>
      <c r="X2977" s="367"/>
    </row>
    <row r="2978" spans="1:24">
      <c r="A2978" t="s">
        <v>4619</v>
      </c>
      <c r="B2978" t="s">
        <v>4620</v>
      </c>
      <c r="C2978">
        <v>34</v>
      </c>
      <c r="D2978">
        <v>133</v>
      </c>
      <c r="E2978">
        <v>11568143000</v>
      </c>
      <c r="F2978">
        <v>83950</v>
      </c>
      <c r="G2978">
        <v>85000</v>
      </c>
      <c r="H2978">
        <v>85000</v>
      </c>
      <c r="I2978">
        <v>1050</v>
      </c>
      <c r="J2978">
        <v>1.25</v>
      </c>
      <c r="K2978">
        <v>86979</v>
      </c>
      <c r="L2978">
        <v>3029</v>
      </c>
      <c r="M2978">
        <v>3.61</v>
      </c>
      <c r="N2978">
        <v>85000</v>
      </c>
      <c r="O2978">
        <v>88000</v>
      </c>
      <c r="P2978" t="s">
        <v>192</v>
      </c>
      <c r="Q2978" t="s">
        <v>192</v>
      </c>
      <c r="R2978">
        <v>1</v>
      </c>
      <c r="S2978">
        <v>3</v>
      </c>
      <c r="T2978">
        <v>85000</v>
      </c>
      <c r="U2978">
        <v>89498</v>
      </c>
      <c r="V2978">
        <v>10</v>
      </c>
      <c r="W2978">
        <v>1</v>
      </c>
      <c r="X2978" s="367"/>
    </row>
    <row r="2979" spans="1:24">
      <c r="A2979" t="s">
        <v>4621</v>
      </c>
      <c r="B2979" t="s">
        <v>8602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 t="s">
        <v>192</v>
      </c>
      <c r="Q2979" t="s">
        <v>192</v>
      </c>
      <c r="R2979">
        <v>1</v>
      </c>
      <c r="S2979">
        <v>1</v>
      </c>
      <c r="T2979">
        <v>342</v>
      </c>
      <c r="U2979">
        <v>0</v>
      </c>
      <c r="V2979">
        <v>0</v>
      </c>
      <c r="W2979">
        <v>0</v>
      </c>
      <c r="X2979" s="367"/>
    </row>
    <row r="2980" spans="1:24">
      <c r="A2980" t="s">
        <v>4622</v>
      </c>
      <c r="B2980" t="s">
        <v>4623</v>
      </c>
      <c r="C2980">
        <v>0</v>
      </c>
      <c r="D2980">
        <v>0</v>
      </c>
      <c r="E2980">
        <v>0</v>
      </c>
      <c r="F2980">
        <v>1000000</v>
      </c>
      <c r="G2980">
        <v>0</v>
      </c>
      <c r="H2980">
        <v>1000000</v>
      </c>
      <c r="I2980">
        <v>0</v>
      </c>
      <c r="J2980">
        <v>0</v>
      </c>
      <c r="K2980">
        <v>1000000</v>
      </c>
      <c r="L2980">
        <v>0</v>
      </c>
      <c r="M2980">
        <v>0</v>
      </c>
      <c r="N2980">
        <v>0</v>
      </c>
      <c r="O2980">
        <v>0</v>
      </c>
      <c r="P2980" t="s">
        <v>192</v>
      </c>
      <c r="Q2980" t="s">
        <v>192</v>
      </c>
      <c r="R2980">
        <v>1</v>
      </c>
      <c r="S2980">
        <v>5000</v>
      </c>
      <c r="T2980">
        <v>990000</v>
      </c>
      <c r="U2980">
        <v>1000000</v>
      </c>
      <c r="V2980">
        <v>5000</v>
      </c>
      <c r="W2980">
        <v>1</v>
      </c>
      <c r="X2980" s="367"/>
    </row>
    <row r="2981" spans="1:24">
      <c r="A2981" t="s">
        <v>4624</v>
      </c>
      <c r="B2981" t="s">
        <v>4625</v>
      </c>
      <c r="C2981">
        <v>16</v>
      </c>
      <c r="D2981">
        <v>37</v>
      </c>
      <c r="E2981">
        <v>235003000</v>
      </c>
      <c r="F2981">
        <v>5967</v>
      </c>
      <c r="G2981">
        <v>6000</v>
      </c>
      <c r="H2981">
        <v>6900</v>
      </c>
      <c r="I2981">
        <v>933</v>
      </c>
      <c r="J2981">
        <v>15.64</v>
      </c>
      <c r="K2981">
        <v>6351</v>
      </c>
      <c r="L2981">
        <v>384</v>
      </c>
      <c r="M2981">
        <v>6.44</v>
      </c>
      <c r="N2981">
        <v>5693</v>
      </c>
      <c r="O2981">
        <v>6900</v>
      </c>
      <c r="P2981" t="s">
        <v>192</v>
      </c>
      <c r="Q2981" t="s">
        <v>192</v>
      </c>
      <c r="R2981">
        <v>1</v>
      </c>
      <c r="S2981">
        <v>15</v>
      </c>
      <c r="T2981">
        <v>6512</v>
      </c>
      <c r="U2981">
        <v>0</v>
      </c>
      <c r="V2981">
        <v>0</v>
      </c>
      <c r="W2981">
        <v>0</v>
      </c>
      <c r="X2981" s="367"/>
    </row>
    <row r="2982" spans="1:24">
      <c r="A2982" t="s">
        <v>2034</v>
      </c>
      <c r="B2982" t="s">
        <v>2033</v>
      </c>
      <c r="C2982">
        <v>345</v>
      </c>
      <c r="D2982">
        <v>41572982</v>
      </c>
      <c r="E2982">
        <v>68287444843</v>
      </c>
      <c r="F2982">
        <v>1596</v>
      </c>
      <c r="G2982">
        <v>1639</v>
      </c>
      <c r="H2982">
        <v>1643</v>
      </c>
      <c r="I2982">
        <v>47</v>
      </c>
      <c r="J2982">
        <v>2.94</v>
      </c>
      <c r="K2982">
        <v>1643</v>
      </c>
      <c r="L2982">
        <v>47</v>
      </c>
      <c r="M2982">
        <v>2.94</v>
      </c>
      <c r="N2982">
        <v>1630</v>
      </c>
      <c r="O2982">
        <v>1643</v>
      </c>
      <c r="P2982">
        <v>772</v>
      </c>
      <c r="Q2982">
        <v>2.13</v>
      </c>
      <c r="R2982">
        <v>24</v>
      </c>
      <c r="S2982">
        <v>3106884</v>
      </c>
      <c r="T2982">
        <v>1643</v>
      </c>
      <c r="U2982">
        <v>1691</v>
      </c>
      <c r="V2982">
        <v>1108950</v>
      </c>
      <c r="W2982">
        <v>4</v>
      </c>
      <c r="X2982" s="367"/>
    </row>
    <row r="2983" spans="1:24">
      <c r="A2983" t="s">
        <v>4626</v>
      </c>
      <c r="B2983" t="s">
        <v>4627</v>
      </c>
      <c r="C2983">
        <v>0</v>
      </c>
      <c r="D2983">
        <v>0</v>
      </c>
      <c r="E2983">
        <v>0</v>
      </c>
      <c r="F2983">
        <v>1000000</v>
      </c>
      <c r="G2983">
        <v>0</v>
      </c>
      <c r="H2983">
        <v>1000000</v>
      </c>
      <c r="I2983">
        <v>0</v>
      </c>
      <c r="J2983">
        <v>0</v>
      </c>
      <c r="K2983">
        <v>1000000</v>
      </c>
      <c r="L2983">
        <v>0</v>
      </c>
      <c r="M2983">
        <v>0</v>
      </c>
      <c r="N2983">
        <v>0</v>
      </c>
      <c r="O2983">
        <v>0</v>
      </c>
      <c r="P2983" t="s">
        <v>192</v>
      </c>
      <c r="Q2983" t="s">
        <v>192</v>
      </c>
      <c r="R2983">
        <v>1</v>
      </c>
      <c r="S2983">
        <v>5000</v>
      </c>
      <c r="T2983">
        <v>1000000</v>
      </c>
      <c r="U2983">
        <v>0</v>
      </c>
      <c r="V2983">
        <v>0</v>
      </c>
      <c r="W2983">
        <v>0</v>
      </c>
      <c r="X2983" s="367"/>
    </row>
    <row r="2984" spans="1:24">
      <c r="A2984" t="s">
        <v>8881</v>
      </c>
      <c r="B2984" t="s">
        <v>2174</v>
      </c>
      <c r="C2984">
        <v>19</v>
      </c>
      <c r="D2984">
        <v>319188</v>
      </c>
      <c r="E2984">
        <v>1618283160</v>
      </c>
      <c r="F2984">
        <v>4980</v>
      </c>
      <c r="G2984">
        <v>5070</v>
      </c>
      <c r="H2984">
        <v>5070</v>
      </c>
      <c r="I2984">
        <v>90</v>
      </c>
      <c r="J2984">
        <v>1.81</v>
      </c>
      <c r="K2984">
        <v>5070</v>
      </c>
      <c r="L2984">
        <v>90</v>
      </c>
      <c r="M2984">
        <v>1.81</v>
      </c>
      <c r="N2984">
        <v>5070</v>
      </c>
      <c r="O2984">
        <v>5070</v>
      </c>
      <c r="P2984">
        <v>739</v>
      </c>
      <c r="Q2984">
        <v>6.86</v>
      </c>
      <c r="R2984">
        <v>0</v>
      </c>
      <c r="S2984">
        <v>0</v>
      </c>
      <c r="T2984">
        <v>0</v>
      </c>
      <c r="U2984">
        <v>5070</v>
      </c>
      <c r="V2984">
        <v>25061</v>
      </c>
      <c r="W2984">
        <v>1</v>
      </c>
      <c r="X2984" s="367"/>
    </row>
    <row r="2985" spans="1:24">
      <c r="A2985" t="s">
        <v>4628</v>
      </c>
      <c r="B2985" t="s">
        <v>4629</v>
      </c>
      <c r="C2985">
        <v>0</v>
      </c>
      <c r="D2985">
        <v>0</v>
      </c>
      <c r="E2985">
        <v>0</v>
      </c>
      <c r="F2985">
        <v>1024900</v>
      </c>
      <c r="G2985">
        <v>0</v>
      </c>
      <c r="H2985">
        <v>1024900</v>
      </c>
      <c r="I2985">
        <v>0</v>
      </c>
      <c r="J2985">
        <v>0</v>
      </c>
      <c r="K2985">
        <v>1024900</v>
      </c>
      <c r="L2985">
        <v>0</v>
      </c>
      <c r="M2985">
        <v>0</v>
      </c>
      <c r="N2985">
        <v>0</v>
      </c>
      <c r="O2985">
        <v>0</v>
      </c>
      <c r="P2985" t="s">
        <v>192</v>
      </c>
      <c r="Q2985" t="s">
        <v>192</v>
      </c>
      <c r="R2985">
        <v>1</v>
      </c>
      <c r="S2985">
        <v>5000</v>
      </c>
      <c r="T2985">
        <v>1000000</v>
      </c>
      <c r="U2985">
        <v>1010000</v>
      </c>
      <c r="V2985">
        <v>5000</v>
      </c>
      <c r="W2985">
        <v>1</v>
      </c>
      <c r="X2985" s="367"/>
    </row>
    <row r="2986" spans="1:24">
      <c r="A2986" t="s">
        <v>4632</v>
      </c>
      <c r="B2986" t="s">
        <v>8452</v>
      </c>
      <c r="C2986">
        <v>28</v>
      </c>
      <c r="D2986">
        <v>297</v>
      </c>
      <c r="E2986">
        <v>2921975283</v>
      </c>
      <c r="F2986">
        <v>6323</v>
      </c>
      <c r="G2986">
        <v>6499</v>
      </c>
      <c r="H2986">
        <v>7400</v>
      </c>
      <c r="I2986">
        <v>1077</v>
      </c>
      <c r="J2986">
        <v>17.03</v>
      </c>
      <c r="K2986">
        <v>7176</v>
      </c>
      <c r="L2986">
        <v>853</v>
      </c>
      <c r="M2986">
        <v>13.49</v>
      </c>
      <c r="N2986">
        <v>6499</v>
      </c>
      <c r="O2986">
        <v>7400</v>
      </c>
      <c r="P2986" t="s">
        <v>192</v>
      </c>
      <c r="Q2986" t="s">
        <v>192</v>
      </c>
      <c r="R2986">
        <v>1</v>
      </c>
      <c r="S2986">
        <v>1</v>
      </c>
      <c r="T2986">
        <v>6499</v>
      </c>
      <c r="U2986">
        <v>8000</v>
      </c>
      <c r="V2986">
        <v>2</v>
      </c>
      <c r="W2986">
        <v>1</v>
      </c>
      <c r="X2986" s="367"/>
    </row>
    <row r="2987" spans="1:24">
      <c r="A2987" t="s">
        <v>2380</v>
      </c>
      <c r="B2987" t="s">
        <v>2379</v>
      </c>
      <c r="C2987">
        <v>60</v>
      </c>
      <c r="D2987">
        <v>201225</v>
      </c>
      <c r="E2987">
        <v>11013044250</v>
      </c>
      <c r="F2987">
        <v>53140</v>
      </c>
      <c r="G2987">
        <v>54730</v>
      </c>
      <c r="H2987">
        <v>54730</v>
      </c>
      <c r="I2987">
        <v>1590</v>
      </c>
      <c r="J2987">
        <v>2.99</v>
      </c>
      <c r="K2987">
        <v>54730</v>
      </c>
      <c r="L2987">
        <v>1590</v>
      </c>
      <c r="M2987">
        <v>2.99</v>
      </c>
      <c r="N2987">
        <v>54730</v>
      </c>
      <c r="O2987">
        <v>54730</v>
      </c>
      <c r="P2987">
        <v>12273</v>
      </c>
      <c r="Q2987">
        <v>4.46</v>
      </c>
      <c r="R2987">
        <v>631</v>
      </c>
      <c r="S2987">
        <v>13593752</v>
      </c>
      <c r="T2987">
        <v>54730</v>
      </c>
      <c r="U2987">
        <v>0</v>
      </c>
      <c r="V2987">
        <v>0</v>
      </c>
      <c r="W2987">
        <v>0</v>
      </c>
      <c r="X2987" s="367"/>
    </row>
    <row r="2988" spans="1:24">
      <c r="A2988" t="s">
        <v>4634</v>
      </c>
      <c r="B2988" t="s">
        <v>4635</v>
      </c>
      <c r="C2988">
        <v>0</v>
      </c>
      <c r="D2988">
        <v>0</v>
      </c>
      <c r="E2988">
        <v>0</v>
      </c>
      <c r="F2988">
        <v>833000</v>
      </c>
      <c r="G2988">
        <v>0</v>
      </c>
      <c r="H2988">
        <v>833000</v>
      </c>
      <c r="I2988">
        <v>0</v>
      </c>
      <c r="J2988">
        <v>0</v>
      </c>
      <c r="K2988">
        <v>833000</v>
      </c>
      <c r="L2988">
        <v>0</v>
      </c>
      <c r="M2988">
        <v>0</v>
      </c>
      <c r="N2988">
        <v>0</v>
      </c>
      <c r="O2988">
        <v>0</v>
      </c>
      <c r="P2988" t="s">
        <v>192</v>
      </c>
      <c r="Q2988" t="s">
        <v>192</v>
      </c>
      <c r="R2988">
        <v>1</v>
      </c>
      <c r="S2988">
        <v>15000</v>
      </c>
      <c r="T2988">
        <v>820000</v>
      </c>
      <c r="U2988">
        <v>828000</v>
      </c>
      <c r="V2988">
        <v>15000</v>
      </c>
      <c r="W2988">
        <v>1</v>
      </c>
      <c r="X2988" s="367"/>
    </row>
    <row r="2989" spans="1:24">
      <c r="A2989" t="s">
        <v>8549</v>
      </c>
      <c r="B2989" t="s">
        <v>8550</v>
      </c>
      <c r="C2989">
        <v>47</v>
      </c>
      <c r="D2989">
        <v>397100</v>
      </c>
      <c r="E2989">
        <v>6276199640</v>
      </c>
      <c r="F2989">
        <v>15370</v>
      </c>
      <c r="G2989">
        <v>15830</v>
      </c>
      <c r="H2989">
        <v>15830</v>
      </c>
      <c r="I2989">
        <v>460</v>
      </c>
      <c r="J2989">
        <v>2.99</v>
      </c>
      <c r="K2989">
        <v>15810</v>
      </c>
      <c r="L2989">
        <v>440</v>
      </c>
      <c r="M2989">
        <v>2.86</v>
      </c>
      <c r="N2989">
        <v>15390</v>
      </c>
      <c r="O2989">
        <v>15830</v>
      </c>
      <c r="P2989">
        <v>-458</v>
      </c>
      <c r="Q2989">
        <v>-34.520000000000003</v>
      </c>
      <c r="R2989">
        <v>1</v>
      </c>
      <c r="S2989">
        <v>21000</v>
      </c>
      <c r="T2989">
        <v>15830</v>
      </c>
      <c r="U2989">
        <v>0</v>
      </c>
      <c r="V2989">
        <v>0</v>
      </c>
      <c r="W2989">
        <v>0</v>
      </c>
      <c r="X2989" s="367"/>
    </row>
  </sheetData>
  <phoneticPr fontId="39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9650-E379-A84C-999B-4E2C3276E182}">
  <sheetPr codeName="Sheet23"/>
  <dimension ref="A1:O29"/>
  <sheetViews>
    <sheetView topLeftCell="A2" workbookViewId="0">
      <selection activeCell="P9" sqref="P9"/>
    </sheetView>
  </sheetViews>
  <sheetFormatPr baseColWidth="10" defaultColWidth="11" defaultRowHeight="16"/>
  <cols>
    <col min="2" max="2" width="7.1640625" customWidth="1"/>
    <col min="7" max="7" width="2.33203125" customWidth="1"/>
    <col min="11" max="11" width="8.6640625" customWidth="1"/>
    <col min="12" max="12" width="8.83203125" customWidth="1"/>
    <col min="13" max="15" width="7.5" customWidth="1"/>
  </cols>
  <sheetData>
    <row r="1" spans="1:15" ht="27" customHeight="1">
      <c r="C1" s="2505" t="s">
        <v>6438</v>
      </c>
      <c r="D1" s="2506"/>
      <c r="E1" s="2506"/>
      <c r="F1" s="2506"/>
      <c r="H1" s="2502" t="s">
        <v>6439</v>
      </c>
      <c r="I1" s="2503"/>
      <c r="J1" s="2503"/>
      <c r="K1" s="2503"/>
      <c r="L1" s="2503"/>
      <c r="M1" s="2503"/>
      <c r="N1" s="2504"/>
      <c r="O1" s="427"/>
    </row>
    <row r="2" spans="1:15" s="3" customFormat="1" ht="32" customHeight="1" thickBot="1">
      <c r="C2" s="1160"/>
      <c r="D2" s="1159" t="s">
        <v>6440</v>
      </c>
      <c r="E2" s="1160"/>
      <c r="F2" s="1159" t="s">
        <v>235</v>
      </c>
      <c r="H2" s="1159"/>
      <c r="I2" s="1159" t="s">
        <v>6440</v>
      </c>
      <c r="J2" s="1159"/>
      <c r="K2" s="1185" t="s">
        <v>6441</v>
      </c>
      <c r="L2" s="1159" t="s">
        <v>638</v>
      </c>
      <c r="M2" s="1159" t="s">
        <v>6442</v>
      </c>
      <c r="N2" s="1159"/>
      <c r="O2" s="1159" t="s">
        <v>235</v>
      </c>
    </row>
    <row r="3" spans="1:15" ht="24">
      <c r="A3" s="1154" t="str">
        <f>Cement!Q7</f>
        <v>سباقر</v>
      </c>
      <c r="B3" s="1155">
        <v>12</v>
      </c>
      <c r="C3" s="100">
        <v>-6.7619899991738457</v>
      </c>
      <c r="D3" s="1182">
        <v>24</v>
      </c>
      <c r="E3" s="693">
        <v>9301.6</v>
      </c>
      <c r="F3" s="1164">
        <f>RANK(C3,C$3:C$29)</f>
        <v>18</v>
      </c>
      <c r="G3" s="1161"/>
      <c r="H3" s="1158">
        <f>_xlfn.XLOOKUP($A3,Cement!$Q$7:$Q$35,Cement!A$7:A$35,"")</f>
        <v>44.669651090194165</v>
      </c>
      <c r="I3" s="1182">
        <f>_xlfn.XLOOKUP($A3,Cement!$Q$7:$Q$35,Cement!L$7:L$35,"")</f>
        <v>1</v>
      </c>
      <c r="J3" s="381">
        <f>_xlfn.XLOOKUP($A3,Cement!$Q$7:$Q$35,Cement!S$7:S$35,"")</f>
        <v>14568</v>
      </c>
      <c r="K3" s="1183">
        <f>H3-C3</f>
        <v>51.431641089368014</v>
      </c>
      <c r="L3" s="1156"/>
      <c r="M3" s="1184">
        <f t="shared" ref="M3:M29" si="0">J3-E3+L3</f>
        <v>5266.4</v>
      </c>
      <c r="N3" s="1157">
        <f>M3*100/E3</f>
        <v>56.618216220865229</v>
      </c>
      <c r="O3" s="1164">
        <f>RANK(N3,N$3:N$29)</f>
        <v>15</v>
      </c>
    </row>
    <row r="4" spans="1:15" ht="24">
      <c r="A4" s="1154" t="str">
        <f>Cement!Q8</f>
        <v>سفانو</v>
      </c>
      <c r="B4" s="1155">
        <v>6</v>
      </c>
      <c r="C4" s="100">
        <v>-2.2575944891305095</v>
      </c>
      <c r="D4" s="1182">
        <v>20</v>
      </c>
      <c r="E4" s="693">
        <v>6398.5</v>
      </c>
      <c r="F4" s="1164">
        <f t="shared" ref="F4:F29" si="1">RANK(C4,C$3:C$29)</f>
        <v>12</v>
      </c>
      <c r="G4" s="1162"/>
      <c r="H4" s="1158">
        <f>_xlfn.XLOOKUP($A4,Cement!$Q$7:$Q$35,Cement!A$7:A$35,"")</f>
        <v>36.791772247933693</v>
      </c>
      <c r="I4" s="1182">
        <f>_xlfn.XLOOKUP($A4,Cement!$Q$7:$Q$35,Cement!L$7:L$35,"")</f>
        <v>5</v>
      </c>
      <c r="J4" s="381">
        <f>_xlfn.XLOOKUP($A4,Cement!$Q$7:$Q$35,Cement!S$7:S$35,"")</f>
        <v>8528</v>
      </c>
      <c r="K4" s="1183">
        <f t="shared" ref="K4:K29" si="2">H4-C4</f>
        <v>39.049366737064204</v>
      </c>
      <c r="L4" s="1156"/>
      <c r="M4" s="1184">
        <f t="shared" si="0"/>
        <v>2129.5</v>
      </c>
      <c r="N4" s="1157">
        <f>M4*100/E4</f>
        <v>33.281237790107056</v>
      </c>
      <c r="O4" s="1164">
        <f t="shared" ref="O4:O29" si="3">RANK(N4,N$3:N$29)</f>
        <v>19</v>
      </c>
    </row>
    <row r="5" spans="1:15" ht="24">
      <c r="A5" s="1154" t="str">
        <f>Cement!Q9</f>
        <v>سبهان</v>
      </c>
      <c r="B5" s="1155">
        <v>9</v>
      </c>
      <c r="C5" s="100">
        <v>8.622817872302555</v>
      </c>
      <c r="D5" s="1182">
        <v>6</v>
      </c>
      <c r="E5" s="693">
        <v>2973.3</v>
      </c>
      <c r="F5" s="1164">
        <f t="shared" si="1"/>
        <v>5</v>
      </c>
      <c r="G5" s="1162"/>
      <c r="H5" s="1158">
        <f>_xlfn.XLOOKUP($A5,Cement!$Q$7:$Q$35,Cement!A$7:A$35,"")</f>
        <v>35.869705787560406</v>
      </c>
      <c r="I5" s="1182">
        <f>_xlfn.XLOOKUP($A5,Cement!$Q$7:$Q$35,Cement!L$7:L$35,"")</f>
        <v>4</v>
      </c>
      <c r="J5" s="381">
        <f>_xlfn.XLOOKUP($A5,Cement!$Q$7:$Q$35,Cement!S$7:S$35,"")</f>
        <v>4040.4</v>
      </c>
      <c r="K5" s="1183">
        <f t="shared" si="2"/>
        <v>27.246887915257851</v>
      </c>
      <c r="L5" s="1156">
        <v>693</v>
      </c>
      <c r="M5" s="1184">
        <f t="shared" si="0"/>
        <v>1760.1</v>
      </c>
      <c r="N5" s="1157">
        <f t="shared" ref="N5:N17" si="4">M5*100/E5</f>
        <v>59.196851982645541</v>
      </c>
      <c r="O5" s="1164">
        <f t="shared" si="3"/>
        <v>14</v>
      </c>
    </row>
    <row r="6" spans="1:15" ht="24">
      <c r="A6" s="1154" t="str">
        <f>Cement!Q10</f>
        <v>ساراب</v>
      </c>
      <c r="B6" s="1155">
        <v>12</v>
      </c>
      <c r="C6" s="100">
        <v>6.4681350012356988</v>
      </c>
      <c r="D6" s="1182">
        <v>1</v>
      </c>
      <c r="E6" s="693">
        <v>9833</v>
      </c>
      <c r="F6" s="1164">
        <f t="shared" si="1"/>
        <v>7</v>
      </c>
      <c r="G6" s="1162"/>
      <c r="H6" s="1158">
        <f>_xlfn.XLOOKUP($A6,Cement!$Q$7:$Q$35,Cement!A$7:A$35,"")</f>
        <v>36.336966923937055</v>
      </c>
      <c r="I6" s="1182">
        <f>_xlfn.XLOOKUP($A6,Cement!$Q$7:$Q$35,Cement!L$7:L$35,"")</f>
        <v>3</v>
      </c>
      <c r="J6" s="381">
        <f>_xlfn.XLOOKUP($A6,Cement!$Q$7:$Q$35,Cement!S$7:S$35,"")</f>
        <v>7705</v>
      </c>
      <c r="K6" s="1183">
        <f t="shared" si="2"/>
        <v>29.868831922701357</v>
      </c>
      <c r="L6" s="1156"/>
      <c r="M6" s="1184">
        <f t="shared" si="0"/>
        <v>-2128</v>
      </c>
      <c r="N6" s="1157">
        <f t="shared" si="4"/>
        <v>-21.641411573273672</v>
      </c>
      <c r="O6" s="1164">
        <f t="shared" si="3"/>
        <v>24</v>
      </c>
    </row>
    <row r="7" spans="1:15" ht="24">
      <c r="A7" s="1154" t="str">
        <f>Cement!Q11</f>
        <v>سقاين</v>
      </c>
      <c r="B7" s="1155">
        <v>12</v>
      </c>
      <c r="C7" s="100">
        <v>0.55669406229774987</v>
      </c>
      <c r="D7" s="1182">
        <v>17</v>
      </c>
      <c r="E7" s="693">
        <v>5870</v>
      </c>
      <c r="F7" s="1164">
        <f t="shared" si="1"/>
        <v>11</v>
      </c>
      <c r="G7" s="1162"/>
      <c r="H7" s="1158">
        <f>_xlfn.XLOOKUP($A7,Cement!$Q$7:$Q$35,Cement!A$7:A$35,"")</f>
        <v>26.677279402578577</v>
      </c>
      <c r="I7" s="1182">
        <f>_xlfn.XLOOKUP($A7,Cement!$Q$7:$Q$35,Cement!L$7:L$35,"")</f>
        <v>7</v>
      </c>
      <c r="J7" s="381">
        <f>_xlfn.XLOOKUP($A7,Cement!$Q$7:$Q$35,Cement!S$7:S$35,"")</f>
        <v>9712</v>
      </c>
      <c r="K7" s="1183">
        <f t="shared" si="2"/>
        <v>26.120585340280826</v>
      </c>
      <c r="L7" s="1156"/>
      <c r="M7" s="1184">
        <f t="shared" si="0"/>
        <v>3842</v>
      </c>
      <c r="N7" s="1157">
        <f t="shared" si="4"/>
        <v>65.451448040885865</v>
      </c>
      <c r="O7" s="1164">
        <f t="shared" si="3"/>
        <v>13</v>
      </c>
    </row>
    <row r="8" spans="1:15" ht="24">
      <c r="A8" s="1154" t="str">
        <f>Cement!Q12</f>
        <v>سرود</v>
      </c>
      <c r="B8" s="1155">
        <v>12</v>
      </c>
      <c r="C8" s="100">
        <v>14.541018176063915</v>
      </c>
      <c r="D8" s="1182">
        <v>3</v>
      </c>
      <c r="E8" s="693">
        <v>2820.14</v>
      </c>
      <c r="F8" s="1164">
        <f t="shared" si="1"/>
        <v>3</v>
      </c>
      <c r="G8" s="1162"/>
      <c r="H8" s="1158">
        <f>_xlfn.XLOOKUP($A8,Cement!$Q$7:$Q$35,Cement!A$7:A$35,"")</f>
        <v>25.396087084183005</v>
      </c>
      <c r="I8" s="1182">
        <f>_xlfn.XLOOKUP($A8,Cement!$Q$7:$Q$35,Cement!L$7:L$35,"")</f>
        <v>14</v>
      </c>
      <c r="J8" s="381">
        <f>_xlfn.XLOOKUP($A8,Cement!$Q$7:$Q$35,Cement!S$7:S$35,"")</f>
        <v>15993.698294</v>
      </c>
      <c r="K8" s="1183">
        <f t="shared" si="2"/>
        <v>10.85506890811909</v>
      </c>
      <c r="L8" s="1156"/>
      <c r="M8" s="1184">
        <f t="shared" si="0"/>
        <v>13173.558294</v>
      </c>
      <c r="N8" s="1157">
        <f t="shared" si="4"/>
        <v>467.12426666761223</v>
      </c>
      <c r="O8" s="1164">
        <f t="shared" si="3"/>
        <v>1</v>
      </c>
    </row>
    <row r="9" spans="1:15" ht="24">
      <c r="A9" s="1154" t="str">
        <f>Cement!Q13</f>
        <v>سبجنو</v>
      </c>
      <c r="B9" s="1155">
        <v>12</v>
      </c>
      <c r="C9" s="100">
        <v>-4.1094347806692513</v>
      </c>
      <c r="D9" s="1182">
        <v>23</v>
      </c>
      <c r="E9" s="693">
        <v>3227.5</v>
      </c>
      <c r="F9" s="1164">
        <f t="shared" si="1"/>
        <v>14</v>
      </c>
      <c r="G9" s="1162"/>
      <c r="H9" s="1158">
        <f>_xlfn.XLOOKUP($A9,Cement!$Q$7:$Q$35,Cement!A$7:A$35,"")</f>
        <v>24.771966889234456</v>
      </c>
      <c r="I9" s="1182">
        <f>_xlfn.XLOOKUP($A9,Cement!$Q$7:$Q$35,Cement!L$7:L$35,"")</f>
        <v>11</v>
      </c>
      <c r="J9" s="381">
        <f>_xlfn.XLOOKUP($A9,Cement!$Q$7:$Q$35,Cement!S$7:S$35,"")</f>
        <v>9838</v>
      </c>
      <c r="K9" s="1183">
        <f t="shared" si="2"/>
        <v>28.881401669903706</v>
      </c>
      <c r="L9" s="1156"/>
      <c r="M9" s="1184">
        <f t="shared" si="0"/>
        <v>6610.5</v>
      </c>
      <c r="N9" s="1157">
        <f t="shared" si="4"/>
        <v>204.81797056545312</v>
      </c>
      <c r="O9" s="1164">
        <f t="shared" si="3"/>
        <v>6</v>
      </c>
    </row>
    <row r="10" spans="1:15" ht="24">
      <c r="A10" s="1154" t="str">
        <f>Cement!Q14</f>
        <v>سخاش</v>
      </c>
      <c r="B10" s="1155">
        <v>12</v>
      </c>
      <c r="C10" s="100">
        <v>22.241600960224591</v>
      </c>
      <c r="D10" s="1182">
        <v>7</v>
      </c>
      <c r="E10" s="693">
        <v>2313</v>
      </c>
      <c r="F10" s="1164">
        <f t="shared" si="1"/>
        <v>2</v>
      </c>
      <c r="G10" s="1162"/>
      <c r="H10" s="1158">
        <f>_xlfn.XLOOKUP($A10,Cement!$Q$7:$Q$35,Cement!A$7:A$35,"")</f>
        <v>23.654691596536299</v>
      </c>
      <c r="I10" s="1182">
        <f>_xlfn.XLOOKUP($A10,Cement!$Q$7:$Q$35,Cement!L$7:L$35,"")</f>
        <v>16</v>
      </c>
      <c r="J10" s="381">
        <f>_xlfn.XLOOKUP($A10,Cement!$Q$7:$Q$35,Cement!S$7:S$35,"")</f>
        <v>6126.8</v>
      </c>
      <c r="K10" s="1183">
        <f t="shared" si="2"/>
        <v>1.4130906363117077</v>
      </c>
      <c r="L10" s="1156"/>
      <c r="M10" s="1184">
        <f t="shared" si="0"/>
        <v>3813.8</v>
      </c>
      <c r="N10" s="1157">
        <f t="shared" si="4"/>
        <v>164.88543017725897</v>
      </c>
      <c r="O10" s="1164">
        <f t="shared" si="3"/>
        <v>10</v>
      </c>
    </row>
    <row r="11" spans="1:15" ht="24">
      <c r="A11" s="1154" t="str">
        <f>Cement!Q15</f>
        <v>ساروم</v>
      </c>
      <c r="B11" s="1155">
        <v>10</v>
      </c>
      <c r="C11" s="100">
        <v>33.598834919050347</v>
      </c>
      <c r="D11" s="1182">
        <v>8</v>
      </c>
      <c r="E11" s="693">
        <v>6195</v>
      </c>
      <c r="F11" s="1164">
        <f t="shared" si="1"/>
        <v>1</v>
      </c>
      <c r="G11" s="1162"/>
      <c r="H11" s="1158">
        <f>_xlfn.XLOOKUP($A11,Cement!$Q$7:$Q$35,Cement!A$7:A$35,"")</f>
        <v>21.208110025072855</v>
      </c>
      <c r="I11" s="1182">
        <f>_xlfn.XLOOKUP($A11,Cement!$Q$7:$Q$35,Cement!L$7:L$35,"")</f>
        <v>9</v>
      </c>
      <c r="J11" s="381">
        <f>_xlfn.XLOOKUP($A11,Cement!$Q$7:$Q$35,Cement!S$7:S$35,"")</f>
        <v>20530</v>
      </c>
      <c r="K11" s="1183">
        <f t="shared" si="2"/>
        <v>-12.390724893977492</v>
      </c>
      <c r="L11" s="1156"/>
      <c r="M11" s="1184">
        <f t="shared" si="0"/>
        <v>14335</v>
      </c>
      <c r="N11" s="1157">
        <f t="shared" si="4"/>
        <v>231.39628732849073</v>
      </c>
      <c r="O11" s="1164">
        <f t="shared" si="3"/>
        <v>5</v>
      </c>
    </row>
    <row r="12" spans="1:15" ht="24">
      <c r="A12" s="1154" t="str">
        <f>Cement!Q16</f>
        <v>سجام</v>
      </c>
      <c r="B12" s="1155">
        <v>12</v>
      </c>
      <c r="C12" s="100">
        <v>-4.5487542472914058</v>
      </c>
      <c r="D12" s="1182">
        <v>14</v>
      </c>
      <c r="E12" s="693">
        <v>9402.7999999999993</v>
      </c>
      <c r="F12" s="1164">
        <f t="shared" si="1"/>
        <v>15</v>
      </c>
      <c r="G12" s="1162"/>
      <c r="H12" s="1158">
        <f>_xlfn.XLOOKUP($A12,Cement!$Q$7:$Q$35,Cement!A$7:A$35,"")</f>
        <v>21.545827737635289</v>
      </c>
      <c r="I12" s="1182">
        <f>_xlfn.XLOOKUP($A12,Cement!$Q$7:$Q$35,Cement!L$7:L$35,"")</f>
        <v>2</v>
      </c>
      <c r="J12" s="381">
        <f>_xlfn.XLOOKUP($A12,Cement!$Q$7:$Q$35,Cement!S$7:S$35,"")</f>
        <v>8820</v>
      </c>
      <c r="K12" s="1183">
        <f t="shared" si="2"/>
        <v>26.094581984926695</v>
      </c>
      <c r="L12" s="1156"/>
      <c r="M12" s="1184">
        <f t="shared" si="0"/>
        <v>-582.79999999999927</v>
      </c>
      <c r="N12" s="1157">
        <f t="shared" si="4"/>
        <v>-6.1981537414387136</v>
      </c>
      <c r="O12" s="1164">
        <f t="shared" si="3"/>
        <v>22</v>
      </c>
    </row>
    <row r="13" spans="1:15" ht="24">
      <c r="A13" s="1154" t="str">
        <f>Cement!Q17</f>
        <v>ساروج</v>
      </c>
      <c r="B13" s="1155">
        <v>12</v>
      </c>
      <c r="C13" s="100">
        <v>6.3083862934262163</v>
      </c>
      <c r="D13" s="1182">
        <v>5</v>
      </c>
      <c r="E13" s="693">
        <v>5676.8</v>
      </c>
      <c r="F13" s="1164">
        <f t="shared" si="1"/>
        <v>8</v>
      </c>
      <c r="G13" s="1162"/>
      <c r="H13" s="1158">
        <f>_xlfn.XLOOKUP($A13,Cement!$Q$7:$Q$35,Cement!A$7:A$35,"")</f>
        <v>21.12491215339011</v>
      </c>
      <c r="I13" s="1182">
        <f>_xlfn.XLOOKUP($A13,Cement!$Q$7:$Q$35,Cement!L$7:L$35,"")</f>
        <v>5</v>
      </c>
      <c r="J13" s="381">
        <f>_xlfn.XLOOKUP($A13,Cement!$Q$7:$Q$35,Cement!S$7:S$35,"")</f>
        <v>7663.46</v>
      </c>
      <c r="K13" s="1183">
        <f t="shared" si="2"/>
        <v>14.816525859963892</v>
      </c>
      <c r="L13" s="1156"/>
      <c r="M13" s="1184">
        <f t="shared" si="0"/>
        <v>1986.6599999999999</v>
      </c>
      <c r="N13" s="1157">
        <f t="shared" si="4"/>
        <v>34.996124577226603</v>
      </c>
      <c r="O13" s="1164">
        <f t="shared" si="3"/>
        <v>18</v>
      </c>
    </row>
    <row r="14" spans="1:15" ht="24">
      <c r="A14" s="1154" t="str">
        <f>Cement!Q18</f>
        <v>سهگمت</v>
      </c>
      <c r="B14" s="1155">
        <v>6</v>
      </c>
      <c r="C14" s="100">
        <v>5.3482628904193126</v>
      </c>
      <c r="D14" s="1182">
        <v>10</v>
      </c>
      <c r="E14" s="693">
        <v>5664</v>
      </c>
      <c r="F14" s="1164">
        <f t="shared" si="1"/>
        <v>9</v>
      </c>
      <c r="G14" s="1162"/>
      <c r="H14" s="1158">
        <f>_xlfn.XLOOKUP($A14,Cement!$Q$7:$Q$35,Cement!A$7:A$35,"")</f>
        <v>16.477230296443544</v>
      </c>
      <c r="I14" s="1182">
        <f>_xlfn.XLOOKUP($A14,Cement!$Q$7:$Q$35,Cement!L$7:L$35,"")</f>
        <v>8</v>
      </c>
      <c r="J14" s="381">
        <f>_xlfn.XLOOKUP($A14,Cement!$Q$7:$Q$35,Cement!S$7:S$35,"")</f>
        <v>9889.6667300000008</v>
      </c>
      <c r="K14" s="1183">
        <f t="shared" si="2"/>
        <v>11.128967406024231</v>
      </c>
      <c r="L14" s="1156"/>
      <c r="M14" s="1184">
        <f t="shared" si="0"/>
        <v>4225.6667300000008</v>
      </c>
      <c r="N14" s="1157">
        <f t="shared" si="4"/>
        <v>74.605697916666685</v>
      </c>
      <c r="O14" s="1164">
        <f t="shared" si="3"/>
        <v>12</v>
      </c>
    </row>
    <row r="15" spans="1:15" ht="24">
      <c r="A15" s="1154" t="str">
        <f>Cement!Q19</f>
        <v>سصوفي</v>
      </c>
      <c r="B15" s="1155">
        <v>9</v>
      </c>
      <c r="C15" s="100">
        <v>7.0687791877845321</v>
      </c>
      <c r="D15" s="1182">
        <v>2</v>
      </c>
      <c r="E15" s="693">
        <v>5034.8599999999997</v>
      </c>
      <c r="F15" s="1164">
        <f t="shared" si="1"/>
        <v>6</v>
      </c>
      <c r="G15" s="1162"/>
      <c r="H15" s="1158">
        <f>_xlfn.XLOOKUP($A15,Cement!$Q$7:$Q$35,Cement!A$7:A$35,"")</f>
        <v>15.202117459117378</v>
      </c>
      <c r="I15" s="1182">
        <f>_xlfn.XLOOKUP($A15,Cement!$Q$7:$Q$35,Cement!L$7:L$35,"")</f>
        <v>15</v>
      </c>
      <c r="J15" s="381">
        <f>_xlfn.XLOOKUP($A15,Cement!$Q$7:$Q$35,Cement!S$7:S$35,"")</f>
        <v>18403</v>
      </c>
      <c r="K15" s="1183">
        <f t="shared" si="2"/>
        <v>8.1333382713328461</v>
      </c>
      <c r="L15" s="1156">
        <v>1233</v>
      </c>
      <c r="M15" s="1184">
        <f t="shared" si="0"/>
        <v>14601.14</v>
      </c>
      <c r="N15" s="1157">
        <f t="shared" si="4"/>
        <v>290.00091363017049</v>
      </c>
      <c r="O15" s="1164">
        <f t="shared" si="3"/>
        <v>3</v>
      </c>
    </row>
    <row r="16" spans="1:15" ht="24">
      <c r="A16" s="1154" t="str">
        <f>Cement!Q20</f>
        <v>سمتاز</v>
      </c>
      <c r="B16" s="1155">
        <v>12</v>
      </c>
      <c r="C16" s="100">
        <v>-4.8631584290823708</v>
      </c>
      <c r="D16" s="1182">
        <v>12</v>
      </c>
      <c r="E16" s="693">
        <v>11301.678</v>
      </c>
      <c r="F16" s="1164">
        <f t="shared" si="1"/>
        <v>16</v>
      </c>
      <c r="G16" s="1162"/>
      <c r="H16" s="1158">
        <f>_xlfn.XLOOKUP($A16,Cement!$Q$7:$Q$35,Cement!A$7:A$35,"")</f>
        <v>14.841666562736975</v>
      </c>
      <c r="I16" s="1182">
        <f>_xlfn.XLOOKUP($A16,Cement!$Q$7:$Q$35,Cement!L$7:L$35,"")</f>
        <v>12</v>
      </c>
      <c r="J16" s="381">
        <f>_xlfn.XLOOKUP($A16,Cement!$Q$7:$Q$35,Cement!S$7:S$35,"")</f>
        <v>11280</v>
      </c>
      <c r="K16" s="1183">
        <f t="shared" si="2"/>
        <v>19.704824991819347</v>
      </c>
      <c r="L16" s="1156"/>
      <c r="M16" s="1184">
        <f t="shared" si="0"/>
        <v>-21.677999999999884</v>
      </c>
      <c r="N16" s="1157">
        <f t="shared" si="4"/>
        <v>-0.19181222469795975</v>
      </c>
      <c r="O16" s="1164">
        <f t="shared" si="3"/>
        <v>21</v>
      </c>
    </row>
    <row r="17" spans="1:15" ht="24">
      <c r="A17" s="1154" t="str">
        <f>Cement!Q21</f>
        <v>سكرما</v>
      </c>
      <c r="B17" s="1155">
        <v>12</v>
      </c>
      <c r="C17" s="100">
        <v>-22.405590254704066</v>
      </c>
      <c r="D17" s="1182">
        <v>26</v>
      </c>
      <c r="E17" s="693">
        <v>7264.5</v>
      </c>
      <c r="F17" s="1164">
        <f t="shared" si="1"/>
        <v>26</v>
      </c>
      <c r="G17" s="1162"/>
      <c r="H17" s="1158">
        <f>_xlfn.XLOOKUP($A17,Cement!$Q$7:$Q$35,Cement!A$7:A$35,"")</f>
        <v>14.380222800984832</v>
      </c>
      <c r="I17" s="1182">
        <f>_xlfn.XLOOKUP($A17,Cement!$Q$7:$Q$35,Cement!L$7:L$35,"")</f>
        <v>10</v>
      </c>
      <c r="J17" s="381">
        <f>_xlfn.XLOOKUP($A17,Cement!$Q$7:$Q$35,Cement!S$7:S$35,"")</f>
        <v>10186.5</v>
      </c>
      <c r="K17" s="1183">
        <f t="shared" si="2"/>
        <v>36.785813055688898</v>
      </c>
      <c r="L17" s="1156"/>
      <c r="M17" s="1184">
        <f t="shared" si="0"/>
        <v>2922</v>
      </c>
      <c r="N17" s="1157">
        <f t="shared" si="4"/>
        <v>40.22300227131943</v>
      </c>
      <c r="O17" s="1164">
        <f t="shared" si="3"/>
        <v>17</v>
      </c>
    </row>
    <row r="18" spans="1:15" ht="24">
      <c r="A18" s="1154" t="str">
        <f>Cement!Q22</f>
        <v>ساوه</v>
      </c>
      <c r="B18" s="1155">
        <v>12</v>
      </c>
      <c r="C18" s="100">
        <v>-5.8594016871850867</v>
      </c>
      <c r="D18" s="1182">
        <v>18</v>
      </c>
      <c r="E18" s="693">
        <v>11939.904</v>
      </c>
      <c r="F18" s="1164">
        <f t="shared" si="1"/>
        <v>17</v>
      </c>
      <c r="G18" s="1162"/>
      <c r="H18" s="1158">
        <f>_xlfn.XLOOKUP($A18,Cement!$Q$7:$Q$35,Cement!A$7:A$35,"")</f>
        <v>9.2730653097207458</v>
      </c>
      <c r="I18" s="1182">
        <f>_xlfn.XLOOKUP($A18,Cement!$Q$7:$Q$35,Cement!L$7:L$35,"")</f>
        <v>24</v>
      </c>
      <c r="J18" s="381">
        <f>_xlfn.XLOOKUP($A18,Cement!$Q$7:$Q$35,Cement!S$7:S$35,"")</f>
        <v>17782.426080000001</v>
      </c>
      <c r="K18" s="1183">
        <f t="shared" si="2"/>
        <v>15.132466996905833</v>
      </c>
      <c r="L18" s="1156"/>
      <c r="M18" s="1184">
        <f t="shared" si="0"/>
        <v>5842.5220800000006</v>
      </c>
      <c r="N18" s="1157">
        <f>M18*100/E18</f>
        <v>48.932739157701775</v>
      </c>
      <c r="O18" s="1164">
        <f t="shared" si="3"/>
        <v>16</v>
      </c>
    </row>
    <row r="19" spans="1:15" ht="24">
      <c r="A19" s="1154" t="str">
        <f>Cement!Q23</f>
        <v>سمازن</v>
      </c>
      <c r="B19" s="1155">
        <v>8</v>
      </c>
      <c r="C19" s="100">
        <v>2.6691575349340617</v>
      </c>
      <c r="D19" s="1182">
        <v>11</v>
      </c>
      <c r="E19" s="693">
        <v>7298.093046</v>
      </c>
      <c r="F19" s="1164">
        <f t="shared" si="1"/>
        <v>10</v>
      </c>
      <c r="G19" s="1162"/>
      <c r="H19" s="1158">
        <f>_xlfn.XLOOKUP($A19,Cement!$Q$7:$Q$35,Cement!A$7:A$35,"")</f>
        <v>8.9839762773261249</v>
      </c>
      <c r="I19" s="1182">
        <f>_xlfn.XLOOKUP($A19,Cement!$Q$7:$Q$35,Cement!L$7:L$35,"")</f>
        <v>13</v>
      </c>
      <c r="J19" s="381">
        <f>_xlfn.XLOOKUP($A19,Cement!$Q$7:$Q$35,Cement!S$7:S$35,"")</f>
        <v>18635.562000000002</v>
      </c>
      <c r="K19" s="1183">
        <f t="shared" si="2"/>
        <v>6.3148187423920632</v>
      </c>
      <c r="L19" s="1156">
        <v>1395</v>
      </c>
      <c r="M19" s="1184">
        <f t="shared" si="0"/>
        <v>12732.468954000002</v>
      </c>
      <c r="N19" s="1157">
        <f>M19*100/E19</f>
        <v>174.46295729236448</v>
      </c>
      <c r="O19" s="1164">
        <f t="shared" si="3"/>
        <v>9</v>
      </c>
    </row>
    <row r="20" spans="1:15" ht="24">
      <c r="A20" s="1154" t="str">
        <f>Cement!Q24</f>
        <v>اردستان</v>
      </c>
      <c r="B20" s="1155">
        <v>12</v>
      </c>
      <c r="C20" s="100">
        <v>-41.674033433766333</v>
      </c>
      <c r="D20" s="1182">
        <v>27</v>
      </c>
      <c r="E20" s="693">
        <v>4709</v>
      </c>
      <c r="F20" s="1164">
        <f t="shared" si="1"/>
        <v>27</v>
      </c>
      <c r="G20" s="1162"/>
      <c r="H20" s="1158">
        <f>_xlfn.XLOOKUP($A20,Cement!$Q$7:$Q$35,Cement!A$7:A$35,"")</f>
        <v>4.272015472959688</v>
      </c>
      <c r="I20" s="1182">
        <f>_xlfn.XLOOKUP($A20,Cement!$Q$7:$Q$35,Cement!L$7:L$35,"")</f>
        <v>19</v>
      </c>
      <c r="J20" s="381">
        <f>_xlfn.XLOOKUP($A20,Cement!$Q$7:$Q$35,Cement!S$7:S$35,"")</f>
        <v>6010.96</v>
      </c>
      <c r="K20" s="1183">
        <f t="shared" si="2"/>
        <v>45.94604890672602</v>
      </c>
      <c r="L20" s="1156"/>
      <c r="M20" s="1184">
        <f t="shared" si="0"/>
        <v>1301.96</v>
      </c>
      <c r="N20" s="1157">
        <f t="shared" ref="N20:N29" si="5">M20*100/E20</f>
        <v>27.648332979401147</v>
      </c>
      <c r="O20" s="1164">
        <f t="shared" si="3"/>
        <v>20</v>
      </c>
    </row>
    <row r="21" spans="1:15" ht="24">
      <c r="A21" s="1154" t="str">
        <f>Cement!Q25</f>
        <v>سخزر</v>
      </c>
      <c r="B21" s="1155">
        <v>12</v>
      </c>
      <c r="C21" s="100">
        <v>-3.3061020984634055</v>
      </c>
      <c r="D21" s="1182">
        <v>8</v>
      </c>
      <c r="E21" s="693">
        <v>15153.719616</v>
      </c>
      <c r="F21" s="1164">
        <f t="shared" si="1"/>
        <v>13</v>
      </c>
      <c r="G21" s="1162"/>
      <c r="H21" s="1158">
        <f>_xlfn.XLOOKUP($A21,Cement!$Q$7:$Q$35,Cement!A$7:A$35,"")</f>
        <v>0.28480263281042628</v>
      </c>
      <c r="I21" s="1182">
        <f>_xlfn.XLOOKUP($A21,Cement!$Q$7:$Q$35,Cement!L$7:L$35,"")</f>
        <v>25</v>
      </c>
      <c r="J21" s="381">
        <f>_xlfn.XLOOKUP($A21,Cement!$Q$7:$Q$35,Cement!S$7:S$35,"")</f>
        <v>5142.8999999999996</v>
      </c>
      <c r="K21" s="1183">
        <f t="shared" si="2"/>
        <v>3.5909047312738318</v>
      </c>
      <c r="L21" s="1156"/>
      <c r="M21" s="1184">
        <f t="shared" si="0"/>
        <v>-10010.819616000001</v>
      </c>
      <c r="N21" s="1157">
        <f t="shared" si="5"/>
        <v>-66.061797827050412</v>
      </c>
      <c r="O21" s="1164">
        <f t="shared" si="3"/>
        <v>26</v>
      </c>
    </row>
    <row r="22" spans="1:15" ht="24">
      <c r="A22" s="1154" t="str">
        <f>Cement!Q26</f>
        <v>سغرب</v>
      </c>
      <c r="B22" s="1155">
        <v>12</v>
      </c>
      <c r="C22" s="100">
        <v>-12.287749670290413</v>
      </c>
      <c r="D22" s="1182">
        <v>13</v>
      </c>
      <c r="E22" s="693">
        <v>15710.929008999999</v>
      </c>
      <c r="F22" s="1164">
        <f t="shared" si="1"/>
        <v>22</v>
      </c>
      <c r="G22" s="1162"/>
      <c r="H22" s="1158">
        <f>_xlfn.XLOOKUP($A22,Cement!$Q$7:$Q$35,Cement!A$7:A$35,"")</f>
        <v>-0.73633515948652661</v>
      </c>
      <c r="I22" s="1182">
        <f>_xlfn.XLOOKUP($A22,Cement!$Q$7:$Q$35,Cement!L$7:L$35,"")</f>
        <v>22</v>
      </c>
      <c r="J22" s="381">
        <f>_xlfn.XLOOKUP($A22,Cement!$Q$7:$Q$35,Cement!S$7:S$35,"")</f>
        <v>4452.2</v>
      </c>
      <c r="K22" s="1183">
        <f t="shared" si="2"/>
        <v>11.551414510803887</v>
      </c>
      <c r="L22" s="1156"/>
      <c r="M22" s="1184">
        <f t="shared" si="0"/>
        <v>-11258.729008999999</v>
      </c>
      <c r="N22" s="1157">
        <f t="shared" si="5"/>
        <v>-71.661764893409156</v>
      </c>
      <c r="O22" s="1164">
        <f t="shared" si="3"/>
        <v>27</v>
      </c>
    </row>
    <row r="23" spans="1:15" ht="24">
      <c r="A23" s="1154" t="str">
        <f>Cement!Q27</f>
        <v>سآبيك</v>
      </c>
      <c r="B23" s="1155">
        <v>12</v>
      </c>
      <c r="C23" s="100">
        <v>-8.2076692972745917</v>
      </c>
      <c r="D23" s="1182">
        <v>16</v>
      </c>
      <c r="E23" s="693">
        <v>5300</v>
      </c>
      <c r="F23" s="1164">
        <f t="shared" si="1"/>
        <v>20</v>
      </c>
      <c r="G23" s="1162"/>
      <c r="H23" s="1158">
        <f>_xlfn.XLOOKUP($A23,Cement!$Q$7:$Q$35,Cement!A$7:A$35,"")</f>
        <v>-0.3801749626398081</v>
      </c>
      <c r="I23" s="1182">
        <f>_xlfn.XLOOKUP($A23,Cement!$Q$7:$Q$35,Cement!L$7:L$35,"")</f>
        <v>16</v>
      </c>
      <c r="J23" s="381">
        <f>_xlfn.XLOOKUP($A23,Cement!$Q$7:$Q$35,Cement!S$7:S$35,"")</f>
        <v>20383.665288</v>
      </c>
      <c r="K23" s="1183">
        <f t="shared" si="2"/>
        <v>7.8274943346347836</v>
      </c>
      <c r="L23" s="1156"/>
      <c r="M23" s="1184">
        <f t="shared" si="0"/>
        <v>15083.665288</v>
      </c>
      <c r="N23" s="1157">
        <f t="shared" si="5"/>
        <v>284.59745826415093</v>
      </c>
      <c r="O23" s="1164">
        <f t="shared" si="3"/>
        <v>4</v>
      </c>
    </row>
    <row r="24" spans="1:15" ht="24">
      <c r="A24" s="1154" t="str">
        <f>Cement!Q28</f>
        <v>سهرمز</v>
      </c>
      <c r="B24" s="1155">
        <v>12</v>
      </c>
      <c r="C24" s="100">
        <v>-8.0182371956244047</v>
      </c>
      <c r="D24" s="1182">
        <v>15</v>
      </c>
      <c r="E24" s="693">
        <v>5003.46</v>
      </c>
      <c r="F24" s="1164">
        <f t="shared" si="1"/>
        <v>19</v>
      </c>
      <c r="G24" s="1162"/>
      <c r="H24" s="1158">
        <f>_xlfn.XLOOKUP($A24,Cement!$Q$7:$Q$35,Cement!A$7:A$35,"")</f>
        <v>-2.4994308049222735</v>
      </c>
      <c r="I24" s="1182">
        <f>_xlfn.XLOOKUP($A24,Cement!$Q$7:$Q$35,Cement!L$7:L$35,"")</f>
        <v>19</v>
      </c>
      <c r="J24" s="381">
        <f>_xlfn.XLOOKUP($A24,Cement!$Q$7:$Q$35,Cement!S$7:S$35,"")</f>
        <v>14227.2</v>
      </c>
      <c r="K24" s="1183">
        <f t="shared" si="2"/>
        <v>5.5188063907021316</v>
      </c>
      <c r="L24" s="1156"/>
      <c r="M24" s="1184">
        <f t="shared" si="0"/>
        <v>9223.7400000000016</v>
      </c>
      <c r="N24" s="1157">
        <f t="shared" si="5"/>
        <v>184.34723171565278</v>
      </c>
      <c r="O24" s="1164">
        <f t="shared" si="3"/>
        <v>7</v>
      </c>
    </row>
    <row r="25" spans="1:15" ht="24">
      <c r="A25" s="1154" t="str">
        <f>Cement!Q29</f>
        <v>سشرق</v>
      </c>
      <c r="B25" s="1155">
        <v>9</v>
      </c>
      <c r="C25" s="100">
        <v>-15.518846014377939</v>
      </c>
      <c r="D25" s="1182">
        <v>20</v>
      </c>
      <c r="E25" s="693">
        <v>15759</v>
      </c>
      <c r="F25" s="1164">
        <f t="shared" si="1"/>
        <v>23</v>
      </c>
      <c r="G25" s="1162"/>
      <c r="H25" s="1158">
        <f>_xlfn.XLOOKUP($A25,Cement!$Q$7:$Q$35,Cement!A$7:A$35,"")</f>
        <v>-5.0680802798950131</v>
      </c>
      <c r="I25" s="1182">
        <f>_xlfn.XLOOKUP($A25,Cement!$Q$7:$Q$35,Cement!L$7:L$35,"")</f>
        <v>22</v>
      </c>
      <c r="J25" s="381">
        <f>_xlfn.XLOOKUP($A25,Cement!$Q$7:$Q$35,Cement!S$7:S$35,"")</f>
        <v>12226.4</v>
      </c>
      <c r="K25" s="1183">
        <f t="shared" si="2"/>
        <v>10.450765734482925</v>
      </c>
      <c r="L25" s="1156">
        <v>566</v>
      </c>
      <c r="M25" s="1184">
        <f t="shared" si="0"/>
        <v>-2966.6000000000004</v>
      </c>
      <c r="N25" s="1157">
        <f t="shared" si="5"/>
        <v>-18.824798527825372</v>
      </c>
      <c r="O25" s="1164">
        <f t="shared" si="3"/>
        <v>23</v>
      </c>
    </row>
    <row r="26" spans="1:15" ht="24">
      <c r="A26" s="1154" t="str">
        <f>Cement!Q30</f>
        <v>سشمال</v>
      </c>
      <c r="B26" s="1155">
        <v>12</v>
      </c>
      <c r="C26" s="100">
        <v>10.719455352417702</v>
      </c>
      <c r="D26" s="1182">
        <v>3</v>
      </c>
      <c r="E26" s="693">
        <v>2864.55</v>
      </c>
      <c r="F26" s="1164">
        <f t="shared" si="1"/>
        <v>4</v>
      </c>
      <c r="G26" s="1162"/>
      <c r="H26" s="1158">
        <f>_xlfn.XLOOKUP($A26,Cement!$Q$7:$Q$35,Cement!A$7:A$35,"")</f>
        <v>-5.1465409578434347</v>
      </c>
      <c r="I26" s="1182">
        <f>_xlfn.XLOOKUP($A26,Cement!$Q$7:$Q$35,Cement!L$7:L$35,"")</f>
        <v>21</v>
      </c>
      <c r="J26" s="381">
        <f>_xlfn.XLOOKUP($A26,Cement!$Q$7:$Q$35,Cement!S$7:S$35,"")</f>
        <v>7305</v>
      </c>
      <c r="K26" s="1183">
        <f t="shared" si="2"/>
        <v>-15.865996310261137</v>
      </c>
      <c r="L26" s="1156"/>
      <c r="M26" s="1184">
        <f t="shared" si="0"/>
        <v>4440.45</v>
      </c>
      <c r="N26" s="1157">
        <f t="shared" si="5"/>
        <v>155.01387652510866</v>
      </c>
      <c r="O26" s="1164">
        <f t="shared" si="3"/>
        <v>11</v>
      </c>
    </row>
    <row r="27" spans="1:15" ht="24">
      <c r="A27" s="1154" t="str">
        <f>Cement!Q31</f>
        <v>سكرد</v>
      </c>
      <c r="B27" s="1155">
        <v>9</v>
      </c>
      <c r="C27" s="100">
        <v>-16.898182278589825</v>
      </c>
      <c r="D27" s="1182">
        <v>18</v>
      </c>
      <c r="E27" s="693">
        <v>8411.0400000000009</v>
      </c>
      <c r="F27" s="1164">
        <f t="shared" si="1"/>
        <v>24</v>
      </c>
      <c r="G27" s="1162"/>
      <c r="H27" s="1158">
        <f>_xlfn.XLOOKUP($A27,Cement!$Q$7:$Q$35,Cement!A$7:A$35,"")</f>
        <v>-6.5171615294243201</v>
      </c>
      <c r="I27" s="1182">
        <f>_xlfn.XLOOKUP($A27,Cement!$Q$7:$Q$35,Cement!L$7:L$35,"")</f>
        <v>26</v>
      </c>
      <c r="J27" s="381">
        <f>_xlfn.XLOOKUP($A27,Cement!$Q$7:$Q$35,Cement!S$7:S$35,"")</f>
        <v>4016.5</v>
      </c>
      <c r="K27" s="1183">
        <f t="shared" si="2"/>
        <v>10.381020749165504</v>
      </c>
      <c r="L27" s="1156">
        <v>932</v>
      </c>
      <c r="M27" s="1184">
        <f t="shared" si="0"/>
        <v>-3462.5400000000009</v>
      </c>
      <c r="N27" s="1157">
        <f t="shared" si="5"/>
        <v>-41.166609598812997</v>
      </c>
      <c r="O27" s="1164">
        <f t="shared" si="3"/>
        <v>25</v>
      </c>
    </row>
    <row r="28" spans="1:15" ht="24">
      <c r="A28" s="1154" t="str">
        <f>Cement!Q32</f>
        <v>ساربيل</v>
      </c>
      <c r="B28" s="1155">
        <v>9</v>
      </c>
      <c r="C28" s="100">
        <v>-20.889410884229168</v>
      </c>
      <c r="D28" s="1182">
        <v>25</v>
      </c>
      <c r="E28" s="693">
        <v>4506</v>
      </c>
      <c r="F28" s="1164">
        <f t="shared" si="1"/>
        <v>25</v>
      </c>
      <c r="G28" s="1162"/>
      <c r="H28" s="1158">
        <f>_xlfn.XLOOKUP($A28,Cement!$Q$7:$Q$35,Cement!A$7:A$35,"")</f>
        <v>-12.195856599294064</v>
      </c>
      <c r="I28" s="1182">
        <f>_xlfn.XLOOKUP($A28,Cement!$Q$7:$Q$35,Cement!L$7:L$35,"")</f>
        <v>18</v>
      </c>
      <c r="J28" s="381">
        <f>_xlfn.XLOOKUP($A28,Cement!$Q$7:$Q$35,Cement!S$7:S$35,"")</f>
        <v>12045.6</v>
      </c>
      <c r="K28" s="1183">
        <f t="shared" si="2"/>
        <v>8.6935542849351037</v>
      </c>
      <c r="L28" s="1156">
        <v>691</v>
      </c>
      <c r="M28" s="1184">
        <f t="shared" si="0"/>
        <v>8230.6</v>
      </c>
      <c r="N28" s="1157">
        <f t="shared" si="5"/>
        <v>182.65867731913005</v>
      </c>
      <c r="O28" s="1164">
        <f t="shared" si="3"/>
        <v>8</v>
      </c>
    </row>
    <row r="29" spans="1:15" ht="25" thickBot="1">
      <c r="A29" s="1154" t="str">
        <f>Cement!Q35</f>
        <v>سخوز</v>
      </c>
      <c r="B29" s="1155">
        <v>12</v>
      </c>
      <c r="C29" s="100">
        <v>-8.9917725003047231</v>
      </c>
      <c r="D29" s="1182">
        <v>22</v>
      </c>
      <c r="E29" s="693">
        <v>2091.6</v>
      </c>
      <c r="F29" s="1164">
        <f t="shared" si="1"/>
        <v>21</v>
      </c>
      <c r="G29" s="1163"/>
      <c r="H29" s="1158">
        <f>_xlfn.XLOOKUP($A29,Cement!$Q$7:$Q$35,Cement!A$7:A$35,"")</f>
        <v>-29.487824380399573</v>
      </c>
      <c r="I29" s="1182">
        <f>_xlfn.XLOOKUP($A29,Cement!$Q$7:$Q$35,Cement!L$7:L$35,"")</f>
        <v>28</v>
      </c>
      <c r="J29" s="381">
        <f>_xlfn.XLOOKUP($A29,Cement!$Q$7:$Q$35,Cement!S$7:S$35,"")</f>
        <v>10327.799999999999</v>
      </c>
      <c r="K29" s="1183">
        <f t="shared" si="2"/>
        <v>-20.49605188009485</v>
      </c>
      <c r="L29" s="1156"/>
      <c r="M29" s="1184">
        <f t="shared" si="0"/>
        <v>8236.1999999999989</v>
      </c>
      <c r="N29" s="1157">
        <f t="shared" si="5"/>
        <v>393.77510040160638</v>
      </c>
      <c r="O29" s="1164">
        <f t="shared" si="3"/>
        <v>2</v>
      </c>
    </row>
  </sheetData>
  <mergeCells count="2">
    <mergeCell ref="H1:N1"/>
    <mergeCell ref="C1:F1"/>
  </mergeCells>
  <phoneticPr fontId="39" type="noConversion"/>
  <conditionalFormatting sqref="A3:O29">
    <cfRule type="expression" dxfId="0" priority="1">
      <formula>ROW()=EVEN(ROW())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A1F0-42ED-6946-9BC7-6E39444928AA}">
  <sheetPr codeName="Sheet21"/>
  <dimension ref="A1:E3084"/>
  <sheetViews>
    <sheetView topLeftCell="A2870" workbookViewId="0">
      <selection activeCell="B2885" sqref="B2885:C2885"/>
    </sheetView>
  </sheetViews>
  <sheetFormatPr baseColWidth="10" defaultColWidth="11" defaultRowHeight="16"/>
  <cols>
    <col min="1" max="1" width="45.5" bestFit="1" customWidth="1"/>
    <col min="2" max="2" width="29.1640625" bestFit="1" customWidth="1"/>
    <col min="3" max="3" width="16.1640625" customWidth="1"/>
    <col min="4" max="5" width="9.33203125" bestFit="1" customWidth="1"/>
  </cols>
  <sheetData>
    <row r="1" spans="1:5">
      <c r="A1" t="s">
        <v>0</v>
      </c>
      <c r="B1" t="s">
        <v>1</v>
      </c>
      <c r="C1" t="s">
        <v>0</v>
      </c>
      <c r="D1" t="s">
        <v>5</v>
      </c>
      <c r="E1" s="206" t="s">
        <v>6</v>
      </c>
    </row>
    <row r="2" spans="1:5">
      <c r="A2" t="s">
        <v>192</v>
      </c>
      <c r="B2" t="s">
        <v>192</v>
      </c>
      <c r="C2" t="s">
        <v>192</v>
      </c>
      <c r="D2" t="s">
        <v>192</v>
      </c>
      <c r="E2" t="s">
        <v>192</v>
      </c>
    </row>
    <row r="3" spans="1:5">
      <c r="A3" t="s">
        <v>6443</v>
      </c>
      <c r="C3" t="s">
        <v>6443</v>
      </c>
    </row>
    <row r="4" spans="1:5">
      <c r="A4" t="s">
        <v>11</v>
      </c>
      <c r="B4" t="s">
        <v>10</v>
      </c>
      <c r="C4" t="s">
        <v>11</v>
      </c>
      <c r="D4" t="s">
        <v>15</v>
      </c>
      <c r="E4" t="s">
        <v>16</v>
      </c>
    </row>
    <row r="5" spans="1:5">
      <c r="A5" t="s">
        <v>5032</v>
      </c>
      <c r="B5" t="s">
        <v>5033</v>
      </c>
      <c r="C5" t="s">
        <v>5032</v>
      </c>
      <c r="D5" t="s">
        <v>192</v>
      </c>
      <c r="E5" t="s">
        <v>192</v>
      </c>
    </row>
    <row r="6" spans="1:5">
      <c r="A6" t="s">
        <v>6444</v>
      </c>
      <c r="B6" t="s">
        <v>5111</v>
      </c>
      <c r="C6" t="s">
        <v>6444</v>
      </c>
      <c r="D6" t="s">
        <v>192</v>
      </c>
      <c r="E6" t="s">
        <v>192</v>
      </c>
    </row>
    <row r="7" spans="1:5">
      <c r="A7" t="s">
        <v>5110</v>
      </c>
      <c r="B7" t="s">
        <v>5111</v>
      </c>
      <c r="C7" t="s">
        <v>5110</v>
      </c>
      <c r="D7" t="s">
        <v>192</v>
      </c>
      <c r="E7" t="s">
        <v>192</v>
      </c>
    </row>
    <row r="8" spans="1:5">
      <c r="A8" t="s">
        <v>6445</v>
      </c>
      <c r="B8" t="s">
        <v>5533</v>
      </c>
      <c r="C8" t="s">
        <v>6445</v>
      </c>
      <c r="D8" t="s">
        <v>192</v>
      </c>
      <c r="E8" t="s">
        <v>192</v>
      </c>
    </row>
    <row r="9" spans="1:5">
      <c r="A9" t="s">
        <v>5532</v>
      </c>
      <c r="B9" t="s">
        <v>5533</v>
      </c>
      <c r="C9" t="s">
        <v>5532</v>
      </c>
      <c r="D9" t="s">
        <v>192</v>
      </c>
      <c r="E9" t="s">
        <v>192</v>
      </c>
    </row>
    <row r="10" spans="1:5">
      <c r="A10" t="s">
        <v>3898</v>
      </c>
      <c r="B10" t="s">
        <v>3899</v>
      </c>
      <c r="C10" t="s">
        <v>3898</v>
      </c>
      <c r="D10" t="s">
        <v>192</v>
      </c>
      <c r="E10" t="s">
        <v>192</v>
      </c>
    </row>
    <row r="11" spans="1:5">
      <c r="A11" t="s">
        <v>6446</v>
      </c>
      <c r="B11" t="s">
        <v>5933</v>
      </c>
      <c r="C11" t="s">
        <v>6446</v>
      </c>
      <c r="D11" t="s">
        <v>192</v>
      </c>
      <c r="E11" t="s">
        <v>192</v>
      </c>
    </row>
    <row r="12" spans="1:5">
      <c r="A12" t="s">
        <v>5932</v>
      </c>
      <c r="B12" t="s">
        <v>5933</v>
      </c>
      <c r="C12" t="s">
        <v>5932</v>
      </c>
      <c r="D12" t="s">
        <v>192</v>
      </c>
      <c r="E12" t="s">
        <v>192</v>
      </c>
    </row>
    <row r="13" spans="1:5">
      <c r="A13" t="s">
        <v>3126</v>
      </c>
      <c r="B13" t="s">
        <v>3125</v>
      </c>
      <c r="C13" t="s">
        <v>3126</v>
      </c>
      <c r="D13">
        <v>633</v>
      </c>
      <c r="E13">
        <v>6.03</v>
      </c>
    </row>
    <row r="14" spans="1:5">
      <c r="A14" t="s">
        <v>3124</v>
      </c>
      <c r="B14" t="s">
        <v>3123</v>
      </c>
      <c r="C14" t="s">
        <v>3124</v>
      </c>
      <c r="D14">
        <v>244</v>
      </c>
      <c r="E14">
        <v>8.16</v>
      </c>
    </row>
    <row r="15" spans="1:5">
      <c r="A15" t="s">
        <v>3122</v>
      </c>
      <c r="B15" t="s">
        <v>3121</v>
      </c>
      <c r="C15" t="s">
        <v>3122</v>
      </c>
      <c r="D15">
        <v>-191</v>
      </c>
      <c r="E15">
        <v>-18.29</v>
      </c>
    </row>
    <row r="16" spans="1:5">
      <c r="A16" t="s">
        <v>3120</v>
      </c>
      <c r="B16" t="s">
        <v>3118</v>
      </c>
      <c r="C16" t="s">
        <v>3120</v>
      </c>
      <c r="D16">
        <v>338</v>
      </c>
      <c r="E16">
        <v>4.24</v>
      </c>
    </row>
    <row r="17" spans="1:5">
      <c r="A17" t="s">
        <v>3119</v>
      </c>
      <c r="B17" t="s">
        <v>3118</v>
      </c>
      <c r="C17" t="s">
        <v>3119</v>
      </c>
      <c r="D17">
        <v>338</v>
      </c>
      <c r="E17">
        <v>4.24</v>
      </c>
    </row>
    <row r="18" spans="1:5">
      <c r="A18" t="s">
        <v>3117</v>
      </c>
      <c r="B18" t="s">
        <v>3115</v>
      </c>
      <c r="C18" t="s">
        <v>3117</v>
      </c>
      <c r="D18">
        <v>862</v>
      </c>
      <c r="E18">
        <v>7.03</v>
      </c>
    </row>
    <row r="19" spans="1:5">
      <c r="A19" t="s">
        <v>3116</v>
      </c>
      <c r="B19" t="s">
        <v>3115</v>
      </c>
      <c r="C19" t="s">
        <v>3116</v>
      </c>
      <c r="D19">
        <v>862</v>
      </c>
      <c r="E19">
        <v>7.03</v>
      </c>
    </row>
    <row r="20" spans="1:5">
      <c r="A20" t="s">
        <v>3114</v>
      </c>
      <c r="B20" t="s">
        <v>3112</v>
      </c>
      <c r="C20" t="s">
        <v>3114</v>
      </c>
      <c r="D20">
        <v>488</v>
      </c>
      <c r="E20">
        <v>5.72</v>
      </c>
    </row>
    <row r="21" spans="1:5">
      <c r="A21" t="s">
        <v>3113</v>
      </c>
      <c r="B21" t="s">
        <v>3112</v>
      </c>
      <c r="C21" t="s">
        <v>3113</v>
      </c>
      <c r="D21">
        <v>488</v>
      </c>
      <c r="E21">
        <v>5.72</v>
      </c>
    </row>
    <row r="22" spans="1:5">
      <c r="A22" t="s">
        <v>3111</v>
      </c>
      <c r="B22" t="s">
        <v>3110</v>
      </c>
      <c r="C22" t="s">
        <v>3111</v>
      </c>
      <c r="D22">
        <v>773</v>
      </c>
      <c r="E22">
        <v>4.82</v>
      </c>
    </row>
    <row r="23" spans="1:5">
      <c r="A23" t="s">
        <v>3109</v>
      </c>
      <c r="B23" t="s">
        <v>3108</v>
      </c>
      <c r="C23" t="s">
        <v>3109</v>
      </c>
      <c r="D23">
        <v>3246</v>
      </c>
      <c r="E23">
        <v>1.77</v>
      </c>
    </row>
    <row r="24" spans="1:5">
      <c r="A24" t="s">
        <v>6356</v>
      </c>
      <c r="B24" t="s">
        <v>6357</v>
      </c>
      <c r="C24" t="s">
        <v>6356</v>
      </c>
      <c r="D24" t="s">
        <v>192</v>
      </c>
      <c r="E24" t="s">
        <v>192</v>
      </c>
    </row>
    <row r="25" spans="1:5">
      <c r="A25" t="s">
        <v>3107</v>
      </c>
      <c r="B25" t="s">
        <v>3105</v>
      </c>
      <c r="C25" t="s">
        <v>3107</v>
      </c>
      <c r="D25">
        <v>818</v>
      </c>
      <c r="E25">
        <v>7.75</v>
      </c>
    </row>
    <row r="26" spans="1:5">
      <c r="A26" t="s">
        <v>3106</v>
      </c>
      <c r="B26" t="s">
        <v>3105</v>
      </c>
      <c r="C26" t="s">
        <v>3106</v>
      </c>
      <c r="D26">
        <v>818</v>
      </c>
      <c r="E26">
        <v>7.75</v>
      </c>
    </row>
    <row r="27" spans="1:5">
      <c r="A27" t="s">
        <v>3104</v>
      </c>
      <c r="B27" t="s">
        <v>3103</v>
      </c>
      <c r="C27" t="s">
        <v>3104</v>
      </c>
      <c r="D27">
        <v>3195</v>
      </c>
      <c r="E27">
        <v>69.400000000000006</v>
      </c>
    </row>
    <row r="28" spans="1:5">
      <c r="A28" t="s">
        <v>3102</v>
      </c>
      <c r="B28" t="s">
        <v>3101</v>
      </c>
      <c r="C28" t="s">
        <v>3102</v>
      </c>
      <c r="D28">
        <v>292</v>
      </c>
      <c r="E28">
        <v>12.43</v>
      </c>
    </row>
    <row r="29" spans="1:5">
      <c r="A29" t="s">
        <v>3100</v>
      </c>
      <c r="B29" t="s">
        <v>3099</v>
      </c>
      <c r="C29" t="s">
        <v>3100</v>
      </c>
      <c r="D29">
        <v>16</v>
      </c>
      <c r="E29">
        <v>159.88</v>
      </c>
    </row>
    <row r="30" spans="1:5">
      <c r="A30" t="s">
        <v>6447</v>
      </c>
      <c r="B30" t="s">
        <v>6448</v>
      </c>
      <c r="C30" t="s">
        <v>6447</v>
      </c>
      <c r="D30" t="s">
        <v>192</v>
      </c>
      <c r="E30" t="s">
        <v>192</v>
      </c>
    </row>
    <row r="31" spans="1:5">
      <c r="A31" t="s">
        <v>4821</v>
      </c>
      <c r="B31" t="s">
        <v>3097</v>
      </c>
      <c r="C31" t="s">
        <v>4821</v>
      </c>
      <c r="D31">
        <v>205</v>
      </c>
      <c r="E31">
        <v>10.61</v>
      </c>
    </row>
    <row r="32" spans="1:5">
      <c r="A32" t="s">
        <v>3098</v>
      </c>
      <c r="B32" t="s">
        <v>3097</v>
      </c>
      <c r="C32" t="s">
        <v>3098</v>
      </c>
      <c r="D32">
        <v>205</v>
      </c>
      <c r="E32">
        <v>10.61</v>
      </c>
    </row>
    <row r="33" spans="1:5">
      <c r="A33" t="s">
        <v>3096</v>
      </c>
      <c r="B33" t="s">
        <v>3095</v>
      </c>
      <c r="C33" t="s">
        <v>3096</v>
      </c>
      <c r="D33">
        <v>51</v>
      </c>
      <c r="E33">
        <v>440.2</v>
      </c>
    </row>
    <row r="34" spans="1:5">
      <c r="A34" t="s">
        <v>3094</v>
      </c>
      <c r="B34" t="s">
        <v>3092</v>
      </c>
      <c r="C34" t="s">
        <v>3094</v>
      </c>
      <c r="D34">
        <v>667</v>
      </c>
      <c r="E34">
        <v>3.17</v>
      </c>
    </row>
    <row r="35" spans="1:5">
      <c r="A35" t="s">
        <v>3093</v>
      </c>
      <c r="B35" t="s">
        <v>3092</v>
      </c>
      <c r="C35" t="s">
        <v>3093</v>
      </c>
      <c r="D35">
        <v>667</v>
      </c>
      <c r="E35">
        <v>3.17</v>
      </c>
    </row>
    <row r="36" spans="1:5">
      <c r="A36" t="s">
        <v>3091</v>
      </c>
      <c r="B36" t="s">
        <v>3089</v>
      </c>
      <c r="C36" t="s">
        <v>3091</v>
      </c>
      <c r="D36">
        <v>3877</v>
      </c>
      <c r="E36">
        <v>7.05</v>
      </c>
    </row>
    <row r="37" spans="1:5">
      <c r="A37" t="s">
        <v>3090</v>
      </c>
      <c r="B37" t="s">
        <v>3089</v>
      </c>
      <c r="C37" t="s">
        <v>3090</v>
      </c>
      <c r="D37">
        <v>3877</v>
      </c>
      <c r="E37">
        <v>7.05</v>
      </c>
    </row>
    <row r="38" spans="1:5">
      <c r="A38" t="s">
        <v>3088</v>
      </c>
      <c r="B38" t="s">
        <v>3087</v>
      </c>
      <c r="C38" t="s">
        <v>3088</v>
      </c>
      <c r="D38">
        <v>458</v>
      </c>
      <c r="E38">
        <v>4.93</v>
      </c>
    </row>
    <row r="39" spans="1:5">
      <c r="A39" t="s">
        <v>6449</v>
      </c>
      <c r="B39" t="s">
        <v>6450</v>
      </c>
      <c r="C39" t="s">
        <v>6449</v>
      </c>
      <c r="D39" t="s">
        <v>192</v>
      </c>
      <c r="E39" t="s">
        <v>192</v>
      </c>
    </row>
    <row r="40" spans="1:5">
      <c r="A40" t="s">
        <v>3086</v>
      </c>
      <c r="B40" t="s">
        <v>3084</v>
      </c>
      <c r="C40" t="s">
        <v>3086</v>
      </c>
      <c r="D40">
        <v>304</v>
      </c>
      <c r="E40">
        <v>7.43</v>
      </c>
    </row>
    <row r="41" spans="1:5">
      <c r="A41" t="s">
        <v>3085</v>
      </c>
      <c r="B41" t="s">
        <v>3084</v>
      </c>
      <c r="C41" t="s">
        <v>3085</v>
      </c>
      <c r="D41">
        <v>304</v>
      </c>
      <c r="E41">
        <v>7.43</v>
      </c>
    </row>
    <row r="42" spans="1:5">
      <c r="A42" t="s">
        <v>3083</v>
      </c>
      <c r="B42" t="s">
        <v>3082</v>
      </c>
      <c r="C42" t="s">
        <v>3083</v>
      </c>
      <c r="D42">
        <v>644</v>
      </c>
      <c r="E42">
        <v>23.14</v>
      </c>
    </row>
    <row r="43" spans="1:5">
      <c r="A43" t="s">
        <v>3081</v>
      </c>
      <c r="B43" t="s">
        <v>3079</v>
      </c>
      <c r="C43" t="s">
        <v>3081</v>
      </c>
      <c r="D43">
        <v>563</v>
      </c>
      <c r="E43">
        <v>7.25</v>
      </c>
    </row>
    <row r="44" spans="1:5">
      <c r="A44" t="s">
        <v>3080</v>
      </c>
      <c r="B44" t="s">
        <v>3079</v>
      </c>
      <c r="C44" t="s">
        <v>3080</v>
      </c>
      <c r="D44">
        <v>563</v>
      </c>
      <c r="E44">
        <v>7.25</v>
      </c>
    </row>
    <row r="45" spans="1:5">
      <c r="A45" t="s">
        <v>3078</v>
      </c>
      <c r="B45" t="s">
        <v>3077</v>
      </c>
      <c r="C45" t="s">
        <v>3078</v>
      </c>
      <c r="D45">
        <v>247</v>
      </c>
      <c r="E45">
        <v>11.33</v>
      </c>
    </row>
    <row r="46" spans="1:5">
      <c r="A46" t="s">
        <v>3076</v>
      </c>
      <c r="B46" t="s">
        <v>3075</v>
      </c>
      <c r="C46" t="s">
        <v>3076</v>
      </c>
      <c r="D46">
        <v>94</v>
      </c>
      <c r="E46">
        <v>24.3</v>
      </c>
    </row>
    <row r="47" spans="1:5">
      <c r="A47" t="s">
        <v>3074</v>
      </c>
      <c r="B47" t="s">
        <v>3072</v>
      </c>
      <c r="C47" t="s">
        <v>3074</v>
      </c>
      <c r="D47">
        <v>379</v>
      </c>
      <c r="E47">
        <v>6.73</v>
      </c>
    </row>
    <row r="48" spans="1:5">
      <c r="A48" t="s">
        <v>3073</v>
      </c>
      <c r="B48" t="s">
        <v>3072</v>
      </c>
      <c r="C48" t="s">
        <v>3073</v>
      </c>
      <c r="D48">
        <v>379</v>
      </c>
      <c r="E48">
        <v>6.73</v>
      </c>
    </row>
    <row r="49" spans="1:5">
      <c r="A49" t="s">
        <v>3071</v>
      </c>
      <c r="B49" t="s">
        <v>3070</v>
      </c>
      <c r="C49" t="s">
        <v>3071</v>
      </c>
      <c r="D49">
        <v>332</v>
      </c>
      <c r="E49">
        <v>12.07</v>
      </c>
    </row>
    <row r="50" spans="1:5">
      <c r="A50" t="s">
        <v>3069</v>
      </c>
      <c r="B50" t="s">
        <v>3067</v>
      </c>
      <c r="C50" t="s">
        <v>3069</v>
      </c>
      <c r="D50">
        <v>337</v>
      </c>
      <c r="E50">
        <v>2.65</v>
      </c>
    </row>
    <row r="51" spans="1:5">
      <c r="A51" t="s">
        <v>3068</v>
      </c>
      <c r="B51" t="s">
        <v>3067</v>
      </c>
      <c r="C51" t="s">
        <v>3068</v>
      </c>
      <c r="D51">
        <v>337</v>
      </c>
      <c r="E51">
        <v>2.65</v>
      </c>
    </row>
    <row r="52" spans="1:5">
      <c r="A52" t="s">
        <v>3066</v>
      </c>
      <c r="B52" t="s">
        <v>3065</v>
      </c>
      <c r="C52" t="s">
        <v>3066</v>
      </c>
      <c r="D52">
        <v>277</v>
      </c>
      <c r="E52">
        <v>7.05</v>
      </c>
    </row>
    <row r="53" spans="1:5">
      <c r="A53" t="s">
        <v>3064</v>
      </c>
      <c r="B53" t="s">
        <v>3063</v>
      </c>
      <c r="C53" t="s">
        <v>3064</v>
      </c>
      <c r="D53">
        <v>173</v>
      </c>
      <c r="E53">
        <v>14.91</v>
      </c>
    </row>
    <row r="54" spans="1:5">
      <c r="A54" t="s">
        <v>5292</v>
      </c>
      <c r="B54" t="s">
        <v>5293</v>
      </c>
      <c r="C54" t="s">
        <v>5292</v>
      </c>
      <c r="D54" t="s">
        <v>192</v>
      </c>
      <c r="E54" t="s">
        <v>192</v>
      </c>
    </row>
    <row r="55" spans="1:5">
      <c r="A55" t="s">
        <v>3062</v>
      </c>
      <c r="B55" t="s">
        <v>3061</v>
      </c>
      <c r="C55" t="s">
        <v>3062</v>
      </c>
      <c r="D55">
        <v>266</v>
      </c>
      <c r="E55">
        <v>10.58</v>
      </c>
    </row>
    <row r="56" spans="1:5">
      <c r="A56" t="s">
        <v>3060</v>
      </c>
      <c r="B56" t="s">
        <v>3059</v>
      </c>
      <c r="C56" t="s">
        <v>3060</v>
      </c>
      <c r="D56">
        <v>671</v>
      </c>
      <c r="E56">
        <v>3.68</v>
      </c>
    </row>
    <row r="57" spans="1:5">
      <c r="A57" t="s">
        <v>3058</v>
      </c>
      <c r="B57" t="s">
        <v>3057</v>
      </c>
      <c r="C57" t="s">
        <v>3058</v>
      </c>
      <c r="D57">
        <v>-53</v>
      </c>
      <c r="E57">
        <v>-524.53</v>
      </c>
    </row>
    <row r="58" spans="1:5">
      <c r="A58" t="s">
        <v>5694</v>
      </c>
      <c r="B58" t="s">
        <v>5695</v>
      </c>
      <c r="C58" t="s">
        <v>5694</v>
      </c>
      <c r="D58" t="s">
        <v>192</v>
      </c>
      <c r="E58" t="s">
        <v>192</v>
      </c>
    </row>
    <row r="59" spans="1:5">
      <c r="A59" t="s">
        <v>3056</v>
      </c>
      <c r="B59" t="s">
        <v>3055</v>
      </c>
      <c r="C59" t="s">
        <v>3056</v>
      </c>
      <c r="D59">
        <v>-186</v>
      </c>
      <c r="E59">
        <v>-29.52</v>
      </c>
    </row>
    <row r="60" spans="1:5">
      <c r="A60" t="s">
        <v>3054</v>
      </c>
      <c r="B60" t="s">
        <v>3053</v>
      </c>
      <c r="C60" t="s">
        <v>3054</v>
      </c>
      <c r="D60">
        <v>963</v>
      </c>
      <c r="E60">
        <v>1.34</v>
      </c>
    </row>
    <row r="61" spans="1:5">
      <c r="A61" t="s">
        <v>3052</v>
      </c>
      <c r="B61" t="s">
        <v>3051</v>
      </c>
      <c r="C61" t="s">
        <v>3052</v>
      </c>
      <c r="D61">
        <v>193</v>
      </c>
      <c r="E61">
        <v>16.39</v>
      </c>
    </row>
    <row r="62" spans="1:5">
      <c r="A62" t="s">
        <v>3050</v>
      </c>
      <c r="B62" t="s">
        <v>3048</v>
      </c>
      <c r="C62" t="s">
        <v>3050</v>
      </c>
      <c r="D62">
        <v>582</v>
      </c>
      <c r="E62">
        <v>4.8499999999999996</v>
      </c>
    </row>
    <row r="63" spans="1:5">
      <c r="A63" t="s">
        <v>3049</v>
      </c>
      <c r="B63" t="s">
        <v>3048</v>
      </c>
      <c r="C63" t="s">
        <v>3049</v>
      </c>
      <c r="D63">
        <v>582</v>
      </c>
      <c r="E63">
        <v>4.8499999999999996</v>
      </c>
    </row>
    <row r="64" spans="1:5">
      <c r="A64" t="s">
        <v>6451</v>
      </c>
      <c r="B64" t="s">
        <v>3046</v>
      </c>
      <c r="C64" t="s">
        <v>6451</v>
      </c>
      <c r="D64">
        <v>696</v>
      </c>
      <c r="E64">
        <v>4.78</v>
      </c>
    </row>
    <row r="65" spans="1:5">
      <c r="A65" t="s">
        <v>3047</v>
      </c>
      <c r="B65" t="s">
        <v>3046</v>
      </c>
      <c r="C65" t="s">
        <v>3047</v>
      </c>
      <c r="D65">
        <v>696</v>
      </c>
      <c r="E65">
        <v>4.78</v>
      </c>
    </row>
    <row r="66" spans="1:5">
      <c r="A66" t="s">
        <v>3045</v>
      </c>
      <c r="B66" t="s">
        <v>3044</v>
      </c>
      <c r="C66" t="s">
        <v>3045</v>
      </c>
      <c r="D66">
        <v>437</v>
      </c>
      <c r="E66">
        <v>6.18</v>
      </c>
    </row>
    <row r="67" spans="1:5">
      <c r="A67" t="s">
        <v>3043</v>
      </c>
      <c r="B67" t="s">
        <v>3042</v>
      </c>
      <c r="C67" t="s">
        <v>3043</v>
      </c>
      <c r="D67">
        <v>431</v>
      </c>
      <c r="E67">
        <v>8.39</v>
      </c>
    </row>
    <row r="68" spans="1:5">
      <c r="A68" t="s">
        <v>3041</v>
      </c>
      <c r="B68" t="s">
        <v>3040</v>
      </c>
      <c r="C68" t="s">
        <v>3041</v>
      </c>
      <c r="D68">
        <v>14</v>
      </c>
      <c r="E68">
        <v>119.86</v>
      </c>
    </row>
    <row r="69" spans="1:5">
      <c r="A69" t="s">
        <v>3039</v>
      </c>
      <c r="B69" t="s">
        <v>3038</v>
      </c>
      <c r="C69" t="s">
        <v>3039</v>
      </c>
      <c r="D69">
        <v>487</v>
      </c>
      <c r="E69">
        <v>2.88</v>
      </c>
    </row>
    <row r="70" spans="1:5">
      <c r="A70" t="s">
        <v>3037</v>
      </c>
      <c r="B70" t="s">
        <v>3035</v>
      </c>
      <c r="C70" t="s">
        <v>3037</v>
      </c>
      <c r="D70">
        <v>1762</v>
      </c>
      <c r="E70">
        <v>8.52</v>
      </c>
    </row>
    <row r="71" spans="1:5">
      <c r="A71" t="s">
        <v>3036</v>
      </c>
      <c r="B71" t="s">
        <v>3035</v>
      </c>
      <c r="C71" t="s">
        <v>3036</v>
      </c>
      <c r="D71">
        <v>1762</v>
      </c>
      <c r="E71">
        <v>8.52</v>
      </c>
    </row>
    <row r="72" spans="1:5">
      <c r="A72" t="s">
        <v>3034</v>
      </c>
      <c r="B72" t="s">
        <v>3033</v>
      </c>
      <c r="C72" t="s">
        <v>3034</v>
      </c>
      <c r="D72">
        <v>360</v>
      </c>
      <c r="E72">
        <v>10.65</v>
      </c>
    </row>
    <row r="73" spans="1:5">
      <c r="A73" t="s">
        <v>3032</v>
      </c>
      <c r="B73" t="s">
        <v>3031</v>
      </c>
      <c r="C73" t="s">
        <v>3032</v>
      </c>
      <c r="D73">
        <v>884</v>
      </c>
      <c r="E73">
        <v>2.4500000000000002</v>
      </c>
    </row>
    <row r="74" spans="1:5">
      <c r="A74" t="s">
        <v>3030</v>
      </c>
      <c r="B74" t="s">
        <v>3027</v>
      </c>
      <c r="C74" t="s">
        <v>3030</v>
      </c>
      <c r="D74">
        <v>2231</v>
      </c>
      <c r="E74">
        <v>7.57</v>
      </c>
    </row>
    <row r="75" spans="1:5">
      <c r="A75" t="s">
        <v>3029</v>
      </c>
      <c r="B75" t="s">
        <v>3027</v>
      </c>
      <c r="C75" t="s">
        <v>3029</v>
      </c>
      <c r="D75">
        <v>2231</v>
      </c>
      <c r="E75">
        <v>7.51</v>
      </c>
    </row>
    <row r="76" spans="1:5">
      <c r="A76" t="s">
        <v>3028</v>
      </c>
      <c r="B76" t="s">
        <v>3027</v>
      </c>
      <c r="C76" t="s">
        <v>3028</v>
      </c>
      <c r="D76">
        <v>2231</v>
      </c>
      <c r="E76">
        <v>7.57</v>
      </c>
    </row>
    <row r="77" spans="1:5">
      <c r="A77" t="s">
        <v>3026</v>
      </c>
      <c r="B77" t="s">
        <v>3025</v>
      </c>
      <c r="C77" t="s">
        <v>3026</v>
      </c>
      <c r="D77">
        <v>713</v>
      </c>
      <c r="E77">
        <v>4.37</v>
      </c>
    </row>
    <row r="78" spans="1:5">
      <c r="A78" t="s">
        <v>3024</v>
      </c>
      <c r="B78" t="s">
        <v>3023</v>
      </c>
      <c r="C78" t="s">
        <v>3024</v>
      </c>
      <c r="D78">
        <v>876</v>
      </c>
      <c r="E78">
        <v>3.21</v>
      </c>
    </row>
    <row r="79" spans="1:5">
      <c r="A79" t="s">
        <v>3022</v>
      </c>
      <c r="B79" t="s">
        <v>3021</v>
      </c>
      <c r="C79" t="s">
        <v>3022</v>
      </c>
      <c r="D79">
        <v>-143</v>
      </c>
      <c r="E79">
        <v>-121.47</v>
      </c>
    </row>
    <row r="80" spans="1:5">
      <c r="A80" t="s">
        <v>6452</v>
      </c>
      <c r="B80" t="s">
        <v>202</v>
      </c>
      <c r="C80" t="s">
        <v>6452</v>
      </c>
      <c r="D80">
        <v>538</v>
      </c>
      <c r="E80">
        <v>4.8499999999999996</v>
      </c>
    </row>
    <row r="81" spans="1:5">
      <c r="A81" t="s">
        <v>203</v>
      </c>
      <c r="B81" t="s">
        <v>202</v>
      </c>
      <c r="C81" t="s">
        <v>203</v>
      </c>
      <c r="D81">
        <v>538</v>
      </c>
      <c r="E81">
        <v>4.8499999999999996</v>
      </c>
    </row>
    <row r="82" spans="1:5">
      <c r="A82" t="s">
        <v>3020</v>
      </c>
      <c r="B82" t="s">
        <v>3019</v>
      </c>
      <c r="C82" t="s">
        <v>3020</v>
      </c>
      <c r="D82">
        <v>-1749</v>
      </c>
      <c r="E82">
        <v>-0.68</v>
      </c>
    </row>
    <row r="83" spans="1:5">
      <c r="A83" t="s">
        <v>3018</v>
      </c>
      <c r="B83" t="s">
        <v>3017</v>
      </c>
      <c r="C83" t="s">
        <v>3018</v>
      </c>
      <c r="D83">
        <v>-136</v>
      </c>
      <c r="E83">
        <v>-157.72</v>
      </c>
    </row>
    <row r="84" spans="1:5">
      <c r="A84" t="s">
        <v>3016</v>
      </c>
      <c r="B84" t="s">
        <v>3015</v>
      </c>
      <c r="C84" t="s">
        <v>3016</v>
      </c>
      <c r="D84">
        <v>436</v>
      </c>
      <c r="E84">
        <v>6.07</v>
      </c>
    </row>
    <row r="85" spans="1:5">
      <c r="A85" t="s">
        <v>3014</v>
      </c>
      <c r="B85" t="s">
        <v>3013</v>
      </c>
      <c r="C85" t="s">
        <v>3014</v>
      </c>
      <c r="D85">
        <v>339</v>
      </c>
      <c r="E85">
        <v>3.77</v>
      </c>
    </row>
    <row r="86" spans="1:5">
      <c r="A86" t="s">
        <v>3012</v>
      </c>
      <c r="B86" t="s">
        <v>3011</v>
      </c>
      <c r="C86" t="s">
        <v>3012</v>
      </c>
      <c r="D86">
        <v>-13</v>
      </c>
      <c r="E86">
        <v>-142.69</v>
      </c>
    </row>
    <row r="87" spans="1:5">
      <c r="A87" t="s">
        <v>3010</v>
      </c>
      <c r="B87" t="s">
        <v>3008</v>
      </c>
      <c r="C87" t="s">
        <v>3010</v>
      </c>
      <c r="D87">
        <v>1156</v>
      </c>
      <c r="E87">
        <v>3.16</v>
      </c>
    </row>
    <row r="88" spans="1:5">
      <c r="A88" t="s">
        <v>3009</v>
      </c>
      <c r="B88" t="s">
        <v>3008</v>
      </c>
      <c r="C88" t="s">
        <v>3009</v>
      </c>
      <c r="D88">
        <v>1156</v>
      </c>
      <c r="E88">
        <v>3.16</v>
      </c>
    </row>
    <row r="89" spans="1:5">
      <c r="A89" t="s">
        <v>3007</v>
      </c>
      <c r="B89" t="s">
        <v>3005</v>
      </c>
      <c r="C89" t="s">
        <v>3007</v>
      </c>
      <c r="D89">
        <v>1210</v>
      </c>
      <c r="E89">
        <v>4.04</v>
      </c>
    </row>
    <row r="90" spans="1:5">
      <c r="A90" t="s">
        <v>3006</v>
      </c>
      <c r="B90" t="s">
        <v>3005</v>
      </c>
      <c r="C90" t="s">
        <v>3006</v>
      </c>
      <c r="D90">
        <v>1210</v>
      </c>
      <c r="E90">
        <v>4.04</v>
      </c>
    </row>
    <row r="91" spans="1:5">
      <c r="A91" t="s">
        <v>3004</v>
      </c>
      <c r="B91" t="s">
        <v>3003</v>
      </c>
      <c r="C91" t="s">
        <v>3004</v>
      </c>
      <c r="D91">
        <v>736</v>
      </c>
      <c r="E91">
        <v>2.64</v>
      </c>
    </row>
    <row r="92" spans="1:5">
      <c r="A92" t="s">
        <v>3002</v>
      </c>
      <c r="B92" t="s">
        <v>3001</v>
      </c>
      <c r="C92" t="s">
        <v>3002</v>
      </c>
      <c r="D92">
        <v>-1623</v>
      </c>
      <c r="E92">
        <v>-2.4500000000000002</v>
      </c>
    </row>
    <row r="93" spans="1:5">
      <c r="A93" t="s">
        <v>3000</v>
      </c>
      <c r="B93" t="s">
        <v>2999</v>
      </c>
      <c r="C93" t="s">
        <v>3000</v>
      </c>
      <c r="D93">
        <v>125</v>
      </c>
      <c r="E93">
        <v>11.02</v>
      </c>
    </row>
    <row r="94" spans="1:5">
      <c r="A94" t="s">
        <v>2998</v>
      </c>
      <c r="B94" t="s">
        <v>2996</v>
      </c>
      <c r="C94" t="s">
        <v>2998</v>
      </c>
      <c r="D94">
        <v>2887</v>
      </c>
      <c r="E94">
        <v>2.5</v>
      </c>
    </row>
    <row r="95" spans="1:5">
      <c r="A95" t="s">
        <v>2997</v>
      </c>
      <c r="B95" t="s">
        <v>2996</v>
      </c>
      <c r="C95" t="s">
        <v>2997</v>
      </c>
      <c r="D95">
        <v>2887</v>
      </c>
      <c r="E95">
        <v>2.5</v>
      </c>
    </row>
    <row r="96" spans="1:5">
      <c r="A96" t="s">
        <v>2995</v>
      </c>
      <c r="B96" t="s">
        <v>2993</v>
      </c>
      <c r="C96" t="s">
        <v>2995</v>
      </c>
      <c r="D96">
        <v>233</v>
      </c>
      <c r="E96">
        <v>23.95</v>
      </c>
    </row>
    <row r="97" spans="1:5">
      <c r="A97" t="s">
        <v>2994</v>
      </c>
      <c r="B97" t="s">
        <v>2993</v>
      </c>
      <c r="C97" t="s">
        <v>2994</v>
      </c>
      <c r="D97">
        <v>233</v>
      </c>
      <c r="E97">
        <v>23.95</v>
      </c>
    </row>
    <row r="98" spans="1:5">
      <c r="A98" t="s">
        <v>2992</v>
      </c>
      <c r="B98" t="s">
        <v>2991</v>
      </c>
      <c r="C98" t="s">
        <v>2992</v>
      </c>
      <c r="D98">
        <v>54</v>
      </c>
      <c r="E98">
        <v>20.74</v>
      </c>
    </row>
    <row r="99" spans="1:5">
      <c r="A99" t="s">
        <v>2990</v>
      </c>
      <c r="B99" t="s">
        <v>2989</v>
      </c>
      <c r="C99" t="s">
        <v>2990</v>
      </c>
      <c r="D99">
        <v>1123</v>
      </c>
      <c r="E99">
        <v>4.25</v>
      </c>
    </row>
    <row r="100" spans="1:5">
      <c r="A100" t="s">
        <v>2988</v>
      </c>
      <c r="B100" t="s">
        <v>2987</v>
      </c>
      <c r="C100" t="s">
        <v>2988</v>
      </c>
      <c r="D100">
        <v>509</v>
      </c>
      <c r="E100">
        <v>7.38</v>
      </c>
    </row>
    <row r="101" spans="1:5">
      <c r="A101" t="s">
        <v>2986</v>
      </c>
      <c r="B101" t="s">
        <v>2985</v>
      </c>
      <c r="C101" t="s">
        <v>2986</v>
      </c>
      <c r="D101">
        <v>1202</v>
      </c>
      <c r="E101">
        <v>4.1100000000000003</v>
      </c>
    </row>
    <row r="102" spans="1:5">
      <c r="A102" t="s">
        <v>5534</v>
      </c>
      <c r="B102" t="s">
        <v>2983</v>
      </c>
      <c r="C102" t="s">
        <v>5534</v>
      </c>
      <c r="D102">
        <v>544</v>
      </c>
      <c r="E102">
        <v>9.2100000000000009</v>
      </c>
    </row>
    <row r="103" spans="1:5">
      <c r="A103" t="s">
        <v>2984</v>
      </c>
      <c r="B103" t="s">
        <v>2983</v>
      </c>
      <c r="C103" t="s">
        <v>2984</v>
      </c>
      <c r="D103">
        <v>544</v>
      </c>
      <c r="E103">
        <v>9.2100000000000009</v>
      </c>
    </row>
    <row r="104" spans="1:5">
      <c r="A104" t="s">
        <v>2982</v>
      </c>
      <c r="B104" t="s">
        <v>2981</v>
      </c>
      <c r="C104" t="s">
        <v>2982</v>
      </c>
      <c r="D104">
        <v>110</v>
      </c>
      <c r="E104">
        <v>11.15</v>
      </c>
    </row>
    <row r="105" spans="1:5">
      <c r="A105" t="s">
        <v>6453</v>
      </c>
      <c r="B105" t="s">
        <v>6454</v>
      </c>
      <c r="C105" t="s">
        <v>6453</v>
      </c>
      <c r="D105" t="s">
        <v>192</v>
      </c>
      <c r="E105" t="s">
        <v>192</v>
      </c>
    </row>
    <row r="106" spans="1:5">
      <c r="A106" t="s">
        <v>2980</v>
      </c>
      <c r="B106" t="s">
        <v>2979</v>
      </c>
      <c r="C106" t="s">
        <v>2980</v>
      </c>
      <c r="D106">
        <v>324</v>
      </c>
      <c r="E106">
        <v>8.91</v>
      </c>
    </row>
    <row r="107" spans="1:5">
      <c r="A107" t="s">
        <v>2978</v>
      </c>
      <c r="B107" t="s">
        <v>2977</v>
      </c>
      <c r="C107" t="s">
        <v>2978</v>
      </c>
      <c r="D107">
        <v>530</v>
      </c>
      <c r="E107">
        <v>5.43</v>
      </c>
    </row>
    <row r="108" spans="1:5">
      <c r="A108" t="s">
        <v>6455</v>
      </c>
      <c r="B108" t="s">
        <v>2975</v>
      </c>
      <c r="C108" t="s">
        <v>6455</v>
      </c>
      <c r="D108">
        <v>451</v>
      </c>
      <c r="E108">
        <v>6.97</v>
      </c>
    </row>
    <row r="109" spans="1:5">
      <c r="A109" t="s">
        <v>2976</v>
      </c>
      <c r="B109" t="s">
        <v>2975</v>
      </c>
      <c r="C109" t="s">
        <v>2976</v>
      </c>
      <c r="D109">
        <v>451</v>
      </c>
      <c r="E109">
        <v>6.97</v>
      </c>
    </row>
    <row r="110" spans="1:5">
      <c r="A110" t="s">
        <v>2974</v>
      </c>
      <c r="B110" t="s">
        <v>2973</v>
      </c>
      <c r="C110" t="s">
        <v>2974</v>
      </c>
      <c r="D110">
        <v>-104</v>
      </c>
      <c r="E110">
        <v>-51.35</v>
      </c>
    </row>
    <row r="111" spans="1:5">
      <c r="A111" t="s">
        <v>2972</v>
      </c>
      <c r="B111" t="s">
        <v>2971</v>
      </c>
      <c r="C111" t="s">
        <v>2972</v>
      </c>
      <c r="D111">
        <v>733</v>
      </c>
      <c r="E111">
        <v>3.12</v>
      </c>
    </row>
    <row r="112" spans="1:5">
      <c r="A112" t="s">
        <v>2970</v>
      </c>
      <c r="B112" t="s">
        <v>2968</v>
      </c>
      <c r="C112" t="s">
        <v>2970</v>
      </c>
      <c r="D112">
        <v>673</v>
      </c>
      <c r="E112">
        <v>2.97</v>
      </c>
    </row>
    <row r="113" spans="1:5">
      <c r="A113" t="s">
        <v>2969</v>
      </c>
      <c r="B113" t="s">
        <v>2968</v>
      </c>
      <c r="C113" t="s">
        <v>2969</v>
      </c>
      <c r="D113">
        <v>673</v>
      </c>
      <c r="E113">
        <v>2.97</v>
      </c>
    </row>
    <row r="114" spans="1:5">
      <c r="A114" t="s">
        <v>6456</v>
      </c>
      <c r="B114" t="s">
        <v>2966</v>
      </c>
      <c r="C114" t="s">
        <v>6456</v>
      </c>
      <c r="D114">
        <v>2079</v>
      </c>
      <c r="E114">
        <v>3.34</v>
      </c>
    </row>
    <row r="115" spans="1:5">
      <c r="A115" t="s">
        <v>2967</v>
      </c>
      <c r="B115" t="s">
        <v>2966</v>
      </c>
      <c r="C115" t="s">
        <v>2967</v>
      </c>
      <c r="D115">
        <v>2079</v>
      </c>
      <c r="E115">
        <v>3.34</v>
      </c>
    </row>
    <row r="116" spans="1:5">
      <c r="A116" t="s">
        <v>2965</v>
      </c>
      <c r="B116" t="s">
        <v>2964</v>
      </c>
      <c r="C116" t="s">
        <v>2965</v>
      </c>
      <c r="D116">
        <v>720</v>
      </c>
      <c r="E116">
        <v>3.95</v>
      </c>
    </row>
    <row r="117" spans="1:5">
      <c r="A117" t="s">
        <v>2963</v>
      </c>
      <c r="B117" t="s">
        <v>2962</v>
      </c>
      <c r="C117" t="s">
        <v>2963</v>
      </c>
      <c r="D117">
        <v>112</v>
      </c>
      <c r="E117">
        <v>11.19</v>
      </c>
    </row>
    <row r="118" spans="1:5">
      <c r="A118" t="s">
        <v>2961</v>
      </c>
      <c r="B118" t="s">
        <v>2960</v>
      </c>
      <c r="C118" t="s">
        <v>2961</v>
      </c>
      <c r="D118">
        <v>395</v>
      </c>
      <c r="E118">
        <v>17.09</v>
      </c>
    </row>
    <row r="119" spans="1:5">
      <c r="A119" t="s">
        <v>2959</v>
      </c>
      <c r="B119" t="s">
        <v>2957</v>
      </c>
      <c r="C119" t="s">
        <v>2959</v>
      </c>
      <c r="D119">
        <v>63</v>
      </c>
      <c r="E119">
        <v>31.14</v>
      </c>
    </row>
    <row r="120" spans="1:5">
      <c r="A120" t="s">
        <v>2958</v>
      </c>
      <c r="B120" t="s">
        <v>2957</v>
      </c>
      <c r="C120" t="s">
        <v>2958</v>
      </c>
      <c r="D120">
        <v>63</v>
      </c>
      <c r="E120">
        <v>31.14</v>
      </c>
    </row>
    <row r="121" spans="1:5">
      <c r="A121" t="s">
        <v>6188</v>
      </c>
      <c r="B121" t="s">
        <v>198</v>
      </c>
      <c r="C121" t="s">
        <v>6188</v>
      </c>
      <c r="D121">
        <v>160</v>
      </c>
      <c r="E121">
        <v>4.0599999999999996</v>
      </c>
    </row>
    <row r="122" spans="1:5">
      <c r="A122" t="s">
        <v>199</v>
      </c>
      <c r="B122" t="s">
        <v>198</v>
      </c>
      <c r="C122" t="s">
        <v>199</v>
      </c>
      <c r="D122">
        <v>160</v>
      </c>
      <c r="E122">
        <v>4.0599999999999996</v>
      </c>
    </row>
    <row r="123" spans="1:5">
      <c r="A123" t="s">
        <v>3958</v>
      </c>
      <c r="B123" t="s">
        <v>2955</v>
      </c>
      <c r="C123" t="s">
        <v>3958</v>
      </c>
      <c r="D123">
        <v>469</v>
      </c>
      <c r="E123">
        <v>3.81</v>
      </c>
    </row>
    <row r="124" spans="1:5">
      <c r="A124" t="s">
        <v>2956</v>
      </c>
      <c r="B124" t="s">
        <v>2955</v>
      </c>
      <c r="C124" t="s">
        <v>2956</v>
      </c>
      <c r="D124">
        <v>469</v>
      </c>
      <c r="E124">
        <v>3.81</v>
      </c>
    </row>
    <row r="125" spans="1:5">
      <c r="A125" t="s">
        <v>2954</v>
      </c>
      <c r="B125" t="s">
        <v>2953</v>
      </c>
      <c r="C125" t="s">
        <v>2954</v>
      </c>
      <c r="D125">
        <v>1903</v>
      </c>
      <c r="E125">
        <v>4.8600000000000003</v>
      </c>
    </row>
    <row r="126" spans="1:5">
      <c r="A126" t="s">
        <v>2952</v>
      </c>
      <c r="B126" t="s">
        <v>2951</v>
      </c>
      <c r="C126" t="s">
        <v>2952</v>
      </c>
      <c r="D126">
        <v>18</v>
      </c>
      <c r="E126">
        <v>120.44</v>
      </c>
    </row>
    <row r="127" spans="1:5">
      <c r="A127" t="s">
        <v>2950</v>
      </c>
      <c r="B127" t="s">
        <v>2949</v>
      </c>
      <c r="C127" t="s">
        <v>2950</v>
      </c>
      <c r="D127">
        <v>1812</v>
      </c>
      <c r="E127">
        <v>22.7</v>
      </c>
    </row>
    <row r="128" spans="1:5">
      <c r="A128" t="s">
        <v>2948</v>
      </c>
      <c r="B128" t="s">
        <v>2947</v>
      </c>
      <c r="C128" t="s">
        <v>2948</v>
      </c>
      <c r="D128">
        <v>6913</v>
      </c>
      <c r="E128">
        <v>6.53</v>
      </c>
    </row>
    <row r="129" spans="1:5">
      <c r="A129" t="s">
        <v>4988</v>
      </c>
      <c r="B129" t="s">
        <v>2945</v>
      </c>
      <c r="C129" t="s">
        <v>4988</v>
      </c>
      <c r="D129">
        <v>235</v>
      </c>
      <c r="E129">
        <v>5.28</v>
      </c>
    </row>
    <row r="130" spans="1:5">
      <c r="A130" t="s">
        <v>2946</v>
      </c>
      <c r="B130" t="s">
        <v>2945</v>
      </c>
      <c r="C130" t="s">
        <v>2946</v>
      </c>
      <c r="D130">
        <v>235</v>
      </c>
      <c r="E130">
        <v>5.28</v>
      </c>
    </row>
    <row r="131" spans="1:5">
      <c r="A131" t="s">
        <v>2944</v>
      </c>
      <c r="B131" t="s">
        <v>2943</v>
      </c>
      <c r="C131" t="s">
        <v>2944</v>
      </c>
      <c r="D131">
        <v>813</v>
      </c>
      <c r="E131">
        <v>13.06</v>
      </c>
    </row>
    <row r="132" spans="1:5">
      <c r="A132" t="s">
        <v>6457</v>
      </c>
      <c r="B132" t="s">
        <v>2941</v>
      </c>
      <c r="C132" t="s">
        <v>6457</v>
      </c>
      <c r="D132">
        <v>1515</v>
      </c>
      <c r="E132">
        <v>1.28</v>
      </c>
    </row>
    <row r="133" spans="1:5">
      <c r="A133" t="s">
        <v>2942</v>
      </c>
      <c r="B133" t="s">
        <v>2941</v>
      </c>
      <c r="C133" t="s">
        <v>2942</v>
      </c>
      <c r="D133">
        <v>1515</v>
      </c>
      <c r="E133">
        <v>1.28</v>
      </c>
    </row>
    <row r="134" spans="1:5">
      <c r="A134" t="s">
        <v>6458</v>
      </c>
      <c r="B134" t="s">
        <v>2939</v>
      </c>
      <c r="C134" t="s">
        <v>6458</v>
      </c>
      <c r="D134">
        <v>210</v>
      </c>
      <c r="E134">
        <v>6.73</v>
      </c>
    </row>
    <row r="135" spans="1:5">
      <c r="A135" t="s">
        <v>2940</v>
      </c>
      <c r="B135" t="s">
        <v>2939</v>
      </c>
      <c r="C135" t="s">
        <v>2940</v>
      </c>
      <c r="D135">
        <v>210</v>
      </c>
      <c r="E135">
        <v>6.73</v>
      </c>
    </row>
    <row r="136" spans="1:5">
      <c r="A136" t="s">
        <v>2938</v>
      </c>
      <c r="B136" t="s">
        <v>2936</v>
      </c>
      <c r="C136" t="s">
        <v>2938</v>
      </c>
      <c r="D136">
        <v>542</v>
      </c>
      <c r="E136">
        <v>4.16</v>
      </c>
    </row>
    <row r="137" spans="1:5">
      <c r="A137" t="s">
        <v>2937</v>
      </c>
      <c r="B137" t="s">
        <v>2936</v>
      </c>
      <c r="C137" t="s">
        <v>2937</v>
      </c>
      <c r="D137">
        <v>542</v>
      </c>
      <c r="E137">
        <v>4.16</v>
      </c>
    </row>
    <row r="138" spans="1:5">
      <c r="A138" t="s">
        <v>2935</v>
      </c>
      <c r="B138" t="s">
        <v>2934</v>
      </c>
      <c r="C138" t="s">
        <v>2935</v>
      </c>
      <c r="D138">
        <v>444</v>
      </c>
      <c r="E138">
        <v>4.1399999999999997</v>
      </c>
    </row>
    <row r="139" spans="1:5">
      <c r="A139" t="s">
        <v>5183</v>
      </c>
      <c r="B139" t="s">
        <v>195</v>
      </c>
      <c r="C139" t="s">
        <v>5183</v>
      </c>
      <c r="D139">
        <v>771</v>
      </c>
      <c r="E139">
        <v>1.72</v>
      </c>
    </row>
    <row r="140" spans="1:5">
      <c r="A140" t="s">
        <v>196</v>
      </c>
      <c r="B140" t="s">
        <v>195</v>
      </c>
      <c r="C140" t="s">
        <v>196</v>
      </c>
      <c r="D140">
        <v>771</v>
      </c>
      <c r="E140">
        <v>1.72</v>
      </c>
    </row>
    <row r="141" spans="1:5">
      <c r="A141" t="s">
        <v>5589</v>
      </c>
      <c r="B141" t="s">
        <v>2932</v>
      </c>
      <c r="C141" t="s">
        <v>5589</v>
      </c>
      <c r="D141">
        <v>184</v>
      </c>
      <c r="E141">
        <v>3.85</v>
      </c>
    </row>
    <row r="142" spans="1:5">
      <c r="A142" t="s">
        <v>2933</v>
      </c>
      <c r="B142" t="s">
        <v>2932</v>
      </c>
      <c r="C142" t="s">
        <v>2933</v>
      </c>
      <c r="D142">
        <v>184</v>
      </c>
      <c r="E142">
        <v>3.85</v>
      </c>
    </row>
    <row r="143" spans="1:5">
      <c r="A143" t="s">
        <v>6459</v>
      </c>
      <c r="B143" t="s">
        <v>6460</v>
      </c>
      <c r="C143" t="s">
        <v>6459</v>
      </c>
      <c r="D143" t="s">
        <v>192</v>
      </c>
      <c r="E143" t="s">
        <v>192</v>
      </c>
    </row>
    <row r="144" spans="1:5">
      <c r="A144" t="s">
        <v>6461</v>
      </c>
      <c r="B144" t="s">
        <v>2930</v>
      </c>
      <c r="C144" t="s">
        <v>6461</v>
      </c>
      <c r="D144">
        <v>389</v>
      </c>
      <c r="E144">
        <v>13.73</v>
      </c>
    </row>
    <row r="145" spans="1:5">
      <c r="A145" t="s">
        <v>2931</v>
      </c>
      <c r="B145" t="s">
        <v>2930</v>
      </c>
      <c r="C145" t="s">
        <v>2931</v>
      </c>
      <c r="D145">
        <v>389</v>
      </c>
      <c r="E145">
        <v>13.73</v>
      </c>
    </row>
    <row r="146" spans="1:5">
      <c r="A146" t="s">
        <v>2929</v>
      </c>
      <c r="B146" t="s">
        <v>2928</v>
      </c>
      <c r="C146" t="s">
        <v>2929</v>
      </c>
      <c r="D146">
        <v>2609</v>
      </c>
      <c r="E146">
        <v>12.3</v>
      </c>
    </row>
    <row r="147" spans="1:5">
      <c r="A147" t="s">
        <v>2927</v>
      </c>
      <c r="B147" t="s">
        <v>2925</v>
      </c>
      <c r="C147" t="s">
        <v>2927</v>
      </c>
      <c r="D147">
        <v>1156</v>
      </c>
      <c r="E147">
        <v>7.9</v>
      </c>
    </row>
    <row r="148" spans="1:5">
      <c r="A148" t="s">
        <v>2926</v>
      </c>
      <c r="B148" t="s">
        <v>2925</v>
      </c>
      <c r="C148" t="s">
        <v>2926</v>
      </c>
      <c r="D148">
        <v>1156</v>
      </c>
      <c r="E148">
        <v>7.9</v>
      </c>
    </row>
    <row r="149" spans="1:5">
      <c r="A149" t="s">
        <v>6462</v>
      </c>
      <c r="B149" t="s">
        <v>4762</v>
      </c>
      <c r="C149" t="s">
        <v>6462</v>
      </c>
      <c r="D149" t="s">
        <v>192</v>
      </c>
      <c r="E149" t="s">
        <v>192</v>
      </c>
    </row>
    <row r="150" spans="1:5">
      <c r="A150" t="s">
        <v>4761</v>
      </c>
      <c r="B150" t="s">
        <v>4762</v>
      </c>
      <c r="C150" t="s">
        <v>4761</v>
      </c>
      <c r="D150" t="s">
        <v>192</v>
      </c>
      <c r="E150" t="s">
        <v>192</v>
      </c>
    </row>
    <row r="151" spans="1:5">
      <c r="A151" t="s">
        <v>2924</v>
      </c>
      <c r="B151" t="s">
        <v>2923</v>
      </c>
      <c r="C151" t="s">
        <v>2924</v>
      </c>
      <c r="D151">
        <v>-97641</v>
      </c>
      <c r="E151">
        <v>-0.09</v>
      </c>
    </row>
    <row r="152" spans="1:5">
      <c r="A152" t="s">
        <v>2922</v>
      </c>
      <c r="B152" t="s">
        <v>2921</v>
      </c>
      <c r="C152" t="s">
        <v>2922</v>
      </c>
      <c r="D152">
        <v>325</v>
      </c>
      <c r="E152">
        <v>6.58</v>
      </c>
    </row>
    <row r="153" spans="1:5">
      <c r="A153" t="s">
        <v>2920</v>
      </c>
      <c r="B153" t="s">
        <v>2919</v>
      </c>
      <c r="C153" t="s">
        <v>2920</v>
      </c>
      <c r="D153">
        <v>1488</v>
      </c>
      <c r="E153">
        <v>3.53</v>
      </c>
    </row>
    <row r="154" spans="1:5">
      <c r="A154" t="s">
        <v>2918</v>
      </c>
      <c r="B154" t="s">
        <v>2917</v>
      </c>
      <c r="C154" t="s">
        <v>2918</v>
      </c>
      <c r="D154">
        <v>101</v>
      </c>
      <c r="E154">
        <v>16.38</v>
      </c>
    </row>
    <row r="155" spans="1:5">
      <c r="A155" t="s">
        <v>2916</v>
      </c>
      <c r="B155" t="s">
        <v>2915</v>
      </c>
      <c r="C155" t="s">
        <v>2916</v>
      </c>
      <c r="D155">
        <v>-65</v>
      </c>
      <c r="E155">
        <v>-84.46</v>
      </c>
    </row>
    <row r="156" spans="1:5">
      <c r="A156" t="s">
        <v>2914</v>
      </c>
      <c r="B156" t="s">
        <v>2913</v>
      </c>
      <c r="C156" t="s">
        <v>2914</v>
      </c>
      <c r="D156">
        <v>164</v>
      </c>
      <c r="E156">
        <v>29.27</v>
      </c>
    </row>
    <row r="157" spans="1:5">
      <c r="A157" t="s">
        <v>2912</v>
      </c>
      <c r="B157" t="s">
        <v>2911</v>
      </c>
      <c r="C157" t="s">
        <v>2912</v>
      </c>
      <c r="D157">
        <v>167</v>
      </c>
      <c r="E157">
        <v>13.84</v>
      </c>
    </row>
    <row r="158" spans="1:5">
      <c r="A158" t="s">
        <v>2910</v>
      </c>
      <c r="B158" t="s">
        <v>2909</v>
      </c>
      <c r="C158" t="s">
        <v>2910</v>
      </c>
      <c r="D158">
        <v>286</v>
      </c>
      <c r="E158">
        <v>19.86</v>
      </c>
    </row>
    <row r="159" spans="1:5">
      <c r="A159" t="s">
        <v>6463</v>
      </c>
      <c r="B159" t="s">
        <v>6464</v>
      </c>
      <c r="C159" t="s">
        <v>6463</v>
      </c>
      <c r="D159" t="s">
        <v>192</v>
      </c>
      <c r="E159" t="s">
        <v>192</v>
      </c>
    </row>
    <row r="160" spans="1:5">
      <c r="A160" t="s">
        <v>2908</v>
      </c>
      <c r="B160" t="s">
        <v>2906</v>
      </c>
      <c r="C160" t="s">
        <v>2908</v>
      </c>
      <c r="D160">
        <v>935</v>
      </c>
      <c r="E160">
        <v>6.61</v>
      </c>
    </row>
    <row r="161" spans="1:5">
      <c r="A161" t="s">
        <v>2907</v>
      </c>
      <c r="B161" t="s">
        <v>2906</v>
      </c>
      <c r="C161" t="s">
        <v>2907</v>
      </c>
      <c r="D161">
        <v>935</v>
      </c>
      <c r="E161">
        <v>6.61</v>
      </c>
    </row>
    <row r="162" spans="1:5">
      <c r="A162" t="s">
        <v>2905</v>
      </c>
      <c r="B162" t="s">
        <v>2904</v>
      </c>
      <c r="C162" t="s">
        <v>2905</v>
      </c>
      <c r="D162">
        <v>393</v>
      </c>
      <c r="E162">
        <v>4.9400000000000004</v>
      </c>
    </row>
    <row r="163" spans="1:5">
      <c r="A163" t="s">
        <v>4109</v>
      </c>
      <c r="B163" t="s">
        <v>2902</v>
      </c>
      <c r="C163" t="s">
        <v>4109</v>
      </c>
      <c r="D163">
        <v>253</v>
      </c>
      <c r="E163">
        <v>11.99</v>
      </c>
    </row>
    <row r="164" spans="1:5">
      <c r="A164" t="s">
        <v>2903</v>
      </c>
      <c r="B164" t="s">
        <v>2902</v>
      </c>
      <c r="C164" t="s">
        <v>2903</v>
      </c>
      <c r="D164">
        <v>253</v>
      </c>
      <c r="E164">
        <v>11.99</v>
      </c>
    </row>
    <row r="165" spans="1:5">
      <c r="A165" t="s">
        <v>2901</v>
      </c>
      <c r="B165" t="s">
        <v>2900</v>
      </c>
      <c r="C165" t="s">
        <v>2901</v>
      </c>
      <c r="D165">
        <v>846</v>
      </c>
      <c r="E165">
        <v>2.5299999999999998</v>
      </c>
    </row>
    <row r="166" spans="1:5">
      <c r="A166" t="s">
        <v>6324</v>
      </c>
      <c r="B166" t="s">
        <v>6325</v>
      </c>
      <c r="C166" t="s">
        <v>6324</v>
      </c>
      <c r="D166" t="s">
        <v>192</v>
      </c>
      <c r="E166" t="s">
        <v>192</v>
      </c>
    </row>
    <row r="167" spans="1:5">
      <c r="A167" t="s">
        <v>6272</v>
      </c>
      <c r="B167" t="s">
        <v>6273</v>
      </c>
      <c r="C167" t="s">
        <v>6272</v>
      </c>
      <c r="D167" t="s">
        <v>192</v>
      </c>
      <c r="E167" t="s">
        <v>192</v>
      </c>
    </row>
    <row r="168" spans="1:5">
      <c r="A168" t="s">
        <v>2899</v>
      </c>
      <c r="B168" t="s">
        <v>2898</v>
      </c>
      <c r="C168" t="s">
        <v>2899</v>
      </c>
      <c r="D168">
        <v>4590</v>
      </c>
      <c r="E168">
        <v>2.73</v>
      </c>
    </row>
    <row r="169" spans="1:5">
      <c r="A169" t="s">
        <v>2897</v>
      </c>
      <c r="B169" t="s">
        <v>2896</v>
      </c>
      <c r="C169" t="s">
        <v>2897</v>
      </c>
      <c r="D169">
        <v>1728</v>
      </c>
      <c r="E169">
        <v>6.27</v>
      </c>
    </row>
    <row r="170" spans="1:5">
      <c r="A170" t="s">
        <v>5410</v>
      </c>
      <c r="B170" t="s">
        <v>5411</v>
      </c>
      <c r="C170" t="s">
        <v>5410</v>
      </c>
      <c r="D170">
        <v>150</v>
      </c>
      <c r="E170">
        <v>118.53</v>
      </c>
    </row>
    <row r="171" spans="1:5">
      <c r="A171" t="s">
        <v>2895</v>
      </c>
      <c r="B171" t="s">
        <v>2894</v>
      </c>
      <c r="C171" t="s">
        <v>2895</v>
      </c>
      <c r="D171">
        <v>520</v>
      </c>
      <c r="E171">
        <v>10.46</v>
      </c>
    </row>
    <row r="172" spans="1:5">
      <c r="A172" t="s">
        <v>5177</v>
      </c>
      <c r="B172" t="s">
        <v>5178</v>
      </c>
      <c r="C172" t="s">
        <v>5177</v>
      </c>
      <c r="D172" t="s">
        <v>192</v>
      </c>
      <c r="E172" t="s">
        <v>192</v>
      </c>
    </row>
    <row r="173" spans="1:5">
      <c r="A173" t="s">
        <v>4929</v>
      </c>
      <c r="B173" t="s">
        <v>4930</v>
      </c>
      <c r="C173" t="s">
        <v>4929</v>
      </c>
      <c r="D173" t="s">
        <v>192</v>
      </c>
      <c r="E173" t="s">
        <v>192</v>
      </c>
    </row>
    <row r="174" spans="1:5">
      <c r="A174" t="s">
        <v>5462</v>
      </c>
      <c r="B174" t="s">
        <v>5463</v>
      </c>
      <c r="C174" t="s">
        <v>5462</v>
      </c>
      <c r="D174" t="s">
        <v>192</v>
      </c>
      <c r="E174" t="s">
        <v>192</v>
      </c>
    </row>
    <row r="175" spans="1:5">
      <c r="A175" t="s">
        <v>5115</v>
      </c>
      <c r="B175" t="s">
        <v>4116</v>
      </c>
      <c r="C175" t="s">
        <v>5115</v>
      </c>
      <c r="D175" t="s">
        <v>192</v>
      </c>
      <c r="E175" t="s">
        <v>192</v>
      </c>
    </row>
    <row r="176" spans="1:5">
      <c r="A176" t="s">
        <v>4115</v>
      </c>
      <c r="B176" t="s">
        <v>4116</v>
      </c>
      <c r="C176" t="s">
        <v>4115</v>
      </c>
      <c r="D176" t="s">
        <v>192</v>
      </c>
      <c r="E176" t="s">
        <v>192</v>
      </c>
    </row>
    <row r="177" spans="1:5">
      <c r="A177" t="s">
        <v>6465</v>
      </c>
      <c r="B177" t="s">
        <v>5005</v>
      </c>
      <c r="C177" t="s">
        <v>6465</v>
      </c>
      <c r="D177" t="s">
        <v>192</v>
      </c>
      <c r="E177" t="s">
        <v>192</v>
      </c>
    </row>
    <row r="178" spans="1:5">
      <c r="A178" t="s">
        <v>5004</v>
      </c>
      <c r="B178" t="s">
        <v>5005</v>
      </c>
      <c r="C178" t="s">
        <v>5004</v>
      </c>
      <c r="D178" t="s">
        <v>192</v>
      </c>
      <c r="E178" t="s">
        <v>192</v>
      </c>
    </row>
    <row r="179" spans="1:5">
      <c r="A179" t="s">
        <v>6289</v>
      </c>
      <c r="B179" t="s">
        <v>6290</v>
      </c>
      <c r="C179" t="s">
        <v>6289</v>
      </c>
      <c r="D179" t="s">
        <v>192</v>
      </c>
      <c r="E179" t="s">
        <v>192</v>
      </c>
    </row>
    <row r="180" spans="1:5">
      <c r="A180" t="s">
        <v>5957</v>
      </c>
      <c r="B180" t="s">
        <v>5958</v>
      </c>
      <c r="C180" t="s">
        <v>5957</v>
      </c>
      <c r="D180" t="s">
        <v>192</v>
      </c>
      <c r="E180" t="s">
        <v>192</v>
      </c>
    </row>
    <row r="181" spans="1:5">
      <c r="A181" t="s">
        <v>6466</v>
      </c>
      <c r="B181" t="s">
        <v>5727</v>
      </c>
      <c r="C181" t="s">
        <v>6466</v>
      </c>
      <c r="D181" t="s">
        <v>192</v>
      </c>
      <c r="E181" t="s">
        <v>192</v>
      </c>
    </row>
    <row r="182" spans="1:5">
      <c r="A182" t="s">
        <v>5726</v>
      </c>
      <c r="B182" t="s">
        <v>5727</v>
      </c>
      <c r="C182" t="s">
        <v>5726</v>
      </c>
      <c r="D182" t="s">
        <v>192</v>
      </c>
      <c r="E182" t="s">
        <v>192</v>
      </c>
    </row>
    <row r="183" spans="1:5">
      <c r="A183" t="s">
        <v>5826</v>
      </c>
      <c r="B183" t="s">
        <v>5827</v>
      </c>
      <c r="C183" t="s">
        <v>5826</v>
      </c>
      <c r="D183" t="s">
        <v>192</v>
      </c>
      <c r="E183" t="s">
        <v>192</v>
      </c>
    </row>
    <row r="184" spans="1:5">
      <c r="A184" t="s">
        <v>2893</v>
      </c>
      <c r="B184" t="s">
        <v>2891</v>
      </c>
      <c r="C184" t="s">
        <v>2893</v>
      </c>
      <c r="D184">
        <v>1017</v>
      </c>
      <c r="E184">
        <v>5.15</v>
      </c>
    </row>
    <row r="185" spans="1:5">
      <c r="A185" t="s">
        <v>2892</v>
      </c>
      <c r="B185" t="s">
        <v>2891</v>
      </c>
      <c r="C185" t="s">
        <v>2892</v>
      </c>
      <c r="D185">
        <v>1017</v>
      </c>
      <c r="E185">
        <v>5.15</v>
      </c>
    </row>
    <row r="186" spans="1:5">
      <c r="A186" t="s">
        <v>3305</v>
      </c>
      <c r="B186" t="s">
        <v>3306</v>
      </c>
      <c r="C186" t="s">
        <v>3305</v>
      </c>
      <c r="D186" t="s">
        <v>192</v>
      </c>
      <c r="E186" t="s">
        <v>192</v>
      </c>
    </row>
    <row r="187" spans="1:5">
      <c r="A187" t="s">
        <v>6467</v>
      </c>
      <c r="B187" t="s">
        <v>5312</v>
      </c>
      <c r="C187" t="s">
        <v>6467</v>
      </c>
      <c r="D187" t="s">
        <v>192</v>
      </c>
      <c r="E187" t="s">
        <v>192</v>
      </c>
    </row>
    <row r="188" spans="1:5">
      <c r="A188" t="s">
        <v>5311</v>
      </c>
      <c r="B188" t="s">
        <v>5312</v>
      </c>
      <c r="C188" t="s">
        <v>5311</v>
      </c>
      <c r="D188" t="s">
        <v>192</v>
      </c>
      <c r="E188" t="s">
        <v>192</v>
      </c>
    </row>
    <row r="189" spans="1:5">
      <c r="A189" t="s">
        <v>5321</v>
      </c>
      <c r="B189" t="s">
        <v>5322</v>
      </c>
      <c r="C189" t="s">
        <v>5321</v>
      </c>
      <c r="D189" t="s">
        <v>192</v>
      </c>
      <c r="E189" t="s">
        <v>192</v>
      </c>
    </row>
    <row r="190" spans="1:5">
      <c r="A190" t="s">
        <v>5866</v>
      </c>
      <c r="B190" t="s">
        <v>5322</v>
      </c>
      <c r="C190" t="s">
        <v>5866</v>
      </c>
      <c r="D190" t="s">
        <v>192</v>
      </c>
      <c r="E190" t="s">
        <v>192</v>
      </c>
    </row>
    <row r="191" spans="1:5">
      <c r="A191" t="s">
        <v>4842</v>
      </c>
      <c r="B191" t="s">
        <v>4843</v>
      </c>
      <c r="C191" t="s">
        <v>4842</v>
      </c>
      <c r="D191" t="s">
        <v>192</v>
      </c>
      <c r="E191" t="s">
        <v>192</v>
      </c>
    </row>
    <row r="192" spans="1:5">
      <c r="A192" t="s">
        <v>5686</v>
      </c>
      <c r="B192" t="s">
        <v>5687</v>
      </c>
      <c r="C192" t="s">
        <v>5686</v>
      </c>
      <c r="D192" t="s">
        <v>192</v>
      </c>
      <c r="E192" t="s">
        <v>192</v>
      </c>
    </row>
    <row r="193" spans="1:5">
      <c r="A193" t="s">
        <v>5786</v>
      </c>
      <c r="B193" t="s">
        <v>5687</v>
      </c>
      <c r="C193" t="s">
        <v>5786</v>
      </c>
      <c r="D193" t="s">
        <v>192</v>
      </c>
      <c r="E193" t="s">
        <v>192</v>
      </c>
    </row>
    <row r="194" spans="1:5">
      <c r="A194" t="s">
        <v>6107</v>
      </c>
      <c r="B194" t="s">
        <v>6108</v>
      </c>
      <c r="C194" t="s">
        <v>6107</v>
      </c>
      <c r="D194" t="s">
        <v>192</v>
      </c>
      <c r="E194" t="s">
        <v>192</v>
      </c>
    </row>
    <row r="195" spans="1:5">
      <c r="A195" t="s">
        <v>2890</v>
      </c>
      <c r="B195" t="s">
        <v>2888</v>
      </c>
      <c r="C195" t="s">
        <v>2890</v>
      </c>
      <c r="D195">
        <v>163</v>
      </c>
      <c r="E195">
        <v>17.170000000000002</v>
      </c>
    </row>
    <row r="196" spans="1:5">
      <c r="A196" t="s">
        <v>5517</v>
      </c>
      <c r="B196" t="s">
        <v>5518</v>
      </c>
      <c r="C196" t="s">
        <v>5517</v>
      </c>
      <c r="D196" t="s">
        <v>192</v>
      </c>
      <c r="E196" t="s">
        <v>192</v>
      </c>
    </row>
    <row r="197" spans="1:5">
      <c r="A197" t="s">
        <v>2889</v>
      </c>
      <c r="B197" t="s">
        <v>2888</v>
      </c>
      <c r="C197" t="s">
        <v>2889</v>
      </c>
      <c r="D197">
        <v>163</v>
      </c>
      <c r="E197">
        <v>17.170000000000002</v>
      </c>
    </row>
    <row r="198" spans="1:5">
      <c r="A198" t="s">
        <v>6468</v>
      </c>
      <c r="B198" t="s">
        <v>5140</v>
      </c>
      <c r="C198" t="s">
        <v>6468</v>
      </c>
      <c r="D198" t="s">
        <v>192</v>
      </c>
      <c r="E198" t="s">
        <v>192</v>
      </c>
    </row>
    <row r="199" spans="1:5">
      <c r="A199" t="s">
        <v>5139</v>
      </c>
      <c r="B199" t="s">
        <v>5140</v>
      </c>
      <c r="C199" t="s">
        <v>5139</v>
      </c>
      <c r="D199" t="s">
        <v>192</v>
      </c>
      <c r="E199" t="s">
        <v>192</v>
      </c>
    </row>
    <row r="200" spans="1:5">
      <c r="A200" t="s">
        <v>6199</v>
      </c>
      <c r="B200" t="s">
        <v>2886</v>
      </c>
      <c r="C200" t="s">
        <v>6199</v>
      </c>
      <c r="D200">
        <v>-12</v>
      </c>
      <c r="E200">
        <v>-29.17</v>
      </c>
    </row>
    <row r="201" spans="1:5">
      <c r="A201" t="s">
        <v>2887</v>
      </c>
      <c r="B201" t="s">
        <v>2886</v>
      </c>
      <c r="C201" t="s">
        <v>2887</v>
      </c>
      <c r="D201">
        <v>-12</v>
      </c>
      <c r="E201">
        <v>-29.17</v>
      </c>
    </row>
    <row r="202" spans="1:5">
      <c r="A202" t="s">
        <v>4803</v>
      </c>
      <c r="B202" t="s">
        <v>4804</v>
      </c>
      <c r="C202" t="s">
        <v>4803</v>
      </c>
      <c r="D202" t="s">
        <v>192</v>
      </c>
      <c r="E202" t="s">
        <v>192</v>
      </c>
    </row>
    <row r="203" spans="1:5">
      <c r="A203" t="s">
        <v>5026</v>
      </c>
      <c r="B203" t="s">
        <v>5027</v>
      </c>
      <c r="C203" t="s">
        <v>5026</v>
      </c>
      <c r="D203" t="s">
        <v>192</v>
      </c>
      <c r="E203" t="s">
        <v>192</v>
      </c>
    </row>
    <row r="204" spans="1:5">
      <c r="A204" t="s">
        <v>1209</v>
      </c>
      <c r="B204" t="s">
        <v>3309</v>
      </c>
      <c r="C204" t="s">
        <v>1209</v>
      </c>
      <c r="D204" t="s">
        <v>192</v>
      </c>
      <c r="E204" t="s">
        <v>192</v>
      </c>
    </row>
    <row r="205" spans="1:5">
      <c r="A205" t="s">
        <v>5010</v>
      </c>
      <c r="B205" t="s">
        <v>5011</v>
      </c>
      <c r="C205" t="s">
        <v>5010</v>
      </c>
      <c r="D205" t="s">
        <v>192</v>
      </c>
      <c r="E205" t="s">
        <v>192</v>
      </c>
    </row>
    <row r="206" spans="1:5">
      <c r="A206" t="s">
        <v>5094</v>
      </c>
      <c r="B206" t="s">
        <v>5095</v>
      </c>
      <c r="C206" t="s">
        <v>5094</v>
      </c>
      <c r="D206" t="s">
        <v>192</v>
      </c>
      <c r="E206" t="s">
        <v>192</v>
      </c>
    </row>
    <row r="207" spans="1:5">
      <c r="A207" t="s">
        <v>5834</v>
      </c>
      <c r="B207" t="s">
        <v>5835</v>
      </c>
      <c r="C207" t="s">
        <v>5834</v>
      </c>
      <c r="D207" t="s">
        <v>192</v>
      </c>
      <c r="E207" t="s">
        <v>192</v>
      </c>
    </row>
    <row r="208" spans="1:5">
      <c r="A208" t="s">
        <v>2885</v>
      </c>
      <c r="B208" t="s">
        <v>2884</v>
      </c>
      <c r="C208" t="s">
        <v>2885</v>
      </c>
      <c r="D208">
        <v>5709</v>
      </c>
      <c r="E208">
        <v>9.17</v>
      </c>
    </row>
    <row r="209" spans="1:5">
      <c r="A209" t="s">
        <v>2883</v>
      </c>
      <c r="B209" t="s">
        <v>2882</v>
      </c>
      <c r="C209" t="s">
        <v>2883</v>
      </c>
      <c r="D209">
        <v>1993</v>
      </c>
      <c r="E209">
        <v>7.79</v>
      </c>
    </row>
    <row r="210" spans="1:5">
      <c r="A210" t="s">
        <v>6342</v>
      </c>
      <c r="B210" t="s">
        <v>6343</v>
      </c>
      <c r="C210" t="s">
        <v>6342</v>
      </c>
      <c r="D210" t="s">
        <v>192</v>
      </c>
      <c r="E210" t="s">
        <v>192</v>
      </c>
    </row>
    <row r="211" spans="1:5">
      <c r="A211" t="s">
        <v>2881</v>
      </c>
      <c r="B211" t="s">
        <v>2880</v>
      </c>
      <c r="C211" t="s">
        <v>2881</v>
      </c>
      <c r="D211">
        <v>-47</v>
      </c>
      <c r="E211">
        <v>-150</v>
      </c>
    </row>
    <row r="212" spans="1:5">
      <c r="A212" t="s">
        <v>2879</v>
      </c>
      <c r="B212" t="s">
        <v>2876</v>
      </c>
      <c r="C212" t="s">
        <v>2879</v>
      </c>
      <c r="D212">
        <v>1170</v>
      </c>
      <c r="E212">
        <v>5.38</v>
      </c>
    </row>
    <row r="213" spans="1:5">
      <c r="A213" t="s">
        <v>2878</v>
      </c>
      <c r="B213" t="s">
        <v>2876</v>
      </c>
      <c r="C213" t="s">
        <v>2878</v>
      </c>
      <c r="D213">
        <v>1170</v>
      </c>
      <c r="E213">
        <v>5.26</v>
      </c>
    </row>
    <row r="214" spans="1:5">
      <c r="A214" t="s">
        <v>5613</v>
      </c>
      <c r="B214" t="s">
        <v>5614</v>
      </c>
      <c r="C214" t="s">
        <v>5613</v>
      </c>
      <c r="D214" t="s">
        <v>192</v>
      </c>
      <c r="E214" t="s">
        <v>192</v>
      </c>
    </row>
    <row r="215" spans="1:5">
      <c r="A215" t="s">
        <v>2877</v>
      </c>
      <c r="B215" t="s">
        <v>2876</v>
      </c>
      <c r="C215" t="s">
        <v>2877</v>
      </c>
      <c r="D215">
        <v>1170</v>
      </c>
      <c r="E215">
        <v>5.38</v>
      </c>
    </row>
    <row r="216" spans="1:5">
      <c r="A216" t="s">
        <v>2875</v>
      </c>
      <c r="B216" t="s">
        <v>2874</v>
      </c>
      <c r="C216" t="s">
        <v>2875</v>
      </c>
      <c r="D216">
        <v>283</v>
      </c>
      <c r="E216">
        <v>18.37</v>
      </c>
    </row>
    <row r="217" spans="1:5">
      <c r="A217" t="s">
        <v>2873</v>
      </c>
      <c r="B217" t="s">
        <v>154</v>
      </c>
      <c r="C217" t="s">
        <v>2873</v>
      </c>
      <c r="D217">
        <v>5591</v>
      </c>
      <c r="E217">
        <v>10.23</v>
      </c>
    </row>
    <row r="218" spans="1:5">
      <c r="A218" t="s">
        <v>155</v>
      </c>
      <c r="B218" t="s">
        <v>154</v>
      </c>
      <c r="C218" t="s">
        <v>155</v>
      </c>
      <c r="D218">
        <v>5591</v>
      </c>
      <c r="E218">
        <v>10.23</v>
      </c>
    </row>
    <row r="219" spans="1:5">
      <c r="A219" t="s">
        <v>5507</v>
      </c>
      <c r="B219" t="s">
        <v>5508</v>
      </c>
      <c r="C219" t="s">
        <v>5507</v>
      </c>
      <c r="D219" t="s">
        <v>192</v>
      </c>
      <c r="E219" t="s">
        <v>192</v>
      </c>
    </row>
    <row r="220" spans="1:5">
      <c r="A220" t="s">
        <v>5973</v>
      </c>
      <c r="B220" t="s">
        <v>5974</v>
      </c>
      <c r="C220" t="s">
        <v>5973</v>
      </c>
      <c r="D220" t="s">
        <v>192</v>
      </c>
      <c r="E220" t="s">
        <v>192</v>
      </c>
    </row>
    <row r="221" spans="1:5">
      <c r="A221" t="s">
        <v>5745</v>
      </c>
      <c r="B221" t="s">
        <v>3388</v>
      </c>
      <c r="C221" t="s">
        <v>5745</v>
      </c>
      <c r="D221" t="s">
        <v>192</v>
      </c>
      <c r="E221" t="s">
        <v>192</v>
      </c>
    </row>
    <row r="222" spans="1:5">
      <c r="A222" t="s">
        <v>3387</v>
      </c>
      <c r="B222" t="s">
        <v>3388</v>
      </c>
      <c r="C222" t="s">
        <v>3387</v>
      </c>
      <c r="D222" t="s">
        <v>192</v>
      </c>
      <c r="E222" t="s">
        <v>192</v>
      </c>
    </row>
    <row r="223" spans="1:5">
      <c r="A223" t="s">
        <v>6365</v>
      </c>
      <c r="B223" t="s">
        <v>6366</v>
      </c>
      <c r="C223" t="s">
        <v>6365</v>
      </c>
      <c r="D223" t="s">
        <v>192</v>
      </c>
      <c r="E223" t="s">
        <v>192</v>
      </c>
    </row>
    <row r="224" spans="1:5">
      <c r="A224" t="s">
        <v>2872</v>
      </c>
      <c r="B224" t="s">
        <v>2871</v>
      </c>
      <c r="C224" t="s">
        <v>2872</v>
      </c>
      <c r="D224">
        <v>818</v>
      </c>
      <c r="E224">
        <v>9.07</v>
      </c>
    </row>
    <row r="225" spans="1:5">
      <c r="A225" t="s">
        <v>2870</v>
      </c>
      <c r="B225" t="s">
        <v>2869</v>
      </c>
      <c r="C225" t="s">
        <v>2870</v>
      </c>
      <c r="D225">
        <v>957</v>
      </c>
      <c r="E225">
        <v>3.14</v>
      </c>
    </row>
    <row r="226" spans="1:5">
      <c r="A226" t="s">
        <v>11</v>
      </c>
      <c r="B226" t="s">
        <v>2869</v>
      </c>
      <c r="C226" t="s">
        <v>11</v>
      </c>
      <c r="D226">
        <v>957</v>
      </c>
      <c r="E226">
        <v>3.14</v>
      </c>
    </row>
    <row r="227" spans="1:5">
      <c r="A227" t="s">
        <v>3245</v>
      </c>
      <c r="B227" t="s">
        <v>3246</v>
      </c>
      <c r="C227" t="s">
        <v>3245</v>
      </c>
      <c r="D227" t="s">
        <v>192</v>
      </c>
      <c r="E227" t="s">
        <v>192</v>
      </c>
    </row>
    <row r="228" spans="1:5">
      <c r="A228" t="s">
        <v>5774</v>
      </c>
      <c r="B228" t="s">
        <v>5775</v>
      </c>
      <c r="C228" t="s">
        <v>5774</v>
      </c>
      <c r="D228" t="s">
        <v>192</v>
      </c>
      <c r="E228" t="s">
        <v>192</v>
      </c>
    </row>
    <row r="229" spans="1:5">
      <c r="A229" t="s">
        <v>3405</v>
      </c>
      <c r="B229" t="s">
        <v>3406</v>
      </c>
      <c r="C229" t="s">
        <v>3405</v>
      </c>
      <c r="D229" t="s">
        <v>192</v>
      </c>
      <c r="E229" t="s">
        <v>192</v>
      </c>
    </row>
    <row r="230" spans="1:5">
      <c r="A230" t="s">
        <v>6102</v>
      </c>
      <c r="B230" t="s">
        <v>3280</v>
      </c>
      <c r="C230" t="s">
        <v>6102</v>
      </c>
      <c r="D230" t="s">
        <v>192</v>
      </c>
      <c r="E230" t="s">
        <v>192</v>
      </c>
    </row>
    <row r="231" spans="1:5">
      <c r="A231" t="s">
        <v>6469</v>
      </c>
      <c r="B231" t="s">
        <v>5383</v>
      </c>
      <c r="C231" t="s">
        <v>6469</v>
      </c>
      <c r="D231" t="s">
        <v>192</v>
      </c>
      <c r="E231" t="s">
        <v>192</v>
      </c>
    </row>
    <row r="232" spans="1:5">
      <c r="A232" t="s">
        <v>5382</v>
      </c>
      <c r="B232" t="s">
        <v>5383</v>
      </c>
      <c r="C232" t="s">
        <v>5382</v>
      </c>
      <c r="D232" t="s">
        <v>192</v>
      </c>
      <c r="E232" t="s">
        <v>192</v>
      </c>
    </row>
    <row r="233" spans="1:5">
      <c r="A233" t="s">
        <v>4807</v>
      </c>
      <c r="B233" t="s">
        <v>4808</v>
      </c>
      <c r="C233" t="s">
        <v>4807</v>
      </c>
      <c r="D233" t="s">
        <v>192</v>
      </c>
      <c r="E233" t="s">
        <v>192</v>
      </c>
    </row>
    <row r="234" spans="1:5">
      <c r="A234" t="s">
        <v>3259</v>
      </c>
      <c r="B234" t="s">
        <v>3260</v>
      </c>
      <c r="C234" t="s">
        <v>3259</v>
      </c>
      <c r="D234" t="s">
        <v>192</v>
      </c>
      <c r="E234" t="s">
        <v>192</v>
      </c>
    </row>
    <row r="235" spans="1:5">
      <c r="A235" t="s">
        <v>5265</v>
      </c>
      <c r="B235" t="s">
        <v>5266</v>
      </c>
      <c r="C235" t="s">
        <v>5265</v>
      </c>
      <c r="D235" t="s">
        <v>192</v>
      </c>
      <c r="E235" t="s">
        <v>192</v>
      </c>
    </row>
    <row r="236" spans="1:5">
      <c r="A236" t="s">
        <v>5684</v>
      </c>
      <c r="B236" t="s">
        <v>6470</v>
      </c>
      <c r="C236" t="s">
        <v>5684</v>
      </c>
      <c r="D236" t="s">
        <v>192</v>
      </c>
      <c r="E236" t="s">
        <v>192</v>
      </c>
    </row>
    <row r="237" spans="1:5">
      <c r="A237" t="s">
        <v>6471</v>
      </c>
      <c r="B237" t="s">
        <v>3380</v>
      </c>
      <c r="C237" t="s">
        <v>6471</v>
      </c>
      <c r="D237" t="s">
        <v>192</v>
      </c>
      <c r="E237" t="s">
        <v>192</v>
      </c>
    </row>
    <row r="238" spans="1:5">
      <c r="A238" t="s">
        <v>3379</v>
      </c>
      <c r="B238" t="s">
        <v>3380</v>
      </c>
      <c r="C238" t="s">
        <v>3379</v>
      </c>
      <c r="D238" t="s">
        <v>192</v>
      </c>
      <c r="E238" t="s">
        <v>192</v>
      </c>
    </row>
    <row r="239" spans="1:5">
      <c r="A239" t="s">
        <v>6013</v>
      </c>
      <c r="B239" t="s">
        <v>6014</v>
      </c>
      <c r="C239" t="s">
        <v>6013</v>
      </c>
      <c r="D239" t="s">
        <v>192</v>
      </c>
      <c r="E239" t="s">
        <v>192</v>
      </c>
    </row>
    <row r="240" spans="1:5">
      <c r="A240" t="s">
        <v>2868</v>
      </c>
      <c r="B240" t="s">
        <v>2867</v>
      </c>
      <c r="C240" t="s">
        <v>2868</v>
      </c>
      <c r="D240">
        <v>399</v>
      </c>
      <c r="E240">
        <v>11.51</v>
      </c>
    </row>
    <row r="241" spans="1:5">
      <c r="A241" t="s">
        <v>5910</v>
      </c>
      <c r="B241" t="s">
        <v>5911</v>
      </c>
      <c r="C241" t="s">
        <v>5910</v>
      </c>
      <c r="D241" t="s">
        <v>192</v>
      </c>
      <c r="E241" t="s">
        <v>192</v>
      </c>
    </row>
    <row r="242" spans="1:5">
      <c r="A242" t="s">
        <v>6186</v>
      </c>
      <c r="B242" t="s">
        <v>6187</v>
      </c>
      <c r="C242" t="s">
        <v>6186</v>
      </c>
      <c r="D242" t="s">
        <v>192</v>
      </c>
      <c r="E242" t="s">
        <v>192</v>
      </c>
    </row>
    <row r="243" spans="1:5">
      <c r="A243" t="s">
        <v>2866</v>
      </c>
      <c r="B243" t="s">
        <v>2865</v>
      </c>
      <c r="C243" t="s">
        <v>2866</v>
      </c>
      <c r="D243">
        <v>1992</v>
      </c>
      <c r="E243">
        <v>10.72</v>
      </c>
    </row>
    <row r="244" spans="1:5">
      <c r="A244" t="s">
        <v>2864</v>
      </c>
      <c r="B244" t="s">
        <v>2863</v>
      </c>
      <c r="C244" t="s">
        <v>2864</v>
      </c>
      <c r="D244">
        <v>1332</v>
      </c>
      <c r="E244">
        <v>6.44</v>
      </c>
    </row>
    <row r="245" spans="1:5">
      <c r="A245" t="s">
        <v>208</v>
      </c>
      <c r="B245" t="s">
        <v>207</v>
      </c>
      <c r="C245" t="s">
        <v>208</v>
      </c>
      <c r="D245" t="s">
        <v>192</v>
      </c>
      <c r="E245" t="s">
        <v>192</v>
      </c>
    </row>
    <row r="246" spans="1:5">
      <c r="A246" t="s">
        <v>2862</v>
      </c>
      <c r="B246" t="s">
        <v>2860</v>
      </c>
      <c r="C246" t="s">
        <v>2862</v>
      </c>
      <c r="D246">
        <v>310</v>
      </c>
      <c r="E246">
        <v>19.899999999999999</v>
      </c>
    </row>
    <row r="247" spans="1:5">
      <c r="A247" t="s">
        <v>2861</v>
      </c>
      <c r="B247" t="s">
        <v>2860</v>
      </c>
      <c r="C247" t="s">
        <v>2861</v>
      </c>
      <c r="D247">
        <v>310</v>
      </c>
      <c r="E247">
        <v>20.03</v>
      </c>
    </row>
    <row r="248" spans="1:5">
      <c r="A248" t="s">
        <v>6472</v>
      </c>
      <c r="B248" t="s">
        <v>6323</v>
      </c>
      <c r="C248" t="s">
        <v>6472</v>
      </c>
      <c r="D248" t="s">
        <v>192</v>
      </c>
      <c r="E248" t="s">
        <v>192</v>
      </c>
    </row>
    <row r="249" spans="1:5">
      <c r="A249" t="s">
        <v>6322</v>
      </c>
      <c r="B249" t="s">
        <v>6323</v>
      </c>
      <c r="C249" t="s">
        <v>6322</v>
      </c>
      <c r="D249" t="s">
        <v>192</v>
      </c>
      <c r="E249" t="s">
        <v>192</v>
      </c>
    </row>
    <row r="250" spans="1:5">
      <c r="A250" t="s">
        <v>3283</v>
      </c>
      <c r="B250" t="s">
        <v>3284</v>
      </c>
      <c r="C250" t="s">
        <v>3283</v>
      </c>
      <c r="D250" t="s">
        <v>192</v>
      </c>
      <c r="E250" t="s">
        <v>192</v>
      </c>
    </row>
    <row r="251" spans="1:5">
      <c r="A251" t="s">
        <v>6062</v>
      </c>
      <c r="B251" t="s">
        <v>6063</v>
      </c>
      <c r="C251" t="s">
        <v>6062</v>
      </c>
      <c r="D251" t="s">
        <v>192</v>
      </c>
      <c r="E251" t="s">
        <v>192</v>
      </c>
    </row>
    <row r="252" spans="1:5">
      <c r="A252" t="s">
        <v>2859</v>
      </c>
      <c r="B252" t="s">
        <v>2856</v>
      </c>
      <c r="C252" t="s">
        <v>2859</v>
      </c>
      <c r="D252">
        <v>830</v>
      </c>
      <c r="E252">
        <v>7.8</v>
      </c>
    </row>
    <row r="253" spans="1:5">
      <c r="A253" t="s">
        <v>2858</v>
      </c>
      <c r="B253" t="s">
        <v>2856</v>
      </c>
      <c r="C253" t="s">
        <v>2858</v>
      </c>
      <c r="D253">
        <v>830</v>
      </c>
      <c r="E253">
        <v>7.86</v>
      </c>
    </row>
    <row r="254" spans="1:5">
      <c r="A254" t="s">
        <v>2857</v>
      </c>
      <c r="B254" t="s">
        <v>2856</v>
      </c>
      <c r="C254" t="s">
        <v>2857</v>
      </c>
      <c r="D254">
        <v>830</v>
      </c>
      <c r="E254">
        <v>7.8</v>
      </c>
    </row>
    <row r="255" spans="1:5">
      <c r="A255" t="s">
        <v>2855</v>
      </c>
      <c r="B255" t="s">
        <v>2854</v>
      </c>
      <c r="C255" t="s">
        <v>2855</v>
      </c>
      <c r="D255">
        <v>517</v>
      </c>
      <c r="E255">
        <v>7.38</v>
      </c>
    </row>
    <row r="256" spans="1:5">
      <c r="A256" t="s">
        <v>4682</v>
      </c>
      <c r="B256" t="s">
        <v>4683</v>
      </c>
      <c r="C256" t="s">
        <v>4682</v>
      </c>
      <c r="D256" t="s">
        <v>192</v>
      </c>
      <c r="E256" t="s">
        <v>192</v>
      </c>
    </row>
    <row r="257" spans="1:5">
      <c r="A257" t="s">
        <v>3843</v>
      </c>
      <c r="B257" t="s">
        <v>3844</v>
      </c>
      <c r="C257" t="s">
        <v>3843</v>
      </c>
      <c r="D257" t="s">
        <v>192</v>
      </c>
      <c r="E257" t="s">
        <v>192</v>
      </c>
    </row>
    <row r="258" spans="1:5">
      <c r="A258" t="s">
        <v>5408</v>
      </c>
      <c r="B258" t="s">
        <v>5409</v>
      </c>
      <c r="C258" t="s">
        <v>5408</v>
      </c>
      <c r="D258" t="s">
        <v>192</v>
      </c>
      <c r="E258" t="s">
        <v>192</v>
      </c>
    </row>
    <row r="259" spans="1:5">
      <c r="A259" t="s">
        <v>5022</v>
      </c>
      <c r="B259" t="s">
        <v>5023</v>
      </c>
      <c r="C259" t="s">
        <v>5022</v>
      </c>
      <c r="D259" t="s">
        <v>192</v>
      </c>
      <c r="E259" t="s">
        <v>192</v>
      </c>
    </row>
    <row r="260" spans="1:5">
      <c r="A260" t="s">
        <v>3177</v>
      </c>
      <c r="B260" t="s">
        <v>3178</v>
      </c>
      <c r="C260" t="s">
        <v>3177</v>
      </c>
      <c r="D260" t="s">
        <v>192</v>
      </c>
      <c r="E260" t="s">
        <v>192</v>
      </c>
    </row>
    <row r="261" spans="1:5">
      <c r="A261" t="s">
        <v>5379</v>
      </c>
      <c r="B261" t="s">
        <v>3178</v>
      </c>
      <c r="C261" t="s">
        <v>5379</v>
      </c>
      <c r="D261" t="s">
        <v>192</v>
      </c>
      <c r="E261" t="s">
        <v>192</v>
      </c>
    </row>
    <row r="262" spans="1:5">
      <c r="A262" t="s">
        <v>5539</v>
      </c>
      <c r="B262" t="s">
        <v>2852</v>
      </c>
      <c r="C262" t="s">
        <v>5539</v>
      </c>
      <c r="D262">
        <v>-25</v>
      </c>
      <c r="E262">
        <v>-83</v>
      </c>
    </row>
    <row r="263" spans="1:5">
      <c r="A263" t="s">
        <v>6473</v>
      </c>
      <c r="B263" t="s">
        <v>2852</v>
      </c>
      <c r="C263" t="s">
        <v>6473</v>
      </c>
      <c r="D263">
        <v>-25</v>
      </c>
      <c r="E263">
        <v>-84.2</v>
      </c>
    </row>
    <row r="264" spans="1:5">
      <c r="A264" t="s">
        <v>2853</v>
      </c>
      <c r="B264" t="s">
        <v>2852</v>
      </c>
      <c r="C264" t="s">
        <v>2853</v>
      </c>
      <c r="D264">
        <v>-25</v>
      </c>
      <c r="E264">
        <v>-83</v>
      </c>
    </row>
    <row r="265" spans="1:5">
      <c r="A265" t="s">
        <v>5053</v>
      </c>
      <c r="B265" t="s">
        <v>5054</v>
      </c>
      <c r="C265" t="s">
        <v>5053</v>
      </c>
      <c r="D265" t="s">
        <v>192</v>
      </c>
      <c r="E265" t="s">
        <v>192</v>
      </c>
    </row>
    <row r="266" spans="1:5">
      <c r="A266" t="s">
        <v>5633</v>
      </c>
      <c r="B266" t="s">
        <v>2850</v>
      </c>
      <c r="C266" t="s">
        <v>5633</v>
      </c>
      <c r="D266">
        <v>93</v>
      </c>
      <c r="E266">
        <v>76.989999999999995</v>
      </c>
    </row>
    <row r="267" spans="1:5">
      <c r="A267" t="s">
        <v>2851</v>
      </c>
      <c r="B267" t="s">
        <v>2850</v>
      </c>
      <c r="C267" t="s">
        <v>2851</v>
      </c>
      <c r="D267">
        <v>93</v>
      </c>
      <c r="E267">
        <v>76.989999999999995</v>
      </c>
    </row>
    <row r="268" spans="1:5">
      <c r="A268" t="s">
        <v>3369</v>
      </c>
      <c r="B268" t="s">
        <v>3370</v>
      </c>
      <c r="C268" t="s">
        <v>3369</v>
      </c>
      <c r="D268" t="s">
        <v>192</v>
      </c>
      <c r="E268" t="s">
        <v>192</v>
      </c>
    </row>
    <row r="269" spans="1:5">
      <c r="A269" t="s">
        <v>3942</v>
      </c>
      <c r="B269" t="s">
        <v>3943</v>
      </c>
      <c r="C269" t="s">
        <v>3942</v>
      </c>
      <c r="D269" t="s">
        <v>192</v>
      </c>
      <c r="E269" t="s">
        <v>192</v>
      </c>
    </row>
    <row r="270" spans="1:5">
      <c r="A270" t="s">
        <v>4669</v>
      </c>
      <c r="B270" t="s">
        <v>4670</v>
      </c>
      <c r="C270" t="s">
        <v>4669</v>
      </c>
      <c r="D270" t="s">
        <v>192</v>
      </c>
      <c r="E270" t="s">
        <v>192</v>
      </c>
    </row>
    <row r="271" spans="1:5">
      <c r="A271" t="s">
        <v>5143</v>
      </c>
      <c r="B271" t="s">
        <v>5144</v>
      </c>
      <c r="C271" t="s">
        <v>5143</v>
      </c>
      <c r="D271" t="s">
        <v>192</v>
      </c>
      <c r="E271" t="s">
        <v>192</v>
      </c>
    </row>
    <row r="272" spans="1:5">
      <c r="A272" t="s">
        <v>2849</v>
      </c>
      <c r="B272" t="s">
        <v>2848</v>
      </c>
      <c r="C272" t="s">
        <v>2849</v>
      </c>
      <c r="D272">
        <v>353</v>
      </c>
      <c r="E272">
        <v>7.91</v>
      </c>
    </row>
    <row r="273" spans="1:5">
      <c r="A273" t="s">
        <v>2847</v>
      </c>
      <c r="B273" t="s">
        <v>2845</v>
      </c>
      <c r="C273" t="s">
        <v>2847</v>
      </c>
      <c r="D273">
        <v>1608</v>
      </c>
      <c r="E273">
        <v>5.87</v>
      </c>
    </row>
    <row r="274" spans="1:5">
      <c r="A274" t="s">
        <v>2846</v>
      </c>
      <c r="B274" t="s">
        <v>2845</v>
      </c>
      <c r="C274" t="s">
        <v>2846</v>
      </c>
      <c r="D274">
        <v>1608</v>
      </c>
      <c r="E274">
        <v>5.87</v>
      </c>
    </row>
    <row r="275" spans="1:5">
      <c r="A275" t="s">
        <v>2844</v>
      </c>
      <c r="B275" t="s">
        <v>2842</v>
      </c>
      <c r="C275" t="s">
        <v>2844</v>
      </c>
      <c r="D275">
        <v>646</v>
      </c>
      <c r="E275">
        <v>3.32</v>
      </c>
    </row>
    <row r="276" spans="1:5">
      <c r="A276" t="s">
        <v>2843</v>
      </c>
      <c r="B276" t="s">
        <v>2842</v>
      </c>
      <c r="C276" t="s">
        <v>2843</v>
      </c>
      <c r="D276">
        <v>646</v>
      </c>
      <c r="E276">
        <v>3.32</v>
      </c>
    </row>
    <row r="277" spans="1:5">
      <c r="A277" t="s">
        <v>5000</v>
      </c>
      <c r="B277" t="s">
        <v>5001</v>
      </c>
      <c r="C277" t="s">
        <v>5000</v>
      </c>
      <c r="D277" t="s">
        <v>192</v>
      </c>
      <c r="E277" t="s">
        <v>192</v>
      </c>
    </row>
    <row r="278" spans="1:5">
      <c r="A278" t="s">
        <v>5977</v>
      </c>
      <c r="B278" t="s">
        <v>5978</v>
      </c>
      <c r="C278" t="s">
        <v>5977</v>
      </c>
      <c r="D278" t="s">
        <v>192</v>
      </c>
      <c r="E278" t="s">
        <v>192</v>
      </c>
    </row>
    <row r="279" spans="1:5">
      <c r="A279" t="s">
        <v>5168</v>
      </c>
      <c r="B279" t="s">
        <v>5169</v>
      </c>
      <c r="C279" t="s">
        <v>5168</v>
      </c>
      <c r="D279" t="s">
        <v>192</v>
      </c>
      <c r="E279" t="s">
        <v>192</v>
      </c>
    </row>
    <row r="280" spans="1:5">
      <c r="A280" t="s">
        <v>5950</v>
      </c>
      <c r="B280" t="s">
        <v>5951</v>
      </c>
      <c r="C280" t="s">
        <v>5950</v>
      </c>
      <c r="D280" t="s">
        <v>192</v>
      </c>
      <c r="E280" t="s">
        <v>192</v>
      </c>
    </row>
    <row r="281" spans="1:5">
      <c r="A281" t="s">
        <v>2841</v>
      </c>
      <c r="B281" t="s">
        <v>2840</v>
      </c>
      <c r="C281" t="s">
        <v>2841</v>
      </c>
      <c r="D281">
        <v>-75</v>
      </c>
      <c r="E281">
        <v>-93.07</v>
      </c>
    </row>
    <row r="282" spans="1:5">
      <c r="A282" t="s">
        <v>2839</v>
      </c>
      <c r="B282" t="s">
        <v>2838</v>
      </c>
      <c r="C282" t="s">
        <v>2839</v>
      </c>
      <c r="D282">
        <v>439</v>
      </c>
      <c r="E282">
        <v>5.7</v>
      </c>
    </row>
    <row r="283" spans="1:5">
      <c r="A283" t="s">
        <v>3253</v>
      </c>
      <c r="B283" t="s">
        <v>3254</v>
      </c>
      <c r="C283" t="s">
        <v>3253</v>
      </c>
      <c r="D283" t="s">
        <v>192</v>
      </c>
      <c r="E283" t="s">
        <v>192</v>
      </c>
    </row>
    <row r="284" spans="1:5">
      <c r="A284" t="s">
        <v>4568</v>
      </c>
      <c r="B284" t="s">
        <v>4569</v>
      </c>
      <c r="C284" t="s">
        <v>4568</v>
      </c>
      <c r="D284" t="s">
        <v>192</v>
      </c>
      <c r="E284" t="s">
        <v>192</v>
      </c>
    </row>
    <row r="285" spans="1:5">
      <c r="A285" t="s">
        <v>6180</v>
      </c>
      <c r="B285" t="s">
        <v>6181</v>
      </c>
      <c r="C285" t="s">
        <v>6180</v>
      </c>
      <c r="D285" t="s">
        <v>192</v>
      </c>
      <c r="E285" t="s">
        <v>192</v>
      </c>
    </row>
    <row r="286" spans="1:5">
      <c r="A286" t="s">
        <v>6246</v>
      </c>
      <c r="B286" t="s">
        <v>6247</v>
      </c>
      <c r="C286" t="s">
        <v>6246</v>
      </c>
      <c r="D286" t="s">
        <v>192</v>
      </c>
      <c r="E286" t="s">
        <v>192</v>
      </c>
    </row>
    <row r="287" spans="1:5">
      <c r="A287" t="s">
        <v>3322</v>
      </c>
      <c r="B287" t="s">
        <v>3323</v>
      </c>
      <c r="C287" t="s">
        <v>3322</v>
      </c>
      <c r="D287" t="s">
        <v>192</v>
      </c>
      <c r="E287" t="s">
        <v>192</v>
      </c>
    </row>
    <row r="288" spans="1:5">
      <c r="A288" t="s">
        <v>6331</v>
      </c>
      <c r="B288" t="s">
        <v>6332</v>
      </c>
      <c r="C288" t="s">
        <v>6331</v>
      </c>
      <c r="D288" t="s">
        <v>192</v>
      </c>
      <c r="E288" t="s">
        <v>192</v>
      </c>
    </row>
    <row r="289" spans="1:5">
      <c r="A289" t="s">
        <v>5677</v>
      </c>
      <c r="B289" t="s">
        <v>5678</v>
      </c>
      <c r="C289" t="s">
        <v>5677</v>
      </c>
      <c r="D289" t="s">
        <v>192</v>
      </c>
      <c r="E289" t="s">
        <v>192</v>
      </c>
    </row>
    <row r="290" spans="1:5">
      <c r="A290" t="s">
        <v>2837</v>
      </c>
      <c r="B290" t="s">
        <v>2836</v>
      </c>
      <c r="C290" t="s">
        <v>2837</v>
      </c>
      <c r="D290">
        <v>84</v>
      </c>
      <c r="E290">
        <v>79.52</v>
      </c>
    </row>
    <row r="291" spans="1:5">
      <c r="A291" t="s">
        <v>5076</v>
      </c>
      <c r="B291" t="s">
        <v>2834</v>
      </c>
      <c r="C291" t="s">
        <v>5076</v>
      </c>
      <c r="D291">
        <v>580</v>
      </c>
      <c r="E291">
        <v>3.3</v>
      </c>
    </row>
    <row r="292" spans="1:5">
      <c r="A292" t="s">
        <v>2835</v>
      </c>
      <c r="B292" t="s">
        <v>2834</v>
      </c>
      <c r="C292" t="s">
        <v>2835</v>
      </c>
      <c r="D292">
        <v>580</v>
      </c>
      <c r="E292">
        <v>3.3</v>
      </c>
    </row>
    <row r="293" spans="1:5">
      <c r="A293" t="s">
        <v>2833</v>
      </c>
      <c r="B293" t="s">
        <v>2832</v>
      </c>
      <c r="C293" t="s">
        <v>2833</v>
      </c>
      <c r="D293">
        <v>87</v>
      </c>
      <c r="E293">
        <v>20.9</v>
      </c>
    </row>
    <row r="294" spans="1:5">
      <c r="A294" t="s">
        <v>5448</v>
      </c>
      <c r="B294" t="s">
        <v>5449</v>
      </c>
      <c r="C294" t="s">
        <v>5448</v>
      </c>
      <c r="D294" t="s">
        <v>192</v>
      </c>
      <c r="E294" t="s">
        <v>192</v>
      </c>
    </row>
    <row r="295" spans="1:5">
      <c r="A295" t="s">
        <v>6346</v>
      </c>
      <c r="B295" t="s">
        <v>6347</v>
      </c>
      <c r="C295" t="s">
        <v>6346</v>
      </c>
      <c r="D295" t="s">
        <v>192</v>
      </c>
      <c r="E295" t="s">
        <v>192</v>
      </c>
    </row>
    <row r="296" spans="1:5">
      <c r="A296" t="s">
        <v>5889</v>
      </c>
      <c r="B296" t="s">
        <v>5890</v>
      </c>
      <c r="C296" t="s">
        <v>5889</v>
      </c>
      <c r="D296" t="s">
        <v>192</v>
      </c>
      <c r="E296" t="s">
        <v>192</v>
      </c>
    </row>
    <row r="297" spans="1:5">
      <c r="A297" t="s">
        <v>3224</v>
      </c>
      <c r="B297" t="s">
        <v>3225</v>
      </c>
      <c r="C297" t="s">
        <v>3224</v>
      </c>
      <c r="D297" t="s">
        <v>192</v>
      </c>
      <c r="E297" t="s">
        <v>192</v>
      </c>
    </row>
    <row r="298" spans="1:5">
      <c r="A298" t="s">
        <v>5290</v>
      </c>
      <c r="B298" t="s">
        <v>5291</v>
      </c>
      <c r="C298" t="s">
        <v>5290</v>
      </c>
      <c r="D298" t="s">
        <v>192</v>
      </c>
      <c r="E298" t="s">
        <v>192</v>
      </c>
    </row>
    <row r="299" spans="1:5">
      <c r="A299" t="s">
        <v>6320</v>
      </c>
      <c r="B299" t="s">
        <v>6321</v>
      </c>
      <c r="C299" t="s">
        <v>6320</v>
      </c>
      <c r="D299" t="s">
        <v>192</v>
      </c>
      <c r="E299" t="s">
        <v>192</v>
      </c>
    </row>
    <row r="300" spans="1:5">
      <c r="A300" t="s">
        <v>5901</v>
      </c>
      <c r="B300" t="s">
        <v>5902</v>
      </c>
      <c r="C300" t="s">
        <v>5901</v>
      </c>
      <c r="D300" t="s">
        <v>192</v>
      </c>
      <c r="E300" t="s">
        <v>192</v>
      </c>
    </row>
    <row r="301" spans="1:5">
      <c r="A301" t="s">
        <v>5585</v>
      </c>
      <c r="B301" t="s">
        <v>5586</v>
      </c>
      <c r="C301" t="s">
        <v>5585</v>
      </c>
      <c r="D301" t="s">
        <v>192</v>
      </c>
      <c r="E301" t="s">
        <v>192</v>
      </c>
    </row>
    <row r="302" spans="1:5">
      <c r="A302" t="s">
        <v>6227</v>
      </c>
      <c r="B302" t="s">
        <v>6228</v>
      </c>
      <c r="C302" t="s">
        <v>6227</v>
      </c>
      <c r="D302" t="s">
        <v>192</v>
      </c>
      <c r="E302" t="s">
        <v>192</v>
      </c>
    </row>
    <row r="303" spans="1:5">
      <c r="A303" t="s">
        <v>6202</v>
      </c>
      <c r="B303" t="s">
        <v>6203</v>
      </c>
      <c r="C303" t="s">
        <v>6202</v>
      </c>
      <c r="D303" t="s">
        <v>192</v>
      </c>
      <c r="E303" t="s">
        <v>192</v>
      </c>
    </row>
    <row r="304" spans="1:5">
      <c r="A304" t="s">
        <v>6195</v>
      </c>
      <c r="B304" t="s">
        <v>6196</v>
      </c>
      <c r="C304" t="s">
        <v>6195</v>
      </c>
      <c r="D304" t="s">
        <v>192</v>
      </c>
      <c r="E304" t="s">
        <v>192</v>
      </c>
    </row>
    <row r="305" spans="1:5">
      <c r="A305" t="s">
        <v>3349</v>
      </c>
      <c r="B305" t="s">
        <v>3350</v>
      </c>
      <c r="C305" t="s">
        <v>3349</v>
      </c>
      <c r="D305" t="s">
        <v>192</v>
      </c>
      <c r="E305" t="s">
        <v>192</v>
      </c>
    </row>
    <row r="306" spans="1:5">
      <c r="A306" t="s">
        <v>6154</v>
      </c>
      <c r="B306" t="s">
        <v>6155</v>
      </c>
      <c r="C306" t="s">
        <v>6154</v>
      </c>
      <c r="D306" t="s">
        <v>192</v>
      </c>
      <c r="E306" t="s">
        <v>192</v>
      </c>
    </row>
    <row r="307" spans="1:5">
      <c r="A307" t="s">
        <v>5651</v>
      </c>
      <c r="B307" t="s">
        <v>5652</v>
      </c>
      <c r="C307" t="s">
        <v>5651</v>
      </c>
      <c r="D307" t="s">
        <v>192</v>
      </c>
      <c r="E307" t="s">
        <v>192</v>
      </c>
    </row>
    <row r="308" spans="1:5">
      <c r="A308" t="s">
        <v>3312</v>
      </c>
      <c r="B308" t="s">
        <v>3313</v>
      </c>
      <c r="C308" t="s">
        <v>3312</v>
      </c>
      <c r="D308" t="s">
        <v>192</v>
      </c>
      <c r="E308" t="s">
        <v>192</v>
      </c>
    </row>
    <row r="309" spans="1:5">
      <c r="A309" t="s">
        <v>6137</v>
      </c>
      <c r="B309" t="s">
        <v>6138</v>
      </c>
      <c r="C309" t="s">
        <v>6137</v>
      </c>
      <c r="D309" t="s">
        <v>192</v>
      </c>
      <c r="E309" t="s">
        <v>192</v>
      </c>
    </row>
    <row r="310" spans="1:5">
      <c r="A310" t="s">
        <v>5035</v>
      </c>
      <c r="B310" t="s">
        <v>5036</v>
      </c>
      <c r="C310" t="s">
        <v>5035</v>
      </c>
      <c r="D310" t="s">
        <v>192</v>
      </c>
      <c r="E310" t="s">
        <v>192</v>
      </c>
    </row>
    <row r="311" spans="1:5">
      <c r="A311" t="s">
        <v>3912</v>
      </c>
      <c r="B311" t="s">
        <v>3913</v>
      </c>
      <c r="C311" t="s">
        <v>3912</v>
      </c>
      <c r="D311" t="s">
        <v>192</v>
      </c>
      <c r="E311" t="s">
        <v>192</v>
      </c>
    </row>
    <row r="312" spans="1:5">
      <c r="A312" t="s">
        <v>6216</v>
      </c>
      <c r="B312" t="s">
        <v>6217</v>
      </c>
      <c r="C312" t="s">
        <v>6216</v>
      </c>
      <c r="D312" t="s">
        <v>192</v>
      </c>
      <c r="E312" t="s">
        <v>192</v>
      </c>
    </row>
    <row r="313" spans="1:5">
      <c r="A313" t="s">
        <v>5922</v>
      </c>
      <c r="B313" t="s">
        <v>5923</v>
      </c>
      <c r="C313" t="s">
        <v>5922</v>
      </c>
      <c r="D313" t="s">
        <v>192</v>
      </c>
      <c r="E313" t="s">
        <v>192</v>
      </c>
    </row>
    <row r="314" spans="1:5">
      <c r="A314" t="s">
        <v>6115</v>
      </c>
      <c r="B314" t="s">
        <v>6116</v>
      </c>
      <c r="C314" t="s">
        <v>6115</v>
      </c>
      <c r="D314" t="s">
        <v>192</v>
      </c>
      <c r="E314" t="s">
        <v>192</v>
      </c>
    </row>
    <row r="315" spans="1:5">
      <c r="A315" t="s">
        <v>5858</v>
      </c>
      <c r="B315" t="s">
        <v>5859</v>
      </c>
      <c r="C315" t="s">
        <v>5858</v>
      </c>
      <c r="D315" t="s">
        <v>192</v>
      </c>
      <c r="E315" t="s">
        <v>192</v>
      </c>
    </row>
    <row r="316" spans="1:5">
      <c r="A316" t="s">
        <v>6474</v>
      </c>
      <c r="B316" t="s">
        <v>6475</v>
      </c>
      <c r="C316" t="s">
        <v>6474</v>
      </c>
      <c r="D316" t="s">
        <v>192</v>
      </c>
      <c r="E316" t="s">
        <v>192</v>
      </c>
    </row>
    <row r="317" spans="1:5">
      <c r="A317" t="s">
        <v>5631</v>
      </c>
      <c r="B317" t="s">
        <v>5632</v>
      </c>
      <c r="C317" t="s">
        <v>5631</v>
      </c>
      <c r="D317" t="s">
        <v>192</v>
      </c>
      <c r="E317" t="s">
        <v>192</v>
      </c>
    </row>
    <row r="318" spans="1:5">
      <c r="A318" t="s">
        <v>5030</v>
      </c>
      <c r="B318" t="s">
        <v>5031</v>
      </c>
      <c r="C318" t="s">
        <v>5030</v>
      </c>
      <c r="D318" t="s">
        <v>192</v>
      </c>
      <c r="E318" t="s">
        <v>192</v>
      </c>
    </row>
    <row r="319" spans="1:5">
      <c r="A319" t="s">
        <v>3293</v>
      </c>
      <c r="B319" t="s">
        <v>3294</v>
      </c>
      <c r="C319" t="s">
        <v>3293</v>
      </c>
      <c r="D319" t="s">
        <v>192</v>
      </c>
      <c r="E319" t="s">
        <v>192</v>
      </c>
    </row>
    <row r="320" spans="1:5">
      <c r="A320" t="s">
        <v>5028</v>
      </c>
      <c r="B320" t="s">
        <v>5029</v>
      </c>
      <c r="C320" t="s">
        <v>5028</v>
      </c>
      <c r="D320" t="s">
        <v>192</v>
      </c>
      <c r="E320" t="s">
        <v>192</v>
      </c>
    </row>
    <row r="321" spans="1:5">
      <c r="A321" t="s">
        <v>2831</v>
      </c>
      <c r="B321" t="s">
        <v>2830</v>
      </c>
      <c r="C321" t="s">
        <v>2831</v>
      </c>
      <c r="D321">
        <v>1583</v>
      </c>
      <c r="E321">
        <v>6.42</v>
      </c>
    </row>
    <row r="322" spans="1:5">
      <c r="A322" t="s">
        <v>2829</v>
      </c>
      <c r="B322" t="s">
        <v>2828</v>
      </c>
      <c r="C322" t="s">
        <v>2829</v>
      </c>
      <c r="D322">
        <v>1217</v>
      </c>
      <c r="E322">
        <v>2.85</v>
      </c>
    </row>
    <row r="323" spans="1:5">
      <c r="A323" t="s">
        <v>3412</v>
      </c>
      <c r="B323" t="s">
        <v>3413</v>
      </c>
      <c r="C323" t="s">
        <v>3412</v>
      </c>
      <c r="D323" t="s">
        <v>192</v>
      </c>
      <c r="E323" t="s">
        <v>192</v>
      </c>
    </row>
    <row r="324" spans="1:5">
      <c r="A324" t="s">
        <v>6422</v>
      </c>
      <c r="B324" t="s">
        <v>6423</v>
      </c>
      <c r="C324" t="s">
        <v>6422</v>
      </c>
      <c r="D324" t="s">
        <v>192</v>
      </c>
      <c r="E324" t="s">
        <v>192</v>
      </c>
    </row>
    <row r="325" spans="1:5">
      <c r="A325" t="s">
        <v>6476</v>
      </c>
      <c r="B325" t="s">
        <v>6477</v>
      </c>
      <c r="C325" t="s">
        <v>6476</v>
      </c>
      <c r="D325" t="s">
        <v>192</v>
      </c>
      <c r="E325" t="s">
        <v>192</v>
      </c>
    </row>
    <row r="326" spans="1:5">
      <c r="A326" t="s">
        <v>2827</v>
      </c>
      <c r="B326" t="s">
        <v>2826</v>
      </c>
      <c r="C326" t="s">
        <v>2827</v>
      </c>
      <c r="D326">
        <v>466</v>
      </c>
      <c r="E326">
        <v>8.6999999999999993</v>
      </c>
    </row>
    <row r="327" spans="1:5">
      <c r="A327" t="s">
        <v>6478</v>
      </c>
      <c r="B327" t="s">
        <v>4953</v>
      </c>
      <c r="C327" t="s">
        <v>6478</v>
      </c>
      <c r="D327" t="s">
        <v>192</v>
      </c>
      <c r="E327" t="s">
        <v>192</v>
      </c>
    </row>
    <row r="328" spans="1:5">
      <c r="A328" t="s">
        <v>4952</v>
      </c>
      <c r="B328" t="s">
        <v>4953</v>
      </c>
      <c r="C328" t="s">
        <v>4952</v>
      </c>
      <c r="D328" t="s">
        <v>192</v>
      </c>
      <c r="E328" t="s">
        <v>192</v>
      </c>
    </row>
    <row r="329" spans="1:5">
      <c r="A329" t="s">
        <v>2825</v>
      </c>
      <c r="B329" t="s">
        <v>2824</v>
      </c>
      <c r="C329" t="s">
        <v>2825</v>
      </c>
      <c r="D329">
        <v>1781</v>
      </c>
      <c r="E329">
        <v>5.62</v>
      </c>
    </row>
    <row r="330" spans="1:5">
      <c r="A330" t="s">
        <v>4693</v>
      </c>
      <c r="B330" t="s">
        <v>4694</v>
      </c>
      <c r="C330" t="s">
        <v>4693</v>
      </c>
      <c r="D330" t="s">
        <v>192</v>
      </c>
      <c r="E330" t="s">
        <v>192</v>
      </c>
    </row>
    <row r="331" spans="1:5">
      <c r="A331" t="s">
        <v>6428</v>
      </c>
      <c r="B331" t="s">
        <v>6429</v>
      </c>
      <c r="C331" t="s">
        <v>6428</v>
      </c>
      <c r="D331" t="s">
        <v>192</v>
      </c>
      <c r="E331" t="s">
        <v>192</v>
      </c>
    </row>
    <row r="332" spans="1:5">
      <c r="A332" t="s">
        <v>4836</v>
      </c>
      <c r="B332" t="s">
        <v>4837</v>
      </c>
      <c r="C332" t="s">
        <v>4836</v>
      </c>
      <c r="D332" t="s">
        <v>192</v>
      </c>
      <c r="E332" t="s">
        <v>192</v>
      </c>
    </row>
    <row r="333" spans="1:5">
      <c r="A333" t="s">
        <v>3982</v>
      </c>
      <c r="B333" t="s">
        <v>3983</v>
      </c>
      <c r="C333" t="s">
        <v>3982</v>
      </c>
      <c r="D333" t="s">
        <v>192</v>
      </c>
      <c r="E333" t="s">
        <v>192</v>
      </c>
    </row>
    <row r="334" spans="1:5">
      <c r="A334" t="s">
        <v>3247</v>
      </c>
      <c r="B334" t="s">
        <v>3248</v>
      </c>
      <c r="C334" t="s">
        <v>3247</v>
      </c>
      <c r="D334" t="s">
        <v>192</v>
      </c>
      <c r="E334" t="s">
        <v>192</v>
      </c>
    </row>
    <row r="335" spans="1:5">
      <c r="A335" t="s">
        <v>4916</v>
      </c>
      <c r="B335" t="s">
        <v>4917</v>
      </c>
      <c r="C335" t="s">
        <v>4916</v>
      </c>
      <c r="D335" t="s">
        <v>192</v>
      </c>
      <c r="E335" t="s">
        <v>192</v>
      </c>
    </row>
    <row r="336" spans="1:5">
      <c r="A336" t="s">
        <v>3171</v>
      </c>
      <c r="B336" t="s">
        <v>3172</v>
      </c>
      <c r="C336" t="s">
        <v>3171</v>
      </c>
      <c r="D336" t="s">
        <v>192</v>
      </c>
      <c r="E336" t="s">
        <v>192</v>
      </c>
    </row>
    <row r="337" spans="1:5">
      <c r="A337" t="s">
        <v>6479</v>
      </c>
      <c r="B337" t="s">
        <v>5554</v>
      </c>
      <c r="C337" t="s">
        <v>6479</v>
      </c>
      <c r="D337" t="s">
        <v>192</v>
      </c>
      <c r="E337" t="s">
        <v>192</v>
      </c>
    </row>
    <row r="338" spans="1:5">
      <c r="A338" t="s">
        <v>3188</v>
      </c>
      <c r="B338" t="s">
        <v>3189</v>
      </c>
      <c r="C338" t="s">
        <v>3188</v>
      </c>
      <c r="D338" t="s">
        <v>192</v>
      </c>
      <c r="E338" t="s">
        <v>192</v>
      </c>
    </row>
    <row r="339" spans="1:5">
      <c r="A339" t="s">
        <v>5553</v>
      </c>
      <c r="B339" t="s">
        <v>5554</v>
      </c>
      <c r="C339" t="s">
        <v>5553</v>
      </c>
      <c r="D339" t="s">
        <v>192</v>
      </c>
      <c r="E339" t="s">
        <v>192</v>
      </c>
    </row>
    <row r="340" spans="1:5">
      <c r="A340" t="s">
        <v>3249</v>
      </c>
      <c r="B340" t="s">
        <v>3250</v>
      </c>
      <c r="C340" t="s">
        <v>3249</v>
      </c>
      <c r="D340" t="s">
        <v>192</v>
      </c>
      <c r="E340" t="s">
        <v>192</v>
      </c>
    </row>
    <row r="341" spans="1:5">
      <c r="A341" t="s">
        <v>5464</v>
      </c>
      <c r="B341" t="s">
        <v>5465</v>
      </c>
      <c r="C341" t="s">
        <v>5464</v>
      </c>
      <c r="D341" t="s">
        <v>192</v>
      </c>
      <c r="E341" t="s">
        <v>192</v>
      </c>
    </row>
    <row r="342" spans="1:5">
      <c r="A342" t="s">
        <v>5965</v>
      </c>
      <c r="B342" t="s">
        <v>5966</v>
      </c>
      <c r="C342" t="s">
        <v>5965</v>
      </c>
      <c r="D342" t="s">
        <v>192</v>
      </c>
      <c r="E342" t="s">
        <v>192</v>
      </c>
    </row>
    <row r="343" spans="1:5">
      <c r="A343" t="s">
        <v>4622</v>
      </c>
      <c r="B343" t="s">
        <v>4623</v>
      </c>
      <c r="C343" t="s">
        <v>4622</v>
      </c>
      <c r="D343" t="s">
        <v>192</v>
      </c>
      <c r="E343" t="s">
        <v>192</v>
      </c>
    </row>
    <row r="344" spans="1:5">
      <c r="A344" t="s">
        <v>151</v>
      </c>
      <c r="B344" t="s">
        <v>150</v>
      </c>
      <c r="C344" t="s">
        <v>151</v>
      </c>
      <c r="D344">
        <v>9410</v>
      </c>
      <c r="E344">
        <v>6.34</v>
      </c>
    </row>
    <row r="345" spans="1:5">
      <c r="A345" t="s">
        <v>2823</v>
      </c>
      <c r="B345" t="s">
        <v>2821</v>
      </c>
      <c r="C345" t="s">
        <v>2823</v>
      </c>
      <c r="D345">
        <v>274</v>
      </c>
      <c r="E345">
        <v>8.57</v>
      </c>
    </row>
    <row r="346" spans="1:5">
      <c r="A346" t="s">
        <v>2822</v>
      </c>
      <c r="B346" t="s">
        <v>2821</v>
      </c>
      <c r="C346" t="s">
        <v>2822</v>
      </c>
      <c r="D346">
        <v>274</v>
      </c>
      <c r="E346">
        <v>8.57</v>
      </c>
    </row>
    <row r="347" spans="1:5">
      <c r="A347" t="s">
        <v>2820</v>
      </c>
      <c r="B347" t="s">
        <v>2819</v>
      </c>
      <c r="C347" t="s">
        <v>2820</v>
      </c>
      <c r="D347">
        <v>668</v>
      </c>
      <c r="E347">
        <v>4.0599999999999996</v>
      </c>
    </row>
    <row r="348" spans="1:5">
      <c r="A348" t="s">
        <v>5699</v>
      </c>
      <c r="B348" t="s">
        <v>5700</v>
      </c>
      <c r="C348" t="s">
        <v>5699</v>
      </c>
      <c r="D348" t="s">
        <v>192</v>
      </c>
      <c r="E348" t="s">
        <v>192</v>
      </c>
    </row>
    <row r="349" spans="1:5">
      <c r="A349" t="s">
        <v>3326</v>
      </c>
      <c r="B349" t="s">
        <v>3327</v>
      </c>
      <c r="C349" t="s">
        <v>3326</v>
      </c>
      <c r="D349" t="s">
        <v>192</v>
      </c>
      <c r="E349" t="s">
        <v>192</v>
      </c>
    </row>
    <row r="350" spans="1:5">
      <c r="A350" t="s">
        <v>6480</v>
      </c>
      <c r="B350" t="s">
        <v>6481</v>
      </c>
      <c r="C350" t="s">
        <v>6480</v>
      </c>
      <c r="D350" t="s">
        <v>192</v>
      </c>
      <c r="E350" t="s">
        <v>192</v>
      </c>
    </row>
    <row r="351" spans="1:5">
      <c r="A351" t="s">
        <v>2818</v>
      </c>
      <c r="B351" t="s">
        <v>2817</v>
      </c>
      <c r="C351" t="s">
        <v>2818</v>
      </c>
      <c r="D351">
        <v>535</v>
      </c>
      <c r="E351">
        <v>5.03</v>
      </c>
    </row>
    <row r="352" spans="1:5">
      <c r="A352" t="s">
        <v>4779</v>
      </c>
      <c r="B352" t="s">
        <v>4780</v>
      </c>
      <c r="C352" t="s">
        <v>4779</v>
      </c>
      <c r="D352" t="s">
        <v>192</v>
      </c>
      <c r="E352" t="s">
        <v>192</v>
      </c>
    </row>
    <row r="353" spans="1:5">
      <c r="A353" t="s">
        <v>5706</v>
      </c>
      <c r="B353" t="s">
        <v>5707</v>
      </c>
      <c r="C353" t="s">
        <v>5706</v>
      </c>
      <c r="D353" t="s">
        <v>192</v>
      </c>
      <c r="E353" t="s">
        <v>192</v>
      </c>
    </row>
    <row r="354" spans="1:5">
      <c r="A354" t="s">
        <v>3383</v>
      </c>
      <c r="B354" t="s">
        <v>3384</v>
      </c>
      <c r="C354" t="s">
        <v>3383</v>
      </c>
      <c r="D354" t="s">
        <v>192</v>
      </c>
      <c r="E354" t="s">
        <v>192</v>
      </c>
    </row>
    <row r="355" spans="1:5">
      <c r="A355" t="s">
        <v>2816</v>
      </c>
      <c r="B355" t="s">
        <v>2815</v>
      </c>
      <c r="C355" t="s">
        <v>2816</v>
      </c>
      <c r="D355">
        <v>171</v>
      </c>
      <c r="E355">
        <v>6.69</v>
      </c>
    </row>
    <row r="356" spans="1:5">
      <c r="A356" t="s">
        <v>2814</v>
      </c>
      <c r="B356" t="s">
        <v>2812</v>
      </c>
      <c r="C356" t="s">
        <v>2814</v>
      </c>
      <c r="D356">
        <v>236</v>
      </c>
      <c r="E356">
        <v>13.83</v>
      </c>
    </row>
    <row r="357" spans="1:5">
      <c r="A357" t="s">
        <v>2813</v>
      </c>
      <c r="B357" t="s">
        <v>2812</v>
      </c>
      <c r="C357" t="s">
        <v>2813</v>
      </c>
      <c r="D357">
        <v>236</v>
      </c>
      <c r="E357">
        <v>13.83</v>
      </c>
    </row>
    <row r="358" spans="1:5">
      <c r="A358" t="s">
        <v>2811</v>
      </c>
      <c r="B358" t="s">
        <v>2810</v>
      </c>
      <c r="C358" t="s">
        <v>2811</v>
      </c>
      <c r="D358">
        <v>363</v>
      </c>
      <c r="E358">
        <v>12.39</v>
      </c>
    </row>
    <row r="359" spans="1:5">
      <c r="A359" t="s">
        <v>5248</v>
      </c>
      <c r="B359" t="s">
        <v>5249</v>
      </c>
      <c r="C359" t="s">
        <v>5248</v>
      </c>
      <c r="D359" t="s">
        <v>192</v>
      </c>
      <c r="E359" t="s">
        <v>192</v>
      </c>
    </row>
    <row r="360" spans="1:5">
      <c r="A360" t="s">
        <v>6482</v>
      </c>
      <c r="B360" t="s">
        <v>110</v>
      </c>
      <c r="C360" t="s">
        <v>6482</v>
      </c>
      <c r="D360">
        <v>1140</v>
      </c>
      <c r="E360">
        <v>4.79</v>
      </c>
    </row>
    <row r="361" spans="1:5">
      <c r="A361" t="s">
        <v>111</v>
      </c>
      <c r="B361" t="s">
        <v>110</v>
      </c>
      <c r="C361" t="s">
        <v>111</v>
      </c>
      <c r="D361">
        <v>1140</v>
      </c>
      <c r="E361">
        <v>4.79</v>
      </c>
    </row>
    <row r="362" spans="1:5">
      <c r="A362" t="s">
        <v>2809</v>
      </c>
      <c r="B362" t="s">
        <v>2808</v>
      </c>
      <c r="C362" t="s">
        <v>2809</v>
      </c>
      <c r="D362">
        <v>-579</v>
      </c>
      <c r="E362">
        <v>-18.079999999999998</v>
      </c>
    </row>
    <row r="363" spans="1:5">
      <c r="A363" t="s">
        <v>2807</v>
      </c>
      <c r="B363" t="s">
        <v>2806</v>
      </c>
      <c r="C363" t="s">
        <v>2807</v>
      </c>
      <c r="D363">
        <v>64</v>
      </c>
      <c r="E363">
        <v>711.72</v>
      </c>
    </row>
    <row r="364" spans="1:5">
      <c r="A364" t="s">
        <v>6483</v>
      </c>
      <c r="B364" t="s">
        <v>2804</v>
      </c>
      <c r="C364" t="s">
        <v>6483</v>
      </c>
      <c r="D364">
        <v>1424</v>
      </c>
      <c r="E364">
        <v>15.62</v>
      </c>
    </row>
    <row r="365" spans="1:5">
      <c r="A365" t="s">
        <v>2805</v>
      </c>
      <c r="B365" t="s">
        <v>2804</v>
      </c>
      <c r="C365" t="s">
        <v>2805</v>
      </c>
      <c r="D365">
        <v>1424</v>
      </c>
      <c r="E365">
        <v>15.62</v>
      </c>
    </row>
    <row r="366" spans="1:5">
      <c r="A366" t="s">
        <v>2803</v>
      </c>
      <c r="B366" t="s">
        <v>2802</v>
      </c>
      <c r="C366" t="s">
        <v>2803</v>
      </c>
      <c r="D366">
        <v>701</v>
      </c>
      <c r="E366">
        <v>5.13</v>
      </c>
    </row>
    <row r="367" spans="1:5">
      <c r="A367" t="s">
        <v>5587</v>
      </c>
      <c r="B367" t="s">
        <v>5588</v>
      </c>
      <c r="C367" t="s">
        <v>5587</v>
      </c>
      <c r="D367" t="s">
        <v>192</v>
      </c>
      <c r="E367" t="s">
        <v>192</v>
      </c>
    </row>
    <row r="368" spans="1:5">
      <c r="A368" t="s">
        <v>2801</v>
      </c>
      <c r="B368" t="s">
        <v>2800</v>
      </c>
      <c r="C368" t="s">
        <v>2801</v>
      </c>
      <c r="D368">
        <v>50376</v>
      </c>
      <c r="E368">
        <v>1.48</v>
      </c>
    </row>
    <row r="369" spans="1:5">
      <c r="A369" t="s">
        <v>2799</v>
      </c>
      <c r="B369" t="s">
        <v>2798</v>
      </c>
      <c r="C369" t="s">
        <v>2799</v>
      </c>
      <c r="D369">
        <v>204</v>
      </c>
      <c r="E369">
        <v>18.61</v>
      </c>
    </row>
    <row r="370" spans="1:5">
      <c r="A370" t="s">
        <v>6484</v>
      </c>
      <c r="B370" t="s">
        <v>2796</v>
      </c>
      <c r="C370" t="s">
        <v>6484</v>
      </c>
      <c r="D370">
        <v>617</v>
      </c>
      <c r="E370">
        <v>6.47</v>
      </c>
    </row>
    <row r="371" spans="1:5">
      <c r="A371" t="s">
        <v>2797</v>
      </c>
      <c r="B371" t="s">
        <v>2796</v>
      </c>
      <c r="C371" t="s">
        <v>2797</v>
      </c>
      <c r="D371">
        <v>617</v>
      </c>
      <c r="E371">
        <v>6.47</v>
      </c>
    </row>
    <row r="372" spans="1:5">
      <c r="A372" t="s">
        <v>4732</v>
      </c>
      <c r="B372" t="s">
        <v>4733</v>
      </c>
      <c r="C372" t="s">
        <v>4732</v>
      </c>
      <c r="D372" t="s">
        <v>192</v>
      </c>
      <c r="E372" t="s">
        <v>192</v>
      </c>
    </row>
    <row r="373" spans="1:5">
      <c r="A373" t="s">
        <v>4933</v>
      </c>
      <c r="B373" t="s">
        <v>4733</v>
      </c>
      <c r="C373" t="s">
        <v>4933</v>
      </c>
      <c r="D373" t="s">
        <v>192</v>
      </c>
      <c r="E373" t="s">
        <v>192</v>
      </c>
    </row>
    <row r="374" spans="1:5">
      <c r="A374" t="s">
        <v>5116</v>
      </c>
      <c r="B374" t="s">
        <v>5117</v>
      </c>
      <c r="C374" t="s">
        <v>5116</v>
      </c>
      <c r="D374" t="s">
        <v>192</v>
      </c>
      <c r="E374" t="s">
        <v>192</v>
      </c>
    </row>
    <row r="375" spans="1:5">
      <c r="A375" t="s">
        <v>2795</v>
      </c>
      <c r="B375" t="s">
        <v>2793</v>
      </c>
      <c r="C375" t="s">
        <v>2795</v>
      </c>
      <c r="D375">
        <v>1383</v>
      </c>
      <c r="E375">
        <v>7.22</v>
      </c>
    </row>
    <row r="376" spans="1:5">
      <c r="A376" t="s">
        <v>2794</v>
      </c>
      <c r="B376" t="s">
        <v>2793</v>
      </c>
      <c r="C376" t="s">
        <v>2794</v>
      </c>
      <c r="D376">
        <v>1383</v>
      </c>
      <c r="E376">
        <v>7.07</v>
      </c>
    </row>
    <row r="377" spans="1:5">
      <c r="A377" t="s">
        <v>5789</v>
      </c>
      <c r="B377" t="s">
        <v>3244</v>
      </c>
      <c r="C377" t="s">
        <v>5789</v>
      </c>
      <c r="D377" t="s">
        <v>192</v>
      </c>
      <c r="E377" t="s">
        <v>192</v>
      </c>
    </row>
    <row r="378" spans="1:5">
      <c r="A378" t="s">
        <v>3968</v>
      </c>
      <c r="B378" t="s">
        <v>3969</v>
      </c>
      <c r="C378" t="s">
        <v>3968</v>
      </c>
      <c r="D378" t="s">
        <v>192</v>
      </c>
      <c r="E378" t="s">
        <v>192</v>
      </c>
    </row>
    <row r="379" spans="1:5">
      <c r="A379" t="s">
        <v>5153</v>
      </c>
      <c r="B379" t="s">
        <v>5154</v>
      </c>
      <c r="C379" t="s">
        <v>5153</v>
      </c>
      <c r="D379" t="s">
        <v>192</v>
      </c>
      <c r="E379" t="s">
        <v>192</v>
      </c>
    </row>
    <row r="380" spans="1:5">
      <c r="A380" t="s">
        <v>5872</v>
      </c>
      <c r="B380" t="s">
        <v>5873</v>
      </c>
      <c r="C380" t="s">
        <v>5872</v>
      </c>
      <c r="D380" t="s">
        <v>192</v>
      </c>
      <c r="E380" t="s">
        <v>192</v>
      </c>
    </row>
    <row r="381" spans="1:5">
      <c r="A381" t="s">
        <v>5390</v>
      </c>
      <c r="B381" t="s">
        <v>5391</v>
      </c>
      <c r="C381" t="s">
        <v>5390</v>
      </c>
      <c r="D381" t="s">
        <v>192</v>
      </c>
      <c r="E381" t="s">
        <v>192</v>
      </c>
    </row>
    <row r="382" spans="1:5">
      <c r="A382" t="s">
        <v>5495</v>
      </c>
      <c r="B382" t="s">
        <v>5496</v>
      </c>
      <c r="C382" t="s">
        <v>5495</v>
      </c>
      <c r="D382" t="s">
        <v>192</v>
      </c>
      <c r="E382" t="s">
        <v>192</v>
      </c>
    </row>
    <row r="383" spans="1:5">
      <c r="A383" t="s">
        <v>3356</v>
      </c>
      <c r="B383" t="s">
        <v>3357</v>
      </c>
      <c r="C383" t="s">
        <v>3356</v>
      </c>
      <c r="D383" t="s">
        <v>192</v>
      </c>
      <c r="E383" t="s">
        <v>192</v>
      </c>
    </row>
    <row r="384" spans="1:5">
      <c r="A384" t="s">
        <v>6416</v>
      </c>
      <c r="B384" t="s">
        <v>3357</v>
      </c>
      <c r="C384" t="s">
        <v>6416</v>
      </c>
      <c r="D384" t="s">
        <v>192</v>
      </c>
      <c r="E384" t="s">
        <v>192</v>
      </c>
    </row>
    <row r="385" spans="1:5">
      <c r="A385" t="s">
        <v>3986</v>
      </c>
      <c r="B385" t="s">
        <v>3987</v>
      </c>
      <c r="C385" t="s">
        <v>3986</v>
      </c>
      <c r="D385" t="s">
        <v>192</v>
      </c>
      <c r="E385" t="s">
        <v>192</v>
      </c>
    </row>
    <row r="386" spans="1:5">
      <c r="A386" t="s">
        <v>3918</v>
      </c>
      <c r="B386" t="s">
        <v>3919</v>
      </c>
      <c r="C386" t="s">
        <v>3918</v>
      </c>
      <c r="D386" t="s">
        <v>192</v>
      </c>
      <c r="E386" t="s">
        <v>192</v>
      </c>
    </row>
    <row r="387" spans="1:5">
      <c r="A387" t="s">
        <v>5812</v>
      </c>
      <c r="B387" t="s">
        <v>5813</v>
      </c>
      <c r="C387" t="s">
        <v>5812</v>
      </c>
      <c r="D387" t="s">
        <v>192</v>
      </c>
      <c r="E387" t="s">
        <v>192</v>
      </c>
    </row>
    <row r="388" spans="1:5">
      <c r="A388" t="s">
        <v>2792</v>
      </c>
      <c r="B388" t="s">
        <v>2791</v>
      </c>
      <c r="C388" t="s">
        <v>2792</v>
      </c>
      <c r="D388">
        <v>296</v>
      </c>
      <c r="E388">
        <v>22.26</v>
      </c>
    </row>
    <row r="389" spans="1:5">
      <c r="A389" t="s">
        <v>2790</v>
      </c>
      <c r="B389" t="s">
        <v>2788</v>
      </c>
      <c r="C389" t="s">
        <v>2790</v>
      </c>
      <c r="D389">
        <v>385</v>
      </c>
      <c r="E389">
        <v>9.0399999999999991</v>
      </c>
    </row>
    <row r="390" spans="1:5">
      <c r="A390" t="s">
        <v>2789</v>
      </c>
      <c r="B390" t="s">
        <v>2788</v>
      </c>
      <c r="C390" t="s">
        <v>2789</v>
      </c>
      <c r="D390">
        <v>385</v>
      </c>
      <c r="E390">
        <v>9.0399999999999991</v>
      </c>
    </row>
    <row r="391" spans="1:5">
      <c r="A391" t="s">
        <v>2787</v>
      </c>
      <c r="B391" t="s">
        <v>2786</v>
      </c>
      <c r="C391" t="s">
        <v>2787</v>
      </c>
      <c r="D391">
        <v>3103</v>
      </c>
      <c r="E391">
        <v>7.44</v>
      </c>
    </row>
    <row r="392" spans="1:5">
      <c r="A392" t="s">
        <v>5555</v>
      </c>
      <c r="B392" t="s">
        <v>2784</v>
      </c>
      <c r="C392" t="s">
        <v>5555</v>
      </c>
      <c r="D392">
        <v>985</v>
      </c>
      <c r="E392">
        <v>5.49</v>
      </c>
    </row>
    <row r="393" spans="1:5">
      <c r="A393" t="s">
        <v>2785</v>
      </c>
      <c r="B393" t="s">
        <v>2784</v>
      </c>
      <c r="C393" t="s">
        <v>2785</v>
      </c>
      <c r="D393">
        <v>985</v>
      </c>
      <c r="E393">
        <v>5.49</v>
      </c>
    </row>
    <row r="394" spans="1:5">
      <c r="A394" t="s">
        <v>6485</v>
      </c>
      <c r="B394" t="s">
        <v>6486</v>
      </c>
      <c r="C394" t="s">
        <v>6485</v>
      </c>
      <c r="D394">
        <v>3217</v>
      </c>
      <c r="E394">
        <v>87.47</v>
      </c>
    </row>
    <row r="395" spans="1:5">
      <c r="A395" t="s">
        <v>3251</v>
      </c>
      <c r="B395" t="s">
        <v>3252</v>
      </c>
      <c r="C395" t="s">
        <v>3251</v>
      </c>
      <c r="D395" t="s">
        <v>192</v>
      </c>
      <c r="E395" t="s">
        <v>192</v>
      </c>
    </row>
    <row r="396" spans="1:5">
      <c r="A396" t="s">
        <v>2783</v>
      </c>
      <c r="B396" t="s">
        <v>2782</v>
      </c>
      <c r="C396" t="s">
        <v>2783</v>
      </c>
      <c r="D396">
        <v>1481</v>
      </c>
      <c r="E396">
        <v>7.52</v>
      </c>
    </row>
    <row r="397" spans="1:5">
      <c r="A397" t="s">
        <v>2781</v>
      </c>
      <c r="B397" t="s">
        <v>2780</v>
      </c>
      <c r="C397" t="s">
        <v>2781</v>
      </c>
      <c r="D397">
        <v>792</v>
      </c>
      <c r="E397">
        <v>3.89</v>
      </c>
    </row>
    <row r="398" spans="1:5">
      <c r="A398" t="s">
        <v>2779</v>
      </c>
      <c r="B398" t="s">
        <v>2778</v>
      </c>
      <c r="C398" t="s">
        <v>2779</v>
      </c>
      <c r="D398">
        <v>1877</v>
      </c>
      <c r="E398">
        <v>8.35</v>
      </c>
    </row>
    <row r="399" spans="1:5">
      <c r="A399" t="s">
        <v>4626</v>
      </c>
      <c r="B399" t="s">
        <v>4627</v>
      </c>
      <c r="C399" t="s">
        <v>4626</v>
      </c>
      <c r="D399" t="s">
        <v>192</v>
      </c>
      <c r="E399" t="s">
        <v>192</v>
      </c>
    </row>
    <row r="400" spans="1:5">
      <c r="A400" t="s">
        <v>5535</v>
      </c>
      <c r="B400" t="s">
        <v>5536</v>
      </c>
      <c r="C400" t="s">
        <v>5535</v>
      </c>
      <c r="D400" t="s">
        <v>192</v>
      </c>
      <c r="E400" t="s">
        <v>192</v>
      </c>
    </row>
    <row r="401" spans="1:5">
      <c r="A401" t="s">
        <v>3926</v>
      </c>
      <c r="B401" t="s">
        <v>3927</v>
      </c>
      <c r="C401" t="s">
        <v>3926</v>
      </c>
      <c r="D401" t="s">
        <v>192</v>
      </c>
      <c r="E401" t="s">
        <v>192</v>
      </c>
    </row>
    <row r="402" spans="1:5">
      <c r="A402" t="s">
        <v>2777</v>
      </c>
      <c r="B402" t="s">
        <v>2775</v>
      </c>
      <c r="C402" t="s">
        <v>2777</v>
      </c>
      <c r="D402">
        <v>191</v>
      </c>
      <c r="E402">
        <v>7.97</v>
      </c>
    </row>
    <row r="403" spans="1:5">
      <c r="A403" t="s">
        <v>2776</v>
      </c>
      <c r="B403" t="s">
        <v>2775</v>
      </c>
      <c r="C403" t="s">
        <v>2776</v>
      </c>
      <c r="D403">
        <v>191</v>
      </c>
      <c r="E403">
        <v>7.97</v>
      </c>
    </row>
    <row r="404" spans="1:5">
      <c r="A404" t="s">
        <v>2774</v>
      </c>
      <c r="B404" t="s">
        <v>2772</v>
      </c>
      <c r="C404" t="s">
        <v>2774</v>
      </c>
      <c r="D404">
        <v>1192</v>
      </c>
      <c r="E404">
        <v>11.79</v>
      </c>
    </row>
    <row r="405" spans="1:5">
      <c r="A405" t="s">
        <v>2773</v>
      </c>
      <c r="B405" t="s">
        <v>2772</v>
      </c>
      <c r="C405" t="s">
        <v>2773</v>
      </c>
      <c r="D405">
        <v>1192</v>
      </c>
      <c r="E405">
        <v>11.79</v>
      </c>
    </row>
    <row r="406" spans="1:5">
      <c r="A406" t="s">
        <v>6487</v>
      </c>
      <c r="B406" t="s">
        <v>4945</v>
      </c>
      <c r="C406" t="s">
        <v>6487</v>
      </c>
      <c r="D406" t="s">
        <v>192</v>
      </c>
      <c r="E406" t="s">
        <v>192</v>
      </c>
    </row>
    <row r="407" spans="1:5">
      <c r="A407" t="s">
        <v>5710</v>
      </c>
      <c r="B407" t="s">
        <v>4945</v>
      </c>
      <c r="C407" t="s">
        <v>5710</v>
      </c>
      <c r="D407" t="s">
        <v>192</v>
      </c>
      <c r="E407" t="s">
        <v>192</v>
      </c>
    </row>
    <row r="408" spans="1:5">
      <c r="A408" t="s">
        <v>4944</v>
      </c>
      <c r="B408" t="s">
        <v>4945</v>
      </c>
      <c r="C408" t="s">
        <v>4944</v>
      </c>
      <c r="D408" t="s">
        <v>192</v>
      </c>
      <c r="E408" t="s">
        <v>192</v>
      </c>
    </row>
    <row r="409" spans="1:5">
      <c r="A409" t="s">
        <v>5244</v>
      </c>
      <c r="B409" t="s">
        <v>5245</v>
      </c>
      <c r="C409" t="s">
        <v>5244</v>
      </c>
      <c r="D409" t="s">
        <v>192</v>
      </c>
      <c r="E409" t="s">
        <v>192</v>
      </c>
    </row>
    <row r="410" spans="1:5">
      <c r="A410" t="s">
        <v>2771</v>
      </c>
      <c r="B410" t="s">
        <v>2770</v>
      </c>
      <c r="C410" t="s">
        <v>2771</v>
      </c>
      <c r="D410">
        <v>197</v>
      </c>
      <c r="E410">
        <v>38.53</v>
      </c>
    </row>
    <row r="411" spans="1:5">
      <c r="A411" t="s">
        <v>2769</v>
      </c>
      <c r="B411" t="s">
        <v>2767</v>
      </c>
      <c r="C411" t="s">
        <v>2769</v>
      </c>
      <c r="D411">
        <v>246</v>
      </c>
      <c r="E411">
        <v>23.58</v>
      </c>
    </row>
    <row r="412" spans="1:5">
      <c r="A412" t="s">
        <v>2768</v>
      </c>
      <c r="B412" t="s">
        <v>2767</v>
      </c>
      <c r="C412" t="s">
        <v>2768</v>
      </c>
      <c r="D412">
        <v>246</v>
      </c>
      <c r="E412">
        <v>23.58</v>
      </c>
    </row>
    <row r="413" spans="1:5">
      <c r="A413" t="s">
        <v>2766</v>
      </c>
      <c r="B413" t="s">
        <v>2765</v>
      </c>
      <c r="C413" t="s">
        <v>2766</v>
      </c>
      <c r="D413">
        <v>246</v>
      </c>
      <c r="E413">
        <v>5.94</v>
      </c>
    </row>
    <row r="414" spans="1:5">
      <c r="A414" t="s">
        <v>2764</v>
      </c>
      <c r="B414" t="s">
        <v>2762</v>
      </c>
      <c r="C414" t="s">
        <v>2764</v>
      </c>
      <c r="D414">
        <v>2187</v>
      </c>
      <c r="E414">
        <v>13.03</v>
      </c>
    </row>
    <row r="415" spans="1:5">
      <c r="A415" t="s">
        <v>2763</v>
      </c>
      <c r="B415" t="s">
        <v>2762</v>
      </c>
      <c r="C415" t="s">
        <v>2763</v>
      </c>
      <c r="D415">
        <v>2187</v>
      </c>
      <c r="E415">
        <v>13.03</v>
      </c>
    </row>
    <row r="416" spans="1:5">
      <c r="A416" t="s">
        <v>6159</v>
      </c>
      <c r="B416" t="s">
        <v>6160</v>
      </c>
      <c r="C416" t="s">
        <v>6159</v>
      </c>
      <c r="D416" t="s">
        <v>192</v>
      </c>
      <c r="E416" t="s">
        <v>192</v>
      </c>
    </row>
    <row r="417" spans="1:5">
      <c r="A417" t="s">
        <v>2761</v>
      </c>
      <c r="B417" t="s">
        <v>2760</v>
      </c>
      <c r="C417" t="s">
        <v>2761</v>
      </c>
      <c r="D417">
        <v>131</v>
      </c>
      <c r="E417">
        <v>38.78</v>
      </c>
    </row>
    <row r="418" spans="1:5">
      <c r="A418" t="s">
        <v>217</v>
      </c>
      <c r="B418" t="s">
        <v>216</v>
      </c>
      <c r="C418" t="s">
        <v>217</v>
      </c>
      <c r="D418">
        <v>1525</v>
      </c>
      <c r="E418">
        <v>7.9</v>
      </c>
    </row>
    <row r="419" spans="1:5">
      <c r="A419" t="s">
        <v>5362</v>
      </c>
      <c r="B419" t="s">
        <v>2758</v>
      </c>
      <c r="C419" t="s">
        <v>5362</v>
      </c>
      <c r="D419">
        <v>433</v>
      </c>
      <c r="E419">
        <v>3.56</v>
      </c>
    </row>
    <row r="420" spans="1:5">
      <c r="A420" t="s">
        <v>2759</v>
      </c>
      <c r="B420" t="s">
        <v>2758</v>
      </c>
      <c r="C420" t="s">
        <v>2759</v>
      </c>
      <c r="D420">
        <v>433</v>
      </c>
      <c r="E420">
        <v>3.56</v>
      </c>
    </row>
    <row r="421" spans="1:5">
      <c r="A421" t="s">
        <v>4607</v>
      </c>
      <c r="B421" t="s">
        <v>4608</v>
      </c>
      <c r="C421" t="s">
        <v>4607</v>
      </c>
      <c r="D421" t="s">
        <v>192</v>
      </c>
      <c r="E421" t="s">
        <v>192</v>
      </c>
    </row>
    <row r="422" spans="1:5">
      <c r="A422" t="s">
        <v>2757</v>
      </c>
      <c r="B422" t="s">
        <v>132</v>
      </c>
      <c r="C422" t="s">
        <v>2757</v>
      </c>
      <c r="D422">
        <v>742</v>
      </c>
      <c r="E422">
        <v>4.66</v>
      </c>
    </row>
    <row r="423" spans="1:5">
      <c r="A423" t="s">
        <v>133</v>
      </c>
      <c r="B423" t="s">
        <v>132</v>
      </c>
      <c r="C423" t="s">
        <v>133</v>
      </c>
      <c r="D423">
        <v>742</v>
      </c>
      <c r="E423">
        <v>4.66</v>
      </c>
    </row>
    <row r="424" spans="1:5">
      <c r="A424" t="s">
        <v>6488</v>
      </c>
      <c r="B424" t="s">
        <v>189</v>
      </c>
      <c r="C424" t="s">
        <v>6488</v>
      </c>
      <c r="D424" t="s">
        <v>192</v>
      </c>
      <c r="E424" t="s">
        <v>192</v>
      </c>
    </row>
    <row r="425" spans="1:5">
      <c r="A425" t="s">
        <v>190</v>
      </c>
      <c r="B425" t="s">
        <v>189</v>
      </c>
      <c r="C425" t="s">
        <v>190</v>
      </c>
      <c r="D425" t="s">
        <v>192</v>
      </c>
      <c r="E425" t="s">
        <v>192</v>
      </c>
    </row>
    <row r="426" spans="1:5">
      <c r="A426" t="s">
        <v>2756</v>
      </c>
      <c r="B426" t="s">
        <v>2755</v>
      </c>
      <c r="C426" t="s">
        <v>2756</v>
      </c>
      <c r="D426">
        <v>-8479</v>
      </c>
      <c r="E426">
        <v>-2.78</v>
      </c>
    </row>
    <row r="427" spans="1:5">
      <c r="A427" t="s">
        <v>2754</v>
      </c>
      <c r="B427" t="s">
        <v>2753</v>
      </c>
      <c r="C427" t="s">
        <v>2754</v>
      </c>
      <c r="D427">
        <v>691</v>
      </c>
      <c r="E427">
        <v>5.29</v>
      </c>
    </row>
    <row r="428" spans="1:5">
      <c r="A428" t="s">
        <v>5128</v>
      </c>
      <c r="B428" t="s">
        <v>5129</v>
      </c>
      <c r="C428" t="s">
        <v>5128</v>
      </c>
      <c r="D428" t="s">
        <v>192</v>
      </c>
      <c r="E428" t="s">
        <v>192</v>
      </c>
    </row>
    <row r="429" spans="1:5">
      <c r="A429" t="s">
        <v>2752</v>
      </c>
      <c r="B429" t="s">
        <v>2751</v>
      </c>
      <c r="C429" t="s">
        <v>2752</v>
      </c>
      <c r="D429">
        <v>260</v>
      </c>
      <c r="E429">
        <v>40.65</v>
      </c>
    </row>
    <row r="430" spans="1:5">
      <c r="A430" t="s">
        <v>2750</v>
      </c>
      <c r="B430" t="s">
        <v>2748</v>
      </c>
      <c r="C430" t="s">
        <v>2750</v>
      </c>
      <c r="D430">
        <v>1043</v>
      </c>
      <c r="E430">
        <v>5.77</v>
      </c>
    </row>
    <row r="431" spans="1:5">
      <c r="A431" t="s">
        <v>2749</v>
      </c>
      <c r="B431" t="s">
        <v>2748</v>
      </c>
      <c r="C431" t="s">
        <v>2749</v>
      </c>
      <c r="D431">
        <v>1043</v>
      </c>
      <c r="E431">
        <v>5.77</v>
      </c>
    </row>
    <row r="432" spans="1:5">
      <c r="A432" t="s">
        <v>4041</v>
      </c>
      <c r="B432" t="s">
        <v>4042</v>
      </c>
      <c r="C432" t="s">
        <v>4041</v>
      </c>
      <c r="D432" t="s">
        <v>192</v>
      </c>
      <c r="E432" t="s">
        <v>192</v>
      </c>
    </row>
    <row r="433" spans="1:5">
      <c r="A433" t="s">
        <v>5109</v>
      </c>
      <c r="B433" t="s">
        <v>4042</v>
      </c>
      <c r="C433" t="s">
        <v>5109</v>
      </c>
      <c r="D433" t="s">
        <v>192</v>
      </c>
      <c r="E433" t="s">
        <v>192</v>
      </c>
    </row>
    <row r="434" spans="1:5">
      <c r="A434" t="s">
        <v>2747</v>
      </c>
      <c r="B434" t="s">
        <v>2746</v>
      </c>
      <c r="C434" t="s">
        <v>2747</v>
      </c>
      <c r="D434">
        <v>402</v>
      </c>
      <c r="E434">
        <v>17.989999999999998</v>
      </c>
    </row>
    <row r="435" spans="1:5">
      <c r="A435" t="s">
        <v>3978</v>
      </c>
      <c r="B435" t="s">
        <v>3979</v>
      </c>
      <c r="C435" t="s">
        <v>3978</v>
      </c>
      <c r="D435" t="s">
        <v>192</v>
      </c>
      <c r="E435" t="s">
        <v>192</v>
      </c>
    </row>
    <row r="436" spans="1:5">
      <c r="A436" t="s">
        <v>2745</v>
      </c>
      <c r="B436" t="s">
        <v>2744</v>
      </c>
      <c r="C436" t="s">
        <v>2745</v>
      </c>
      <c r="D436">
        <v>191</v>
      </c>
      <c r="E436">
        <v>13.72</v>
      </c>
    </row>
    <row r="437" spans="1:5">
      <c r="A437" t="s">
        <v>5638</v>
      </c>
      <c r="B437" t="s">
        <v>5639</v>
      </c>
      <c r="C437" t="s">
        <v>5638</v>
      </c>
      <c r="D437" t="s">
        <v>192</v>
      </c>
      <c r="E437" t="s">
        <v>192</v>
      </c>
    </row>
    <row r="438" spans="1:5">
      <c r="A438" t="s">
        <v>2743</v>
      </c>
      <c r="B438" t="s">
        <v>2740</v>
      </c>
      <c r="C438" t="s">
        <v>2743</v>
      </c>
      <c r="D438">
        <v>898</v>
      </c>
      <c r="E438">
        <v>5.75</v>
      </c>
    </row>
    <row r="439" spans="1:5">
      <c r="A439" t="s">
        <v>2742</v>
      </c>
      <c r="B439" t="s">
        <v>2740</v>
      </c>
      <c r="C439" t="s">
        <v>2742</v>
      </c>
      <c r="D439">
        <v>898</v>
      </c>
      <c r="E439">
        <v>5.89</v>
      </c>
    </row>
    <row r="440" spans="1:5">
      <c r="A440" t="s">
        <v>2741</v>
      </c>
      <c r="B440" t="s">
        <v>2740</v>
      </c>
      <c r="C440" t="s">
        <v>2741</v>
      </c>
      <c r="D440">
        <v>898</v>
      </c>
      <c r="E440">
        <v>5.75</v>
      </c>
    </row>
    <row r="441" spans="1:5">
      <c r="A441" t="s">
        <v>4677</v>
      </c>
      <c r="B441" t="s">
        <v>4678</v>
      </c>
      <c r="C441" t="s">
        <v>4677</v>
      </c>
      <c r="D441" t="s">
        <v>192</v>
      </c>
      <c r="E441" t="s">
        <v>192</v>
      </c>
    </row>
    <row r="442" spans="1:5">
      <c r="A442" t="s">
        <v>5591</v>
      </c>
      <c r="B442" t="s">
        <v>5592</v>
      </c>
      <c r="C442" t="s">
        <v>5591</v>
      </c>
      <c r="D442" t="s">
        <v>192</v>
      </c>
      <c r="E442" t="s">
        <v>192</v>
      </c>
    </row>
    <row r="443" spans="1:5">
      <c r="A443" t="s">
        <v>4726</v>
      </c>
      <c r="B443" t="s">
        <v>4727</v>
      </c>
      <c r="C443" t="s">
        <v>4726</v>
      </c>
      <c r="D443" t="s">
        <v>192</v>
      </c>
      <c r="E443" t="s">
        <v>192</v>
      </c>
    </row>
    <row r="444" spans="1:5">
      <c r="A444" t="s">
        <v>5263</v>
      </c>
      <c r="B444" t="s">
        <v>5264</v>
      </c>
      <c r="C444" t="s">
        <v>5263</v>
      </c>
      <c r="D444" t="s">
        <v>192</v>
      </c>
      <c r="E444" t="s">
        <v>192</v>
      </c>
    </row>
    <row r="445" spans="1:5">
      <c r="A445" t="s">
        <v>2739</v>
      </c>
      <c r="B445" t="s">
        <v>2738</v>
      </c>
      <c r="C445" t="s">
        <v>2739</v>
      </c>
      <c r="D445">
        <v>1461</v>
      </c>
      <c r="E445">
        <v>7.73</v>
      </c>
    </row>
    <row r="446" spans="1:5">
      <c r="A446" t="s">
        <v>5918</v>
      </c>
      <c r="B446" t="s">
        <v>5919</v>
      </c>
      <c r="C446" t="s">
        <v>5918</v>
      </c>
      <c r="D446" t="s">
        <v>192</v>
      </c>
      <c r="E446" t="s">
        <v>192</v>
      </c>
    </row>
    <row r="447" spans="1:5">
      <c r="A447" t="s">
        <v>5125</v>
      </c>
      <c r="B447" t="s">
        <v>5126</v>
      </c>
      <c r="C447" t="s">
        <v>5125</v>
      </c>
      <c r="D447" t="s">
        <v>192</v>
      </c>
      <c r="E447" t="s">
        <v>192</v>
      </c>
    </row>
    <row r="448" spans="1:5">
      <c r="A448" t="s">
        <v>5558</v>
      </c>
      <c r="B448" t="s">
        <v>5559</v>
      </c>
      <c r="C448" t="s">
        <v>5558</v>
      </c>
      <c r="D448" t="s">
        <v>192</v>
      </c>
      <c r="E448" t="s">
        <v>192</v>
      </c>
    </row>
    <row r="449" spans="1:5">
      <c r="A449" t="s">
        <v>6489</v>
      </c>
      <c r="B449" t="s">
        <v>6490</v>
      </c>
      <c r="C449" t="s">
        <v>6489</v>
      </c>
      <c r="D449" t="s">
        <v>192</v>
      </c>
      <c r="E449" t="s">
        <v>192</v>
      </c>
    </row>
    <row r="450" spans="1:5">
      <c r="A450" t="s">
        <v>2737</v>
      </c>
      <c r="B450" t="s">
        <v>2734</v>
      </c>
      <c r="C450" t="s">
        <v>2737</v>
      </c>
      <c r="D450">
        <v>234</v>
      </c>
      <c r="E450">
        <v>8.58</v>
      </c>
    </row>
    <row r="451" spans="1:5">
      <c r="A451" t="s">
        <v>2736</v>
      </c>
      <c r="B451" t="s">
        <v>2734</v>
      </c>
      <c r="C451" t="s">
        <v>2736</v>
      </c>
      <c r="D451">
        <v>234</v>
      </c>
      <c r="E451">
        <v>8.6</v>
      </c>
    </row>
    <row r="452" spans="1:5">
      <c r="A452" t="s">
        <v>2735</v>
      </c>
      <c r="B452" t="s">
        <v>2734</v>
      </c>
      <c r="C452" t="s">
        <v>2735</v>
      </c>
      <c r="D452">
        <v>234</v>
      </c>
      <c r="E452">
        <v>8.58</v>
      </c>
    </row>
    <row r="453" spans="1:5">
      <c r="A453" t="s">
        <v>2733</v>
      </c>
      <c r="B453" t="s">
        <v>2732</v>
      </c>
      <c r="C453" t="s">
        <v>2733</v>
      </c>
      <c r="D453">
        <v>5629</v>
      </c>
      <c r="E453">
        <v>7.35</v>
      </c>
    </row>
    <row r="454" spans="1:5">
      <c r="A454" t="s">
        <v>2731</v>
      </c>
      <c r="B454" t="s">
        <v>2730</v>
      </c>
      <c r="C454" t="s">
        <v>2731</v>
      </c>
      <c r="D454">
        <v>3367</v>
      </c>
      <c r="E454">
        <v>8.73</v>
      </c>
    </row>
    <row r="455" spans="1:5">
      <c r="A455" t="s">
        <v>6491</v>
      </c>
      <c r="B455" t="s">
        <v>6492</v>
      </c>
      <c r="C455" t="s">
        <v>6491</v>
      </c>
      <c r="D455" t="s">
        <v>192</v>
      </c>
      <c r="E455" t="s">
        <v>192</v>
      </c>
    </row>
    <row r="456" spans="1:5">
      <c r="A456" t="s">
        <v>2729</v>
      </c>
      <c r="B456" t="s">
        <v>2727</v>
      </c>
      <c r="C456" t="s">
        <v>2729</v>
      </c>
      <c r="D456">
        <v>-143</v>
      </c>
      <c r="E456">
        <v>-11.3</v>
      </c>
    </row>
    <row r="457" spans="1:5">
      <c r="A457" t="s">
        <v>2728</v>
      </c>
      <c r="B457" t="s">
        <v>2727</v>
      </c>
      <c r="C457" t="s">
        <v>2728</v>
      </c>
      <c r="D457">
        <v>-143</v>
      </c>
      <c r="E457">
        <v>-11.3</v>
      </c>
    </row>
    <row r="458" spans="1:5">
      <c r="A458" t="s">
        <v>2726</v>
      </c>
      <c r="B458" t="s">
        <v>2724</v>
      </c>
      <c r="C458" t="s">
        <v>2726</v>
      </c>
      <c r="D458">
        <v>351</v>
      </c>
      <c r="E458">
        <v>10.61</v>
      </c>
    </row>
    <row r="459" spans="1:5">
      <c r="A459" t="s">
        <v>2725</v>
      </c>
      <c r="B459" t="s">
        <v>2724</v>
      </c>
      <c r="C459" t="s">
        <v>2725</v>
      </c>
      <c r="D459">
        <v>351</v>
      </c>
      <c r="E459">
        <v>10.61</v>
      </c>
    </row>
    <row r="460" spans="1:5">
      <c r="A460" t="s">
        <v>6493</v>
      </c>
      <c r="B460" t="s">
        <v>2722</v>
      </c>
      <c r="C460" t="s">
        <v>6493</v>
      </c>
      <c r="D460">
        <v>1624</v>
      </c>
      <c r="E460">
        <v>6.77</v>
      </c>
    </row>
    <row r="461" spans="1:5">
      <c r="A461" t="s">
        <v>2723</v>
      </c>
      <c r="B461" t="s">
        <v>2722</v>
      </c>
      <c r="C461" t="s">
        <v>2723</v>
      </c>
      <c r="D461">
        <v>1624</v>
      </c>
      <c r="E461">
        <v>6.77</v>
      </c>
    </row>
    <row r="462" spans="1:5">
      <c r="A462" t="s">
        <v>2721</v>
      </c>
      <c r="B462" t="s">
        <v>2720</v>
      </c>
      <c r="C462" t="s">
        <v>2721</v>
      </c>
      <c r="D462">
        <v>514</v>
      </c>
      <c r="E462">
        <v>13.7</v>
      </c>
    </row>
    <row r="463" spans="1:5">
      <c r="A463" t="s">
        <v>2719</v>
      </c>
      <c r="B463" t="s">
        <v>2718</v>
      </c>
      <c r="C463" t="s">
        <v>2719</v>
      </c>
      <c r="D463">
        <v>-20362</v>
      </c>
      <c r="E463">
        <v>-4.7</v>
      </c>
    </row>
    <row r="464" spans="1:5">
      <c r="A464" t="s">
        <v>2717</v>
      </c>
      <c r="B464" t="s">
        <v>2716</v>
      </c>
      <c r="C464" t="s">
        <v>2717</v>
      </c>
      <c r="D464">
        <v>1204</v>
      </c>
      <c r="E464">
        <v>9.93</v>
      </c>
    </row>
    <row r="465" spans="1:5">
      <c r="A465" t="s">
        <v>2715</v>
      </c>
      <c r="B465" t="s">
        <v>2714</v>
      </c>
      <c r="C465" t="s">
        <v>2715</v>
      </c>
      <c r="D465">
        <v>99</v>
      </c>
      <c r="E465">
        <v>104.85</v>
      </c>
    </row>
    <row r="466" spans="1:5">
      <c r="A466" t="s">
        <v>2713</v>
      </c>
      <c r="B466" t="s">
        <v>2712</v>
      </c>
      <c r="C466" t="s">
        <v>2713</v>
      </c>
      <c r="D466">
        <v>457</v>
      </c>
      <c r="E466">
        <v>8.84</v>
      </c>
    </row>
    <row r="467" spans="1:5">
      <c r="A467" t="s">
        <v>2711</v>
      </c>
      <c r="B467" t="s">
        <v>2710</v>
      </c>
      <c r="C467" t="s">
        <v>2711</v>
      </c>
      <c r="D467">
        <v>4417</v>
      </c>
      <c r="E467">
        <v>5.23</v>
      </c>
    </row>
    <row r="468" spans="1:5">
      <c r="A468" t="s">
        <v>2709</v>
      </c>
      <c r="B468" t="s">
        <v>2708</v>
      </c>
      <c r="C468" t="s">
        <v>2709</v>
      </c>
      <c r="D468">
        <v>62</v>
      </c>
      <c r="E468">
        <v>51.19</v>
      </c>
    </row>
    <row r="469" spans="1:5">
      <c r="A469" t="s">
        <v>6494</v>
      </c>
      <c r="B469" t="s">
        <v>2706</v>
      </c>
      <c r="C469" t="s">
        <v>6494</v>
      </c>
      <c r="D469">
        <v>47</v>
      </c>
      <c r="E469">
        <v>102.34</v>
      </c>
    </row>
    <row r="470" spans="1:5">
      <c r="A470" t="s">
        <v>2707</v>
      </c>
      <c r="B470" t="s">
        <v>2706</v>
      </c>
      <c r="C470" t="s">
        <v>2707</v>
      </c>
      <c r="D470">
        <v>47</v>
      </c>
      <c r="E470">
        <v>102.34</v>
      </c>
    </row>
    <row r="471" spans="1:5">
      <c r="A471" t="s">
        <v>5497</v>
      </c>
      <c r="B471" t="s">
        <v>5498</v>
      </c>
      <c r="C471" t="s">
        <v>5497</v>
      </c>
      <c r="D471" t="s">
        <v>192</v>
      </c>
      <c r="E471" t="s">
        <v>192</v>
      </c>
    </row>
    <row r="472" spans="1:5">
      <c r="A472" t="s">
        <v>6495</v>
      </c>
      <c r="B472" t="s">
        <v>2704</v>
      </c>
      <c r="C472" t="s">
        <v>6495</v>
      </c>
      <c r="D472">
        <v>207</v>
      </c>
      <c r="E472">
        <v>17.899999999999999</v>
      </c>
    </row>
    <row r="473" spans="1:5">
      <c r="A473" t="s">
        <v>2705</v>
      </c>
      <c r="B473" t="s">
        <v>2704</v>
      </c>
      <c r="C473" t="s">
        <v>2705</v>
      </c>
      <c r="D473">
        <v>207</v>
      </c>
      <c r="E473">
        <v>17.899999999999999</v>
      </c>
    </row>
    <row r="474" spans="1:5">
      <c r="A474" t="s">
        <v>5501</v>
      </c>
      <c r="B474" t="s">
        <v>5502</v>
      </c>
      <c r="C474" t="s">
        <v>5501</v>
      </c>
      <c r="D474" t="s">
        <v>192</v>
      </c>
      <c r="E474" t="s">
        <v>192</v>
      </c>
    </row>
    <row r="475" spans="1:5">
      <c r="A475" t="s">
        <v>5936</v>
      </c>
      <c r="B475" t="s">
        <v>5937</v>
      </c>
      <c r="C475" t="s">
        <v>5936</v>
      </c>
      <c r="D475" t="s">
        <v>192</v>
      </c>
      <c r="E475" t="s">
        <v>192</v>
      </c>
    </row>
    <row r="476" spans="1:5">
      <c r="A476" t="s">
        <v>4070</v>
      </c>
      <c r="B476" t="s">
        <v>4071</v>
      </c>
      <c r="C476" t="s">
        <v>4070</v>
      </c>
      <c r="D476" t="s">
        <v>192</v>
      </c>
      <c r="E476" t="s">
        <v>192</v>
      </c>
    </row>
    <row r="477" spans="1:5">
      <c r="A477" t="s">
        <v>4730</v>
      </c>
      <c r="B477" t="s">
        <v>4731</v>
      </c>
      <c r="C477" t="s">
        <v>4730</v>
      </c>
      <c r="D477" t="s">
        <v>192</v>
      </c>
      <c r="E477" t="s">
        <v>192</v>
      </c>
    </row>
    <row r="478" spans="1:5">
      <c r="A478" t="s">
        <v>6050</v>
      </c>
      <c r="B478" t="s">
        <v>6051</v>
      </c>
      <c r="C478" t="s">
        <v>6050</v>
      </c>
      <c r="D478" t="s">
        <v>192</v>
      </c>
      <c r="E478" t="s">
        <v>192</v>
      </c>
    </row>
    <row r="479" spans="1:5">
      <c r="A479" t="s">
        <v>3928</v>
      </c>
      <c r="B479" t="s">
        <v>3929</v>
      </c>
      <c r="C479" t="s">
        <v>3928</v>
      </c>
      <c r="D479" t="s">
        <v>192</v>
      </c>
      <c r="E479" t="s">
        <v>192</v>
      </c>
    </row>
    <row r="480" spans="1:5">
      <c r="A480" t="s">
        <v>3255</v>
      </c>
      <c r="B480" t="s">
        <v>3256</v>
      </c>
      <c r="C480" t="s">
        <v>3255</v>
      </c>
      <c r="D480" t="s">
        <v>192</v>
      </c>
      <c r="E480" t="s">
        <v>192</v>
      </c>
    </row>
    <row r="481" spans="1:5">
      <c r="A481" t="s">
        <v>6354</v>
      </c>
      <c r="B481" t="s">
        <v>6355</v>
      </c>
      <c r="C481" t="s">
        <v>6354</v>
      </c>
      <c r="D481" t="s">
        <v>192</v>
      </c>
      <c r="E481" t="s">
        <v>192</v>
      </c>
    </row>
    <row r="482" spans="1:5">
      <c r="A482" t="s">
        <v>3930</v>
      </c>
      <c r="B482" t="s">
        <v>3931</v>
      </c>
      <c r="C482" t="s">
        <v>3930</v>
      </c>
      <c r="D482">
        <v>0</v>
      </c>
      <c r="E482" t="s">
        <v>192</v>
      </c>
    </row>
    <row r="483" spans="1:5">
      <c r="A483" t="s">
        <v>2703</v>
      </c>
      <c r="B483" t="s">
        <v>2701</v>
      </c>
      <c r="C483" t="s">
        <v>2703</v>
      </c>
      <c r="D483">
        <v>1179</v>
      </c>
      <c r="E483">
        <v>4.79</v>
      </c>
    </row>
    <row r="484" spans="1:5">
      <c r="A484" t="s">
        <v>2702</v>
      </c>
      <c r="B484" t="s">
        <v>2701</v>
      </c>
      <c r="C484" t="s">
        <v>2702</v>
      </c>
      <c r="D484">
        <v>1179</v>
      </c>
      <c r="E484">
        <v>4.79</v>
      </c>
    </row>
    <row r="485" spans="1:5">
      <c r="A485" t="s">
        <v>6496</v>
      </c>
      <c r="B485" t="s">
        <v>6497</v>
      </c>
      <c r="C485" t="s">
        <v>6496</v>
      </c>
      <c r="D485" t="s">
        <v>192</v>
      </c>
      <c r="E485" t="s">
        <v>192</v>
      </c>
    </row>
    <row r="486" spans="1:5">
      <c r="A486" t="s">
        <v>2700</v>
      </c>
      <c r="B486" t="s">
        <v>2698</v>
      </c>
      <c r="C486" t="s">
        <v>2700</v>
      </c>
      <c r="D486">
        <v>164</v>
      </c>
      <c r="E486">
        <v>7.23</v>
      </c>
    </row>
    <row r="487" spans="1:5">
      <c r="A487" t="s">
        <v>2699</v>
      </c>
      <c r="B487" t="s">
        <v>2698</v>
      </c>
      <c r="C487" t="s">
        <v>2699</v>
      </c>
      <c r="D487">
        <v>164</v>
      </c>
      <c r="E487">
        <v>7.23</v>
      </c>
    </row>
    <row r="488" spans="1:5">
      <c r="A488" t="s">
        <v>2697</v>
      </c>
      <c r="B488" t="s">
        <v>2696</v>
      </c>
      <c r="C488" t="s">
        <v>2697</v>
      </c>
      <c r="D488">
        <v>5671</v>
      </c>
      <c r="E488">
        <v>12.96</v>
      </c>
    </row>
    <row r="489" spans="1:5">
      <c r="A489" t="s">
        <v>2695</v>
      </c>
      <c r="B489" t="s">
        <v>2694</v>
      </c>
      <c r="C489" t="s">
        <v>2695</v>
      </c>
      <c r="D489">
        <v>3127</v>
      </c>
      <c r="E489">
        <v>11.14</v>
      </c>
    </row>
    <row r="490" spans="1:5">
      <c r="A490" t="s">
        <v>2693</v>
      </c>
      <c r="B490" t="s">
        <v>2692</v>
      </c>
      <c r="C490" t="s">
        <v>2693</v>
      </c>
      <c r="D490">
        <v>323</v>
      </c>
      <c r="E490">
        <v>6.11</v>
      </c>
    </row>
    <row r="491" spans="1:5">
      <c r="A491" t="s">
        <v>6498</v>
      </c>
      <c r="B491" t="s">
        <v>6499</v>
      </c>
      <c r="C491" t="s">
        <v>6498</v>
      </c>
      <c r="D491" t="s">
        <v>192</v>
      </c>
      <c r="E491" t="s">
        <v>192</v>
      </c>
    </row>
    <row r="492" spans="1:5">
      <c r="A492" t="s">
        <v>2691</v>
      </c>
      <c r="B492" t="s">
        <v>136</v>
      </c>
      <c r="C492" t="s">
        <v>2691</v>
      </c>
      <c r="D492">
        <v>348</v>
      </c>
      <c r="E492">
        <v>6.64</v>
      </c>
    </row>
    <row r="493" spans="1:5">
      <c r="A493" t="s">
        <v>137</v>
      </c>
      <c r="B493" t="s">
        <v>136</v>
      </c>
      <c r="C493" t="s">
        <v>137</v>
      </c>
      <c r="D493">
        <v>348</v>
      </c>
      <c r="E493">
        <v>6.64</v>
      </c>
    </row>
    <row r="494" spans="1:5">
      <c r="A494" t="s">
        <v>2690</v>
      </c>
      <c r="B494" t="s">
        <v>2689</v>
      </c>
      <c r="C494" t="s">
        <v>2690</v>
      </c>
      <c r="D494">
        <v>552</v>
      </c>
      <c r="E494">
        <v>7.06</v>
      </c>
    </row>
    <row r="495" spans="1:5">
      <c r="A495" t="s">
        <v>3946</v>
      </c>
      <c r="B495" t="s">
        <v>2687</v>
      </c>
      <c r="C495" t="s">
        <v>3946</v>
      </c>
      <c r="D495">
        <v>1582</v>
      </c>
      <c r="E495">
        <v>9.49</v>
      </c>
    </row>
    <row r="496" spans="1:5">
      <c r="A496" t="s">
        <v>2688</v>
      </c>
      <c r="B496" t="s">
        <v>2687</v>
      </c>
      <c r="C496" t="s">
        <v>2688</v>
      </c>
      <c r="D496">
        <v>1582</v>
      </c>
      <c r="E496">
        <v>9.49</v>
      </c>
    </row>
    <row r="497" spans="1:5">
      <c r="A497" t="s">
        <v>2686</v>
      </c>
      <c r="B497" t="s">
        <v>2685</v>
      </c>
      <c r="C497" t="s">
        <v>2686</v>
      </c>
      <c r="D497">
        <v>15</v>
      </c>
      <c r="E497">
        <v>181.93</v>
      </c>
    </row>
    <row r="498" spans="1:5">
      <c r="A498" t="s">
        <v>4833</v>
      </c>
      <c r="B498" t="s">
        <v>2683</v>
      </c>
      <c r="C498" t="s">
        <v>4833</v>
      </c>
      <c r="D498">
        <v>1215</v>
      </c>
      <c r="E498">
        <v>10.28</v>
      </c>
    </row>
    <row r="499" spans="1:5">
      <c r="A499" t="s">
        <v>2684</v>
      </c>
      <c r="B499" t="s">
        <v>2683</v>
      </c>
      <c r="C499" t="s">
        <v>2684</v>
      </c>
      <c r="D499">
        <v>1215</v>
      </c>
      <c r="E499">
        <v>10.28</v>
      </c>
    </row>
    <row r="500" spans="1:5">
      <c r="A500" t="s">
        <v>2682</v>
      </c>
      <c r="B500" t="s">
        <v>2681</v>
      </c>
      <c r="C500" t="s">
        <v>2682</v>
      </c>
      <c r="D500">
        <v>1523</v>
      </c>
      <c r="E500">
        <v>9.06</v>
      </c>
    </row>
    <row r="501" spans="1:5">
      <c r="A501" t="s">
        <v>2680</v>
      </c>
      <c r="B501" t="s">
        <v>2678</v>
      </c>
      <c r="C501" t="s">
        <v>2680</v>
      </c>
      <c r="D501">
        <v>723</v>
      </c>
      <c r="E501">
        <v>9.36</v>
      </c>
    </row>
    <row r="502" spans="1:5">
      <c r="A502" t="s">
        <v>2679</v>
      </c>
      <c r="B502" t="s">
        <v>2678</v>
      </c>
      <c r="C502" t="s">
        <v>2679</v>
      </c>
      <c r="D502">
        <v>723</v>
      </c>
      <c r="E502">
        <v>9.36</v>
      </c>
    </row>
    <row r="503" spans="1:5">
      <c r="A503" t="s">
        <v>2677</v>
      </c>
      <c r="B503" t="s">
        <v>2675</v>
      </c>
      <c r="C503" t="s">
        <v>2677</v>
      </c>
      <c r="D503">
        <v>1655</v>
      </c>
      <c r="E503">
        <v>5.96</v>
      </c>
    </row>
    <row r="504" spans="1:5">
      <c r="A504" t="s">
        <v>2676</v>
      </c>
      <c r="B504" t="s">
        <v>2675</v>
      </c>
      <c r="C504" t="s">
        <v>2676</v>
      </c>
      <c r="D504">
        <v>1655</v>
      </c>
      <c r="E504">
        <v>5.96</v>
      </c>
    </row>
    <row r="505" spans="1:5">
      <c r="A505" t="s">
        <v>2674</v>
      </c>
      <c r="B505" t="s">
        <v>2672</v>
      </c>
      <c r="C505" t="s">
        <v>2674</v>
      </c>
      <c r="D505">
        <v>1694</v>
      </c>
      <c r="E505">
        <v>17.739999999999998</v>
      </c>
    </row>
    <row r="506" spans="1:5">
      <c r="A506" t="s">
        <v>2673</v>
      </c>
      <c r="B506" t="s">
        <v>2672</v>
      </c>
      <c r="C506" t="s">
        <v>2673</v>
      </c>
      <c r="D506">
        <v>1694</v>
      </c>
      <c r="E506">
        <v>17.739999999999998</v>
      </c>
    </row>
    <row r="507" spans="1:5">
      <c r="A507" t="s">
        <v>2671</v>
      </c>
      <c r="B507" t="s">
        <v>2670</v>
      </c>
      <c r="C507" t="s">
        <v>2671</v>
      </c>
      <c r="D507">
        <v>3438</v>
      </c>
      <c r="E507">
        <v>5.39</v>
      </c>
    </row>
    <row r="508" spans="1:5">
      <c r="A508" t="s">
        <v>2669</v>
      </c>
      <c r="B508" t="s">
        <v>2668</v>
      </c>
      <c r="C508" t="s">
        <v>2669</v>
      </c>
      <c r="D508">
        <v>537</v>
      </c>
      <c r="E508">
        <v>7.31</v>
      </c>
    </row>
    <row r="509" spans="1:5">
      <c r="A509" t="s">
        <v>2667</v>
      </c>
      <c r="B509" t="s">
        <v>2666</v>
      </c>
      <c r="C509" t="s">
        <v>2667</v>
      </c>
      <c r="D509">
        <v>-83</v>
      </c>
      <c r="E509">
        <v>-165.06</v>
      </c>
    </row>
    <row r="510" spans="1:5">
      <c r="A510" t="s">
        <v>2665</v>
      </c>
      <c r="B510" t="s">
        <v>2663</v>
      </c>
      <c r="C510" t="s">
        <v>2665</v>
      </c>
      <c r="D510">
        <v>742</v>
      </c>
      <c r="E510">
        <v>7.98</v>
      </c>
    </row>
    <row r="511" spans="1:5">
      <c r="A511" t="s">
        <v>2664</v>
      </c>
      <c r="B511" t="s">
        <v>2663</v>
      </c>
      <c r="C511" t="s">
        <v>2664</v>
      </c>
      <c r="D511">
        <v>742</v>
      </c>
      <c r="E511">
        <v>7.98</v>
      </c>
    </row>
    <row r="512" spans="1:5">
      <c r="A512" t="s">
        <v>135</v>
      </c>
      <c r="B512" t="s">
        <v>134</v>
      </c>
      <c r="C512" t="s">
        <v>135</v>
      </c>
      <c r="D512">
        <v>1398</v>
      </c>
      <c r="E512">
        <v>10.65</v>
      </c>
    </row>
    <row r="513" spans="1:5">
      <c r="A513" t="s">
        <v>5469</v>
      </c>
      <c r="B513" t="s">
        <v>4594</v>
      </c>
      <c r="C513" t="s">
        <v>5469</v>
      </c>
      <c r="D513" t="s">
        <v>192</v>
      </c>
      <c r="E513" t="s">
        <v>192</v>
      </c>
    </row>
    <row r="514" spans="1:5">
      <c r="A514" t="s">
        <v>4593</v>
      </c>
      <c r="B514" t="s">
        <v>4594</v>
      </c>
      <c r="C514" t="s">
        <v>4593</v>
      </c>
      <c r="D514" t="s">
        <v>192</v>
      </c>
      <c r="E514" t="s">
        <v>192</v>
      </c>
    </row>
    <row r="515" spans="1:5">
      <c r="A515" t="s">
        <v>5034</v>
      </c>
      <c r="B515" t="s">
        <v>2661</v>
      </c>
      <c r="C515" t="s">
        <v>5034</v>
      </c>
      <c r="D515">
        <v>751</v>
      </c>
      <c r="E515">
        <v>4.1500000000000004</v>
      </c>
    </row>
    <row r="516" spans="1:5">
      <c r="A516" t="s">
        <v>2662</v>
      </c>
      <c r="B516" t="s">
        <v>2661</v>
      </c>
      <c r="C516" t="s">
        <v>2662</v>
      </c>
      <c r="D516">
        <v>751</v>
      </c>
      <c r="E516">
        <v>4.1500000000000004</v>
      </c>
    </row>
    <row r="517" spans="1:5">
      <c r="A517" t="s">
        <v>5903</v>
      </c>
      <c r="B517" t="s">
        <v>5904</v>
      </c>
      <c r="C517" t="s">
        <v>5903</v>
      </c>
      <c r="D517" t="s">
        <v>192</v>
      </c>
      <c r="E517" t="s">
        <v>192</v>
      </c>
    </row>
    <row r="518" spans="1:5">
      <c r="A518" t="s">
        <v>5418</v>
      </c>
      <c r="B518" t="s">
        <v>5419</v>
      </c>
      <c r="C518" t="s">
        <v>5418</v>
      </c>
      <c r="D518" t="s">
        <v>192</v>
      </c>
      <c r="E518" t="s">
        <v>192</v>
      </c>
    </row>
    <row r="519" spans="1:5">
      <c r="A519" t="s">
        <v>5728</v>
      </c>
      <c r="B519" t="s">
        <v>5729</v>
      </c>
      <c r="C519" t="s">
        <v>5728</v>
      </c>
      <c r="D519" t="s">
        <v>192</v>
      </c>
      <c r="E519" t="s">
        <v>192</v>
      </c>
    </row>
    <row r="520" spans="1:5">
      <c r="A520" t="s">
        <v>4853</v>
      </c>
      <c r="B520" t="s">
        <v>4854</v>
      </c>
      <c r="C520" t="s">
        <v>4853</v>
      </c>
      <c r="D520" t="s">
        <v>192</v>
      </c>
      <c r="E520" t="s">
        <v>192</v>
      </c>
    </row>
    <row r="521" spans="1:5">
      <c r="A521" t="s">
        <v>5601</v>
      </c>
      <c r="B521" t="s">
        <v>5602</v>
      </c>
      <c r="C521" t="s">
        <v>5601</v>
      </c>
      <c r="D521" t="s">
        <v>192</v>
      </c>
      <c r="E521" t="s">
        <v>192</v>
      </c>
    </row>
    <row r="522" spans="1:5">
      <c r="A522" t="s">
        <v>4728</v>
      </c>
      <c r="B522" t="s">
        <v>4729</v>
      </c>
      <c r="C522" t="s">
        <v>4728</v>
      </c>
      <c r="D522" t="s">
        <v>192</v>
      </c>
      <c r="E522" t="s">
        <v>192</v>
      </c>
    </row>
    <row r="523" spans="1:5">
      <c r="A523" t="s">
        <v>6500</v>
      </c>
      <c r="B523" t="s">
        <v>2659</v>
      </c>
      <c r="C523" t="s">
        <v>6500</v>
      </c>
      <c r="D523">
        <v>704</v>
      </c>
      <c r="E523">
        <v>10.65</v>
      </c>
    </row>
    <row r="524" spans="1:5">
      <c r="A524" t="s">
        <v>2660</v>
      </c>
      <c r="B524" t="s">
        <v>2659</v>
      </c>
      <c r="C524" t="s">
        <v>2660</v>
      </c>
      <c r="D524">
        <v>704</v>
      </c>
      <c r="E524">
        <v>10.65</v>
      </c>
    </row>
    <row r="525" spans="1:5">
      <c r="A525" t="s">
        <v>5208</v>
      </c>
      <c r="B525" t="s">
        <v>5209</v>
      </c>
      <c r="C525" t="s">
        <v>5208</v>
      </c>
      <c r="D525" t="s">
        <v>192</v>
      </c>
      <c r="E525" t="s">
        <v>192</v>
      </c>
    </row>
    <row r="526" spans="1:5">
      <c r="A526" t="s">
        <v>6436</v>
      </c>
      <c r="B526" t="s">
        <v>6437</v>
      </c>
      <c r="C526" t="s">
        <v>6436</v>
      </c>
      <c r="D526" t="s">
        <v>192</v>
      </c>
      <c r="E526" t="s">
        <v>192</v>
      </c>
    </row>
    <row r="527" spans="1:5">
      <c r="A527" t="s">
        <v>6074</v>
      </c>
      <c r="B527" t="s">
        <v>6075</v>
      </c>
      <c r="C527" t="s">
        <v>6074</v>
      </c>
      <c r="D527" t="s">
        <v>192</v>
      </c>
      <c r="E527" t="s">
        <v>192</v>
      </c>
    </row>
    <row r="528" spans="1:5">
      <c r="A528" t="s">
        <v>165</v>
      </c>
      <c r="B528" t="s">
        <v>164</v>
      </c>
      <c r="C528" t="s">
        <v>165</v>
      </c>
      <c r="D528">
        <v>2747</v>
      </c>
      <c r="E528">
        <v>8.9</v>
      </c>
    </row>
    <row r="529" spans="1:5">
      <c r="A529" t="s">
        <v>2658</v>
      </c>
      <c r="B529" t="s">
        <v>2657</v>
      </c>
      <c r="C529" t="s">
        <v>2658</v>
      </c>
      <c r="D529">
        <v>-195</v>
      </c>
      <c r="E529">
        <v>-36.770000000000003</v>
      </c>
    </row>
    <row r="530" spans="1:5">
      <c r="A530" t="s">
        <v>6123</v>
      </c>
      <c r="B530" t="s">
        <v>6124</v>
      </c>
      <c r="C530" t="s">
        <v>6123</v>
      </c>
      <c r="D530" t="s">
        <v>192</v>
      </c>
      <c r="E530" t="s">
        <v>192</v>
      </c>
    </row>
    <row r="531" spans="1:5">
      <c r="A531" t="s">
        <v>6501</v>
      </c>
      <c r="B531" t="s">
        <v>5829</v>
      </c>
      <c r="C531" t="s">
        <v>6501</v>
      </c>
      <c r="D531" t="s">
        <v>192</v>
      </c>
      <c r="E531" t="s">
        <v>192</v>
      </c>
    </row>
    <row r="532" spans="1:5">
      <c r="A532" t="s">
        <v>5828</v>
      </c>
      <c r="B532" t="s">
        <v>5829</v>
      </c>
      <c r="C532" t="s">
        <v>5828</v>
      </c>
      <c r="D532" t="s">
        <v>192</v>
      </c>
      <c r="E532" t="s">
        <v>192</v>
      </c>
    </row>
    <row r="533" spans="1:5">
      <c r="A533" t="s">
        <v>2656</v>
      </c>
      <c r="B533" t="s">
        <v>2655</v>
      </c>
      <c r="C533" t="s">
        <v>2656</v>
      </c>
      <c r="D533">
        <v>1097</v>
      </c>
      <c r="E533">
        <v>10.62</v>
      </c>
    </row>
    <row r="534" spans="1:5">
      <c r="A534" t="s">
        <v>5269</v>
      </c>
      <c r="B534" t="s">
        <v>5270</v>
      </c>
      <c r="C534" t="s">
        <v>5269</v>
      </c>
      <c r="D534" t="s">
        <v>192</v>
      </c>
      <c r="E534" t="s">
        <v>192</v>
      </c>
    </row>
    <row r="535" spans="1:5">
      <c r="A535" t="s">
        <v>4918</v>
      </c>
      <c r="B535" t="s">
        <v>4919</v>
      </c>
      <c r="C535" t="s">
        <v>4918</v>
      </c>
      <c r="D535" t="s">
        <v>192</v>
      </c>
      <c r="E535" t="s">
        <v>192</v>
      </c>
    </row>
    <row r="536" spans="1:5">
      <c r="A536" t="s">
        <v>6293</v>
      </c>
      <c r="B536" t="s">
        <v>6294</v>
      </c>
      <c r="C536" t="s">
        <v>6293</v>
      </c>
      <c r="D536" t="s">
        <v>192</v>
      </c>
      <c r="E536" t="s">
        <v>192</v>
      </c>
    </row>
    <row r="537" spans="1:5">
      <c r="A537" t="s">
        <v>3896</v>
      </c>
      <c r="B537" t="s">
        <v>3897</v>
      </c>
      <c r="C537" t="s">
        <v>3896</v>
      </c>
      <c r="D537" t="s">
        <v>192</v>
      </c>
      <c r="E537" t="s">
        <v>192</v>
      </c>
    </row>
    <row r="538" spans="1:5">
      <c r="A538" t="s">
        <v>4107</v>
      </c>
      <c r="B538" t="s">
        <v>4108</v>
      </c>
      <c r="C538" t="s">
        <v>4107</v>
      </c>
      <c r="D538" t="s">
        <v>192</v>
      </c>
      <c r="E538" t="s">
        <v>192</v>
      </c>
    </row>
    <row r="539" spans="1:5">
      <c r="A539" t="s">
        <v>3362</v>
      </c>
      <c r="B539" t="s">
        <v>3363</v>
      </c>
      <c r="C539" t="s">
        <v>3362</v>
      </c>
      <c r="D539" t="s">
        <v>192</v>
      </c>
      <c r="E539" t="s">
        <v>192</v>
      </c>
    </row>
    <row r="540" spans="1:5">
      <c r="A540" t="s">
        <v>4019</v>
      </c>
      <c r="B540" t="s">
        <v>4020</v>
      </c>
      <c r="C540" t="s">
        <v>4019</v>
      </c>
      <c r="D540" t="s">
        <v>192</v>
      </c>
      <c r="E540" t="s">
        <v>192</v>
      </c>
    </row>
    <row r="541" spans="1:5">
      <c r="A541" t="s">
        <v>6502</v>
      </c>
      <c r="B541" t="s">
        <v>3197</v>
      </c>
      <c r="C541" t="s">
        <v>6502</v>
      </c>
      <c r="D541" t="s">
        <v>192</v>
      </c>
      <c r="E541" t="s">
        <v>192</v>
      </c>
    </row>
    <row r="542" spans="1:5">
      <c r="A542" t="s">
        <v>4812</v>
      </c>
      <c r="B542" t="s">
        <v>3197</v>
      </c>
      <c r="C542" t="s">
        <v>4812</v>
      </c>
      <c r="D542" t="s">
        <v>192</v>
      </c>
      <c r="E542" t="s">
        <v>192</v>
      </c>
    </row>
    <row r="543" spans="1:5">
      <c r="A543" t="s">
        <v>3196</v>
      </c>
      <c r="B543" t="s">
        <v>3197</v>
      </c>
      <c r="C543" t="s">
        <v>3196</v>
      </c>
      <c r="D543" t="s">
        <v>192</v>
      </c>
      <c r="E543" t="s">
        <v>192</v>
      </c>
    </row>
    <row r="544" spans="1:5">
      <c r="A544" t="s">
        <v>2654</v>
      </c>
      <c r="B544" t="s">
        <v>2653</v>
      </c>
      <c r="C544" t="s">
        <v>2654</v>
      </c>
      <c r="D544">
        <v>-242</v>
      </c>
      <c r="E544">
        <v>-6.95</v>
      </c>
    </row>
    <row r="545" spans="1:5">
      <c r="A545" t="s">
        <v>4121</v>
      </c>
      <c r="B545" t="s">
        <v>4122</v>
      </c>
      <c r="C545" t="s">
        <v>4121</v>
      </c>
      <c r="D545" t="s">
        <v>192</v>
      </c>
      <c r="E545" t="s">
        <v>192</v>
      </c>
    </row>
    <row r="546" spans="1:5">
      <c r="A546" t="s">
        <v>4924</v>
      </c>
      <c r="B546" t="s">
        <v>4122</v>
      </c>
      <c r="C546" t="s">
        <v>4924</v>
      </c>
      <c r="D546" t="s">
        <v>192</v>
      </c>
      <c r="E546" t="s">
        <v>192</v>
      </c>
    </row>
    <row r="547" spans="1:5">
      <c r="A547" t="s">
        <v>131</v>
      </c>
      <c r="B547" t="s">
        <v>130</v>
      </c>
      <c r="C547" t="s">
        <v>131</v>
      </c>
      <c r="D547">
        <v>540</v>
      </c>
      <c r="E547">
        <v>5.05</v>
      </c>
    </row>
    <row r="548" spans="1:5">
      <c r="A548" t="s">
        <v>5474</v>
      </c>
      <c r="B548" t="s">
        <v>5475</v>
      </c>
      <c r="C548" t="s">
        <v>5474</v>
      </c>
      <c r="D548" t="s">
        <v>192</v>
      </c>
      <c r="E548" t="s">
        <v>192</v>
      </c>
    </row>
    <row r="549" spans="1:5">
      <c r="A549" t="s">
        <v>5150</v>
      </c>
      <c r="B549" t="s">
        <v>5106</v>
      </c>
      <c r="C549" t="s">
        <v>5150</v>
      </c>
      <c r="D549" t="s">
        <v>192</v>
      </c>
      <c r="E549" t="s">
        <v>192</v>
      </c>
    </row>
    <row r="550" spans="1:5">
      <c r="A550" t="s">
        <v>5105</v>
      </c>
      <c r="B550" t="s">
        <v>5106</v>
      </c>
      <c r="C550" t="s">
        <v>5105</v>
      </c>
      <c r="D550" t="s">
        <v>192</v>
      </c>
      <c r="E550" t="s">
        <v>192</v>
      </c>
    </row>
    <row r="551" spans="1:5">
      <c r="A551" t="s">
        <v>2652</v>
      </c>
      <c r="B551" t="s">
        <v>2651</v>
      </c>
      <c r="C551" t="s">
        <v>2652</v>
      </c>
      <c r="D551">
        <v>2109</v>
      </c>
      <c r="E551">
        <v>22.97</v>
      </c>
    </row>
    <row r="552" spans="1:5">
      <c r="A552" t="s">
        <v>2650</v>
      </c>
      <c r="B552" t="s">
        <v>2649</v>
      </c>
      <c r="C552" t="s">
        <v>2650</v>
      </c>
      <c r="D552">
        <v>2689</v>
      </c>
      <c r="E552">
        <v>8.85</v>
      </c>
    </row>
    <row r="553" spans="1:5">
      <c r="A553" t="s">
        <v>3358</v>
      </c>
      <c r="B553" t="s">
        <v>3359</v>
      </c>
      <c r="C553" t="s">
        <v>3358</v>
      </c>
      <c r="D553" t="s">
        <v>192</v>
      </c>
      <c r="E553" t="s">
        <v>192</v>
      </c>
    </row>
    <row r="554" spans="1:5">
      <c r="A554" t="s">
        <v>2648</v>
      </c>
      <c r="B554" t="s">
        <v>2647</v>
      </c>
      <c r="C554" t="s">
        <v>2648</v>
      </c>
      <c r="D554">
        <v>685</v>
      </c>
      <c r="E554">
        <v>11.07</v>
      </c>
    </row>
    <row r="555" spans="1:5">
      <c r="A555" t="s">
        <v>2646</v>
      </c>
      <c r="B555" t="s">
        <v>2645</v>
      </c>
      <c r="C555" t="s">
        <v>2646</v>
      </c>
      <c r="D555">
        <v>170</v>
      </c>
      <c r="E555">
        <v>14.03</v>
      </c>
    </row>
    <row r="556" spans="1:5">
      <c r="A556" t="s">
        <v>2644</v>
      </c>
      <c r="B556" t="s">
        <v>2643</v>
      </c>
      <c r="C556" t="s">
        <v>2644</v>
      </c>
      <c r="D556">
        <v>-42</v>
      </c>
      <c r="E556">
        <v>-33.69</v>
      </c>
    </row>
    <row r="557" spans="1:5">
      <c r="A557" t="s">
        <v>2642</v>
      </c>
      <c r="B557" t="s">
        <v>2641</v>
      </c>
      <c r="C557" t="s">
        <v>2642</v>
      </c>
      <c r="D557">
        <v>1316</v>
      </c>
      <c r="E557">
        <v>6.34</v>
      </c>
    </row>
    <row r="558" spans="1:5">
      <c r="A558" t="s">
        <v>3297</v>
      </c>
      <c r="B558" t="s">
        <v>3298</v>
      </c>
      <c r="C558" t="s">
        <v>3297</v>
      </c>
      <c r="D558" t="s">
        <v>192</v>
      </c>
      <c r="E558" t="s">
        <v>192</v>
      </c>
    </row>
    <row r="559" spans="1:5">
      <c r="A559" t="s">
        <v>5184</v>
      </c>
      <c r="B559" t="s">
        <v>5185</v>
      </c>
      <c r="C559" t="s">
        <v>5184</v>
      </c>
      <c r="D559" t="s">
        <v>192</v>
      </c>
      <c r="E559" t="s">
        <v>192</v>
      </c>
    </row>
    <row r="560" spans="1:5">
      <c r="A560" t="s">
        <v>5579</v>
      </c>
      <c r="B560" t="s">
        <v>5580</v>
      </c>
      <c r="C560" t="s">
        <v>5579</v>
      </c>
      <c r="D560" t="s">
        <v>192</v>
      </c>
      <c r="E560" t="s">
        <v>192</v>
      </c>
    </row>
    <row r="561" spans="1:5">
      <c r="A561" t="s">
        <v>2640</v>
      </c>
      <c r="B561" t="s">
        <v>2639</v>
      </c>
      <c r="C561" t="s">
        <v>2640</v>
      </c>
      <c r="D561">
        <v>3057</v>
      </c>
      <c r="E561">
        <v>6.33</v>
      </c>
    </row>
    <row r="562" spans="1:5">
      <c r="A562" t="s">
        <v>2638</v>
      </c>
      <c r="B562" t="s">
        <v>2636</v>
      </c>
      <c r="C562" t="s">
        <v>2638</v>
      </c>
      <c r="D562">
        <v>188</v>
      </c>
      <c r="E562">
        <v>9.26</v>
      </c>
    </row>
    <row r="563" spans="1:5">
      <c r="A563" t="s">
        <v>2637</v>
      </c>
      <c r="B563" t="s">
        <v>2636</v>
      </c>
      <c r="C563" t="s">
        <v>2637</v>
      </c>
      <c r="D563">
        <v>188</v>
      </c>
      <c r="E563">
        <v>9.26</v>
      </c>
    </row>
    <row r="564" spans="1:5">
      <c r="A564" t="s">
        <v>2635</v>
      </c>
      <c r="B564" t="s">
        <v>2633</v>
      </c>
      <c r="C564" t="s">
        <v>2635</v>
      </c>
      <c r="D564">
        <v>1731</v>
      </c>
      <c r="E564">
        <v>6.93</v>
      </c>
    </row>
    <row r="565" spans="1:5">
      <c r="A565" t="s">
        <v>2634</v>
      </c>
      <c r="B565" t="s">
        <v>2633</v>
      </c>
      <c r="C565" t="s">
        <v>2634</v>
      </c>
      <c r="D565">
        <v>1731</v>
      </c>
      <c r="E565">
        <v>6.93</v>
      </c>
    </row>
    <row r="566" spans="1:5">
      <c r="A566" t="s">
        <v>2632</v>
      </c>
      <c r="B566" t="s">
        <v>2631</v>
      </c>
      <c r="C566" t="s">
        <v>2632</v>
      </c>
      <c r="D566">
        <v>2112</v>
      </c>
      <c r="E566">
        <v>7.16</v>
      </c>
    </row>
    <row r="567" spans="1:5">
      <c r="A567" t="s">
        <v>2630</v>
      </c>
      <c r="B567" t="s">
        <v>2628</v>
      </c>
      <c r="C567" t="s">
        <v>2630</v>
      </c>
      <c r="D567">
        <v>87</v>
      </c>
      <c r="E567">
        <v>39.01</v>
      </c>
    </row>
    <row r="568" spans="1:5">
      <c r="A568" t="s">
        <v>2629</v>
      </c>
      <c r="B568" t="s">
        <v>2628</v>
      </c>
      <c r="C568" t="s">
        <v>2629</v>
      </c>
      <c r="D568">
        <v>87</v>
      </c>
      <c r="E568">
        <v>39.01</v>
      </c>
    </row>
    <row r="569" spans="1:5">
      <c r="A569" t="s">
        <v>2627</v>
      </c>
      <c r="B569" t="s">
        <v>2626</v>
      </c>
      <c r="C569" t="s">
        <v>2627</v>
      </c>
      <c r="D569">
        <v>-32</v>
      </c>
      <c r="E569">
        <v>-93.63</v>
      </c>
    </row>
    <row r="570" spans="1:5">
      <c r="A570" t="s">
        <v>2625</v>
      </c>
      <c r="B570" t="s">
        <v>2624</v>
      </c>
      <c r="C570" t="s">
        <v>2625</v>
      </c>
      <c r="D570">
        <v>1225</v>
      </c>
      <c r="E570">
        <v>8.27</v>
      </c>
    </row>
    <row r="571" spans="1:5">
      <c r="A571" t="s">
        <v>2623</v>
      </c>
      <c r="B571" t="s">
        <v>2620</v>
      </c>
      <c r="C571" t="s">
        <v>2623</v>
      </c>
      <c r="D571">
        <v>1961</v>
      </c>
      <c r="E571">
        <v>8.5399999999999991</v>
      </c>
    </row>
    <row r="572" spans="1:5">
      <c r="A572" t="s">
        <v>2622</v>
      </c>
      <c r="B572" t="s">
        <v>2620</v>
      </c>
      <c r="C572" t="s">
        <v>2622</v>
      </c>
      <c r="D572">
        <v>1961</v>
      </c>
      <c r="E572">
        <v>8.49</v>
      </c>
    </row>
    <row r="573" spans="1:5">
      <c r="A573" t="s">
        <v>2621</v>
      </c>
      <c r="B573" t="s">
        <v>2620</v>
      </c>
      <c r="C573" t="s">
        <v>2621</v>
      </c>
      <c r="D573">
        <v>1961</v>
      </c>
      <c r="E573">
        <v>8.5399999999999991</v>
      </c>
    </row>
    <row r="574" spans="1:5">
      <c r="A574" t="s">
        <v>2619</v>
      </c>
      <c r="B574" t="s">
        <v>2617</v>
      </c>
      <c r="C574" t="s">
        <v>2619</v>
      </c>
      <c r="D574">
        <v>638</v>
      </c>
      <c r="E574">
        <v>5.73</v>
      </c>
    </row>
    <row r="575" spans="1:5">
      <c r="A575" t="s">
        <v>2618</v>
      </c>
      <c r="B575" t="s">
        <v>2617</v>
      </c>
      <c r="C575" t="s">
        <v>2618</v>
      </c>
      <c r="D575">
        <v>638</v>
      </c>
      <c r="E575">
        <v>5.73</v>
      </c>
    </row>
    <row r="576" spans="1:5">
      <c r="A576" t="s">
        <v>2616</v>
      </c>
      <c r="B576" t="s">
        <v>2615</v>
      </c>
      <c r="C576" t="s">
        <v>2616</v>
      </c>
      <c r="D576">
        <v>2624</v>
      </c>
      <c r="E576">
        <v>3.9</v>
      </c>
    </row>
    <row r="577" spans="1:5">
      <c r="A577" t="s">
        <v>2614</v>
      </c>
      <c r="B577" t="s">
        <v>2613</v>
      </c>
      <c r="C577" t="s">
        <v>2614</v>
      </c>
      <c r="D577">
        <v>150</v>
      </c>
      <c r="E577">
        <v>21.51</v>
      </c>
    </row>
    <row r="578" spans="1:5">
      <c r="A578" s="270" t="s">
        <v>2612</v>
      </c>
      <c r="B578" t="s">
        <v>2611</v>
      </c>
      <c r="C578" s="270" t="s">
        <v>2612</v>
      </c>
      <c r="D578">
        <v>924</v>
      </c>
      <c r="E578">
        <v>8.9700000000000006</v>
      </c>
    </row>
    <row r="579" spans="1:5">
      <c r="A579" t="s">
        <v>2610</v>
      </c>
      <c r="B579" t="s">
        <v>2609</v>
      </c>
      <c r="C579" t="s">
        <v>2610</v>
      </c>
      <c r="D579">
        <v>1836</v>
      </c>
      <c r="E579">
        <v>8.01</v>
      </c>
    </row>
    <row r="580" spans="1:5">
      <c r="A580" t="s">
        <v>2608</v>
      </c>
      <c r="B580" t="s">
        <v>2606</v>
      </c>
      <c r="C580" t="s">
        <v>2608</v>
      </c>
      <c r="D580">
        <v>276</v>
      </c>
      <c r="E580">
        <v>7.68</v>
      </c>
    </row>
    <row r="581" spans="1:5">
      <c r="A581" t="s">
        <v>2607</v>
      </c>
      <c r="B581" t="s">
        <v>2606</v>
      </c>
      <c r="C581" t="s">
        <v>2607</v>
      </c>
      <c r="D581">
        <v>276</v>
      </c>
      <c r="E581">
        <v>7.68</v>
      </c>
    </row>
    <row r="582" spans="1:5">
      <c r="A582" t="s">
        <v>2605</v>
      </c>
      <c r="B582" t="s">
        <v>2604</v>
      </c>
      <c r="C582" t="s">
        <v>2605</v>
      </c>
      <c r="D582">
        <v>17284</v>
      </c>
      <c r="E582">
        <v>5.34</v>
      </c>
    </row>
    <row r="583" spans="1:5">
      <c r="A583" t="s">
        <v>5122</v>
      </c>
      <c r="B583" t="s">
        <v>5123</v>
      </c>
      <c r="C583" t="s">
        <v>5122</v>
      </c>
      <c r="D583" t="s">
        <v>192</v>
      </c>
      <c r="E583" t="s">
        <v>192</v>
      </c>
    </row>
    <row r="584" spans="1:5">
      <c r="A584" t="s">
        <v>6503</v>
      </c>
      <c r="B584" t="s">
        <v>5833</v>
      </c>
      <c r="C584" t="s">
        <v>6503</v>
      </c>
      <c r="D584" t="s">
        <v>192</v>
      </c>
      <c r="E584" t="s">
        <v>192</v>
      </c>
    </row>
    <row r="585" spans="1:5">
      <c r="A585" t="s">
        <v>5832</v>
      </c>
      <c r="B585" t="s">
        <v>5833</v>
      </c>
      <c r="C585" t="s">
        <v>5832</v>
      </c>
      <c r="D585" t="s">
        <v>192</v>
      </c>
      <c r="E585" t="s">
        <v>192</v>
      </c>
    </row>
    <row r="586" spans="1:5">
      <c r="A586" t="s">
        <v>5204</v>
      </c>
      <c r="B586" t="s">
        <v>5205</v>
      </c>
      <c r="C586" t="s">
        <v>5204</v>
      </c>
      <c r="D586" t="s">
        <v>192</v>
      </c>
      <c r="E586" t="s">
        <v>192</v>
      </c>
    </row>
    <row r="587" spans="1:5">
      <c r="A587" t="s">
        <v>2603</v>
      </c>
      <c r="B587" t="s">
        <v>2601</v>
      </c>
      <c r="C587" t="s">
        <v>2603</v>
      </c>
      <c r="D587">
        <v>369</v>
      </c>
      <c r="E587">
        <v>11.14</v>
      </c>
    </row>
    <row r="588" spans="1:5">
      <c r="A588" t="s">
        <v>2602</v>
      </c>
      <c r="B588" t="s">
        <v>2601</v>
      </c>
      <c r="C588" t="s">
        <v>2602</v>
      </c>
      <c r="D588">
        <v>369</v>
      </c>
      <c r="E588">
        <v>11.14</v>
      </c>
    </row>
    <row r="589" spans="1:5">
      <c r="A589" t="s">
        <v>5092</v>
      </c>
      <c r="B589" t="s">
        <v>5093</v>
      </c>
      <c r="C589" t="s">
        <v>5092</v>
      </c>
      <c r="D589" t="s">
        <v>192</v>
      </c>
      <c r="E589" t="s">
        <v>192</v>
      </c>
    </row>
    <row r="590" spans="1:5">
      <c r="A590" t="s">
        <v>2600</v>
      </c>
      <c r="B590" t="s">
        <v>2598</v>
      </c>
      <c r="C590" t="s">
        <v>2600</v>
      </c>
      <c r="D590">
        <v>458</v>
      </c>
      <c r="E590">
        <v>7.29</v>
      </c>
    </row>
    <row r="591" spans="1:5">
      <c r="A591" t="s">
        <v>2599</v>
      </c>
      <c r="B591" t="s">
        <v>2598</v>
      </c>
      <c r="C591" t="s">
        <v>2599</v>
      </c>
      <c r="D591">
        <v>458</v>
      </c>
      <c r="E591">
        <v>7.29</v>
      </c>
    </row>
    <row r="592" spans="1:5">
      <c r="A592" t="s">
        <v>6504</v>
      </c>
      <c r="B592" t="s">
        <v>2596</v>
      </c>
      <c r="C592" t="s">
        <v>6504</v>
      </c>
      <c r="D592">
        <v>508</v>
      </c>
      <c r="E592">
        <v>8.8800000000000008</v>
      </c>
    </row>
    <row r="593" spans="1:5">
      <c r="A593" t="s">
        <v>2597</v>
      </c>
      <c r="B593" t="s">
        <v>2596</v>
      </c>
      <c r="C593" t="s">
        <v>2597</v>
      </c>
      <c r="D593">
        <v>508</v>
      </c>
      <c r="E593">
        <v>8.8800000000000008</v>
      </c>
    </row>
    <row r="594" spans="1:5">
      <c r="A594" t="s">
        <v>2595</v>
      </c>
      <c r="B594" t="s">
        <v>2594</v>
      </c>
      <c r="C594" t="s">
        <v>2595</v>
      </c>
      <c r="D594">
        <v>1142</v>
      </c>
      <c r="E594">
        <v>6.08</v>
      </c>
    </row>
    <row r="595" spans="1:5">
      <c r="A595" t="s">
        <v>2593</v>
      </c>
      <c r="B595" t="s">
        <v>2592</v>
      </c>
      <c r="C595" t="s">
        <v>2593</v>
      </c>
      <c r="D595">
        <v>1086</v>
      </c>
      <c r="E595">
        <v>8.7100000000000009</v>
      </c>
    </row>
    <row r="596" spans="1:5">
      <c r="A596" t="s">
        <v>2591</v>
      </c>
      <c r="B596" t="s">
        <v>2589</v>
      </c>
      <c r="C596" t="s">
        <v>2591</v>
      </c>
      <c r="D596">
        <v>540</v>
      </c>
      <c r="E596">
        <v>7.16</v>
      </c>
    </row>
    <row r="597" spans="1:5">
      <c r="A597" t="s">
        <v>2590</v>
      </c>
      <c r="B597" t="s">
        <v>2589</v>
      </c>
      <c r="C597" t="s">
        <v>2590</v>
      </c>
      <c r="D597">
        <v>540</v>
      </c>
      <c r="E597">
        <v>7.16</v>
      </c>
    </row>
    <row r="598" spans="1:5">
      <c r="A598" t="s">
        <v>2588</v>
      </c>
      <c r="B598" t="s">
        <v>2587</v>
      </c>
      <c r="C598" t="s">
        <v>2588</v>
      </c>
      <c r="D598">
        <v>597</v>
      </c>
      <c r="E598">
        <v>6.66</v>
      </c>
    </row>
    <row r="599" spans="1:5">
      <c r="A599" t="s">
        <v>6168</v>
      </c>
      <c r="B599" t="s">
        <v>6169</v>
      </c>
      <c r="C599" t="s">
        <v>6168</v>
      </c>
      <c r="D599" t="s">
        <v>192</v>
      </c>
      <c r="E599" t="s">
        <v>192</v>
      </c>
    </row>
    <row r="600" spans="1:5">
      <c r="A600" t="s">
        <v>2586</v>
      </c>
      <c r="B600" t="s">
        <v>2585</v>
      </c>
      <c r="C600" t="s">
        <v>2586</v>
      </c>
      <c r="D600">
        <v>65</v>
      </c>
      <c r="E600">
        <v>21.6</v>
      </c>
    </row>
    <row r="601" spans="1:5">
      <c r="A601" t="s">
        <v>3267</v>
      </c>
      <c r="B601" t="s">
        <v>112</v>
      </c>
      <c r="C601" t="s">
        <v>3267</v>
      </c>
      <c r="D601">
        <v>1289</v>
      </c>
      <c r="E601">
        <v>3.17</v>
      </c>
    </row>
    <row r="602" spans="1:5">
      <c r="A602" t="s">
        <v>2584</v>
      </c>
      <c r="B602" t="s">
        <v>112</v>
      </c>
      <c r="C602" t="s">
        <v>2584</v>
      </c>
      <c r="D602">
        <v>1289</v>
      </c>
      <c r="E602">
        <v>3.17</v>
      </c>
    </row>
    <row r="603" spans="1:5">
      <c r="A603" t="s">
        <v>2583</v>
      </c>
      <c r="B603" t="s">
        <v>126</v>
      </c>
      <c r="C603" t="s">
        <v>2583</v>
      </c>
      <c r="D603">
        <v>1425</v>
      </c>
      <c r="E603">
        <v>15.2</v>
      </c>
    </row>
    <row r="604" spans="1:5">
      <c r="A604" t="s">
        <v>127</v>
      </c>
      <c r="B604" t="s">
        <v>126</v>
      </c>
      <c r="C604" t="s">
        <v>127</v>
      </c>
      <c r="D604">
        <v>1425</v>
      </c>
      <c r="E604">
        <v>15.2</v>
      </c>
    </row>
    <row r="605" spans="1:5">
      <c r="A605" t="s">
        <v>2582</v>
      </c>
      <c r="B605" t="s">
        <v>2581</v>
      </c>
      <c r="C605" t="s">
        <v>2582</v>
      </c>
      <c r="D605">
        <v>-70</v>
      </c>
      <c r="E605">
        <v>-34.729999999999997</v>
      </c>
    </row>
    <row r="606" spans="1:5">
      <c r="A606" t="s">
        <v>2580</v>
      </c>
      <c r="B606" t="s">
        <v>2579</v>
      </c>
      <c r="C606" t="s">
        <v>2580</v>
      </c>
      <c r="D606">
        <v>657</v>
      </c>
      <c r="E606">
        <v>20.440000000000001</v>
      </c>
    </row>
    <row r="607" spans="1:5">
      <c r="A607" t="s">
        <v>3278</v>
      </c>
      <c r="B607" t="s">
        <v>3279</v>
      </c>
      <c r="C607" t="s">
        <v>3278</v>
      </c>
      <c r="D607" t="s">
        <v>192</v>
      </c>
      <c r="E607" t="s">
        <v>192</v>
      </c>
    </row>
    <row r="608" spans="1:5">
      <c r="A608" t="s">
        <v>5002</v>
      </c>
      <c r="B608" t="s">
        <v>5003</v>
      </c>
      <c r="C608" t="s">
        <v>5002</v>
      </c>
      <c r="D608" t="s">
        <v>192</v>
      </c>
      <c r="E608" t="s">
        <v>192</v>
      </c>
    </row>
    <row r="609" spans="1:5">
      <c r="A609" t="s">
        <v>5478</v>
      </c>
      <c r="B609" t="s">
        <v>5003</v>
      </c>
      <c r="C609" t="s">
        <v>5478</v>
      </c>
      <c r="D609" t="s">
        <v>192</v>
      </c>
      <c r="E609" t="s">
        <v>192</v>
      </c>
    </row>
    <row r="610" spans="1:5">
      <c r="A610" t="s">
        <v>2578</v>
      </c>
      <c r="B610" t="s">
        <v>2577</v>
      </c>
      <c r="C610" t="s">
        <v>2578</v>
      </c>
      <c r="D610">
        <v>563</v>
      </c>
      <c r="E610">
        <v>11.37</v>
      </c>
    </row>
    <row r="611" spans="1:5">
      <c r="A611" t="s">
        <v>2576</v>
      </c>
      <c r="B611" t="s">
        <v>2575</v>
      </c>
      <c r="C611" t="s">
        <v>2576</v>
      </c>
      <c r="D611">
        <v>-161</v>
      </c>
      <c r="E611">
        <v>-75.900000000000006</v>
      </c>
    </row>
    <row r="612" spans="1:5">
      <c r="A612" t="s">
        <v>2574</v>
      </c>
      <c r="B612" t="s">
        <v>2573</v>
      </c>
      <c r="C612" t="s">
        <v>2574</v>
      </c>
      <c r="D612">
        <v>1136</v>
      </c>
      <c r="E612">
        <v>3.95</v>
      </c>
    </row>
    <row r="613" spans="1:5">
      <c r="A613" t="s">
        <v>2572</v>
      </c>
      <c r="B613" t="s">
        <v>2571</v>
      </c>
      <c r="C613" t="s">
        <v>2572</v>
      </c>
      <c r="D613">
        <v>-426</v>
      </c>
      <c r="E613">
        <v>-26.29</v>
      </c>
    </row>
    <row r="614" spans="1:5">
      <c r="A614" t="s">
        <v>2570</v>
      </c>
      <c r="B614" t="s">
        <v>2569</v>
      </c>
      <c r="C614" t="s">
        <v>2570</v>
      </c>
      <c r="D614">
        <v>600</v>
      </c>
      <c r="E614">
        <v>7.97</v>
      </c>
    </row>
    <row r="615" spans="1:5">
      <c r="A615" t="s">
        <v>2568</v>
      </c>
      <c r="B615" t="s">
        <v>2567</v>
      </c>
      <c r="C615" t="s">
        <v>2568</v>
      </c>
      <c r="D615">
        <v>36</v>
      </c>
      <c r="E615">
        <v>78.33</v>
      </c>
    </row>
    <row r="616" spans="1:5">
      <c r="A616" t="s">
        <v>2566</v>
      </c>
      <c r="B616" t="s">
        <v>122</v>
      </c>
      <c r="C616" t="s">
        <v>2566</v>
      </c>
      <c r="D616">
        <v>358</v>
      </c>
      <c r="E616">
        <v>8.1300000000000008</v>
      </c>
    </row>
    <row r="617" spans="1:5">
      <c r="A617" t="s">
        <v>123</v>
      </c>
      <c r="B617" t="s">
        <v>122</v>
      </c>
      <c r="C617" t="s">
        <v>123</v>
      </c>
      <c r="D617">
        <v>358</v>
      </c>
      <c r="E617">
        <v>8.1300000000000008</v>
      </c>
    </row>
    <row r="618" spans="1:5">
      <c r="A618" t="s">
        <v>2565</v>
      </c>
      <c r="B618" t="s">
        <v>2563</v>
      </c>
      <c r="C618" t="s">
        <v>2565</v>
      </c>
      <c r="D618">
        <v>2575</v>
      </c>
      <c r="E618">
        <v>4.16</v>
      </c>
    </row>
    <row r="619" spans="1:5">
      <c r="A619" t="s">
        <v>2564</v>
      </c>
      <c r="B619" t="s">
        <v>2563</v>
      </c>
      <c r="C619" t="s">
        <v>2564</v>
      </c>
      <c r="D619">
        <v>2575</v>
      </c>
      <c r="E619">
        <v>4.16</v>
      </c>
    </row>
    <row r="620" spans="1:5">
      <c r="A620" t="s">
        <v>2562</v>
      </c>
      <c r="B620" t="s">
        <v>2560</v>
      </c>
      <c r="C620" t="s">
        <v>2562</v>
      </c>
      <c r="D620">
        <v>-81</v>
      </c>
      <c r="E620">
        <v>-21.81</v>
      </c>
    </row>
    <row r="621" spans="1:5">
      <c r="A621" t="s">
        <v>2561</v>
      </c>
      <c r="B621" t="s">
        <v>2560</v>
      </c>
      <c r="C621" t="s">
        <v>2561</v>
      </c>
      <c r="D621">
        <v>-81</v>
      </c>
      <c r="E621">
        <v>-21.81</v>
      </c>
    </row>
    <row r="622" spans="1:5">
      <c r="A622" t="s">
        <v>2559</v>
      </c>
      <c r="B622" t="s">
        <v>2558</v>
      </c>
      <c r="C622" t="s">
        <v>2559</v>
      </c>
      <c r="D622">
        <v>-5066</v>
      </c>
      <c r="E622">
        <v>-16.75</v>
      </c>
    </row>
    <row r="623" spans="1:5">
      <c r="A623" t="s">
        <v>2557</v>
      </c>
      <c r="B623" t="s">
        <v>114</v>
      </c>
      <c r="C623" t="s">
        <v>2557</v>
      </c>
      <c r="D623">
        <v>761</v>
      </c>
      <c r="E623">
        <v>5.07</v>
      </c>
    </row>
    <row r="624" spans="1:5">
      <c r="A624" t="s">
        <v>115</v>
      </c>
      <c r="B624" t="s">
        <v>114</v>
      </c>
      <c r="C624" t="s">
        <v>115</v>
      </c>
      <c r="D624">
        <v>761</v>
      </c>
      <c r="E624">
        <v>5.07</v>
      </c>
    </row>
    <row r="625" spans="1:5">
      <c r="A625" t="s">
        <v>6505</v>
      </c>
      <c r="B625" t="s">
        <v>120</v>
      </c>
      <c r="C625" t="s">
        <v>6505</v>
      </c>
      <c r="D625">
        <v>13379</v>
      </c>
      <c r="E625">
        <v>3.89</v>
      </c>
    </row>
    <row r="626" spans="1:5">
      <c r="A626" t="s">
        <v>121</v>
      </c>
      <c r="B626" t="s">
        <v>120</v>
      </c>
      <c r="C626" t="s">
        <v>121</v>
      </c>
      <c r="D626">
        <v>13379</v>
      </c>
      <c r="E626">
        <v>3.89</v>
      </c>
    </row>
    <row r="627" spans="1:5">
      <c r="A627" t="s">
        <v>2556</v>
      </c>
      <c r="B627" t="s">
        <v>2554</v>
      </c>
      <c r="C627" t="s">
        <v>2556</v>
      </c>
      <c r="D627">
        <v>1687</v>
      </c>
      <c r="E627">
        <v>4.4000000000000004</v>
      </c>
    </row>
    <row r="628" spans="1:5">
      <c r="A628" t="s">
        <v>2555</v>
      </c>
      <c r="B628" t="s">
        <v>2554</v>
      </c>
      <c r="C628" t="s">
        <v>2555</v>
      </c>
      <c r="D628">
        <v>1687</v>
      </c>
      <c r="E628">
        <v>4.4000000000000004</v>
      </c>
    </row>
    <row r="629" spans="1:5">
      <c r="A629" t="s">
        <v>2553</v>
      </c>
      <c r="B629" t="s">
        <v>2552</v>
      </c>
      <c r="C629" t="s">
        <v>2553</v>
      </c>
      <c r="D629">
        <v>16</v>
      </c>
      <c r="E629">
        <v>42.75</v>
      </c>
    </row>
    <row r="630" spans="1:5">
      <c r="A630" t="s">
        <v>2551</v>
      </c>
      <c r="B630" t="s">
        <v>2550</v>
      </c>
      <c r="C630" t="s">
        <v>2551</v>
      </c>
      <c r="D630">
        <v>917</v>
      </c>
      <c r="E630">
        <v>5.17</v>
      </c>
    </row>
    <row r="631" spans="1:5">
      <c r="A631" t="s">
        <v>2549</v>
      </c>
      <c r="B631" t="s">
        <v>2548</v>
      </c>
      <c r="C631" t="s">
        <v>2549</v>
      </c>
      <c r="D631">
        <v>9302</v>
      </c>
      <c r="E631">
        <v>13.35</v>
      </c>
    </row>
    <row r="632" spans="1:5">
      <c r="A632" t="s">
        <v>2547</v>
      </c>
      <c r="B632" t="s">
        <v>2546</v>
      </c>
      <c r="C632" t="s">
        <v>2547</v>
      </c>
      <c r="D632">
        <v>1074</v>
      </c>
      <c r="E632">
        <v>8.3699999999999992</v>
      </c>
    </row>
    <row r="633" spans="1:5">
      <c r="A633" t="s">
        <v>2545</v>
      </c>
      <c r="B633" t="s">
        <v>2544</v>
      </c>
      <c r="C633" t="s">
        <v>2545</v>
      </c>
      <c r="D633">
        <v>283</v>
      </c>
      <c r="E633">
        <v>11.4</v>
      </c>
    </row>
    <row r="634" spans="1:5">
      <c r="A634" t="s">
        <v>2543</v>
      </c>
      <c r="B634" t="s">
        <v>2541</v>
      </c>
      <c r="C634" t="s">
        <v>2543</v>
      </c>
      <c r="D634">
        <v>-36</v>
      </c>
      <c r="E634">
        <v>-25.83</v>
      </c>
    </row>
    <row r="635" spans="1:5">
      <c r="A635" t="s">
        <v>2542</v>
      </c>
      <c r="B635" t="s">
        <v>2541</v>
      </c>
      <c r="C635" t="s">
        <v>2542</v>
      </c>
      <c r="D635">
        <v>-36</v>
      </c>
      <c r="E635">
        <v>-25.83</v>
      </c>
    </row>
    <row r="636" spans="1:5">
      <c r="A636" t="s">
        <v>2540</v>
      </c>
      <c r="B636" t="s">
        <v>2539</v>
      </c>
      <c r="C636" t="s">
        <v>2540</v>
      </c>
      <c r="D636">
        <v>820</v>
      </c>
      <c r="E636">
        <v>6.44</v>
      </c>
    </row>
    <row r="637" spans="1:5">
      <c r="A637" t="s">
        <v>3418</v>
      </c>
      <c r="B637" t="s">
        <v>3419</v>
      </c>
      <c r="C637" t="s">
        <v>3418</v>
      </c>
      <c r="D637" t="s">
        <v>192</v>
      </c>
      <c r="E637" t="s">
        <v>192</v>
      </c>
    </row>
    <row r="638" spans="1:5">
      <c r="A638" t="s">
        <v>4972</v>
      </c>
      <c r="B638" t="s">
        <v>4973</v>
      </c>
      <c r="C638" t="s">
        <v>4972</v>
      </c>
      <c r="D638" t="s">
        <v>192</v>
      </c>
      <c r="E638" t="s">
        <v>192</v>
      </c>
    </row>
    <row r="639" spans="1:5">
      <c r="A639" t="s">
        <v>5485</v>
      </c>
      <c r="B639" t="s">
        <v>5486</v>
      </c>
      <c r="C639" t="s">
        <v>5485</v>
      </c>
      <c r="D639" t="s">
        <v>192</v>
      </c>
      <c r="E639" t="s">
        <v>192</v>
      </c>
    </row>
    <row r="640" spans="1:5">
      <c r="A640" t="s">
        <v>2538</v>
      </c>
      <c r="B640" t="s">
        <v>2537</v>
      </c>
      <c r="C640" t="s">
        <v>2538</v>
      </c>
      <c r="D640">
        <v>301</v>
      </c>
      <c r="E640">
        <v>19.3</v>
      </c>
    </row>
    <row r="641" spans="1:5">
      <c r="A641" t="s">
        <v>3270</v>
      </c>
      <c r="B641" t="s">
        <v>3271</v>
      </c>
      <c r="C641" t="s">
        <v>3270</v>
      </c>
      <c r="D641" t="s">
        <v>192</v>
      </c>
      <c r="E641" t="s">
        <v>192</v>
      </c>
    </row>
    <row r="642" spans="1:5">
      <c r="A642" t="s">
        <v>2536</v>
      </c>
      <c r="B642" t="s">
        <v>2535</v>
      </c>
      <c r="C642" t="s">
        <v>2536</v>
      </c>
      <c r="D642">
        <v>338</v>
      </c>
      <c r="E642">
        <v>18.7</v>
      </c>
    </row>
    <row r="643" spans="1:5">
      <c r="A643" t="s">
        <v>5716</v>
      </c>
      <c r="B643" t="s">
        <v>5717</v>
      </c>
      <c r="C643" t="s">
        <v>5716</v>
      </c>
      <c r="D643" t="s">
        <v>192</v>
      </c>
      <c r="E643" t="s">
        <v>192</v>
      </c>
    </row>
    <row r="644" spans="1:5">
      <c r="A644" t="s">
        <v>2534</v>
      </c>
      <c r="B644" t="s">
        <v>2532</v>
      </c>
      <c r="C644" t="s">
        <v>2534</v>
      </c>
      <c r="D644">
        <v>288</v>
      </c>
      <c r="E644">
        <v>7.07</v>
      </c>
    </row>
    <row r="645" spans="1:5">
      <c r="A645" t="s">
        <v>2533</v>
      </c>
      <c r="B645" t="s">
        <v>2532</v>
      </c>
      <c r="C645" t="s">
        <v>2533</v>
      </c>
      <c r="D645">
        <v>288</v>
      </c>
      <c r="E645">
        <v>7.07</v>
      </c>
    </row>
    <row r="646" spans="1:5">
      <c r="A646" t="s">
        <v>2531</v>
      </c>
      <c r="B646" t="s">
        <v>2529</v>
      </c>
      <c r="C646" t="s">
        <v>2531</v>
      </c>
      <c r="D646">
        <v>138</v>
      </c>
      <c r="E646">
        <v>13.12</v>
      </c>
    </row>
    <row r="647" spans="1:5">
      <c r="A647" t="s">
        <v>4872</v>
      </c>
      <c r="B647" t="s">
        <v>4873</v>
      </c>
      <c r="C647" t="s">
        <v>4872</v>
      </c>
      <c r="D647" t="s">
        <v>192</v>
      </c>
      <c r="E647" t="s">
        <v>192</v>
      </c>
    </row>
    <row r="648" spans="1:5">
      <c r="A648" t="s">
        <v>6414</v>
      </c>
      <c r="B648" t="s">
        <v>6415</v>
      </c>
      <c r="C648" t="s">
        <v>6414</v>
      </c>
      <c r="D648" t="s">
        <v>192</v>
      </c>
      <c r="E648" t="s">
        <v>192</v>
      </c>
    </row>
    <row r="649" spans="1:5">
      <c r="A649" t="s">
        <v>5428</v>
      </c>
      <c r="B649" t="s">
        <v>5429</v>
      </c>
      <c r="C649" t="s">
        <v>5428</v>
      </c>
      <c r="D649" t="s">
        <v>192</v>
      </c>
      <c r="E649" t="s">
        <v>192</v>
      </c>
    </row>
    <row r="650" spans="1:5">
      <c r="A650" t="s">
        <v>6148</v>
      </c>
      <c r="B650" t="s">
        <v>6149</v>
      </c>
      <c r="C650" t="s">
        <v>6148</v>
      </c>
      <c r="D650" t="s">
        <v>192</v>
      </c>
      <c r="E650" t="s">
        <v>192</v>
      </c>
    </row>
    <row r="651" spans="1:5">
      <c r="A651" t="s">
        <v>2530</v>
      </c>
      <c r="B651" t="s">
        <v>2529</v>
      </c>
      <c r="C651" t="s">
        <v>2530</v>
      </c>
      <c r="D651">
        <v>138</v>
      </c>
      <c r="E651">
        <v>13.12</v>
      </c>
    </row>
    <row r="652" spans="1:5">
      <c r="A652" t="s">
        <v>2528</v>
      </c>
      <c r="B652" t="s">
        <v>116</v>
      </c>
      <c r="C652" t="s">
        <v>2528</v>
      </c>
      <c r="D652">
        <v>679</v>
      </c>
      <c r="E652">
        <v>4.8499999999999996</v>
      </c>
    </row>
    <row r="653" spans="1:5">
      <c r="A653" t="s">
        <v>117</v>
      </c>
      <c r="B653" t="s">
        <v>116</v>
      </c>
      <c r="C653" t="s">
        <v>117</v>
      </c>
      <c r="D653">
        <v>679</v>
      </c>
      <c r="E653">
        <v>4.8499999999999996</v>
      </c>
    </row>
    <row r="654" spans="1:5">
      <c r="A654" t="s">
        <v>2527</v>
      </c>
      <c r="B654" t="s">
        <v>2526</v>
      </c>
      <c r="C654" t="s">
        <v>2527</v>
      </c>
      <c r="D654">
        <v>1837</v>
      </c>
      <c r="E654">
        <v>6.5</v>
      </c>
    </row>
    <row r="655" spans="1:5">
      <c r="A655" t="s">
        <v>2525</v>
      </c>
      <c r="B655" t="s">
        <v>2524</v>
      </c>
      <c r="C655" t="s">
        <v>2525</v>
      </c>
      <c r="D655">
        <v>1182</v>
      </c>
      <c r="E655">
        <v>3.18</v>
      </c>
    </row>
    <row r="656" spans="1:5">
      <c r="A656" t="s">
        <v>6506</v>
      </c>
      <c r="B656" t="s">
        <v>2522</v>
      </c>
      <c r="C656" t="s">
        <v>6506</v>
      </c>
      <c r="D656">
        <v>2926</v>
      </c>
      <c r="E656">
        <v>10.98</v>
      </c>
    </row>
    <row r="657" spans="1:5">
      <c r="A657" t="s">
        <v>2523</v>
      </c>
      <c r="B657" t="s">
        <v>2522</v>
      </c>
      <c r="C657" t="s">
        <v>2523</v>
      </c>
      <c r="D657">
        <v>2926</v>
      </c>
      <c r="E657">
        <v>10.98</v>
      </c>
    </row>
    <row r="658" spans="1:5">
      <c r="A658" t="s">
        <v>5876</v>
      </c>
      <c r="B658" t="s">
        <v>5877</v>
      </c>
      <c r="C658" t="s">
        <v>5876</v>
      </c>
      <c r="D658" t="s">
        <v>192</v>
      </c>
      <c r="E658" t="s">
        <v>192</v>
      </c>
    </row>
    <row r="659" spans="1:5">
      <c r="A659" t="s">
        <v>2521</v>
      </c>
      <c r="B659" t="s">
        <v>2520</v>
      </c>
      <c r="C659" t="s">
        <v>2521</v>
      </c>
      <c r="D659">
        <v>98</v>
      </c>
      <c r="E659">
        <v>12.13</v>
      </c>
    </row>
    <row r="660" spans="1:5">
      <c r="A660" t="s">
        <v>2519</v>
      </c>
      <c r="B660" t="s">
        <v>2518</v>
      </c>
      <c r="C660" t="s">
        <v>2519</v>
      </c>
      <c r="D660">
        <v>307</v>
      </c>
      <c r="E660">
        <v>49.64</v>
      </c>
    </row>
    <row r="661" spans="1:5">
      <c r="A661" t="s">
        <v>2517</v>
      </c>
      <c r="B661" t="s">
        <v>128</v>
      </c>
      <c r="C661" t="s">
        <v>2517</v>
      </c>
      <c r="D661">
        <v>1095</v>
      </c>
      <c r="E661">
        <v>10.01</v>
      </c>
    </row>
    <row r="662" spans="1:5">
      <c r="A662" t="s">
        <v>129</v>
      </c>
      <c r="B662" t="s">
        <v>128</v>
      </c>
      <c r="C662" t="s">
        <v>129</v>
      </c>
      <c r="D662">
        <v>1095</v>
      </c>
      <c r="E662">
        <v>10.01</v>
      </c>
    </row>
    <row r="663" spans="1:5">
      <c r="A663" t="s">
        <v>2516</v>
      </c>
      <c r="B663" t="s">
        <v>2515</v>
      </c>
      <c r="C663" t="s">
        <v>2516</v>
      </c>
      <c r="D663">
        <v>1328</v>
      </c>
      <c r="E663">
        <v>7.91</v>
      </c>
    </row>
    <row r="664" spans="1:5">
      <c r="A664" t="s">
        <v>2514</v>
      </c>
      <c r="B664" t="s">
        <v>2513</v>
      </c>
      <c r="C664" t="s">
        <v>2514</v>
      </c>
      <c r="D664">
        <v>1119</v>
      </c>
      <c r="E664">
        <v>5.72</v>
      </c>
    </row>
    <row r="665" spans="1:5">
      <c r="A665" t="s">
        <v>2512</v>
      </c>
      <c r="B665" t="s">
        <v>2511</v>
      </c>
      <c r="C665" t="s">
        <v>2512</v>
      </c>
      <c r="D665">
        <v>683</v>
      </c>
      <c r="E665">
        <v>6.13</v>
      </c>
    </row>
    <row r="666" spans="1:5">
      <c r="A666" t="s">
        <v>2510</v>
      </c>
      <c r="B666" t="s">
        <v>2509</v>
      </c>
      <c r="C666" t="s">
        <v>2510</v>
      </c>
      <c r="D666">
        <v>-127</v>
      </c>
      <c r="E666">
        <v>-47.95</v>
      </c>
    </row>
    <row r="667" spans="1:5">
      <c r="A667" t="s">
        <v>2508</v>
      </c>
      <c r="B667" t="s">
        <v>2507</v>
      </c>
      <c r="C667" t="s">
        <v>2508</v>
      </c>
      <c r="D667">
        <v>2145</v>
      </c>
      <c r="E667">
        <v>5.21</v>
      </c>
    </row>
    <row r="668" spans="1:5">
      <c r="A668" t="s">
        <v>2506</v>
      </c>
      <c r="B668" t="s">
        <v>2505</v>
      </c>
      <c r="C668" t="s">
        <v>2506</v>
      </c>
      <c r="D668">
        <v>1377</v>
      </c>
      <c r="E668">
        <v>7.32</v>
      </c>
    </row>
    <row r="669" spans="1:5">
      <c r="A669" t="s">
        <v>5481</v>
      </c>
      <c r="B669" t="s">
        <v>5482</v>
      </c>
      <c r="C669" t="s">
        <v>5481</v>
      </c>
      <c r="D669" t="s">
        <v>192</v>
      </c>
      <c r="E669" t="s">
        <v>192</v>
      </c>
    </row>
    <row r="670" spans="1:5">
      <c r="A670" t="s">
        <v>6210</v>
      </c>
      <c r="B670" t="s">
        <v>6211</v>
      </c>
      <c r="C670" t="s">
        <v>6210</v>
      </c>
      <c r="D670" t="s">
        <v>192</v>
      </c>
      <c r="E670" t="s">
        <v>192</v>
      </c>
    </row>
    <row r="671" spans="1:5">
      <c r="A671" t="s">
        <v>6507</v>
      </c>
      <c r="B671" t="s">
        <v>3193</v>
      </c>
      <c r="C671" t="s">
        <v>6507</v>
      </c>
      <c r="D671" t="s">
        <v>192</v>
      </c>
      <c r="E671" t="s">
        <v>192</v>
      </c>
    </row>
    <row r="672" spans="1:5">
      <c r="A672" t="s">
        <v>3192</v>
      </c>
      <c r="B672" t="s">
        <v>3193</v>
      </c>
      <c r="C672" t="s">
        <v>3192</v>
      </c>
      <c r="D672" t="s">
        <v>192</v>
      </c>
      <c r="E672" t="s">
        <v>192</v>
      </c>
    </row>
    <row r="673" spans="1:5">
      <c r="A673" t="s">
        <v>2504</v>
      </c>
      <c r="B673" t="s">
        <v>2502</v>
      </c>
      <c r="C673" t="s">
        <v>2504</v>
      </c>
      <c r="D673">
        <v>1925</v>
      </c>
      <c r="E673">
        <v>6.85</v>
      </c>
    </row>
    <row r="674" spans="1:5">
      <c r="A674" t="s">
        <v>2503</v>
      </c>
      <c r="B674" t="s">
        <v>2502</v>
      </c>
      <c r="C674" t="s">
        <v>2503</v>
      </c>
      <c r="D674">
        <v>1925</v>
      </c>
      <c r="E674">
        <v>6.85</v>
      </c>
    </row>
    <row r="675" spans="1:5">
      <c r="A675" t="s">
        <v>6287</v>
      </c>
      <c r="B675" t="s">
        <v>6288</v>
      </c>
      <c r="C675" t="s">
        <v>6287</v>
      </c>
      <c r="D675" t="s">
        <v>192</v>
      </c>
      <c r="E675" t="s">
        <v>192</v>
      </c>
    </row>
    <row r="676" spans="1:5">
      <c r="A676" t="s">
        <v>5059</v>
      </c>
      <c r="B676" t="s">
        <v>5060</v>
      </c>
      <c r="C676" t="s">
        <v>5059</v>
      </c>
      <c r="D676" t="s">
        <v>192</v>
      </c>
      <c r="E676" t="s">
        <v>192</v>
      </c>
    </row>
    <row r="677" spans="1:5">
      <c r="A677" t="s">
        <v>2501</v>
      </c>
      <c r="B677" t="s">
        <v>2500</v>
      </c>
      <c r="C677" t="s">
        <v>2501</v>
      </c>
      <c r="D677">
        <v>457</v>
      </c>
      <c r="E677">
        <v>3.43</v>
      </c>
    </row>
    <row r="678" spans="1:5">
      <c r="A678" t="s">
        <v>6508</v>
      </c>
      <c r="B678" t="s">
        <v>4881</v>
      </c>
      <c r="C678" t="s">
        <v>6508</v>
      </c>
      <c r="D678" t="s">
        <v>192</v>
      </c>
      <c r="E678" t="s">
        <v>192</v>
      </c>
    </row>
    <row r="679" spans="1:5">
      <c r="A679" t="s">
        <v>4880</v>
      </c>
      <c r="B679" t="s">
        <v>4881</v>
      </c>
      <c r="C679" t="s">
        <v>4880</v>
      </c>
      <c r="D679" t="s">
        <v>192</v>
      </c>
      <c r="E679" t="s">
        <v>192</v>
      </c>
    </row>
    <row r="680" spans="1:5">
      <c r="A680" t="s">
        <v>2499</v>
      </c>
      <c r="B680" t="s">
        <v>2498</v>
      </c>
      <c r="C680" t="s">
        <v>2499</v>
      </c>
      <c r="D680">
        <v>973</v>
      </c>
      <c r="E680">
        <v>4.49</v>
      </c>
    </row>
    <row r="681" spans="1:5">
      <c r="A681" t="s">
        <v>2497</v>
      </c>
      <c r="B681" t="s">
        <v>2496</v>
      </c>
      <c r="C681" t="s">
        <v>2497</v>
      </c>
      <c r="D681">
        <v>20</v>
      </c>
      <c r="E681">
        <v>305</v>
      </c>
    </row>
    <row r="682" spans="1:5">
      <c r="A682" t="s">
        <v>2495</v>
      </c>
      <c r="B682" t="s">
        <v>2493</v>
      </c>
      <c r="C682" t="s">
        <v>2495</v>
      </c>
      <c r="D682">
        <v>444</v>
      </c>
      <c r="E682">
        <v>42.66</v>
      </c>
    </row>
    <row r="683" spans="1:5">
      <c r="A683" t="s">
        <v>2494</v>
      </c>
      <c r="B683" t="s">
        <v>2493</v>
      </c>
      <c r="C683" t="s">
        <v>2494</v>
      </c>
      <c r="D683">
        <v>444</v>
      </c>
      <c r="E683">
        <v>42.66</v>
      </c>
    </row>
    <row r="684" spans="1:5">
      <c r="A684" t="s">
        <v>2492</v>
      </c>
      <c r="B684" t="s">
        <v>2491</v>
      </c>
      <c r="C684" t="s">
        <v>2492</v>
      </c>
      <c r="D684">
        <v>39</v>
      </c>
      <c r="E684">
        <v>20.49</v>
      </c>
    </row>
    <row r="685" spans="1:5">
      <c r="A685" t="s">
        <v>99</v>
      </c>
      <c r="B685" t="s">
        <v>98</v>
      </c>
      <c r="C685" t="s">
        <v>99</v>
      </c>
      <c r="D685">
        <v>840</v>
      </c>
      <c r="E685">
        <v>6.7</v>
      </c>
    </row>
    <row r="686" spans="1:5">
      <c r="A686" t="s">
        <v>101</v>
      </c>
      <c r="B686" t="s">
        <v>100</v>
      </c>
      <c r="C686" t="s">
        <v>101</v>
      </c>
      <c r="D686">
        <v>1805</v>
      </c>
      <c r="E686">
        <v>8.42</v>
      </c>
    </row>
    <row r="687" spans="1:5">
      <c r="A687" t="s">
        <v>6078</v>
      </c>
      <c r="B687" t="s">
        <v>6079</v>
      </c>
      <c r="C687" t="s">
        <v>6078</v>
      </c>
      <c r="D687" t="s">
        <v>192</v>
      </c>
      <c r="E687" t="s">
        <v>192</v>
      </c>
    </row>
    <row r="688" spans="1:5">
      <c r="A688" t="s">
        <v>2490</v>
      </c>
      <c r="B688" t="s">
        <v>2489</v>
      </c>
      <c r="C688" t="s">
        <v>2490</v>
      </c>
      <c r="D688">
        <v>2020</v>
      </c>
      <c r="E688">
        <v>9.23</v>
      </c>
    </row>
    <row r="689" spans="1:5">
      <c r="A689" t="s">
        <v>2488</v>
      </c>
      <c r="B689" t="s">
        <v>2487</v>
      </c>
      <c r="C689" t="s">
        <v>2488</v>
      </c>
      <c r="D689">
        <v>-92</v>
      </c>
      <c r="E689">
        <v>-15.03</v>
      </c>
    </row>
    <row r="690" spans="1:5">
      <c r="A690" t="s">
        <v>2486</v>
      </c>
      <c r="B690" t="s">
        <v>2484</v>
      </c>
      <c r="C690" t="s">
        <v>2486</v>
      </c>
      <c r="D690">
        <v>917</v>
      </c>
      <c r="E690">
        <v>18.71</v>
      </c>
    </row>
    <row r="691" spans="1:5">
      <c r="A691" t="s">
        <v>2485</v>
      </c>
      <c r="B691" t="s">
        <v>2484</v>
      </c>
      <c r="C691" t="s">
        <v>2485</v>
      </c>
      <c r="D691">
        <v>917</v>
      </c>
      <c r="E691">
        <v>18.71</v>
      </c>
    </row>
    <row r="692" spans="1:5">
      <c r="A692" t="s">
        <v>2483</v>
      </c>
      <c r="B692" t="s">
        <v>2481</v>
      </c>
      <c r="C692" t="s">
        <v>2483</v>
      </c>
      <c r="D692">
        <v>1571</v>
      </c>
      <c r="E692">
        <v>7.31</v>
      </c>
    </row>
    <row r="693" spans="1:5">
      <c r="A693" t="s">
        <v>2482</v>
      </c>
      <c r="B693" t="s">
        <v>2481</v>
      </c>
      <c r="C693" t="s">
        <v>2482</v>
      </c>
      <c r="D693">
        <v>1571</v>
      </c>
      <c r="E693">
        <v>7.31</v>
      </c>
    </row>
    <row r="694" spans="1:5">
      <c r="A694" t="s">
        <v>2480</v>
      </c>
      <c r="B694" t="s">
        <v>2479</v>
      </c>
      <c r="C694" t="s">
        <v>2480</v>
      </c>
      <c r="D694">
        <v>1926</v>
      </c>
      <c r="E694">
        <v>7.23</v>
      </c>
    </row>
    <row r="695" spans="1:5">
      <c r="A695" t="s">
        <v>2478</v>
      </c>
      <c r="B695" t="s">
        <v>2477</v>
      </c>
      <c r="C695" t="s">
        <v>2478</v>
      </c>
      <c r="D695">
        <v>798</v>
      </c>
      <c r="E695">
        <v>8.92</v>
      </c>
    </row>
    <row r="696" spans="1:5">
      <c r="A696" t="s">
        <v>2476</v>
      </c>
      <c r="B696" t="s">
        <v>2475</v>
      </c>
      <c r="C696" t="s">
        <v>2476</v>
      </c>
      <c r="D696">
        <v>13</v>
      </c>
      <c r="E696">
        <v>422.31</v>
      </c>
    </row>
    <row r="697" spans="1:5">
      <c r="A697" t="s">
        <v>103</v>
      </c>
      <c r="B697" t="s">
        <v>102</v>
      </c>
      <c r="C697" t="s">
        <v>103</v>
      </c>
      <c r="D697">
        <v>1237</v>
      </c>
      <c r="E697">
        <v>13.99</v>
      </c>
    </row>
    <row r="698" spans="1:5">
      <c r="A698" t="s">
        <v>2474</v>
      </c>
      <c r="B698" t="s">
        <v>2473</v>
      </c>
      <c r="C698" t="s">
        <v>2474</v>
      </c>
      <c r="D698">
        <v>1288</v>
      </c>
      <c r="E698">
        <v>8.8699999999999992</v>
      </c>
    </row>
    <row r="699" spans="1:5">
      <c r="A699" t="s">
        <v>2472</v>
      </c>
      <c r="B699" t="s">
        <v>2470</v>
      </c>
      <c r="C699" t="s">
        <v>2472</v>
      </c>
      <c r="D699">
        <v>537</v>
      </c>
      <c r="E699">
        <v>9.3699999999999992</v>
      </c>
    </row>
    <row r="700" spans="1:5">
      <c r="A700" t="s">
        <v>2471</v>
      </c>
      <c r="B700" t="s">
        <v>2470</v>
      </c>
      <c r="C700" t="s">
        <v>2471</v>
      </c>
      <c r="D700">
        <v>537</v>
      </c>
      <c r="E700">
        <v>9.3699999999999992</v>
      </c>
    </row>
    <row r="701" spans="1:5">
      <c r="A701" t="s">
        <v>2469</v>
      </c>
      <c r="B701" t="s">
        <v>2468</v>
      </c>
      <c r="C701" t="s">
        <v>2469</v>
      </c>
      <c r="D701">
        <v>858</v>
      </c>
      <c r="E701">
        <v>8.66</v>
      </c>
    </row>
    <row r="702" spans="1:5">
      <c r="A702" t="s">
        <v>2467</v>
      </c>
      <c r="B702" t="s">
        <v>2466</v>
      </c>
      <c r="C702" t="s">
        <v>2467</v>
      </c>
      <c r="D702">
        <v>294</v>
      </c>
      <c r="E702">
        <v>5.74</v>
      </c>
    </row>
    <row r="703" spans="1:5">
      <c r="A703" t="s">
        <v>2465</v>
      </c>
      <c r="B703" t="s">
        <v>2464</v>
      </c>
      <c r="C703" t="s">
        <v>2465</v>
      </c>
      <c r="D703">
        <v>1487</v>
      </c>
      <c r="E703">
        <v>5.76</v>
      </c>
    </row>
    <row r="704" spans="1:5">
      <c r="A704" t="s">
        <v>2463</v>
      </c>
      <c r="B704" t="s">
        <v>2462</v>
      </c>
      <c r="C704" t="s">
        <v>2463</v>
      </c>
      <c r="D704">
        <v>2316</v>
      </c>
      <c r="E704">
        <v>6.91</v>
      </c>
    </row>
    <row r="705" spans="1:5">
      <c r="A705" t="s">
        <v>2461</v>
      </c>
      <c r="B705" t="s">
        <v>2460</v>
      </c>
      <c r="C705" t="s">
        <v>2461</v>
      </c>
      <c r="D705">
        <v>983</v>
      </c>
      <c r="E705">
        <v>7.92</v>
      </c>
    </row>
    <row r="706" spans="1:5">
      <c r="A706" t="s">
        <v>6509</v>
      </c>
      <c r="B706" t="s">
        <v>2458</v>
      </c>
      <c r="C706" t="s">
        <v>6509</v>
      </c>
      <c r="D706">
        <v>2153</v>
      </c>
      <c r="E706">
        <v>6.4</v>
      </c>
    </row>
    <row r="707" spans="1:5">
      <c r="A707" t="s">
        <v>2459</v>
      </c>
      <c r="B707" t="s">
        <v>2458</v>
      </c>
      <c r="C707" t="s">
        <v>2459</v>
      </c>
      <c r="D707">
        <v>2153</v>
      </c>
      <c r="E707">
        <v>6.4</v>
      </c>
    </row>
    <row r="708" spans="1:5">
      <c r="A708" t="s">
        <v>97</v>
      </c>
      <c r="B708" t="s">
        <v>96</v>
      </c>
      <c r="C708" t="s">
        <v>97</v>
      </c>
      <c r="D708">
        <v>1102</v>
      </c>
      <c r="E708">
        <v>7.04</v>
      </c>
    </row>
    <row r="709" spans="1:5">
      <c r="A709" t="s">
        <v>2457</v>
      </c>
      <c r="B709" t="s">
        <v>104</v>
      </c>
      <c r="C709" t="s">
        <v>2457</v>
      </c>
      <c r="D709">
        <v>613</v>
      </c>
      <c r="E709">
        <v>5.81</v>
      </c>
    </row>
    <row r="710" spans="1:5">
      <c r="A710" t="s">
        <v>105</v>
      </c>
      <c r="B710" t="s">
        <v>104</v>
      </c>
      <c r="C710" t="s">
        <v>105</v>
      </c>
      <c r="D710">
        <v>613</v>
      </c>
      <c r="E710">
        <v>5.81</v>
      </c>
    </row>
    <row r="711" spans="1:5">
      <c r="A711" t="s">
        <v>5341</v>
      </c>
      <c r="B711" t="s">
        <v>5342</v>
      </c>
      <c r="C711" t="s">
        <v>5341</v>
      </c>
      <c r="D711" t="s">
        <v>192</v>
      </c>
      <c r="E711" t="s">
        <v>192</v>
      </c>
    </row>
    <row r="712" spans="1:5">
      <c r="A712" t="s">
        <v>5511</v>
      </c>
      <c r="B712" t="s">
        <v>5512</v>
      </c>
      <c r="C712" t="s">
        <v>5511</v>
      </c>
      <c r="D712" t="s">
        <v>192</v>
      </c>
      <c r="E712" t="s">
        <v>192</v>
      </c>
    </row>
    <row r="713" spans="1:5">
      <c r="A713" t="s">
        <v>2456</v>
      </c>
      <c r="B713" t="s">
        <v>2455</v>
      </c>
      <c r="C713" t="s">
        <v>2456</v>
      </c>
      <c r="D713">
        <v>7264</v>
      </c>
      <c r="E713">
        <v>6.6</v>
      </c>
    </row>
    <row r="714" spans="1:5">
      <c r="A714" t="s">
        <v>6510</v>
      </c>
      <c r="B714" t="s">
        <v>6511</v>
      </c>
      <c r="C714" t="s">
        <v>6510</v>
      </c>
      <c r="D714" t="s">
        <v>192</v>
      </c>
      <c r="E714" t="s">
        <v>192</v>
      </c>
    </row>
    <row r="715" spans="1:5">
      <c r="A715" t="s">
        <v>2454</v>
      </c>
      <c r="B715" t="s">
        <v>2453</v>
      </c>
      <c r="C715" t="s">
        <v>2454</v>
      </c>
      <c r="D715">
        <v>357</v>
      </c>
      <c r="E715">
        <v>8.57</v>
      </c>
    </row>
    <row r="716" spans="1:5">
      <c r="A716" t="s">
        <v>2452</v>
      </c>
      <c r="B716" t="s">
        <v>2451</v>
      </c>
      <c r="C716" t="s">
        <v>2452</v>
      </c>
      <c r="D716">
        <v>1532</v>
      </c>
      <c r="E716">
        <v>6.74</v>
      </c>
    </row>
    <row r="717" spans="1:5">
      <c r="A717" t="s">
        <v>6512</v>
      </c>
      <c r="B717" t="s">
        <v>2449</v>
      </c>
      <c r="C717" t="s">
        <v>6512</v>
      </c>
      <c r="D717">
        <v>63</v>
      </c>
      <c r="E717">
        <v>776.98</v>
      </c>
    </row>
    <row r="718" spans="1:5">
      <c r="A718" t="s">
        <v>2450</v>
      </c>
      <c r="B718" t="s">
        <v>2449</v>
      </c>
      <c r="C718" t="s">
        <v>2450</v>
      </c>
      <c r="D718">
        <v>63</v>
      </c>
      <c r="E718">
        <v>754.44</v>
      </c>
    </row>
    <row r="719" spans="1:5">
      <c r="A719" t="s">
        <v>2448</v>
      </c>
      <c r="B719" t="s">
        <v>2446</v>
      </c>
      <c r="C719" t="s">
        <v>2448</v>
      </c>
      <c r="D719">
        <v>424</v>
      </c>
      <c r="E719">
        <v>7.57</v>
      </c>
    </row>
    <row r="720" spans="1:5">
      <c r="A720" t="s">
        <v>2447</v>
      </c>
      <c r="B720" t="s">
        <v>2446</v>
      </c>
      <c r="C720" t="s">
        <v>2447</v>
      </c>
      <c r="D720">
        <v>424</v>
      </c>
      <c r="E720">
        <v>7.57</v>
      </c>
    </row>
    <row r="721" spans="1:5">
      <c r="A721" t="s">
        <v>2445</v>
      </c>
      <c r="B721" t="s">
        <v>2444</v>
      </c>
      <c r="C721" t="s">
        <v>2445</v>
      </c>
      <c r="D721">
        <v>194</v>
      </c>
      <c r="E721">
        <v>7.93</v>
      </c>
    </row>
    <row r="722" spans="1:5">
      <c r="A722" t="s">
        <v>2443</v>
      </c>
      <c r="B722" t="s">
        <v>2442</v>
      </c>
      <c r="C722" t="s">
        <v>2443</v>
      </c>
      <c r="D722">
        <v>737</v>
      </c>
      <c r="E722">
        <v>10.58</v>
      </c>
    </row>
    <row r="723" spans="1:5">
      <c r="A723" t="s">
        <v>2441</v>
      </c>
      <c r="B723" t="s">
        <v>2440</v>
      </c>
      <c r="C723" t="s">
        <v>2441</v>
      </c>
      <c r="D723">
        <v>1866</v>
      </c>
      <c r="E723">
        <v>7.73</v>
      </c>
    </row>
    <row r="724" spans="1:5">
      <c r="A724" t="s">
        <v>2439</v>
      </c>
      <c r="B724" t="s">
        <v>2438</v>
      </c>
      <c r="C724" t="s">
        <v>2439</v>
      </c>
      <c r="D724">
        <v>111</v>
      </c>
      <c r="E724">
        <v>15.78</v>
      </c>
    </row>
    <row r="725" spans="1:5">
      <c r="A725" t="s">
        <v>2437</v>
      </c>
      <c r="B725" t="s">
        <v>2436</v>
      </c>
      <c r="C725" t="s">
        <v>2437</v>
      </c>
      <c r="D725">
        <v>594</v>
      </c>
      <c r="E725">
        <v>4.3600000000000003</v>
      </c>
    </row>
    <row r="726" spans="1:5">
      <c r="A726" t="s">
        <v>2435</v>
      </c>
      <c r="B726" t="s">
        <v>2434</v>
      </c>
      <c r="C726" t="s">
        <v>2435</v>
      </c>
      <c r="D726">
        <v>457</v>
      </c>
      <c r="E726">
        <v>15.3</v>
      </c>
    </row>
    <row r="727" spans="1:5">
      <c r="A727" t="s">
        <v>6513</v>
      </c>
      <c r="B727" t="s">
        <v>6514</v>
      </c>
      <c r="C727" t="s">
        <v>6513</v>
      </c>
      <c r="D727" t="s">
        <v>192</v>
      </c>
      <c r="E727" t="s">
        <v>192</v>
      </c>
    </row>
    <row r="728" spans="1:5">
      <c r="A728" t="s">
        <v>211</v>
      </c>
      <c r="B728" t="s">
        <v>210</v>
      </c>
      <c r="C728" t="s">
        <v>211</v>
      </c>
      <c r="D728">
        <v>744</v>
      </c>
      <c r="E728">
        <v>9.89</v>
      </c>
    </row>
    <row r="729" spans="1:5">
      <c r="A729" t="s">
        <v>2433</v>
      </c>
      <c r="B729" t="s">
        <v>2432</v>
      </c>
      <c r="C729" t="s">
        <v>2433</v>
      </c>
      <c r="D729">
        <v>-911</v>
      </c>
      <c r="E729">
        <v>-32.200000000000003</v>
      </c>
    </row>
    <row r="730" spans="1:5">
      <c r="A730" t="s">
        <v>2431</v>
      </c>
      <c r="B730" t="s">
        <v>2430</v>
      </c>
      <c r="C730" t="s">
        <v>2431</v>
      </c>
      <c r="D730">
        <v>2289</v>
      </c>
      <c r="E730">
        <v>8.93</v>
      </c>
    </row>
    <row r="731" spans="1:5">
      <c r="A731" t="s">
        <v>194</v>
      </c>
      <c r="B731" t="s">
        <v>193</v>
      </c>
      <c r="C731" t="s">
        <v>194</v>
      </c>
      <c r="D731" t="s">
        <v>192</v>
      </c>
      <c r="E731" t="s">
        <v>192</v>
      </c>
    </row>
    <row r="732" spans="1:5">
      <c r="A732" t="s">
        <v>6316</v>
      </c>
      <c r="B732" t="s">
        <v>6317</v>
      </c>
      <c r="C732" t="s">
        <v>6316</v>
      </c>
      <c r="D732" t="s">
        <v>192</v>
      </c>
      <c r="E732" t="s">
        <v>192</v>
      </c>
    </row>
    <row r="733" spans="1:5">
      <c r="A733" t="s">
        <v>5593</v>
      </c>
      <c r="B733" t="s">
        <v>5594</v>
      </c>
      <c r="C733" t="s">
        <v>5593</v>
      </c>
      <c r="D733" t="s">
        <v>192</v>
      </c>
      <c r="E733" t="s">
        <v>192</v>
      </c>
    </row>
    <row r="734" spans="1:5">
      <c r="A734" t="s">
        <v>5574</v>
      </c>
      <c r="B734" t="s">
        <v>5575</v>
      </c>
      <c r="C734" t="s">
        <v>5574</v>
      </c>
      <c r="D734" t="s">
        <v>192</v>
      </c>
      <c r="E734" t="s">
        <v>192</v>
      </c>
    </row>
    <row r="735" spans="1:5">
      <c r="A735" t="s">
        <v>4092</v>
      </c>
      <c r="B735" t="s">
        <v>4093</v>
      </c>
      <c r="C735" t="s">
        <v>4092</v>
      </c>
      <c r="D735" t="s">
        <v>192</v>
      </c>
      <c r="E735" t="s">
        <v>192</v>
      </c>
    </row>
    <row r="736" spans="1:5">
      <c r="A736" t="s">
        <v>3339</v>
      </c>
      <c r="B736" t="s">
        <v>3340</v>
      </c>
      <c r="C736" t="s">
        <v>3339</v>
      </c>
      <c r="D736" t="s">
        <v>192</v>
      </c>
      <c r="E736" t="s">
        <v>192</v>
      </c>
    </row>
    <row r="737" spans="1:5">
      <c r="A737" t="s">
        <v>5566</v>
      </c>
      <c r="B737" t="s">
        <v>5567</v>
      </c>
      <c r="C737" t="s">
        <v>5566</v>
      </c>
      <c r="D737" t="s">
        <v>192</v>
      </c>
      <c r="E737" t="s">
        <v>192</v>
      </c>
    </row>
    <row r="738" spans="1:5">
      <c r="A738" t="s">
        <v>4797</v>
      </c>
      <c r="B738" t="s">
        <v>4798</v>
      </c>
      <c r="C738" t="s">
        <v>4797</v>
      </c>
      <c r="D738" t="s">
        <v>192</v>
      </c>
      <c r="E738" t="s">
        <v>192</v>
      </c>
    </row>
    <row r="739" spans="1:5">
      <c r="A739" t="s">
        <v>3878</v>
      </c>
      <c r="B739" t="s">
        <v>3879</v>
      </c>
      <c r="C739" t="s">
        <v>3878</v>
      </c>
      <c r="D739" t="s">
        <v>192</v>
      </c>
      <c r="E739" t="s">
        <v>192</v>
      </c>
    </row>
    <row r="740" spans="1:5">
      <c r="A740" t="s">
        <v>5120</v>
      </c>
      <c r="B740" t="s">
        <v>5121</v>
      </c>
      <c r="C740" t="s">
        <v>5120</v>
      </c>
      <c r="D740" t="s">
        <v>192</v>
      </c>
      <c r="E740" t="s">
        <v>192</v>
      </c>
    </row>
    <row r="741" spans="1:5">
      <c r="A741" t="s">
        <v>4908</v>
      </c>
      <c r="B741" t="s">
        <v>4909</v>
      </c>
      <c r="C741" t="s">
        <v>4908</v>
      </c>
      <c r="D741" t="s">
        <v>192</v>
      </c>
      <c r="E741" t="s">
        <v>192</v>
      </c>
    </row>
    <row r="742" spans="1:5">
      <c r="A742" t="s">
        <v>4787</v>
      </c>
      <c r="B742" t="s">
        <v>4788</v>
      </c>
      <c r="C742" t="s">
        <v>4787</v>
      </c>
      <c r="D742" t="s">
        <v>192</v>
      </c>
      <c r="E742" t="s">
        <v>192</v>
      </c>
    </row>
    <row r="743" spans="1:5">
      <c r="A743" t="s">
        <v>6233</v>
      </c>
      <c r="B743" t="s">
        <v>6234</v>
      </c>
      <c r="C743" t="s">
        <v>6233</v>
      </c>
      <c r="D743" t="s">
        <v>192</v>
      </c>
      <c r="E743" t="s">
        <v>192</v>
      </c>
    </row>
    <row r="744" spans="1:5">
      <c r="A744" t="s">
        <v>5277</v>
      </c>
      <c r="B744" t="s">
        <v>5278</v>
      </c>
      <c r="C744" t="s">
        <v>5277</v>
      </c>
      <c r="D744" t="s">
        <v>192</v>
      </c>
      <c r="E744" t="s">
        <v>192</v>
      </c>
    </row>
    <row r="745" spans="1:5">
      <c r="A745" t="s">
        <v>6515</v>
      </c>
      <c r="B745" t="s">
        <v>6516</v>
      </c>
      <c r="C745" t="s">
        <v>6515</v>
      </c>
      <c r="D745" t="s">
        <v>192</v>
      </c>
      <c r="E745" t="s">
        <v>192</v>
      </c>
    </row>
    <row r="746" spans="1:5">
      <c r="A746" t="s">
        <v>6517</v>
      </c>
      <c r="B746" t="s">
        <v>6518</v>
      </c>
      <c r="C746" t="s">
        <v>6517</v>
      </c>
      <c r="D746" t="s">
        <v>192</v>
      </c>
      <c r="E746" t="s">
        <v>192</v>
      </c>
    </row>
    <row r="747" spans="1:5">
      <c r="A747" t="s">
        <v>3295</v>
      </c>
      <c r="B747" t="s">
        <v>3296</v>
      </c>
      <c r="C747" t="s">
        <v>3295</v>
      </c>
      <c r="D747" t="s">
        <v>192</v>
      </c>
      <c r="E747" t="s">
        <v>192</v>
      </c>
    </row>
    <row r="748" spans="1:5">
      <c r="A748" t="s">
        <v>5770</v>
      </c>
      <c r="B748" t="s">
        <v>5771</v>
      </c>
      <c r="C748" t="s">
        <v>5770</v>
      </c>
      <c r="D748" t="s">
        <v>192</v>
      </c>
      <c r="E748" t="s">
        <v>192</v>
      </c>
    </row>
    <row r="749" spans="1:5">
      <c r="A749" t="s">
        <v>3366</v>
      </c>
      <c r="B749" t="s">
        <v>3367</v>
      </c>
      <c r="C749" t="s">
        <v>3366</v>
      </c>
      <c r="D749" t="s">
        <v>192</v>
      </c>
      <c r="E749" t="s">
        <v>192</v>
      </c>
    </row>
    <row r="750" spans="1:5">
      <c r="A750" t="s">
        <v>4090</v>
      </c>
      <c r="B750" t="s">
        <v>4091</v>
      </c>
      <c r="C750" t="s">
        <v>4090</v>
      </c>
      <c r="D750" t="s">
        <v>192</v>
      </c>
      <c r="E750" t="s">
        <v>192</v>
      </c>
    </row>
    <row r="751" spans="1:5">
      <c r="A751" t="s">
        <v>6052</v>
      </c>
      <c r="B751" t="s">
        <v>6053</v>
      </c>
      <c r="C751" t="s">
        <v>6052</v>
      </c>
      <c r="D751" t="s">
        <v>192</v>
      </c>
      <c r="E751" t="s">
        <v>192</v>
      </c>
    </row>
    <row r="752" spans="1:5">
      <c r="A752" t="s">
        <v>4991</v>
      </c>
      <c r="B752" t="s">
        <v>4992</v>
      </c>
      <c r="C752" t="s">
        <v>4991</v>
      </c>
      <c r="D752" t="s">
        <v>192</v>
      </c>
      <c r="E752" t="s">
        <v>192</v>
      </c>
    </row>
    <row r="753" spans="1:5">
      <c r="A753" t="s">
        <v>6086</v>
      </c>
      <c r="B753" t="s">
        <v>6087</v>
      </c>
      <c r="C753" t="s">
        <v>6086</v>
      </c>
      <c r="D753" t="s">
        <v>192</v>
      </c>
      <c r="E753" t="s">
        <v>192</v>
      </c>
    </row>
    <row r="754" spans="1:5">
      <c r="A754" t="s">
        <v>3916</v>
      </c>
      <c r="B754" t="s">
        <v>3917</v>
      </c>
      <c r="C754" t="s">
        <v>3916</v>
      </c>
      <c r="D754" t="s">
        <v>192</v>
      </c>
      <c r="E754" t="s">
        <v>192</v>
      </c>
    </row>
    <row r="755" spans="1:5">
      <c r="A755" t="s">
        <v>6519</v>
      </c>
      <c r="B755" t="s">
        <v>6520</v>
      </c>
      <c r="C755" t="s">
        <v>6519</v>
      </c>
      <c r="D755" t="s">
        <v>192</v>
      </c>
      <c r="E755" t="s">
        <v>192</v>
      </c>
    </row>
    <row r="756" spans="1:5">
      <c r="A756" t="s">
        <v>4595</v>
      </c>
      <c r="B756" t="s">
        <v>4596</v>
      </c>
      <c r="C756" t="s">
        <v>4595</v>
      </c>
      <c r="D756" t="s">
        <v>192</v>
      </c>
      <c r="E756" t="s">
        <v>192</v>
      </c>
    </row>
    <row r="757" spans="1:5">
      <c r="A757" t="s">
        <v>3395</v>
      </c>
      <c r="B757" t="s">
        <v>3396</v>
      </c>
      <c r="C757" t="s">
        <v>3395</v>
      </c>
      <c r="D757" t="s">
        <v>192</v>
      </c>
      <c r="E757" t="s">
        <v>192</v>
      </c>
    </row>
    <row r="758" spans="1:5">
      <c r="A758" t="s">
        <v>5657</v>
      </c>
      <c r="B758" t="s">
        <v>5658</v>
      </c>
      <c r="C758" t="s">
        <v>5657</v>
      </c>
      <c r="D758" t="s">
        <v>192</v>
      </c>
      <c r="E758" t="s">
        <v>192</v>
      </c>
    </row>
    <row r="759" spans="1:5">
      <c r="A759" t="s">
        <v>5136</v>
      </c>
      <c r="B759" t="s">
        <v>5137</v>
      </c>
      <c r="C759" t="s">
        <v>5136</v>
      </c>
      <c r="D759" t="s">
        <v>192</v>
      </c>
      <c r="E759" t="s">
        <v>192</v>
      </c>
    </row>
    <row r="760" spans="1:5">
      <c r="A760" t="s">
        <v>4753</v>
      </c>
      <c r="B760" t="s">
        <v>4754</v>
      </c>
      <c r="C760" t="s">
        <v>4753</v>
      </c>
      <c r="D760" t="s">
        <v>192</v>
      </c>
      <c r="E760" t="s">
        <v>192</v>
      </c>
    </row>
    <row r="761" spans="1:5">
      <c r="A761" t="s">
        <v>5472</v>
      </c>
      <c r="B761" t="s">
        <v>5473</v>
      </c>
      <c r="C761" t="s">
        <v>5472</v>
      </c>
      <c r="D761" t="s">
        <v>192</v>
      </c>
      <c r="E761" t="s">
        <v>192</v>
      </c>
    </row>
    <row r="762" spans="1:5">
      <c r="A762" t="s">
        <v>5928</v>
      </c>
      <c r="B762" t="s">
        <v>5929</v>
      </c>
      <c r="C762" t="s">
        <v>5928</v>
      </c>
      <c r="D762" t="s">
        <v>192</v>
      </c>
      <c r="E762" t="s">
        <v>192</v>
      </c>
    </row>
    <row r="763" spans="1:5">
      <c r="A763" t="s">
        <v>5878</v>
      </c>
      <c r="B763" t="s">
        <v>5879</v>
      </c>
      <c r="C763" t="s">
        <v>5878</v>
      </c>
      <c r="D763" t="s">
        <v>192</v>
      </c>
      <c r="E763" t="s">
        <v>192</v>
      </c>
    </row>
    <row r="764" spans="1:5">
      <c r="A764" t="s">
        <v>5071</v>
      </c>
      <c r="B764" t="s">
        <v>5072</v>
      </c>
      <c r="C764" t="s">
        <v>5071</v>
      </c>
      <c r="D764" t="s">
        <v>192</v>
      </c>
      <c r="E764" t="s">
        <v>192</v>
      </c>
    </row>
    <row r="765" spans="1:5">
      <c r="A765" t="s">
        <v>3994</v>
      </c>
      <c r="B765" t="s">
        <v>3995</v>
      </c>
      <c r="C765" t="s">
        <v>3994</v>
      </c>
      <c r="D765" t="s">
        <v>192</v>
      </c>
      <c r="E765" t="s">
        <v>192</v>
      </c>
    </row>
    <row r="766" spans="1:5">
      <c r="A766" t="s">
        <v>4789</v>
      </c>
      <c r="B766" t="s">
        <v>4790</v>
      </c>
      <c r="C766" t="s">
        <v>4789</v>
      </c>
      <c r="D766" t="s">
        <v>192</v>
      </c>
      <c r="E766" t="s">
        <v>192</v>
      </c>
    </row>
    <row r="767" spans="1:5">
      <c r="A767" t="s">
        <v>4650</v>
      </c>
      <c r="B767" t="s">
        <v>4651</v>
      </c>
      <c r="C767" t="s">
        <v>4650</v>
      </c>
      <c r="D767" t="s">
        <v>192</v>
      </c>
      <c r="E767" t="s">
        <v>192</v>
      </c>
    </row>
    <row r="768" spans="1:5">
      <c r="A768" t="s">
        <v>6521</v>
      </c>
      <c r="B768" t="s">
        <v>6522</v>
      </c>
      <c r="C768" t="s">
        <v>6521</v>
      </c>
      <c r="D768" t="s">
        <v>192</v>
      </c>
      <c r="E768" t="s">
        <v>192</v>
      </c>
    </row>
    <row r="769" spans="1:5">
      <c r="A769" t="s">
        <v>6060</v>
      </c>
      <c r="B769" t="s">
        <v>6061</v>
      </c>
      <c r="C769" t="s">
        <v>6060</v>
      </c>
      <c r="D769" t="s">
        <v>192</v>
      </c>
      <c r="E769" t="s">
        <v>192</v>
      </c>
    </row>
    <row r="770" spans="1:5">
      <c r="A770" t="s">
        <v>6229</v>
      </c>
      <c r="B770" t="s">
        <v>6230</v>
      </c>
      <c r="C770" t="s">
        <v>6229</v>
      </c>
      <c r="D770" t="s">
        <v>192</v>
      </c>
      <c r="E770" t="s">
        <v>192</v>
      </c>
    </row>
    <row r="771" spans="1:5">
      <c r="A771" t="s">
        <v>5470</v>
      </c>
      <c r="B771" t="s">
        <v>5471</v>
      </c>
      <c r="C771" t="s">
        <v>5470</v>
      </c>
      <c r="D771" t="s">
        <v>192</v>
      </c>
      <c r="E771" t="s">
        <v>192</v>
      </c>
    </row>
    <row r="772" spans="1:5">
      <c r="A772" t="s">
        <v>5942</v>
      </c>
      <c r="B772" t="s">
        <v>5943</v>
      </c>
      <c r="C772" t="s">
        <v>5942</v>
      </c>
      <c r="D772" t="s">
        <v>192</v>
      </c>
      <c r="E772" t="s">
        <v>192</v>
      </c>
    </row>
    <row r="773" spans="1:5">
      <c r="A773" t="s">
        <v>5787</v>
      </c>
      <c r="B773" t="s">
        <v>5788</v>
      </c>
      <c r="C773" t="s">
        <v>5787</v>
      </c>
      <c r="D773" t="s">
        <v>192</v>
      </c>
      <c r="E773" t="s">
        <v>192</v>
      </c>
    </row>
    <row r="774" spans="1:5">
      <c r="A774" t="s">
        <v>3289</v>
      </c>
      <c r="B774" t="s">
        <v>3290</v>
      </c>
      <c r="C774" t="s">
        <v>3289</v>
      </c>
      <c r="D774" t="s">
        <v>192</v>
      </c>
      <c r="E774" t="s">
        <v>192</v>
      </c>
    </row>
    <row r="775" spans="1:5">
      <c r="A775" t="s">
        <v>4824</v>
      </c>
      <c r="B775" t="s">
        <v>4825</v>
      </c>
      <c r="C775" t="s">
        <v>4824</v>
      </c>
      <c r="D775" t="s">
        <v>192</v>
      </c>
      <c r="E775" t="s">
        <v>192</v>
      </c>
    </row>
    <row r="776" spans="1:5">
      <c r="A776" t="s">
        <v>5061</v>
      </c>
      <c r="B776" t="s">
        <v>5062</v>
      </c>
      <c r="C776" t="s">
        <v>5061</v>
      </c>
      <c r="D776" t="s">
        <v>192</v>
      </c>
      <c r="E776" t="s">
        <v>192</v>
      </c>
    </row>
    <row r="777" spans="1:5">
      <c r="A777" t="s">
        <v>3894</v>
      </c>
      <c r="B777" t="s">
        <v>3895</v>
      </c>
      <c r="C777" t="s">
        <v>3894</v>
      </c>
      <c r="D777" t="s">
        <v>192</v>
      </c>
      <c r="E777" t="s">
        <v>192</v>
      </c>
    </row>
    <row r="778" spans="1:5">
      <c r="A778" t="s">
        <v>5528</v>
      </c>
      <c r="B778" t="s">
        <v>5529</v>
      </c>
      <c r="C778" t="s">
        <v>5528</v>
      </c>
      <c r="D778" t="s">
        <v>192</v>
      </c>
      <c r="E778" t="s">
        <v>192</v>
      </c>
    </row>
    <row r="779" spans="1:5">
      <c r="A779" t="s">
        <v>3998</v>
      </c>
      <c r="B779" t="s">
        <v>3999</v>
      </c>
      <c r="C779" t="s">
        <v>3998</v>
      </c>
      <c r="D779" t="s">
        <v>192</v>
      </c>
      <c r="E779" t="s">
        <v>192</v>
      </c>
    </row>
    <row r="780" spans="1:5">
      <c r="A780" t="s">
        <v>2429</v>
      </c>
      <c r="B780" t="s">
        <v>2428</v>
      </c>
      <c r="C780" t="s">
        <v>2429</v>
      </c>
      <c r="D780">
        <v>750</v>
      </c>
      <c r="E780">
        <v>6.61</v>
      </c>
    </row>
    <row r="781" spans="1:5">
      <c r="A781" t="s">
        <v>6523</v>
      </c>
      <c r="B781" t="s">
        <v>6524</v>
      </c>
      <c r="C781" t="s">
        <v>6523</v>
      </c>
      <c r="D781" t="s">
        <v>192</v>
      </c>
      <c r="E781" t="s">
        <v>192</v>
      </c>
    </row>
    <row r="782" spans="1:5">
      <c r="A782" t="s">
        <v>6525</v>
      </c>
      <c r="B782" t="s">
        <v>6526</v>
      </c>
      <c r="C782" t="s">
        <v>6525</v>
      </c>
      <c r="D782" t="s">
        <v>192</v>
      </c>
      <c r="E782" t="s">
        <v>192</v>
      </c>
    </row>
    <row r="783" spans="1:5">
      <c r="A783" t="s">
        <v>6527</v>
      </c>
      <c r="B783" t="s">
        <v>6528</v>
      </c>
      <c r="C783" t="s">
        <v>6527</v>
      </c>
      <c r="D783" t="s">
        <v>192</v>
      </c>
      <c r="E783" t="s">
        <v>192</v>
      </c>
    </row>
    <row r="784" spans="1:5">
      <c r="A784" t="s">
        <v>6529</v>
      </c>
      <c r="B784" t="s">
        <v>6530</v>
      </c>
      <c r="C784" t="s">
        <v>6529</v>
      </c>
      <c r="D784" t="s">
        <v>192</v>
      </c>
      <c r="E784" t="s">
        <v>192</v>
      </c>
    </row>
    <row r="785" spans="1:5">
      <c r="A785" t="s">
        <v>6531</v>
      </c>
      <c r="B785" t="s">
        <v>6532</v>
      </c>
      <c r="C785" t="s">
        <v>6531</v>
      </c>
      <c r="D785" t="s">
        <v>192</v>
      </c>
      <c r="E785" t="s">
        <v>192</v>
      </c>
    </row>
    <row r="786" spans="1:5">
      <c r="A786" t="s">
        <v>6533</v>
      </c>
      <c r="B786" t="s">
        <v>6534</v>
      </c>
      <c r="C786" t="s">
        <v>6533</v>
      </c>
      <c r="D786" t="s">
        <v>192</v>
      </c>
      <c r="E786" t="s">
        <v>192</v>
      </c>
    </row>
    <row r="787" spans="1:5">
      <c r="A787" t="s">
        <v>6535</v>
      </c>
      <c r="B787" t="s">
        <v>6536</v>
      </c>
      <c r="C787" t="s">
        <v>6535</v>
      </c>
      <c r="D787" t="s">
        <v>192</v>
      </c>
      <c r="E787" t="s">
        <v>192</v>
      </c>
    </row>
    <row r="788" spans="1:5">
      <c r="A788" t="s">
        <v>6537</v>
      </c>
      <c r="B788" t="s">
        <v>6538</v>
      </c>
      <c r="C788" t="s">
        <v>6537</v>
      </c>
      <c r="D788" t="s">
        <v>192</v>
      </c>
      <c r="E788" t="s">
        <v>192</v>
      </c>
    </row>
    <row r="789" spans="1:5">
      <c r="A789" t="s">
        <v>6539</v>
      </c>
      <c r="B789" t="s">
        <v>6540</v>
      </c>
      <c r="C789" t="s">
        <v>6539</v>
      </c>
      <c r="D789" t="s">
        <v>192</v>
      </c>
      <c r="E789" t="s">
        <v>192</v>
      </c>
    </row>
    <row r="790" spans="1:5">
      <c r="A790" t="s">
        <v>6541</v>
      </c>
      <c r="B790" t="s">
        <v>6542</v>
      </c>
      <c r="C790" t="s">
        <v>6541</v>
      </c>
      <c r="D790" t="s">
        <v>192</v>
      </c>
      <c r="E790" t="s">
        <v>192</v>
      </c>
    </row>
    <row r="791" spans="1:5">
      <c r="A791" t="s">
        <v>6543</v>
      </c>
      <c r="B791" t="s">
        <v>6544</v>
      </c>
      <c r="C791" t="s">
        <v>6543</v>
      </c>
      <c r="D791" t="s">
        <v>192</v>
      </c>
      <c r="E791" t="s">
        <v>192</v>
      </c>
    </row>
    <row r="792" spans="1:5">
      <c r="A792" t="s">
        <v>6545</v>
      </c>
      <c r="B792" t="s">
        <v>6546</v>
      </c>
      <c r="C792" t="s">
        <v>6545</v>
      </c>
      <c r="D792" t="s">
        <v>192</v>
      </c>
      <c r="E792" t="s">
        <v>192</v>
      </c>
    </row>
    <row r="793" spans="1:5">
      <c r="A793" t="s">
        <v>6547</v>
      </c>
      <c r="B793" t="s">
        <v>6548</v>
      </c>
      <c r="C793" t="s">
        <v>6547</v>
      </c>
      <c r="D793" t="s">
        <v>192</v>
      </c>
      <c r="E793" t="s">
        <v>192</v>
      </c>
    </row>
    <row r="794" spans="1:5">
      <c r="A794" t="s">
        <v>5275</v>
      </c>
      <c r="B794" t="s">
        <v>5276</v>
      </c>
      <c r="C794" t="s">
        <v>5275</v>
      </c>
      <c r="D794" t="s">
        <v>192</v>
      </c>
      <c r="E794" t="s">
        <v>192</v>
      </c>
    </row>
    <row r="795" spans="1:5">
      <c r="A795" t="s">
        <v>4376</v>
      </c>
      <c r="B795" t="s">
        <v>4377</v>
      </c>
      <c r="C795" t="s">
        <v>4376</v>
      </c>
      <c r="D795" t="s">
        <v>192</v>
      </c>
      <c r="E795" t="s">
        <v>192</v>
      </c>
    </row>
    <row r="796" spans="1:5">
      <c r="A796" t="s">
        <v>4374</v>
      </c>
      <c r="B796" t="s">
        <v>4375</v>
      </c>
      <c r="C796" t="s">
        <v>4374</v>
      </c>
      <c r="D796" t="s">
        <v>192</v>
      </c>
      <c r="E796" t="s">
        <v>192</v>
      </c>
    </row>
    <row r="797" spans="1:5">
      <c r="A797" t="s">
        <v>6363</v>
      </c>
      <c r="B797" t="s">
        <v>6364</v>
      </c>
      <c r="C797" t="s">
        <v>6363</v>
      </c>
      <c r="D797" t="s">
        <v>192</v>
      </c>
      <c r="E797" t="s">
        <v>192</v>
      </c>
    </row>
    <row r="798" spans="1:5">
      <c r="A798" t="s">
        <v>4372</v>
      </c>
      <c r="B798" t="s">
        <v>4373</v>
      </c>
      <c r="C798" t="s">
        <v>4372</v>
      </c>
      <c r="D798" t="s">
        <v>192</v>
      </c>
      <c r="E798" t="s">
        <v>192</v>
      </c>
    </row>
    <row r="799" spans="1:5">
      <c r="A799" t="s">
        <v>4370</v>
      </c>
      <c r="B799" t="s">
        <v>4371</v>
      </c>
      <c r="C799" t="s">
        <v>4370</v>
      </c>
      <c r="D799" t="s">
        <v>192</v>
      </c>
      <c r="E799" t="s">
        <v>192</v>
      </c>
    </row>
    <row r="800" spans="1:5">
      <c r="A800" t="s">
        <v>4368</v>
      </c>
      <c r="B800" t="s">
        <v>4369</v>
      </c>
      <c r="C800" t="s">
        <v>4368</v>
      </c>
      <c r="D800" t="s">
        <v>192</v>
      </c>
      <c r="E800" t="s">
        <v>192</v>
      </c>
    </row>
    <row r="801" spans="1:5">
      <c r="A801" t="s">
        <v>3914</v>
      </c>
      <c r="B801" t="s">
        <v>3915</v>
      </c>
      <c r="C801" t="s">
        <v>3914</v>
      </c>
      <c r="D801" t="s">
        <v>192</v>
      </c>
      <c r="E801" t="s">
        <v>192</v>
      </c>
    </row>
    <row r="802" spans="1:5">
      <c r="A802" t="s">
        <v>5246</v>
      </c>
      <c r="B802" t="s">
        <v>5247</v>
      </c>
      <c r="C802" t="s">
        <v>5246</v>
      </c>
      <c r="D802" t="s">
        <v>192</v>
      </c>
      <c r="E802" t="s">
        <v>192</v>
      </c>
    </row>
    <row r="803" spans="1:5">
      <c r="A803" t="s">
        <v>6034</v>
      </c>
      <c r="B803" t="s">
        <v>6035</v>
      </c>
      <c r="C803" t="s">
        <v>6034</v>
      </c>
      <c r="D803" t="s">
        <v>192</v>
      </c>
      <c r="E803" t="s">
        <v>192</v>
      </c>
    </row>
    <row r="804" spans="1:5">
      <c r="A804" t="s">
        <v>4755</v>
      </c>
      <c r="B804" t="s">
        <v>4756</v>
      </c>
      <c r="C804" t="s">
        <v>4755</v>
      </c>
      <c r="D804" t="s">
        <v>192</v>
      </c>
      <c r="E804" t="s">
        <v>192</v>
      </c>
    </row>
    <row r="805" spans="1:5">
      <c r="A805" t="s">
        <v>4848</v>
      </c>
      <c r="B805" t="s">
        <v>4849</v>
      </c>
      <c r="C805" t="s">
        <v>4848</v>
      </c>
      <c r="D805" t="s">
        <v>192</v>
      </c>
      <c r="E805" t="s">
        <v>192</v>
      </c>
    </row>
    <row r="806" spans="1:5">
      <c r="A806" t="s">
        <v>4382</v>
      </c>
      <c r="B806" t="s">
        <v>4383</v>
      </c>
      <c r="C806" t="s">
        <v>4382</v>
      </c>
      <c r="D806" t="s">
        <v>192</v>
      </c>
      <c r="E806" t="s">
        <v>192</v>
      </c>
    </row>
    <row r="807" spans="1:5">
      <c r="A807" t="s">
        <v>4680</v>
      </c>
      <c r="B807" t="s">
        <v>4681</v>
      </c>
      <c r="C807" t="s">
        <v>4680</v>
      </c>
      <c r="D807" t="s">
        <v>192</v>
      </c>
      <c r="E807" t="s">
        <v>192</v>
      </c>
    </row>
    <row r="808" spans="1:5">
      <c r="A808" t="s">
        <v>4366</v>
      </c>
      <c r="B808" t="s">
        <v>4367</v>
      </c>
      <c r="C808" t="s">
        <v>4366</v>
      </c>
      <c r="D808" t="s">
        <v>192</v>
      </c>
      <c r="E808" t="s">
        <v>192</v>
      </c>
    </row>
    <row r="809" spans="1:5">
      <c r="A809" t="s">
        <v>4364</v>
      </c>
      <c r="B809" t="s">
        <v>4365</v>
      </c>
      <c r="C809" t="s">
        <v>4364</v>
      </c>
      <c r="D809" t="s">
        <v>192</v>
      </c>
      <c r="E809" t="s">
        <v>192</v>
      </c>
    </row>
    <row r="810" spans="1:5">
      <c r="A810" t="s">
        <v>3861</v>
      </c>
      <c r="B810" t="s">
        <v>3862</v>
      </c>
      <c r="C810" t="s">
        <v>3861</v>
      </c>
      <c r="D810" t="s">
        <v>192</v>
      </c>
      <c r="E810" t="s">
        <v>192</v>
      </c>
    </row>
    <row r="811" spans="1:5">
      <c r="A811" t="s">
        <v>4362</v>
      </c>
      <c r="B811" t="s">
        <v>4363</v>
      </c>
      <c r="C811" t="s">
        <v>4362</v>
      </c>
      <c r="D811" t="s">
        <v>192</v>
      </c>
      <c r="E811" t="s">
        <v>192</v>
      </c>
    </row>
    <row r="812" spans="1:5">
      <c r="A812" t="s">
        <v>4714</v>
      </c>
      <c r="B812" t="s">
        <v>4715</v>
      </c>
      <c r="C812" t="s">
        <v>4714</v>
      </c>
      <c r="D812" t="s">
        <v>192</v>
      </c>
      <c r="E812" t="s">
        <v>192</v>
      </c>
    </row>
    <row r="813" spans="1:5">
      <c r="A813" t="s">
        <v>4360</v>
      </c>
      <c r="B813" t="s">
        <v>4361</v>
      </c>
      <c r="C813" t="s">
        <v>4360</v>
      </c>
      <c r="D813" t="s">
        <v>192</v>
      </c>
      <c r="E813" t="s">
        <v>192</v>
      </c>
    </row>
    <row r="814" spans="1:5">
      <c r="A814" t="s">
        <v>6172</v>
      </c>
      <c r="B814" t="s">
        <v>6173</v>
      </c>
      <c r="C814" t="s">
        <v>6172</v>
      </c>
      <c r="D814" t="s">
        <v>192</v>
      </c>
      <c r="E814" t="s">
        <v>192</v>
      </c>
    </row>
    <row r="815" spans="1:5">
      <c r="A815" t="s">
        <v>4358</v>
      </c>
      <c r="B815" t="s">
        <v>4359</v>
      </c>
      <c r="C815" t="s">
        <v>4358</v>
      </c>
      <c r="D815" t="s">
        <v>192</v>
      </c>
      <c r="E815" t="s">
        <v>192</v>
      </c>
    </row>
    <row r="816" spans="1:5">
      <c r="A816" t="s">
        <v>4356</v>
      </c>
      <c r="B816" t="s">
        <v>4357</v>
      </c>
      <c r="C816" t="s">
        <v>4356</v>
      </c>
      <c r="D816" t="s">
        <v>192</v>
      </c>
      <c r="E816" t="s">
        <v>192</v>
      </c>
    </row>
    <row r="817" spans="1:5">
      <c r="A817" t="s">
        <v>5345</v>
      </c>
      <c r="B817" t="s">
        <v>5346</v>
      </c>
      <c r="C817" t="s">
        <v>5345</v>
      </c>
      <c r="D817" t="s">
        <v>192</v>
      </c>
      <c r="E817" t="s">
        <v>192</v>
      </c>
    </row>
    <row r="818" spans="1:5">
      <c r="A818" t="s">
        <v>4380</v>
      </c>
      <c r="B818" t="s">
        <v>4381</v>
      </c>
      <c r="C818" t="s">
        <v>4380</v>
      </c>
      <c r="D818" t="s">
        <v>192</v>
      </c>
      <c r="E818" t="s">
        <v>192</v>
      </c>
    </row>
    <row r="819" spans="1:5">
      <c r="A819" t="s">
        <v>4378</v>
      </c>
      <c r="B819" t="s">
        <v>4379</v>
      </c>
      <c r="C819" t="s">
        <v>4378</v>
      </c>
      <c r="D819" t="s">
        <v>192</v>
      </c>
      <c r="E819" t="s">
        <v>192</v>
      </c>
    </row>
    <row r="820" spans="1:5">
      <c r="A820" t="s">
        <v>4354</v>
      </c>
      <c r="B820" t="s">
        <v>4355</v>
      </c>
      <c r="C820" t="s">
        <v>4354</v>
      </c>
      <c r="D820" t="s">
        <v>192</v>
      </c>
      <c r="E820" t="s">
        <v>192</v>
      </c>
    </row>
    <row r="821" spans="1:5">
      <c r="A821" t="s">
        <v>4352</v>
      </c>
      <c r="B821" t="s">
        <v>4353</v>
      </c>
      <c r="C821" t="s">
        <v>4352</v>
      </c>
      <c r="D821" t="s">
        <v>192</v>
      </c>
      <c r="E821" t="s">
        <v>192</v>
      </c>
    </row>
    <row r="822" spans="1:5">
      <c r="A822" t="s">
        <v>4350</v>
      </c>
      <c r="B822" t="s">
        <v>4351</v>
      </c>
      <c r="C822" t="s">
        <v>4350</v>
      </c>
      <c r="D822" t="s">
        <v>192</v>
      </c>
      <c r="E822" t="s">
        <v>192</v>
      </c>
    </row>
    <row r="823" spans="1:5">
      <c r="A823" t="s">
        <v>4348</v>
      </c>
      <c r="B823" t="s">
        <v>4349</v>
      </c>
      <c r="C823" t="s">
        <v>4348</v>
      </c>
      <c r="D823" t="s">
        <v>192</v>
      </c>
      <c r="E823" t="s">
        <v>192</v>
      </c>
    </row>
    <row r="824" spans="1:5">
      <c r="A824" t="s">
        <v>6157</v>
      </c>
      <c r="B824" t="s">
        <v>6158</v>
      </c>
      <c r="C824" t="s">
        <v>6157</v>
      </c>
      <c r="D824" t="s">
        <v>192</v>
      </c>
      <c r="E824" t="s">
        <v>192</v>
      </c>
    </row>
    <row r="825" spans="1:5">
      <c r="A825" t="s">
        <v>4346</v>
      </c>
      <c r="B825" t="s">
        <v>4347</v>
      </c>
      <c r="C825" t="s">
        <v>4346</v>
      </c>
      <c r="D825" t="s">
        <v>192</v>
      </c>
      <c r="E825" t="s">
        <v>192</v>
      </c>
    </row>
    <row r="826" spans="1:5">
      <c r="A826" t="s">
        <v>4749</v>
      </c>
      <c r="B826" t="s">
        <v>4750</v>
      </c>
      <c r="C826" t="s">
        <v>4749</v>
      </c>
      <c r="D826" t="s">
        <v>192</v>
      </c>
      <c r="E826" t="s">
        <v>192</v>
      </c>
    </row>
    <row r="827" spans="1:5">
      <c r="A827" t="s">
        <v>4344</v>
      </c>
      <c r="B827" t="s">
        <v>4345</v>
      </c>
      <c r="C827" t="s">
        <v>4344</v>
      </c>
      <c r="D827" t="s">
        <v>192</v>
      </c>
      <c r="E827" t="s">
        <v>192</v>
      </c>
    </row>
    <row r="828" spans="1:5">
      <c r="A828" t="s">
        <v>4603</v>
      </c>
      <c r="B828" t="s">
        <v>4604</v>
      </c>
      <c r="C828" t="s">
        <v>4603</v>
      </c>
      <c r="D828" t="s">
        <v>192</v>
      </c>
      <c r="E828" t="s">
        <v>192</v>
      </c>
    </row>
    <row r="829" spans="1:5">
      <c r="A829" t="s">
        <v>5374</v>
      </c>
      <c r="B829" t="s">
        <v>5375</v>
      </c>
      <c r="C829" t="s">
        <v>5374</v>
      </c>
      <c r="D829" t="s">
        <v>192</v>
      </c>
      <c r="E829" t="s">
        <v>192</v>
      </c>
    </row>
    <row r="830" spans="1:5">
      <c r="A830" t="s">
        <v>4770</v>
      </c>
      <c r="B830" t="s">
        <v>4771</v>
      </c>
      <c r="C830" t="s">
        <v>4770</v>
      </c>
      <c r="D830" t="s">
        <v>192</v>
      </c>
      <c r="E830" t="s">
        <v>192</v>
      </c>
    </row>
    <row r="831" spans="1:5">
      <c r="A831" t="s">
        <v>4234</v>
      </c>
      <c r="B831" t="s">
        <v>4235</v>
      </c>
      <c r="C831" t="s">
        <v>4234</v>
      </c>
      <c r="D831" t="s">
        <v>192</v>
      </c>
      <c r="E831" t="s">
        <v>192</v>
      </c>
    </row>
    <row r="832" spans="1:5">
      <c r="A832" t="s">
        <v>6361</v>
      </c>
      <c r="B832" t="s">
        <v>6362</v>
      </c>
      <c r="C832" t="s">
        <v>6361</v>
      </c>
      <c r="D832" t="s">
        <v>192</v>
      </c>
      <c r="E832" t="s">
        <v>192</v>
      </c>
    </row>
    <row r="833" spans="1:5">
      <c r="A833" t="s">
        <v>4232</v>
      </c>
      <c r="B833" t="s">
        <v>4233</v>
      </c>
      <c r="C833" t="s">
        <v>4232</v>
      </c>
      <c r="D833" t="s">
        <v>192</v>
      </c>
      <c r="E833" t="s">
        <v>192</v>
      </c>
    </row>
    <row r="834" spans="1:5">
      <c r="A834" t="s">
        <v>5166</v>
      </c>
      <c r="B834" t="s">
        <v>5167</v>
      </c>
      <c r="C834" t="s">
        <v>5166</v>
      </c>
      <c r="D834" t="s">
        <v>192</v>
      </c>
      <c r="E834" t="s">
        <v>192</v>
      </c>
    </row>
    <row r="835" spans="1:5">
      <c r="A835" t="s">
        <v>4230</v>
      </c>
      <c r="B835" t="s">
        <v>4231</v>
      </c>
      <c r="C835" t="s">
        <v>4230</v>
      </c>
      <c r="D835" t="s">
        <v>192</v>
      </c>
      <c r="E835" t="s">
        <v>192</v>
      </c>
    </row>
    <row r="836" spans="1:5">
      <c r="A836" t="s">
        <v>6212</v>
      </c>
      <c r="B836" t="s">
        <v>6213</v>
      </c>
      <c r="C836" t="s">
        <v>6212</v>
      </c>
      <c r="D836" t="s">
        <v>192</v>
      </c>
      <c r="E836" t="s">
        <v>192</v>
      </c>
    </row>
    <row r="837" spans="1:5">
      <c r="A837" t="s">
        <v>4228</v>
      </c>
      <c r="B837" t="s">
        <v>4229</v>
      </c>
      <c r="C837" t="s">
        <v>4228</v>
      </c>
      <c r="D837" t="s">
        <v>192</v>
      </c>
      <c r="E837" t="s">
        <v>192</v>
      </c>
    </row>
    <row r="838" spans="1:5">
      <c r="A838" t="s">
        <v>4226</v>
      </c>
      <c r="B838" t="s">
        <v>4227</v>
      </c>
      <c r="C838" t="s">
        <v>4226</v>
      </c>
      <c r="D838" t="s">
        <v>192</v>
      </c>
      <c r="E838" t="s">
        <v>192</v>
      </c>
    </row>
    <row r="839" spans="1:5">
      <c r="A839" t="s">
        <v>4224</v>
      </c>
      <c r="B839" t="s">
        <v>4225</v>
      </c>
      <c r="C839" t="s">
        <v>4224</v>
      </c>
      <c r="D839" t="s">
        <v>192</v>
      </c>
      <c r="E839" t="s">
        <v>192</v>
      </c>
    </row>
    <row r="840" spans="1:5">
      <c r="A840" t="s">
        <v>4222</v>
      </c>
      <c r="B840" t="s">
        <v>4223</v>
      </c>
      <c r="C840" t="s">
        <v>4222</v>
      </c>
      <c r="D840" t="s">
        <v>192</v>
      </c>
      <c r="E840" t="s">
        <v>192</v>
      </c>
    </row>
    <row r="841" spans="1:5">
      <c r="A841" t="s">
        <v>4220</v>
      </c>
      <c r="B841" t="s">
        <v>4221</v>
      </c>
      <c r="C841" t="s">
        <v>4220</v>
      </c>
      <c r="D841" t="s">
        <v>192</v>
      </c>
      <c r="E841" t="s">
        <v>192</v>
      </c>
    </row>
    <row r="842" spans="1:5">
      <c r="A842" t="s">
        <v>4008</v>
      </c>
      <c r="B842" t="s">
        <v>4009</v>
      </c>
      <c r="C842" t="s">
        <v>4008</v>
      </c>
      <c r="D842" t="s">
        <v>192</v>
      </c>
      <c r="E842" t="s">
        <v>192</v>
      </c>
    </row>
    <row r="843" spans="1:5">
      <c r="A843" t="s">
        <v>4218</v>
      </c>
      <c r="B843" t="s">
        <v>4219</v>
      </c>
      <c r="C843" t="s">
        <v>4218</v>
      </c>
      <c r="D843" t="s">
        <v>192</v>
      </c>
      <c r="E843" t="s">
        <v>192</v>
      </c>
    </row>
    <row r="844" spans="1:5">
      <c r="A844" t="s">
        <v>4216</v>
      </c>
      <c r="B844" t="s">
        <v>4217</v>
      </c>
      <c r="C844" t="s">
        <v>4216</v>
      </c>
      <c r="D844" t="s">
        <v>192</v>
      </c>
      <c r="E844" t="s">
        <v>192</v>
      </c>
    </row>
    <row r="845" spans="1:5">
      <c r="A845" t="s">
        <v>6371</v>
      </c>
      <c r="B845" t="s">
        <v>6372</v>
      </c>
      <c r="C845" t="s">
        <v>6371</v>
      </c>
      <c r="D845" t="s">
        <v>192</v>
      </c>
      <c r="E845" t="s">
        <v>192</v>
      </c>
    </row>
    <row r="846" spans="1:5">
      <c r="A846" t="s">
        <v>6054</v>
      </c>
      <c r="B846" t="s">
        <v>6055</v>
      </c>
      <c r="C846" t="s">
        <v>6054</v>
      </c>
      <c r="D846" t="s">
        <v>192</v>
      </c>
      <c r="E846" t="s">
        <v>192</v>
      </c>
    </row>
    <row r="847" spans="1:5">
      <c r="A847" t="s">
        <v>6030</v>
      </c>
      <c r="B847" t="s">
        <v>6031</v>
      </c>
      <c r="C847" t="s">
        <v>6030</v>
      </c>
      <c r="D847" t="s">
        <v>192</v>
      </c>
      <c r="E847" t="s">
        <v>192</v>
      </c>
    </row>
    <row r="848" spans="1:5">
      <c r="A848" t="s">
        <v>4240</v>
      </c>
      <c r="B848" t="s">
        <v>4241</v>
      </c>
      <c r="C848" t="s">
        <v>4240</v>
      </c>
      <c r="D848" t="s">
        <v>192</v>
      </c>
      <c r="E848" t="s">
        <v>192</v>
      </c>
    </row>
    <row r="849" spans="1:5">
      <c r="A849" t="s">
        <v>4238</v>
      </c>
      <c r="B849" t="s">
        <v>4239</v>
      </c>
      <c r="C849" t="s">
        <v>4238</v>
      </c>
      <c r="D849" t="s">
        <v>192</v>
      </c>
      <c r="E849" t="s">
        <v>192</v>
      </c>
    </row>
    <row r="850" spans="1:5">
      <c r="A850" t="s">
        <v>4236</v>
      </c>
      <c r="B850" t="s">
        <v>4237</v>
      </c>
      <c r="C850" t="s">
        <v>4236</v>
      </c>
      <c r="D850" t="s">
        <v>192</v>
      </c>
      <c r="E850" t="s">
        <v>192</v>
      </c>
    </row>
    <row r="851" spans="1:5">
      <c r="A851" t="s">
        <v>6260</v>
      </c>
      <c r="B851" t="s">
        <v>6261</v>
      </c>
      <c r="C851" t="s">
        <v>6260</v>
      </c>
      <c r="D851" t="s">
        <v>192</v>
      </c>
      <c r="E851" t="s">
        <v>192</v>
      </c>
    </row>
    <row r="852" spans="1:5">
      <c r="A852" t="s">
        <v>4214</v>
      </c>
      <c r="B852" t="s">
        <v>4215</v>
      </c>
      <c r="C852" t="s">
        <v>4214</v>
      </c>
      <c r="D852" t="s">
        <v>192</v>
      </c>
      <c r="E852" t="s">
        <v>192</v>
      </c>
    </row>
    <row r="853" spans="1:5">
      <c r="A853" t="s">
        <v>3980</v>
      </c>
      <c r="B853" t="s">
        <v>3981</v>
      </c>
      <c r="C853" t="s">
        <v>3980</v>
      </c>
      <c r="D853" t="s">
        <v>192</v>
      </c>
      <c r="E853" t="s">
        <v>192</v>
      </c>
    </row>
    <row r="854" spans="1:5">
      <c r="A854" t="s">
        <v>5398</v>
      </c>
      <c r="B854" t="s">
        <v>5399</v>
      </c>
      <c r="C854" t="s">
        <v>5398</v>
      </c>
      <c r="D854" t="s">
        <v>192</v>
      </c>
      <c r="E854" t="s">
        <v>192</v>
      </c>
    </row>
    <row r="855" spans="1:5">
      <c r="A855" t="s">
        <v>4212</v>
      </c>
      <c r="B855" t="s">
        <v>4213</v>
      </c>
      <c r="C855" t="s">
        <v>4212</v>
      </c>
      <c r="D855" t="s">
        <v>192</v>
      </c>
      <c r="E855" t="s">
        <v>192</v>
      </c>
    </row>
    <row r="856" spans="1:5">
      <c r="A856" t="s">
        <v>4605</v>
      </c>
      <c r="B856" t="s">
        <v>4606</v>
      </c>
      <c r="C856" t="s">
        <v>4605</v>
      </c>
      <c r="D856" t="s">
        <v>192</v>
      </c>
      <c r="E856" t="s">
        <v>192</v>
      </c>
    </row>
    <row r="857" spans="1:5">
      <c r="A857" t="s">
        <v>6274</v>
      </c>
      <c r="B857" t="s">
        <v>6275</v>
      </c>
      <c r="C857" t="s">
        <v>6274</v>
      </c>
      <c r="D857" t="s">
        <v>192</v>
      </c>
      <c r="E857" t="s">
        <v>192</v>
      </c>
    </row>
    <row r="858" spans="1:5">
      <c r="A858" t="s">
        <v>6036</v>
      </c>
      <c r="B858" t="s">
        <v>6037</v>
      </c>
      <c r="C858" t="s">
        <v>6036</v>
      </c>
      <c r="D858" t="s">
        <v>192</v>
      </c>
      <c r="E858" t="s">
        <v>192</v>
      </c>
    </row>
    <row r="859" spans="1:5">
      <c r="A859" t="s">
        <v>4580</v>
      </c>
      <c r="B859" t="s">
        <v>4581</v>
      </c>
      <c r="C859" t="s">
        <v>4580</v>
      </c>
      <c r="D859" t="s">
        <v>192</v>
      </c>
      <c r="E859" t="s">
        <v>192</v>
      </c>
    </row>
    <row r="860" spans="1:5">
      <c r="A860" t="s">
        <v>4210</v>
      </c>
      <c r="B860" t="s">
        <v>4211</v>
      </c>
      <c r="C860" t="s">
        <v>4210</v>
      </c>
      <c r="D860" t="s">
        <v>192</v>
      </c>
      <c r="E860" t="s">
        <v>192</v>
      </c>
    </row>
    <row r="861" spans="1:5">
      <c r="A861" t="s">
        <v>4208</v>
      </c>
      <c r="B861" t="s">
        <v>4209</v>
      </c>
      <c r="C861" t="s">
        <v>4208</v>
      </c>
      <c r="D861" t="s">
        <v>192</v>
      </c>
      <c r="E861" t="s">
        <v>192</v>
      </c>
    </row>
    <row r="862" spans="1:5">
      <c r="A862" t="s">
        <v>4206</v>
      </c>
      <c r="B862" t="s">
        <v>4207</v>
      </c>
      <c r="C862" t="s">
        <v>4206</v>
      </c>
      <c r="D862" t="s">
        <v>192</v>
      </c>
      <c r="E862" t="s">
        <v>192</v>
      </c>
    </row>
    <row r="863" spans="1:5">
      <c r="A863" t="s">
        <v>6549</v>
      </c>
      <c r="B863" t="s">
        <v>6550</v>
      </c>
      <c r="C863" t="s">
        <v>6549</v>
      </c>
      <c r="D863" t="s">
        <v>192</v>
      </c>
      <c r="E863" t="s">
        <v>192</v>
      </c>
    </row>
    <row r="864" spans="1:5">
      <c r="A864" t="s">
        <v>6551</v>
      </c>
      <c r="B864" t="s">
        <v>6552</v>
      </c>
      <c r="C864" t="s">
        <v>6551</v>
      </c>
      <c r="D864" t="s">
        <v>192</v>
      </c>
      <c r="E864" t="s">
        <v>192</v>
      </c>
    </row>
    <row r="865" spans="1:5">
      <c r="A865" t="s">
        <v>6553</v>
      </c>
      <c r="B865" t="s">
        <v>6554</v>
      </c>
      <c r="C865" t="s">
        <v>6553</v>
      </c>
      <c r="D865" t="s">
        <v>192</v>
      </c>
      <c r="E865" t="s">
        <v>192</v>
      </c>
    </row>
    <row r="866" spans="1:5">
      <c r="A866" t="s">
        <v>6555</v>
      </c>
      <c r="B866" t="s">
        <v>6556</v>
      </c>
      <c r="C866" t="s">
        <v>6555</v>
      </c>
      <c r="D866" t="s">
        <v>192</v>
      </c>
      <c r="E866" t="s">
        <v>192</v>
      </c>
    </row>
    <row r="867" spans="1:5">
      <c r="A867" t="s">
        <v>6557</v>
      </c>
      <c r="B867" t="s">
        <v>6558</v>
      </c>
      <c r="C867" t="s">
        <v>6557</v>
      </c>
      <c r="D867" t="s">
        <v>192</v>
      </c>
      <c r="E867" t="s">
        <v>192</v>
      </c>
    </row>
    <row r="868" spans="1:5">
      <c r="A868" t="s">
        <v>6559</v>
      </c>
      <c r="B868" t="s">
        <v>6560</v>
      </c>
      <c r="C868" t="s">
        <v>6559</v>
      </c>
      <c r="D868" t="s">
        <v>192</v>
      </c>
      <c r="E868" t="s">
        <v>192</v>
      </c>
    </row>
    <row r="869" spans="1:5">
      <c r="A869" t="s">
        <v>6561</v>
      </c>
      <c r="B869" t="s">
        <v>6562</v>
      </c>
      <c r="C869" t="s">
        <v>6561</v>
      </c>
      <c r="D869" t="s">
        <v>192</v>
      </c>
      <c r="E869" t="s">
        <v>192</v>
      </c>
    </row>
    <row r="870" spans="1:5">
      <c r="A870" t="s">
        <v>6563</v>
      </c>
      <c r="B870" t="s">
        <v>6564</v>
      </c>
      <c r="C870" t="s">
        <v>6563</v>
      </c>
      <c r="D870" t="s">
        <v>192</v>
      </c>
      <c r="E870" t="s">
        <v>192</v>
      </c>
    </row>
    <row r="871" spans="1:5">
      <c r="A871" t="s">
        <v>6565</v>
      </c>
      <c r="B871" t="s">
        <v>6566</v>
      </c>
      <c r="C871" t="s">
        <v>6565</v>
      </c>
      <c r="D871" t="s">
        <v>192</v>
      </c>
      <c r="E871" t="s">
        <v>192</v>
      </c>
    </row>
    <row r="872" spans="1:5">
      <c r="A872" t="s">
        <v>6567</v>
      </c>
      <c r="B872" t="s">
        <v>6568</v>
      </c>
      <c r="C872" t="s">
        <v>6567</v>
      </c>
      <c r="D872" t="s">
        <v>192</v>
      </c>
      <c r="E872" t="s">
        <v>192</v>
      </c>
    </row>
    <row r="873" spans="1:5">
      <c r="A873" t="s">
        <v>6569</v>
      </c>
      <c r="B873" t="s">
        <v>6570</v>
      </c>
      <c r="C873" t="s">
        <v>6569</v>
      </c>
      <c r="D873" t="s">
        <v>192</v>
      </c>
      <c r="E873" t="s">
        <v>192</v>
      </c>
    </row>
    <row r="874" spans="1:5">
      <c r="A874" t="s">
        <v>6571</v>
      </c>
      <c r="B874" t="s">
        <v>6572</v>
      </c>
      <c r="C874" t="s">
        <v>6571</v>
      </c>
      <c r="D874" t="s">
        <v>192</v>
      </c>
      <c r="E874" t="s">
        <v>192</v>
      </c>
    </row>
    <row r="875" spans="1:5">
      <c r="A875" t="s">
        <v>6573</v>
      </c>
      <c r="B875" t="s">
        <v>6574</v>
      </c>
      <c r="C875" t="s">
        <v>6573</v>
      </c>
      <c r="D875" t="s">
        <v>192</v>
      </c>
      <c r="E875" t="s">
        <v>192</v>
      </c>
    </row>
    <row r="876" spans="1:5">
      <c r="A876" t="s">
        <v>6575</v>
      </c>
      <c r="B876" t="s">
        <v>6576</v>
      </c>
      <c r="C876" t="s">
        <v>6575</v>
      </c>
      <c r="D876" t="s">
        <v>192</v>
      </c>
      <c r="E876" t="s">
        <v>192</v>
      </c>
    </row>
    <row r="877" spans="1:5">
      <c r="A877" t="s">
        <v>6577</v>
      </c>
      <c r="B877" t="s">
        <v>6578</v>
      </c>
      <c r="C877" t="s">
        <v>6577</v>
      </c>
      <c r="D877" t="s">
        <v>192</v>
      </c>
      <c r="E877" t="s">
        <v>192</v>
      </c>
    </row>
    <row r="878" spans="1:5">
      <c r="A878" t="s">
        <v>6579</v>
      </c>
      <c r="B878" t="s">
        <v>6580</v>
      </c>
      <c r="C878" t="s">
        <v>6579</v>
      </c>
      <c r="D878" t="s">
        <v>192</v>
      </c>
      <c r="E878" t="s">
        <v>192</v>
      </c>
    </row>
    <row r="879" spans="1:5">
      <c r="A879" t="s">
        <v>6581</v>
      </c>
      <c r="B879" t="s">
        <v>6582</v>
      </c>
      <c r="C879" t="s">
        <v>6581</v>
      </c>
      <c r="D879" t="s">
        <v>192</v>
      </c>
      <c r="E879" t="s">
        <v>192</v>
      </c>
    </row>
    <row r="880" spans="1:5">
      <c r="A880" t="s">
        <v>6583</v>
      </c>
      <c r="B880" t="s">
        <v>6584</v>
      </c>
      <c r="C880" t="s">
        <v>6583</v>
      </c>
      <c r="D880" t="s">
        <v>192</v>
      </c>
      <c r="E880" t="s">
        <v>192</v>
      </c>
    </row>
    <row r="881" spans="1:5">
      <c r="A881" t="s">
        <v>6585</v>
      </c>
      <c r="B881" t="s">
        <v>6586</v>
      </c>
      <c r="C881" t="s">
        <v>6585</v>
      </c>
      <c r="D881" t="s">
        <v>192</v>
      </c>
      <c r="E881" t="s">
        <v>192</v>
      </c>
    </row>
    <row r="882" spans="1:5">
      <c r="A882" t="s">
        <v>6587</v>
      </c>
      <c r="B882" t="s">
        <v>6588</v>
      </c>
      <c r="C882" t="s">
        <v>6587</v>
      </c>
      <c r="D882" t="s">
        <v>192</v>
      </c>
      <c r="E882" t="s">
        <v>192</v>
      </c>
    </row>
    <row r="883" spans="1:5">
      <c r="A883" t="s">
        <v>6589</v>
      </c>
      <c r="B883" t="s">
        <v>6590</v>
      </c>
      <c r="C883" t="s">
        <v>6589</v>
      </c>
      <c r="D883" t="s">
        <v>192</v>
      </c>
      <c r="E883" t="s">
        <v>192</v>
      </c>
    </row>
    <row r="884" spans="1:5">
      <c r="A884" t="s">
        <v>6591</v>
      </c>
      <c r="B884" t="s">
        <v>6592</v>
      </c>
      <c r="C884" t="s">
        <v>6591</v>
      </c>
      <c r="D884" t="s">
        <v>192</v>
      </c>
      <c r="E884" t="s">
        <v>192</v>
      </c>
    </row>
    <row r="885" spans="1:5">
      <c r="A885" t="s">
        <v>6593</v>
      </c>
      <c r="B885" t="s">
        <v>6594</v>
      </c>
      <c r="C885" t="s">
        <v>6593</v>
      </c>
      <c r="D885" t="s">
        <v>192</v>
      </c>
      <c r="E885" t="s">
        <v>192</v>
      </c>
    </row>
    <row r="886" spans="1:5">
      <c r="A886" t="s">
        <v>6595</v>
      </c>
      <c r="B886" t="s">
        <v>6596</v>
      </c>
      <c r="C886" t="s">
        <v>6595</v>
      </c>
      <c r="D886" t="s">
        <v>192</v>
      </c>
      <c r="E886" t="s">
        <v>192</v>
      </c>
    </row>
    <row r="887" spans="1:5">
      <c r="A887" t="s">
        <v>6597</v>
      </c>
      <c r="B887" t="s">
        <v>6598</v>
      </c>
      <c r="C887" t="s">
        <v>6597</v>
      </c>
      <c r="D887" t="s">
        <v>192</v>
      </c>
      <c r="E887" t="s">
        <v>192</v>
      </c>
    </row>
    <row r="888" spans="1:5">
      <c r="A888" t="s">
        <v>6599</v>
      </c>
      <c r="B888" t="s">
        <v>6600</v>
      </c>
      <c r="C888" t="s">
        <v>6599</v>
      </c>
      <c r="D888" t="s">
        <v>192</v>
      </c>
      <c r="E888" t="s">
        <v>192</v>
      </c>
    </row>
    <row r="889" spans="1:5">
      <c r="A889" t="s">
        <v>6601</v>
      </c>
      <c r="B889" t="s">
        <v>6602</v>
      </c>
      <c r="C889" t="s">
        <v>6601</v>
      </c>
      <c r="D889" t="s">
        <v>192</v>
      </c>
      <c r="E889" t="s">
        <v>192</v>
      </c>
    </row>
    <row r="890" spans="1:5">
      <c r="A890" t="s">
        <v>6603</v>
      </c>
      <c r="B890" t="s">
        <v>6604</v>
      </c>
      <c r="C890" t="s">
        <v>6603</v>
      </c>
      <c r="D890" t="s">
        <v>192</v>
      </c>
      <c r="E890" t="s">
        <v>192</v>
      </c>
    </row>
    <row r="891" spans="1:5">
      <c r="A891" t="s">
        <v>4673</v>
      </c>
      <c r="B891" t="s">
        <v>4674</v>
      </c>
      <c r="C891" t="s">
        <v>4673</v>
      </c>
      <c r="D891" t="s">
        <v>192</v>
      </c>
      <c r="E891" t="s">
        <v>192</v>
      </c>
    </row>
    <row r="892" spans="1:5">
      <c r="A892" t="s">
        <v>4462</v>
      </c>
      <c r="B892" t="s">
        <v>4463</v>
      </c>
      <c r="C892" t="s">
        <v>4462</v>
      </c>
      <c r="D892" t="s">
        <v>192</v>
      </c>
      <c r="E892" t="s">
        <v>192</v>
      </c>
    </row>
    <row r="893" spans="1:5">
      <c r="A893" t="s">
        <v>5192</v>
      </c>
      <c r="B893" t="s">
        <v>5193</v>
      </c>
      <c r="C893" t="s">
        <v>5192</v>
      </c>
      <c r="D893" t="s">
        <v>192</v>
      </c>
      <c r="E893" t="s">
        <v>192</v>
      </c>
    </row>
    <row r="894" spans="1:5">
      <c r="A894" t="s">
        <v>4460</v>
      </c>
      <c r="B894" t="s">
        <v>4461</v>
      </c>
      <c r="C894" t="s">
        <v>4460</v>
      </c>
      <c r="D894" t="s">
        <v>192</v>
      </c>
      <c r="E894" t="s">
        <v>192</v>
      </c>
    </row>
    <row r="895" spans="1:5">
      <c r="A895" t="s">
        <v>4458</v>
      </c>
      <c r="B895" t="s">
        <v>4459</v>
      </c>
      <c r="C895" t="s">
        <v>4458</v>
      </c>
      <c r="D895" t="s">
        <v>192</v>
      </c>
      <c r="E895" t="s">
        <v>192</v>
      </c>
    </row>
    <row r="896" spans="1:5">
      <c r="A896" t="s">
        <v>6605</v>
      </c>
      <c r="B896" t="s">
        <v>6606</v>
      </c>
      <c r="C896" t="s">
        <v>6605</v>
      </c>
      <c r="D896" t="s">
        <v>192</v>
      </c>
      <c r="E896" t="s">
        <v>192</v>
      </c>
    </row>
    <row r="897" spans="1:5">
      <c r="A897" t="s">
        <v>6607</v>
      </c>
      <c r="B897" t="s">
        <v>6608</v>
      </c>
      <c r="C897" t="s">
        <v>6607</v>
      </c>
      <c r="D897" t="s">
        <v>192</v>
      </c>
      <c r="E897" t="s">
        <v>192</v>
      </c>
    </row>
    <row r="898" spans="1:5">
      <c r="A898" t="s">
        <v>6609</v>
      </c>
      <c r="B898" t="s">
        <v>6610</v>
      </c>
      <c r="C898" t="s">
        <v>6609</v>
      </c>
      <c r="D898" t="s">
        <v>192</v>
      </c>
      <c r="E898" t="s">
        <v>192</v>
      </c>
    </row>
    <row r="899" spans="1:5">
      <c r="A899" t="s">
        <v>6611</v>
      </c>
      <c r="B899" t="s">
        <v>6612</v>
      </c>
      <c r="C899" t="s">
        <v>6611</v>
      </c>
      <c r="D899" t="s">
        <v>192</v>
      </c>
      <c r="E899" t="s">
        <v>192</v>
      </c>
    </row>
    <row r="900" spans="1:5">
      <c r="A900" t="s">
        <v>4456</v>
      </c>
      <c r="B900" t="s">
        <v>4457</v>
      </c>
      <c r="C900" t="s">
        <v>4456</v>
      </c>
      <c r="D900" t="s">
        <v>192</v>
      </c>
      <c r="E900" t="s">
        <v>192</v>
      </c>
    </row>
    <row r="901" spans="1:5">
      <c r="A901" t="s">
        <v>6613</v>
      </c>
      <c r="B901" t="s">
        <v>6614</v>
      </c>
      <c r="C901" t="s">
        <v>6613</v>
      </c>
      <c r="D901" t="s">
        <v>192</v>
      </c>
      <c r="E901" t="s">
        <v>192</v>
      </c>
    </row>
    <row r="902" spans="1:5">
      <c r="A902" t="s">
        <v>3882</v>
      </c>
      <c r="B902" t="s">
        <v>3883</v>
      </c>
      <c r="C902" t="s">
        <v>3882</v>
      </c>
      <c r="D902" t="s">
        <v>192</v>
      </c>
      <c r="E902" t="s">
        <v>192</v>
      </c>
    </row>
    <row r="903" spans="1:5">
      <c r="A903" t="s">
        <v>6615</v>
      </c>
      <c r="B903" t="s">
        <v>6616</v>
      </c>
      <c r="C903" t="s">
        <v>6615</v>
      </c>
      <c r="D903" t="s">
        <v>192</v>
      </c>
      <c r="E903" t="s">
        <v>192</v>
      </c>
    </row>
    <row r="904" spans="1:5">
      <c r="A904" t="s">
        <v>6617</v>
      </c>
      <c r="B904" t="s">
        <v>6618</v>
      </c>
      <c r="C904" t="s">
        <v>6617</v>
      </c>
      <c r="D904" t="s">
        <v>192</v>
      </c>
      <c r="E904" t="s">
        <v>192</v>
      </c>
    </row>
    <row r="905" spans="1:5">
      <c r="A905" t="s">
        <v>6619</v>
      </c>
      <c r="B905" t="s">
        <v>6620</v>
      </c>
      <c r="C905" t="s">
        <v>6619</v>
      </c>
      <c r="D905" t="s">
        <v>192</v>
      </c>
      <c r="E905" t="s">
        <v>192</v>
      </c>
    </row>
    <row r="906" spans="1:5">
      <c r="A906" t="s">
        <v>6621</v>
      </c>
      <c r="B906" t="s">
        <v>6622</v>
      </c>
      <c r="C906" t="s">
        <v>6621</v>
      </c>
      <c r="D906" t="s">
        <v>192</v>
      </c>
      <c r="E906" t="s">
        <v>192</v>
      </c>
    </row>
    <row r="907" spans="1:5">
      <c r="A907" t="s">
        <v>6623</v>
      </c>
      <c r="B907" t="s">
        <v>6624</v>
      </c>
      <c r="C907" t="s">
        <v>6623</v>
      </c>
      <c r="D907" t="s">
        <v>192</v>
      </c>
      <c r="E907" t="s">
        <v>192</v>
      </c>
    </row>
    <row r="908" spans="1:5">
      <c r="A908" t="s">
        <v>3851</v>
      </c>
      <c r="B908" t="s">
        <v>3852</v>
      </c>
      <c r="C908" t="s">
        <v>3851</v>
      </c>
      <c r="D908" t="s">
        <v>192</v>
      </c>
      <c r="E908" t="s">
        <v>192</v>
      </c>
    </row>
    <row r="909" spans="1:5">
      <c r="A909" t="s">
        <v>5196</v>
      </c>
      <c r="B909" t="s">
        <v>5197</v>
      </c>
      <c r="C909" t="s">
        <v>5196</v>
      </c>
      <c r="D909" t="s">
        <v>192</v>
      </c>
      <c r="E909" t="s">
        <v>192</v>
      </c>
    </row>
    <row r="910" spans="1:5">
      <c r="A910" t="s">
        <v>4398</v>
      </c>
      <c r="B910" t="s">
        <v>4399</v>
      </c>
      <c r="C910" t="s">
        <v>4398</v>
      </c>
      <c r="D910" t="s">
        <v>192</v>
      </c>
      <c r="E910" t="s">
        <v>192</v>
      </c>
    </row>
    <row r="911" spans="1:5">
      <c r="A911" t="s">
        <v>6214</v>
      </c>
      <c r="B911" t="s">
        <v>6215</v>
      </c>
      <c r="C911" t="s">
        <v>6214</v>
      </c>
      <c r="D911" t="s">
        <v>192</v>
      </c>
      <c r="E911" t="s">
        <v>192</v>
      </c>
    </row>
    <row r="912" spans="1:5">
      <c r="A912" t="s">
        <v>6150</v>
      </c>
      <c r="B912" t="s">
        <v>6151</v>
      </c>
      <c r="C912" t="s">
        <v>6150</v>
      </c>
      <c r="D912" t="s">
        <v>192</v>
      </c>
      <c r="E912" t="s">
        <v>192</v>
      </c>
    </row>
    <row r="913" spans="1:5">
      <c r="A913" t="s">
        <v>4396</v>
      </c>
      <c r="B913" t="s">
        <v>4397</v>
      </c>
      <c r="C913" t="s">
        <v>4396</v>
      </c>
      <c r="D913" t="s">
        <v>192</v>
      </c>
      <c r="E913" t="s">
        <v>192</v>
      </c>
    </row>
    <row r="914" spans="1:5">
      <c r="A914" t="s">
        <v>6625</v>
      </c>
      <c r="B914" t="s">
        <v>6626</v>
      </c>
      <c r="C914" t="s">
        <v>6625</v>
      </c>
      <c r="D914" t="s">
        <v>192</v>
      </c>
      <c r="E914" t="s">
        <v>192</v>
      </c>
    </row>
    <row r="915" spans="1:5">
      <c r="A915" t="s">
        <v>4394</v>
      </c>
      <c r="B915" t="s">
        <v>4395</v>
      </c>
      <c r="C915" t="s">
        <v>4394</v>
      </c>
      <c r="D915" t="s">
        <v>192</v>
      </c>
      <c r="E915" t="s">
        <v>192</v>
      </c>
    </row>
    <row r="916" spans="1:5">
      <c r="A916" t="s">
        <v>6627</v>
      </c>
      <c r="B916" t="s">
        <v>6628</v>
      </c>
      <c r="C916" t="s">
        <v>6627</v>
      </c>
      <c r="D916" t="s">
        <v>192</v>
      </c>
      <c r="E916" t="s">
        <v>192</v>
      </c>
    </row>
    <row r="917" spans="1:5">
      <c r="A917" t="s">
        <v>6629</v>
      </c>
      <c r="B917" t="s">
        <v>6630</v>
      </c>
      <c r="C917" t="s">
        <v>6629</v>
      </c>
      <c r="D917" t="s">
        <v>192</v>
      </c>
      <c r="E917" t="s">
        <v>192</v>
      </c>
    </row>
    <row r="918" spans="1:5">
      <c r="A918" t="s">
        <v>6631</v>
      </c>
      <c r="B918" t="s">
        <v>6632</v>
      </c>
      <c r="C918" t="s">
        <v>6631</v>
      </c>
      <c r="D918" t="s">
        <v>192</v>
      </c>
      <c r="E918" t="s">
        <v>192</v>
      </c>
    </row>
    <row r="919" spans="1:5">
      <c r="A919" t="s">
        <v>6633</v>
      </c>
      <c r="B919" t="s">
        <v>6634</v>
      </c>
      <c r="C919" t="s">
        <v>6633</v>
      </c>
      <c r="D919" t="s">
        <v>192</v>
      </c>
      <c r="E919" t="s">
        <v>192</v>
      </c>
    </row>
    <row r="920" spans="1:5">
      <c r="A920" t="s">
        <v>4392</v>
      </c>
      <c r="B920" t="s">
        <v>4393</v>
      </c>
      <c r="C920" t="s">
        <v>4392</v>
      </c>
      <c r="D920" t="s">
        <v>192</v>
      </c>
      <c r="E920" t="s">
        <v>192</v>
      </c>
    </row>
    <row r="921" spans="1:5">
      <c r="A921" t="s">
        <v>4390</v>
      </c>
      <c r="B921" t="s">
        <v>4391</v>
      </c>
      <c r="C921" t="s">
        <v>4390</v>
      </c>
      <c r="D921" t="s">
        <v>192</v>
      </c>
      <c r="E921" t="s">
        <v>192</v>
      </c>
    </row>
    <row r="922" spans="1:5">
      <c r="A922" t="s">
        <v>4388</v>
      </c>
      <c r="B922" t="s">
        <v>4389</v>
      </c>
      <c r="C922" t="s">
        <v>4388</v>
      </c>
      <c r="D922" t="s">
        <v>192</v>
      </c>
      <c r="E922" t="s">
        <v>192</v>
      </c>
    </row>
    <row r="923" spans="1:5">
      <c r="A923" t="s">
        <v>4047</v>
      </c>
      <c r="B923" t="s">
        <v>4048</v>
      </c>
      <c r="C923" t="s">
        <v>4047</v>
      </c>
      <c r="D923" t="s">
        <v>192</v>
      </c>
      <c r="E923" t="s">
        <v>192</v>
      </c>
    </row>
    <row r="924" spans="1:5">
      <c r="A924" t="s">
        <v>4129</v>
      </c>
      <c r="B924" t="s">
        <v>4130</v>
      </c>
      <c r="C924" t="s">
        <v>4129</v>
      </c>
      <c r="D924" t="s">
        <v>192</v>
      </c>
      <c r="E924" t="s">
        <v>192</v>
      </c>
    </row>
    <row r="925" spans="1:5">
      <c r="A925" t="s">
        <v>4386</v>
      </c>
      <c r="B925" t="s">
        <v>4387</v>
      </c>
      <c r="C925" t="s">
        <v>4386</v>
      </c>
      <c r="D925" t="s">
        <v>192</v>
      </c>
      <c r="E925" t="s">
        <v>192</v>
      </c>
    </row>
    <row r="926" spans="1:5">
      <c r="A926" t="s">
        <v>3870</v>
      </c>
      <c r="B926" t="s">
        <v>3871</v>
      </c>
      <c r="C926" t="s">
        <v>3870</v>
      </c>
      <c r="D926" t="s">
        <v>192</v>
      </c>
      <c r="E926" t="s">
        <v>192</v>
      </c>
    </row>
    <row r="927" spans="1:5">
      <c r="A927" t="s">
        <v>3963</v>
      </c>
      <c r="B927" t="s">
        <v>3964</v>
      </c>
      <c r="C927" t="s">
        <v>3963</v>
      </c>
      <c r="D927" t="s">
        <v>192</v>
      </c>
      <c r="E927" t="s">
        <v>192</v>
      </c>
    </row>
    <row r="928" spans="1:5">
      <c r="A928" t="s">
        <v>4384</v>
      </c>
      <c r="B928" t="s">
        <v>4385</v>
      </c>
      <c r="C928" t="s">
        <v>4384</v>
      </c>
      <c r="D928" t="s">
        <v>192</v>
      </c>
      <c r="E928" t="s">
        <v>192</v>
      </c>
    </row>
    <row r="929" spans="1:5">
      <c r="A929" t="s">
        <v>6635</v>
      </c>
      <c r="B929" t="s">
        <v>6636</v>
      </c>
      <c r="C929" t="s">
        <v>6635</v>
      </c>
      <c r="D929" t="s">
        <v>192</v>
      </c>
      <c r="E929" t="s">
        <v>192</v>
      </c>
    </row>
    <row r="930" spans="1:5">
      <c r="A930" t="s">
        <v>6637</v>
      </c>
      <c r="B930" t="s">
        <v>6638</v>
      </c>
      <c r="C930" t="s">
        <v>6637</v>
      </c>
      <c r="D930" t="s">
        <v>192</v>
      </c>
      <c r="E930" t="s">
        <v>192</v>
      </c>
    </row>
    <row r="931" spans="1:5">
      <c r="A931" t="s">
        <v>6639</v>
      </c>
      <c r="B931" t="s">
        <v>6640</v>
      </c>
      <c r="C931" t="s">
        <v>6639</v>
      </c>
      <c r="D931" t="s">
        <v>192</v>
      </c>
      <c r="E931" t="s">
        <v>192</v>
      </c>
    </row>
    <row r="932" spans="1:5">
      <c r="A932" t="s">
        <v>6641</v>
      </c>
      <c r="B932" t="s">
        <v>6642</v>
      </c>
      <c r="C932" t="s">
        <v>6641</v>
      </c>
      <c r="D932" t="s">
        <v>192</v>
      </c>
      <c r="E932" t="s">
        <v>192</v>
      </c>
    </row>
    <row r="933" spans="1:5">
      <c r="A933" t="s">
        <v>6643</v>
      </c>
      <c r="B933" t="s">
        <v>6644</v>
      </c>
      <c r="C933" t="s">
        <v>6643</v>
      </c>
      <c r="D933" t="s">
        <v>192</v>
      </c>
      <c r="E933" t="s">
        <v>192</v>
      </c>
    </row>
    <row r="934" spans="1:5">
      <c r="A934" t="s">
        <v>6645</v>
      </c>
      <c r="B934" t="s">
        <v>6646</v>
      </c>
      <c r="C934" t="s">
        <v>6645</v>
      </c>
      <c r="D934" t="s">
        <v>192</v>
      </c>
      <c r="E934" t="s">
        <v>192</v>
      </c>
    </row>
    <row r="935" spans="1:5">
      <c r="A935" t="s">
        <v>6647</v>
      </c>
      <c r="B935" t="s">
        <v>6648</v>
      </c>
      <c r="C935" t="s">
        <v>6647</v>
      </c>
      <c r="D935" t="s">
        <v>192</v>
      </c>
      <c r="E935" t="s">
        <v>192</v>
      </c>
    </row>
    <row r="936" spans="1:5">
      <c r="A936" t="s">
        <v>6649</v>
      </c>
      <c r="B936" t="s">
        <v>6650</v>
      </c>
      <c r="C936" t="s">
        <v>6649</v>
      </c>
      <c r="D936" t="s">
        <v>192</v>
      </c>
      <c r="E936" t="s">
        <v>192</v>
      </c>
    </row>
    <row r="937" spans="1:5">
      <c r="A937" t="s">
        <v>6651</v>
      </c>
      <c r="B937" t="s">
        <v>6652</v>
      </c>
      <c r="C937" t="s">
        <v>6651</v>
      </c>
      <c r="D937" t="s">
        <v>192</v>
      </c>
      <c r="E937" t="s">
        <v>192</v>
      </c>
    </row>
    <row r="938" spans="1:5">
      <c r="A938" t="s">
        <v>6653</v>
      </c>
      <c r="B938" t="s">
        <v>6654</v>
      </c>
      <c r="C938" t="s">
        <v>6653</v>
      </c>
      <c r="D938" t="s">
        <v>192</v>
      </c>
      <c r="E938" t="s">
        <v>192</v>
      </c>
    </row>
    <row r="939" spans="1:5">
      <c r="A939" t="s">
        <v>6655</v>
      </c>
      <c r="B939" t="s">
        <v>6656</v>
      </c>
      <c r="C939" t="s">
        <v>6655</v>
      </c>
      <c r="D939" t="s">
        <v>192</v>
      </c>
      <c r="E939" t="s">
        <v>192</v>
      </c>
    </row>
    <row r="940" spans="1:5">
      <c r="A940" t="s">
        <v>6657</v>
      </c>
      <c r="B940" t="s">
        <v>6658</v>
      </c>
      <c r="C940" t="s">
        <v>6657</v>
      </c>
      <c r="D940" t="s">
        <v>192</v>
      </c>
      <c r="E940" t="s">
        <v>192</v>
      </c>
    </row>
    <row r="941" spans="1:5">
      <c r="A941" t="s">
        <v>6659</v>
      </c>
      <c r="B941" t="s">
        <v>6660</v>
      </c>
      <c r="C941" t="s">
        <v>6659</v>
      </c>
      <c r="D941" t="s">
        <v>192</v>
      </c>
      <c r="E941" t="s">
        <v>192</v>
      </c>
    </row>
    <row r="942" spans="1:5">
      <c r="A942" t="s">
        <v>6661</v>
      </c>
      <c r="B942" t="s">
        <v>6662</v>
      </c>
      <c r="C942" t="s">
        <v>6661</v>
      </c>
      <c r="D942" t="s">
        <v>192</v>
      </c>
      <c r="E942" t="s">
        <v>192</v>
      </c>
    </row>
    <row r="943" spans="1:5">
      <c r="A943" t="s">
        <v>4455</v>
      </c>
      <c r="B943" t="s">
        <v>6663</v>
      </c>
      <c r="C943" t="s">
        <v>4455</v>
      </c>
      <c r="D943" t="s">
        <v>192</v>
      </c>
      <c r="E943" t="s">
        <v>192</v>
      </c>
    </row>
    <row r="944" spans="1:5">
      <c r="A944" t="s">
        <v>6222</v>
      </c>
      <c r="B944" t="s">
        <v>6664</v>
      </c>
      <c r="C944" t="s">
        <v>6222</v>
      </c>
      <c r="D944" t="s">
        <v>192</v>
      </c>
      <c r="E944" t="s">
        <v>192</v>
      </c>
    </row>
    <row r="945" spans="1:5">
      <c r="A945" t="s">
        <v>4454</v>
      </c>
      <c r="B945" t="s">
        <v>6665</v>
      </c>
      <c r="C945" t="s">
        <v>4454</v>
      </c>
      <c r="D945" t="s">
        <v>192</v>
      </c>
      <c r="E945" t="s">
        <v>192</v>
      </c>
    </row>
    <row r="946" spans="1:5">
      <c r="A946" t="s">
        <v>4707</v>
      </c>
      <c r="B946" t="s">
        <v>6666</v>
      </c>
      <c r="C946" t="s">
        <v>4707</v>
      </c>
      <c r="D946" t="s">
        <v>192</v>
      </c>
      <c r="E946" t="s">
        <v>192</v>
      </c>
    </row>
    <row r="947" spans="1:5">
      <c r="A947" t="s">
        <v>4453</v>
      </c>
      <c r="B947" t="s">
        <v>6667</v>
      </c>
      <c r="C947" t="s">
        <v>4453</v>
      </c>
      <c r="D947" t="s">
        <v>192</v>
      </c>
      <c r="E947" t="s">
        <v>192</v>
      </c>
    </row>
    <row r="948" spans="1:5">
      <c r="A948" t="s">
        <v>4660</v>
      </c>
      <c r="B948" t="s">
        <v>6668</v>
      </c>
      <c r="C948" t="s">
        <v>4660</v>
      </c>
      <c r="D948" t="s">
        <v>192</v>
      </c>
      <c r="E948" t="s">
        <v>192</v>
      </c>
    </row>
    <row r="949" spans="1:5">
      <c r="A949" t="s">
        <v>4452</v>
      </c>
      <c r="B949" t="s">
        <v>6669</v>
      </c>
      <c r="C949" t="s">
        <v>4452</v>
      </c>
      <c r="D949" t="s">
        <v>192</v>
      </c>
      <c r="E949" t="s">
        <v>192</v>
      </c>
    </row>
    <row r="950" spans="1:5">
      <c r="A950" t="s">
        <v>4451</v>
      </c>
      <c r="B950" t="s">
        <v>6670</v>
      </c>
      <c r="C950" t="s">
        <v>4451</v>
      </c>
      <c r="D950" t="s">
        <v>192</v>
      </c>
      <c r="E950" t="s">
        <v>192</v>
      </c>
    </row>
    <row r="951" spans="1:5">
      <c r="A951" t="s">
        <v>6032</v>
      </c>
      <c r="B951" t="s">
        <v>6671</v>
      </c>
      <c r="C951" t="s">
        <v>6032</v>
      </c>
      <c r="D951" t="s">
        <v>192</v>
      </c>
      <c r="E951" t="s">
        <v>192</v>
      </c>
    </row>
    <row r="952" spans="1:5">
      <c r="A952" t="s">
        <v>5371</v>
      </c>
      <c r="B952" t="s">
        <v>6672</v>
      </c>
      <c r="C952" t="s">
        <v>5371</v>
      </c>
      <c r="D952" t="s">
        <v>192</v>
      </c>
      <c r="E952" t="s">
        <v>192</v>
      </c>
    </row>
    <row r="953" spans="1:5">
      <c r="A953" t="s">
        <v>4450</v>
      </c>
      <c r="B953" t="s">
        <v>6673</v>
      </c>
      <c r="C953" t="s">
        <v>4450</v>
      </c>
      <c r="D953" t="s">
        <v>192</v>
      </c>
      <c r="E953" t="s">
        <v>192</v>
      </c>
    </row>
    <row r="954" spans="1:5">
      <c r="A954" t="s">
        <v>6245</v>
      </c>
      <c r="B954" t="s">
        <v>6674</v>
      </c>
      <c r="C954" t="s">
        <v>6245</v>
      </c>
      <c r="D954" t="s">
        <v>192</v>
      </c>
      <c r="E954" t="s">
        <v>192</v>
      </c>
    </row>
    <row r="955" spans="1:5">
      <c r="A955" t="s">
        <v>5281</v>
      </c>
      <c r="B955" t="s">
        <v>6675</v>
      </c>
      <c r="C955" t="s">
        <v>5281</v>
      </c>
      <c r="D955" t="s">
        <v>192</v>
      </c>
      <c r="E955" t="s">
        <v>192</v>
      </c>
    </row>
    <row r="956" spans="1:5">
      <c r="A956" t="s">
        <v>6049</v>
      </c>
      <c r="B956" t="s">
        <v>6676</v>
      </c>
      <c r="C956" t="s">
        <v>6049</v>
      </c>
      <c r="D956" t="s">
        <v>192</v>
      </c>
      <c r="E956" t="s">
        <v>192</v>
      </c>
    </row>
    <row r="957" spans="1:5">
      <c r="A957" t="s">
        <v>4583</v>
      </c>
      <c r="B957" t="s">
        <v>6677</v>
      </c>
      <c r="C957" t="s">
        <v>4583</v>
      </c>
      <c r="D957" t="s">
        <v>192</v>
      </c>
      <c r="E957" t="s">
        <v>192</v>
      </c>
    </row>
    <row r="958" spans="1:5">
      <c r="A958" t="s">
        <v>6033</v>
      </c>
      <c r="B958" t="s">
        <v>6678</v>
      </c>
      <c r="C958" t="s">
        <v>6033</v>
      </c>
      <c r="D958" t="s">
        <v>192</v>
      </c>
      <c r="E958" t="s">
        <v>192</v>
      </c>
    </row>
    <row r="959" spans="1:5">
      <c r="A959" t="s">
        <v>4449</v>
      </c>
      <c r="B959" t="s">
        <v>6679</v>
      </c>
      <c r="C959" t="s">
        <v>4449</v>
      </c>
      <c r="D959" t="s">
        <v>192</v>
      </c>
      <c r="E959" t="s">
        <v>192</v>
      </c>
    </row>
    <row r="960" spans="1:5">
      <c r="A960" t="s">
        <v>4448</v>
      </c>
      <c r="B960" t="s">
        <v>6680</v>
      </c>
      <c r="C960" t="s">
        <v>4448</v>
      </c>
      <c r="D960" t="s">
        <v>192</v>
      </c>
      <c r="E960" t="s">
        <v>192</v>
      </c>
    </row>
    <row r="961" spans="1:5">
      <c r="A961" t="s">
        <v>4447</v>
      </c>
      <c r="B961" t="s">
        <v>6681</v>
      </c>
      <c r="C961" t="s">
        <v>4447</v>
      </c>
      <c r="D961" t="s">
        <v>192</v>
      </c>
      <c r="E961" t="s">
        <v>192</v>
      </c>
    </row>
    <row r="962" spans="1:5">
      <c r="A962" t="s">
        <v>6682</v>
      </c>
      <c r="B962" t="s">
        <v>6683</v>
      </c>
      <c r="C962" t="s">
        <v>6682</v>
      </c>
      <c r="D962" t="s">
        <v>192</v>
      </c>
      <c r="E962" t="s">
        <v>192</v>
      </c>
    </row>
    <row r="963" spans="1:5">
      <c r="A963" t="s">
        <v>6684</v>
      </c>
      <c r="B963" t="s">
        <v>6685</v>
      </c>
      <c r="C963" t="s">
        <v>6684</v>
      </c>
      <c r="D963" t="s">
        <v>192</v>
      </c>
      <c r="E963" t="s">
        <v>192</v>
      </c>
    </row>
    <row r="964" spans="1:5">
      <c r="A964" t="s">
        <v>4049</v>
      </c>
      <c r="B964" t="s">
        <v>6686</v>
      </c>
      <c r="C964" t="s">
        <v>4049</v>
      </c>
      <c r="D964" t="s">
        <v>192</v>
      </c>
      <c r="E964" t="s">
        <v>192</v>
      </c>
    </row>
    <row r="965" spans="1:5">
      <c r="A965" t="s">
        <v>4446</v>
      </c>
      <c r="B965" t="s">
        <v>6687</v>
      </c>
      <c r="C965" t="s">
        <v>4446</v>
      </c>
      <c r="D965" t="s">
        <v>192</v>
      </c>
      <c r="E965" t="s">
        <v>192</v>
      </c>
    </row>
    <row r="966" spans="1:5">
      <c r="A966" t="s">
        <v>4445</v>
      </c>
      <c r="B966" t="s">
        <v>6688</v>
      </c>
      <c r="C966" t="s">
        <v>4445</v>
      </c>
      <c r="D966" t="s">
        <v>192</v>
      </c>
      <c r="E966" t="s">
        <v>192</v>
      </c>
    </row>
    <row r="967" spans="1:5">
      <c r="A967" t="s">
        <v>4444</v>
      </c>
      <c r="B967" t="s">
        <v>6689</v>
      </c>
      <c r="C967" t="s">
        <v>4444</v>
      </c>
      <c r="D967" t="s">
        <v>192</v>
      </c>
      <c r="E967" t="s">
        <v>192</v>
      </c>
    </row>
    <row r="968" spans="1:5">
      <c r="A968" t="s">
        <v>6097</v>
      </c>
      <c r="B968" t="s">
        <v>6690</v>
      </c>
      <c r="C968" t="s">
        <v>6097</v>
      </c>
      <c r="D968" t="s">
        <v>192</v>
      </c>
      <c r="E968" t="s">
        <v>192</v>
      </c>
    </row>
    <row r="969" spans="1:5">
      <c r="A969" t="s">
        <v>5882</v>
      </c>
      <c r="B969" t="s">
        <v>5779</v>
      </c>
      <c r="C969" t="s">
        <v>5882</v>
      </c>
      <c r="D969" t="s">
        <v>192</v>
      </c>
      <c r="E969" t="s">
        <v>192</v>
      </c>
    </row>
    <row r="970" spans="1:5">
      <c r="A970" t="s">
        <v>5778</v>
      </c>
      <c r="B970" t="s">
        <v>5779</v>
      </c>
      <c r="C970" t="s">
        <v>5778</v>
      </c>
      <c r="D970" t="s">
        <v>192</v>
      </c>
      <c r="E970" t="s">
        <v>192</v>
      </c>
    </row>
    <row r="971" spans="1:5">
      <c r="A971" t="s">
        <v>3236</v>
      </c>
      <c r="B971" t="s">
        <v>3237</v>
      </c>
      <c r="C971" t="s">
        <v>3236</v>
      </c>
      <c r="D971" t="s">
        <v>192</v>
      </c>
      <c r="E971" t="s">
        <v>192</v>
      </c>
    </row>
    <row r="972" spans="1:5">
      <c r="A972" t="s">
        <v>5420</v>
      </c>
      <c r="B972" t="s">
        <v>5421</v>
      </c>
      <c r="C972" t="s">
        <v>5420</v>
      </c>
      <c r="D972" t="s">
        <v>192</v>
      </c>
      <c r="E972" t="s">
        <v>192</v>
      </c>
    </row>
    <row r="973" spans="1:5">
      <c r="A973" t="s">
        <v>6286</v>
      </c>
      <c r="B973" t="s">
        <v>5421</v>
      </c>
      <c r="C973" t="s">
        <v>6286</v>
      </c>
      <c r="D973" t="s">
        <v>192</v>
      </c>
      <c r="E973" t="s">
        <v>192</v>
      </c>
    </row>
    <row r="974" spans="1:5">
      <c r="A974" t="s">
        <v>6691</v>
      </c>
      <c r="B974" t="s">
        <v>6692</v>
      </c>
      <c r="C974" t="s">
        <v>6691</v>
      </c>
      <c r="D974" t="s">
        <v>192</v>
      </c>
      <c r="E974" t="s">
        <v>192</v>
      </c>
    </row>
    <row r="975" spans="1:5">
      <c r="A975" t="s">
        <v>6693</v>
      </c>
      <c r="B975" t="s">
        <v>6694</v>
      </c>
      <c r="C975" t="s">
        <v>6693</v>
      </c>
      <c r="D975" t="s">
        <v>192</v>
      </c>
      <c r="E975" t="s">
        <v>192</v>
      </c>
    </row>
    <row r="976" spans="1:5">
      <c r="A976" t="s">
        <v>6695</v>
      </c>
      <c r="B976" t="s">
        <v>6696</v>
      </c>
      <c r="C976" t="s">
        <v>6695</v>
      </c>
      <c r="D976" t="s">
        <v>192</v>
      </c>
      <c r="E976" t="s">
        <v>192</v>
      </c>
    </row>
    <row r="977" spans="1:5">
      <c r="A977" t="s">
        <v>6697</v>
      </c>
      <c r="B977" t="s">
        <v>6698</v>
      </c>
      <c r="C977" t="s">
        <v>6697</v>
      </c>
      <c r="D977" t="s">
        <v>192</v>
      </c>
      <c r="E977" t="s">
        <v>192</v>
      </c>
    </row>
    <row r="978" spans="1:5">
      <c r="A978" t="s">
        <v>6699</v>
      </c>
      <c r="B978" t="s">
        <v>6700</v>
      </c>
      <c r="C978" t="s">
        <v>6699</v>
      </c>
      <c r="D978" t="s">
        <v>192</v>
      </c>
      <c r="E978" t="s">
        <v>192</v>
      </c>
    </row>
    <row r="979" spans="1:5">
      <c r="A979" t="s">
        <v>6701</v>
      </c>
      <c r="B979" t="s">
        <v>6702</v>
      </c>
      <c r="C979" t="s">
        <v>6701</v>
      </c>
      <c r="D979" t="s">
        <v>192</v>
      </c>
      <c r="E979" t="s">
        <v>192</v>
      </c>
    </row>
    <row r="980" spans="1:5">
      <c r="A980" t="s">
        <v>6703</v>
      </c>
      <c r="B980" t="s">
        <v>6704</v>
      </c>
      <c r="C980" t="s">
        <v>6703</v>
      </c>
      <c r="D980" t="s">
        <v>192</v>
      </c>
      <c r="E980" t="s">
        <v>192</v>
      </c>
    </row>
    <row r="981" spans="1:5">
      <c r="A981" t="s">
        <v>6705</v>
      </c>
      <c r="B981" t="s">
        <v>6706</v>
      </c>
      <c r="C981" t="s">
        <v>6705</v>
      </c>
      <c r="D981" t="s">
        <v>192</v>
      </c>
      <c r="E981" t="s">
        <v>192</v>
      </c>
    </row>
    <row r="982" spans="1:5">
      <c r="A982" t="s">
        <v>6707</v>
      </c>
      <c r="B982" t="s">
        <v>6708</v>
      </c>
      <c r="C982" t="s">
        <v>6707</v>
      </c>
      <c r="D982" t="s">
        <v>192</v>
      </c>
      <c r="E982" t="s">
        <v>192</v>
      </c>
    </row>
    <row r="983" spans="1:5">
      <c r="A983" t="s">
        <v>6709</v>
      </c>
      <c r="B983" t="s">
        <v>6710</v>
      </c>
      <c r="C983" t="s">
        <v>6709</v>
      </c>
      <c r="D983" t="s">
        <v>192</v>
      </c>
      <c r="E983" t="s">
        <v>192</v>
      </c>
    </row>
    <row r="984" spans="1:5">
      <c r="A984" t="s">
        <v>6711</v>
      </c>
      <c r="B984" t="s">
        <v>6712</v>
      </c>
      <c r="C984" t="s">
        <v>6711</v>
      </c>
      <c r="D984" t="s">
        <v>192</v>
      </c>
      <c r="E984" t="s">
        <v>192</v>
      </c>
    </row>
    <row r="985" spans="1:5">
      <c r="A985" t="s">
        <v>5103</v>
      </c>
      <c r="B985" t="s">
        <v>5104</v>
      </c>
      <c r="C985" t="s">
        <v>5103</v>
      </c>
      <c r="D985" t="s">
        <v>192</v>
      </c>
      <c r="E985" t="s">
        <v>192</v>
      </c>
    </row>
    <row r="986" spans="1:5">
      <c r="A986" t="s">
        <v>6713</v>
      </c>
      <c r="B986" t="s">
        <v>6714</v>
      </c>
      <c r="C986" t="s">
        <v>6713</v>
      </c>
      <c r="D986" t="s">
        <v>192</v>
      </c>
      <c r="E986" t="s">
        <v>192</v>
      </c>
    </row>
    <row r="987" spans="1:5">
      <c r="A987" t="s">
        <v>6715</v>
      </c>
      <c r="B987" t="s">
        <v>6716</v>
      </c>
      <c r="C987" t="s">
        <v>6715</v>
      </c>
      <c r="D987" t="s">
        <v>192</v>
      </c>
      <c r="E987" t="s">
        <v>192</v>
      </c>
    </row>
    <row r="988" spans="1:5">
      <c r="A988" t="s">
        <v>6717</v>
      </c>
      <c r="B988" t="s">
        <v>6718</v>
      </c>
      <c r="C988" t="s">
        <v>6717</v>
      </c>
      <c r="D988" t="s">
        <v>192</v>
      </c>
      <c r="E988" t="s">
        <v>192</v>
      </c>
    </row>
    <row r="989" spans="1:5">
      <c r="A989" t="s">
        <v>6719</v>
      </c>
      <c r="B989" t="s">
        <v>6720</v>
      </c>
      <c r="C989" t="s">
        <v>6719</v>
      </c>
      <c r="D989" t="s">
        <v>192</v>
      </c>
      <c r="E989" t="s">
        <v>192</v>
      </c>
    </row>
    <row r="990" spans="1:5">
      <c r="A990" t="s">
        <v>6721</v>
      </c>
      <c r="B990" t="s">
        <v>6722</v>
      </c>
      <c r="C990" t="s">
        <v>6721</v>
      </c>
      <c r="D990" t="s">
        <v>192</v>
      </c>
      <c r="E990" t="s">
        <v>192</v>
      </c>
    </row>
    <row r="991" spans="1:5">
      <c r="A991" t="s">
        <v>6723</v>
      </c>
      <c r="B991" t="s">
        <v>6724</v>
      </c>
      <c r="C991" t="s">
        <v>6723</v>
      </c>
      <c r="D991" t="s">
        <v>192</v>
      </c>
      <c r="E991" t="s">
        <v>192</v>
      </c>
    </row>
    <row r="992" spans="1:5">
      <c r="A992" t="s">
        <v>6725</v>
      </c>
      <c r="B992" t="s">
        <v>6726</v>
      </c>
      <c r="C992" t="s">
        <v>6725</v>
      </c>
      <c r="D992" t="s">
        <v>192</v>
      </c>
      <c r="E992" t="s">
        <v>192</v>
      </c>
    </row>
    <row r="993" spans="1:5">
      <c r="A993" t="s">
        <v>6727</v>
      </c>
      <c r="B993" t="s">
        <v>6728</v>
      </c>
      <c r="C993" t="s">
        <v>6727</v>
      </c>
      <c r="D993" t="s">
        <v>192</v>
      </c>
      <c r="E993" t="s">
        <v>192</v>
      </c>
    </row>
    <row r="994" spans="1:5">
      <c r="A994" t="s">
        <v>6729</v>
      </c>
      <c r="B994" t="s">
        <v>6730</v>
      </c>
      <c r="C994" t="s">
        <v>6729</v>
      </c>
      <c r="D994" t="s">
        <v>192</v>
      </c>
      <c r="E994" t="s">
        <v>192</v>
      </c>
    </row>
    <row r="995" spans="1:5">
      <c r="A995" t="s">
        <v>6731</v>
      </c>
      <c r="B995" t="s">
        <v>6732</v>
      </c>
      <c r="C995" t="s">
        <v>6731</v>
      </c>
      <c r="D995" t="s">
        <v>192</v>
      </c>
      <c r="E995" t="s">
        <v>192</v>
      </c>
    </row>
    <row r="996" spans="1:5">
      <c r="A996" t="s">
        <v>6733</v>
      </c>
      <c r="B996" t="s">
        <v>6734</v>
      </c>
      <c r="C996" t="s">
        <v>6733</v>
      </c>
      <c r="D996" t="s">
        <v>192</v>
      </c>
      <c r="E996" t="s">
        <v>192</v>
      </c>
    </row>
    <row r="997" spans="1:5">
      <c r="A997" t="s">
        <v>6735</v>
      </c>
      <c r="B997" t="s">
        <v>6736</v>
      </c>
      <c r="C997" t="s">
        <v>6735</v>
      </c>
      <c r="D997" t="s">
        <v>192</v>
      </c>
      <c r="E997" t="s">
        <v>192</v>
      </c>
    </row>
    <row r="998" spans="1:5">
      <c r="A998" t="s">
        <v>6737</v>
      </c>
      <c r="B998" t="s">
        <v>6738</v>
      </c>
      <c r="C998" t="s">
        <v>6737</v>
      </c>
      <c r="D998" t="s">
        <v>192</v>
      </c>
      <c r="E998" t="s">
        <v>192</v>
      </c>
    </row>
    <row r="999" spans="1:5">
      <c r="A999" t="s">
        <v>6739</v>
      </c>
      <c r="B999" t="s">
        <v>6740</v>
      </c>
      <c r="C999" t="s">
        <v>6739</v>
      </c>
      <c r="D999" t="s">
        <v>192</v>
      </c>
      <c r="E999" t="s">
        <v>192</v>
      </c>
    </row>
    <row r="1000" spans="1:5">
      <c r="A1000" t="s">
        <v>6741</v>
      </c>
      <c r="B1000" t="s">
        <v>6742</v>
      </c>
      <c r="C1000" t="s">
        <v>6741</v>
      </c>
      <c r="D1000" t="s">
        <v>192</v>
      </c>
      <c r="E1000" t="s">
        <v>192</v>
      </c>
    </row>
    <row r="1001" spans="1:5">
      <c r="A1001" t="s">
        <v>6743</v>
      </c>
      <c r="B1001" t="s">
        <v>6744</v>
      </c>
      <c r="C1001" t="s">
        <v>6743</v>
      </c>
      <c r="D1001" t="s">
        <v>192</v>
      </c>
      <c r="E1001" t="s">
        <v>192</v>
      </c>
    </row>
    <row r="1002" spans="1:5">
      <c r="A1002" t="s">
        <v>6745</v>
      </c>
      <c r="B1002" t="s">
        <v>6746</v>
      </c>
      <c r="C1002" t="s">
        <v>6745</v>
      </c>
      <c r="D1002" t="s">
        <v>192</v>
      </c>
      <c r="E1002" t="s">
        <v>192</v>
      </c>
    </row>
    <row r="1003" spans="1:5">
      <c r="A1003" t="s">
        <v>6747</v>
      </c>
      <c r="B1003" t="s">
        <v>6748</v>
      </c>
      <c r="C1003" t="s">
        <v>6747</v>
      </c>
      <c r="D1003" t="s">
        <v>192</v>
      </c>
      <c r="E1003" t="s">
        <v>192</v>
      </c>
    </row>
    <row r="1004" spans="1:5">
      <c r="A1004" t="s">
        <v>6749</v>
      </c>
      <c r="B1004" t="s">
        <v>6750</v>
      </c>
      <c r="C1004" t="s">
        <v>6749</v>
      </c>
      <c r="D1004" t="s">
        <v>192</v>
      </c>
      <c r="E1004" t="s">
        <v>192</v>
      </c>
    </row>
    <row r="1005" spans="1:5">
      <c r="A1005" t="s">
        <v>6751</v>
      </c>
      <c r="B1005" t="s">
        <v>6752</v>
      </c>
      <c r="C1005" t="s">
        <v>6751</v>
      </c>
      <c r="D1005" t="s">
        <v>192</v>
      </c>
      <c r="E1005" t="s">
        <v>192</v>
      </c>
    </row>
    <row r="1006" spans="1:5">
      <c r="A1006" t="s">
        <v>6753</v>
      </c>
      <c r="B1006" t="s">
        <v>6754</v>
      </c>
      <c r="C1006" t="s">
        <v>6753</v>
      </c>
      <c r="D1006" t="s">
        <v>192</v>
      </c>
      <c r="E1006" t="s">
        <v>192</v>
      </c>
    </row>
    <row r="1007" spans="1:5">
      <c r="A1007" t="s">
        <v>6755</v>
      </c>
      <c r="B1007" t="s">
        <v>6756</v>
      </c>
      <c r="C1007" t="s">
        <v>6755</v>
      </c>
      <c r="D1007" t="s">
        <v>192</v>
      </c>
      <c r="E1007" t="s">
        <v>192</v>
      </c>
    </row>
    <row r="1008" spans="1:5">
      <c r="A1008" t="s">
        <v>6757</v>
      </c>
      <c r="B1008" t="s">
        <v>6758</v>
      </c>
      <c r="C1008" t="s">
        <v>6757</v>
      </c>
      <c r="D1008" t="s">
        <v>192</v>
      </c>
      <c r="E1008" t="s">
        <v>192</v>
      </c>
    </row>
    <row r="1009" spans="1:5">
      <c r="A1009" t="s">
        <v>6759</v>
      </c>
      <c r="B1009" t="s">
        <v>6760</v>
      </c>
      <c r="C1009" t="s">
        <v>6759</v>
      </c>
      <c r="D1009" t="s">
        <v>192</v>
      </c>
      <c r="E1009" t="s">
        <v>192</v>
      </c>
    </row>
    <row r="1010" spans="1:5">
      <c r="A1010" t="s">
        <v>6761</v>
      </c>
      <c r="B1010" t="s">
        <v>6762</v>
      </c>
      <c r="C1010" t="s">
        <v>6761</v>
      </c>
      <c r="D1010" t="s">
        <v>192</v>
      </c>
      <c r="E1010" t="s">
        <v>192</v>
      </c>
    </row>
    <row r="1011" spans="1:5">
      <c r="A1011" t="s">
        <v>6763</v>
      </c>
      <c r="B1011" t="s">
        <v>6764</v>
      </c>
      <c r="C1011" t="s">
        <v>6763</v>
      </c>
      <c r="D1011" t="s">
        <v>192</v>
      </c>
      <c r="E1011" t="s">
        <v>192</v>
      </c>
    </row>
    <row r="1012" spans="1:5">
      <c r="A1012" t="s">
        <v>6765</v>
      </c>
      <c r="B1012" t="s">
        <v>6766</v>
      </c>
      <c r="C1012" t="s">
        <v>6765</v>
      </c>
      <c r="D1012" t="s">
        <v>192</v>
      </c>
      <c r="E1012" t="s">
        <v>192</v>
      </c>
    </row>
    <row r="1013" spans="1:5">
      <c r="A1013" t="s">
        <v>6767</v>
      </c>
      <c r="B1013" t="s">
        <v>6768</v>
      </c>
      <c r="C1013" t="s">
        <v>6767</v>
      </c>
      <c r="D1013" t="s">
        <v>192</v>
      </c>
      <c r="E1013" t="s">
        <v>192</v>
      </c>
    </row>
    <row r="1014" spans="1:5">
      <c r="A1014" t="s">
        <v>6769</v>
      </c>
      <c r="B1014" t="s">
        <v>6770</v>
      </c>
      <c r="C1014" t="s">
        <v>6769</v>
      </c>
      <c r="D1014" t="s">
        <v>192</v>
      </c>
      <c r="E1014" t="s">
        <v>192</v>
      </c>
    </row>
    <row r="1015" spans="1:5">
      <c r="A1015" t="s">
        <v>6771</v>
      </c>
      <c r="B1015" t="s">
        <v>6772</v>
      </c>
      <c r="C1015" t="s">
        <v>6771</v>
      </c>
      <c r="D1015" t="s">
        <v>192</v>
      </c>
      <c r="E1015" t="s">
        <v>192</v>
      </c>
    </row>
    <row r="1016" spans="1:5">
      <c r="A1016" t="s">
        <v>6773</v>
      </c>
      <c r="B1016" t="s">
        <v>6774</v>
      </c>
      <c r="C1016" t="s">
        <v>6773</v>
      </c>
      <c r="D1016" t="s">
        <v>192</v>
      </c>
      <c r="E1016" t="s">
        <v>192</v>
      </c>
    </row>
    <row r="1017" spans="1:5">
      <c r="A1017" t="s">
        <v>6775</v>
      </c>
      <c r="B1017" t="s">
        <v>6776</v>
      </c>
      <c r="C1017" t="s">
        <v>6775</v>
      </c>
      <c r="D1017" t="s">
        <v>192</v>
      </c>
      <c r="E1017" t="s">
        <v>192</v>
      </c>
    </row>
    <row r="1018" spans="1:5">
      <c r="A1018" t="s">
        <v>6777</v>
      </c>
      <c r="B1018" t="s">
        <v>6778</v>
      </c>
      <c r="C1018" t="s">
        <v>6777</v>
      </c>
      <c r="D1018" t="s">
        <v>192</v>
      </c>
      <c r="E1018" t="s">
        <v>192</v>
      </c>
    </row>
    <row r="1019" spans="1:5">
      <c r="A1019" t="s">
        <v>6779</v>
      </c>
      <c r="B1019" t="s">
        <v>6780</v>
      </c>
      <c r="C1019" t="s">
        <v>6779</v>
      </c>
      <c r="D1019" t="s">
        <v>192</v>
      </c>
      <c r="E1019" t="s">
        <v>192</v>
      </c>
    </row>
    <row r="1020" spans="1:5">
      <c r="A1020" t="s">
        <v>6781</v>
      </c>
      <c r="B1020" t="s">
        <v>6782</v>
      </c>
      <c r="C1020" t="s">
        <v>6781</v>
      </c>
      <c r="D1020" t="s">
        <v>192</v>
      </c>
      <c r="E1020" t="s">
        <v>192</v>
      </c>
    </row>
    <row r="1021" spans="1:5">
      <c r="A1021" t="s">
        <v>6783</v>
      </c>
      <c r="B1021" t="s">
        <v>6784</v>
      </c>
      <c r="C1021" t="s">
        <v>6783</v>
      </c>
      <c r="D1021" t="s">
        <v>192</v>
      </c>
      <c r="E1021" t="s">
        <v>192</v>
      </c>
    </row>
    <row r="1022" spans="1:5">
      <c r="A1022" t="s">
        <v>6785</v>
      </c>
      <c r="B1022" t="s">
        <v>6786</v>
      </c>
      <c r="C1022" t="s">
        <v>6785</v>
      </c>
      <c r="D1022" t="s">
        <v>192</v>
      </c>
      <c r="E1022" t="s">
        <v>192</v>
      </c>
    </row>
    <row r="1023" spans="1:5">
      <c r="A1023" t="s">
        <v>6787</v>
      </c>
      <c r="B1023" t="s">
        <v>6788</v>
      </c>
      <c r="C1023" t="s">
        <v>6787</v>
      </c>
      <c r="D1023" t="s">
        <v>192</v>
      </c>
      <c r="E1023" t="s">
        <v>192</v>
      </c>
    </row>
    <row r="1024" spans="1:5">
      <c r="A1024" t="s">
        <v>6789</v>
      </c>
      <c r="B1024" t="s">
        <v>6790</v>
      </c>
      <c r="C1024" t="s">
        <v>6789</v>
      </c>
      <c r="D1024" t="s">
        <v>192</v>
      </c>
      <c r="E1024" t="s">
        <v>192</v>
      </c>
    </row>
    <row r="1025" spans="1:5">
      <c r="A1025" t="s">
        <v>6791</v>
      </c>
      <c r="B1025" t="s">
        <v>6792</v>
      </c>
      <c r="C1025" t="s">
        <v>6791</v>
      </c>
      <c r="D1025" t="s">
        <v>192</v>
      </c>
      <c r="E1025" t="s">
        <v>192</v>
      </c>
    </row>
    <row r="1026" spans="1:5">
      <c r="A1026" t="s">
        <v>4400</v>
      </c>
      <c r="B1026" t="s">
        <v>4401</v>
      </c>
      <c r="C1026" t="s">
        <v>4400</v>
      </c>
      <c r="D1026" t="s">
        <v>192</v>
      </c>
      <c r="E1026" t="s">
        <v>192</v>
      </c>
    </row>
    <row r="1027" spans="1:5">
      <c r="A1027" t="s">
        <v>6793</v>
      </c>
      <c r="B1027" t="s">
        <v>6794</v>
      </c>
      <c r="C1027" t="s">
        <v>6793</v>
      </c>
      <c r="D1027" t="s">
        <v>192</v>
      </c>
      <c r="E1027" t="s">
        <v>192</v>
      </c>
    </row>
    <row r="1028" spans="1:5">
      <c r="A1028" t="s">
        <v>6795</v>
      </c>
      <c r="B1028" t="s">
        <v>6796</v>
      </c>
      <c r="C1028" t="s">
        <v>6795</v>
      </c>
      <c r="D1028" t="s">
        <v>192</v>
      </c>
      <c r="E1028" t="s">
        <v>192</v>
      </c>
    </row>
    <row r="1029" spans="1:5">
      <c r="A1029" t="s">
        <v>6797</v>
      </c>
      <c r="B1029" t="s">
        <v>6798</v>
      </c>
      <c r="C1029" t="s">
        <v>6797</v>
      </c>
      <c r="D1029" t="s">
        <v>192</v>
      </c>
      <c r="E1029" t="s">
        <v>192</v>
      </c>
    </row>
    <row r="1030" spans="1:5">
      <c r="A1030" t="s">
        <v>6799</v>
      </c>
      <c r="B1030" t="s">
        <v>6800</v>
      </c>
      <c r="C1030" t="s">
        <v>6799</v>
      </c>
      <c r="D1030" t="s">
        <v>192</v>
      </c>
      <c r="E1030" t="s">
        <v>192</v>
      </c>
    </row>
    <row r="1031" spans="1:5">
      <c r="A1031" t="s">
        <v>6801</v>
      </c>
      <c r="B1031" t="s">
        <v>6802</v>
      </c>
      <c r="C1031" t="s">
        <v>6801</v>
      </c>
      <c r="D1031" t="s">
        <v>192</v>
      </c>
      <c r="E1031" t="s">
        <v>192</v>
      </c>
    </row>
    <row r="1032" spans="1:5">
      <c r="A1032" t="s">
        <v>6803</v>
      </c>
      <c r="B1032" t="s">
        <v>6804</v>
      </c>
      <c r="C1032" t="s">
        <v>6803</v>
      </c>
      <c r="D1032" t="s">
        <v>192</v>
      </c>
      <c r="E1032" t="s">
        <v>192</v>
      </c>
    </row>
    <row r="1033" spans="1:5">
      <c r="A1033" t="s">
        <v>6805</v>
      </c>
      <c r="B1033" t="s">
        <v>6806</v>
      </c>
      <c r="C1033" t="s">
        <v>6805</v>
      </c>
      <c r="D1033" t="s">
        <v>192</v>
      </c>
      <c r="E1033" t="s">
        <v>192</v>
      </c>
    </row>
    <row r="1034" spans="1:5">
      <c r="A1034" t="s">
        <v>6807</v>
      </c>
      <c r="B1034" t="s">
        <v>6808</v>
      </c>
      <c r="C1034" t="s">
        <v>6807</v>
      </c>
      <c r="D1034" t="s">
        <v>192</v>
      </c>
      <c r="E1034" t="s">
        <v>192</v>
      </c>
    </row>
    <row r="1035" spans="1:5">
      <c r="A1035" t="s">
        <v>6809</v>
      </c>
      <c r="B1035" t="s">
        <v>6810</v>
      </c>
      <c r="C1035" t="s">
        <v>6809</v>
      </c>
      <c r="D1035" t="s">
        <v>192</v>
      </c>
      <c r="E1035" t="s">
        <v>192</v>
      </c>
    </row>
    <row r="1036" spans="1:5">
      <c r="A1036" t="s">
        <v>6811</v>
      </c>
      <c r="B1036" t="s">
        <v>6812</v>
      </c>
      <c r="C1036" t="s">
        <v>6811</v>
      </c>
      <c r="D1036" t="s">
        <v>192</v>
      </c>
      <c r="E1036" t="s">
        <v>192</v>
      </c>
    </row>
    <row r="1037" spans="1:5">
      <c r="A1037" t="s">
        <v>6813</v>
      </c>
      <c r="B1037" t="s">
        <v>6814</v>
      </c>
      <c r="C1037" t="s">
        <v>6813</v>
      </c>
      <c r="D1037" t="s">
        <v>192</v>
      </c>
      <c r="E1037" t="s">
        <v>192</v>
      </c>
    </row>
    <row r="1038" spans="1:5">
      <c r="A1038" t="s">
        <v>6815</v>
      </c>
      <c r="B1038" t="s">
        <v>6816</v>
      </c>
      <c r="C1038" t="s">
        <v>6815</v>
      </c>
      <c r="D1038" t="s">
        <v>192</v>
      </c>
      <c r="E1038" t="s">
        <v>192</v>
      </c>
    </row>
    <row r="1039" spans="1:5">
      <c r="A1039" t="s">
        <v>6817</v>
      </c>
      <c r="B1039" t="s">
        <v>6818</v>
      </c>
      <c r="C1039" t="s">
        <v>6817</v>
      </c>
      <c r="D1039" t="s">
        <v>192</v>
      </c>
      <c r="E1039" t="s">
        <v>192</v>
      </c>
    </row>
    <row r="1040" spans="1:5">
      <c r="A1040" t="s">
        <v>6819</v>
      </c>
      <c r="B1040" t="s">
        <v>6820</v>
      </c>
      <c r="C1040" t="s">
        <v>6819</v>
      </c>
      <c r="D1040" t="s">
        <v>192</v>
      </c>
      <c r="E1040" t="s">
        <v>192</v>
      </c>
    </row>
    <row r="1041" spans="1:5">
      <c r="A1041" t="s">
        <v>6821</v>
      </c>
      <c r="B1041" t="s">
        <v>6822</v>
      </c>
      <c r="C1041" t="s">
        <v>6821</v>
      </c>
      <c r="D1041" t="s">
        <v>192</v>
      </c>
      <c r="E1041" t="s">
        <v>192</v>
      </c>
    </row>
    <row r="1042" spans="1:5">
      <c r="A1042" t="s">
        <v>6823</v>
      </c>
      <c r="B1042" t="s">
        <v>6824</v>
      </c>
      <c r="C1042" t="s">
        <v>6823</v>
      </c>
      <c r="D1042" t="s">
        <v>192</v>
      </c>
      <c r="E1042" t="s">
        <v>192</v>
      </c>
    </row>
    <row r="1043" spans="1:5">
      <c r="A1043" t="s">
        <v>6825</v>
      </c>
      <c r="B1043" t="s">
        <v>6826</v>
      </c>
      <c r="C1043" t="s">
        <v>6825</v>
      </c>
      <c r="D1043" t="s">
        <v>192</v>
      </c>
      <c r="E1043" t="s">
        <v>192</v>
      </c>
    </row>
    <row r="1044" spans="1:5">
      <c r="A1044" t="s">
        <v>6827</v>
      </c>
      <c r="B1044" t="s">
        <v>6828</v>
      </c>
      <c r="C1044" t="s">
        <v>6827</v>
      </c>
      <c r="D1044" t="s">
        <v>192</v>
      </c>
      <c r="E1044" t="s">
        <v>192</v>
      </c>
    </row>
    <row r="1045" spans="1:5">
      <c r="A1045" t="s">
        <v>6829</v>
      </c>
      <c r="B1045" t="s">
        <v>6830</v>
      </c>
      <c r="C1045" t="s">
        <v>6829</v>
      </c>
      <c r="D1045" t="s">
        <v>192</v>
      </c>
      <c r="E1045" t="s">
        <v>192</v>
      </c>
    </row>
    <row r="1046" spans="1:5">
      <c r="A1046" t="s">
        <v>6831</v>
      </c>
      <c r="B1046" t="s">
        <v>6832</v>
      </c>
      <c r="C1046" t="s">
        <v>6831</v>
      </c>
      <c r="D1046" t="s">
        <v>192</v>
      </c>
      <c r="E1046" t="s">
        <v>192</v>
      </c>
    </row>
    <row r="1047" spans="1:5">
      <c r="A1047" t="s">
        <v>6833</v>
      </c>
      <c r="B1047" t="s">
        <v>6834</v>
      </c>
      <c r="C1047" t="s">
        <v>6833</v>
      </c>
      <c r="D1047" t="s">
        <v>192</v>
      </c>
      <c r="E1047" t="s">
        <v>192</v>
      </c>
    </row>
    <row r="1048" spans="1:5">
      <c r="A1048" t="s">
        <v>6835</v>
      </c>
      <c r="B1048" t="s">
        <v>6836</v>
      </c>
      <c r="C1048" t="s">
        <v>6835</v>
      </c>
      <c r="D1048" t="s">
        <v>192</v>
      </c>
      <c r="E1048" t="s">
        <v>192</v>
      </c>
    </row>
    <row r="1049" spans="1:5">
      <c r="A1049" t="s">
        <v>6837</v>
      </c>
      <c r="B1049" t="s">
        <v>6838</v>
      </c>
      <c r="C1049" t="s">
        <v>6837</v>
      </c>
      <c r="D1049" t="s">
        <v>192</v>
      </c>
      <c r="E1049" t="s">
        <v>192</v>
      </c>
    </row>
    <row r="1050" spans="1:5">
      <c r="A1050" t="s">
        <v>6839</v>
      </c>
      <c r="B1050" t="s">
        <v>6840</v>
      </c>
      <c r="C1050" t="s">
        <v>6839</v>
      </c>
      <c r="D1050" t="s">
        <v>192</v>
      </c>
      <c r="E1050" t="s">
        <v>192</v>
      </c>
    </row>
    <row r="1051" spans="1:5">
      <c r="A1051" t="s">
        <v>6841</v>
      </c>
      <c r="B1051" t="s">
        <v>6842</v>
      </c>
      <c r="C1051" t="s">
        <v>6841</v>
      </c>
      <c r="D1051" t="s">
        <v>192</v>
      </c>
      <c r="E1051" t="s">
        <v>192</v>
      </c>
    </row>
    <row r="1052" spans="1:5">
      <c r="A1052" t="s">
        <v>6843</v>
      </c>
      <c r="B1052" t="s">
        <v>6844</v>
      </c>
      <c r="C1052" t="s">
        <v>6843</v>
      </c>
      <c r="D1052" t="s">
        <v>192</v>
      </c>
      <c r="E1052" t="s">
        <v>192</v>
      </c>
    </row>
    <row r="1053" spans="1:5">
      <c r="A1053" t="s">
        <v>6845</v>
      </c>
      <c r="B1053" t="s">
        <v>6846</v>
      </c>
      <c r="C1053" t="s">
        <v>6845</v>
      </c>
      <c r="D1053" t="s">
        <v>192</v>
      </c>
      <c r="E1053" t="s">
        <v>192</v>
      </c>
    </row>
    <row r="1054" spans="1:5">
      <c r="A1054" t="s">
        <v>6847</v>
      </c>
      <c r="B1054" t="s">
        <v>6848</v>
      </c>
      <c r="C1054" t="s">
        <v>6847</v>
      </c>
      <c r="D1054" t="s">
        <v>192</v>
      </c>
      <c r="E1054" t="s">
        <v>192</v>
      </c>
    </row>
    <row r="1055" spans="1:5">
      <c r="A1055" t="s">
        <v>6849</v>
      </c>
      <c r="B1055" t="s">
        <v>6850</v>
      </c>
      <c r="C1055" t="s">
        <v>6849</v>
      </c>
      <c r="D1055" t="s">
        <v>192</v>
      </c>
      <c r="E1055" t="s">
        <v>192</v>
      </c>
    </row>
    <row r="1056" spans="1:5">
      <c r="A1056" t="s">
        <v>6851</v>
      </c>
      <c r="B1056" t="s">
        <v>6852</v>
      </c>
      <c r="C1056" t="s">
        <v>6851</v>
      </c>
      <c r="D1056" t="s">
        <v>192</v>
      </c>
      <c r="E1056" t="s">
        <v>192</v>
      </c>
    </row>
    <row r="1057" spans="1:5">
      <c r="A1057" t="s">
        <v>6853</v>
      </c>
      <c r="B1057" t="s">
        <v>6854</v>
      </c>
      <c r="C1057" t="s">
        <v>6853</v>
      </c>
      <c r="D1057" t="s">
        <v>192</v>
      </c>
      <c r="E1057" t="s">
        <v>192</v>
      </c>
    </row>
    <row r="1058" spans="1:5">
      <c r="A1058" t="s">
        <v>6855</v>
      </c>
      <c r="B1058" t="s">
        <v>6856</v>
      </c>
      <c r="C1058" t="s">
        <v>6855</v>
      </c>
      <c r="D1058" t="s">
        <v>192</v>
      </c>
      <c r="E1058" t="s">
        <v>192</v>
      </c>
    </row>
    <row r="1059" spans="1:5">
      <c r="A1059" t="s">
        <v>6857</v>
      </c>
      <c r="B1059" t="s">
        <v>6858</v>
      </c>
      <c r="C1059" t="s">
        <v>6857</v>
      </c>
      <c r="D1059" t="s">
        <v>192</v>
      </c>
      <c r="E1059" t="s">
        <v>192</v>
      </c>
    </row>
    <row r="1060" spans="1:5">
      <c r="A1060" t="s">
        <v>6859</v>
      </c>
      <c r="B1060" t="s">
        <v>6860</v>
      </c>
      <c r="C1060" t="s">
        <v>6859</v>
      </c>
      <c r="D1060" t="s">
        <v>192</v>
      </c>
      <c r="E1060" t="s">
        <v>192</v>
      </c>
    </row>
    <row r="1061" spans="1:5">
      <c r="A1061" t="s">
        <v>6861</v>
      </c>
      <c r="B1061" t="s">
        <v>6862</v>
      </c>
      <c r="C1061" t="s">
        <v>6861</v>
      </c>
      <c r="D1061" t="s">
        <v>192</v>
      </c>
      <c r="E1061" t="s">
        <v>192</v>
      </c>
    </row>
    <row r="1062" spans="1:5">
      <c r="A1062" t="s">
        <v>6863</v>
      </c>
      <c r="B1062" t="s">
        <v>6864</v>
      </c>
      <c r="C1062" t="s">
        <v>6863</v>
      </c>
      <c r="D1062" t="s">
        <v>192</v>
      </c>
      <c r="E1062" t="s">
        <v>192</v>
      </c>
    </row>
    <row r="1063" spans="1:5">
      <c r="A1063" t="s">
        <v>6865</v>
      </c>
      <c r="B1063" t="s">
        <v>6866</v>
      </c>
      <c r="C1063" t="s">
        <v>6865</v>
      </c>
      <c r="D1063" t="s">
        <v>192</v>
      </c>
      <c r="E1063" t="s">
        <v>192</v>
      </c>
    </row>
    <row r="1064" spans="1:5">
      <c r="A1064" t="s">
        <v>6867</v>
      </c>
      <c r="B1064" t="s">
        <v>6868</v>
      </c>
      <c r="C1064" t="s">
        <v>6867</v>
      </c>
      <c r="D1064" t="s">
        <v>192</v>
      </c>
      <c r="E1064" t="s">
        <v>192</v>
      </c>
    </row>
    <row r="1065" spans="1:5">
      <c r="A1065" t="s">
        <v>6869</v>
      </c>
      <c r="B1065" t="s">
        <v>6870</v>
      </c>
      <c r="C1065" t="s">
        <v>6869</v>
      </c>
      <c r="D1065" t="s">
        <v>192</v>
      </c>
      <c r="E1065" t="s">
        <v>192</v>
      </c>
    </row>
    <row r="1066" spans="1:5">
      <c r="A1066" t="s">
        <v>4536</v>
      </c>
      <c r="B1066" t="s">
        <v>4537</v>
      </c>
      <c r="C1066" t="s">
        <v>4536</v>
      </c>
      <c r="D1066" t="s">
        <v>192</v>
      </c>
      <c r="E1066" t="s">
        <v>192</v>
      </c>
    </row>
    <row r="1067" spans="1:5">
      <c r="A1067" t="s">
        <v>4534</v>
      </c>
      <c r="B1067" t="s">
        <v>4535</v>
      </c>
      <c r="C1067" t="s">
        <v>4534</v>
      </c>
      <c r="D1067" t="s">
        <v>192</v>
      </c>
      <c r="E1067" t="s">
        <v>192</v>
      </c>
    </row>
    <row r="1068" spans="1:5">
      <c r="A1068" t="s">
        <v>4884</v>
      </c>
      <c r="B1068" t="s">
        <v>4885</v>
      </c>
      <c r="C1068" t="s">
        <v>4884</v>
      </c>
      <c r="D1068" t="s">
        <v>192</v>
      </c>
      <c r="E1068" t="s">
        <v>192</v>
      </c>
    </row>
    <row r="1069" spans="1:5">
      <c r="A1069" t="s">
        <v>4766</v>
      </c>
      <c r="B1069" t="s">
        <v>4767</v>
      </c>
      <c r="C1069" t="s">
        <v>4766</v>
      </c>
      <c r="D1069" t="s">
        <v>192</v>
      </c>
      <c r="E1069" t="s">
        <v>192</v>
      </c>
    </row>
    <row r="1070" spans="1:5">
      <c r="A1070" t="s">
        <v>4532</v>
      </c>
      <c r="B1070" t="s">
        <v>4533</v>
      </c>
      <c r="C1070" t="s">
        <v>4532</v>
      </c>
      <c r="D1070" t="s">
        <v>192</v>
      </c>
      <c r="E1070" t="s">
        <v>192</v>
      </c>
    </row>
    <row r="1071" spans="1:5">
      <c r="A1071" t="s">
        <v>4530</v>
      </c>
      <c r="B1071" t="s">
        <v>4531</v>
      </c>
      <c r="C1071" t="s">
        <v>4530</v>
      </c>
      <c r="D1071" t="s">
        <v>192</v>
      </c>
      <c r="E1071" t="s">
        <v>192</v>
      </c>
    </row>
    <row r="1072" spans="1:5">
      <c r="A1072" t="s">
        <v>4528</v>
      </c>
      <c r="B1072" t="s">
        <v>4529</v>
      </c>
      <c r="C1072" t="s">
        <v>4528</v>
      </c>
      <c r="D1072" t="s">
        <v>192</v>
      </c>
      <c r="E1072" t="s">
        <v>192</v>
      </c>
    </row>
    <row r="1073" spans="1:5">
      <c r="A1073" t="s">
        <v>4526</v>
      </c>
      <c r="B1073" t="s">
        <v>4527</v>
      </c>
      <c r="C1073" t="s">
        <v>4526</v>
      </c>
      <c r="D1073" t="s">
        <v>192</v>
      </c>
      <c r="E1073" t="s">
        <v>192</v>
      </c>
    </row>
    <row r="1074" spans="1:5">
      <c r="A1074" t="s">
        <v>4524</v>
      </c>
      <c r="B1074" t="s">
        <v>4525</v>
      </c>
      <c r="C1074" t="s">
        <v>4524</v>
      </c>
      <c r="D1074" t="s">
        <v>192</v>
      </c>
      <c r="E1074" t="s">
        <v>192</v>
      </c>
    </row>
    <row r="1075" spans="1:5">
      <c r="A1075" t="s">
        <v>4522</v>
      </c>
      <c r="B1075" t="s">
        <v>4523</v>
      </c>
      <c r="C1075" t="s">
        <v>4522</v>
      </c>
      <c r="D1075" t="s">
        <v>192</v>
      </c>
      <c r="E1075" t="s">
        <v>192</v>
      </c>
    </row>
    <row r="1076" spans="1:5">
      <c r="A1076" t="s">
        <v>5388</v>
      </c>
      <c r="B1076" t="s">
        <v>5389</v>
      </c>
      <c r="C1076" t="s">
        <v>5388</v>
      </c>
      <c r="D1076" t="s">
        <v>192</v>
      </c>
      <c r="E1076" t="s">
        <v>192</v>
      </c>
    </row>
    <row r="1077" spans="1:5">
      <c r="A1077" t="s">
        <v>6367</v>
      </c>
      <c r="B1077" t="s">
        <v>6368</v>
      </c>
      <c r="C1077" t="s">
        <v>6367</v>
      </c>
      <c r="D1077" t="s">
        <v>192</v>
      </c>
      <c r="E1077" t="s">
        <v>192</v>
      </c>
    </row>
    <row r="1078" spans="1:5">
      <c r="A1078" t="s">
        <v>4520</v>
      </c>
      <c r="B1078" t="s">
        <v>4521</v>
      </c>
      <c r="C1078" t="s">
        <v>4520</v>
      </c>
      <c r="D1078" t="s">
        <v>192</v>
      </c>
      <c r="E1078" t="s">
        <v>192</v>
      </c>
    </row>
    <row r="1079" spans="1:5">
      <c r="A1079" t="s">
        <v>4518</v>
      </c>
      <c r="B1079" t="s">
        <v>4519</v>
      </c>
      <c r="C1079" t="s">
        <v>4518</v>
      </c>
      <c r="D1079" t="s">
        <v>192</v>
      </c>
      <c r="E1079" t="s">
        <v>192</v>
      </c>
    </row>
    <row r="1080" spans="1:5">
      <c r="A1080" t="s">
        <v>4516</v>
      </c>
      <c r="B1080" t="s">
        <v>4517</v>
      </c>
      <c r="C1080" t="s">
        <v>4516</v>
      </c>
      <c r="D1080" t="s">
        <v>192</v>
      </c>
      <c r="E1080" t="s">
        <v>192</v>
      </c>
    </row>
    <row r="1081" spans="1:5">
      <c r="A1081" t="s">
        <v>6098</v>
      </c>
      <c r="B1081" t="s">
        <v>6099</v>
      </c>
      <c r="C1081" t="s">
        <v>6098</v>
      </c>
      <c r="D1081" t="s">
        <v>192</v>
      </c>
      <c r="E1081" t="s">
        <v>192</v>
      </c>
    </row>
    <row r="1082" spans="1:5">
      <c r="A1082" t="s">
        <v>4514</v>
      </c>
      <c r="B1082" t="s">
        <v>4515</v>
      </c>
      <c r="C1082" t="s">
        <v>4514</v>
      </c>
      <c r="D1082" t="s">
        <v>192</v>
      </c>
      <c r="E1082" t="s">
        <v>192</v>
      </c>
    </row>
    <row r="1083" spans="1:5">
      <c r="A1083" t="s">
        <v>4512</v>
      </c>
      <c r="B1083" t="s">
        <v>4513</v>
      </c>
      <c r="C1083" t="s">
        <v>4512</v>
      </c>
      <c r="D1083" t="s">
        <v>192</v>
      </c>
      <c r="E1083" t="s">
        <v>192</v>
      </c>
    </row>
    <row r="1084" spans="1:5">
      <c r="A1084" t="s">
        <v>4510</v>
      </c>
      <c r="B1084" t="s">
        <v>4511</v>
      </c>
      <c r="C1084" t="s">
        <v>4510</v>
      </c>
      <c r="D1084" t="s">
        <v>192</v>
      </c>
      <c r="E1084" t="s">
        <v>192</v>
      </c>
    </row>
    <row r="1085" spans="1:5">
      <c r="A1085" t="s">
        <v>4508</v>
      </c>
      <c r="B1085" t="s">
        <v>4509</v>
      </c>
      <c r="C1085" t="s">
        <v>4508</v>
      </c>
      <c r="D1085" t="s">
        <v>192</v>
      </c>
      <c r="E1085" t="s">
        <v>192</v>
      </c>
    </row>
    <row r="1086" spans="1:5">
      <c r="A1086" t="s">
        <v>3959</v>
      </c>
      <c r="B1086" t="s">
        <v>3960</v>
      </c>
      <c r="C1086" t="s">
        <v>3959</v>
      </c>
      <c r="D1086" t="s">
        <v>192</v>
      </c>
      <c r="E1086" t="s">
        <v>192</v>
      </c>
    </row>
    <row r="1087" spans="1:5">
      <c r="A1087" t="s">
        <v>4506</v>
      </c>
      <c r="B1087" t="s">
        <v>4507</v>
      </c>
      <c r="C1087" t="s">
        <v>4506</v>
      </c>
      <c r="D1087" t="s">
        <v>192</v>
      </c>
      <c r="E1087" t="s">
        <v>192</v>
      </c>
    </row>
    <row r="1088" spans="1:5">
      <c r="A1088" t="s">
        <v>4504</v>
      </c>
      <c r="B1088" t="s">
        <v>4505</v>
      </c>
      <c r="C1088" t="s">
        <v>4504</v>
      </c>
      <c r="D1088" t="s">
        <v>192</v>
      </c>
      <c r="E1088" t="s">
        <v>192</v>
      </c>
    </row>
    <row r="1089" spans="1:5">
      <c r="A1089" t="s">
        <v>6189</v>
      </c>
      <c r="B1089" t="s">
        <v>6190</v>
      </c>
      <c r="C1089" t="s">
        <v>6189</v>
      </c>
      <c r="D1089" t="s">
        <v>192</v>
      </c>
      <c r="E1089" t="s">
        <v>192</v>
      </c>
    </row>
    <row r="1090" spans="1:5">
      <c r="A1090" t="s">
        <v>4502</v>
      </c>
      <c r="B1090" t="s">
        <v>4503</v>
      </c>
      <c r="C1090" t="s">
        <v>4502</v>
      </c>
      <c r="D1090" t="s">
        <v>192</v>
      </c>
      <c r="E1090" t="s">
        <v>192</v>
      </c>
    </row>
    <row r="1091" spans="1:5">
      <c r="A1091" t="s">
        <v>4500</v>
      </c>
      <c r="B1091" t="s">
        <v>4501</v>
      </c>
      <c r="C1091" t="s">
        <v>4500</v>
      </c>
      <c r="D1091" t="s">
        <v>192</v>
      </c>
      <c r="E1091" t="s">
        <v>192</v>
      </c>
    </row>
    <row r="1092" spans="1:5">
      <c r="A1092" t="s">
        <v>6871</v>
      </c>
      <c r="B1092" t="s">
        <v>6872</v>
      </c>
      <c r="C1092" t="s">
        <v>6871</v>
      </c>
      <c r="D1092" t="s">
        <v>192</v>
      </c>
      <c r="E1092" t="s">
        <v>192</v>
      </c>
    </row>
    <row r="1093" spans="1:5">
      <c r="A1093" t="s">
        <v>6873</v>
      </c>
      <c r="B1093" t="s">
        <v>6874</v>
      </c>
      <c r="C1093" t="s">
        <v>6873</v>
      </c>
      <c r="D1093" t="s">
        <v>192</v>
      </c>
      <c r="E1093" t="s">
        <v>192</v>
      </c>
    </row>
    <row r="1094" spans="1:5">
      <c r="A1094" t="s">
        <v>6875</v>
      </c>
      <c r="B1094" t="s">
        <v>6876</v>
      </c>
      <c r="C1094" t="s">
        <v>6875</v>
      </c>
      <c r="D1094" t="s">
        <v>192</v>
      </c>
      <c r="E1094" t="s">
        <v>192</v>
      </c>
    </row>
    <row r="1095" spans="1:5">
      <c r="A1095" t="s">
        <v>6877</v>
      </c>
      <c r="B1095" t="s">
        <v>6878</v>
      </c>
      <c r="C1095" t="s">
        <v>6877</v>
      </c>
      <c r="D1095" t="s">
        <v>192</v>
      </c>
      <c r="E1095" t="s">
        <v>192</v>
      </c>
    </row>
    <row r="1096" spans="1:5">
      <c r="A1096" t="s">
        <v>6879</v>
      </c>
      <c r="B1096" t="s">
        <v>6880</v>
      </c>
      <c r="C1096" t="s">
        <v>6879</v>
      </c>
      <c r="D1096" t="s">
        <v>192</v>
      </c>
      <c r="E1096" t="s">
        <v>192</v>
      </c>
    </row>
    <row r="1097" spans="1:5">
      <c r="A1097" t="s">
        <v>6881</v>
      </c>
      <c r="B1097" t="s">
        <v>6882</v>
      </c>
      <c r="C1097" t="s">
        <v>6881</v>
      </c>
      <c r="D1097" t="s">
        <v>192</v>
      </c>
      <c r="E1097" t="s">
        <v>192</v>
      </c>
    </row>
    <row r="1098" spans="1:5">
      <c r="A1098" t="s">
        <v>6883</v>
      </c>
      <c r="B1098" t="s">
        <v>6884</v>
      </c>
      <c r="C1098" t="s">
        <v>6883</v>
      </c>
      <c r="D1098" t="s">
        <v>192</v>
      </c>
      <c r="E1098" t="s">
        <v>192</v>
      </c>
    </row>
    <row r="1099" spans="1:5">
      <c r="A1099" t="s">
        <v>6885</v>
      </c>
      <c r="B1099" t="s">
        <v>6886</v>
      </c>
      <c r="C1099" t="s">
        <v>6885</v>
      </c>
      <c r="D1099" t="s">
        <v>192</v>
      </c>
      <c r="E1099" t="s">
        <v>192</v>
      </c>
    </row>
    <row r="1100" spans="1:5">
      <c r="A1100" t="s">
        <v>6887</v>
      </c>
      <c r="B1100" t="s">
        <v>6888</v>
      </c>
      <c r="C1100" t="s">
        <v>6887</v>
      </c>
      <c r="D1100" t="s">
        <v>192</v>
      </c>
      <c r="E1100" t="s">
        <v>192</v>
      </c>
    </row>
    <row r="1101" spans="1:5">
      <c r="A1101" t="s">
        <v>6889</v>
      </c>
      <c r="B1101" t="s">
        <v>6890</v>
      </c>
      <c r="C1101" t="s">
        <v>6889</v>
      </c>
      <c r="D1101" t="s">
        <v>192</v>
      </c>
      <c r="E1101" t="s">
        <v>192</v>
      </c>
    </row>
    <row r="1102" spans="1:5">
      <c r="A1102" t="s">
        <v>6891</v>
      </c>
      <c r="B1102" t="s">
        <v>6892</v>
      </c>
      <c r="C1102" t="s">
        <v>6891</v>
      </c>
      <c r="D1102" t="s">
        <v>192</v>
      </c>
      <c r="E1102" t="s">
        <v>192</v>
      </c>
    </row>
    <row r="1103" spans="1:5">
      <c r="A1103" t="s">
        <v>6893</v>
      </c>
      <c r="B1103" t="s">
        <v>6894</v>
      </c>
      <c r="C1103" t="s">
        <v>6893</v>
      </c>
      <c r="D1103" t="s">
        <v>192</v>
      </c>
      <c r="E1103" t="s">
        <v>192</v>
      </c>
    </row>
    <row r="1104" spans="1:5">
      <c r="A1104" t="s">
        <v>6895</v>
      </c>
      <c r="B1104" t="s">
        <v>6896</v>
      </c>
      <c r="C1104" t="s">
        <v>6895</v>
      </c>
      <c r="D1104" t="s">
        <v>192</v>
      </c>
      <c r="E1104" t="s">
        <v>192</v>
      </c>
    </row>
    <row r="1105" spans="1:5">
      <c r="A1105" t="s">
        <v>6897</v>
      </c>
      <c r="B1105" t="s">
        <v>6898</v>
      </c>
      <c r="C1105" t="s">
        <v>6897</v>
      </c>
      <c r="D1105" t="s">
        <v>192</v>
      </c>
      <c r="E1105" t="s">
        <v>192</v>
      </c>
    </row>
    <row r="1106" spans="1:5">
      <c r="A1106" t="s">
        <v>6899</v>
      </c>
      <c r="B1106" t="s">
        <v>6900</v>
      </c>
      <c r="C1106" t="s">
        <v>6899</v>
      </c>
      <c r="D1106" t="s">
        <v>192</v>
      </c>
      <c r="E1106" t="s">
        <v>192</v>
      </c>
    </row>
    <row r="1107" spans="1:5">
      <c r="A1107" t="s">
        <v>6901</v>
      </c>
      <c r="B1107" t="s">
        <v>6902</v>
      </c>
      <c r="C1107" t="s">
        <v>6901</v>
      </c>
      <c r="D1107" t="s">
        <v>192</v>
      </c>
      <c r="E1107" t="s">
        <v>192</v>
      </c>
    </row>
    <row r="1108" spans="1:5">
      <c r="A1108" t="s">
        <v>6903</v>
      </c>
      <c r="B1108" t="s">
        <v>6904</v>
      </c>
      <c r="C1108" t="s">
        <v>6903</v>
      </c>
      <c r="D1108" t="s">
        <v>192</v>
      </c>
      <c r="E1108" t="s">
        <v>192</v>
      </c>
    </row>
    <row r="1109" spans="1:5">
      <c r="A1109" t="s">
        <v>6905</v>
      </c>
      <c r="B1109" t="s">
        <v>6906</v>
      </c>
      <c r="C1109" t="s">
        <v>6905</v>
      </c>
      <c r="D1109" t="s">
        <v>192</v>
      </c>
      <c r="E1109" t="s">
        <v>192</v>
      </c>
    </row>
    <row r="1110" spans="1:5">
      <c r="A1110" t="s">
        <v>6907</v>
      </c>
      <c r="B1110" t="s">
        <v>6908</v>
      </c>
      <c r="C1110" t="s">
        <v>6907</v>
      </c>
      <c r="D1110" t="s">
        <v>192</v>
      </c>
      <c r="E1110" t="s">
        <v>192</v>
      </c>
    </row>
    <row r="1111" spans="1:5">
      <c r="A1111" t="s">
        <v>6909</v>
      </c>
      <c r="B1111" t="s">
        <v>6910</v>
      </c>
      <c r="C1111" t="s">
        <v>6909</v>
      </c>
      <c r="D1111" t="s">
        <v>192</v>
      </c>
      <c r="E1111" t="s">
        <v>192</v>
      </c>
    </row>
    <row r="1112" spans="1:5">
      <c r="A1112" t="s">
        <v>5259</v>
      </c>
      <c r="B1112" t="s">
        <v>5260</v>
      </c>
      <c r="C1112" t="s">
        <v>5259</v>
      </c>
      <c r="D1112" t="s">
        <v>192</v>
      </c>
      <c r="E1112" t="s">
        <v>192</v>
      </c>
    </row>
    <row r="1113" spans="1:5">
      <c r="A1113" t="s">
        <v>6911</v>
      </c>
      <c r="B1113" t="s">
        <v>6912</v>
      </c>
      <c r="C1113" t="s">
        <v>6911</v>
      </c>
      <c r="D1113" t="s">
        <v>192</v>
      </c>
      <c r="E1113" t="s">
        <v>192</v>
      </c>
    </row>
    <row r="1114" spans="1:5">
      <c r="A1114" t="s">
        <v>6913</v>
      </c>
      <c r="B1114" t="s">
        <v>6914</v>
      </c>
      <c r="C1114" t="s">
        <v>6913</v>
      </c>
      <c r="D1114" t="s">
        <v>192</v>
      </c>
      <c r="E1114" t="s">
        <v>192</v>
      </c>
    </row>
    <row r="1115" spans="1:5">
      <c r="A1115" t="s">
        <v>6915</v>
      </c>
      <c r="B1115" t="s">
        <v>6916</v>
      </c>
      <c r="C1115" t="s">
        <v>6915</v>
      </c>
      <c r="D1115" t="s">
        <v>192</v>
      </c>
      <c r="E1115" t="s">
        <v>192</v>
      </c>
    </row>
    <row r="1116" spans="1:5">
      <c r="A1116" t="s">
        <v>6917</v>
      </c>
      <c r="B1116" t="s">
        <v>6918</v>
      </c>
      <c r="C1116" t="s">
        <v>6917</v>
      </c>
      <c r="D1116" t="s">
        <v>192</v>
      </c>
      <c r="E1116" t="s">
        <v>192</v>
      </c>
    </row>
    <row r="1117" spans="1:5">
      <c r="A1117" t="s">
        <v>6919</v>
      </c>
      <c r="B1117" t="s">
        <v>6920</v>
      </c>
      <c r="C1117" t="s">
        <v>6919</v>
      </c>
      <c r="D1117" t="s">
        <v>192</v>
      </c>
      <c r="E1117" t="s">
        <v>192</v>
      </c>
    </row>
    <row r="1118" spans="1:5">
      <c r="A1118" t="s">
        <v>6921</v>
      </c>
      <c r="B1118" t="s">
        <v>6922</v>
      </c>
      <c r="C1118" t="s">
        <v>6921</v>
      </c>
      <c r="D1118" t="s">
        <v>192</v>
      </c>
      <c r="E1118" t="s">
        <v>192</v>
      </c>
    </row>
    <row r="1119" spans="1:5">
      <c r="A1119" t="s">
        <v>6923</v>
      </c>
      <c r="B1119" t="s">
        <v>6924</v>
      </c>
      <c r="C1119" t="s">
        <v>6923</v>
      </c>
      <c r="D1119" t="s">
        <v>192</v>
      </c>
      <c r="E1119" t="s">
        <v>192</v>
      </c>
    </row>
    <row r="1120" spans="1:5">
      <c r="A1120" t="s">
        <v>6925</v>
      </c>
      <c r="B1120" t="s">
        <v>6926</v>
      </c>
      <c r="C1120" t="s">
        <v>6925</v>
      </c>
      <c r="D1120" t="s">
        <v>192</v>
      </c>
      <c r="E1120" t="s">
        <v>192</v>
      </c>
    </row>
    <row r="1121" spans="1:5">
      <c r="A1121" t="s">
        <v>6927</v>
      </c>
      <c r="B1121" t="s">
        <v>6928</v>
      </c>
      <c r="C1121" t="s">
        <v>6927</v>
      </c>
      <c r="D1121" t="s">
        <v>192</v>
      </c>
      <c r="E1121" t="s">
        <v>192</v>
      </c>
    </row>
    <row r="1122" spans="1:5">
      <c r="A1122" t="s">
        <v>6929</v>
      </c>
      <c r="B1122" t="s">
        <v>6930</v>
      </c>
      <c r="C1122" t="s">
        <v>6929</v>
      </c>
      <c r="D1122" t="s">
        <v>192</v>
      </c>
      <c r="E1122" t="s">
        <v>192</v>
      </c>
    </row>
    <row r="1123" spans="1:5">
      <c r="A1123" t="s">
        <v>6931</v>
      </c>
      <c r="B1123" t="s">
        <v>6932</v>
      </c>
      <c r="C1123" t="s">
        <v>6931</v>
      </c>
      <c r="D1123" t="s">
        <v>192</v>
      </c>
      <c r="E1123" t="s">
        <v>192</v>
      </c>
    </row>
    <row r="1124" spans="1:5">
      <c r="A1124" t="s">
        <v>6933</v>
      </c>
      <c r="B1124" t="s">
        <v>6934</v>
      </c>
      <c r="C1124" t="s">
        <v>6933</v>
      </c>
      <c r="D1124" t="s">
        <v>192</v>
      </c>
      <c r="E1124" t="s">
        <v>192</v>
      </c>
    </row>
    <row r="1125" spans="1:5">
      <c r="A1125" t="s">
        <v>6935</v>
      </c>
      <c r="B1125" t="s">
        <v>6936</v>
      </c>
      <c r="C1125" t="s">
        <v>6935</v>
      </c>
      <c r="D1125" t="s">
        <v>192</v>
      </c>
      <c r="E1125" t="s">
        <v>192</v>
      </c>
    </row>
    <row r="1126" spans="1:5">
      <c r="A1126" t="s">
        <v>4498</v>
      </c>
      <c r="B1126" t="s">
        <v>4499</v>
      </c>
      <c r="C1126" t="s">
        <v>4498</v>
      </c>
      <c r="D1126" t="s">
        <v>192</v>
      </c>
      <c r="E1126" t="s">
        <v>192</v>
      </c>
    </row>
    <row r="1127" spans="1:5">
      <c r="A1127" t="s">
        <v>6937</v>
      </c>
      <c r="B1127" t="s">
        <v>6938</v>
      </c>
      <c r="C1127" t="s">
        <v>6937</v>
      </c>
      <c r="D1127" t="s">
        <v>192</v>
      </c>
      <c r="E1127" t="s">
        <v>192</v>
      </c>
    </row>
    <row r="1128" spans="1:5">
      <c r="A1128" t="s">
        <v>4817</v>
      </c>
      <c r="B1128" t="s">
        <v>4818</v>
      </c>
      <c r="C1128" t="s">
        <v>4817</v>
      </c>
      <c r="D1128" t="s">
        <v>192</v>
      </c>
      <c r="E1128" t="s">
        <v>192</v>
      </c>
    </row>
    <row r="1129" spans="1:5">
      <c r="A1129" t="s">
        <v>4496</v>
      </c>
      <c r="B1129" t="s">
        <v>4497</v>
      </c>
      <c r="C1129" t="s">
        <v>4496</v>
      </c>
      <c r="D1129" t="s">
        <v>192</v>
      </c>
      <c r="E1129" t="s">
        <v>192</v>
      </c>
    </row>
    <row r="1130" spans="1:5">
      <c r="A1130" t="s">
        <v>4004</v>
      </c>
      <c r="B1130" t="s">
        <v>4005</v>
      </c>
      <c r="C1130" t="s">
        <v>4004</v>
      </c>
      <c r="D1130" t="s">
        <v>192</v>
      </c>
      <c r="E1130" t="s">
        <v>192</v>
      </c>
    </row>
    <row r="1131" spans="1:5">
      <c r="A1131" t="s">
        <v>6939</v>
      </c>
      <c r="B1131" t="s">
        <v>6940</v>
      </c>
      <c r="C1131" t="s">
        <v>6939</v>
      </c>
      <c r="D1131" t="s">
        <v>192</v>
      </c>
      <c r="E1131" t="s">
        <v>192</v>
      </c>
    </row>
    <row r="1132" spans="1:5">
      <c r="A1132" t="s">
        <v>6941</v>
      </c>
      <c r="B1132" t="s">
        <v>6942</v>
      </c>
      <c r="C1132" t="s">
        <v>6941</v>
      </c>
      <c r="D1132" t="s">
        <v>192</v>
      </c>
      <c r="E1132" t="s">
        <v>192</v>
      </c>
    </row>
    <row r="1133" spans="1:5">
      <c r="A1133" t="s">
        <v>6943</v>
      </c>
      <c r="B1133" t="s">
        <v>6944</v>
      </c>
      <c r="C1133" t="s">
        <v>6943</v>
      </c>
      <c r="D1133" t="s">
        <v>192</v>
      </c>
      <c r="E1133" t="s">
        <v>192</v>
      </c>
    </row>
    <row r="1134" spans="1:5">
      <c r="A1134" t="s">
        <v>6945</v>
      </c>
      <c r="B1134" t="s">
        <v>6946</v>
      </c>
      <c r="C1134" t="s">
        <v>6945</v>
      </c>
      <c r="D1134" t="s">
        <v>192</v>
      </c>
      <c r="E1134" t="s">
        <v>192</v>
      </c>
    </row>
    <row r="1135" spans="1:5">
      <c r="A1135" t="s">
        <v>6947</v>
      </c>
      <c r="B1135" t="s">
        <v>6948</v>
      </c>
      <c r="C1135" t="s">
        <v>6947</v>
      </c>
      <c r="D1135" t="s">
        <v>192</v>
      </c>
      <c r="E1135" t="s">
        <v>192</v>
      </c>
    </row>
    <row r="1136" spans="1:5">
      <c r="A1136" t="s">
        <v>6949</v>
      </c>
      <c r="B1136" t="s">
        <v>6950</v>
      </c>
      <c r="C1136" t="s">
        <v>6949</v>
      </c>
      <c r="D1136" t="s">
        <v>192</v>
      </c>
      <c r="E1136" t="s">
        <v>192</v>
      </c>
    </row>
    <row r="1137" spans="1:5">
      <c r="A1137" t="s">
        <v>6951</v>
      </c>
      <c r="B1137" t="s">
        <v>6952</v>
      </c>
      <c r="C1137" t="s">
        <v>6951</v>
      </c>
      <c r="D1137" t="s">
        <v>192</v>
      </c>
      <c r="E1137" t="s">
        <v>192</v>
      </c>
    </row>
    <row r="1138" spans="1:5">
      <c r="A1138" t="s">
        <v>6953</v>
      </c>
      <c r="B1138" t="s">
        <v>6954</v>
      </c>
      <c r="C1138" t="s">
        <v>6953</v>
      </c>
      <c r="D1138" t="s">
        <v>192</v>
      </c>
      <c r="E1138" t="s">
        <v>192</v>
      </c>
    </row>
    <row r="1139" spans="1:5">
      <c r="A1139" t="s">
        <v>6955</v>
      </c>
      <c r="B1139" t="s">
        <v>6956</v>
      </c>
      <c r="C1139" t="s">
        <v>6955</v>
      </c>
      <c r="D1139" t="s">
        <v>192</v>
      </c>
      <c r="E1139" t="s">
        <v>192</v>
      </c>
    </row>
    <row r="1140" spans="1:5">
      <c r="A1140" t="s">
        <v>6957</v>
      </c>
      <c r="B1140" t="s">
        <v>6958</v>
      </c>
      <c r="C1140" t="s">
        <v>6957</v>
      </c>
      <c r="D1140" t="s">
        <v>192</v>
      </c>
      <c r="E1140" t="s">
        <v>192</v>
      </c>
    </row>
    <row r="1141" spans="1:5">
      <c r="A1141" t="s">
        <v>6959</v>
      </c>
      <c r="B1141" t="s">
        <v>6960</v>
      </c>
      <c r="C1141" t="s">
        <v>6959</v>
      </c>
      <c r="D1141" t="s">
        <v>192</v>
      </c>
      <c r="E1141" t="s">
        <v>192</v>
      </c>
    </row>
    <row r="1142" spans="1:5">
      <c r="A1142" t="s">
        <v>6961</v>
      </c>
      <c r="B1142" t="s">
        <v>6962</v>
      </c>
      <c r="C1142" t="s">
        <v>6961</v>
      </c>
      <c r="D1142" t="s">
        <v>192</v>
      </c>
      <c r="E1142" t="s">
        <v>192</v>
      </c>
    </row>
    <row r="1143" spans="1:5">
      <c r="A1143" t="s">
        <v>4888</v>
      </c>
      <c r="B1143" t="s">
        <v>4889</v>
      </c>
      <c r="C1143" t="s">
        <v>4888</v>
      </c>
      <c r="D1143" t="s">
        <v>192</v>
      </c>
      <c r="E1143" t="s">
        <v>192</v>
      </c>
    </row>
    <row r="1144" spans="1:5">
      <c r="A1144" t="s">
        <v>4795</v>
      </c>
      <c r="B1144" t="s">
        <v>4796</v>
      </c>
      <c r="C1144" t="s">
        <v>4795</v>
      </c>
      <c r="D1144" t="s">
        <v>192</v>
      </c>
      <c r="E1144" t="s">
        <v>192</v>
      </c>
    </row>
    <row r="1145" spans="1:5">
      <c r="A1145" t="s">
        <v>4566</v>
      </c>
      <c r="B1145" t="s">
        <v>4567</v>
      </c>
      <c r="C1145" t="s">
        <v>4566</v>
      </c>
      <c r="D1145" t="s">
        <v>192</v>
      </c>
      <c r="E1145" t="s">
        <v>192</v>
      </c>
    </row>
    <row r="1146" spans="1:5">
      <c r="A1146" t="s">
        <v>4564</v>
      </c>
      <c r="B1146" t="s">
        <v>4565</v>
      </c>
      <c r="C1146" t="s">
        <v>4564</v>
      </c>
      <c r="D1146" t="s">
        <v>192</v>
      </c>
      <c r="E1146" t="s">
        <v>192</v>
      </c>
    </row>
    <row r="1147" spans="1:5">
      <c r="A1147" t="s">
        <v>4562</v>
      </c>
      <c r="B1147" t="s">
        <v>4563</v>
      </c>
      <c r="C1147" t="s">
        <v>4562</v>
      </c>
      <c r="D1147" t="s">
        <v>192</v>
      </c>
      <c r="E1147" t="s">
        <v>192</v>
      </c>
    </row>
    <row r="1148" spans="1:5">
      <c r="A1148" t="s">
        <v>4560</v>
      </c>
      <c r="B1148" t="s">
        <v>4561</v>
      </c>
      <c r="C1148" t="s">
        <v>4560</v>
      </c>
      <c r="D1148" t="s">
        <v>192</v>
      </c>
      <c r="E1148" t="s">
        <v>192</v>
      </c>
    </row>
    <row r="1149" spans="1:5">
      <c r="A1149" t="s">
        <v>4558</v>
      </c>
      <c r="B1149" t="s">
        <v>4559</v>
      </c>
      <c r="C1149" t="s">
        <v>4558</v>
      </c>
      <c r="D1149" t="s">
        <v>192</v>
      </c>
      <c r="E1149" t="s">
        <v>192</v>
      </c>
    </row>
    <row r="1150" spans="1:5">
      <c r="A1150" t="s">
        <v>3906</v>
      </c>
      <c r="B1150" t="s">
        <v>3907</v>
      </c>
      <c r="C1150" t="s">
        <v>3906</v>
      </c>
      <c r="D1150" t="s">
        <v>192</v>
      </c>
      <c r="E1150" t="s">
        <v>192</v>
      </c>
    </row>
    <row r="1151" spans="1:5">
      <c r="A1151" t="s">
        <v>4002</v>
      </c>
      <c r="B1151" t="s">
        <v>4003</v>
      </c>
      <c r="C1151" t="s">
        <v>4002</v>
      </c>
      <c r="D1151" t="s">
        <v>192</v>
      </c>
      <c r="E1151" t="s">
        <v>192</v>
      </c>
    </row>
    <row r="1152" spans="1:5">
      <c r="A1152" t="s">
        <v>4757</v>
      </c>
      <c r="B1152" t="s">
        <v>4758</v>
      </c>
      <c r="C1152" t="s">
        <v>4757</v>
      </c>
      <c r="D1152" t="s">
        <v>192</v>
      </c>
      <c r="E1152" t="s">
        <v>192</v>
      </c>
    </row>
    <row r="1153" spans="1:5">
      <c r="A1153" t="s">
        <v>4556</v>
      </c>
      <c r="B1153" t="s">
        <v>4557</v>
      </c>
      <c r="C1153" t="s">
        <v>4556</v>
      </c>
      <c r="D1153" t="s">
        <v>192</v>
      </c>
      <c r="E1153" t="s">
        <v>192</v>
      </c>
    </row>
    <row r="1154" spans="1:5">
      <c r="A1154" t="s">
        <v>5179</v>
      </c>
      <c r="B1154" t="s">
        <v>5180</v>
      </c>
      <c r="C1154" t="s">
        <v>5179</v>
      </c>
      <c r="D1154" t="s">
        <v>192</v>
      </c>
      <c r="E1154" t="s">
        <v>192</v>
      </c>
    </row>
    <row r="1155" spans="1:5">
      <c r="A1155" t="s">
        <v>6963</v>
      </c>
      <c r="B1155" t="s">
        <v>6964</v>
      </c>
      <c r="C1155" t="s">
        <v>6963</v>
      </c>
      <c r="D1155" t="s">
        <v>192</v>
      </c>
      <c r="E1155" t="s">
        <v>192</v>
      </c>
    </row>
    <row r="1156" spans="1:5">
      <c r="A1156" t="s">
        <v>6965</v>
      </c>
      <c r="B1156" t="s">
        <v>6966</v>
      </c>
      <c r="C1156" t="s">
        <v>6965</v>
      </c>
      <c r="D1156" t="s">
        <v>192</v>
      </c>
      <c r="E1156" t="s">
        <v>192</v>
      </c>
    </row>
    <row r="1157" spans="1:5">
      <c r="A1157" t="s">
        <v>6967</v>
      </c>
      <c r="B1157" t="s">
        <v>6968</v>
      </c>
      <c r="C1157" t="s">
        <v>6967</v>
      </c>
      <c r="D1157" t="s">
        <v>192</v>
      </c>
      <c r="E1157" t="s">
        <v>192</v>
      </c>
    </row>
    <row r="1158" spans="1:5">
      <c r="A1158" t="s">
        <v>6969</v>
      </c>
      <c r="B1158" t="s">
        <v>6970</v>
      </c>
      <c r="C1158" t="s">
        <v>6969</v>
      </c>
      <c r="D1158" t="s">
        <v>192</v>
      </c>
      <c r="E1158" t="s">
        <v>192</v>
      </c>
    </row>
    <row r="1159" spans="1:5">
      <c r="A1159" t="s">
        <v>6971</v>
      </c>
      <c r="B1159" t="s">
        <v>6972</v>
      </c>
      <c r="C1159" t="s">
        <v>6971</v>
      </c>
      <c r="D1159" t="s">
        <v>192</v>
      </c>
      <c r="E1159" t="s">
        <v>192</v>
      </c>
    </row>
    <row r="1160" spans="1:5">
      <c r="A1160" t="s">
        <v>6973</v>
      </c>
      <c r="B1160" t="s">
        <v>6974</v>
      </c>
      <c r="C1160" t="s">
        <v>6973</v>
      </c>
      <c r="D1160" t="s">
        <v>192</v>
      </c>
      <c r="E1160" t="s">
        <v>192</v>
      </c>
    </row>
    <row r="1161" spans="1:5">
      <c r="A1161" t="s">
        <v>6975</v>
      </c>
      <c r="B1161" t="s">
        <v>6976</v>
      </c>
      <c r="C1161" t="s">
        <v>6975</v>
      </c>
      <c r="D1161" t="s">
        <v>192</v>
      </c>
      <c r="E1161" t="s">
        <v>192</v>
      </c>
    </row>
    <row r="1162" spans="1:5">
      <c r="A1162" t="s">
        <v>6977</v>
      </c>
      <c r="B1162" t="s">
        <v>6978</v>
      </c>
      <c r="C1162" t="s">
        <v>6977</v>
      </c>
      <c r="D1162" t="s">
        <v>192</v>
      </c>
      <c r="E1162" t="s">
        <v>192</v>
      </c>
    </row>
    <row r="1163" spans="1:5">
      <c r="A1163" t="s">
        <v>6979</v>
      </c>
      <c r="B1163" t="s">
        <v>6980</v>
      </c>
      <c r="C1163" t="s">
        <v>6979</v>
      </c>
      <c r="D1163" t="s">
        <v>192</v>
      </c>
      <c r="E1163" t="s">
        <v>192</v>
      </c>
    </row>
    <row r="1164" spans="1:5">
      <c r="A1164" t="s">
        <v>6981</v>
      </c>
      <c r="B1164" t="s">
        <v>6982</v>
      </c>
      <c r="C1164" t="s">
        <v>6981</v>
      </c>
      <c r="D1164" t="s">
        <v>192</v>
      </c>
      <c r="E1164" t="s">
        <v>192</v>
      </c>
    </row>
    <row r="1165" spans="1:5">
      <c r="A1165" t="s">
        <v>6983</v>
      </c>
      <c r="B1165" t="s">
        <v>6984</v>
      </c>
      <c r="C1165" t="s">
        <v>6983</v>
      </c>
      <c r="D1165" t="s">
        <v>192</v>
      </c>
      <c r="E1165" t="s">
        <v>192</v>
      </c>
    </row>
    <row r="1166" spans="1:5">
      <c r="A1166" t="s">
        <v>6985</v>
      </c>
      <c r="B1166" t="s">
        <v>6986</v>
      </c>
      <c r="C1166" t="s">
        <v>6985</v>
      </c>
      <c r="D1166" t="s">
        <v>192</v>
      </c>
      <c r="E1166" t="s">
        <v>192</v>
      </c>
    </row>
    <row r="1167" spans="1:5">
      <c r="A1167" t="s">
        <v>6987</v>
      </c>
      <c r="B1167" t="s">
        <v>6988</v>
      </c>
      <c r="C1167" t="s">
        <v>6987</v>
      </c>
      <c r="D1167" t="s">
        <v>192</v>
      </c>
      <c r="E1167" t="s">
        <v>192</v>
      </c>
    </row>
    <row r="1168" spans="1:5">
      <c r="A1168" t="s">
        <v>6989</v>
      </c>
      <c r="B1168" t="s">
        <v>6990</v>
      </c>
      <c r="C1168" t="s">
        <v>6989</v>
      </c>
      <c r="D1168" t="s">
        <v>192</v>
      </c>
      <c r="E1168" t="s">
        <v>192</v>
      </c>
    </row>
    <row r="1169" spans="1:5">
      <c r="A1169" t="s">
        <v>6991</v>
      </c>
      <c r="B1169" t="s">
        <v>6992</v>
      </c>
      <c r="C1169" t="s">
        <v>6991</v>
      </c>
      <c r="D1169" t="s">
        <v>192</v>
      </c>
      <c r="E1169" t="s">
        <v>192</v>
      </c>
    </row>
    <row r="1170" spans="1:5">
      <c r="A1170" t="s">
        <v>6993</v>
      </c>
      <c r="B1170" t="s">
        <v>6994</v>
      </c>
      <c r="C1170" t="s">
        <v>6993</v>
      </c>
      <c r="D1170" t="s">
        <v>192</v>
      </c>
      <c r="E1170" t="s">
        <v>192</v>
      </c>
    </row>
    <row r="1171" spans="1:5">
      <c r="A1171" t="s">
        <v>6995</v>
      </c>
      <c r="B1171" t="s">
        <v>6996</v>
      </c>
      <c r="C1171" t="s">
        <v>6995</v>
      </c>
      <c r="D1171" t="s">
        <v>192</v>
      </c>
      <c r="E1171" t="s">
        <v>192</v>
      </c>
    </row>
    <row r="1172" spans="1:5">
      <c r="A1172" t="s">
        <v>6997</v>
      </c>
      <c r="B1172" t="s">
        <v>6998</v>
      </c>
      <c r="C1172" t="s">
        <v>6997</v>
      </c>
      <c r="D1172" t="s">
        <v>192</v>
      </c>
      <c r="E1172" t="s">
        <v>192</v>
      </c>
    </row>
    <row r="1173" spans="1:5">
      <c r="A1173" t="s">
        <v>6999</v>
      </c>
      <c r="B1173" t="s">
        <v>7000</v>
      </c>
      <c r="C1173" t="s">
        <v>6999</v>
      </c>
      <c r="D1173" t="s">
        <v>192</v>
      </c>
      <c r="E1173" t="s">
        <v>192</v>
      </c>
    </row>
    <row r="1174" spans="1:5">
      <c r="A1174" t="s">
        <v>7001</v>
      </c>
      <c r="B1174" t="s">
        <v>7002</v>
      </c>
      <c r="C1174" t="s">
        <v>7001</v>
      </c>
      <c r="D1174" t="s">
        <v>192</v>
      </c>
      <c r="E1174" t="s">
        <v>192</v>
      </c>
    </row>
    <row r="1175" spans="1:5">
      <c r="A1175" t="s">
        <v>7003</v>
      </c>
      <c r="B1175" t="s">
        <v>7004</v>
      </c>
      <c r="C1175" t="s">
        <v>7003</v>
      </c>
      <c r="D1175" t="s">
        <v>192</v>
      </c>
      <c r="E1175" t="s">
        <v>192</v>
      </c>
    </row>
    <row r="1176" spans="1:5">
      <c r="A1176" t="s">
        <v>7005</v>
      </c>
      <c r="B1176" t="s">
        <v>7006</v>
      </c>
      <c r="C1176" t="s">
        <v>7005</v>
      </c>
      <c r="D1176" t="s">
        <v>192</v>
      </c>
      <c r="E1176" t="s">
        <v>192</v>
      </c>
    </row>
    <row r="1177" spans="1:5">
      <c r="A1177" t="s">
        <v>7007</v>
      </c>
      <c r="B1177" t="s">
        <v>7008</v>
      </c>
      <c r="C1177" t="s">
        <v>7007</v>
      </c>
      <c r="D1177" t="s">
        <v>192</v>
      </c>
      <c r="E1177" t="s">
        <v>192</v>
      </c>
    </row>
    <row r="1178" spans="1:5">
      <c r="A1178" t="s">
        <v>6390</v>
      </c>
      <c r="B1178" t="s">
        <v>6391</v>
      </c>
      <c r="C1178" t="s">
        <v>6390</v>
      </c>
      <c r="D1178" t="s">
        <v>192</v>
      </c>
      <c r="E1178" t="s">
        <v>192</v>
      </c>
    </row>
    <row r="1179" spans="1:5">
      <c r="A1179" t="s">
        <v>7009</v>
      </c>
      <c r="B1179" t="s">
        <v>7010</v>
      </c>
      <c r="C1179" t="s">
        <v>7009</v>
      </c>
      <c r="D1179" t="s">
        <v>192</v>
      </c>
      <c r="E1179" t="s">
        <v>192</v>
      </c>
    </row>
    <row r="1180" spans="1:5">
      <c r="A1180" t="s">
        <v>7011</v>
      </c>
      <c r="B1180" t="s">
        <v>7012</v>
      </c>
      <c r="C1180" t="s">
        <v>7011</v>
      </c>
      <c r="D1180" t="s">
        <v>192</v>
      </c>
      <c r="E1180" t="s">
        <v>192</v>
      </c>
    </row>
    <row r="1181" spans="1:5">
      <c r="A1181" t="s">
        <v>7013</v>
      </c>
      <c r="B1181" t="s">
        <v>7014</v>
      </c>
      <c r="C1181" t="s">
        <v>7013</v>
      </c>
      <c r="D1181" t="s">
        <v>192</v>
      </c>
      <c r="E1181" t="s">
        <v>192</v>
      </c>
    </row>
    <row r="1182" spans="1:5">
      <c r="A1182" t="s">
        <v>4906</v>
      </c>
      <c r="B1182" t="s">
        <v>4907</v>
      </c>
      <c r="C1182" t="s">
        <v>4906</v>
      </c>
      <c r="D1182" t="s">
        <v>192</v>
      </c>
      <c r="E1182" t="s">
        <v>192</v>
      </c>
    </row>
    <row r="1183" spans="1:5">
      <c r="A1183" t="s">
        <v>7015</v>
      </c>
      <c r="B1183" t="s">
        <v>7016</v>
      </c>
      <c r="C1183" t="s">
        <v>7015</v>
      </c>
      <c r="D1183" t="s">
        <v>192</v>
      </c>
      <c r="E1183" t="s">
        <v>192</v>
      </c>
    </row>
    <row r="1184" spans="1:5">
      <c r="A1184" t="s">
        <v>7017</v>
      </c>
      <c r="B1184" t="s">
        <v>7018</v>
      </c>
      <c r="C1184" t="s">
        <v>7017</v>
      </c>
      <c r="D1184" t="s">
        <v>192</v>
      </c>
      <c r="E1184" t="s">
        <v>192</v>
      </c>
    </row>
    <row r="1185" spans="1:5">
      <c r="A1185" t="s">
        <v>7019</v>
      </c>
      <c r="B1185" t="s">
        <v>7020</v>
      </c>
      <c r="C1185" t="s">
        <v>7019</v>
      </c>
      <c r="D1185" t="s">
        <v>192</v>
      </c>
      <c r="E1185" t="s">
        <v>192</v>
      </c>
    </row>
    <row r="1186" spans="1:5">
      <c r="A1186" t="s">
        <v>7021</v>
      </c>
      <c r="B1186" t="s">
        <v>7022</v>
      </c>
      <c r="C1186" t="s">
        <v>7021</v>
      </c>
      <c r="D1186" t="s">
        <v>192</v>
      </c>
      <c r="E1186" t="s">
        <v>192</v>
      </c>
    </row>
    <row r="1187" spans="1:5">
      <c r="A1187" t="s">
        <v>7023</v>
      </c>
      <c r="B1187" t="s">
        <v>7024</v>
      </c>
      <c r="C1187" t="s">
        <v>7023</v>
      </c>
      <c r="D1187" t="s">
        <v>192</v>
      </c>
      <c r="E1187" t="s">
        <v>192</v>
      </c>
    </row>
    <row r="1188" spans="1:5">
      <c r="A1188" t="s">
        <v>7025</v>
      </c>
      <c r="B1188" t="s">
        <v>7026</v>
      </c>
      <c r="C1188" t="s">
        <v>7025</v>
      </c>
      <c r="D1188" t="s">
        <v>192</v>
      </c>
      <c r="E1188" t="s">
        <v>192</v>
      </c>
    </row>
    <row r="1189" spans="1:5">
      <c r="A1189" t="s">
        <v>7027</v>
      </c>
      <c r="B1189" t="s">
        <v>7028</v>
      </c>
      <c r="C1189" t="s">
        <v>7027</v>
      </c>
      <c r="D1189" t="s">
        <v>192</v>
      </c>
      <c r="E1189" t="s">
        <v>192</v>
      </c>
    </row>
    <row r="1190" spans="1:5">
      <c r="A1190" t="s">
        <v>7029</v>
      </c>
      <c r="B1190" t="s">
        <v>7030</v>
      </c>
      <c r="C1190" t="s">
        <v>7029</v>
      </c>
      <c r="D1190" t="s">
        <v>192</v>
      </c>
      <c r="E1190" t="s">
        <v>192</v>
      </c>
    </row>
    <row r="1191" spans="1:5">
      <c r="A1191" t="s">
        <v>7031</v>
      </c>
      <c r="B1191" t="s">
        <v>7032</v>
      </c>
      <c r="C1191" t="s">
        <v>7031</v>
      </c>
      <c r="D1191" t="s">
        <v>192</v>
      </c>
      <c r="E1191" t="s">
        <v>192</v>
      </c>
    </row>
    <row r="1192" spans="1:5">
      <c r="A1192" t="s">
        <v>7033</v>
      </c>
      <c r="B1192" t="s">
        <v>7034</v>
      </c>
      <c r="C1192" t="s">
        <v>7033</v>
      </c>
      <c r="D1192" t="s">
        <v>192</v>
      </c>
      <c r="E1192" t="s">
        <v>192</v>
      </c>
    </row>
    <row r="1193" spans="1:5">
      <c r="A1193" t="s">
        <v>7035</v>
      </c>
      <c r="B1193" t="s">
        <v>7036</v>
      </c>
      <c r="C1193" t="s">
        <v>7035</v>
      </c>
      <c r="D1193" t="s">
        <v>192</v>
      </c>
      <c r="E1193" t="s">
        <v>192</v>
      </c>
    </row>
    <row r="1194" spans="1:5">
      <c r="A1194" t="s">
        <v>7037</v>
      </c>
      <c r="B1194" t="s">
        <v>7038</v>
      </c>
      <c r="C1194" t="s">
        <v>7037</v>
      </c>
      <c r="D1194" t="s">
        <v>192</v>
      </c>
      <c r="E1194" t="s">
        <v>192</v>
      </c>
    </row>
    <row r="1195" spans="1:5">
      <c r="A1195" t="s">
        <v>7039</v>
      </c>
      <c r="B1195" t="s">
        <v>7040</v>
      </c>
      <c r="C1195" t="s">
        <v>7039</v>
      </c>
      <c r="D1195" t="s">
        <v>192</v>
      </c>
      <c r="E1195" t="s">
        <v>192</v>
      </c>
    </row>
    <row r="1196" spans="1:5">
      <c r="A1196" t="s">
        <v>7041</v>
      </c>
      <c r="B1196" t="s">
        <v>7042</v>
      </c>
      <c r="C1196" t="s">
        <v>7041</v>
      </c>
      <c r="D1196" t="s">
        <v>192</v>
      </c>
      <c r="E1196" t="s">
        <v>192</v>
      </c>
    </row>
    <row r="1197" spans="1:5">
      <c r="A1197" t="s">
        <v>7043</v>
      </c>
      <c r="B1197" t="s">
        <v>7044</v>
      </c>
      <c r="C1197" t="s">
        <v>7043</v>
      </c>
      <c r="D1197" t="s">
        <v>192</v>
      </c>
      <c r="E1197" t="s">
        <v>192</v>
      </c>
    </row>
    <row r="1198" spans="1:5">
      <c r="A1198" t="s">
        <v>4428</v>
      </c>
      <c r="B1198" t="s">
        <v>4429</v>
      </c>
      <c r="C1198" t="s">
        <v>4428</v>
      </c>
      <c r="D1198" t="s">
        <v>192</v>
      </c>
      <c r="E1198" t="s">
        <v>192</v>
      </c>
    </row>
    <row r="1199" spans="1:5">
      <c r="A1199" t="s">
        <v>7045</v>
      </c>
      <c r="B1199" t="s">
        <v>7046</v>
      </c>
      <c r="C1199" t="s">
        <v>7045</v>
      </c>
      <c r="D1199" t="s">
        <v>192</v>
      </c>
      <c r="E1199" t="s">
        <v>192</v>
      </c>
    </row>
    <row r="1200" spans="1:5">
      <c r="A1200" t="s">
        <v>4426</v>
      </c>
      <c r="B1200" t="s">
        <v>4427</v>
      </c>
      <c r="C1200" t="s">
        <v>4426</v>
      </c>
      <c r="D1200" t="s">
        <v>192</v>
      </c>
      <c r="E1200" t="s">
        <v>192</v>
      </c>
    </row>
    <row r="1201" spans="1:5">
      <c r="A1201" t="s">
        <v>4424</v>
      </c>
      <c r="B1201" t="s">
        <v>4425</v>
      </c>
      <c r="C1201" t="s">
        <v>4424</v>
      </c>
      <c r="D1201" t="s">
        <v>192</v>
      </c>
      <c r="E1201" t="s">
        <v>192</v>
      </c>
    </row>
    <row r="1202" spans="1:5">
      <c r="A1202" t="s">
        <v>7047</v>
      </c>
      <c r="B1202" t="s">
        <v>7048</v>
      </c>
      <c r="C1202" t="s">
        <v>7047</v>
      </c>
      <c r="D1202" t="s">
        <v>192</v>
      </c>
      <c r="E1202" t="s">
        <v>192</v>
      </c>
    </row>
    <row r="1203" spans="1:5">
      <c r="A1203" t="s">
        <v>7049</v>
      </c>
      <c r="B1203" t="s">
        <v>7050</v>
      </c>
      <c r="C1203" t="s">
        <v>7049</v>
      </c>
      <c r="D1203" t="s">
        <v>192</v>
      </c>
      <c r="E1203" t="s">
        <v>192</v>
      </c>
    </row>
    <row r="1204" spans="1:5">
      <c r="A1204" t="s">
        <v>4422</v>
      </c>
      <c r="B1204" t="s">
        <v>4423</v>
      </c>
      <c r="C1204" t="s">
        <v>4422</v>
      </c>
      <c r="D1204" t="s">
        <v>192</v>
      </c>
      <c r="E1204" t="s">
        <v>192</v>
      </c>
    </row>
    <row r="1205" spans="1:5">
      <c r="A1205" t="s">
        <v>4420</v>
      </c>
      <c r="B1205" t="s">
        <v>4421</v>
      </c>
      <c r="C1205" t="s">
        <v>4420</v>
      </c>
      <c r="D1205" t="s">
        <v>192</v>
      </c>
      <c r="E1205" t="s">
        <v>192</v>
      </c>
    </row>
    <row r="1206" spans="1:5">
      <c r="A1206" t="s">
        <v>7051</v>
      </c>
      <c r="B1206" t="s">
        <v>7052</v>
      </c>
      <c r="C1206" t="s">
        <v>7051</v>
      </c>
      <c r="D1206" t="s">
        <v>192</v>
      </c>
      <c r="E1206" t="s">
        <v>192</v>
      </c>
    </row>
    <row r="1207" spans="1:5">
      <c r="A1207" t="s">
        <v>7053</v>
      </c>
      <c r="B1207" t="s">
        <v>7054</v>
      </c>
      <c r="C1207" t="s">
        <v>7053</v>
      </c>
      <c r="D1207" t="s">
        <v>192</v>
      </c>
      <c r="E1207" t="s">
        <v>192</v>
      </c>
    </row>
    <row r="1208" spans="1:5">
      <c r="A1208" t="s">
        <v>4418</v>
      </c>
      <c r="B1208" t="s">
        <v>4419</v>
      </c>
      <c r="C1208" t="s">
        <v>4418</v>
      </c>
      <c r="D1208" t="s">
        <v>192</v>
      </c>
      <c r="E1208" t="s">
        <v>192</v>
      </c>
    </row>
    <row r="1209" spans="1:5">
      <c r="A1209" t="s">
        <v>4416</v>
      </c>
      <c r="B1209" t="s">
        <v>4417</v>
      </c>
      <c r="C1209" t="s">
        <v>4416</v>
      </c>
      <c r="D1209" t="s">
        <v>192</v>
      </c>
      <c r="E1209" t="s">
        <v>192</v>
      </c>
    </row>
    <row r="1210" spans="1:5">
      <c r="A1210" t="s">
        <v>4414</v>
      </c>
      <c r="B1210" t="s">
        <v>4415</v>
      </c>
      <c r="C1210" t="s">
        <v>4414</v>
      </c>
      <c r="D1210" t="s">
        <v>192</v>
      </c>
      <c r="E1210" t="s">
        <v>192</v>
      </c>
    </row>
    <row r="1211" spans="1:5">
      <c r="A1211" t="s">
        <v>4412</v>
      </c>
      <c r="B1211" t="s">
        <v>4413</v>
      </c>
      <c r="C1211" t="s">
        <v>4412</v>
      </c>
      <c r="D1211" t="s">
        <v>192</v>
      </c>
      <c r="E1211" t="s">
        <v>192</v>
      </c>
    </row>
    <row r="1212" spans="1:5">
      <c r="A1212" t="s">
        <v>4410</v>
      </c>
      <c r="B1212" t="s">
        <v>4411</v>
      </c>
      <c r="C1212" t="s">
        <v>4410</v>
      </c>
      <c r="D1212" t="s">
        <v>192</v>
      </c>
      <c r="E1212" t="s">
        <v>192</v>
      </c>
    </row>
    <row r="1213" spans="1:5">
      <c r="A1213" t="s">
        <v>4408</v>
      </c>
      <c r="B1213" t="s">
        <v>4409</v>
      </c>
      <c r="C1213" t="s">
        <v>4408</v>
      </c>
      <c r="D1213" t="s">
        <v>192</v>
      </c>
      <c r="E1213" t="s">
        <v>192</v>
      </c>
    </row>
    <row r="1214" spans="1:5">
      <c r="A1214" t="s">
        <v>4406</v>
      </c>
      <c r="B1214" t="s">
        <v>4407</v>
      </c>
      <c r="C1214" t="s">
        <v>4406</v>
      </c>
      <c r="D1214" t="s">
        <v>192</v>
      </c>
      <c r="E1214" t="s">
        <v>192</v>
      </c>
    </row>
    <row r="1215" spans="1:5">
      <c r="A1215" t="s">
        <v>7055</v>
      </c>
      <c r="B1215" t="s">
        <v>7056</v>
      </c>
      <c r="C1215" t="s">
        <v>7055</v>
      </c>
      <c r="D1215" t="s">
        <v>192</v>
      </c>
      <c r="E1215" t="s">
        <v>192</v>
      </c>
    </row>
    <row r="1216" spans="1:5">
      <c r="A1216" t="s">
        <v>7057</v>
      </c>
      <c r="B1216" t="s">
        <v>7058</v>
      </c>
      <c r="C1216" t="s">
        <v>7057</v>
      </c>
      <c r="D1216" t="s">
        <v>192</v>
      </c>
      <c r="E1216" t="s">
        <v>192</v>
      </c>
    </row>
    <row r="1217" spans="1:5">
      <c r="A1217" t="s">
        <v>7059</v>
      </c>
      <c r="B1217" t="s">
        <v>7060</v>
      </c>
      <c r="C1217" t="s">
        <v>7059</v>
      </c>
      <c r="D1217" t="s">
        <v>192</v>
      </c>
      <c r="E1217" t="s">
        <v>192</v>
      </c>
    </row>
    <row r="1218" spans="1:5">
      <c r="A1218" t="s">
        <v>3866</v>
      </c>
      <c r="B1218" t="s">
        <v>3867</v>
      </c>
      <c r="C1218" t="s">
        <v>3866</v>
      </c>
      <c r="D1218" t="s">
        <v>192</v>
      </c>
      <c r="E1218" t="s">
        <v>192</v>
      </c>
    </row>
    <row r="1219" spans="1:5">
      <c r="A1219" t="s">
        <v>7061</v>
      </c>
      <c r="B1219" t="s">
        <v>7062</v>
      </c>
      <c r="C1219" t="s">
        <v>7061</v>
      </c>
      <c r="D1219" t="s">
        <v>192</v>
      </c>
      <c r="E1219" t="s">
        <v>192</v>
      </c>
    </row>
    <row r="1220" spans="1:5">
      <c r="A1220" t="s">
        <v>7063</v>
      </c>
      <c r="B1220" t="s">
        <v>7064</v>
      </c>
      <c r="C1220" t="s">
        <v>7063</v>
      </c>
      <c r="D1220" t="s">
        <v>192</v>
      </c>
      <c r="E1220" t="s">
        <v>192</v>
      </c>
    </row>
    <row r="1221" spans="1:5">
      <c r="A1221" t="s">
        <v>7065</v>
      </c>
      <c r="B1221" t="s">
        <v>7066</v>
      </c>
      <c r="C1221" t="s">
        <v>7065</v>
      </c>
      <c r="D1221" t="s">
        <v>192</v>
      </c>
      <c r="E1221" t="s">
        <v>192</v>
      </c>
    </row>
    <row r="1222" spans="1:5">
      <c r="A1222" t="s">
        <v>7067</v>
      </c>
      <c r="B1222" t="s">
        <v>7068</v>
      </c>
      <c r="C1222" t="s">
        <v>7067</v>
      </c>
      <c r="D1222" t="s">
        <v>192</v>
      </c>
      <c r="E1222" t="s">
        <v>192</v>
      </c>
    </row>
    <row r="1223" spans="1:5">
      <c r="A1223" t="s">
        <v>7069</v>
      </c>
      <c r="B1223" t="s">
        <v>7070</v>
      </c>
      <c r="C1223" t="s">
        <v>7069</v>
      </c>
      <c r="D1223" t="s">
        <v>192</v>
      </c>
      <c r="E1223" t="s">
        <v>192</v>
      </c>
    </row>
    <row r="1224" spans="1:5">
      <c r="A1224" t="s">
        <v>7071</v>
      </c>
      <c r="B1224" t="s">
        <v>7072</v>
      </c>
      <c r="C1224" t="s">
        <v>7071</v>
      </c>
      <c r="D1224" t="s">
        <v>192</v>
      </c>
      <c r="E1224" t="s">
        <v>192</v>
      </c>
    </row>
    <row r="1225" spans="1:5">
      <c r="A1225" t="s">
        <v>7073</v>
      </c>
      <c r="B1225" t="s">
        <v>7074</v>
      </c>
      <c r="C1225" t="s">
        <v>7073</v>
      </c>
      <c r="D1225" t="s">
        <v>192</v>
      </c>
      <c r="E1225" t="s">
        <v>192</v>
      </c>
    </row>
    <row r="1226" spans="1:5">
      <c r="A1226" t="s">
        <v>7075</v>
      </c>
      <c r="B1226" t="s">
        <v>7076</v>
      </c>
      <c r="C1226" t="s">
        <v>7075</v>
      </c>
      <c r="D1226" t="s">
        <v>192</v>
      </c>
      <c r="E1226" t="s">
        <v>192</v>
      </c>
    </row>
    <row r="1227" spans="1:5">
      <c r="A1227" t="s">
        <v>7077</v>
      </c>
      <c r="B1227" t="s">
        <v>7078</v>
      </c>
      <c r="C1227" t="s">
        <v>7077</v>
      </c>
      <c r="D1227" t="s">
        <v>192</v>
      </c>
      <c r="E1227" t="s">
        <v>192</v>
      </c>
    </row>
    <row r="1228" spans="1:5">
      <c r="A1228" t="s">
        <v>7079</v>
      </c>
      <c r="B1228" t="s">
        <v>7080</v>
      </c>
      <c r="C1228" t="s">
        <v>7079</v>
      </c>
      <c r="D1228" t="s">
        <v>192</v>
      </c>
      <c r="E1228" t="s">
        <v>192</v>
      </c>
    </row>
    <row r="1229" spans="1:5">
      <c r="A1229" t="s">
        <v>7081</v>
      </c>
      <c r="B1229" t="s">
        <v>7082</v>
      </c>
      <c r="C1229" t="s">
        <v>7081</v>
      </c>
      <c r="D1229" t="s">
        <v>192</v>
      </c>
      <c r="E1229" t="s">
        <v>192</v>
      </c>
    </row>
    <row r="1230" spans="1:5">
      <c r="A1230" t="s">
        <v>3900</v>
      </c>
      <c r="B1230" t="s">
        <v>3901</v>
      </c>
      <c r="C1230" t="s">
        <v>3900</v>
      </c>
      <c r="D1230" t="s">
        <v>192</v>
      </c>
      <c r="E1230" t="s">
        <v>192</v>
      </c>
    </row>
    <row r="1231" spans="1:5">
      <c r="A1231" t="s">
        <v>4442</v>
      </c>
      <c r="B1231" t="s">
        <v>4443</v>
      </c>
      <c r="C1231" t="s">
        <v>4442</v>
      </c>
      <c r="D1231" t="s">
        <v>192</v>
      </c>
      <c r="E1231" t="s">
        <v>192</v>
      </c>
    </row>
    <row r="1232" spans="1:5">
      <c r="A1232" t="s">
        <v>4440</v>
      </c>
      <c r="B1232" t="s">
        <v>4441</v>
      </c>
      <c r="C1232" t="s">
        <v>4440</v>
      </c>
      <c r="D1232" t="s">
        <v>192</v>
      </c>
      <c r="E1232" t="s">
        <v>192</v>
      </c>
    </row>
    <row r="1233" spans="1:5">
      <c r="A1233" t="s">
        <v>4438</v>
      </c>
      <c r="B1233" t="s">
        <v>4439</v>
      </c>
      <c r="C1233" t="s">
        <v>4438</v>
      </c>
      <c r="D1233" t="s">
        <v>192</v>
      </c>
      <c r="E1233" t="s">
        <v>192</v>
      </c>
    </row>
    <row r="1234" spans="1:5">
      <c r="A1234" t="s">
        <v>4436</v>
      </c>
      <c r="B1234" t="s">
        <v>4437</v>
      </c>
      <c r="C1234" t="s">
        <v>4436</v>
      </c>
      <c r="D1234" t="s">
        <v>192</v>
      </c>
      <c r="E1234" t="s">
        <v>192</v>
      </c>
    </row>
    <row r="1235" spans="1:5">
      <c r="A1235" t="s">
        <v>5355</v>
      </c>
      <c r="B1235" t="s">
        <v>5356</v>
      </c>
      <c r="C1235" t="s">
        <v>5355</v>
      </c>
      <c r="D1235" t="s">
        <v>192</v>
      </c>
      <c r="E1235" t="s">
        <v>192</v>
      </c>
    </row>
    <row r="1236" spans="1:5">
      <c r="A1236" t="s">
        <v>6176</v>
      </c>
      <c r="B1236" t="s">
        <v>6177</v>
      </c>
      <c r="C1236" t="s">
        <v>6176</v>
      </c>
      <c r="D1236" t="s">
        <v>192</v>
      </c>
      <c r="E1236" t="s">
        <v>192</v>
      </c>
    </row>
    <row r="1237" spans="1:5">
      <c r="A1237" t="s">
        <v>4434</v>
      </c>
      <c r="B1237" t="s">
        <v>4435</v>
      </c>
      <c r="C1237" t="s">
        <v>4434</v>
      </c>
      <c r="D1237" t="s">
        <v>192</v>
      </c>
      <c r="E1237" t="s">
        <v>192</v>
      </c>
    </row>
    <row r="1238" spans="1:5">
      <c r="A1238" t="s">
        <v>4432</v>
      </c>
      <c r="B1238" t="s">
        <v>4433</v>
      </c>
      <c r="C1238" t="s">
        <v>4432</v>
      </c>
      <c r="D1238" t="s">
        <v>192</v>
      </c>
      <c r="E1238" t="s">
        <v>192</v>
      </c>
    </row>
    <row r="1239" spans="1:5">
      <c r="A1239" t="s">
        <v>4430</v>
      </c>
      <c r="B1239" t="s">
        <v>4431</v>
      </c>
      <c r="C1239" t="s">
        <v>4430</v>
      </c>
      <c r="D1239" t="s">
        <v>192</v>
      </c>
      <c r="E1239" t="s">
        <v>192</v>
      </c>
    </row>
    <row r="1240" spans="1:5">
      <c r="A1240" t="s">
        <v>6278</v>
      </c>
      <c r="B1240" t="s">
        <v>6279</v>
      </c>
      <c r="C1240" t="s">
        <v>6278</v>
      </c>
      <c r="D1240" t="s">
        <v>192</v>
      </c>
      <c r="E1240" t="s">
        <v>192</v>
      </c>
    </row>
    <row r="1241" spans="1:5">
      <c r="A1241" t="s">
        <v>7083</v>
      </c>
      <c r="B1241" t="s">
        <v>7084</v>
      </c>
      <c r="C1241" t="s">
        <v>7083</v>
      </c>
      <c r="D1241" t="s">
        <v>192</v>
      </c>
      <c r="E1241" t="s">
        <v>192</v>
      </c>
    </row>
    <row r="1242" spans="1:5">
      <c r="A1242" t="s">
        <v>7085</v>
      </c>
      <c r="B1242" t="s">
        <v>7086</v>
      </c>
      <c r="C1242" t="s">
        <v>7085</v>
      </c>
      <c r="D1242" t="s">
        <v>192</v>
      </c>
      <c r="E1242" t="s">
        <v>192</v>
      </c>
    </row>
    <row r="1243" spans="1:5">
      <c r="A1243" t="s">
        <v>7087</v>
      </c>
      <c r="B1243" t="s">
        <v>7088</v>
      </c>
      <c r="C1243" t="s">
        <v>7087</v>
      </c>
      <c r="D1243" t="s">
        <v>192</v>
      </c>
      <c r="E1243" t="s">
        <v>192</v>
      </c>
    </row>
    <row r="1244" spans="1:5">
      <c r="A1244" t="s">
        <v>7089</v>
      </c>
      <c r="B1244" t="s">
        <v>7090</v>
      </c>
      <c r="C1244" t="s">
        <v>7089</v>
      </c>
      <c r="D1244" t="s">
        <v>192</v>
      </c>
      <c r="E1244" t="s">
        <v>192</v>
      </c>
    </row>
    <row r="1245" spans="1:5">
      <c r="A1245" t="s">
        <v>7091</v>
      </c>
      <c r="B1245" t="s">
        <v>7092</v>
      </c>
      <c r="C1245" t="s">
        <v>7091</v>
      </c>
      <c r="D1245" t="s">
        <v>192</v>
      </c>
      <c r="E1245" t="s">
        <v>192</v>
      </c>
    </row>
    <row r="1246" spans="1:5">
      <c r="A1246" t="s">
        <v>7093</v>
      </c>
      <c r="B1246" t="s">
        <v>7094</v>
      </c>
      <c r="C1246" t="s">
        <v>7093</v>
      </c>
      <c r="D1246" t="s">
        <v>192</v>
      </c>
      <c r="E1246" t="s">
        <v>192</v>
      </c>
    </row>
    <row r="1247" spans="1:5">
      <c r="A1247" t="s">
        <v>7095</v>
      </c>
      <c r="B1247" t="s">
        <v>7096</v>
      </c>
      <c r="C1247" t="s">
        <v>7095</v>
      </c>
      <c r="D1247" t="s">
        <v>192</v>
      </c>
      <c r="E1247" t="s">
        <v>192</v>
      </c>
    </row>
    <row r="1248" spans="1:5">
      <c r="A1248" t="s">
        <v>7097</v>
      </c>
      <c r="B1248" t="s">
        <v>7098</v>
      </c>
      <c r="C1248" t="s">
        <v>7097</v>
      </c>
      <c r="D1248" t="s">
        <v>192</v>
      </c>
      <c r="E1248" t="s">
        <v>192</v>
      </c>
    </row>
    <row r="1249" spans="1:5">
      <c r="A1249" t="s">
        <v>7099</v>
      </c>
      <c r="B1249" t="s">
        <v>7100</v>
      </c>
      <c r="C1249" t="s">
        <v>7099</v>
      </c>
      <c r="D1249" t="s">
        <v>192</v>
      </c>
      <c r="E1249" t="s">
        <v>192</v>
      </c>
    </row>
    <row r="1250" spans="1:5">
      <c r="A1250" t="s">
        <v>7101</v>
      </c>
      <c r="B1250" t="s">
        <v>7102</v>
      </c>
      <c r="C1250" t="s">
        <v>7101</v>
      </c>
      <c r="D1250" t="s">
        <v>192</v>
      </c>
      <c r="E1250" t="s">
        <v>192</v>
      </c>
    </row>
    <row r="1251" spans="1:5">
      <c r="A1251" t="s">
        <v>7103</v>
      </c>
      <c r="B1251" t="s">
        <v>7104</v>
      </c>
      <c r="C1251" t="s">
        <v>7103</v>
      </c>
      <c r="D1251" t="s">
        <v>192</v>
      </c>
      <c r="E1251" t="s">
        <v>192</v>
      </c>
    </row>
    <row r="1252" spans="1:5">
      <c r="A1252" t="s">
        <v>7105</v>
      </c>
      <c r="B1252" t="s">
        <v>7106</v>
      </c>
      <c r="C1252" t="s">
        <v>7105</v>
      </c>
      <c r="D1252" t="s">
        <v>192</v>
      </c>
      <c r="E1252" t="s">
        <v>192</v>
      </c>
    </row>
    <row r="1253" spans="1:5">
      <c r="A1253" t="s">
        <v>7107</v>
      </c>
      <c r="B1253" t="s">
        <v>7108</v>
      </c>
      <c r="C1253" t="s">
        <v>7107</v>
      </c>
      <c r="D1253" t="s">
        <v>192</v>
      </c>
      <c r="E1253" t="s">
        <v>192</v>
      </c>
    </row>
    <row r="1254" spans="1:5">
      <c r="A1254" t="s">
        <v>7109</v>
      </c>
      <c r="B1254" t="s">
        <v>7110</v>
      </c>
      <c r="C1254" t="s">
        <v>7109</v>
      </c>
      <c r="D1254" t="s">
        <v>192</v>
      </c>
      <c r="E1254" t="s">
        <v>192</v>
      </c>
    </row>
    <row r="1255" spans="1:5">
      <c r="A1255" t="s">
        <v>7111</v>
      </c>
      <c r="B1255" t="s">
        <v>7112</v>
      </c>
      <c r="C1255" t="s">
        <v>7111</v>
      </c>
      <c r="D1255" t="s">
        <v>192</v>
      </c>
      <c r="E1255" t="s">
        <v>192</v>
      </c>
    </row>
    <row r="1256" spans="1:5">
      <c r="A1256" t="s">
        <v>7113</v>
      </c>
      <c r="B1256" t="s">
        <v>7114</v>
      </c>
      <c r="C1256" t="s">
        <v>7113</v>
      </c>
      <c r="D1256" t="s">
        <v>192</v>
      </c>
      <c r="E1256" t="s">
        <v>192</v>
      </c>
    </row>
    <row r="1257" spans="1:5">
      <c r="A1257" t="s">
        <v>7115</v>
      </c>
      <c r="B1257" t="s">
        <v>7116</v>
      </c>
      <c r="C1257" t="s">
        <v>7115</v>
      </c>
      <c r="D1257" t="s">
        <v>192</v>
      </c>
      <c r="E1257" t="s">
        <v>192</v>
      </c>
    </row>
    <row r="1258" spans="1:5">
      <c r="A1258" t="s">
        <v>7117</v>
      </c>
      <c r="B1258" t="s">
        <v>7118</v>
      </c>
      <c r="C1258" t="s">
        <v>7117</v>
      </c>
      <c r="D1258" t="s">
        <v>192</v>
      </c>
      <c r="E1258" t="s">
        <v>192</v>
      </c>
    </row>
    <row r="1259" spans="1:5">
      <c r="A1259" t="s">
        <v>7119</v>
      </c>
      <c r="B1259" t="s">
        <v>7120</v>
      </c>
      <c r="C1259" t="s">
        <v>7119</v>
      </c>
      <c r="D1259" t="s">
        <v>192</v>
      </c>
      <c r="E1259" t="s">
        <v>192</v>
      </c>
    </row>
    <row r="1260" spans="1:5">
      <c r="A1260" t="s">
        <v>4404</v>
      </c>
      <c r="B1260" t="s">
        <v>4405</v>
      </c>
      <c r="C1260" t="s">
        <v>4404</v>
      </c>
      <c r="D1260" t="s">
        <v>192</v>
      </c>
      <c r="E1260" t="s">
        <v>192</v>
      </c>
    </row>
    <row r="1261" spans="1:5">
      <c r="A1261" t="s">
        <v>4402</v>
      </c>
      <c r="B1261" t="s">
        <v>4403</v>
      </c>
      <c r="C1261" t="s">
        <v>4402</v>
      </c>
      <c r="D1261" t="s">
        <v>192</v>
      </c>
      <c r="E1261" t="s">
        <v>192</v>
      </c>
    </row>
    <row r="1262" spans="1:5">
      <c r="A1262" t="s">
        <v>7121</v>
      </c>
      <c r="B1262" t="s">
        <v>7122</v>
      </c>
      <c r="C1262" t="s">
        <v>7121</v>
      </c>
      <c r="D1262" t="s">
        <v>192</v>
      </c>
      <c r="E1262" t="s">
        <v>192</v>
      </c>
    </row>
    <row r="1263" spans="1:5">
      <c r="A1263" t="s">
        <v>5224</v>
      </c>
      <c r="B1263" t="s">
        <v>5225</v>
      </c>
      <c r="C1263" t="s">
        <v>5224</v>
      </c>
      <c r="D1263" t="s">
        <v>192</v>
      </c>
      <c r="E1263" t="s">
        <v>192</v>
      </c>
    </row>
    <row r="1264" spans="1:5">
      <c r="A1264" t="s">
        <v>7123</v>
      </c>
      <c r="B1264" t="s">
        <v>7124</v>
      </c>
      <c r="C1264" t="s">
        <v>7123</v>
      </c>
      <c r="D1264" t="s">
        <v>192</v>
      </c>
      <c r="E1264" t="s">
        <v>192</v>
      </c>
    </row>
    <row r="1265" spans="1:5">
      <c r="A1265" t="s">
        <v>7125</v>
      </c>
      <c r="B1265" t="s">
        <v>7126</v>
      </c>
      <c r="C1265" t="s">
        <v>7125</v>
      </c>
      <c r="D1265" t="s">
        <v>192</v>
      </c>
      <c r="E1265" t="s">
        <v>192</v>
      </c>
    </row>
    <row r="1266" spans="1:5">
      <c r="A1266" t="s">
        <v>7127</v>
      </c>
      <c r="B1266" t="s">
        <v>7128</v>
      </c>
      <c r="C1266" t="s">
        <v>7127</v>
      </c>
      <c r="D1266" t="s">
        <v>192</v>
      </c>
      <c r="E1266" t="s">
        <v>192</v>
      </c>
    </row>
    <row r="1267" spans="1:5">
      <c r="A1267" t="s">
        <v>7129</v>
      </c>
      <c r="B1267" t="s">
        <v>7130</v>
      </c>
      <c r="C1267" t="s">
        <v>7129</v>
      </c>
      <c r="D1267" t="s">
        <v>192</v>
      </c>
      <c r="E1267" t="s">
        <v>192</v>
      </c>
    </row>
    <row r="1268" spans="1:5">
      <c r="A1268" t="s">
        <v>7131</v>
      </c>
      <c r="B1268" t="s">
        <v>7132</v>
      </c>
      <c r="C1268" t="s">
        <v>7131</v>
      </c>
      <c r="D1268" t="s">
        <v>192</v>
      </c>
      <c r="E1268" t="s">
        <v>192</v>
      </c>
    </row>
    <row r="1269" spans="1:5">
      <c r="A1269" t="s">
        <v>7133</v>
      </c>
      <c r="B1269" t="s">
        <v>7134</v>
      </c>
      <c r="C1269" t="s">
        <v>7133</v>
      </c>
      <c r="D1269" t="s">
        <v>192</v>
      </c>
      <c r="E1269" t="s">
        <v>192</v>
      </c>
    </row>
    <row r="1270" spans="1:5">
      <c r="A1270" t="s">
        <v>7135</v>
      </c>
      <c r="B1270" t="s">
        <v>7136</v>
      </c>
      <c r="C1270" t="s">
        <v>7135</v>
      </c>
      <c r="D1270" t="s">
        <v>192</v>
      </c>
      <c r="E1270" t="s">
        <v>192</v>
      </c>
    </row>
    <row r="1271" spans="1:5">
      <c r="A1271" t="s">
        <v>4342</v>
      </c>
      <c r="B1271" t="s">
        <v>4343</v>
      </c>
      <c r="C1271" t="s">
        <v>4342</v>
      </c>
      <c r="D1271" t="s">
        <v>192</v>
      </c>
      <c r="E1271" t="s">
        <v>192</v>
      </c>
    </row>
    <row r="1272" spans="1:5">
      <c r="A1272" t="s">
        <v>4340</v>
      </c>
      <c r="B1272" t="s">
        <v>4341</v>
      </c>
      <c r="C1272" t="s">
        <v>4340</v>
      </c>
      <c r="D1272" t="s">
        <v>192</v>
      </c>
      <c r="E1272" t="s">
        <v>192</v>
      </c>
    </row>
    <row r="1273" spans="1:5">
      <c r="A1273" t="s">
        <v>4338</v>
      </c>
      <c r="B1273" t="s">
        <v>4339</v>
      </c>
      <c r="C1273" t="s">
        <v>4338</v>
      </c>
      <c r="D1273" t="s">
        <v>192</v>
      </c>
      <c r="E1273" t="s">
        <v>192</v>
      </c>
    </row>
    <row r="1274" spans="1:5">
      <c r="A1274" t="s">
        <v>5384</v>
      </c>
      <c r="B1274" t="s">
        <v>5385</v>
      </c>
      <c r="C1274" t="s">
        <v>5384</v>
      </c>
      <c r="D1274" t="s">
        <v>192</v>
      </c>
      <c r="E1274" t="s">
        <v>192</v>
      </c>
    </row>
    <row r="1275" spans="1:5">
      <c r="A1275" t="s">
        <v>4336</v>
      </c>
      <c r="B1275" t="s">
        <v>4337</v>
      </c>
      <c r="C1275" t="s">
        <v>4336</v>
      </c>
      <c r="D1275" t="s">
        <v>192</v>
      </c>
      <c r="E1275" t="s">
        <v>192</v>
      </c>
    </row>
    <row r="1276" spans="1:5">
      <c r="A1276" t="s">
        <v>4322</v>
      </c>
      <c r="B1276" t="s">
        <v>4323</v>
      </c>
      <c r="C1276" t="s">
        <v>4322</v>
      </c>
      <c r="D1276" t="s">
        <v>192</v>
      </c>
      <c r="E1276" t="s">
        <v>192</v>
      </c>
    </row>
    <row r="1277" spans="1:5">
      <c r="A1277" t="s">
        <v>4656</v>
      </c>
      <c r="B1277" t="s">
        <v>4657</v>
      </c>
      <c r="C1277" t="s">
        <v>4656</v>
      </c>
      <c r="D1277" t="s">
        <v>192</v>
      </c>
      <c r="E1277" t="s">
        <v>192</v>
      </c>
    </row>
    <row r="1278" spans="1:5">
      <c r="A1278" t="s">
        <v>5175</v>
      </c>
      <c r="B1278" t="s">
        <v>5176</v>
      </c>
      <c r="C1278" t="s">
        <v>5175</v>
      </c>
      <c r="D1278" t="s">
        <v>192</v>
      </c>
      <c r="E1278" t="s">
        <v>192</v>
      </c>
    </row>
    <row r="1279" spans="1:5">
      <c r="A1279" t="s">
        <v>4831</v>
      </c>
      <c r="B1279" t="s">
        <v>4832</v>
      </c>
      <c r="C1279" t="s">
        <v>4831</v>
      </c>
      <c r="D1279" t="s">
        <v>192</v>
      </c>
      <c r="E1279" t="s">
        <v>192</v>
      </c>
    </row>
    <row r="1280" spans="1:5">
      <c r="A1280" t="s">
        <v>4320</v>
      </c>
      <c r="B1280" t="s">
        <v>4321</v>
      </c>
      <c r="C1280" t="s">
        <v>4320</v>
      </c>
      <c r="D1280" t="s">
        <v>192</v>
      </c>
      <c r="E1280" t="s">
        <v>192</v>
      </c>
    </row>
    <row r="1281" spans="1:5">
      <c r="A1281" t="s">
        <v>4318</v>
      </c>
      <c r="B1281" t="s">
        <v>4319</v>
      </c>
      <c r="C1281" t="s">
        <v>4318</v>
      </c>
      <c r="D1281" t="s">
        <v>192</v>
      </c>
      <c r="E1281" t="s">
        <v>192</v>
      </c>
    </row>
    <row r="1282" spans="1:5">
      <c r="A1282" t="s">
        <v>4316</v>
      </c>
      <c r="B1282" t="s">
        <v>4317</v>
      </c>
      <c r="C1282" t="s">
        <v>4316</v>
      </c>
      <c r="D1282" t="s">
        <v>192</v>
      </c>
      <c r="E1282" t="s">
        <v>192</v>
      </c>
    </row>
    <row r="1283" spans="1:5">
      <c r="A1283" t="s">
        <v>4314</v>
      </c>
      <c r="B1283" t="s">
        <v>4315</v>
      </c>
      <c r="C1283" t="s">
        <v>4314</v>
      </c>
      <c r="D1283" t="s">
        <v>192</v>
      </c>
      <c r="E1283" t="s">
        <v>192</v>
      </c>
    </row>
    <row r="1284" spans="1:5">
      <c r="A1284" t="s">
        <v>4611</v>
      </c>
      <c r="B1284" t="s">
        <v>4612</v>
      </c>
      <c r="C1284" t="s">
        <v>4611</v>
      </c>
      <c r="D1284" t="s">
        <v>192</v>
      </c>
      <c r="E1284" t="s">
        <v>192</v>
      </c>
    </row>
    <row r="1285" spans="1:5">
      <c r="A1285" t="s">
        <v>4312</v>
      </c>
      <c r="B1285" t="s">
        <v>4313</v>
      </c>
      <c r="C1285" t="s">
        <v>4312</v>
      </c>
      <c r="D1285" t="s">
        <v>192</v>
      </c>
      <c r="E1285" t="s">
        <v>192</v>
      </c>
    </row>
    <row r="1286" spans="1:5">
      <c r="A1286" t="s">
        <v>4310</v>
      </c>
      <c r="B1286" t="s">
        <v>4311</v>
      </c>
      <c r="C1286" t="s">
        <v>4310</v>
      </c>
      <c r="D1286" t="s">
        <v>192</v>
      </c>
      <c r="E1286" t="s">
        <v>192</v>
      </c>
    </row>
    <row r="1287" spans="1:5">
      <c r="A1287" t="s">
        <v>6197</v>
      </c>
      <c r="B1287" t="s">
        <v>6198</v>
      </c>
      <c r="C1287" t="s">
        <v>6197</v>
      </c>
      <c r="D1287" t="s">
        <v>192</v>
      </c>
      <c r="E1287" t="s">
        <v>192</v>
      </c>
    </row>
    <row r="1288" spans="1:5">
      <c r="A1288" t="s">
        <v>4006</v>
      </c>
      <c r="B1288" t="s">
        <v>4007</v>
      </c>
      <c r="C1288" t="s">
        <v>4006</v>
      </c>
      <c r="D1288" t="s">
        <v>192</v>
      </c>
      <c r="E1288" t="s">
        <v>192</v>
      </c>
    </row>
    <row r="1289" spans="1:5">
      <c r="A1289" t="s">
        <v>4334</v>
      </c>
      <c r="B1289" t="s">
        <v>4335</v>
      </c>
      <c r="C1289" t="s">
        <v>4334</v>
      </c>
      <c r="D1289" t="s">
        <v>192</v>
      </c>
      <c r="E1289" t="s">
        <v>192</v>
      </c>
    </row>
    <row r="1290" spans="1:5">
      <c r="A1290" t="s">
        <v>6193</v>
      </c>
      <c r="B1290" t="s">
        <v>6194</v>
      </c>
      <c r="C1290" t="s">
        <v>6193</v>
      </c>
      <c r="D1290" t="s">
        <v>192</v>
      </c>
      <c r="E1290" t="s">
        <v>192</v>
      </c>
    </row>
    <row r="1291" spans="1:5">
      <c r="A1291" t="s">
        <v>4332</v>
      </c>
      <c r="B1291" t="s">
        <v>4333</v>
      </c>
      <c r="C1291" t="s">
        <v>4332</v>
      </c>
      <c r="D1291" t="s">
        <v>192</v>
      </c>
      <c r="E1291" t="s">
        <v>192</v>
      </c>
    </row>
    <row r="1292" spans="1:5">
      <c r="A1292" t="s">
        <v>4330</v>
      </c>
      <c r="B1292" t="s">
        <v>4331</v>
      </c>
      <c r="C1292" t="s">
        <v>4330</v>
      </c>
      <c r="D1292" t="s">
        <v>192</v>
      </c>
      <c r="E1292" t="s">
        <v>192</v>
      </c>
    </row>
    <row r="1293" spans="1:5">
      <c r="A1293" t="s">
        <v>4328</v>
      </c>
      <c r="B1293" t="s">
        <v>4329</v>
      </c>
      <c r="C1293" t="s">
        <v>4328</v>
      </c>
      <c r="D1293" t="s">
        <v>192</v>
      </c>
      <c r="E1293" t="s">
        <v>192</v>
      </c>
    </row>
    <row r="1294" spans="1:5">
      <c r="A1294" t="s">
        <v>6252</v>
      </c>
      <c r="B1294" t="s">
        <v>6253</v>
      </c>
      <c r="C1294" t="s">
        <v>6252</v>
      </c>
      <c r="D1294" t="s">
        <v>192</v>
      </c>
      <c r="E1294" t="s">
        <v>192</v>
      </c>
    </row>
    <row r="1295" spans="1:5">
      <c r="A1295" s="102" t="s">
        <v>4801</v>
      </c>
      <c r="B1295" s="646" t="s">
        <v>4802</v>
      </c>
      <c r="C1295" s="102" t="s">
        <v>4801</v>
      </c>
      <c r="D1295" s="646" t="s">
        <v>192</v>
      </c>
      <c r="E1295" s="646" t="s">
        <v>192</v>
      </c>
    </row>
    <row r="1296" spans="1:5">
      <c r="A1296" t="s">
        <v>5319</v>
      </c>
      <c r="B1296" t="s">
        <v>5320</v>
      </c>
      <c r="C1296" t="s">
        <v>5319</v>
      </c>
      <c r="D1296" t="s">
        <v>192</v>
      </c>
      <c r="E1296" t="s">
        <v>192</v>
      </c>
    </row>
    <row r="1297" spans="1:5">
      <c r="A1297" t="s">
        <v>4326</v>
      </c>
      <c r="B1297" t="s">
        <v>4327</v>
      </c>
      <c r="C1297" t="s">
        <v>4326</v>
      </c>
      <c r="D1297" t="s">
        <v>192</v>
      </c>
      <c r="E1297" t="s">
        <v>192</v>
      </c>
    </row>
    <row r="1298" spans="1:5">
      <c r="A1298" t="s">
        <v>6166</v>
      </c>
      <c r="B1298" t="s">
        <v>6167</v>
      </c>
      <c r="C1298" t="s">
        <v>6166</v>
      </c>
      <c r="D1298" t="s">
        <v>192</v>
      </c>
      <c r="E1298" t="s">
        <v>192</v>
      </c>
    </row>
    <row r="1299" spans="1:5">
      <c r="A1299" t="s">
        <v>3920</v>
      </c>
      <c r="B1299" t="s">
        <v>3921</v>
      </c>
      <c r="C1299" t="s">
        <v>3920</v>
      </c>
      <c r="D1299" t="s">
        <v>192</v>
      </c>
      <c r="E1299" t="s">
        <v>192</v>
      </c>
    </row>
    <row r="1300" spans="1:5">
      <c r="A1300" t="s">
        <v>6337</v>
      </c>
      <c r="B1300" t="s">
        <v>6338</v>
      </c>
      <c r="C1300" t="s">
        <v>6337</v>
      </c>
      <c r="D1300" t="s">
        <v>192</v>
      </c>
      <c r="E1300" t="s">
        <v>192</v>
      </c>
    </row>
    <row r="1301" spans="1:5">
      <c r="A1301" t="s">
        <v>4324</v>
      </c>
      <c r="B1301" t="s">
        <v>4325</v>
      </c>
      <c r="C1301" t="s">
        <v>4324</v>
      </c>
      <c r="D1301" t="s">
        <v>192</v>
      </c>
      <c r="E1301" t="s">
        <v>192</v>
      </c>
    </row>
    <row r="1302" spans="1:5">
      <c r="A1302" t="s">
        <v>5273</v>
      </c>
      <c r="B1302" t="s">
        <v>5274</v>
      </c>
      <c r="C1302" t="s">
        <v>5273</v>
      </c>
      <c r="D1302" t="s">
        <v>192</v>
      </c>
      <c r="E1302" t="s">
        <v>192</v>
      </c>
    </row>
    <row r="1303" spans="1:5">
      <c r="A1303" t="s">
        <v>7137</v>
      </c>
      <c r="B1303" t="s">
        <v>7138</v>
      </c>
      <c r="C1303" t="s">
        <v>7137</v>
      </c>
      <c r="D1303" t="s">
        <v>192</v>
      </c>
      <c r="E1303" t="s">
        <v>192</v>
      </c>
    </row>
    <row r="1304" spans="1:5">
      <c r="A1304" t="s">
        <v>7139</v>
      </c>
      <c r="B1304" t="s">
        <v>7140</v>
      </c>
      <c r="C1304" t="s">
        <v>7139</v>
      </c>
      <c r="D1304" t="s">
        <v>192</v>
      </c>
      <c r="E1304" t="s">
        <v>192</v>
      </c>
    </row>
    <row r="1305" spans="1:5">
      <c r="A1305" t="s">
        <v>7141</v>
      </c>
      <c r="B1305" t="s">
        <v>7142</v>
      </c>
      <c r="C1305" t="s">
        <v>7141</v>
      </c>
      <c r="D1305" t="s">
        <v>192</v>
      </c>
      <c r="E1305" t="s">
        <v>192</v>
      </c>
    </row>
    <row r="1306" spans="1:5">
      <c r="A1306" t="s">
        <v>7143</v>
      </c>
      <c r="B1306" t="s">
        <v>7144</v>
      </c>
      <c r="C1306" t="s">
        <v>7143</v>
      </c>
      <c r="D1306" t="s">
        <v>192</v>
      </c>
      <c r="E1306" t="s">
        <v>192</v>
      </c>
    </row>
    <row r="1307" spans="1:5">
      <c r="A1307" t="s">
        <v>7145</v>
      </c>
      <c r="B1307" t="s">
        <v>7146</v>
      </c>
      <c r="C1307" t="s">
        <v>7145</v>
      </c>
      <c r="D1307" t="s">
        <v>192</v>
      </c>
      <c r="E1307" t="s">
        <v>192</v>
      </c>
    </row>
    <row r="1308" spans="1:5">
      <c r="A1308" t="s">
        <v>7147</v>
      </c>
      <c r="B1308" t="s">
        <v>7148</v>
      </c>
      <c r="C1308" t="s">
        <v>7147</v>
      </c>
      <c r="D1308" t="s">
        <v>192</v>
      </c>
      <c r="E1308" t="s">
        <v>192</v>
      </c>
    </row>
    <row r="1309" spans="1:5">
      <c r="A1309" t="s">
        <v>7149</v>
      </c>
      <c r="B1309" t="s">
        <v>7150</v>
      </c>
      <c r="C1309" t="s">
        <v>7149</v>
      </c>
      <c r="D1309" t="s">
        <v>192</v>
      </c>
      <c r="E1309" t="s">
        <v>192</v>
      </c>
    </row>
    <row r="1310" spans="1:5">
      <c r="A1310" t="s">
        <v>7151</v>
      </c>
      <c r="B1310" t="s">
        <v>7152</v>
      </c>
      <c r="C1310" t="s">
        <v>7151</v>
      </c>
      <c r="D1310" t="s">
        <v>192</v>
      </c>
      <c r="E1310" t="s">
        <v>192</v>
      </c>
    </row>
    <row r="1311" spans="1:5">
      <c r="A1311" t="s">
        <v>7153</v>
      </c>
      <c r="B1311" t="s">
        <v>7154</v>
      </c>
      <c r="C1311" t="s">
        <v>7153</v>
      </c>
      <c r="D1311" t="s">
        <v>192</v>
      </c>
      <c r="E1311" t="s">
        <v>192</v>
      </c>
    </row>
    <row r="1312" spans="1:5">
      <c r="A1312" t="s">
        <v>7155</v>
      </c>
      <c r="B1312" t="s">
        <v>7156</v>
      </c>
      <c r="C1312" t="s">
        <v>7155</v>
      </c>
      <c r="D1312" t="s">
        <v>192</v>
      </c>
      <c r="E1312" t="s">
        <v>192</v>
      </c>
    </row>
    <row r="1313" spans="1:5">
      <c r="A1313" t="s">
        <v>7157</v>
      </c>
      <c r="B1313" t="s">
        <v>7158</v>
      </c>
      <c r="C1313" t="s">
        <v>7157</v>
      </c>
      <c r="D1313" t="s">
        <v>192</v>
      </c>
      <c r="E1313" t="s">
        <v>192</v>
      </c>
    </row>
    <row r="1314" spans="1:5">
      <c r="A1314" t="s">
        <v>7159</v>
      </c>
      <c r="B1314" t="s">
        <v>7160</v>
      </c>
      <c r="C1314" t="s">
        <v>7159</v>
      </c>
      <c r="D1314" t="s">
        <v>192</v>
      </c>
      <c r="E1314" t="s">
        <v>192</v>
      </c>
    </row>
    <row r="1315" spans="1:5">
      <c r="A1315" t="s">
        <v>7161</v>
      </c>
      <c r="B1315" t="s">
        <v>7162</v>
      </c>
      <c r="C1315" t="s">
        <v>7161</v>
      </c>
      <c r="D1315" t="s">
        <v>192</v>
      </c>
      <c r="E1315" t="s">
        <v>192</v>
      </c>
    </row>
    <row r="1316" spans="1:5">
      <c r="A1316" t="s">
        <v>7163</v>
      </c>
      <c r="B1316" t="s">
        <v>7164</v>
      </c>
      <c r="C1316" t="s">
        <v>7163</v>
      </c>
      <c r="D1316" t="s">
        <v>192</v>
      </c>
      <c r="E1316" t="s">
        <v>192</v>
      </c>
    </row>
    <row r="1317" spans="1:5">
      <c r="A1317" t="s">
        <v>7165</v>
      </c>
      <c r="B1317" t="s">
        <v>7166</v>
      </c>
      <c r="C1317" t="s">
        <v>7165</v>
      </c>
      <c r="D1317" t="s">
        <v>192</v>
      </c>
      <c r="E1317" t="s">
        <v>192</v>
      </c>
    </row>
    <row r="1318" spans="1:5">
      <c r="A1318" t="s">
        <v>7167</v>
      </c>
      <c r="B1318" t="s">
        <v>7168</v>
      </c>
      <c r="C1318" t="s">
        <v>7167</v>
      </c>
      <c r="D1318" t="s">
        <v>192</v>
      </c>
      <c r="E1318" t="s">
        <v>192</v>
      </c>
    </row>
    <row r="1319" spans="1:5">
      <c r="A1319" t="s">
        <v>4494</v>
      </c>
      <c r="B1319" t="s">
        <v>4495</v>
      </c>
      <c r="C1319" t="s">
        <v>4494</v>
      </c>
      <c r="D1319" t="s">
        <v>192</v>
      </c>
      <c r="E1319" t="s">
        <v>192</v>
      </c>
    </row>
    <row r="1320" spans="1:5">
      <c r="A1320" t="s">
        <v>6373</v>
      </c>
      <c r="B1320" t="s">
        <v>6374</v>
      </c>
      <c r="C1320" t="s">
        <v>6373</v>
      </c>
      <c r="D1320" t="s">
        <v>192</v>
      </c>
      <c r="E1320" t="s">
        <v>192</v>
      </c>
    </row>
    <row r="1321" spans="1:5">
      <c r="A1321" t="s">
        <v>4492</v>
      </c>
      <c r="B1321" t="s">
        <v>4493</v>
      </c>
      <c r="C1321" t="s">
        <v>4492</v>
      </c>
      <c r="D1321" t="s">
        <v>192</v>
      </c>
      <c r="E1321" t="s">
        <v>192</v>
      </c>
    </row>
    <row r="1322" spans="1:5">
      <c r="A1322" t="s">
        <v>4490</v>
      </c>
      <c r="B1322" t="s">
        <v>4491</v>
      </c>
      <c r="C1322" t="s">
        <v>4490</v>
      </c>
      <c r="D1322" t="s">
        <v>192</v>
      </c>
      <c r="E1322" t="s">
        <v>192</v>
      </c>
    </row>
    <row r="1323" spans="1:5">
      <c r="A1323" t="s">
        <v>6047</v>
      </c>
      <c r="B1323" t="s">
        <v>6048</v>
      </c>
      <c r="C1323" t="s">
        <v>6047</v>
      </c>
      <c r="D1323" t="s">
        <v>192</v>
      </c>
      <c r="E1323" t="s">
        <v>192</v>
      </c>
    </row>
    <row r="1324" spans="1:5">
      <c r="A1324" t="s">
        <v>4488</v>
      </c>
      <c r="B1324" t="s">
        <v>4489</v>
      </c>
      <c r="C1324" t="s">
        <v>4488</v>
      </c>
      <c r="D1324" t="s">
        <v>192</v>
      </c>
      <c r="E1324" t="s">
        <v>192</v>
      </c>
    </row>
    <row r="1325" spans="1:5">
      <c r="A1325" t="s">
        <v>4486</v>
      </c>
      <c r="B1325" t="s">
        <v>4487</v>
      </c>
      <c r="C1325" t="s">
        <v>4486</v>
      </c>
      <c r="D1325" t="s">
        <v>192</v>
      </c>
      <c r="E1325" t="s">
        <v>192</v>
      </c>
    </row>
    <row r="1326" spans="1:5">
      <c r="A1326" t="s">
        <v>6058</v>
      </c>
      <c r="B1326" t="s">
        <v>6059</v>
      </c>
      <c r="C1326" t="s">
        <v>6058</v>
      </c>
      <c r="D1326" t="s">
        <v>192</v>
      </c>
      <c r="E1326" t="s">
        <v>192</v>
      </c>
    </row>
    <row r="1327" spans="1:5">
      <c r="A1327" t="s">
        <v>4484</v>
      </c>
      <c r="B1327" t="s">
        <v>4485</v>
      </c>
      <c r="C1327" t="s">
        <v>4484</v>
      </c>
      <c r="D1327" t="s">
        <v>192</v>
      </c>
      <c r="E1327" t="s">
        <v>192</v>
      </c>
    </row>
    <row r="1328" spans="1:5">
      <c r="A1328" t="s">
        <v>4482</v>
      </c>
      <c r="B1328" t="s">
        <v>4483</v>
      </c>
      <c r="C1328" t="s">
        <v>4482</v>
      </c>
      <c r="D1328" t="s">
        <v>192</v>
      </c>
      <c r="E1328" t="s">
        <v>192</v>
      </c>
    </row>
    <row r="1329" spans="1:5">
      <c r="A1329" t="s">
        <v>4480</v>
      </c>
      <c r="B1329" t="s">
        <v>4481</v>
      </c>
      <c r="C1329" t="s">
        <v>4480</v>
      </c>
      <c r="D1329" t="s">
        <v>192</v>
      </c>
      <c r="E1329" t="s">
        <v>192</v>
      </c>
    </row>
    <row r="1330" spans="1:5">
      <c r="A1330" t="s">
        <v>4478</v>
      </c>
      <c r="B1330" t="s">
        <v>4479</v>
      </c>
      <c r="C1330" t="s">
        <v>4478</v>
      </c>
      <c r="D1330" t="s">
        <v>192</v>
      </c>
      <c r="E1330" t="s">
        <v>192</v>
      </c>
    </row>
    <row r="1331" spans="1:5">
      <c r="A1331" t="s">
        <v>4476</v>
      </c>
      <c r="B1331" t="s">
        <v>4477</v>
      </c>
      <c r="C1331" t="s">
        <v>4476</v>
      </c>
      <c r="D1331" t="s">
        <v>192</v>
      </c>
      <c r="E1331" t="s">
        <v>192</v>
      </c>
    </row>
    <row r="1332" spans="1:5">
      <c r="A1332" t="s">
        <v>5186</v>
      </c>
      <c r="B1332" t="s">
        <v>5187</v>
      </c>
      <c r="C1332" t="s">
        <v>5186</v>
      </c>
      <c r="D1332" t="s">
        <v>192</v>
      </c>
      <c r="E1332" t="s">
        <v>192</v>
      </c>
    </row>
    <row r="1333" spans="1:5">
      <c r="A1333" t="s">
        <v>4474</v>
      </c>
      <c r="B1333" t="s">
        <v>4475</v>
      </c>
      <c r="C1333" t="s">
        <v>4474</v>
      </c>
      <c r="D1333" t="s">
        <v>192</v>
      </c>
      <c r="E1333" t="s">
        <v>192</v>
      </c>
    </row>
    <row r="1334" spans="1:5">
      <c r="A1334" t="s">
        <v>4472</v>
      </c>
      <c r="B1334" t="s">
        <v>4473</v>
      </c>
      <c r="C1334" t="s">
        <v>4472</v>
      </c>
      <c r="D1334" t="s">
        <v>192</v>
      </c>
      <c r="E1334" t="s">
        <v>192</v>
      </c>
    </row>
    <row r="1335" spans="1:5">
      <c r="A1335" t="s">
        <v>4105</v>
      </c>
      <c r="B1335" t="s">
        <v>4106</v>
      </c>
      <c r="C1335" t="s">
        <v>4105</v>
      </c>
      <c r="D1335" t="s">
        <v>192</v>
      </c>
      <c r="E1335" t="s">
        <v>192</v>
      </c>
    </row>
    <row r="1336" spans="1:5">
      <c r="A1336" t="s">
        <v>4470</v>
      </c>
      <c r="B1336" t="s">
        <v>4471</v>
      </c>
      <c r="C1336" t="s">
        <v>4470</v>
      </c>
      <c r="D1336" t="s">
        <v>192</v>
      </c>
      <c r="E1336" t="s">
        <v>192</v>
      </c>
    </row>
    <row r="1337" spans="1:5">
      <c r="A1337" t="s">
        <v>5313</v>
      </c>
      <c r="B1337" t="s">
        <v>5314</v>
      </c>
      <c r="C1337" t="s">
        <v>5313</v>
      </c>
      <c r="D1337" t="s">
        <v>192</v>
      </c>
      <c r="E1337" t="s">
        <v>192</v>
      </c>
    </row>
    <row r="1338" spans="1:5">
      <c r="A1338" t="s">
        <v>4086</v>
      </c>
      <c r="B1338" t="s">
        <v>4087</v>
      </c>
      <c r="C1338" t="s">
        <v>4086</v>
      </c>
      <c r="D1338" t="s">
        <v>192</v>
      </c>
      <c r="E1338" t="s">
        <v>192</v>
      </c>
    </row>
    <row r="1339" spans="1:5">
      <c r="A1339" t="s">
        <v>5228</v>
      </c>
      <c r="B1339" t="s">
        <v>5229</v>
      </c>
      <c r="C1339" t="s">
        <v>5228</v>
      </c>
      <c r="D1339" t="s">
        <v>192</v>
      </c>
      <c r="E1339" t="s">
        <v>192</v>
      </c>
    </row>
    <row r="1340" spans="1:5">
      <c r="A1340" t="s">
        <v>4468</v>
      </c>
      <c r="B1340" t="s">
        <v>4469</v>
      </c>
      <c r="C1340" t="s">
        <v>4468</v>
      </c>
      <c r="D1340" t="s">
        <v>192</v>
      </c>
      <c r="E1340" t="s">
        <v>192</v>
      </c>
    </row>
    <row r="1341" spans="1:5">
      <c r="A1341" t="s">
        <v>4064</v>
      </c>
      <c r="B1341" t="s">
        <v>4065</v>
      </c>
      <c r="C1341" t="s">
        <v>4064</v>
      </c>
      <c r="D1341" t="s">
        <v>192</v>
      </c>
      <c r="E1341" t="s">
        <v>192</v>
      </c>
    </row>
    <row r="1342" spans="1:5">
      <c r="A1342" t="s">
        <v>4466</v>
      </c>
      <c r="B1342" t="s">
        <v>4467</v>
      </c>
      <c r="C1342" t="s">
        <v>4466</v>
      </c>
      <c r="D1342" t="s">
        <v>192</v>
      </c>
      <c r="E1342" t="s">
        <v>192</v>
      </c>
    </row>
    <row r="1343" spans="1:5">
      <c r="A1343" t="s">
        <v>4464</v>
      </c>
      <c r="B1343" t="s">
        <v>4465</v>
      </c>
      <c r="C1343" t="s">
        <v>4464</v>
      </c>
      <c r="D1343" t="s">
        <v>192</v>
      </c>
      <c r="E1343" t="s">
        <v>192</v>
      </c>
    </row>
    <row r="1344" spans="1:5">
      <c r="A1344" t="s">
        <v>6131</v>
      </c>
      <c r="B1344" t="s">
        <v>6132</v>
      </c>
      <c r="C1344" t="s">
        <v>6131</v>
      </c>
      <c r="D1344" t="s">
        <v>192</v>
      </c>
      <c r="E1344" t="s">
        <v>192</v>
      </c>
    </row>
    <row r="1345" spans="1:5">
      <c r="A1345" t="s">
        <v>5981</v>
      </c>
      <c r="B1345" t="s">
        <v>5982</v>
      </c>
      <c r="C1345" t="s">
        <v>5981</v>
      </c>
      <c r="D1345" t="s">
        <v>192</v>
      </c>
      <c r="E1345" t="s">
        <v>192</v>
      </c>
    </row>
    <row r="1346" spans="1:5">
      <c r="A1346" t="s">
        <v>5952</v>
      </c>
      <c r="B1346" t="s">
        <v>5953</v>
      </c>
      <c r="C1346" t="s">
        <v>5952</v>
      </c>
      <c r="D1346" t="s">
        <v>192</v>
      </c>
      <c r="E1346" t="s">
        <v>192</v>
      </c>
    </row>
    <row r="1347" spans="1:5">
      <c r="A1347" t="s">
        <v>5556</v>
      </c>
      <c r="B1347" t="s">
        <v>5557</v>
      </c>
      <c r="C1347" t="s">
        <v>5556</v>
      </c>
      <c r="D1347" t="s">
        <v>192</v>
      </c>
      <c r="E1347" t="s">
        <v>192</v>
      </c>
    </row>
    <row r="1348" spans="1:5">
      <c r="A1348" t="s">
        <v>5880</v>
      </c>
      <c r="B1348" t="s">
        <v>5881</v>
      </c>
      <c r="C1348" t="s">
        <v>5880</v>
      </c>
      <c r="D1348" t="s">
        <v>192</v>
      </c>
      <c r="E1348" t="s">
        <v>192</v>
      </c>
    </row>
    <row r="1349" spans="1:5">
      <c r="A1349" t="s">
        <v>5756</v>
      </c>
      <c r="B1349" t="s">
        <v>5757</v>
      </c>
      <c r="C1349" t="s">
        <v>5756</v>
      </c>
      <c r="D1349" t="s">
        <v>192</v>
      </c>
      <c r="E1349" t="s">
        <v>192</v>
      </c>
    </row>
    <row r="1350" spans="1:5">
      <c r="A1350" t="s">
        <v>3179</v>
      </c>
      <c r="B1350" t="s">
        <v>3180</v>
      </c>
      <c r="C1350" t="s">
        <v>3179</v>
      </c>
      <c r="D1350" t="s">
        <v>192</v>
      </c>
      <c r="E1350" t="s">
        <v>192</v>
      </c>
    </row>
    <row r="1351" spans="1:5">
      <c r="A1351" t="s">
        <v>3389</v>
      </c>
      <c r="B1351" t="s">
        <v>3390</v>
      </c>
      <c r="C1351" t="s">
        <v>3389</v>
      </c>
      <c r="D1351" t="s">
        <v>192</v>
      </c>
      <c r="E1351" t="s">
        <v>192</v>
      </c>
    </row>
    <row r="1352" spans="1:5">
      <c r="A1352" t="s">
        <v>4876</v>
      </c>
      <c r="B1352" t="s">
        <v>4877</v>
      </c>
      <c r="C1352" t="s">
        <v>4876</v>
      </c>
      <c r="D1352" t="s">
        <v>192</v>
      </c>
      <c r="E1352" t="s">
        <v>192</v>
      </c>
    </row>
    <row r="1353" spans="1:5">
      <c r="A1353" t="s">
        <v>3318</v>
      </c>
      <c r="B1353" t="s">
        <v>3319</v>
      </c>
      <c r="C1353" t="s">
        <v>3318</v>
      </c>
      <c r="D1353" t="s">
        <v>192</v>
      </c>
      <c r="E1353" t="s">
        <v>192</v>
      </c>
    </row>
    <row r="1354" spans="1:5">
      <c r="A1354" t="s">
        <v>5675</v>
      </c>
      <c r="B1354" t="s">
        <v>5676</v>
      </c>
      <c r="C1354" t="s">
        <v>5675</v>
      </c>
      <c r="D1354" t="s">
        <v>192</v>
      </c>
      <c r="E1354" t="s">
        <v>192</v>
      </c>
    </row>
    <row r="1355" spans="1:5">
      <c r="A1355" t="s">
        <v>4958</v>
      </c>
      <c r="B1355" t="s">
        <v>4959</v>
      </c>
      <c r="C1355" t="s">
        <v>4958</v>
      </c>
      <c r="D1355" t="s">
        <v>192</v>
      </c>
      <c r="E1355" t="s">
        <v>192</v>
      </c>
    </row>
    <row r="1356" spans="1:5">
      <c r="A1356" t="s">
        <v>5814</v>
      </c>
      <c r="B1356" t="s">
        <v>5815</v>
      </c>
      <c r="C1356" t="s">
        <v>5814</v>
      </c>
      <c r="D1356" t="s">
        <v>192</v>
      </c>
      <c r="E1356" t="s">
        <v>192</v>
      </c>
    </row>
    <row r="1357" spans="1:5">
      <c r="A1357" t="s">
        <v>5623</v>
      </c>
      <c r="B1357" t="s">
        <v>5624</v>
      </c>
      <c r="C1357" t="s">
        <v>5623</v>
      </c>
      <c r="D1357" t="s">
        <v>192</v>
      </c>
      <c r="E1357" t="s">
        <v>192</v>
      </c>
    </row>
    <row r="1358" spans="1:5">
      <c r="A1358" t="s">
        <v>5847</v>
      </c>
      <c r="B1358" t="s">
        <v>5848</v>
      </c>
      <c r="C1358" t="s">
        <v>5847</v>
      </c>
      <c r="D1358" t="s">
        <v>192</v>
      </c>
      <c r="E1358" t="s">
        <v>192</v>
      </c>
    </row>
    <row r="1359" spans="1:5">
      <c r="A1359" t="s">
        <v>5564</v>
      </c>
      <c r="B1359" t="s">
        <v>5565</v>
      </c>
      <c r="C1359" t="s">
        <v>5564</v>
      </c>
      <c r="D1359" t="s">
        <v>192</v>
      </c>
      <c r="E1359" t="s">
        <v>192</v>
      </c>
    </row>
    <row r="1360" spans="1:5">
      <c r="A1360" t="s">
        <v>7169</v>
      </c>
      <c r="B1360" t="s">
        <v>7170</v>
      </c>
      <c r="C1360" t="s">
        <v>7169</v>
      </c>
      <c r="D1360" t="s">
        <v>192</v>
      </c>
      <c r="E1360" t="s">
        <v>192</v>
      </c>
    </row>
    <row r="1361" spans="1:5">
      <c r="A1361" t="s">
        <v>7171</v>
      </c>
      <c r="B1361" t="s">
        <v>7172</v>
      </c>
      <c r="C1361" t="s">
        <v>7171</v>
      </c>
      <c r="D1361" t="s">
        <v>192</v>
      </c>
      <c r="E1361" t="s">
        <v>192</v>
      </c>
    </row>
    <row r="1362" spans="1:5">
      <c r="A1362" t="s">
        <v>7173</v>
      </c>
      <c r="B1362" t="s">
        <v>7174</v>
      </c>
      <c r="C1362" t="s">
        <v>7173</v>
      </c>
      <c r="D1362" t="s">
        <v>192</v>
      </c>
      <c r="E1362" t="s">
        <v>192</v>
      </c>
    </row>
    <row r="1363" spans="1:5">
      <c r="A1363" t="s">
        <v>7175</v>
      </c>
      <c r="B1363" t="s">
        <v>7176</v>
      </c>
      <c r="C1363" t="s">
        <v>7175</v>
      </c>
      <c r="D1363" t="s">
        <v>192</v>
      </c>
      <c r="E1363" t="s">
        <v>192</v>
      </c>
    </row>
    <row r="1364" spans="1:5">
      <c r="A1364" t="s">
        <v>7177</v>
      </c>
      <c r="B1364" t="s">
        <v>7178</v>
      </c>
      <c r="C1364" t="s">
        <v>7177</v>
      </c>
      <c r="D1364" t="s">
        <v>192</v>
      </c>
      <c r="E1364" t="s">
        <v>192</v>
      </c>
    </row>
    <row r="1365" spans="1:5">
      <c r="A1365" t="s">
        <v>7179</v>
      </c>
      <c r="B1365" t="s">
        <v>7180</v>
      </c>
      <c r="C1365" t="s">
        <v>7179</v>
      </c>
      <c r="D1365" t="s">
        <v>192</v>
      </c>
      <c r="E1365" t="s">
        <v>192</v>
      </c>
    </row>
    <row r="1366" spans="1:5">
      <c r="A1366" t="s">
        <v>3466</v>
      </c>
      <c r="B1366" t="s">
        <v>3467</v>
      </c>
      <c r="C1366" t="s">
        <v>3466</v>
      </c>
      <c r="D1366" t="s">
        <v>192</v>
      </c>
      <c r="E1366" t="s">
        <v>192</v>
      </c>
    </row>
    <row r="1367" spans="1:5">
      <c r="A1367" t="s">
        <v>7181</v>
      </c>
      <c r="B1367" t="s">
        <v>7182</v>
      </c>
      <c r="C1367" t="s">
        <v>7181</v>
      </c>
      <c r="D1367" t="s">
        <v>192</v>
      </c>
      <c r="E1367" t="s">
        <v>192</v>
      </c>
    </row>
    <row r="1368" spans="1:5">
      <c r="A1368" t="s">
        <v>7183</v>
      </c>
      <c r="B1368" t="s">
        <v>7184</v>
      </c>
      <c r="C1368" t="s">
        <v>7183</v>
      </c>
      <c r="D1368" t="s">
        <v>192</v>
      </c>
      <c r="E1368" t="s">
        <v>192</v>
      </c>
    </row>
    <row r="1369" spans="1:5">
      <c r="A1369" t="s">
        <v>3464</v>
      </c>
      <c r="B1369" t="s">
        <v>3465</v>
      </c>
      <c r="C1369" t="s">
        <v>3464</v>
      </c>
      <c r="D1369" t="s">
        <v>192</v>
      </c>
      <c r="E1369" t="s">
        <v>192</v>
      </c>
    </row>
    <row r="1370" spans="1:5">
      <c r="A1370" t="s">
        <v>7185</v>
      </c>
      <c r="B1370" t="s">
        <v>7186</v>
      </c>
      <c r="C1370" t="s">
        <v>7185</v>
      </c>
      <c r="D1370" t="s">
        <v>192</v>
      </c>
      <c r="E1370" t="s">
        <v>192</v>
      </c>
    </row>
    <row r="1371" spans="1:5">
      <c r="A1371" t="s">
        <v>7187</v>
      </c>
      <c r="B1371" t="s">
        <v>7188</v>
      </c>
      <c r="C1371" t="s">
        <v>7187</v>
      </c>
      <c r="D1371" t="s">
        <v>192</v>
      </c>
      <c r="E1371" t="s">
        <v>192</v>
      </c>
    </row>
    <row r="1372" spans="1:5">
      <c r="A1372" t="s">
        <v>7189</v>
      </c>
      <c r="B1372" t="s">
        <v>7190</v>
      </c>
      <c r="C1372" t="s">
        <v>7189</v>
      </c>
      <c r="D1372" t="s">
        <v>192</v>
      </c>
      <c r="E1372" t="s">
        <v>192</v>
      </c>
    </row>
    <row r="1373" spans="1:5">
      <c r="A1373" t="s">
        <v>3460</v>
      </c>
      <c r="B1373" t="s">
        <v>3461</v>
      </c>
      <c r="C1373" t="s">
        <v>3460</v>
      </c>
      <c r="D1373" t="s">
        <v>192</v>
      </c>
      <c r="E1373" t="s">
        <v>192</v>
      </c>
    </row>
    <row r="1374" spans="1:5">
      <c r="A1374" t="s">
        <v>4066</v>
      </c>
      <c r="B1374" t="s">
        <v>4067</v>
      </c>
      <c r="C1374" t="s">
        <v>4066</v>
      </c>
      <c r="D1374" t="s">
        <v>192</v>
      </c>
      <c r="E1374" t="s">
        <v>192</v>
      </c>
    </row>
    <row r="1375" spans="1:5">
      <c r="A1375" t="s">
        <v>3458</v>
      </c>
      <c r="B1375" t="s">
        <v>3459</v>
      </c>
      <c r="C1375" t="s">
        <v>3458</v>
      </c>
      <c r="D1375" t="s">
        <v>192</v>
      </c>
      <c r="E1375" t="s">
        <v>192</v>
      </c>
    </row>
    <row r="1376" spans="1:5">
      <c r="A1376" t="s">
        <v>3841</v>
      </c>
      <c r="B1376" t="s">
        <v>3842</v>
      </c>
      <c r="C1376" t="s">
        <v>3841</v>
      </c>
      <c r="D1376" t="s">
        <v>192</v>
      </c>
      <c r="E1376" t="s">
        <v>192</v>
      </c>
    </row>
    <row r="1377" spans="1:5">
      <c r="A1377" t="s">
        <v>6397</v>
      </c>
      <c r="B1377" t="s">
        <v>6398</v>
      </c>
      <c r="C1377" t="s">
        <v>6397</v>
      </c>
      <c r="D1377" t="s">
        <v>192</v>
      </c>
      <c r="E1377" t="s">
        <v>192</v>
      </c>
    </row>
    <row r="1378" spans="1:5">
      <c r="A1378" t="s">
        <v>5363</v>
      </c>
      <c r="B1378" t="s">
        <v>5364</v>
      </c>
      <c r="C1378" t="s">
        <v>5363</v>
      </c>
      <c r="D1378" t="s">
        <v>192</v>
      </c>
      <c r="E1378" t="s">
        <v>192</v>
      </c>
    </row>
    <row r="1379" spans="1:5">
      <c r="A1379" t="s">
        <v>3456</v>
      </c>
      <c r="B1379" t="s">
        <v>3457</v>
      </c>
      <c r="C1379" t="s">
        <v>3456</v>
      </c>
      <c r="D1379" t="s">
        <v>192</v>
      </c>
      <c r="E1379" t="s">
        <v>192</v>
      </c>
    </row>
    <row r="1380" spans="1:5">
      <c r="A1380" t="s">
        <v>3454</v>
      </c>
      <c r="B1380" t="s">
        <v>3455</v>
      </c>
      <c r="C1380" t="s">
        <v>3454</v>
      </c>
      <c r="D1380" t="s">
        <v>192</v>
      </c>
      <c r="E1380" t="s">
        <v>192</v>
      </c>
    </row>
    <row r="1381" spans="1:5">
      <c r="A1381" t="s">
        <v>3452</v>
      </c>
      <c r="B1381" t="s">
        <v>3453</v>
      </c>
      <c r="C1381" t="s">
        <v>3452</v>
      </c>
      <c r="D1381" t="s">
        <v>192</v>
      </c>
      <c r="E1381" t="s">
        <v>192</v>
      </c>
    </row>
    <row r="1382" spans="1:5">
      <c r="A1382" t="s">
        <v>3886</v>
      </c>
      <c r="B1382" t="s">
        <v>3887</v>
      </c>
      <c r="C1382" t="s">
        <v>3886</v>
      </c>
      <c r="D1382" t="s">
        <v>192</v>
      </c>
      <c r="E1382" t="s">
        <v>192</v>
      </c>
    </row>
    <row r="1383" spans="1:5">
      <c r="A1383" t="s">
        <v>3450</v>
      </c>
      <c r="B1383" t="s">
        <v>3451</v>
      </c>
      <c r="C1383" t="s">
        <v>3450</v>
      </c>
      <c r="D1383" t="s">
        <v>192</v>
      </c>
      <c r="E1383" t="s">
        <v>192</v>
      </c>
    </row>
    <row r="1384" spans="1:5">
      <c r="A1384" t="s">
        <v>3448</v>
      </c>
      <c r="B1384" t="s">
        <v>3449</v>
      </c>
      <c r="C1384" t="s">
        <v>3448</v>
      </c>
      <c r="D1384" t="s">
        <v>192</v>
      </c>
      <c r="E1384" t="s">
        <v>192</v>
      </c>
    </row>
    <row r="1385" spans="1:5">
      <c r="A1385" t="s">
        <v>3462</v>
      </c>
      <c r="B1385" t="s">
        <v>3463</v>
      </c>
      <c r="C1385" t="s">
        <v>3462</v>
      </c>
      <c r="D1385" t="s">
        <v>192</v>
      </c>
      <c r="E1385" t="s">
        <v>192</v>
      </c>
    </row>
    <row r="1386" spans="1:5">
      <c r="A1386" t="s">
        <v>6178</v>
      </c>
      <c r="B1386" t="s">
        <v>6179</v>
      </c>
      <c r="C1386" t="s">
        <v>6178</v>
      </c>
      <c r="D1386" t="s">
        <v>192</v>
      </c>
      <c r="E1386" t="s">
        <v>192</v>
      </c>
    </row>
    <row r="1387" spans="1:5">
      <c r="A1387" t="s">
        <v>5343</v>
      </c>
      <c r="B1387" t="s">
        <v>5344</v>
      </c>
      <c r="C1387" t="s">
        <v>5343</v>
      </c>
      <c r="D1387" t="s">
        <v>192</v>
      </c>
      <c r="E1387" t="s">
        <v>192</v>
      </c>
    </row>
    <row r="1388" spans="1:5">
      <c r="A1388" t="s">
        <v>5400</v>
      </c>
      <c r="B1388" t="s">
        <v>5401</v>
      </c>
      <c r="C1388" t="s">
        <v>5400</v>
      </c>
      <c r="D1388" t="s">
        <v>192</v>
      </c>
      <c r="E1388" t="s">
        <v>192</v>
      </c>
    </row>
    <row r="1389" spans="1:5">
      <c r="A1389" t="s">
        <v>3446</v>
      </c>
      <c r="B1389" t="s">
        <v>3447</v>
      </c>
      <c r="C1389" t="s">
        <v>3446</v>
      </c>
      <c r="D1389" t="s">
        <v>192</v>
      </c>
      <c r="E1389" t="s">
        <v>192</v>
      </c>
    </row>
    <row r="1390" spans="1:5">
      <c r="A1390" t="s">
        <v>4703</v>
      </c>
      <c r="B1390" t="s">
        <v>4704</v>
      </c>
      <c r="C1390" t="s">
        <v>4703</v>
      </c>
      <c r="D1390" t="s">
        <v>192</v>
      </c>
      <c r="E1390" t="s">
        <v>192</v>
      </c>
    </row>
    <row r="1391" spans="1:5">
      <c r="A1391" t="s">
        <v>3444</v>
      </c>
      <c r="B1391" t="s">
        <v>3445</v>
      </c>
      <c r="C1391" t="s">
        <v>3444</v>
      </c>
      <c r="D1391" t="s">
        <v>192</v>
      </c>
      <c r="E1391" t="s">
        <v>192</v>
      </c>
    </row>
    <row r="1392" spans="1:5">
      <c r="A1392" t="s">
        <v>5349</v>
      </c>
      <c r="B1392" t="s">
        <v>5350</v>
      </c>
      <c r="C1392" t="s">
        <v>5349</v>
      </c>
      <c r="D1392" t="s">
        <v>192</v>
      </c>
      <c r="E1392" t="s">
        <v>192</v>
      </c>
    </row>
    <row r="1393" spans="1:5">
      <c r="A1393" t="s">
        <v>3442</v>
      </c>
      <c r="B1393" t="s">
        <v>3443</v>
      </c>
      <c r="C1393" t="s">
        <v>3442</v>
      </c>
      <c r="D1393" t="s">
        <v>192</v>
      </c>
      <c r="E1393" t="s">
        <v>192</v>
      </c>
    </row>
    <row r="1394" spans="1:5">
      <c r="A1394" t="s">
        <v>3440</v>
      </c>
      <c r="B1394" t="s">
        <v>3441</v>
      </c>
      <c r="C1394" t="s">
        <v>3440</v>
      </c>
      <c r="D1394" t="s">
        <v>192</v>
      </c>
      <c r="E1394" t="s">
        <v>192</v>
      </c>
    </row>
    <row r="1395" spans="1:5">
      <c r="A1395" t="s">
        <v>3438</v>
      </c>
      <c r="B1395" t="s">
        <v>3439</v>
      </c>
      <c r="C1395" t="s">
        <v>3438</v>
      </c>
      <c r="D1395" t="s">
        <v>192</v>
      </c>
      <c r="E1395" t="s">
        <v>192</v>
      </c>
    </row>
    <row r="1396" spans="1:5">
      <c r="A1396" t="s">
        <v>5171</v>
      </c>
      <c r="B1396" t="s">
        <v>5172</v>
      </c>
      <c r="C1396" t="s">
        <v>5171</v>
      </c>
      <c r="D1396" t="s">
        <v>192</v>
      </c>
      <c r="E1396" t="s">
        <v>192</v>
      </c>
    </row>
    <row r="1397" spans="1:5">
      <c r="A1397" t="s">
        <v>3892</v>
      </c>
      <c r="B1397" t="s">
        <v>3893</v>
      </c>
      <c r="C1397" t="s">
        <v>3892</v>
      </c>
      <c r="D1397" t="s">
        <v>192</v>
      </c>
      <c r="E1397" t="s">
        <v>192</v>
      </c>
    </row>
    <row r="1398" spans="1:5">
      <c r="A1398" t="s">
        <v>4072</v>
      </c>
      <c r="B1398" t="s">
        <v>4073</v>
      </c>
      <c r="C1398" t="s">
        <v>4072</v>
      </c>
      <c r="D1398" t="s">
        <v>192</v>
      </c>
      <c r="E1398" t="s">
        <v>192</v>
      </c>
    </row>
    <row r="1399" spans="1:5">
      <c r="A1399" t="s">
        <v>6241</v>
      </c>
      <c r="B1399" t="s">
        <v>6242</v>
      </c>
      <c r="C1399" t="s">
        <v>6241</v>
      </c>
      <c r="D1399" t="s">
        <v>192</v>
      </c>
      <c r="E1399" t="s">
        <v>192</v>
      </c>
    </row>
    <row r="1400" spans="1:5">
      <c r="A1400" t="s">
        <v>3436</v>
      </c>
      <c r="B1400" t="s">
        <v>3437</v>
      </c>
      <c r="C1400" t="s">
        <v>3436</v>
      </c>
      <c r="D1400" t="s">
        <v>192</v>
      </c>
      <c r="E1400" t="s">
        <v>192</v>
      </c>
    </row>
    <row r="1401" spans="1:5">
      <c r="A1401" t="s">
        <v>3434</v>
      </c>
      <c r="B1401" t="s">
        <v>3435</v>
      </c>
      <c r="C1401" t="s">
        <v>3434</v>
      </c>
      <c r="D1401" t="s">
        <v>192</v>
      </c>
      <c r="E1401" t="s">
        <v>192</v>
      </c>
    </row>
    <row r="1402" spans="1:5">
      <c r="A1402" t="s">
        <v>3432</v>
      </c>
      <c r="B1402" t="s">
        <v>3433</v>
      </c>
      <c r="C1402" t="s">
        <v>3432</v>
      </c>
      <c r="D1402" t="s">
        <v>192</v>
      </c>
      <c r="E1402" t="s">
        <v>192</v>
      </c>
    </row>
    <row r="1403" spans="1:5">
      <c r="A1403" t="s">
        <v>3954</v>
      </c>
      <c r="B1403" t="s">
        <v>3955</v>
      </c>
      <c r="C1403" t="s">
        <v>3954</v>
      </c>
      <c r="D1403" t="s">
        <v>192</v>
      </c>
      <c r="E1403" t="s">
        <v>192</v>
      </c>
    </row>
    <row r="1404" spans="1:5">
      <c r="A1404" t="s">
        <v>5250</v>
      </c>
      <c r="B1404" t="s">
        <v>5251</v>
      </c>
      <c r="C1404" t="s">
        <v>5250</v>
      </c>
      <c r="D1404" t="s">
        <v>192</v>
      </c>
      <c r="E1404" t="s">
        <v>192</v>
      </c>
    </row>
    <row r="1405" spans="1:5">
      <c r="A1405" t="s">
        <v>6056</v>
      </c>
      <c r="B1405" t="s">
        <v>6057</v>
      </c>
      <c r="C1405" t="s">
        <v>6056</v>
      </c>
      <c r="D1405" t="s">
        <v>192</v>
      </c>
      <c r="E1405" t="s">
        <v>192</v>
      </c>
    </row>
    <row r="1406" spans="1:5">
      <c r="A1406" t="s">
        <v>6163</v>
      </c>
      <c r="B1406" t="s">
        <v>6164</v>
      </c>
      <c r="C1406" t="s">
        <v>6163</v>
      </c>
      <c r="D1406" t="s">
        <v>192</v>
      </c>
      <c r="E1406" t="s">
        <v>192</v>
      </c>
    </row>
    <row r="1407" spans="1:5">
      <c r="A1407" t="s">
        <v>3430</v>
      </c>
      <c r="B1407" t="s">
        <v>3431</v>
      </c>
      <c r="C1407" t="s">
        <v>3430</v>
      </c>
      <c r="D1407" t="s">
        <v>192</v>
      </c>
      <c r="E1407" t="s">
        <v>192</v>
      </c>
    </row>
    <row r="1408" spans="1:5">
      <c r="A1408" t="s">
        <v>5157</v>
      </c>
      <c r="B1408" t="s">
        <v>5158</v>
      </c>
      <c r="C1408" t="s">
        <v>5157</v>
      </c>
      <c r="D1408" t="s">
        <v>192</v>
      </c>
      <c r="E1408" t="s">
        <v>192</v>
      </c>
    </row>
    <row r="1409" spans="1:5">
      <c r="A1409" t="s">
        <v>3428</v>
      </c>
      <c r="B1409" t="s">
        <v>3429</v>
      </c>
      <c r="C1409" t="s">
        <v>3428</v>
      </c>
      <c r="D1409" t="s">
        <v>192</v>
      </c>
      <c r="E1409" t="s">
        <v>192</v>
      </c>
    </row>
    <row r="1410" spans="1:5">
      <c r="A1410" t="s">
        <v>3793</v>
      </c>
      <c r="B1410" t="s">
        <v>3794</v>
      </c>
      <c r="C1410" t="s">
        <v>3793</v>
      </c>
      <c r="D1410" t="s">
        <v>192</v>
      </c>
      <c r="E1410" t="s">
        <v>192</v>
      </c>
    </row>
    <row r="1411" spans="1:5">
      <c r="A1411" t="s">
        <v>3791</v>
      </c>
      <c r="B1411" t="s">
        <v>3792</v>
      </c>
      <c r="C1411" t="s">
        <v>3791</v>
      </c>
      <c r="D1411" t="s">
        <v>192</v>
      </c>
      <c r="E1411" t="s">
        <v>192</v>
      </c>
    </row>
    <row r="1412" spans="1:5">
      <c r="A1412" t="s">
        <v>3789</v>
      </c>
      <c r="B1412" t="s">
        <v>3790</v>
      </c>
      <c r="C1412" t="s">
        <v>3789</v>
      </c>
      <c r="D1412" t="s">
        <v>192</v>
      </c>
      <c r="E1412" t="s">
        <v>192</v>
      </c>
    </row>
    <row r="1413" spans="1:5">
      <c r="A1413" t="s">
        <v>4068</v>
      </c>
      <c r="B1413" t="s">
        <v>4069</v>
      </c>
      <c r="C1413" t="s">
        <v>4068</v>
      </c>
      <c r="D1413" t="s">
        <v>192</v>
      </c>
      <c r="E1413" t="s">
        <v>192</v>
      </c>
    </row>
    <row r="1414" spans="1:5">
      <c r="A1414" t="s">
        <v>3787</v>
      </c>
      <c r="B1414" t="s">
        <v>3788</v>
      </c>
      <c r="C1414" t="s">
        <v>3787</v>
      </c>
      <c r="D1414" t="s">
        <v>192</v>
      </c>
      <c r="E1414" t="s">
        <v>192</v>
      </c>
    </row>
    <row r="1415" spans="1:5">
      <c r="A1415" t="s">
        <v>3785</v>
      </c>
      <c r="B1415" t="s">
        <v>3786</v>
      </c>
      <c r="C1415" t="s">
        <v>3785</v>
      </c>
      <c r="D1415" t="s">
        <v>192</v>
      </c>
      <c r="E1415" t="s">
        <v>192</v>
      </c>
    </row>
    <row r="1416" spans="1:5">
      <c r="A1416" t="s">
        <v>3783</v>
      </c>
      <c r="B1416" t="s">
        <v>3784</v>
      </c>
      <c r="C1416" t="s">
        <v>3783</v>
      </c>
      <c r="D1416" t="s">
        <v>192</v>
      </c>
      <c r="E1416" t="s">
        <v>192</v>
      </c>
    </row>
    <row r="1417" spans="1:5">
      <c r="A1417" t="s">
        <v>5299</v>
      </c>
      <c r="B1417" t="s">
        <v>5300</v>
      </c>
      <c r="C1417" t="s">
        <v>5299</v>
      </c>
      <c r="D1417" t="s">
        <v>192</v>
      </c>
      <c r="E1417" t="s">
        <v>192</v>
      </c>
    </row>
    <row r="1418" spans="1:5">
      <c r="A1418" t="s">
        <v>6038</v>
      </c>
      <c r="B1418" t="s">
        <v>6039</v>
      </c>
      <c r="C1418" t="s">
        <v>6038</v>
      </c>
      <c r="D1418" t="s">
        <v>192</v>
      </c>
      <c r="E1418" t="s">
        <v>192</v>
      </c>
    </row>
    <row r="1419" spans="1:5">
      <c r="A1419" t="s">
        <v>3781</v>
      </c>
      <c r="B1419" t="s">
        <v>3782</v>
      </c>
      <c r="C1419" t="s">
        <v>3781</v>
      </c>
      <c r="D1419" t="s">
        <v>192</v>
      </c>
      <c r="E1419" t="s">
        <v>192</v>
      </c>
    </row>
    <row r="1420" spans="1:5">
      <c r="A1420" t="s">
        <v>3779</v>
      </c>
      <c r="B1420" t="s">
        <v>3780</v>
      </c>
      <c r="C1420" t="s">
        <v>3779</v>
      </c>
      <c r="D1420" t="s">
        <v>192</v>
      </c>
      <c r="E1420" t="s">
        <v>192</v>
      </c>
    </row>
    <row r="1421" spans="1:5">
      <c r="A1421" t="s">
        <v>4859</v>
      </c>
      <c r="B1421" t="s">
        <v>4860</v>
      </c>
      <c r="C1421" t="s">
        <v>4859</v>
      </c>
      <c r="D1421" t="s">
        <v>192</v>
      </c>
      <c r="E1421" t="s">
        <v>192</v>
      </c>
    </row>
    <row r="1422" spans="1:5">
      <c r="A1422" t="s">
        <v>4688</v>
      </c>
      <c r="B1422" t="s">
        <v>4689</v>
      </c>
      <c r="C1422" t="s">
        <v>4688</v>
      </c>
      <c r="D1422" t="s">
        <v>192</v>
      </c>
      <c r="E1422" t="s">
        <v>192</v>
      </c>
    </row>
    <row r="1423" spans="1:5">
      <c r="A1423" t="s">
        <v>5242</v>
      </c>
      <c r="B1423" t="s">
        <v>5243</v>
      </c>
      <c r="C1423" t="s">
        <v>5242</v>
      </c>
      <c r="D1423" t="s">
        <v>192</v>
      </c>
      <c r="E1423" t="s">
        <v>192</v>
      </c>
    </row>
    <row r="1424" spans="1:5">
      <c r="A1424" t="s">
        <v>6064</v>
      </c>
      <c r="B1424" t="s">
        <v>6065</v>
      </c>
      <c r="C1424" t="s">
        <v>6064</v>
      </c>
      <c r="D1424" t="s">
        <v>192</v>
      </c>
      <c r="E1424" t="s">
        <v>192</v>
      </c>
    </row>
    <row r="1425" spans="1:5">
      <c r="A1425" t="s">
        <v>3777</v>
      </c>
      <c r="B1425" t="s">
        <v>3778</v>
      </c>
      <c r="C1425" t="s">
        <v>3777</v>
      </c>
      <c r="D1425" t="s">
        <v>192</v>
      </c>
      <c r="E1425" t="s">
        <v>192</v>
      </c>
    </row>
    <row r="1426" spans="1:5">
      <c r="A1426" t="s">
        <v>5261</v>
      </c>
      <c r="B1426" t="s">
        <v>5262</v>
      </c>
      <c r="C1426" t="s">
        <v>5261</v>
      </c>
      <c r="D1426" t="s">
        <v>192</v>
      </c>
      <c r="E1426" t="s">
        <v>192</v>
      </c>
    </row>
    <row r="1427" spans="1:5">
      <c r="A1427" t="s">
        <v>3797</v>
      </c>
      <c r="B1427" t="s">
        <v>3798</v>
      </c>
      <c r="C1427" t="s">
        <v>3797</v>
      </c>
      <c r="D1427" t="s">
        <v>192</v>
      </c>
      <c r="E1427" t="s">
        <v>192</v>
      </c>
    </row>
    <row r="1428" spans="1:5">
      <c r="A1428" t="s">
        <v>3795</v>
      </c>
      <c r="B1428" t="s">
        <v>3796</v>
      </c>
      <c r="C1428" t="s">
        <v>3795</v>
      </c>
      <c r="D1428" t="s">
        <v>192</v>
      </c>
      <c r="E1428" t="s">
        <v>192</v>
      </c>
    </row>
    <row r="1429" spans="1:5">
      <c r="A1429" t="s">
        <v>4773</v>
      </c>
      <c r="B1429" t="s">
        <v>4774</v>
      </c>
      <c r="C1429" t="s">
        <v>4773</v>
      </c>
      <c r="D1429" t="s">
        <v>192</v>
      </c>
      <c r="E1429" t="s">
        <v>192</v>
      </c>
    </row>
    <row r="1430" spans="1:5">
      <c r="A1430" t="s">
        <v>4684</v>
      </c>
      <c r="B1430" t="s">
        <v>4685</v>
      </c>
      <c r="C1430" t="s">
        <v>4684</v>
      </c>
      <c r="D1430" t="s">
        <v>192</v>
      </c>
      <c r="E1430" t="s">
        <v>192</v>
      </c>
    </row>
    <row r="1431" spans="1:5">
      <c r="A1431" t="s">
        <v>5216</v>
      </c>
      <c r="B1431" t="s">
        <v>5217</v>
      </c>
      <c r="C1431" t="s">
        <v>5216</v>
      </c>
      <c r="D1431" t="s">
        <v>192</v>
      </c>
      <c r="E1431" t="s">
        <v>192</v>
      </c>
    </row>
    <row r="1432" spans="1:5">
      <c r="A1432" t="s">
        <v>4665</v>
      </c>
      <c r="B1432" t="s">
        <v>4666</v>
      </c>
      <c r="C1432" t="s">
        <v>4665</v>
      </c>
      <c r="D1432" t="s">
        <v>192</v>
      </c>
      <c r="E1432" t="s">
        <v>192</v>
      </c>
    </row>
    <row r="1433" spans="1:5">
      <c r="A1433" t="s">
        <v>6200</v>
      </c>
      <c r="B1433" t="s">
        <v>6201</v>
      </c>
      <c r="C1433" t="s">
        <v>6200</v>
      </c>
      <c r="D1433" t="s">
        <v>192</v>
      </c>
      <c r="E1433" t="s">
        <v>192</v>
      </c>
    </row>
    <row r="1434" spans="1:5">
      <c r="A1434" t="s">
        <v>3775</v>
      </c>
      <c r="B1434" t="s">
        <v>3776</v>
      </c>
      <c r="C1434" t="s">
        <v>3775</v>
      </c>
      <c r="D1434" t="s">
        <v>192</v>
      </c>
      <c r="E1434" t="s">
        <v>192</v>
      </c>
    </row>
    <row r="1435" spans="1:5">
      <c r="A1435" t="s">
        <v>6376</v>
      </c>
      <c r="B1435" t="s">
        <v>6377</v>
      </c>
      <c r="C1435" t="s">
        <v>6376</v>
      </c>
      <c r="D1435" t="s">
        <v>192</v>
      </c>
      <c r="E1435" t="s">
        <v>192</v>
      </c>
    </row>
    <row r="1436" spans="1:5">
      <c r="A1436" t="s">
        <v>4768</v>
      </c>
      <c r="B1436" t="s">
        <v>4769</v>
      </c>
      <c r="C1436" t="s">
        <v>4768</v>
      </c>
      <c r="D1436" t="s">
        <v>192</v>
      </c>
      <c r="E1436" t="s">
        <v>192</v>
      </c>
    </row>
    <row r="1437" spans="1:5">
      <c r="A1437" t="s">
        <v>3773</v>
      </c>
      <c r="B1437" t="s">
        <v>3774</v>
      </c>
      <c r="C1437" t="s">
        <v>3773</v>
      </c>
      <c r="D1437" t="s">
        <v>192</v>
      </c>
      <c r="E1437" t="s">
        <v>192</v>
      </c>
    </row>
    <row r="1438" spans="1:5">
      <c r="A1438" t="s">
        <v>3771</v>
      </c>
      <c r="B1438" t="s">
        <v>3772</v>
      </c>
      <c r="C1438" t="s">
        <v>3771</v>
      </c>
      <c r="D1438" t="s">
        <v>192</v>
      </c>
      <c r="E1438" t="s">
        <v>192</v>
      </c>
    </row>
    <row r="1439" spans="1:5">
      <c r="A1439" t="s">
        <v>3769</v>
      </c>
      <c r="B1439" t="s">
        <v>3770</v>
      </c>
      <c r="C1439" t="s">
        <v>3769</v>
      </c>
      <c r="D1439" t="s">
        <v>192</v>
      </c>
      <c r="E1439" t="s">
        <v>192</v>
      </c>
    </row>
    <row r="1440" spans="1:5">
      <c r="A1440" t="s">
        <v>3767</v>
      </c>
      <c r="B1440" t="s">
        <v>3768</v>
      </c>
      <c r="C1440" t="s">
        <v>3767</v>
      </c>
      <c r="D1440" t="s">
        <v>192</v>
      </c>
      <c r="E1440" t="s">
        <v>192</v>
      </c>
    </row>
    <row r="1441" spans="1:5">
      <c r="A1441" t="s">
        <v>5305</v>
      </c>
      <c r="B1441" t="s">
        <v>5306</v>
      </c>
      <c r="C1441" t="s">
        <v>5305</v>
      </c>
      <c r="D1441" t="s">
        <v>192</v>
      </c>
      <c r="E1441" t="s">
        <v>192</v>
      </c>
    </row>
    <row r="1442" spans="1:5">
      <c r="A1442" t="s">
        <v>7191</v>
      </c>
      <c r="B1442" t="s">
        <v>7192</v>
      </c>
      <c r="C1442" t="s">
        <v>7191</v>
      </c>
      <c r="D1442" t="s">
        <v>192</v>
      </c>
      <c r="E1442" t="s">
        <v>192</v>
      </c>
    </row>
    <row r="1443" spans="1:5">
      <c r="A1443" t="s">
        <v>7193</v>
      </c>
      <c r="B1443" t="s">
        <v>7194</v>
      </c>
      <c r="C1443" t="s">
        <v>7193</v>
      </c>
      <c r="D1443" t="s">
        <v>192</v>
      </c>
      <c r="E1443" t="s">
        <v>192</v>
      </c>
    </row>
    <row r="1444" spans="1:5">
      <c r="A1444" t="s">
        <v>7195</v>
      </c>
      <c r="B1444" t="s">
        <v>7196</v>
      </c>
      <c r="C1444" t="s">
        <v>7195</v>
      </c>
      <c r="D1444" t="s">
        <v>192</v>
      </c>
      <c r="E1444" t="s">
        <v>192</v>
      </c>
    </row>
    <row r="1445" spans="1:5">
      <c r="A1445" t="s">
        <v>7197</v>
      </c>
      <c r="B1445" t="s">
        <v>7198</v>
      </c>
      <c r="C1445" t="s">
        <v>7197</v>
      </c>
      <c r="D1445" t="s">
        <v>192</v>
      </c>
      <c r="E1445" t="s">
        <v>192</v>
      </c>
    </row>
    <row r="1446" spans="1:5">
      <c r="A1446" t="s">
        <v>7199</v>
      </c>
      <c r="B1446" t="s">
        <v>7200</v>
      </c>
      <c r="C1446" t="s">
        <v>7199</v>
      </c>
      <c r="D1446" t="s">
        <v>192</v>
      </c>
      <c r="E1446" t="s">
        <v>192</v>
      </c>
    </row>
    <row r="1447" spans="1:5">
      <c r="A1447" t="s">
        <v>7201</v>
      </c>
      <c r="B1447" t="s">
        <v>7202</v>
      </c>
      <c r="C1447" t="s">
        <v>7201</v>
      </c>
      <c r="D1447" t="s">
        <v>192</v>
      </c>
      <c r="E1447" t="s">
        <v>192</v>
      </c>
    </row>
    <row r="1448" spans="1:5">
      <c r="A1448" t="s">
        <v>7203</v>
      </c>
      <c r="B1448" t="s">
        <v>7204</v>
      </c>
      <c r="C1448" t="s">
        <v>7203</v>
      </c>
      <c r="D1448" t="s">
        <v>192</v>
      </c>
      <c r="E1448" t="s">
        <v>192</v>
      </c>
    </row>
    <row r="1449" spans="1:5">
      <c r="A1449" t="s">
        <v>7205</v>
      </c>
      <c r="B1449" t="s">
        <v>7206</v>
      </c>
      <c r="C1449" t="s">
        <v>7205</v>
      </c>
      <c r="D1449" t="s">
        <v>192</v>
      </c>
      <c r="E1449" t="s">
        <v>192</v>
      </c>
    </row>
    <row r="1450" spans="1:5">
      <c r="A1450" t="s">
        <v>7207</v>
      </c>
      <c r="B1450" t="s">
        <v>7208</v>
      </c>
      <c r="C1450" t="s">
        <v>7207</v>
      </c>
      <c r="D1450" t="s">
        <v>192</v>
      </c>
      <c r="E1450" t="s">
        <v>192</v>
      </c>
    </row>
    <row r="1451" spans="1:5">
      <c r="A1451" t="s">
        <v>7209</v>
      </c>
      <c r="B1451" t="s">
        <v>7210</v>
      </c>
      <c r="C1451" t="s">
        <v>7209</v>
      </c>
      <c r="D1451" t="s">
        <v>192</v>
      </c>
      <c r="E1451" t="s">
        <v>192</v>
      </c>
    </row>
    <row r="1452" spans="1:5">
      <c r="A1452" t="s">
        <v>7211</v>
      </c>
      <c r="B1452" t="s">
        <v>7212</v>
      </c>
      <c r="C1452" t="s">
        <v>7211</v>
      </c>
      <c r="D1452" t="s">
        <v>192</v>
      </c>
      <c r="E1452" t="s">
        <v>192</v>
      </c>
    </row>
    <row r="1453" spans="1:5">
      <c r="A1453" t="s">
        <v>7213</v>
      </c>
      <c r="B1453" t="s">
        <v>7214</v>
      </c>
      <c r="C1453" t="s">
        <v>7213</v>
      </c>
      <c r="D1453" t="s">
        <v>192</v>
      </c>
      <c r="E1453" t="s">
        <v>192</v>
      </c>
    </row>
    <row r="1454" spans="1:5">
      <c r="A1454" t="s">
        <v>7215</v>
      </c>
      <c r="B1454" t="s">
        <v>7216</v>
      </c>
      <c r="C1454" t="s">
        <v>7215</v>
      </c>
      <c r="D1454" t="s">
        <v>192</v>
      </c>
      <c r="E1454" t="s">
        <v>192</v>
      </c>
    </row>
    <row r="1455" spans="1:5">
      <c r="A1455" t="s">
        <v>7217</v>
      </c>
      <c r="B1455" t="s">
        <v>7218</v>
      </c>
      <c r="C1455" t="s">
        <v>7217</v>
      </c>
      <c r="D1455" t="s">
        <v>192</v>
      </c>
      <c r="E1455" t="s">
        <v>192</v>
      </c>
    </row>
    <row r="1456" spans="1:5">
      <c r="A1456" t="s">
        <v>7219</v>
      </c>
      <c r="B1456" t="s">
        <v>7220</v>
      </c>
      <c r="C1456" t="s">
        <v>7219</v>
      </c>
      <c r="D1456" t="s">
        <v>192</v>
      </c>
      <c r="E1456" t="s">
        <v>192</v>
      </c>
    </row>
    <row r="1457" spans="1:5">
      <c r="A1457" t="s">
        <v>7221</v>
      </c>
      <c r="B1457" t="s">
        <v>7222</v>
      </c>
      <c r="C1457" t="s">
        <v>7221</v>
      </c>
      <c r="D1457" t="s">
        <v>192</v>
      </c>
      <c r="E1457" t="s">
        <v>192</v>
      </c>
    </row>
    <row r="1458" spans="1:5">
      <c r="A1458" t="s">
        <v>3615</v>
      </c>
      <c r="B1458" t="s">
        <v>3616</v>
      </c>
      <c r="C1458" t="s">
        <v>3615</v>
      </c>
      <c r="D1458" t="s">
        <v>192</v>
      </c>
      <c r="E1458" t="s">
        <v>192</v>
      </c>
    </row>
    <row r="1459" spans="1:5">
      <c r="A1459" t="s">
        <v>6392</v>
      </c>
      <c r="B1459" t="s">
        <v>6393</v>
      </c>
      <c r="C1459" t="s">
        <v>6392</v>
      </c>
      <c r="D1459" t="s">
        <v>192</v>
      </c>
      <c r="E1459" t="s">
        <v>192</v>
      </c>
    </row>
    <row r="1460" spans="1:5">
      <c r="A1460" t="s">
        <v>3613</v>
      </c>
      <c r="B1460" t="s">
        <v>3614</v>
      </c>
      <c r="C1460" t="s">
        <v>3613</v>
      </c>
      <c r="D1460" t="s">
        <v>192</v>
      </c>
      <c r="E1460" t="s">
        <v>192</v>
      </c>
    </row>
    <row r="1461" spans="1:5">
      <c r="A1461" t="s">
        <v>7223</v>
      </c>
      <c r="B1461" t="s">
        <v>7224</v>
      </c>
      <c r="C1461" t="s">
        <v>7223</v>
      </c>
      <c r="D1461" t="s">
        <v>192</v>
      </c>
      <c r="E1461" t="s">
        <v>192</v>
      </c>
    </row>
    <row r="1462" spans="1:5">
      <c r="A1462" t="s">
        <v>3611</v>
      </c>
      <c r="B1462" t="s">
        <v>3612</v>
      </c>
      <c r="C1462" t="s">
        <v>3611</v>
      </c>
      <c r="D1462" t="s">
        <v>192</v>
      </c>
      <c r="E1462" t="s">
        <v>192</v>
      </c>
    </row>
    <row r="1463" spans="1:5">
      <c r="A1463" t="s">
        <v>3609</v>
      </c>
      <c r="B1463" t="s">
        <v>3610</v>
      </c>
      <c r="C1463" t="s">
        <v>3609</v>
      </c>
      <c r="D1463" t="s">
        <v>192</v>
      </c>
      <c r="E1463" t="s">
        <v>192</v>
      </c>
    </row>
    <row r="1464" spans="1:5">
      <c r="A1464" t="s">
        <v>7225</v>
      </c>
      <c r="B1464" t="s">
        <v>7226</v>
      </c>
      <c r="C1464" t="s">
        <v>7225</v>
      </c>
      <c r="D1464" t="s">
        <v>192</v>
      </c>
      <c r="E1464" t="s">
        <v>192</v>
      </c>
    </row>
    <row r="1465" spans="1:5">
      <c r="A1465" t="s">
        <v>4632</v>
      </c>
      <c r="B1465" t="s">
        <v>4633</v>
      </c>
      <c r="C1465" t="s">
        <v>4632</v>
      </c>
      <c r="D1465" t="s">
        <v>192</v>
      </c>
      <c r="E1465" t="s">
        <v>192</v>
      </c>
    </row>
    <row r="1466" spans="1:5">
      <c r="A1466" t="s">
        <v>3607</v>
      </c>
      <c r="B1466" t="s">
        <v>3608</v>
      </c>
      <c r="C1466" t="s">
        <v>3607</v>
      </c>
      <c r="D1466" t="s">
        <v>192</v>
      </c>
      <c r="E1466" t="s">
        <v>192</v>
      </c>
    </row>
    <row r="1467" spans="1:5">
      <c r="A1467" t="s">
        <v>7227</v>
      </c>
      <c r="B1467" t="s">
        <v>7228</v>
      </c>
      <c r="C1467" t="s">
        <v>7227</v>
      </c>
      <c r="D1467" t="s">
        <v>192</v>
      </c>
      <c r="E1467" t="s">
        <v>192</v>
      </c>
    </row>
    <row r="1468" spans="1:5">
      <c r="A1468" t="s">
        <v>7229</v>
      </c>
      <c r="B1468" t="s">
        <v>7230</v>
      </c>
      <c r="C1468" t="s">
        <v>7229</v>
      </c>
      <c r="D1468" t="s">
        <v>192</v>
      </c>
      <c r="E1468" t="s">
        <v>192</v>
      </c>
    </row>
    <row r="1469" spans="1:5">
      <c r="A1469" t="s">
        <v>3605</v>
      </c>
      <c r="B1469" t="s">
        <v>3606</v>
      </c>
      <c r="C1469" t="s">
        <v>3605</v>
      </c>
      <c r="D1469" t="s">
        <v>192</v>
      </c>
      <c r="E1469" t="s">
        <v>192</v>
      </c>
    </row>
    <row r="1470" spans="1:5">
      <c r="A1470" t="s">
        <v>3603</v>
      </c>
      <c r="B1470" t="s">
        <v>3604</v>
      </c>
      <c r="C1470" t="s">
        <v>3603</v>
      </c>
      <c r="D1470" t="s">
        <v>192</v>
      </c>
      <c r="E1470" t="s">
        <v>192</v>
      </c>
    </row>
    <row r="1471" spans="1:5">
      <c r="A1471" t="s">
        <v>3601</v>
      </c>
      <c r="B1471" t="s">
        <v>3602</v>
      </c>
      <c r="C1471" t="s">
        <v>3601</v>
      </c>
      <c r="D1471" t="s">
        <v>192</v>
      </c>
      <c r="E1471" t="s">
        <v>192</v>
      </c>
    </row>
    <row r="1472" spans="1:5">
      <c r="A1472" t="s">
        <v>3599</v>
      </c>
      <c r="B1472" t="s">
        <v>3600</v>
      </c>
      <c r="C1472" t="s">
        <v>3599</v>
      </c>
      <c r="D1472" t="s">
        <v>192</v>
      </c>
      <c r="E1472" t="s">
        <v>192</v>
      </c>
    </row>
    <row r="1473" spans="1:5">
      <c r="A1473" t="s">
        <v>3597</v>
      </c>
      <c r="B1473" t="s">
        <v>3598</v>
      </c>
      <c r="C1473" t="s">
        <v>3597</v>
      </c>
      <c r="D1473" t="s">
        <v>192</v>
      </c>
      <c r="E1473" t="s">
        <v>192</v>
      </c>
    </row>
    <row r="1474" spans="1:5">
      <c r="A1474" t="s">
        <v>4855</v>
      </c>
      <c r="B1474" t="s">
        <v>4856</v>
      </c>
      <c r="C1474" t="s">
        <v>4855</v>
      </c>
      <c r="D1474" t="s">
        <v>192</v>
      </c>
      <c r="E1474" t="s">
        <v>192</v>
      </c>
    </row>
    <row r="1475" spans="1:5">
      <c r="A1475" t="s">
        <v>3595</v>
      </c>
      <c r="B1475" t="s">
        <v>3596</v>
      </c>
      <c r="C1475" t="s">
        <v>3595</v>
      </c>
      <c r="D1475" t="s">
        <v>192</v>
      </c>
      <c r="E1475" t="s">
        <v>192</v>
      </c>
    </row>
    <row r="1476" spans="1:5">
      <c r="A1476" t="s">
        <v>3593</v>
      </c>
      <c r="B1476" t="s">
        <v>3594</v>
      </c>
      <c r="C1476" t="s">
        <v>3593</v>
      </c>
      <c r="D1476" t="s">
        <v>192</v>
      </c>
      <c r="E1476" t="s">
        <v>192</v>
      </c>
    </row>
    <row r="1477" spans="1:5">
      <c r="A1477" t="s">
        <v>4615</v>
      </c>
      <c r="B1477" t="s">
        <v>4616</v>
      </c>
      <c r="C1477" t="s">
        <v>4615</v>
      </c>
      <c r="D1477" t="s">
        <v>192</v>
      </c>
      <c r="E1477" t="s">
        <v>192</v>
      </c>
    </row>
    <row r="1478" spans="1:5">
      <c r="A1478" t="s">
        <v>3855</v>
      </c>
      <c r="B1478" t="s">
        <v>3856</v>
      </c>
      <c r="C1478" t="s">
        <v>3855</v>
      </c>
      <c r="D1478" t="s">
        <v>192</v>
      </c>
      <c r="E1478" t="s">
        <v>192</v>
      </c>
    </row>
    <row r="1479" spans="1:5">
      <c r="A1479" t="s">
        <v>4740</v>
      </c>
      <c r="B1479" t="s">
        <v>4741</v>
      </c>
      <c r="C1479" t="s">
        <v>4740</v>
      </c>
      <c r="D1479" t="s">
        <v>192</v>
      </c>
      <c r="E1479" t="s">
        <v>192</v>
      </c>
    </row>
    <row r="1480" spans="1:5">
      <c r="A1480" t="s">
        <v>3591</v>
      </c>
      <c r="B1480" t="s">
        <v>3592</v>
      </c>
      <c r="C1480" t="s">
        <v>3591</v>
      </c>
      <c r="D1480" t="s">
        <v>192</v>
      </c>
      <c r="E1480" t="s">
        <v>192</v>
      </c>
    </row>
    <row r="1481" spans="1:5">
      <c r="A1481" t="s">
        <v>3837</v>
      </c>
      <c r="B1481" t="s">
        <v>3838</v>
      </c>
      <c r="C1481" t="s">
        <v>3837</v>
      </c>
      <c r="D1481" t="s">
        <v>192</v>
      </c>
      <c r="E1481" t="s">
        <v>192</v>
      </c>
    </row>
    <row r="1482" spans="1:5">
      <c r="A1482" t="s">
        <v>4861</v>
      </c>
      <c r="B1482" t="s">
        <v>4862</v>
      </c>
      <c r="C1482" t="s">
        <v>4861</v>
      </c>
      <c r="D1482" t="s">
        <v>192</v>
      </c>
      <c r="E1482" t="s">
        <v>192</v>
      </c>
    </row>
    <row r="1483" spans="1:5">
      <c r="A1483" t="s">
        <v>3498</v>
      </c>
      <c r="B1483" t="s">
        <v>3499</v>
      </c>
      <c r="C1483" t="s">
        <v>3498</v>
      </c>
      <c r="D1483" t="s">
        <v>192</v>
      </c>
      <c r="E1483" t="s">
        <v>192</v>
      </c>
    </row>
    <row r="1484" spans="1:5">
      <c r="A1484" t="s">
        <v>3496</v>
      </c>
      <c r="B1484" t="s">
        <v>3497</v>
      </c>
      <c r="C1484" t="s">
        <v>3496</v>
      </c>
      <c r="D1484" t="s">
        <v>192</v>
      </c>
      <c r="E1484" t="s">
        <v>192</v>
      </c>
    </row>
    <row r="1485" spans="1:5">
      <c r="A1485" t="s">
        <v>4710</v>
      </c>
      <c r="B1485" t="s">
        <v>4711</v>
      </c>
      <c r="C1485" t="s">
        <v>4710</v>
      </c>
      <c r="D1485" t="s">
        <v>192</v>
      </c>
      <c r="E1485" t="s">
        <v>192</v>
      </c>
    </row>
    <row r="1486" spans="1:5">
      <c r="A1486" t="s">
        <v>4791</v>
      </c>
      <c r="B1486" t="s">
        <v>4792</v>
      </c>
      <c r="C1486" t="s">
        <v>4791</v>
      </c>
      <c r="D1486" t="s">
        <v>192</v>
      </c>
      <c r="E1486" t="s">
        <v>192</v>
      </c>
    </row>
    <row r="1487" spans="1:5">
      <c r="A1487" t="s">
        <v>6409</v>
      </c>
      <c r="B1487" t="s">
        <v>6410</v>
      </c>
      <c r="C1487" t="s">
        <v>6409</v>
      </c>
      <c r="D1487" t="s">
        <v>192</v>
      </c>
      <c r="E1487" t="s">
        <v>192</v>
      </c>
    </row>
    <row r="1488" spans="1:5">
      <c r="A1488" t="s">
        <v>4747</v>
      </c>
      <c r="B1488" t="s">
        <v>4748</v>
      </c>
      <c r="C1488" t="s">
        <v>4747</v>
      </c>
      <c r="D1488" t="s">
        <v>192</v>
      </c>
      <c r="E1488" t="s">
        <v>192</v>
      </c>
    </row>
    <row r="1489" spans="1:5">
      <c r="A1489" t="s">
        <v>3494</v>
      </c>
      <c r="B1489" t="s">
        <v>3495</v>
      </c>
      <c r="C1489" t="s">
        <v>3494</v>
      </c>
      <c r="D1489" t="s">
        <v>192</v>
      </c>
      <c r="E1489" t="s">
        <v>192</v>
      </c>
    </row>
    <row r="1490" spans="1:5">
      <c r="A1490" t="s">
        <v>3492</v>
      </c>
      <c r="B1490" t="s">
        <v>3493</v>
      </c>
      <c r="C1490" t="s">
        <v>3492</v>
      </c>
      <c r="D1490" t="s">
        <v>192</v>
      </c>
      <c r="E1490" t="s">
        <v>192</v>
      </c>
    </row>
    <row r="1491" spans="1:5">
      <c r="A1491" t="s">
        <v>3490</v>
      </c>
      <c r="B1491" t="s">
        <v>3491</v>
      </c>
      <c r="C1491" t="s">
        <v>3490</v>
      </c>
      <c r="D1491" t="s">
        <v>192</v>
      </c>
      <c r="E1491" t="s">
        <v>192</v>
      </c>
    </row>
    <row r="1492" spans="1:5">
      <c r="A1492" t="s">
        <v>3488</v>
      </c>
      <c r="B1492" t="s">
        <v>3489</v>
      </c>
      <c r="C1492" t="s">
        <v>3488</v>
      </c>
      <c r="D1492" t="s">
        <v>192</v>
      </c>
      <c r="E1492" t="s">
        <v>192</v>
      </c>
    </row>
    <row r="1493" spans="1:5">
      <c r="A1493" t="s">
        <v>6327</v>
      </c>
      <c r="B1493" t="s">
        <v>6328</v>
      </c>
      <c r="C1493" t="s">
        <v>6327</v>
      </c>
      <c r="D1493" t="s">
        <v>192</v>
      </c>
      <c r="E1493" t="s">
        <v>192</v>
      </c>
    </row>
    <row r="1494" spans="1:5">
      <c r="A1494" t="s">
        <v>6208</v>
      </c>
      <c r="B1494" t="s">
        <v>6209</v>
      </c>
      <c r="C1494" t="s">
        <v>6208</v>
      </c>
      <c r="D1494" t="s">
        <v>192</v>
      </c>
      <c r="E1494" t="s">
        <v>192</v>
      </c>
    </row>
    <row r="1495" spans="1:5">
      <c r="A1495" t="s">
        <v>3486</v>
      </c>
      <c r="B1495" t="s">
        <v>3487</v>
      </c>
      <c r="C1495" t="s">
        <v>3486</v>
      </c>
      <c r="D1495" t="s">
        <v>192</v>
      </c>
      <c r="E1495" t="s">
        <v>192</v>
      </c>
    </row>
    <row r="1496" spans="1:5">
      <c r="A1496" t="s">
        <v>3484</v>
      </c>
      <c r="B1496" t="s">
        <v>3485</v>
      </c>
      <c r="C1496" t="s">
        <v>3484</v>
      </c>
      <c r="D1496" t="s">
        <v>192</v>
      </c>
      <c r="E1496" t="s">
        <v>192</v>
      </c>
    </row>
    <row r="1497" spans="1:5">
      <c r="A1497" t="s">
        <v>5307</v>
      </c>
      <c r="B1497" t="s">
        <v>5308</v>
      </c>
      <c r="C1497" t="s">
        <v>5307</v>
      </c>
      <c r="D1497" t="s">
        <v>192</v>
      </c>
      <c r="E1497" t="s">
        <v>192</v>
      </c>
    </row>
    <row r="1498" spans="1:5">
      <c r="A1498" t="s">
        <v>3482</v>
      </c>
      <c r="B1498" t="s">
        <v>3483</v>
      </c>
      <c r="C1498" t="s">
        <v>3482</v>
      </c>
      <c r="D1498" t="s">
        <v>192</v>
      </c>
      <c r="E1498" t="s">
        <v>192</v>
      </c>
    </row>
    <row r="1499" spans="1:5">
      <c r="A1499" t="s">
        <v>3480</v>
      </c>
      <c r="B1499" t="s">
        <v>3481</v>
      </c>
      <c r="C1499" t="s">
        <v>3480</v>
      </c>
      <c r="D1499" t="s">
        <v>192</v>
      </c>
      <c r="E1499" t="s">
        <v>192</v>
      </c>
    </row>
    <row r="1500" spans="1:5">
      <c r="A1500" t="s">
        <v>3478</v>
      </c>
      <c r="B1500" t="s">
        <v>3479</v>
      </c>
      <c r="C1500" t="s">
        <v>3478</v>
      </c>
      <c r="D1500" t="s">
        <v>192</v>
      </c>
      <c r="E1500" t="s">
        <v>192</v>
      </c>
    </row>
    <row r="1501" spans="1:5">
      <c r="A1501" t="s">
        <v>3904</v>
      </c>
      <c r="B1501" t="s">
        <v>3905</v>
      </c>
      <c r="C1501" t="s">
        <v>3904</v>
      </c>
      <c r="D1501" t="s">
        <v>192</v>
      </c>
      <c r="E1501" t="s">
        <v>192</v>
      </c>
    </row>
    <row r="1502" spans="1:5">
      <c r="A1502" t="s">
        <v>3476</v>
      </c>
      <c r="B1502" t="s">
        <v>3477</v>
      </c>
      <c r="C1502" t="s">
        <v>3476</v>
      </c>
      <c r="D1502" t="s">
        <v>192</v>
      </c>
      <c r="E1502" t="s">
        <v>192</v>
      </c>
    </row>
    <row r="1503" spans="1:5">
      <c r="A1503" t="s">
        <v>3474</v>
      </c>
      <c r="B1503" t="s">
        <v>3475</v>
      </c>
      <c r="C1503" t="s">
        <v>3474</v>
      </c>
      <c r="D1503" t="s">
        <v>192</v>
      </c>
      <c r="E1503" t="s">
        <v>192</v>
      </c>
    </row>
    <row r="1504" spans="1:5">
      <c r="A1504" t="s">
        <v>6095</v>
      </c>
      <c r="B1504" t="s">
        <v>6096</v>
      </c>
      <c r="C1504" t="s">
        <v>6095</v>
      </c>
      <c r="D1504" t="s">
        <v>192</v>
      </c>
      <c r="E1504" t="s">
        <v>192</v>
      </c>
    </row>
    <row r="1505" spans="1:5">
      <c r="A1505" t="s">
        <v>3472</v>
      </c>
      <c r="B1505" t="s">
        <v>3473</v>
      </c>
      <c r="C1505" t="s">
        <v>3472</v>
      </c>
      <c r="D1505" t="s">
        <v>192</v>
      </c>
      <c r="E1505" t="s">
        <v>192</v>
      </c>
    </row>
    <row r="1506" spans="1:5">
      <c r="A1506" t="s">
        <v>3470</v>
      </c>
      <c r="B1506" t="s">
        <v>3471</v>
      </c>
      <c r="C1506" t="s">
        <v>3470</v>
      </c>
      <c r="D1506" t="s">
        <v>192</v>
      </c>
      <c r="E1506" t="s">
        <v>192</v>
      </c>
    </row>
    <row r="1507" spans="1:5">
      <c r="A1507" t="s">
        <v>3468</v>
      </c>
      <c r="B1507" t="s">
        <v>3469</v>
      </c>
      <c r="C1507" t="s">
        <v>3468</v>
      </c>
      <c r="D1507" t="s">
        <v>192</v>
      </c>
      <c r="E1507" t="s">
        <v>192</v>
      </c>
    </row>
    <row r="1508" spans="1:5">
      <c r="A1508" t="s">
        <v>7231</v>
      </c>
      <c r="B1508" t="s">
        <v>7232</v>
      </c>
      <c r="C1508" t="s">
        <v>7231</v>
      </c>
      <c r="D1508" t="s">
        <v>192</v>
      </c>
      <c r="E1508" t="s">
        <v>192</v>
      </c>
    </row>
    <row r="1509" spans="1:5">
      <c r="A1509" t="s">
        <v>7233</v>
      </c>
      <c r="B1509" t="s">
        <v>7234</v>
      </c>
      <c r="C1509" t="s">
        <v>7233</v>
      </c>
      <c r="D1509" t="s">
        <v>192</v>
      </c>
      <c r="E1509" t="s">
        <v>192</v>
      </c>
    </row>
    <row r="1510" spans="1:5">
      <c r="A1510" t="s">
        <v>7235</v>
      </c>
      <c r="B1510" t="s">
        <v>7236</v>
      </c>
      <c r="C1510" t="s">
        <v>7235</v>
      </c>
      <c r="D1510" t="s">
        <v>192</v>
      </c>
      <c r="E1510" t="s">
        <v>192</v>
      </c>
    </row>
    <row r="1511" spans="1:5">
      <c r="A1511" t="s">
        <v>7237</v>
      </c>
      <c r="B1511" t="s">
        <v>7238</v>
      </c>
      <c r="C1511" t="s">
        <v>7237</v>
      </c>
      <c r="D1511" t="s">
        <v>192</v>
      </c>
      <c r="E1511" t="s">
        <v>192</v>
      </c>
    </row>
    <row r="1512" spans="1:5">
      <c r="A1512" t="s">
        <v>7239</v>
      </c>
      <c r="B1512" t="s">
        <v>7240</v>
      </c>
      <c r="C1512" t="s">
        <v>7239</v>
      </c>
      <c r="D1512" t="s">
        <v>192</v>
      </c>
      <c r="E1512" t="s">
        <v>192</v>
      </c>
    </row>
    <row r="1513" spans="1:5">
      <c r="A1513" t="s">
        <v>7241</v>
      </c>
      <c r="B1513" t="s">
        <v>7242</v>
      </c>
      <c r="C1513" t="s">
        <v>7241</v>
      </c>
      <c r="D1513" t="s">
        <v>192</v>
      </c>
      <c r="E1513" t="s">
        <v>192</v>
      </c>
    </row>
    <row r="1514" spans="1:5">
      <c r="A1514" t="s">
        <v>7243</v>
      </c>
      <c r="B1514" t="s">
        <v>7244</v>
      </c>
      <c r="C1514" t="s">
        <v>7243</v>
      </c>
      <c r="D1514" t="s">
        <v>192</v>
      </c>
      <c r="E1514" t="s">
        <v>192</v>
      </c>
    </row>
    <row r="1515" spans="1:5">
      <c r="A1515" t="s">
        <v>7245</v>
      </c>
      <c r="B1515" t="s">
        <v>7246</v>
      </c>
      <c r="C1515" t="s">
        <v>7245</v>
      </c>
      <c r="D1515" t="s">
        <v>192</v>
      </c>
      <c r="E1515" t="s">
        <v>192</v>
      </c>
    </row>
    <row r="1516" spans="1:5">
      <c r="A1516" t="s">
        <v>7247</v>
      </c>
      <c r="B1516" t="s">
        <v>7248</v>
      </c>
      <c r="C1516" t="s">
        <v>7247</v>
      </c>
      <c r="D1516" t="s">
        <v>192</v>
      </c>
      <c r="E1516" t="s">
        <v>192</v>
      </c>
    </row>
    <row r="1517" spans="1:5">
      <c r="A1517" t="s">
        <v>7249</v>
      </c>
      <c r="B1517" t="s">
        <v>7250</v>
      </c>
      <c r="C1517" t="s">
        <v>7249</v>
      </c>
      <c r="D1517" t="s">
        <v>192</v>
      </c>
      <c r="E1517" t="s">
        <v>192</v>
      </c>
    </row>
    <row r="1518" spans="1:5">
      <c r="A1518" t="s">
        <v>7251</v>
      </c>
      <c r="B1518" t="s">
        <v>7252</v>
      </c>
      <c r="C1518" t="s">
        <v>7251</v>
      </c>
      <c r="D1518" t="s">
        <v>192</v>
      </c>
      <c r="E1518" t="s">
        <v>192</v>
      </c>
    </row>
    <row r="1519" spans="1:5">
      <c r="A1519" t="s">
        <v>7253</v>
      </c>
      <c r="B1519" t="s">
        <v>7254</v>
      </c>
      <c r="C1519" t="s">
        <v>7253</v>
      </c>
      <c r="D1519" t="s">
        <v>192</v>
      </c>
      <c r="E1519" t="s">
        <v>192</v>
      </c>
    </row>
    <row r="1520" spans="1:5">
      <c r="A1520" t="s">
        <v>7255</v>
      </c>
      <c r="B1520" t="s">
        <v>7256</v>
      </c>
      <c r="C1520" t="s">
        <v>7255</v>
      </c>
      <c r="D1520" t="s">
        <v>192</v>
      </c>
      <c r="E1520" t="s">
        <v>192</v>
      </c>
    </row>
    <row r="1521" spans="1:5">
      <c r="A1521" t="s">
        <v>7257</v>
      </c>
      <c r="B1521" t="s">
        <v>7258</v>
      </c>
      <c r="C1521" t="s">
        <v>7257</v>
      </c>
      <c r="D1521" t="s">
        <v>192</v>
      </c>
      <c r="E1521" t="s">
        <v>192</v>
      </c>
    </row>
    <row r="1522" spans="1:5">
      <c r="A1522" t="s">
        <v>4582</v>
      </c>
      <c r="B1522" t="s">
        <v>7259</v>
      </c>
      <c r="C1522" t="s">
        <v>4582</v>
      </c>
      <c r="D1522" t="s">
        <v>192</v>
      </c>
      <c r="E1522" t="s">
        <v>192</v>
      </c>
    </row>
    <row r="1523" spans="1:5">
      <c r="A1523" t="s">
        <v>3590</v>
      </c>
      <c r="B1523" t="s">
        <v>7260</v>
      </c>
      <c r="C1523" t="s">
        <v>3590</v>
      </c>
      <c r="D1523" t="s">
        <v>192</v>
      </c>
      <c r="E1523" t="s">
        <v>192</v>
      </c>
    </row>
    <row r="1524" spans="1:5">
      <c r="A1524" t="s">
        <v>4131</v>
      </c>
      <c r="B1524" t="s">
        <v>7261</v>
      </c>
      <c r="C1524" t="s">
        <v>4131</v>
      </c>
      <c r="D1524" t="s">
        <v>192</v>
      </c>
      <c r="E1524" t="s">
        <v>192</v>
      </c>
    </row>
    <row r="1525" spans="1:5">
      <c r="A1525" t="s">
        <v>6156</v>
      </c>
      <c r="B1525" t="s">
        <v>7262</v>
      </c>
      <c r="C1525" t="s">
        <v>6156</v>
      </c>
      <c r="D1525" t="s">
        <v>192</v>
      </c>
      <c r="E1525" t="s">
        <v>192</v>
      </c>
    </row>
    <row r="1526" spans="1:5">
      <c r="A1526" t="s">
        <v>3589</v>
      </c>
      <c r="B1526" t="s">
        <v>7263</v>
      </c>
      <c r="C1526" t="s">
        <v>3589</v>
      </c>
      <c r="D1526" t="s">
        <v>192</v>
      </c>
      <c r="E1526" t="s">
        <v>192</v>
      </c>
    </row>
    <row r="1527" spans="1:5">
      <c r="A1527" t="s">
        <v>3588</v>
      </c>
      <c r="B1527" t="s">
        <v>7264</v>
      </c>
      <c r="C1527" t="s">
        <v>3588</v>
      </c>
      <c r="D1527" t="s">
        <v>192</v>
      </c>
      <c r="E1527" t="s">
        <v>192</v>
      </c>
    </row>
    <row r="1528" spans="1:5">
      <c r="A1528" t="s">
        <v>3587</v>
      </c>
      <c r="B1528" t="s">
        <v>7265</v>
      </c>
      <c r="C1528" t="s">
        <v>3587</v>
      </c>
      <c r="D1528" t="s">
        <v>192</v>
      </c>
      <c r="E1528" t="s">
        <v>192</v>
      </c>
    </row>
    <row r="1529" spans="1:5">
      <c r="A1529" t="s">
        <v>5298</v>
      </c>
      <c r="B1529" t="s">
        <v>7266</v>
      </c>
      <c r="C1529" t="s">
        <v>5298</v>
      </c>
      <c r="D1529" t="s">
        <v>192</v>
      </c>
      <c r="E1529" t="s">
        <v>192</v>
      </c>
    </row>
    <row r="1530" spans="1:5">
      <c r="A1530" t="s">
        <v>3586</v>
      </c>
      <c r="B1530" t="s">
        <v>7267</v>
      </c>
      <c r="C1530" t="s">
        <v>3586</v>
      </c>
      <c r="D1530" t="s">
        <v>192</v>
      </c>
      <c r="E1530" t="s">
        <v>192</v>
      </c>
    </row>
    <row r="1531" spans="1:5">
      <c r="A1531" t="s">
        <v>3585</v>
      </c>
      <c r="B1531" t="s">
        <v>7268</v>
      </c>
      <c r="C1531" t="s">
        <v>3585</v>
      </c>
      <c r="D1531" t="s">
        <v>192</v>
      </c>
      <c r="E1531" t="s">
        <v>192</v>
      </c>
    </row>
    <row r="1532" spans="1:5">
      <c r="A1532" t="s">
        <v>4621</v>
      </c>
      <c r="B1532" t="s">
        <v>7269</v>
      </c>
      <c r="C1532" t="s">
        <v>4621</v>
      </c>
      <c r="D1532" t="s">
        <v>192</v>
      </c>
      <c r="E1532" t="s">
        <v>192</v>
      </c>
    </row>
    <row r="1533" spans="1:5">
      <c r="A1533" t="s">
        <v>3584</v>
      </c>
      <c r="B1533" t="s">
        <v>7270</v>
      </c>
      <c r="C1533" t="s">
        <v>3584</v>
      </c>
      <c r="D1533" t="s">
        <v>192</v>
      </c>
      <c r="E1533" t="s">
        <v>192</v>
      </c>
    </row>
    <row r="1534" spans="1:5">
      <c r="A1534" t="s">
        <v>3583</v>
      </c>
      <c r="B1534" t="s">
        <v>7271</v>
      </c>
      <c r="C1534" t="s">
        <v>3583</v>
      </c>
      <c r="D1534" t="s">
        <v>192</v>
      </c>
      <c r="E1534" t="s">
        <v>192</v>
      </c>
    </row>
    <row r="1535" spans="1:5">
      <c r="A1535" t="s">
        <v>3582</v>
      </c>
      <c r="B1535" t="s">
        <v>7272</v>
      </c>
      <c r="C1535" t="s">
        <v>3582</v>
      </c>
      <c r="D1535" t="s">
        <v>192</v>
      </c>
      <c r="E1535" t="s">
        <v>192</v>
      </c>
    </row>
    <row r="1536" spans="1:5">
      <c r="A1536" t="s">
        <v>3865</v>
      </c>
      <c r="B1536" t="s">
        <v>7273</v>
      </c>
      <c r="C1536" t="s">
        <v>3865</v>
      </c>
      <c r="D1536" t="s">
        <v>192</v>
      </c>
      <c r="E1536" t="s">
        <v>192</v>
      </c>
    </row>
    <row r="1537" spans="1:5">
      <c r="A1537" t="s">
        <v>4742</v>
      </c>
      <c r="B1537" t="s">
        <v>7274</v>
      </c>
      <c r="C1537" t="s">
        <v>4742</v>
      </c>
      <c r="D1537" t="s">
        <v>192</v>
      </c>
      <c r="E1537" t="s">
        <v>192</v>
      </c>
    </row>
    <row r="1538" spans="1:5">
      <c r="A1538" t="s">
        <v>3581</v>
      </c>
      <c r="B1538" t="s">
        <v>7275</v>
      </c>
      <c r="C1538" t="s">
        <v>3581</v>
      </c>
      <c r="D1538" t="s">
        <v>192</v>
      </c>
      <c r="E1538" t="s">
        <v>192</v>
      </c>
    </row>
    <row r="1539" spans="1:5">
      <c r="A1539" t="s">
        <v>3580</v>
      </c>
      <c r="B1539" t="s">
        <v>7276</v>
      </c>
      <c r="C1539" t="s">
        <v>3580</v>
      </c>
      <c r="D1539" t="s">
        <v>192</v>
      </c>
      <c r="E1539" t="s">
        <v>192</v>
      </c>
    </row>
    <row r="1540" spans="1:5">
      <c r="A1540" t="s">
        <v>3579</v>
      </c>
      <c r="B1540" t="s">
        <v>7277</v>
      </c>
      <c r="C1540" t="s">
        <v>3579</v>
      </c>
      <c r="D1540" t="s">
        <v>192</v>
      </c>
      <c r="E1540" t="s">
        <v>192</v>
      </c>
    </row>
    <row r="1541" spans="1:5">
      <c r="A1541" t="s">
        <v>4096</v>
      </c>
      <c r="B1541" t="s">
        <v>7278</v>
      </c>
      <c r="C1541" t="s">
        <v>4096</v>
      </c>
      <c r="D1541" t="s">
        <v>192</v>
      </c>
      <c r="E1541" t="s">
        <v>192</v>
      </c>
    </row>
    <row r="1542" spans="1:5">
      <c r="A1542" t="s">
        <v>4809</v>
      </c>
      <c r="B1542" t="s">
        <v>7279</v>
      </c>
      <c r="C1542" t="s">
        <v>4809</v>
      </c>
      <c r="D1542" t="s">
        <v>192</v>
      </c>
      <c r="E1542" t="s">
        <v>192</v>
      </c>
    </row>
    <row r="1543" spans="1:5">
      <c r="A1543" t="s">
        <v>3578</v>
      </c>
      <c r="B1543" t="s">
        <v>7280</v>
      </c>
      <c r="C1543" t="s">
        <v>3578</v>
      </c>
      <c r="D1543" t="s">
        <v>192</v>
      </c>
      <c r="E1543" t="s">
        <v>192</v>
      </c>
    </row>
    <row r="1544" spans="1:5">
      <c r="A1544" t="s">
        <v>3577</v>
      </c>
      <c r="B1544" t="s">
        <v>7281</v>
      </c>
      <c r="C1544" t="s">
        <v>3577</v>
      </c>
      <c r="D1544" t="s">
        <v>192</v>
      </c>
      <c r="E1544" t="s">
        <v>192</v>
      </c>
    </row>
    <row r="1545" spans="1:5">
      <c r="A1545" t="s">
        <v>3576</v>
      </c>
      <c r="B1545" t="s">
        <v>7282</v>
      </c>
      <c r="C1545" t="s">
        <v>3576</v>
      </c>
      <c r="D1545" t="s">
        <v>192</v>
      </c>
      <c r="E1545" t="s">
        <v>192</v>
      </c>
    </row>
    <row r="1546" spans="1:5">
      <c r="A1546" t="s">
        <v>3575</v>
      </c>
      <c r="B1546" t="s">
        <v>7283</v>
      </c>
      <c r="C1546" t="s">
        <v>3575</v>
      </c>
      <c r="D1546" t="s">
        <v>192</v>
      </c>
      <c r="E1546" t="s">
        <v>192</v>
      </c>
    </row>
    <row r="1547" spans="1:5">
      <c r="A1547" t="s">
        <v>3574</v>
      </c>
      <c r="B1547" t="s">
        <v>7284</v>
      </c>
      <c r="C1547" t="s">
        <v>3574</v>
      </c>
      <c r="D1547" t="s">
        <v>192</v>
      </c>
      <c r="E1547" t="s">
        <v>192</v>
      </c>
    </row>
    <row r="1548" spans="1:5">
      <c r="A1548" t="s">
        <v>5836</v>
      </c>
      <c r="B1548" t="s">
        <v>5837</v>
      </c>
      <c r="C1548" t="s">
        <v>5836</v>
      </c>
      <c r="D1548" t="s">
        <v>192</v>
      </c>
      <c r="E1548" t="s">
        <v>192</v>
      </c>
    </row>
    <row r="1549" spans="1:5">
      <c r="A1549" t="s">
        <v>7285</v>
      </c>
      <c r="B1549" t="s">
        <v>7286</v>
      </c>
      <c r="C1549" t="s">
        <v>7285</v>
      </c>
      <c r="D1549" t="s">
        <v>192</v>
      </c>
      <c r="E1549" t="s">
        <v>192</v>
      </c>
    </row>
    <row r="1550" spans="1:5">
      <c r="A1550" t="s">
        <v>7287</v>
      </c>
      <c r="B1550" t="s">
        <v>7288</v>
      </c>
      <c r="C1550" t="s">
        <v>7287</v>
      </c>
      <c r="D1550" t="s">
        <v>192</v>
      </c>
      <c r="E1550" t="s">
        <v>192</v>
      </c>
    </row>
    <row r="1551" spans="1:5">
      <c r="A1551" t="s">
        <v>7289</v>
      </c>
      <c r="B1551" t="s">
        <v>7290</v>
      </c>
      <c r="C1551" t="s">
        <v>7289</v>
      </c>
      <c r="D1551" t="s">
        <v>192</v>
      </c>
      <c r="E1551" t="s">
        <v>192</v>
      </c>
    </row>
    <row r="1552" spans="1:5">
      <c r="A1552" t="s">
        <v>7291</v>
      </c>
      <c r="B1552" t="s">
        <v>7292</v>
      </c>
      <c r="C1552" t="s">
        <v>7291</v>
      </c>
      <c r="D1552" t="s">
        <v>192</v>
      </c>
      <c r="E1552" t="s">
        <v>192</v>
      </c>
    </row>
    <row r="1553" spans="1:5">
      <c r="A1553" t="s">
        <v>7293</v>
      </c>
      <c r="B1553" t="s">
        <v>7294</v>
      </c>
      <c r="C1553" t="s">
        <v>7293</v>
      </c>
      <c r="D1553" t="s">
        <v>192</v>
      </c>
      <c r="E1553" t="s">
        <v>192</v>
      </c>
    </row>
    <row r="1554" spans="1:5">
      <c r="A1554" t="s">
        <v>7295</v>
      </c>
      <c r="B1554" t="s">
        <v>7296</v>
      </c>
      <c r="C1554" t="s">
        <v>7295</v>
      </c>
      <c r="D1554" t="s">
        <v>192</v>
      </c>
      <c r="E1554" t="s">
        <v>192</v>
      </c>
    </row>
    <row r="1555" spans="1:5">
      <c r="A1555" t="s">
        <v>7297</v>
      </c>
      <c r="B1555" t="s">
        <v>7298</v>
      </c>
      <c r="C1555" t="s">
        <v>7297</v>
      </c>
      <c r="D1555" t="s">
        <v>192</v>
      </c>
      <c r="E1555" t="s">
        <v>192</v>
      </c>
    </row>
    <row r="1556" spans="1:5">
      <c r="A1556" t="s">
        <v>7299</v>
      </c>
      <c r="B1556" t="s">
        <v>7300</v>
      </c>
      <c r="C1556" t="s">
        <v>7299</v>
      </c>
      <c r="D1556" t="s">
        <v>192</v>
      </c>
      <c r="E1556" t="s">
        <v>192</v>
      </c>
    </row>
    <row r="1557" spans="1:5">
      <c r="A1557" t="s">
        <v>7301</v>
      </c>
      <c r="B1557" t="s">
        <v>7302</v>
      </c>
      <c r="C1557" t="s">
        <v>7301</v>
      </c>
      <c r="D1557" t="s">
        <v>192</v>
      </c>
      <c r="E1557" t="s">
        <v>192</v>
      </c>
    </row>
    <row r="1558" spans="1:5">
      <c r="A1558" t="s">
        <v>7303</v>
      </c>
      <c r="B1558" t="s">
        <v>7304</v>
      </c>
      <c r="C1558" t="s">
        <v>7303</v>
      </c>
      <c r="D1558" t="s">
        <v>192</v>
      </c>
      <c r="E1558" t="s">
        <v>192</v>
      </c>
    </row>
    <row r="1559" spans="1:5">
      <c r="A1559" t="s">
        <v>7305</v>
      </c>
      <c r="B1559" t="s">
        <v>7306</v>
      </c>
      <c r="C1559" t="s">
        <v>7305</v>
      </c>
      <c r="D1559" t="s">
        <v>192</v>
      </c>
      <c r="E1559" t="s">
        <v>192</v>
      </c>
    </row>
    <row r="1560" spans="1:5">
      <c r="A1560" t="s">
        <v>7307</v>
      </c>
      <c r="B1560" t="s">
        <v>7308</v>
      </c>
      <c r="C1560" t="s">
        <v>7307</v>
      </c>
      <c r="D1560" t="s">
        <v>192</v>
      </c>
      <c r="E1560" t="s">
        <v>192</v>
      </c>
    </row>
    <row r="1561" spans="1:5">
      <c r="A1561" t="s">
        <v>7309</v>
      </c>
      <c r="B1561" t="s">
        <v>7310</v>
      </c>
      <c r="C1561" t="s">
        <v>7309</v>
      </c>
      <c r="D1561" t="s">
        <v>192</v>
      </c>
      <c r="E1561" t="s">
        <v>192</v>
      </c>
    </row>
    <row r="1562" spans="1:5">
      <c r="A1562" t="s">
        <v>7311</v>
      </c>
      <c r="B1562" t="s">
        <v>7312</v>
      </c>
      <c r="C1562" t="s">
        <v>7311</v>
      </c>
      <c r="D1562" t="s">
        <v>192</v>
      </c>
      <c r="E1562" t="s">
        <v>192</v>
      </c>
    </row>
    <row r="1563" spans="1:5">
      <c r="A1563" t="s">
        <v>7313</v>
      </c>
      <c r="B1563" t="s">
        <v>7314</v>
      </c>
      <c r="C1563" t="s">
        <v>7313</v>
      </c>
      <c r="D1563" t="s">
        <v>192</v>
      </c>
      <c r="E1563" t="s">
        <v>192</v>
      </c>
    </row>
    <row r="1564" spans="1:5">
      <c r="A1564" t="s">
        <v>7315</v>
      </c>
      <c r="B1564" t="s">
        <v>7316</v>
      </c>
      <c r="C1564" t="s">
        <v>7315</v>
      </c>
      <c r="D1564" t="s">
        <v>192</v>
      </c>
      <c r="E1564" t="s">
        <v>192</v>
      </c>
    </row>
    <row r="1565" spans="1:5">
      <c r="A1565" t="s">
        <v>7317</v>
      </c>
      <c r="B1565" t="s">
        <v>7318</v>
      </c>
      <c r="C1565" t="s">
        <v>7317</v>
      </c>
      <c r="D1565" t="s">
        <v>192</v>
      </c>
      <c r="E1565" t="s">
        <v>192</v>
      </c>
    </row>
    <row r="1566" spans="1:5">
      <c r="A1566" t="s">
        <v>7319</v>
      </c>
      <c r="B1566" t="s">
        <v>7320</v>
      </c>
      <c r="C1566" t="s">
        <v>7319</v>
      </c>
      <c r="D1566" t="s">
        <v>192</v>
      </c>
      <c r="E1566" t="s">
        <v>192</v>
      </c>
    </row>
    <row r="1567" spans="1:5">
      <c r="A1567" t="s">
        <v>7321</v>
      </c>
      <c r="B1567" t="s">
        <v>7322</v>
      </c>
      <c r="C1567" t="s">
        <v>7321</v>
      </c>
      <c r="D1567" t="s">
        <v>192</v>
      </c>
      <c r="E1567" t="s">
        <v>192</v>
      </c>
    </row>
    <row r="1568" spans="1:5">
      <c r="A1568" t="s">
        <v>7323</v>
      </c>
      <c r="B1568" t="s">
        <v>7324</v>
      </c>
      <c r="C1568" t="s">
        <v>7323</v>
      </c>
      <c r="D1568" t="s">
        <v>192</v>
      </c>
      <c r="E1568" t="s">
        <v>192</v>
      </c>
    </row>
    <row r="1569" spans="1:5">
      <c r="A1569" t="s">
        <v>7325</v>
      </c>
      <c r="B1569" t="s">
        <v>7326</v>
      </c>
      <c r="C1569" t="s">
        <v>7325</v>
      </c>
      <c r="D1569" t="s">
        <v>192</v>
      </c>
      <c r="E1569" t="s">
        <v>192</v>
      </c>
    </row>
    <row r="1570" spans="1:5">
      <c r="A1570" t="s">
        <v>7327</v>
      </c>
      <c r="B1570" t="s">
        <v>7328</v>
      </c>
      <c r="C1570" t="s">
        <v>7327</v>
      </c>
      <c r="D1570" t="s">
        <v>192</v>
      </c>
      <c r="E1570" t="s">
        <v>192</v>
      </c>
    </row>
    <row r="1571" spans="1:5">
      <c r="A1571" t="s">
        <v>7329</v>
      </c>
      <c r="B1571" t="s">
        <v>7330</v>
      </c>
      <c r="C1571" t="s">
        <v>7329</v>
      </c>
      <c r="D1571" t="s">
        <v>192</v>
      </c>
      <c r="E1571" t="s">
        <v>192</v>
      </c>
    </row>
    <row r="1572" spans="1:5">
      <c r="A1572" t="s">
        <v>7331</v>
      </c>
      <c r="B1572" t="s">
        <v>7332</v>
      </c>
      <c r="C1572" t="s">
        <v>7331</v>
      </c>
      <c r="D1572" t="s">
        <v>192</v>
      </c>
      <c r="E1572" t="s">
        <v>192</v>
      </c>
    </row>
    <row r="1573" spans="1:5">
      <c r="A1573" t="s">
        <v>7333</v>
      </c>
      <c r="B1573" t="s">
        <v>7334</v>
      </c>
      <c r="C1573" t="s">
        <v>7333</v>
      </c>
      <c r="D1573" t="s">
        <v>192</v>
      </c>
      <c r="E1573" t="s">
        <v>192</v>
      </c>
    </row>
    <row r="1574" spans="1:5">
      <c r="A1574" t="s">
        <v>7335</v>
      </c>
      <c r="B1574" t="s">
        <v>7336</v>
      </c>
      <c r="C1574" t="s">
        <v>7335</v>
      </c>
      <c r="D1574" t="s">
        <v>192</v>
      </c>
      <c r="E1574" t="s">
        <v>192</v>
      </c>
    </row>
    <row r="1575" spans="1:5">
      <c r="A1575" t="s">
        <v>7337</v>
      </c>
      <c r="B1575" t="s">
        <v>7338</v>
      </c>
      <c r="C1575" t="s">
        <v>7337</v>
      </c>
      <c r="D1575" t="s">
        <v>192</v>
      </c>
      <c r="E1575" t="s">
        <v>192</v>
      </c>
    </row>
    <row r="1576" spans="1:5">
      <c r="A1576" t="s">
        <v>3514</v>
      </c>
      <c r="B1576" t="s">
        <v>3515</v>
      </c>
      <c r="C1576" t="s">
        <v>3514</v>
      </c>
      <c r="D1576" t="s">
        <v>192</v>
      </c>
      <c r="E1576" t="s">
        <v>192</v>
      </c>
    </row>
    <row r="1577" spans="1:5">
      <c r="A1577" t="s">
        <v>7339</v>
      </c>
      <c r="B1577" t="s">
        <v>7340</v>
      </c>
      <c r="C1577" t="s">
        <v>7339</v>
      </c>
      <c r="D1577" t="s">
        <v>192</v>
      </c>
      <c r="E1577" t="s">
        <v>192</v>
      </c>
    </row>
    <row r="1578" spans="1:5">
      <c r="A1578" t="s">
        <v>7341</v>
      </c>
      <c r="B1578" t="s">
        <v>7342</v>
      </c>
      <c r="C1578" t="s">
        <v>7341</v>
      </c>
      <c r="D1578" t="s">
        <v>192</v>
      </c>
      <c r="E1578" t="s">
        <v>192</v>
      </c>
    </row>
    <row r="1579" spans="1:5">
      <c r="A1579" t="s">
        <v>6432</v>
      </c>
      <c r="B1579" t="s">
        <v>6433</v>
      </c>
      <c r="C1579" t="s">
        <v>6432</v>
      </c>
      <c r="D1579" t="s">
        <v>192</v>
      </c>
      <c r="E1579" t="s">
        <v>192</v>
      </c>
    </row>
    <row r="1580" spans="1:5">
      <c r="A1580" t="s">
        <v>3512</v>
      </c>
      <c r="B1580" t="s">
        <v>3513</v>
      </c>
      <c r="C1580" t="s">
        <v>3512</v>
      </c>
      <c r="D1580" t="s">
        <v>192</v>
      </c>
      <c r="E1580" t="s">
        <v>192</v>
      </c>
    </row>
    <row r="1581" spans="1:5">
      <c r="A1581" t="s">
        <v>7343</v>
      </c>
      <c r="B1581" t="s">
        <v>7344</v>
      </c>
      <c r="C1581" t="s">
        <v>7343</v>
      </c>
      <c r="D1581" t="s">
        <v>192</v>
      </c>
      <c r="E1581" t="s">
        <v>192</v>
      </c>
    </row>
    <row r="1582" spans="1:5">
      <c r="A1582" t="s">
        <v>7345</v>
      </c>
      <c r="B1582" t="s">
        <v>7346</v>
      </c>
      <c r="C1582" t="s">
        <v>7345</v>
      </c>
      <c r="D1582" t="s">
        <v>192</v>
      </c>
      <c r="E1582" t="s">
        <v>192</v>
      </c>
    </row>
    <row r="1583" spans="1:5">
      <c r="A1583" t="s">
        <v>7347</v>
      </c>
      <c r="B1583" t="s">
        <v>7348</v>
      </c>
      <c r="C1583" t="s">
        <v>7347</v>
      </c>
      <c r="D1583" t="s">
        <v>192</v>
      </c>
      <c r="E1583" t="s">
        <v>192</v>
      </c>
    </row>
    <row r="1584" spans="1:5">
      <c r="A1584" t="s">
        <v>7349</v>
      </c>
      <c r="B1584" t="s">
        <v>7350</v>
      </c>
      <c r="C1584" t="s">
        <v>7349</v>
      </c>
      <c r="D1584" t="s">
        <v>192</v>
      </c>
      <c r="E1584" t="s">
        <v>192</v>
      </c>
    </row>
    <row r="1585" spans="1:5">
      <c r="A1585" t="s">
        <v>7351</v>
      </c>
      <c r="B1585" t="s">
        <v>7352</v>
      </c>
      <c r="C1585" t="s">
        <v>7351</v>
      </c>
      <c r="D1585" t="s">
        <v>192</v>
      </c>
      <c r="E1585" t="s">
        <v>192</v>
      </c>
    </row>
    <row r="1586" spans="1:5">
      <c r="A1586" t="s">
        <v>7353</v>
      </c>
      <c r="B1586" t="s">
        <v>7354</v>
      </c>
      <c r="C1586" t="s">
        <v>7353</v>
      </c>
      <c r="D1586" t="s">
        <v>192</v>
      </c>
      <c r="E1586" t="s">
        <v>192</v>
      </c>
    </row>
    <row r="1587" spans="1:5">
      <c r="A1587" t="s">
        <v>5351</v>
      </c>
      <c r="B1587" t="s">
        <v>5352</v>
      </c>
      <c r="C1587" t="s">
        <v>5351</v>
      </c>
      <c r="D1587" t="s">
        <v>192</v>
      </c>
      <c r="E1587" t="s">
        <v>192</v>
      </c>
    </row>
    <row r="1588" spans="1:5">
      <c r="A1588" t="s">
        <v>3510</v>
      </c>
      <c r="B1588" t="s">
        <v>3511</v>
      </c>
      <c r="C1588" t="s">
        <v>3510</v>
      </c>
      <c r="D1588" t="s">
        <v>192</v>
      </c>
      <c r="E1588" t="s">
        <v>192</v>
      </c>
    </row>
    <row r="1589" spans="1:5">
      <c r="A1589" t="s">
        <v>3508</v>
      </c>
      <c r="B1589" t="s">
        <v>3509</v>
      </c>
      <c r="C1589" t="s">
        <v>3508</v>
      </c>
      <c r="D1589" t="s">
        <v>192</v>
      </c>
      <c r="E1589" t="s">
        <v>192</v>
      </c>
    </row>
    <row r="1590" spans="1:5">
      <c r="A1590" t="s">
        <v>3506</v>
      </c>
      <c r="B1590" t="s">
        <v>3507</v>
      </c>
      <c r="C1590" t="s">
        <v>3506</v>
      </c>
      <c r="D1590" t="s">
        <v>192</v>
      </c>
      <c r="E1590" t="s">
        <v>192</v>
      </c>
    </row>
    <row r="1591" spans="1:5">
      <c r="A1591" t="s">
        <v>4850</v>
      </c>
      <c r="B1591" t="s">
        <v>4851</v>
      </c>
      <c r="C1591" t="s">
        <v>4850</v>
      </c>
      <c r="D1591" t="s">
        <v>192</v>
      </c>
      <c r="E1591" t="s">
        <v>192</v>
      </c>
    </row>
    <row r="1592" spans="1:5">
      <c r="A1592" t="s">
        <v>6309</v>
      </c>
      <c r="B1592" t="s">
        <v>6310</v>
      </c>
      <c r="C1592" t="s">
        <v>6309</v>
      </c>
      <c r="D1592" t="s">
        <v>192</v>
      </c>
      <c r="E1592" t="s">
        <v>192</v>
      </c>
    </row>
    <row r="1593" spans="1:5">
      <c r="A1593" t="s">
        <v>3504</v>
      </c>
      <c r="B1593" t="s">
        <v>3505</v>
      </c>
      <c r="C1593" t="s">
        <v>3504</v>
      </c>
      <c r="D1593" t="s">
        <v>192</v>
      </c>
      <c r="E1593" t="s">
        <v>192</v>
      </c>
    </row>
    <row r="1594" spans="1:5">
      <c r="A1594" t="s">
        <v>3502</v>
      </c>
      <c r="B1594" t="s">
        <v>3503</v>
      </c>
      <c r="C1594" t="s">
        <v>3502</v>
      </c>
      <c r="D1594" t="s">
        <v>192</v>
      </c>
      <c r="E1594" t="s">
        <v>192</v>
      </c>
    </row>
    <row r="1595" spans="1:5">
      <c r="A1595" t="s">
        <v>7355</v>
      </c>
      <c r="B1595" t="s">
        <v>7356</v>
      </c>
      <c r="C1595" t="s">
        <v>7355</v>
      </c>
      <c r="D1595" t="s">
        <v>192</v>
      </c>
      <c r="E1595" t="s">
        <v>192</v>
      </c>
    </row>
    <row r="1596" spans="1:5">
      <c r="A1596" t="s">
        <v>7357</v>
      </c>
      <c r="B1596" t="s">
        <v>7358</v>
      </c>
      <c r="C1596" t="s">
        <v>7357</v>
      </c>
      <c r="D1596" t="s">
        <v>192</v>
      </c>
      <c r="E1596" t="s">
        <v>192</v>
      </c>
    </row>
    <row r="1597" spans="1:5">
      <c r="A1597" t="s">
        <v>7359</v>
      </c>
      <c r="B1597" t="s">
        <v>7360</v>
      </c>
      <c r="C1597" t="s">
        <v>7359</v>
      </c>
      <c r="D1597" t="s">
        <v>192</v>
      </c>
      <c r="E1597" t="s">
        <v>192</v>
      </c>
    </row>
    <row r="1598" spans="1:5">
      <c r="A1598" t="s">
        <v>7361</v>
      </c>
      <c r="B1598" t="s">
        <v>7362</v>
      </c>
      <c r="C1598" t="s">
        <v>7361</v>
      </c>
      <c r="D1598" t="s">
        <v>192</v>
      </c>
      <c r="E1598" t="s">
        <v>192</v>
      </c>
    </row>
    <row r="1599" spans="1:5">
      <c r="A1599" t="s">
        <v>5288</v>
      </c>
      <c r="B1599" t="s">
        <v>5289</v>
      </c>
      <c r="C1599" t="s">
        <v>5288</v>
      </c>
      <c r="D1599" t="s">
        <v>192</v>
      </c>
      <c r="E1599" t="s">
        <v>192</v>
      </c>
    </row>
    <row r="1600" spans="1:5">
      <c r="A1600" t="s">
        <v>3500</v>
      </c>
      <c r="B1600" t="s">
        <v>3501</v>
      </c>
      <c r="C1600" t="s">
        <v>3500</v>
      </c>
      <c r="D1600" t="s">
        <v>192</v>
      </c>
      <c r="E1600" t="s">
        <v>192</v>
      </c>
    </row>
    <row r="1601" spans="1:5">
      <c r="A1601" t="s">
        <v>7363</v>
      </c>
      <c r="B1601" t="s">
        <v>7364</v>
      </c>
      <c r="C1601" t="s">
        <v>7363</v>
      </c>
      <c r="D1601" t="s">
        <v>192</v>
      </c>
      <c r="E1601" t="s">
        <v>192</v>
      </c>
    </row>
    <row r="1602" spans="1:5">
      <c r="A1602" t="s">
        <v>7365</v>
      </c>
      <c r="B1602" t="s">
        <v>7366</v>
      </c>
      <c r="C1602" t="s">
        <v>7365</v>
      </c>
      <c r="D1602" t="s">
        <v>192</v>
      </c>
      <c r="E1602" t="s">
        <v>192</v>
      </c>
    </row>
    <row r="1603" spans="1:5">
      <c r="A1603" t="s">
        <v>7367</v>
      </c>
      <c r="B1603" t="s">
        <v>7368</v>
      </c>
      <c r="C1603" t="s">
        <v>7367</v>
      </c>
      <c r="D1603" t="s">
        <v>192</v>
      </c>
      <c r="E1603" t="s">
        <v>192</v>
      </c>
    </row>
    <row r="1604" spans="1:5">
      <c r="A1604" t="s">
        <v>7369</v>
      </c>
      <c r="B1604" t="s">
        <v>7370</v>
      </c>
      <c r="C1604" t="s">
        <v>7369</v>
      </c>
      <c r="D1604" t="s">
        <v>192</v>
      </c>
      <c r="E1604" t="s">
        <v>192</v>
      </c>
    </row>
    <row r="1605" spans="1:5">
      <c r="A1605" t="s">
        <v>7371</v>
      </c>
      <c r="B1605" t="s">
        <v>7372</v>
      </c>
      <c r="C1605" t="s">
        <v>7371</v>
      </c>
      <c r="D1605" t="s">
        <v>192</v>
      </c>
      <c r="E1605" t="s">
        <v>192</v>
      </c>
    </row>
    <row r="1606" spans="1:5">
      <c r="A1606" t="s">
        <v>7373</v>
      </c>
      <c r="B1606" t="s">
        <v>7374</v>
      </c>
      <c r="C1606" t="s">
        <v>7373</v>
      </c>
      <c r="D1606" t="s">
        <v>192</v>
      </c>
      <c r="E1606" t="s">
        <v>192</v>
      </c>
    </row>
    <row r="1607" spans="1:5">
      <c r="A1607" t="s">
        <v>7375</v>
      </c>
      <c r="B1607" t="s">
        <v>7376</v>
      </c>
      <c r="C1607" t="s">
        <v>7375</v>
      </c>
      <c r="D1607" t="s">
        <v>192</v>
      </c>
      <c r="E1607" t="s">
        <v>192</v>
      </c>
    </row>
    <row r="1608" spans="1:5">
      <c r="A1608" t="s">
        <v>7377</v>
      </c>
      <c r="B1608" t="s">
        <v>7378</v>
      </c>
      <c r="C1608" t="s">
        <v>7377</v>
      </c>
      <c r="D1608" t="s">
        <v>192</v>
      </c>
      <c r="E1608" t="s">
        <v>192</v>
      </c>
    </row>
    <row r="1609" spans="1:5">
      <c r="A1609" t="s">
        <v>7379</v>
      </c>
      <c r="B1609" t="s">
        <v>7380</v>
      </c>
      <c r="C1609" t="s">
        <v>7379</v>
      </c>
      <c r="D1609" t="s">
        <v>192</v>
      </c>
      <c r="E1609" t="s">
        <v>192</v>
      </c>
    </row>
    <row r="1610" spans="1:5">
      <c r="A1610" t="s">
        <v>7381</v>
      </c>
      <c r="B1610" t="s">
        <v>7382</v>
      </c>
      <c r="C1610" t="s">
        <v>7381</v>
      </c>
      <c r="D1610" t="s">
        <v>192</v>
      </c>
      <c r="E1610" t="s">
        <v>192</v>
      </c>
    </row>
    <row r="1611" spans="1:5">
      <c r="A1611" t="s">
        <v>7383</v>
      </c>
      <c r="B1611" t="s">
        <v>7384</v>
      </c>
      <c r="C1611" t="s">
        <v>7383</v>
      </c>
      <c r="D1611" t="s">
        <v>192</v>
      </c>
      <c r="E1611" t="s">
        <v>192</v>
      </c>
    </row>
    <row r="1612" spans="1:5">
      <c r="A1612" t="s">
        <v>7385</v>
      </c>
      <c r="B1612" t="s">
        <v>7386</v>
      </c>
      <c r="C1612" t="s">
        <v>7385</v>
      </c>
      <c r="D1612" t="s">
        <v>192</v>
      </c>
      <c r="E1612" t="s">
        <v>192</v>
      </c>
    </row>
    <row r="1613" spans="1:5">
      <c r="A1613" t="s">
        <v>7387</v>
      </c>
      <c r="B1613" t="s">
        <v>7388</v>
      </c>
      <c r="C1613" t="s">
        <v>7387</v>
      </c>
      <c r="D1613" t="s">
        <v>192</v>
      </c>
      <c r="E1613" t="s">
        <v>192</v>
      </c>
    </row>
    <row r="1614" spans="1:5">
      <c r="A1614" t="s">
        <v>7389</v>
      </c>
      <c r="B1614" t="s">
        <v>7390</v>
      </c>
      <c r="C1614" t="s">
        <v>7389</v>
      </c>
      <c r="D1614" t="s">
        <v>192</v>
      </c>
      <c r="E1614" t="s">
        <v>192</v>
      </c>
    </row>
    <row r="1615" spans="1:5">
      <c r="A1615" t="s">
        <v>7391</v>
      </c>
      <c r="B1615" t="s">
        <v>7392</v>
      </c>
      <c r="C1615" t="s">
        <v>7391</v>
      </c>
      <c r="D1615" t="s">
        <v>192</v>
      </c>
      <c r="E1615" t="s">
        <v>192</v>
      </c>
    </row>
    <row r="1616" spans="1:5">
      <c r="A1616" t="s">
        <v>7393</v>
      </c>
      <c r="B1616" t="s">
        <v>7394</v>
      </c>
      <c r="C1616" t="s">
        <v>7393</v>
      </c>
      <c r="D1616" t="s">
        <v>192</v>
      </c>
      <c r="E1616" t="s">
        <v>192</v>
      </c>
    </row>
    <row r="1617" spans="1:5">
      <c r="A1617" t="s">
        <v>7395</v>
      </c>
      <c r="B1617" t="s">
        <v>7396</v>
      </c>
      <c r="C1617" t="s">
        <v>7395</v>
      </c>
      <c r="D1617" t="s">
        <v>192</v>
      </c>
      <c r="E1617" t="s">
        <v>192</v>
      </c>
    </row>
    <row r="1618" spans="1:5">
      <c r="A1618" t="s">
        <v>7397</v>
      </c>
      <c r="B1618" t="s">
        <v>7398</v>
      </c>
      <c r="C1618" t="s">
        <v>7397</v>
      </c>
      <c r="D1618" t="s">
        <v>192</v>
      </c>
      <c r="E1618" t="s">
        <v>192</v>
      </c>
    </row>
    <row r="1619" spans="1:5">
      <c r="A1619" t="s">
        <v>7399</v>
      </c>
      <c r="B1619" t="s">
        <v>7400</v>
      </c>
      <c r="C1619" t="s">
        <v>7399</v>
      </c>
      <c r="D1619" t="s">
        <v>192</v>
      </c>
      <c r="E1619" t="s">
        <v>192</v>
      </c>
    </row>
    <row r="1620" spans="1:5">
      <c r="A1620" t="s">
        <v>7401</v>
      </c>
      <c r="B1620" t="s">
        <v>7402</v>
      </c>
      <c r="C1620" t="s">
        <v>7401</v>
      </c>
      <c r="D1620" t="s">
        <v>192</v>
      </c>
      <c r="E1620" t="s">
        <v>192</v>
      </c>
    </row>
    <row r="1621" spans="1:5">
      <c r="A1621" t="s">
        <v>7403</v>
      </c>
      <c r="B1621" t="s">
        <v>7404</v>
      </c>
      <c r="C1621" t="s">
        <v>7403</v>
      </c>
      <c r="D1621" t="s">
        <v>192</v>
      </c>
      <c r="E1621" t="s">
        <v>192</v>
      </c>
    </row>
    <row r="1622" spans="1:5">
      <c r="A1622" t="s">
        <v>7405</v>
      </c>
      <c r="B1622" t="s">
        <v>7406</v>
      </c>
      <c r="C1622" t="s">
        <v>7405</v>
      </c>
      <c r="D1622" t="s">
        <v>192</v>
      </c>
      <c r="E1622" t="s">
        <v>192</v>
      </c>
    </row>
    <row r="1623" spans="1:5">
      <c r="A1623" t="s">
        <v>7407</v>
      </c>
      <c r="B1623" t="s">
        <v>7408</v>
      </c>
      <c r="C1623" t="s">
        <v>7407</v>
      </c>
      <c r="D1623" t="s">
        <v>192</v>
      </c>
      <c r="E1623" t="s">
        <v>192</v>
      </c>
    </row>
    <row r="1624" spans="1:5">
      <c r="A1624" t="s">
        <v>7409</v>
      </c>
      <c r="B1624" t="s">
        <v>7410</v>
      </c>
      <c r="C1624" t="s">
        <v>7409</v>
      </c>
      <c r="D1624" t="s">
        <v>192</v>
      </c>
      <c r="E1624" t="s">
        <v>192</v>
      </c>
    </row>
    <row r="1625" spans="1:5">
      <c r="A1625" t="s">
        <v>7411</v>
      </c>
      <c r="B1625" t="s">
        <v>7412</v>
      </c>
      <c r="C1625" t="s">
        <v>7411</v>
      </c>
      <c r="D1625" t="s">
        <v>192</v>
      </c>
      <c r="E1625" t="s">
        <v>192</v>
      </c>
    </row>
    <row r="1626" spans="1:5">
      <c r="A1626" t="s">
        <v>7413</v>
      </c>
      <c r="B1626" t="s">
        <v>7414</v>
      </c>
      <c r="C1626" t="s">
        <v>7413</v>
      </c>
      <c r="D1626" t="s">
        <v>192</v>
      </c>
      <c r="E1626" t="s">
        <v>192</v>
      </c>
    </row>
    <row r="1627" spans="1:5">
      <c r="A1627" t="s">
        <v>7415</v>
      </c>
      <c r="B1627" t="s">
        <v>7416</v>
      </c>
      <c r="C1627" t="s">
        <v>7415</v>
      </c>
      <c r="D1627" t="s">
        <v>192</v>
      </c>
      <c r="E1627" t="s">
        <v>192</v>
      </c>
    </row>
    <row r="1628" spans="1:5">
      <c r="A1628" t="s">
        <v>7417</v>
      </c>
      <c r="B1628" t="s">
        <v>7418</v>
      </c>
      <c r="C1628" t="s">
        <v>7417</v>
      </c>
      <c r="D1628" t="s">
        <v>192</v>
      </c>
      <c r="E1628" t="s">
        <v>192</v>
      </c>
    </row>
    <row r="1629" spans="1:5">
      <c r="A1629" t="s">
        <v>7419</v>
      </c>
      <c r="B1629" t="s">
        <v>7420</v>
      </c>
      <c r="C1629" t="s">
        <v>7419</v>
      </c>
      <c r="D1629" t="s">
        <v>192</v>
      </c>
      <c r="E1629" t="s">
        <v>192</v>
      </c>
    </row>
    <row r="1630" spans="1:5">
      <c r="A1630" t="s">
        <v>7421</v>
      </c>
      <c r="B1630" t="s">
        <v>7422</v>
      </c>
      <c r="C1630" t="s">
        <v>7421</v>
      </c>
      <c r="D1630" t="s">
        <v>192</v>
      </c>
      <c r="E1630" t="s">
        <v>192</v>
      </c>
    </row>
    <row r="1631" spans="1:5">
      <c r="A1631" t="s">
        <v>7423</v>
      </c>
      <c r="B1631" t="s">
        <v>7424</v>
      </c>
      <c r="C1631" t="s">
        <v>7423</v>
      </c>
      <c r="D1631" t="s">
        <v>192</v>
      </c>
      <c r="E1631" t="s">
        <v>192</v>
      </c>
    </row>
    <row r="1632" spans="1:5">
      <c r="A1632" t="s">
        <v>7425</v>
      </c>
      <c r="B1632" t="s">
        <v>7426</v>
      </c>
      <c r="C1632" t="s">
        <v>7425</v>
      </c>
      <c r="D1632" t="s">
        <v>192</v>
      </c>
      <c r="E1632" t="s">
        <v>192</v>
      </c>
    </row>
    <row r="1633" spans="1:5">
      <c r="A1633" t="s">
        <v>7427</v>
      </c>
      <c r="B1633" t="s">
        <v>7428</v>
      </c>
      <c r="C1633" t="s">
        <v>7427</v>
      </c>
      <c r="D1633" t="s">
        <v>192</v>
      </c>
      <c r="E1633" t="s">
        <v>192</v>
      </c>
    </row>
    <row r="1634" spans="1:5">
      <c r="A1634" t="s">
        <v>7429</v>
      </c>
      <c r="B1634" t="s">
        <v>7430</v>
      </c>
      <c r="C1634" t="s">
        <v>7429</v>
      </c>
      <c r="D1634" t="s">
        <v>192</v>
      </c>
      <c r="E1634" t="s">
        <v>192</v>
      </c>
    </row>
    <row r="1635" spans="1:5">
      <c r="A1635" t="s">
        <v>7431</v>
      </c>
      <c r="B1635" t="s">
        <v>7432</v>
      </c>
      <c r="C1635" t="s">
        <v>7431</v>
      </c>
      <c r="D1635" t="s">
        <v>192</v>
      </c>
      <c r="E1635" t="s">
        <v>192</v>
      </c>
    </row>
    <row r="1636" spans="1:5">
      <c r="A1636" t="s">
        <v>7433</v>
      </c>
      <c r="B1636" t="s">
        <v>7434</v>
      </c>
      <c r="C1636" t="s">
        <v>7433</v>
      </c>
      <c r="D1636" t="s">
        <v>192</v>
      </c>
      <c r="E1636" t="s">
        <v>192</v>
      </c>
    </row>
    <row r="1637" spans="1:5">
      <c r="A1637" t="s">
        <v>7435</v>
      </c>
      <c r="B1637" t="s">
        <v>7436</v>
      </c>
      <c r="C1637" t="s">
        <v>7435</v>
      </c>
      <c r="D1637" t="s">
        <v>192</v>
      </c>
      <c r="E1637" t="s">
        <v>192</v>
      </c>
    </row>
    <row r="1638" spans="1:5">
      <c r="A1638" t="s">
        <v>7437</v>
      </c>
      <c r="B1638" t="s">
        <v>7438</v>
      </c>
      <c r="C1638" t="s">
        <v>7437</v>
      </c>
      <c r="D1638" t="s">
        <v>192</v>
      </c>
      <c r="E1638" t="s">
        <v>192</v>
      </c>
    </row>
    <row r="1639" spans="1:5">
      <c r="A1639" t="s">
        <v>7439</v>
      </c>
      <c r="B1639" t="s">
        <v>7440</v>
      </c>
      <c r="C1639" t="s">
        <v>7439</v>
      </c>
      <c r="D1639" t="s">
        <v>192</v>
      </c>
      <c r="E1639" t="s">
        <v>192</v>
      </c>
    </row>
    <row r="1640" spans="1:5">
      <c r="A1640" t="s">
        <v>4658</v>
      </c>
      <c r="B1640" t="s">
        <v>4659</v>
      </c>
      <c r="C1640" t="s">
        <v>4658</v>
      </c>
      <c r="D1640" t="s">
        <v>192</v>
      </c>
      <c r="E1640" t="s">
        <v>192</v>
      </c>
    </row>
    <row r="1641" spans="1:5">
      <c r="A1641" t="s">
        <v>3695</v>
      </c>
      <c r="B1641" t="s">
        <v>3696</v>
      </c>
      <c r="C1641" t="s">
        <v>3695</v>
      </c>
      <c r="D1641" t="s">
        <v>192</v>
      </c>
      <c r="E1641" t="s">
        <v>192</v>
      </c>
    </row>
    <row r="1642" spans="1:5">
      <c r="A1642" t="s">
        <v>3693</v>
      </c>
      <c r="B1642" t="s">
        <v>3694</v>
      </c>
      <c r="C1642" t="s">
        <v>3693</v>
      </c>
      <c r="D1642" t="s">
        <v>192</v>
      </c>
      <c r="E1642" t="s">
        <v>192</v>
      </c>
    </row>
    <row r="1643" spans="1:5">
      <c r="A1643" t="s">
        <v>3691</v>
      </c>
      <c r="B1643" t="s">
        <v>3692</v>
      </c>
      <c r="C1643" t="s">
        <v>3691</v>
      </c>
      <c r="D1643" t="s">
        <v>192</v>
      </c>
      <c r="E1643" t="s">
        <v>192</v>
      </c>
    </row>
    <row r="1644" spans="1:5">
      <c r="A1644" t="s">
        <v>3689</v>
      </c>
      <c r="B1644" t="s">
        <v>3690</v>
      </c>
      <c r="C1644" t="s">
        <v>3689</v>
      </c>
      <c r="D1644" t="s">
        <v>192</v>
      </c>
      <c r="E1644" t="s">
        <v>192</v>
      </c>
    </row>
    <row r="1645" spans="1:5">
      <c r="A1645" t="s">
        <v>3687</v>
      </c>
      <c r="B1645" t="s">
        <v>3688</v>
      </c>
      <c r="C1645" t="s">
        <v>3687</v>
      </c>
      <c r="D1645" t="s">
        <v>192</v>
      </c>
      <c r="E1645" t="s">
        <v>192</v>
      </c>
    </row>
    <row r="1646" spans="1:5">
      <c r="A1646" t="s">
        <v>6068</v>
      </c>
      <c r="B1646" t="s">
        <v>6069</v>
      </c>
      <c r="C1646" t="s">
        <v>6068</v>
      </c>
      <c r="D1646" t="s">
        <v>192</v>
      </c>
      <c r="E1646" t="s">
        <v>192</v>
      </c>
    </row>
    <row r="1647" spans="1:5">
      <c r="A1647" t="s">
        <v>3685</v>
      </c>
      <c r="B1647" t="s">
        <v>3686</v>
      </c>
      <c r="C1647" t="s">
        <v>3685</v>
      </c>
      <c r="D1647" t="s">
        <v>192</v>
      </c>
      <c r="E1647" t="s">
        <v>192</v>
      </c>
    </row>
    <row r="1648" spans="1:5">
      <c r="A1648" t="s">
        <v>3683</v>
      </c>
      <c r="B1648" t="s">
        <v>3684</v>
      </c>
      <c r="C1648" t="s">
        <v>3683</v>
      </c>
      <c r="D1648" t="s">
        <v>192</v>
      </c>
      <c r="E1648" t="s">
        <v>192</v>
      </c>
    </row>
    <row r="1649" spans="1:5">
      <c r="A1649" t="s">
        <v>3681</v>
      </c>
      <c r="B1649" t="s">
        <v>3682</v>
      </c>
      <c r="C1649" t="s">
        <v>3681</v>
      </c>
      <c r="D1649" t="s">
        <v>192</v>
      </c>
      <c r="E1649" t="s">
        <v>192</v>
      </c>
    </row>
    <row r="1650" spans="1:5">
      <c r="A1650" t="s">
        <v>3679</v>
      </c>
      <c r="B1650" t="s">
        <v>3680</v>
      </c>
      <c r="C1650" t="s">
        <v>3679</v>
      </c>
      <c r="D1650" t="s">
        <v>192</v>
      </c>
      <c r="E1650" t="s">
        <v>192</v>
      </c>
    </row>
    <row r="1651" spans="1:5">
      <c r="A1651" t="s">
        <v>4056</v>
      </c>
      <c r="B1651" t="s">
        <v>4057</v>
      </c>
      <c r="C1651" t="s">
        <v>4056</v>
      </c>
      <c r="D1651" t="s">
        <v>192</v>
      </c>
      <c r="E1651" t="s">
        <v>192</v>
      </c>
    </row>
    <row r="1652" spans="1:5">
      <c r="A1652" t="s">
        <v>3677</v>
      </c>
      <c r="B1652" t="s">
        <v>3678</v>
      </c>
      <c r="C1652" t="s">
        <v>3677</v>
      </c>
      <c r="D1652" t="s">
        <v>192</v>
      </c>
      <c r="E1652" t="s">
        <v>192</v>
      </c>
    </row>
    <row r="1653" spans="1:5">
      <c r="A1653" t="s">
        <v>3675</v>
      </c>
      <c r="B1653" t="s">
        <v>3676</v>
      </c>
      <c r="C1653" t="s">
        <v>3675</v>
      </c>
      <c r="D1653" t="s">
        <v>192</v>
      </c>
      <c r="E1653" t="s">
        <v>192</v>
      </c>
    </row>
    <row r="1654" spans="1:5">
      <c r="A1654" t="s">
        <v>4829</v>
      </c>
      <c r="B1654" t="s">
        <v>4830</v>
      </c>
      <c r="C1654" t="s">
        <v>4829</v>
      </c>
      <c r="D1654" t="s">
        <v>192</v>
      </c>
      <c r="E1654" t="s">
        <v>192</v>
      </c>
    </row>
    <row r="1655" spans="1:5">
      <c r="A1655" t="s">
        <v>5329</v>
      </c>
      <c r="B1655" t="s">
        <v>5330</v>
      </c>
      <c r="C1655" t="s">
        <v>5329</v>
      </c>
      <c r="D1655" t="s">
        <v>192</v>
      </c>
      <c r="E1655" t="s">
        <v>192</v>
      </c>
    </row>
    <row r="1656" spans="1:5">
      <c r="A1656" t="s">
        <v>3673</v>
      </c>
      <c r="B1656" t="s">
        <v>3674</v>
      </c>
      <c r="C1656" t="s">
        <v>3673</v>
      </c>
      <c r="D1656" t="s">
        <v>192</v>
      </c>
      <c r="E1656" t="s">
        <v>192</v>
      </c>
    </row>
    <row r="1657" spans="1:5">
      <c r="A1657" t="s">
        <v>3671</v>
      </c>
      <c r="B1657" t="s">
        <v>3672</v>
      </c>
      <c r="C1657" t="s">
        <v>3671</v>
      </c>
      <c r="D1657" t="s">
        <v>192</v>
      </c>
      <c r="E1657" t="s">
        <v>192</v>
      </c>
    </row>
    <row r="1658" spans="1:5">
      <c r="A1658" t="s">
        <v>3669</v>
      </c>
      <c r="B1658" t="s">
        <v>3670</v>
      </c>
      <c r="C1658" t="s">
        <v>3669</v>
      </c>
      <c r="D1658" t="s">
        <v>192</v>
      </c>
      <c r="E1658" t="s">
        <v>192</v>
      </c>
    </row>
    <row r="1659" spans="1:5">
      <c r="A1659" t="s">
        <v>4013</v>
      </c>
      <c r="B1659" t="s">
        <v>4014</v>
      </c>
      <c r="C1659" t="s">
        <v>4013</v>
      </c>
      <c r="D1659" t="s">
        <v>192</v>
      </c>
      <c r="E1659" t="s">
        <v>192</v>
      </c>
    </row>
    <row r="1660" spans="1:5">
      <c r="A1660" t="s">
        <v>3667</v>
      </c>
      <c r="B1660" t="s">
        <v>3668</v>
      </c>
      <c r="C1660" t="s">
        <v>3667</v>
      </c>
      <c r="D1660" t="s">
        <v>192</v>
      </c>
      <c r="E1660" t="s">
        <v>192</v>
      </c>
    </row>
    <row r="1661" spans="1:5">
      <c r="A1661" t="s">
        <v>3665</v>
      </c>
      <c r="B1661" t="s">
        <v>3666</v>
      </c>
      <c r="C1661" t="s">
        <v>3665</v>
      </c>
      <c r="D1661" t="s">
        <v>192</v>
      </c>
      <c r="E1661" t="s">
        <v>192</v>
      </c>
    </row>
    <row r="1662" spans="1:5">
      <c r="A1662" t="s">
        <v>3974</v>
      </c>
      <c r="B1662" t="s">
        <v>3975</v>
      </c>
      <c r="C1662" t="s">
        <v>3974</v>
      </c>
      <c r="D1662" t="s">
        <v>192</v>
      </c>
      <c r="E1662" t="s">
        <v>192</v>
      </c>
    </row>
    <row r="1663" spans="1:5">
      <c r="A1663" t="s">
        <v>5220</v>
      </c>
      <c r="B1663" t="s">
        <v>5221</v>
      </c>
      <c r="C1663" t="s">
        <v>5220</v>
      </c>
      <c r="D1663" t="s">
        <v>192</v>
      </c>
      <c r="E1663" t="s">
        <v>192</v>
      </c>
    </row>
    <row r="1664" spans="1:5">
      <c r="A1664" t="s">
        <v>6311</v>
      </c>
      <c r="B1664" t="s">
        <v>6312</v>
      </c>
      <c r="C1664" t="s">
        <v>6311</v>
      </c>
      <c r="D1664" t="s">
        <v>192</v>
      </c>
      <c r="E1664" t="s">
        <v>192</v>
      </c>
    </row>
    <row r="1665" spans="1:5">
      <c r="A1665" t="s">
        <v>3984</v>
      </c>
      <c r="B1665" t="s">
        <v>3985</v>
      </c>
      <c r="C1665" t="s">
        <v>3984</v>
      </c>
      <c r="D1665" t="s">
        <v>192</v>
      </c>
      <c r="E1665" t="s">
        <v>192</v>
      </c>
    </row>
    <row r="1666" spans="1:5">
      <c r="A1666" t="s">
        <v>7441</v>
      </c>
      <c r="B1666" t="s">
        <v>7442</v>
      </c>
      <c r="C1666" t="s">
        <v>7441</v>
      </c>
      <c r="D1666" t="s">
        <v>192</v>
      </c>
      <c r="E1666" t="s">
        <v>192</v>
      </c>
    </row>
    <row r="1667" spans="1:5">
      <c r="A1667" t="s">
        <v>7443</v>
      </c>
      <c r="B1667" t="s">
        <v>7444</v>
      </c>
      <c r="C1667" t="s">
        <v>7443</v>
      </c>
      <c r="D1667" t="s">
        <v>192</v>
      </c>
      <c r="E1667" t="s">
        <v>192</v>
      </c>
    </row>
    <row r="1668" spans="1:5">
      <c r="A1668" t="s">
        <v>7445</v>
      </c>
      <c r="B1668" t="s">
        <v>7446</v>
      </c>
      <c r="C1668" t="s">
        <v>7445</v>
      </c>
      <c r="D1668" t="s">
        <v>192</v>
      </c>
      <c r="E1668" t="s">
        <v>192</v>
      </c>
    </row>
    <row r="1669" spans="1:5">
      <c r="A1669" t="s">
        <v>7447</v>
      </c>
      <c r="B1669" t="s">
        <v>7448</v>
      </c>
      <c r="C1669" t="s">
        <v>7447</v>
      </c>
      <c r="D1669" t="s">
        <v>192</v>
      </c>
      <c r="E1669" t="s">
        <v>192</v>
      </c>
    </row>
    <row r="1670" spans="1:5">
      <c r="A1670" t="s">
        <v>7449</v>
      </c>
      <c r="B1670" t="s">
        <v>7450</v>
      </c>
      <c r="C1670" t="s">
        <v>7449</v>
      </c>
      <c r="D1670" t="s">
        <v>192</v>
      </c>
      <c r="E1670" t="s">
        <v>192</v>
      </c>
    </row>
    <row r="1671" spans="1:5">
      <c r="A1671" t="s">
        <v>7451</v>
      </c>
      <c r="B1671" t="s">
        <v>7452</v>
      </c>
      <c r="C1671" t="s">
        <v>7451</v>
      </c>
      <c r="D1671" t="s">
        <v>192</v>
      </c>
      <c r="E1671" t="s">
        <v>192</v>
      </c>
    </row>
    <row r="1672" spans="1:5">
      <c r="A1672" t="s">
        <v>7453</v>
      </c>
      <c r="B1672" t="s">
        <v>7454</v>
      </c>
      <c r="C1672" t="s">
        <v>7453</v>
      </c>
      <c r="D1672" t="s">
        <v>192</v>
      </c>
      <c r="E1672" t="s">
        <v>192</v>
      </c>
    </row>
    <row r="1673" spans="1:5">
      <c r="A1673" t="s">
        <v>7455</v>
      </c>
      <c r="B1673" t="s">
        <v>7456</v>
      </c>
      <c r="C1673" t="s">
        <v>7455</v>
      </c>
      <c r="D1673" t="s">
        <v>192</v>
      </c>
      <c r="E1673" t="s">
        <v>192</v>
      </c>
    </row>
    <row r="1674" spans="1:5">
      <c r="A1674" t="s">
        <v>7457</v>
      </c>
      <c r="B1674" t="s">
        <v>7458</v>
      </c>
      <c r="C1674" t="s">
        <v>7457</v>
      </c>
      <c r="D1674" t="s">
        <v>192</v>
      </c>
      <c r="E1674" t="s">
        <v>192</v>
      </c>
    </row>
    <row r="1675" spans="1:5">
      <c r="A1675" t="s">
        <v>7459</v>
      </c>
      <c r="B1675" t="s">
        <v>7460</v>
      </c>
      <c r="C1675" t="s">
        <v>7459</v>
      </c>
      <c r="D1675" t="s">
        <v>192</v>
      </c>
      <c r="E1675" t="s">
        <v>192</v>
      </c>
    </row>
    <row r="1676" spans="1:5">
      <c r="A1676" t="s">
        <v>7461</v>
      </c>
      <c r="B1676" t="s">
        <v>7462</v>
      </c>
      <c r="C1676" t="s">
        <v>7461</v>
      </c>
      <c r="D1676" t="s">
        <v>192</v>
      </c>
      <c r="E1676" t="s">
        <v>192</v>
      </c>
    </row>
    <row r="1677" spans="1:5">
      <c r="A1677" t="s">
        <v>7463</v>
      </c>
      <c r="B1677" t="s">
        <v>7464</v>
      </c>
      <c r="C1677" t="s">
        <v>7463</v>
      </c>
      <c r="D1677" t="s">
        <v>192</v>
      </c>
      <c r="E1677" t="s">
        <v>192</v>
      </c>
    </row>
    <row r="1678" spans="1:5">
      <c r="A1678" t="s">
        <v>7465</v>
      </c>
      <c r="B1678" t="s">
        <v>7466</v>
      </c>
      <c r="C1678" t="s">
        <v>7465</v>
      </c>
      <c r="D1678" t="s">
        <v>192</v>
      </c>
      <c r="E1678" t="s">
        <v>192</v>
      </c>
    </row>
    <row r="1679" spans="1:5">
      <c r="A1679" t="s">
        <v>7467</v>
      </c>
      <c r="B1679" t="s">
        <v>7468</v>
      </c>
      <c r="C1679" t="s">
        <v>7467</v>
      </c>
      <c r="D1679" t="s">
        <v>192</v>
      </c>
      <c r="E1679" t="s">
        <v>192</v>
      </c>
    </row>
    <row r="1680" spans="1:5">
      <c r="A1680" t="s">
        <v>7469</v>
      </c>
      <c r="B1680" t="s">
        <v>7470</v>
      </c>
      <c r="C1680" t="s">
        <v>7469</v>
      </c>
      <c r="D1680" t="s">
        <v>192</v>
      </c>
      <c r="E1680" t="s">
        <v>192</v>
      </c>
    </row>
    <row r="1681" spans="1:5">
      <c r="A1681" t="s">
        <v>7471</v>
      </c>
      <c r="B1681" t="s">
        <v>7472</v>
      </c>
      <c r="C1681" t="s">
        <v>7471</v>
      </c>
      <c r="D1681" t="s">
        <v>192</v>
      </c>
      <c r="E1681" t="s">
        <v>192</v>
      </c>
    </row>
    <row r="1682" spans="1:5">
      <c r="A1682" t="s">
        <v>7473</v>
      </c>
      <c r="B1682" t="s">
        <v>7474</v>
      </c>
      <c r="C1682" t="s">
        <v>7473</v>
      </c>
      <c r="D1682" t="s">
        <v>192</v>
      </c>
      <c r="E1682" t="s">
        <v>192</v>
      </c>
    </row>
    <row r="1683" spans="1:5">
      <c r="A1683" t="s">
        <v>7475</v>
      </c>
      <c r="B1683" t="s">
        <v>7476</v>
      </c>
      <c r="C1683" t="s">
        <v>7475</v>
      </c>
      <c r="D1683" t="s">
        <v>192</v>
      </c>
      <c r="E1683" t="s">
        <v>192</v>
      </c>
    </row>
    <row r="1684" spans="1:5">
      <c r="A1684" t="s">
        <v>7477</v>
      </c>
      <c r="B1684" t="s">
        <v>7478</v>
      </c>
      <c r="C1684" t="s">
        <v>7477</v>
      </c>
      <c r="D1684" t="s">
        <v>192</v>
      </c>
      <c r="E1684" t="s">
        <v>192</v>
      </c>
    </row>
    <row r="1685" spans="1:5">
      <c r="A1685" t="s">
        <v>3663</v>
      </c>
      <c r="B1685" t="s">
        <v>3664</v>
      </c>
      <c r="C1685" t="s">
        <v>3663</v>
      </c>
      <c r="D1685" t="s">
        <v>192</v>
      </c>
      <c r="E1685" t="s">
        <v>192</v>
      </c>
    </row>
    <row r="1686" spans="1:5">
      <c r="A1686" t="s">
        <v>3661</v>
      </c>
      <c r="B1686" t="s">
        <v>3662</v>
      </c>
      <c r="C1686" t="s">
        <v>3661</v>
      </c>
      <c r="D1686" t="s">
        <v>192</v>
      </c>
      <c r="E1686" t="s">
        <v>192</v>
      </c>
    </row>
    <row r="1687" spans="1:5">
      <c r="A1687" t="s">
        <v>3659</v>
      </c>
      <c r="B1687" t="s">
        <v>3660</v>
      </c>
      <c r="C1687" t="s">
        <v>3659</v>
      </c>
      <c r="D1687" t="s">
        <v>192</v>
      </c>
      <c r="E1687" t="s">
        <v>192</v>
      </c>
    </row>
    <row r="1688" spans="1:5">
      <c r="A1688" t="s">
        <v>3657</v>
      </c>
      <c r="B1688" t="s">
        <v>3658</v>
      </c>
      <c r="C1688" t="s">
        <v>3657</v>
      </c>
      <c r="D1688" t="s">
        <v>192</v>
      </c>
      <c r="E1688" t="s">
        <v>192</v>
      </c>
    </row>
    <row r="1689" spans="1:5">
      <c r="A1689" t="s">
        <v>3655</v>
      </c>
      <c r="B1689" t="s">
        <v>3656</v>
      </c>
      <c r="C1689" t="s">
        <v>3655</v>
      </c>
      <c r="D1689" t="s">
        <v>192</v>
      </c>
      <c r="E1689" t="s">
        <v>192</v>
      </c>
    </row>
    <row r="1690" spans="1:5">
      <c r="A1690" t="s">
        <v>7479</v>
      </c>
      <c r="B1690" t="s">
        <v>7480</v>
      </c>
      <c r="C1690" t="s">
        <v>7479</v>
      </c>
      <c r="D1690" t="s">
        <v>192</v>
      </c>
      <c r="E1690" t="s">
        <v>192</v>
      </c>
    </row>
    <row r="1691" spans="1:5">
      <c r="A1691" t="s">
        <v>4863</v>
      </c>
      <c r="B1691" t="s">
        <v>4864</v>
      </c>
      <c r="C1691" t="s">
        <v>4863</v>
      </c>
      <c r="D1691" t="s">
        <v>192</v>
      </c>
      <c r="E1691" t="s">
        <v>192</v>
      </c>
    </row>
    <row r="1692" spans="1:5">
      <c r="A1692" t="s">
        <v>3653</v>
      </c>
      <c r="B1692" t="s">
        <v>3654</v>
      </c>
      <c r="C1692" t="s">
        <v>3653</v>
      </c>
      <c r="D1692" t="s">
        <v>192</v>
      </c>
      <c r="E1692" t="s">
        <v>192</v>
      </c>
    </row>
    <row r="1693" spans="1:5">
      <c r="A1693" t="s">
        <v>3651</v>
      </c>
      <c r="B1693" t="s">
        <v>3652</v>
      </c>
      <c r="C1693" t="s">
        <v>3651</v>
      </c>
      <c r="D1693" t="s">
        <v>192</v>
      </c>
      <c r="E1693" t="s">
        <v>192</v>
      </c>
    </row>
    <row r="1694" spans="1:5">
      <c r="A1694" t="s">
        <v>7481</v>
      </c>
      <c r="B1694" t="s">
        <v>7482</v>
      </c>
      <c r="C1694" t="s">
        <v>7481</v>
      </c>
      <c r="D1694" t="s">
        <v>192</v>
      </c>
      <c r="E1694" t="s">
        <v>192</v>
      </c>
    </row>
    <row r="1695" spans="1:5">
      <c r="A1695" t="s">
        <v>5271</v>
      </c>
      <c r="B1695" t="s">
        <v>5272</v>
      </c>
      <c r="C1695" t="s">
        <v>5271</v>
      </c>
      <c r="D1695" t="s">
        <v>192</v>
      </c>
      <c r="E1695" t="s">
        <v>192</v>
      </c>
    </row>
    <row r="1696" spans="1:5">
      <c r="A1696" t="s">
        <v>3649</v>
      </c>
      <c r="B1696" t="s">
        <v>3650</v>
      </c>
      <c r="C1696" t="s">
        <v>3649</v>
      </c>
      <c r="D1696" t="s">
        <v>192</v>
      </c>
      <c r="E1696" t="s">
        <v>192</v>
      </c>
    </row>
    <row r="1697" spans="1:5">
      <c r="A1697" t="s">
        <v>3839</v>
      </c>
      <c r="B1697" t="s">
        <v>3840</v>
      </c>
      <c r="C1697" t="s">
        <v>3839</v>
      </c>
      <c r="D1697" t="s">
        <v>192</v>
      </c>
      <c r="E1697" t="s">
        <v>192</v>
      </c>
    </row>
    <row r="1698" spans="1:5">
      <c r="A1698" t="s">
        <v>3647</v>
      </c>
      <c r="B1698" t="s">
        <v>3648</v>
      </c>
      <c r="C1698" t="s">
        <v>3647</v>
      </c>
      <c r="D1698" t="s">
        <v>192</v>
      </c>
      <c r="E1698" t="s">
        <v>192</v>
      </c>
    </row>
    <row r="1699" spans="1:5">
      <c r="A1699" t="s">
        <v>3645</v>
      </c>
      <c r="B1699" t="s">
        <v>3646</v>
      </c>
      <c r="C1699" t="s">
        <v>3645</v>
      </c>
      <c r="D1699" t="s">
        <v>192</v>
      </c>
      <c r="E1699" t="s">
        <v>192</v>
      </c>
    </row>
    <row r="1700" spans="1:5">
      <c r="A1700" t="s">
        <v>3643</v>
      </c>
      <c r="B1700" t="s">
        <v>3644</v>
      </c>
      <c r="C1700" t="s">
        <v>3643</v>
      </c>
      <c r="D1700" t="s">
        <v>192</v>
      </c>
      <c r="E1700" t="s">
        <v>192</v>
      </c>
    </row>
    <row r="1701" spans="1:5">
      <c r="A1701" t="s">
        <v>4834</v>
      </c>
      <c r="B1701" t="s">
        <v>4835</v>
      </c>
      <c r="C1701" t="s">
        <v>4834</v>
      </c>
      <c r="D1701" t="s">
        <v>192</v>
      </c>
      <c r="E1701" t="s">
        <v>192</v>
      </c>
    </row>
    <row r="1702" spans="1:5">
      <c r="A1702" t="s">
        <v>7483</v>
      </c>
      <c r="B1702" t="s">
        <v>7484</v>
      </c>
      <c r="C1702" t="s">
        <v>7483</v>
      </c>
      <c r="D1702" t="s">
        <v>192</v>
      </c>
      <c r="E1702" t="s">
        <v>192</v>
      </c>
    </row>
    <row r="1703" spans="1:5">
      <c r="A1703" t="s">
        <v>7485</v>
      </c>
      <c r="B1703" t="s">
        <v>7486</v>
      </c>
      <c r="C1703" t="s">
        <v>7485</v>
      </c>
      <c r="D1703" t="s">
        <v>192</v>
      </c>
      <c r="E1703" t="s">
        <v>192</v>
      </c>
    </row>
    <row r="1704" spans="1:5">
      <c r="A1704" t="s">
        <v>3641</v>
      </c>
      <c r="B1704" t="s">
        <v>3642</v>
      </c>
      <c r="C1704" t="s">
        <v>3641</v>
      </c>
      <c r="D1704" t="s">
        <v>192</v>
      </c>
      <c r="E1704" t="s">
        <v>192</v>
      </c>
    </row>
    <row r="1705" spans="1:5">
      <c r="A1705" t="s">
        <v>7487</v>
      </c>
      <c r="B1705" t="s">
        <v>7488</v>
      </c>
      <c r="C1705" t="s">
        <v>7487</v>
      </c>
      <c r="D1705" t="s">
        <v>192</v>
      </c>
      <c r="E1705" t="s">
        <v>192</v>
      </c>
    </row>
    <row r="1706" spans="1:5">
      <c r="A1706" t="s">
        <v>7489</v>
      </c>
      <c r="B1706" t="s">
        <v>7490</v>
      </c>
      <c r="C1706" t="s">
        <v>7489</v>
      </c>
      <c r="D1706" t="s">
        <v>192</v>
      </c>
      <c r="E1706" t="s">
        <v>192</v>
      </c>
    </row>
    <row r="1707" spans="1:5">
      <c r="A1707" t="s">
        <v>7491</v>
      </c>
      <c r="B1707" t="s">
        <v>7492</v>
      </c>
      <c r="C1707" t="s">
        <v>7491</v>
      </c>
      <c r="D1707" t="s">
        <v>192</v>
      </c>
      <c r="E1707" t="s">
        <v>192</v>
      </c>
    </row>
    <row r="1708" spans="1:5">
      <c r="A1708" t="s">
        <v>7493</v>
      </c>
      <c r="B1708" t="s">
        <v>7494</v>
      </c>
      <c r="C1708" t="s">
        <v>7493</v>
      </c>
      <c r="D1708" t="s">
        <v>192</v>
      </c>
      <c r="E1708" t="s">
        <v>192</v>
      </c>
    </row>
    <row r="1709" spans="1:5">
      <c r="A1709" t="s">
        <v>7495</v>
      </c>
      <c r="B1709" t="s">
        <v>7496</v>
      </c>
      <c r="C1709" t="s">
        <v>7495</v>
      </c>
      <c r="D1709" t="s">
        <v>192</v>
      </c>
      <c r="E1709" t="s">
        <v>192</v>
      </c>
    </row>
    <row r="1710" spans="1:5">
      <c r="A1710" t="s">
        <v>7497</v>
      </c>
      <c r="B1710" t="s">
        <v>7498</v>
      </c>
      <c r="C1710" t="s">
        <v>7497</v>
      </c>
      <c r="D1710" t="s">
        <v>192</v>
      </c>
      <c r="E1710" t="s">
        <v>192</v>
      </c>
    </row>
    <row r="1711" spans="1:5">
      <c r="A1711" t="s">
        <v>7499</v>
      </c>
      <c r="B1711" t="s">
        <v>7500</v>
      </c>
      <c r="C1711" t="s">
        <v>7499</v>
      </c>
      <c r="D1711" t="s">
        <v>192</v>
      </c>
      <c r="E1711" t="s">
        <v>192</v>
      </c>
    </row>
    <row r="1712" spans="1:5">
      <c r="A1712" t="s">
        <v>7501</v>
      </c>
      <c r="B1712" t="s">
        <v>7502</v>
      </c>
      <c r="C1712" t="s">
        <v>7501</v>
      </c>
      <c r="D1712" t="s">
        <v>192</v>
      </c>
      <c r="E1712" t="s">
        <v>192</v>
      </c>
    </row>
    <row r="1713" spans="1:5">
      <c r="A1713" t="s">
        <v>7503</v>
      </c>
      <c r="B1713" t="s">
        <v>7504</v>
      </c>
      <c r="C1713" t="s">
        <v>7503</v>
      </c>
      <c r="D1713" t="s">
        <v>192</v>
      </c>
      <c r="E1713" t="s">
        <v>192</v>
      </c>
    </row>
    <row r="1714" spans="1:5">
      <c r="A1714" t="s">
        <v>7505</v>
      </c>
      <c r="B1714" t="s">
        <v>7506</v>
      </c>
      <c r="C1714" t="s">
        <v>7505</v>
      </c>
      <c r="D1714" t="s">
        <v>192</v>
      </c>
      <c r="E1714" t="s">
        <v>192</v>
      </c>
    </row>
    <row r="1715" spans="1:5">
      <c r="A1715" t="s">
        <v>7507</v>
      </c>
      <c r="B1715" t="s">
        <v>7508</v>
      </c>
      <c r="C1715" t="s">
        <v>7507</v>
      </c>
      <c r="D1715" t="s">
        <v>192</v>
      </c>
      <c r="E1715" t="s">
        <v>192</v>
      </c>
    </row>
    <row r="1716" spans="1:5">
      <c r="A1716" t="s">
        <v>7509</v>
      </c>
      <c r="B1716" t="s">
        <v>7510</v>
      </c>
      <c r="C1716" t="s">
        <v>7509</v>
      </c>
      <c r="D1716" t="s">
        <v>192</v>
      </c>
      <c r="E1716" t="s">
        <v>192</v>
      </c>
    </row>
    <row r="1717" spans="1:5">
      <c r="A1717" t="s">
        <v>7511</v>
      </c>
      <c r="B1717" t="s">
        <v>7512</v>
      </c>
      <c r="C1717" t="s">
        <v>7511</v>
      </c>
      <c r="D1717" t="s">
        <v>192</v>
      </c>
      <c r="E1717" t="s">
        <v>192</v>
      </c>
    </row>
    <row r="1718" spans="1:5">
      <c r="A1718" t="s">
        <v>3723</v>
      </c>
      <c r="B1718" t="s">
        <v>3724</v>
      </c>
      <c r="C1718" t="s">
        <v>3723</v>
      </c>
      <c r="D1718" t="s">
        <v>192</v>
      </c>
      <c r="E1718" t="s">
        <v>192</v>
      </c>
    </row>
    <row r="1719" spans="1:5">
      <c r="A1719" t="s">
        <v>3934</v>
      </c>
      <c r="B1719" t="s">
        <v>3935</v>
      </c>
      <c r="C1719" t="s">
        <v>3934</v>
      </c>
      <c r="D1719" t="s">
        <v>192</v>
      </c>
      <c r="E1719" t="s">
        <v>192</v>
      </c>
    </row>
    <row r="1720" spans="1:5">
      <c r="A1720" t="s">
        <v>3721</v>
      </c>
      <c r="B1720" t="s">
        <v>3722</v>
      </c>
      <c r="C1720" t="s">
        <v>3721</v>
      </c>
      <c r="D1720" t="s">
        <v>192</v>
      </c>
      <c r="E1720" t="s">
        <v>192</v>
      </c>
    </row>
    <row r="1721" spans="1:5">
      <c r="A1721" t="s">
        <v>3719</v>
      </c>
      <c r="B1721" t="s">
        <v>3720</v>
      </c>
      <c r="C1721" t="s">
        <v>3719</v>
      </c>
      <c r="D1721" t="s">
        <v>192</v>
      </c>
      <c r="E1721" t="s">
        <v>192</v>
      </c>
    </row>
    <row r="1722" spans="1:5">
      <c r="A1722" t="s">
        <v>4736</v>
      </c>
      <c r="B1722" t="s">
        <v>4737</v>
      </c>
      <c r="C1722" t="s">
        <v>4736</v>
      </c>
      <c r="D1722" t="s">
        <v>192</v>
      </c>
      <c r="E1722" t="s">
        <v>192</v>
      </c>
    </row>
    <row r="1723" spans="1:5">
      <c r="A1723" t="s">
        <v>4029</v>
      </c>
      <c r="B1723" t="s">
        <v>4030</v>
      </c>
      <c r="C1723" t="s">
        <v>4029</v>
      </c>
      <c r="D1723" t="s">
        <v>192</v>
      </c>
      <c r="E1723" t="s">
        <v>192</v>
      </c>
    </row>
    <row r="1724" spans="1:5">
      <c r="A1724" t="s">
        <v>3956</v>
      </c>
      <c r="B1724" t="s">
        <v>3957</v>
      </c>
      <c r="C1724" t="s">
        <v>3956</v>
      </c>
      <c r="D1724" t="s">
        <v>192</v>
      </c>
      <c r="E1724" t="s">
        <v>192</v>
      </c>
    </row>
    <row r="1725" spans="1:5">
      <c r="A1725" t="s">
        <v>6237</v>
      </c>
      <c r="B1725" t="s">
        <v>6238</v>
      </c>
      <c r="C1725" t="s">
        <v>6237</v>
      </c>
      <c r="D1725" t="s">
        <v>192</v>
      </c>
      <c r="E1725" t="s">
        <v>192</v>
      </c>
    </row>
    <row r="1726" spans="1:5">
      <c r="A1726" t="s">
        <v>3717</v>
      </c>
      <c r="B1726" t="s">
        <v>3718</v>
      </c>
      <c r="C1726" t="s">
        <v>3717</v>
      </c>
      <c r="D1726" t="s">
        <v>192</v>
      </c>
      <c r="E1726" t="s">
        <v>192</v>
      </c>
    </row>
    <row r="1727" spans="1:5">
      <c r="A1727" t="s">
        <v>3715</v>
      </c>
      <c r="B1727" t="s">
        <v>3716</v>
      </c>
      <c r="C1727" t="s">
        <v>3715</v>
      </c>
      <c r="D1727" t="s">
        <v>192</v>
      </c>
      <c r="E1727" t="s">
        <v>192</v>
      </c>
    </row>
    <row r="1728" spans="1:5">
      <c r="A1728" t="s">
        <v>6340</v>
      </c>
      <c r="B1728" t="s">
        <v>6341</v>
      </c>
      <c r="C1728" t="s">
        <v>6340</v>
      </c>
      <c r="D1728" t="s">
        <v>192</v>
      </c>
      <c r="E1728" t="s">
        <v>192</v>
      </c>
    </row>
    <row r="1729" spans="1:5">
      <c r="A1729" t="s">
        <v>3713</v>
      </c>
      <c r="B1729" t="s">
        <v>3714</v>
      </c>
      <c r="C1729" t="s">
        <v>3713</v>
      </c>
      <c r="D1729" t="s">
        <v>192</v>
      </c>
      <c r="E1729" t="s">
        <v>192</v>
      </c>
    </row>
    <row r="1730" spans="1:5">
      <c r="A1730" t="s">
        <v>7513</v>
      </c>
      <c r="B1730" t="s">
        <v>7514</v>
      </c>
      <c r="C1730" t="s">
        <v>7513</v>
      </c>
      <c r="D1730" t="s">
        <v>192</v>
      </c>
      <c r="E1730" t="s">
        <v>192</v>
      </c>
    </row>
    <row r="1731" spans="1:5">
      <c r="A1731" t="s">
        <v>7515</v>
      </c>
      <c r="B1731" t="s">
        <v>7516</v>
      </c>
      <c r="C1731" t="s">
        <v>7515</v>
      </c>
      <c r="D1731" t="s">
        <v>192</v>
      </c>
      <c r="E1731" t="s">
        <v>192</v>
      </c>
    </row>
    <row r="1732" spans="1:5">
      <c r="A1732" t="s">
        <v>7517</v>
      </c>
      <c r="B1732" t="s">
        <v>7518</v>
      </c>
      <c r="C1732" t="s">
        <v>7517</v>
      </c>
      <c r="D1732" t="s">
        <v>192</v>
      </c>
      <c r="E1732" t="s">
        <v>192</v>
      </c>
    </row>
    <row r="1733" spans="1:5">
      <c r="A1733" t="s">
        <v>7519</v>
      </c>
      <c r="B1733" t="s">
        <v>7520</v>
      </c>
      <c r="C1733" t="s">
        <v>7519</v>
      </c>
      <c r="D1733" t="s">
        <v>192</v>
      </c>
      <c r="E1733" t="s">
        <v>192</v>
      </c>
    </row>
    <row r="1734" spans="1:5">
      <c r="A1734" t="s">
        <v>7521</v>
      </c>
      <c r="B1734" t="s">
        <v>7522</v>
      </c>
      <c r="C1734" t="s">
        <v>7521</v>
      </c>
      <c r="D1734" t="s">
        <v>192</v>
      </c>
      <c r="E1734" t="s">
        <v>192</v>
      </c>
    </row>
    <row r="1735" spans="1:5">
      <c r="A1735" t="s">
        <v>7523</v>
      </c>
      <c r="B1735" t="s">
        <v>7524</v>
      </c>
      <c r="C1735" t="s">
        <v>7523</v>
      </c>
      <c r="D1735" t="s">
        <v>192</v>
      </c>
      <c r="E1735" t="s">
        <v>192</v>
      </c>
    </row>
    <row r="1736" spans="1:5">
      <c r="A1736" t="s">
        <v>7525</v>
      </c>
      <c r="B1736" t="s">
        <v>7526</v>
      </c>
      <c r="C1736" t="s">
        <v>7525</v>
      </c>
      <c r="D1736" t="s">
        <v>192</v>
      </c>
      <c r="E1736" t="s">
        <v>192</v>
      </c>
    </row>
    <row r="1737" spans="1:5">
      <c r="A1737" t="s">
        <v>7527</v>
      </c>
      <c r="B1737" t="s">
        <v>7528</v>
      </c>
      <c r="C1737" t="s">
        <v>7527</v>
      </c>
      <c r="D1737" t="s">
        <v>192</v>
      </c>
      <c r="E1737" t="s">
        <v>192</v>
      </c>
    </row>
    <row r="1738" spans="1:5">
      <c r="A1738" t="s">
        <v>3765</v>
      </c>
      <c r="B1738" t="s">
        <v>3766</v>
      </c>
      <c r="C1738" t="s">
        <v>3765</v>
      </c>
      <c r="D1738" t="s">
        <v>192</v>
      </c>
      <c r="E1738" t="s">
        <v>192</v>
      </c>
    </row>
    <row r="1739" spans="1:5">
      <c r="A1739" t="s">
        <v>5155</v>
      </c>
      <c r="B1739" t="s">
        <v>5156</v>
      </c>
      <c r="C1739" t="s">
        <v>5155</v>
      </c>
      <c r="D1739" t="s">
        <v>192</v>
      </c>
      <c r="E1739" t="s">
        <v>192</v>
      </c>
    </row>
    <row r="1740" spans="1:5">
      <c r="A1740" t="s">
        <v>3763</v>
      </c>
      <c r="B1740" t="s">
        <v>3764</v>
      </c>
      <c r="C1740" t="s">
        <v>3763</v>
      </c>
      <c r="D1740" t="s">
        <v>192</v>
      </c>
      <c r="E1740" t="s">
        <v>192</v>
      </c>
    </row>
    <row r="1741" spans="1:5">
      <c r="A1741" t="s">
        <v>3761</v>
      </c>
      <c r="B1741" t="s">
        <v>3762</v>
      </c>
      <c r="C1741" t="s">
        <v>3761</v>
      </c>
      <c r="D1741" t="s">
        <v>192</v>
      </c>
      <c r="E1741" t="s">
        <v>192</v>
      </c>
    </row>
    <row r="1742" spans="1:5">
      <c r="A1742" t="s">
        <v>3759</v>
      </c>
      <c r="B1742" t="s">
        <v>3760</v>
      </c>
      <c r="C1742" t="s">
        <v>3759</v>
      </c>
      <c r="D1742" t="s">
        <v>192</v>
      </c>
      <c r="E1742" t="s">
        <v>192</v>
      </c>
    </row>
    <row r="1743" spans="1:5">
      <c r="A1743" t="s">
        <v>4125</v>
      </c>
      <c r="B1743" t="s">
        <v>4126</v>
      </c>
      <c r="C1743" t="s">
        <v>4125</v>
      </c>
      <c r="D1743" t="s">
        <v>192</v>
      </c>
      <c r="E1743" t="s">
        <v>192</v>
      </c>
    </row>
    <row r="1744" spans="1:5">
      <c r="A1744" t="s">
        <v>3757</v>
      </c>
      <c r="B1744" t="s">
        <v>3758</v>
      </c>
      <c r="C1744" t="s">
        <v>3757</v>
      </c>
      <c r="D1744" t="s">
        <v>192</v>
      </c>
      <c r="E1744" t="s">
        <v>192</v>
      </c>
    </row>
    <row r="1745" spans="1:5">
      <c r="A1745" t="s">
        <v>3755</v>
      </c>
      <c r="B1745" t="s">
        <v>3756</v>
      </c>
      <c r="C1745" t="s">
        <v>3755</v>
      </c>
      <c r="D1745" t="s">
        <v>192</v>
      </c>
      <c r="E1745" t="s">
        <v>192</v>
      </c>
    </row>
    <row r="1746" spans="1:5">
      <c r="A1746" t="s">
        <v>7529</v>
      </c>
      <c r="B1746" t="s">
        <v>7530</v>
      </c>
      <c r="C1746" t="s">
        <v>7529</v>
      </c>
      <c r="D1746" t="s">
        <v>192</v>
      </c>
      <c r="E1746" t="s">
        <v>192</v>
      </c>
    </row>
    <row r="1747" spans="1:5">
      <c r="A1747" t="s">
        <v>7531</v>
      </c>
      <c r="B1747" t="s">
        <v>7532</v>
      </c>
      <c r="C1747" t="s">
        <v>7531</v>
      </c>
      <c r="D1747" t="s">
        <v>192</v>
      </c>
      <c r="E1747" t="s">
        <v>192</v>
      </c>
    </row>
    <row r="1748" spans="1:5">
      <c r="A1748" t="s">
        <v>3753</v>
      </c>
      <c r="B1748" t="s">
        <v>3754</v>
      </c>
      <c r="C1748" t="s">
        <v>3753</v>
      </c>
      <c r="D1748" t="s">
        <v>192</v>
      </c>
      <c r="E1748" t="s">
        <v>192</v>
      </c>
    </row>
    <row r="1749" spans="1:5">
      <c r="A1749" t="s">
        <v>7533</v>
      </c>
      <c r="B1749" t="s">
        <v>7534</v>
      </c>
      <c r="C1749" t="s">
        <v>7533</v>
      </c>
      <c r="D1749" t="s">
        <v>192</v>
      </c>
      <c r="E1749" t="s">
        <v>192</v>
      </c>
    </row>
    <row r="1750" spans="1:5">
      <c r="A1750" t="s">
        <v>7535</v>
      </c>
      <c r="B1750" t="s">
        <v>7536</v>
      </c>
      <c r="C1750" t="s">
        <v>7535</v>
      </c>
      <c r="D1750" t="s">
        <v>192</v>
      </c>
      <c r="E1750" t="s">
        <v>192</v>
      </c>
    </row>
    <row r="1751" spans="1:5">
      <c r="A1751" t="s">
        <v>3751</v>
      </c>
      <c r="B1751" t="s">
        <v>3752</v>
      </c>
      <c r="C1751" t="s">
        <v>3751</v>
      </c>
      <c r="D1751" t="s">
        <v>192</v>
      </c>
      <c r="E1751" t="s">
        <v>192</v>
      </c>
    </row>
    <row r="1752" spans="1:5">
      <c r="A1752" t="s">
        <v>5386</v>
      </c>
      <c r="B1752" t="s">
        <v>5387</v>
      </c>
      <c r="C1752" t="s">
        <v>5386</v>
      </c>
      <c r="D1752" t="s">
        <v>192</v>
      </c>
      <c r="E1752" t="s">
        <v>192</v>
      </c>
    </row>
    <row r="1753" spans="1:5">
      <c r="A1753" t="s">
        <v>5188</v>
      </c>
      <c r="B1753" t="s">
        <v>5189</v>
      </c>
      <c r="C1753" t="s">
        <v>5188</v>
      </c>
      <c r="D1753" t="s">
        <v>192</v>
      </c>
      <c r="E1753" t="s">
        <v>192</v>
      </c>
    </row>
    <row r="1754" spans="1:5">
      <c r="A1754" t="s">
        <v>3749</v>
      </c>
      <c r="B1754" t="s">
        <v>3750</v>
      </c>
      <c r="C1754" t="s">
        <v>3749</v>
      </c>
      <c r="D1754" t="s">
        <v>192</v>
      </c>
      <c r="E1754" t="s">
        <v>192</v>
      </c>
    </row>
    <row r="1755" spans="1:5">
      <c r="A1755" t="s">
        <v>3747</v>
      </c>
      <c r="B1755" t="s">
        <v>3748</v>
      </c>
      <c r="C1755" t="s">
        <v>3747</v>
      </c>
      <c r="D1755" t="s">
        <v>192</v>
      </c>
      <c r="E1755" t="s">
        <v>192</v>
      </c>
    </row>
    <row r="1756" spans="1:5">
      <c r="A1756" t="s">
        <v>5238</v>
      </c>
      <c r="B1756" t="s">
        <v>5239</v>
      </c>
      <c r="C1756" t="s">
        <v>5238</v>
      </c>
      <c r="D1756" t="s">
        <v>192</v>
      </c>
      <c r="E1756" t="s">
        <v>192</v>
      </c>
    </row>
    <row r="1757" spans="1:5">
      <c r="A1757" t="s">
        <v>3745</v>
      </c>
      <c r="B1757" t="s">
        <v>3746</v>
      </c>
      <c r="C1757" t="s">
        <v>3745</v>
      </c>
      <c r="D1757" t="s">
        <v>192</v>
      </c>
      <c r="E1757" t="s">
        <v>192</v>
      </c>
    </row>
    <row r="1758" spans="1:5">
      <c r="A1758" t="s">
        <v>3743</v>
      </c>
      <c r="B1758" t="s">
        <v>3744</v>
      </c>
      <c r="C1758" t="s">
        <v>3743</v>
      </c>
      <c r="D1758" t="s">
        <v>192</v>
      </c>
      <c r="E1758" t="s">
        <v>192</v>
      </c>
    </row>
    <row r="1759" spans="1:5">
      <c r="A1759" t="s">
        <v>3741</v>
      </c>
      <c r="B1759" t="s">
        <v>3742</v>
      </c>
      <c r="C1759" t="s">
        <v>3741</v>
      </c>
      <c r="D1759" t="s">
        <v>192</v>
      </c>
      <c r="E1759" t="s">
        <v>192</v>
      </c>
    </row>
    <row r="1760" spans="1:5">
      <c r="A1760" t="s">
        <v>4793</v>
      </c>
      <c r="B1760" t="s">
        <v>4794</v>
      </c>
      <c r="C1760" t="s">
        <v>4793</v>
      </c>
      <c r="D1760" t="s">
        <v>192</v>
      </c>
      <c r="E1760" t="s">
        <v>192</v>
      </c>
    </row>
    <row r="1761" spans="1:5">
      <c r="A1761" t="s">
        <v>6305</v>
      </c>
      <c r="B1761" t="s">
        <v>6306</v>
      </c>
      <c r="C1761" t="s">
        <v>6305</v>
      </c>
      <c r="D1761" t="s">
        <v>192</v>
      </c>
      <c r="E1761" t="s">
        <v>192</v>
      </c>
    </row>
    <row r="1762" spans="1:5">
      <c r="A1762" t="s">
        <v>7537</v>
      </c>
      <c r="B1762" t="s">
        <v>7538</v>
      </c>
      <c r="C1762" t="s">
        <v>7537</v>
      </c>
      <c r="D1762" t="s">
        <v>192</v>
      </c>
      <c r="E1762" t="s">
        <v>192</v>
      </c>
    </row>
    <row r="1763" spans="1:5">
      <c r="A1763" t="s">
        <v>4599</v>
      </c>
      <c r="B1763" t="s">
        <v>4600</v>
      </c>
      <c r="C1763" t="s">
        <v>4599</v>
      </c>
      <c r="D1763" t="s">
        <v>192</v>
      </c>
      <c r="E1763" t="s">
        <v>192</v>
      </c>
    </row>
    <row r="1764" spans="1:5">
      <c r="A1764" t="s">
        <v>7539</v>
      </c>
      <c r="B1764" t="s">
        <v>7540</v>
      </c>
      <c r="C1764" t="s">
        <v>7539</v>
      </c>
      <c r="D1764" t="s">
        <v>192</v>
      </c>
      <c r="E1764" t="s">
        <v>192</v>
      </c>
    </row>
    <row r="1765" spans="1:5">
      <c r="A1765" t="s">
        <v>7541</v>
      </c>
      <c r="B1765" t="s">
        <v>7542</v>
      </c>
      <c r="C1765" t="s">
        <v>7541</v>
      </c>
      <c r="D1765" t="s">
        <v>192</v>
      </c>
      <c r="E1765" t="s">
        <v>192</v>
      </c>
    </row>
    <row r="1766" spans="1:5">
      <c r="A1766" t="s">
        <v>7543</v>
      </c>
      <c r="B1766" t="s">
        <v>7544</v>
      </c>
      <c r="C1766" t="s">
        <v>7543</v>
      </c>
      <c r="D1766" t="s">
        <v>192</v>
      </c>
      <c r="E1766" t="s">
        <v>192</v>
      </c>
    </row>
    <row r="1767" spans="1:5">
      <c r="A1767" t="s">
        <v>7545</v>
      </c>
      <c r="B1767" t="s">
        <v>7546</v>
      </c>
      <c r="C1767" t="s">
        <v>7545</v>
      </c>
      <c r="D1767" t="s">
        <v>192</v>
      </c>
      <c r="E1767" t="s">
        <v>192</v>
      </c>
    </row>
    <row r="1768" spans="1:5">
      <c r="A1768" t="s">
        <v>7547</v>
      </c>
      <c r="B1768" t="s">
        <v>7548</v>
      </c>
      <c r="C1768" t="s">
        <v>7547</v>
      </c>
      <c r="D1768" t="s">
        <v>192</v>
      </c>
      <c r="E1768" t="s">
        <v>192</v>
      </c>
    </row>
    <row r="1769" spans="1:5">
      <c r="A1769" t="s">
        <v>7549</v>
      </c>
      <c r="B1769" t="s">
        <v>7550</v>
      </c>
      <c r="C1769" t="s">
        <v>7549</v>
      </c>
      <c r="D1769" t="s">
        <v>192</v>
      </c>
      <c r="E1769" t="s">
        <v>192</v>
      </c>
    </row>
    <row r="1770" spans="1:5">
      <c r="A1770" t="s">
        <v>7551</v>
      </c>
      <c r="B1770" t="s">
        <v>7552</v>
      </c>
      <c r="C1770" t="s">
        <v>7551</v>
      </c>
      <c r="D1770" t="s">
        <v>192</v>
      </c>
      <c r="E1770" t="s">
        <v>192</v>
      </c>
    </row>
    <row r="1771" spans="1:5">
      <c r="A1771" t="s">
        <v>7553</v>
      </c>
      <c r="B1771" t="s">
        <v>7554</v>
      </c>
      <c r="C1771" t="s">
        <v>7553</v>
      </c>
      <c r="D1771" t="s">
        <v>192</v>
      </c>
      <c r="E1771" t="s">
        <v>192</v>
      </c>
    </row>
    <row r="1772" spans="1:5">
      <c r="A1772" t="s">
        <v>7555</v>
      </c>
      <c r="B1772" t="s">
        <v>7556</v>
      </c>
      <c r="C1772" t="s">
        <v>7555</v>
      </c>
      <c r="D1772" t="s">
        <v>192</v>
      </c>
      <c r="E1772" t="s">
        <v>192</v>
      </c>
    </row>
    <row r="1773" spans="1:5">
      <c r="A1773" t="s">
        <v>7557</v>
      </c>
      <c r="B1773" t="s">
        <v>7558</v>
      </c>
      <c r="C1773" t="s">
        <v>7557</v>
      </c>
      <c r="D1773" t="s">
        <v>192</v>
      </c>
      <c r="E1773" t="s">
        <v>192</v>
      </c>
    </row>
    <row r="1774" spans="1:5">
      <c r="A1774" t="s">
        <v>7559</v>
      </c>
      <c r="B1774" t="s">
        <v>7560</v>
      </c>
      <c r="C1774" t="s">
        <v>7559</v>
      </c>
      <c r="D1774" t="s">
        <v>192</v>
      </c>
      <c r="E1774" t="s">
        <v>192</v>
      </c>
    </row>
    <row r="1775" spans="1:5">
      <c r="A1775" t="s">
        <v>7561</v>
      </c>
      <c r="B1775" t="s">
        <v>7562</v>
      </c>
      <c r="C1775" t="s">
        <v>7561</v>
      </c>
      <c r="D1775" t="s">
        <v>192</v>
      </c>
      <c r="E1775" t="s">
        <v>192</v>
      </c>
    </row>
    <row r="1776" spans="1:5">
      <c r="A1776" t="s">
        <v>3560</v>
      </c>
      <c r="B1776" t="s">
        <v>3561</v>
      </c>
      <c r="C1776" t="s">
        <v>3560</v>
      </c>
      <c r="D1776" t="s">
        <v>192</v>
      </c>
      <c r="E1776" t="s">
        <v>192</v>
      </c>
    </row>
    <row r="1777" spans="1:5">
      <c r="A1777" t="s">
        <v>3558</v>
      </c>
      <c r="B1777" t="s">
        <v>3559</v>
      </c>
      <c r="C1777" t="s">
        <v>3558</v>
      </c>
      <c r="D1777" t="s">
        <v>192</v>
      </c>
      <c r="E1777" t="s">
        <v>192</v>
      </c>
    </row>
    <row r="1778" spans="1:5">
      <c r="A1778" t="s">
        <v>6082</v>
      </c>
      <c r="B1778" t="s">
        <v>6083</v>
      </c>
      <c r="C1778" t="s">
        <v>6082</v>
      </c>
      <c r="D1778" t="s">
        <v>192</v>
      </c>
      <c r="E1778" t="s">
        <v>192</v>
      </c>
    </row>
    <row r="1779" spans="1:5">
      <c r="A1779" t="s">
        <v>6403</v>
      </c>
      <c r="B1779" t="s">
        <v>6404</v>
      </c>
      <c r="C1779" t="s">
        <v>6403</v>
      </c>
      <c r="D1779" t="s">
        <v>192</v>
      </c>
      <c r="E1779" t="s">
        <v>192</v>
      </c>
    </row>
    <row r="1780" spans="1:5">
      <c r="A1780" t="s">
        <v>6140</v>
      </c>
      <c r="B1780" t="s">
        <v>6141</v>
      </c>
      <c r="C1780" t="s">
        <v>6140</v>
      </c>
      <c r="D1780" t="s">
        <v>192</v>
      </c>
      <c r="E1780" t="s">
        <v>192</v>
      </c>
    </row>
    <row r="1781" spans="1:5">
      <c r="A1781" t="s">
        <v>3556</v>
      </c>
      <c r="B1781" t="s">
        <v>3557</v>
      </c>
      <c r="C1781" t="s">
        <v>3556</v>
      </c>
      <c r="D1781" t="s">
        <v>192</v>
      </c>
      <c r="E1781" t="s">
        <v>192</v>
      </c>
    </row>
    <row r="1782" spans="1:5">
      <c r="A1782" t="s">
        <v>4763</v>
      </c>
      <c r="B1782" t="s">
        <v>4764</v>
      </c>
      <c r="C1782" t="s">
        <v>4763</v>
      </c>
      <c r="D1782" t="s">
        <v>192</v>
      </c>
      <c r="E1782" t="s">
        <v>192</v>
      </c>
    </row>
    <row r="1783" spans="1:5">
      <c r="A1783" t="s">
        <v>6395</v>
      </c>
      <c r="B1783" t="s">
        <v>6396</v>
      </c>
      <c r="C1783" t="s">
        <v>6395</v>
      </c>
      <c r="D1783" t="s">
        <v>192</v>
      </c>
      <c r="E1783" t="s">
        <v>192</v>
      </c>
    </row>
    <row r="1784" spans="1:5">
      <c r="A1784" t="s">
        <v>3554</v>
      </c>
      <c r="B1784" t="s">
        <v>3555</v>
      </c>
      <c r="C1784" t="s">
        <v>3554</v>
      </c>
      <c r="D1784" t="s">
        <v>192</v>
      </c>
      <c r="E1784" t="s">
        <v>192</v>
      </c>
    </row>
    <row r="1785" spans="1:5">
      <c r="A1785" t="s">
        <v>3552</v>
      </c>
      <c r="B1785" t="s">
        <v>3553</v>
      </c>
      <c r="C1785" t="s">
        <v>3552</v>
      </c>
      <c r="D1785" t="s">
        <v>192</v>
      </c>
      <c r="E1785" t="s">
        <v>192</v>
      </c>
    </row>
    <row r="1786" spans="1:5">
      <c r="A1786" t="s">
        <v>3550</v>
      </c>
      <c r="B1786" t="s">
        <v>3551</v>
      </c>
      <c r="C1786" t="s">
        <v>3550</v>
      </c>
      <c r="D1786" t="s">
        <v>192</v>
      </c>
      <c r="E1786" t="s">
        <v>192</v>
      </c>
    </row>
    <row r="1787" spans="1:5">
      <c r="A1787" t="s">
        <v>3548</v>
      </c>
      <c r="B1787" t="s">
        <v>3549</v>
      </c>
      <c r="C1787" t="s">
        <v>3548</v>
      </c>
      <c r="D1787" t="s">
        <v>192</v>
      </c>
      <c r="E1787" t="s">
        <v>192</v>
      </c>
    </row>
    <row r="1788" spans="1:5">
      <c r="A1788" t="s">
        <v>6250</v>
      </c>
      <c r="B1788" t="s">
        <v>6251</v>
      </c>
      <c r="C1788" t="s">
        <v>6250</v>
      </c>
      <c r="D1788" t="s">
        <v>192</v>
      </c>
      <c r="E1788" t="s">
        <v>192</v>
      </c>
    </row>
    <row r="1789" spans="1:5">
      <c r="A1789" t="s">
        <v>3546</v>
      </c>
      <c r="B1789" t="s">
        <v>3547</v>
      </c>
      <c r="C1789" t="s">
        <v>3546</v>
      </c>
      <c r="D1789" t="s">
        <v>192</v>
      </c>
      <c r="E1789" t="s">
        <v>192</v>
      </c>
    </row>
    <row r="1790" spans="1:5">
      <c r="A1790" t="s">
        <v>3544</v>
      </c>
      <c r="B1790" t="s">
        <v>3545</v>
      </c>
      <c r="C1790" t="s">
        <v>3544</v>
      </c>
      <c r="D1790" t="s">
        <v>192</v>
      </c>
      <c r="E1790" t="s">
        <v>192</v>
      </c>
    </row>
    <row r="1791" spans="1:5">
      <c r="A1791" t="s">
        <v>3542</v>
      </c>
      <c r="B1791" t="s">
        <v>3543</v>
      </c>
      <c r="C1791" t="s">
        <v>3542</v>
      </c>
      <c r="D1791" t="s">
        <v>192</v>
      </c>
      <c r="E1791" t="s">
        <v>192</v>
      </c>
    </row>
    <row r="1792" spans="1:5">
      <c r="A1792" t="s">
        <v>4690</v>
      </c>
      <c r="B1792" t="s">
        <v>4691</v>
      </c>
      <c r="C1792" t="s">
        <v>4690</v>
      </c>
      <c r="D1792" t="s">
        <v>192</v>
      </c>
      <c r="E1792" t="s">
        <v>192</v>
      </c>
    </row>
    <row r="1793" spans="1:5">
      <c r="A1793" t="s">
        <v>3540</v>
      </c>
      <c r="B1793" t="s">
        <v>3541</v>
      </c>
      <c r="C1793" t="s">
        <v>3540</v>
      </c>
      <c r="D1793" t="s">
        <v>192</v>
      </c>
      <c r="E1793" t="s">
        <v>192</v>
      </c>
    </row>
    <row r="1794" spans="1:5">
      <c r="A1794" t="s">
        <v>4708</v>
      </c>
      <c r="B1794" t="s">
        <v>4709</v>
      </c>
      <c r="C1794" t="s">
        <v>4708</v>
      </c>
      <c r="D1794" t="s">
        <v>192</v>
      </c>
      <c r="E1794" t="s">
        <v>192</v>
      </c>
    </row>
    <row r="1795" spans="1:5">
      <c r="A1795" t="s">
        <v>3538</v>
      </c>
      <c r="B1795" t="s">
        <v>3539</v>
      </c>
      <c r="C1795" t="s">
        <v>3538</v>
      </c>
      <c r="D1795" t="s">
        <v>192</v>
      </c>
      <c r="E1795" t="s">
        <v>192</v>
      </c>
    </row>
    <row r="1796" spans="1:5">
      <c r="A1796" t="s">
        <v>5234</v>
      </c>
      <c r="B1796" t="s">
        <v>5235</v>
      </c>
      <c r="C1796" t="s">
        <v>5234</v>
      </c>
      <c r="D1796" t="s">
        <v>192</v>
      </c>
      <c r="E1796" t="s">
        <v>192</v>
      </c>
    </row>
    <row r="1797" spans="1:5">
      <c r="A1797" t="s">
        <v>3536</v>
      </c>
      <c r="B1797" t="s">
        <v>3537</v>
      </c>
      <c r="C1797" t="s">
        <v>3536</v>
      </c>
      <c r="D1797" t="s">
        <v>192</v>
      </c>
      <c r="E1797" t="s">
        <v>192</v>
      </c>
    </row>
    <row r="1798" spans="1:5">
      <c r="A1798" t="s">
        <v>4646</v>
      </c>
      <c r="B1798" t="s">
        <v>4647</v>
      </c>
      <c r="C1798" t="s">
        <v>4646</v>
      </c>
      <c r="D1798" t="s">
        <v>192</v>
      </c>
      <c r="E1798" t="s">
        <v>192</v>
      </c>
    </row>
    <row r="1799" spans="1:5">
      <c r="A1799" t="s">
        <v>4720</v>
      </c>
      <c r="B1799" t="s">
        <v>4721</v>
      </c>
      <c r="C1799" t="s">
        <v>4720</v>
      </c>
      <c r="D1799" t="s">
        <v>192</v>
      </c>
      <c r="E1799" t="s">
        <v>192</v>
      </c>
    </row>
    <row r="1800" spans="1:5">
      <c r="A1800" t="s">
        <v>3534</v>
      </c>
      <c r="B1800" t="s">
        <v>3535</v>
      </c>
      <c r="C1800" t="s">
        <v>3534</v>
      </c>
      <c r="D1800" t="s">
        <v>192</v>
      </c>
      <c r="E1800" t="s">
        <v>192</v>
      </c>
    </row>
    <row r="1801" spans="1:5">
      <c r="A1801" t="s">
        <v>3532</v>
      </c>
      <c r="B1801" t="s">
        <v>3533</v>
      </c>
      <c r="C1801" t="s">
        <v>3532</v>
      </c>
      <c r="D1801" t="s">
        <v>192</v>
      </c>
      <c r="E1801" t="s">
        <v>192</v>
      </c>
    </row>
    <row r="1802" spans="1:5">
      <c r="A1802" t="s">
        <v>7563</v>
      </c>
      <c r="B1802" t="s">
        <v>7564</v>
      </c>
      <c r="C1802" t="s">
        <v>7563</v>
      </c>
      <c r="D1802" t="s">
        <v>192</v>
      </c>
      <c r="E1802" t="s">
        <v>192</v>
      </c>
    </row>
    <row r="1803" spans="1:5">
      <c r="A1803" t="s">
        <v>7565</v>
      </c>
      <c r="B1803" t="s">
        <v>7566</v>
      </c>
      <c r="C1803" t="s">
        <v>7565</v>
      </c>
      <c r="D1803" t="s">
        <v>192</v>
      </c>
      <c r="E1803" t="s">
        <v>192</v>
      </c>
    </row>
    <row r="1804" spans="1:5">
      <c r="A1804" t="s">
        <v>7567</v>
      </c>
      <c r="B1804" t="s">
        <v>7568</v>
      </c>
      <c r="C1804" t="s">
        <v>7567</v>
      </c>
      <c r="D1804" t="s">
        <v>192</v>
      </c>
      <c r="E1804" t="s">
        <v>192</v>
      </c>
    </row>
    <row r="1805" spans="1:5">
      <c r="A1805" t="s">
        <v>7569</v>
      </c>
      <c r="B1805" t="s">
        <v>7570</v>
      </c>
      <c r="C1805" t="s">
        <v>7569</v>
      </c>
      <c r="D1805" t="s">
        <v>192</v>
      </c>
      <c r="E1805" t="s">
        <v>192</v>
      </c>
    </row>
    <row r="1806" spans="1:5">
      <c r="A1806" t="s">
        <v>7571</v>
      </c>
      <c r="B1806" t="s">
        <v>7572</v>
      </c>
      <c r="C1806" t="s">
        <v>7571</v>
      </c>
      <c r="D1806" t="s">
        <v>192</v>
      </c>
      <c r="E1806" t="s">
        <v>192</v>
      </c>
    </row>
    <row r="1807" spans="1:5">
      <c r="A1807" t="s">
        <v>7573</v>
      </c>
      <c r="B1807" t="s">
        <v>7574</v>
      </c>
      <c r="C1807" t="s">
        <v>7573</v>
      </c>
      <c r="D1807" t="s">
        <v>192</v>
      </c>
      <c r="E1807" t="s">
        <v>192</v>
      </c>
    </row>
    <row r="1808" spans="1:5">
      <c r="A1808" t="s">
        <v>7575</v>
      </c>
      <c r="B1808" t="s">
        <v>7576</v>
      </c>
      <c r="C1808" t="s">
        <v>7575</v>
      </c>
      <c r="D1808" t="s">
        <v>192</v>
      </c>
      <c r="E1808" t="s">
        <v>192</v>
      </c>
    </row>
    <row r="1809" spans="1:5">
      <c r="A1809" t="s">
        <v>7577</v>
      </c>
      <c r="B1809" t="s">
        <v>7578</v>
      </c>
      <c r="C1809" t="s">
        <v>7577</v>
      </c>
      <c r="D1809" t="s">
        <v>192</v>
      </c>
      <c r="E1809" t="s">
        <v>192</v>
      </c>
    </row>
    <row r="1810" spans="1:5">
      <c r="A1810" t="s">
        <v>7579</v>
      </c>
      <c r="B1810" t="s">
        <v>7580</v>
      </c>
      <c r="C1810" t="s">
        <v>7579</v>
      </c>
      <c r="D1810" t="s">
        <v>192</v>
      </c>
      <c r="E1810" t="s">
        <v>192</v>
      </c>
    </row>
    <row r="1811" spans="1:5">
      <c r="A1811" t="s">
        <v>7581</v>
      </c>
      <c r="B1811" t="s">
        <v>7582</v>
      </c>
      <c r="C1811" t="s">
        <v>7581</v>
      </c>
      <c r="D1811" t="s">
        <v>192</v>
      </c>
      <c r="E1811" t="s">
        <v>192</v>
      </c>
    </row>
    <row r="1812" spans="1:5">
      <c r="A1812" t="s">
        <v>7583</v>
      </c>
      <c r="B1812" t="s">
        <v>7584</v>
      </c>
      <c r="C1812" t="s">
        <v>7583</v>
      </c>
      <c r="D1812" t="s">
        <v>192</v>
      </c>
      <c r="E1812" t="s">
        <v>192</v>
      </c>
    </row>
    <row r="1813" spans="1:5">
      <c r="A1813" t="s">
        <v>3572</v>
      </c>
      <c r="B1813" t="s">
        <v>3573</v>
      </c>
      <c r="C1813" t="s">
        <v>3572</v>
      </c>
      <c r="D1813" t="s">
        <v>192</v>
      </c>
      <c r="E1813" t="s">
        <v>192</v>
      </c>
    </row>
    <row r="1814" spans="1:5">
      <c r="A1814" t="s">
        <v>3570</v>
      </c>
      <c r="B1814" t="s">
        <v>3571</v>
      </c>
      <c r="C1814" t="s">
        <v>3570</v>
      </c>
      <c r="D1814" t="s">
        <v>192</v>
      </c>
      <c r="E1814" t="s">
        <v>192</v>
      </c>
    </row>
    <row r="1815" spans="1:5">
      <c r="A1815" t="s">
        <v>3568</v>
      </c>
      <c r="B1815" t="s">
        <v>3569</v>
      </c>
      <c r="C1815" t="s">
        <v>3568</v>
      </c>
      <c r="D1815" t="s">
        <v>192</v>
      </c>
      <c r="E1815" t="s">
        <v>192</v>
      </c>
    </row>
    <row r="1816" spans="1:5">
      <c r="A1816" t="s">
        <v>4578</v>
      </c>
      <c r="B1816" t="s">
        <v>4579</v>
      </c>
      <c r="C1816" t="s">
        <v>4578</v>
      </c>
      <c r="D1816" t="s">
        <v>192</v>
      </c>
      <c r="E1816" t="s">
        <v>192</v>
      </c>
    </row>
    <row r="1817" spans="1:5">
      <c r="A1817" t="s">
        <v>4084</v>
      </c>
      <c r="B1817" t="s">
        <v>4085</v>
      </c>
      <c r="C1817" t="s">
        <v>4084</v>
      </c>
      <c r="D1817" t="s">
        <v>192</v>
      </c>
      <c r="E1817" t="s">
        <v>192</v>
      </c>
    </row>
    <row r="1818" spans="1:5">
      <c r="A1818" t="s">
        <v>3566</v>
      </c>
      <c r="B1818" t="s">
        <v>3567</v>
      </c>
      <c r="C1818" t="s">
        <v>3566</v>
      </c>
      <c r="D1818" t="s">
        <v>192</v>
      </c>
      <c r="E1818" t="s">
        <v>192</v>
      </c>
    </row>
    <row r="1819" spans="1:5">
      <c r="A1819" t="s">
        <v>3564</v>
      </c>
      <c r="B1819" t="s">
        <v>3565</v>
      </c>
      <c r="C1819" t="s">
        <v>3564</v>
      </c>
      <c r="D1819" t="s">
        <v>192</v>
      </c>
      <c r="E1819" t="s">
        <v>192</v>
      </c>
    </row>
    <row r="1820" spans="1:5">
      <c r="A1820" t="s">
        <v>6235</v>
      </c>
      <c r="B1820" t="s">
        <v>6236</v>
      </c>
      <c r="C1820" t="s">
        <v>6235</v>
      </c>
      <c r="D1820" t="s">
        <v>192</v>
      </c>
      <c r="E1820" t="s">
        <v>192</v>
      </c>
    </row>
    <row r="1821" spans="1:5">
      <c r="A1821" t="s">
        <v>3562</v>
      </c>
      <c r="B1821" t="s">
        <v>3563</v>
      </c>
      <c r="C1821" t="s">
        <v>3562</v>
      </c>
      <c r="D1821" t="s">
        <v>192</v>
      </c>
      <c r="E1821" t="s">
        <v>192</v>
      </c>
    </row>
    <row r="1822" spans="1:5">
      <c r="A1822" t="s">
        <v>4644</v>
      </c>
      <c r="B1822" t="s">
        <v>4645</v>
      </c>
      <c r="C1822" t="s">
        <v>4644</v>
      </c>
      <c r="D1822" t="s">
        <v>192</v>
      </c>
      <c r="E1822" t="s">
        <v>192</v>
      </c>
    </row>
    <row r="1823" spans="1:5">
      <c r="A1823" t="s">
        <v>5284</v>
      </c>
      <c r="B1823" t="s">
        <v>5285</v>
      </c>
      <c r="C1823" t="s">
        <v>5284</v>
      </c>
      <c r="D1823" t="s">
        <v>192</v>
      </c>
      <c r="E1823" t="s">
        <v>192</v>
      </c>
    </row>
    <row r="1824" spans="1:5">
      <c r="A1824" t="s">
        <v>7585</v>
      </c>
      <c r="B1824" t="s">
        <v>7586</v>
      </c>
      <c r="C1824" t="s">
        <v>7585</v>
      </c>
      <c r="D1824" t="s">
        <v>192</v>
      </c>
      <c r="E1824" t="s">
        <v>192</v>
      </c>
    </row>
    <row r="1825" spans="1:5">
      <c r="A1825" t="s">
        <v>7587</v>
      </c>
      <c r="B1825" t="s">
        <v>7588</v>
      </c>
      <c r="C1825" t="s">
        <v>7587</v>
      </c>
      <c r="D1825" t="s">
        <v>192</v>
      </c>
      <c r="E1825" t="s">
        <v>192</v>
      </c>
    </row>
    <row r="1826" spans="1:5">
      <c r="A1826" t="s">
        <v>7589</v>
      </c>
      <c r="B1826" t="s">
        <v>7590</v>
      </c>
      <c r="C1826" t="s">
        <v>7589</v>
      </c>
      <c r="D1826" t="s">
        <v>192</v>
      </c>
      <c r="E1826" t="s">
        <v>192</v>
      </c>
    </row>
    <row r="1827" spans="1:5">
      <c r="A1827" t="s">
        <v>7591</v>
      </c>
      <c r="B1827" t="s">
        <v>7592</v>
      </c>
      <c r="C1827" t="s">
        <v>7591</v>
      </c>
      <c r="D1827" t="s">
        <v>192</v>
      </c>
      <c r="E1827" t="s">
        <v>192</v>
      </c>
    </row>
    <row r="1828" spans="1:5">
      <c r="A1828" t="s">
        <v>7593</v>
      </c>
      <c r="B1828" t="s">
        <v>7594</v>
      </c>
      <c r="C1828" t="s">
        <v>7593</v>
      </c>
      <c r="D1828" t="s">
        <v>192</v>
      </c>
      <c r="E1828" t="s">
        <v>192</v>
      </c>
    </row>
    <row r="1829" spans="1:5">
      <c r="A1829" t="s">
        <v>7595</v>
      </c>
      <c r="B1829" t="s">
        <v>7596</v>
      </c>
      <c r="C1829" t="s">
        <v>7595</v>
      </c>
      <c r="D1829" t="s">
        <v>192</v>
      </c>
      <c r="E1829" t="s">
        <v>192</v>
      </c>
    </row>
    <row r="1830" spans="1:5">
      <c r="A1830" t="s">
        <v>7597</v>
      </c>
      <c r="B1830" t="s">
        <v>7598</v>
      </c>
      <c r="C1830" t="s">
        <v>7597</v>
      </c>
      <c r="D1830" t="s">
        <v>192</v>
      </c>
      <c r="E1830" t="s">
        <v>192</v>
      </c>
    </row>
    <row r="1831" spans="1:5">
      <c r="A1831" t="s">
        <v>7599</v>
      </c>
      <c r="B1831" t="s">
        <v>7600</v>
      </c>
      <c r="C1831" t="s">
        <v>7599</v>
      </c>
      <c r="D1831" t="s">
        <v>192</v>
      </c>
      <c r="E1831" t="s">
        <v>192</v>
      </c>
    </row>
    <row r="1832" spans="1:5">
      <c r="A1832" t="s">
        <v>7601</v>
      </c>
      <c r="B1832" t="s">
        <v>7602</v>
      </c>
      <c r="C1832" t="s">
        <v>7601</v>
      </c>
      <c r="D1832" t="s">
        <v>192</v>
      </c>
      <c r="E1832" t="s">
        <v>192</v>
      </c>
    </row>
    <row r="1833" spans="1:5">
      <c r="A1833" t="s">
        <v>7603</v>
      </c>
      <c r="B1833" t="s">
        <v>7604</v>
      </c>
      <c r="C1833" t="s">
        <v>7603</v>
      </c>
      <c r="D1833" t="s">
        <v>192</v>
      </c>
      <c r="E1833" t="s">
        <v>192</v>
      </c>
    </row>
    <row r="1834" spans="1:5">
      <c r="A1834" t="s">
        <v>7605</v>
      </c>
      <c r="B1834" t="s">
        <v>7606</v>
      </c>
      <c r="C1834" t="s">
        <v>7605</v>
      </c>
      <c r="D1834" t="s">
        <v>192</v>
      </c>
      <c r="E1834" t="s">
        <v>192</v>
      </c>
    </row>
    <row r="1835" spans="1:5">
      <c r="A1835" t="s">
        <v>4103</v>
      </c>
      <c r="B1835" t="s">
        <v>4104</v>
      </c>
      <c r="C1835" t="s">
        <v>4103</v>
      </c>
      <c r="D1835" t="s">
        <v>192</v>
      </c>
      <c r="E1835" t="s">
        <v>192</v>
      </c>
    </row>
    <row r="1836" spans="1:5">
      <c r="A1836" t="s">
        <v>3530</v>
      </c>
      <c r="B1836" t="s">
        <v>3531</v>
      </c>
      <c r="C1836" t="s">
        <v>3530</v>
      </c>
      <c r="D1836" t="s">
        <v>192</v>
      </c>
      <c r="E1836" t="s">
        <v>192</v>
      </c>
    </row>
    <row r="1837" spans="1:5">
      <c r="A1837" t="s">
        <v>6084</v>
      </c>
      <c r="B1837" t="s">
        <v>6085</v>
      </c>
      <c r="C1837" t="s">
        <v>6084</v>
      </c>
      <c r="D1837" t="s">
        <v>192</v>
      </c>
      <c r="E1837" t="s">
        <v>192</v>
      </c>
    </row>
    <row r="1838" spans="1:5">
      <c r="A1838" t="s">
        <v>4663</v>
      </c>
      <c r="B1838" t="s">
        <v>4664</v>
      </c>
      <c r="C1838" t="s">
        <v>4663</v>
      </c>
      <c r="D1838" t="s">
        <v>192</v>
      </c>
      <c r="E1838" t="s">
        <v>192</v>
      </c>
    </row>
    <row r="1839" spans="1:5">
      <c r="A1839" t="s">
        <v>3528</v>
      </c>
      <c r="B1839" t="s">
        <v>3529</v>
      </c>
      <c r="C1839" t="s">
        <v>3528</v>
      </c>
      <c r="D1839" t="s">
        <v>192</v>
      </c>
      <c r="E1839" t="s">
        <v>192</v>
      </c>
    </row>
    <row r="1840" spans="1:5">
      <c r="A1840" t="s">
        <v>3526</v>
      </c>
      <c r="B1840" t="s">
        <v>3527</v>
      </c>
      <c r="C1840" t="s">
        <v>3526</v>
      </c>
      <c r="D1840" t="s">
        <v>192</v>
      </c>
      <c r="E1840" t="s">
        <v>192</v>
      </c>
    </row>
    <row r="1841" spans="1:5">
      <c r="A1841" t="s">
        <v>3524</v>
      </c>
      <c r="B1841" t="s">
        <v>3525</v>
      </c>
      <c r="C1841" t="s">
        <v>3524</v>
      </c>
      <c r="D1841" t="s">
        <v>192</v>
      </c>
      <c r="E1841" t="s">
        <v>192</v>
      </c>
    </row>
    <row r="1842" spans="1:5">
      <c r="A1842" t="s">
        <v>3522</v>
      </c>
      <c r="B1842" t="s">
        <v>3523</v>
      </c>
      <c r="C1842" t="s">
        <v>3522</v>
      </c>
      <c r="D1842" t="s">
        <v>192</v>
      </c>
      <c r="E1842" t="s">
        <v>192</v>
      </c>
    </row>
    <row r="1843" spans="1:5">
      <c r="A1843" t="s">
        <v>3520</v>
      </c>
      <c r="B1843" t="s">
        <v>3521</v>
      </c>
      <c r="C1843" t="s">
        <v>3520</v>
      </c>
      <c r="D1843" t="s">
        <v>192</v>
      </c>
      <c r="E1843" t="s">
        <v>192</v>
      </c>
    </row>
    <row r="1844" spans="1:5">
      <c r="A1844" t="s">
        <v>7607</v>
      </c>
      <c r="B1844" t="s">
        <v>7608</v>
      </c>
      <c r="C1844" t="s">
        <v>7607</v>
      </c>
      <c r="D1844" t="s">
        <v>192</v>
      </c>
      <c r="E1844" t="s">
        <v>192</v>
      </c>
    </row>
    <row r="1845" spans="1:5">
      <c r="A1845" t="s">
        <v>7609</v>
      </c>
      <c r="B1845" t="s">
        <v>7610</v>
      </c>
      <c r="C1845" t="s">
        <v>7609</v>
      </c>
      <c r="D1845" t="s">
        <v>192</v>
      </c>
      <c r="E1845" t="s">
        <v>192</v>
      </c>
    </row>
    <row r="1846" spans="1:5">
      <c r="A1846" t="s">
        <v>3518</v>
      </c>
      <c r="B1846" t="s">
        <v>3519</v>
      </c>
      <c r="C1846" t="s">
        <v>3518</v>
      </c>
      <c r="D1846" t="s">
        <v>192</v>
      </c>
      <c r="E1846" t="s">
        <v>192</v>
      </c>
    </row>
    <row r="1847" spans="1:5">
      <c r="A1847" t="s">
        <v>3516</v>
      </c>
      <c r="B1847" t="s">
        <v>3517</v>
      </c>
      <c r="C1847" t="s">
        <v>3516</v>
      </c>
      <c r="D1847" t="s">
        <v>192</v>
      </c>
      <c r="E1847" t="s">
        <v>192</v>
      </c>
    </row>
    <row r="1848" spans="1:5">
      <c r="A1848" t="s">
        <v>7611</v>
      </c>
      <c r="B1848" t="s">
        <v>7612</v>
      </c>
      <c r="C1848" t="s">
        <v>7611</v>
      </c>
      <c r="D1848" t="s">
        <v>192</v>
      </c>
      <c r="E1848" t="s">
        <v>192</v>
      </c>
    </row>
    <row r="1849" spans="1:5">
      <c r="A1849" t="s">
        <v>7613</v>
      </c>
      <c r="B1849" t="s">
        <v>7614</v>
      </c>
      <c r="C1849" t="s">
        <v>7613</v>
      </c>
      <c r="D1849" t="s">
        <v>192</v>
      </c>
      <c r="E1849" t="s">
        <v>192</v>
      </c>
    </row>
    <row r="1850" spans="1:5">
      <c r="A1850" t="s">
        <v>7615</v>
      </c>
      <c r="B1850" t="s">
        <v>7616</v>
      </c>
      <c r="C1850" t="s">
        <v>7615</v>
      </c>
      <c r="D1850" t="s">
        <v>192</v>
      </c>
      <c r="E1850" t="s">
        <v>192</v>
      </c>
    </row>
    <row r="1851" spans="1:5">
      <c r="A1851" t="s">
        <v>7617</v>
      </c>
      <c r="B1851" t="s">
        <v>7618</v>
      </c>
      <c r="C1851" t="s">
        <v>7617</v>
      </c>
      <c r="D1851" t="s">
        <v>192</v>
      </c>
      <c r="E1851" t="s">
        <v>192</v>
      </c>
    </row>
    <row r="1852" spans="1:5">
      <c r="A1852" t="s">
        <v>7619</v>
      </c>
      <c r="B1852" t="s">
        <v>7620</v>
      </c>
      <c r="C1852" t="s">
        <v>7619</v>
      </c>
      <c r="D1852" t="s">
        <v>192</v>
      </c>
      <c r="E1852" t="s">
        <v>192</v>
      </c>
    </row>
    <row r="1853" spans="1:5">
      <c r="A1853" t="s">
        <v>7621</v>
      </c>
      <c r="B1853" t="s">
        <v>7622</v>
      </c>
      <c r="C1853" t="s">
        <v>7621</v>
      </c>
      <c r="D1853" t="s">
        <v>192</v>
      </c>
      <c r="E1853" t="s">
        <v>192</v>
      </c>
    </row>
    <row r="1854" spans="1:5">
      <c r="A1854" t="s">
        <v>7623</v>
      </c>
      <c r="B1854" t="s">
        <v>7624</v>
      </c>
      <c r="C1854" t="s">
        <v>7623</v>
      </c>
      <c r="D1854" t="s">
        <v>192</v>
      </c>
      <c r="E1854" t="s">
        <v>192</v>
      </c>
    </row>
    <row r="1855" spans="1:5">
      <c r="A1855" t="s">
        <v>7625</v>
      </c>
      <c r="B1855" t="s">
        <v>7626</v>
      </c>
      <c r="C1855" t="s">
        <v>7625</v>
      </c>
      <c r="D1855" t="s">
        <v>192</v>
      </c>
      <c r="E1855" t="s">
        <v>192</v>
      </c>
    </row>
    <row r="1856" spans="1:5">
      <c r="A1856" t="s">
        <v>7627</v>
      </c>
      <c r="B1856" t="s">
        <v>7628</v>
      </c>
      <c r="C1856" t="s">
        <v>7627</v>
      </c>
      <c r="D1856" t="s">
        <v>192</v>
      </c>
      <c r="E1856" t="s">
        <v>192</v>
      </c>
    </row>
    <row r="1857" spans="1:5">
      <c r="A1857" t="s">
        <v>7629</v>
      </c>
      <c r="B1857" t="s">
        <v>7630</v>
      </c>
      <c r="C1857" t="s">
        <v>7629</v>
      </c>
      <c r="D1857" t="s">
        <v>192</v>
      </c>
      <c r="E1857" t="s">
        <v>192</v>
      </c>
    </row>
    <row r="1858" spans="1:5">
      <c r="A1858" t="s">
        <v>7631</v>
      </c>
      <c r="B1858" t="s">
        <v>7632</v>
      </c>
      <c r="C1858" t="s">
        <v>7631</v>
      </c>
      <c r="D1858" t="s">
        <v>192</v>
      </c>
      <c r="E1858" t="s">
        <v>192</v>
      </c>
    </row>
    <row r="1859" spans="1:5">
      <c r="A1859" t="s">
        <v>7633</v>
      </c>
      <c r="B1859" t="s">
        <v>7634</v>
      </c>
      <c r="C1859" t="s">
        <v>7633</v>
      </c>
      <c r="D1859" t="s">
        <v>192</v>
      </c>
      <c r="E1859" t="s">
        <v>192</v>
      </c>
    </row>
    <row r="1860" spans="1:5">
      <c r="A1860" t="s">
        <v>7635</v>
      </c>
      <c r="B1860" t="s">
        <v>7636</v>
      </c>
      <c r="C1860" t="s">
        <v>7635</v>
      </c>
      <c r="D1860" t="s">
        <v>192</v>
      </c>
      <c r="E1860" t="s">
        <v>192</v>
      </c>
    </row>
    <row r="1861" spans="1:5">
      <c r="A1861" t="s">
        <v>4204</v>
      </c>
      <c r="B1861" t="s">
        <v>4205</v>
      </c>
      <c r="C1861" t="s">
        <v>4204</v>
      </c>
      <c r="D1861" t="s">
        <v>192</v>
      </c>
      <c r="E1861" t="s">
        <v>192</v>
      </c>
    </row>
    <row r="1862" spans="1:5">
      <c r="A1862" t="s">
        <v>4584</v>
      </c>
      <c r="B1862" t="s">
        <v>4585</v>
      </c>
      <c r="C1862" t="s">
        <v>4584</v>
      </c>
      <c r="D1862" t="s">
        <v>192</v>
      </c>
      <c r="E1862" t="s">
        <v>192</v>
      </c>
    </row>
    <row r="1863" spans="1:5">
      <c r="A1863" t="s">
        <v>4202</v>
      </c>
      <c r="B1863" t="s">
        <v>4203</v>
      </c>
      <c r="C1863" t="s">
        <v>4202</v>
      </c>
      <c r="D1863" t="s">
        <v>192</v>
      </c>
      <c r="E1863" t="s">
        <v>192</v>
      </c>
    </row>
    <row r="1864" spans="1:5">
      <c r="A1864" t="s">
        <v>4200</v>
      </c>
      <c r="B1864" t="s">
        <v>4201</v>
      </c>
      <c r="C1864" t="s">
        <v>4200</v>
      </c>
      <c r="D1864" t="s">
        <v>192</v>
      </c>
      <c r="E1864" t="s">
        <v>192</v>
      </c>
    </row>
    <row r="1865" spans="1:5">
      <c r="A1865" t="s">
        <v>4198</v>
      </c>
      <c r="B1865" t="s">
        <v>4199</v>
      </c>
      <c r="C1865" t="s">
        <v>4198</v>
      </c>
      <c r="D1865" t="s">
        <v>192</v>
      </c>
      <c r="E1865" t="s">
        <v>192</v>
      </c>
    </row>
    <row r="1866" spans="1:5">
      <c r="A1866" t="s">
        <v>4178</v>
      </c>
      <c r="B1866" t="s">
        <v>4179</v>
      </c>
      <c r="C1866" t="s">
        <v>4178</v>
      </c>
      <c r="D1866" t="s">
        <v>192</v>
      </c>
      <c r="E1866" t="s">
        <v>192</v>
      </c>
    </row>
    <row r="1867" spans="1:5">
      <c r="A1867" t="s">
        <v>4176</v>
      </c>
      <c r="B1867" t="s">
        <v>4177</v>
      </c>
      <c r="C1867" t="s">
        <v>4176</v>
      </c>
      <c r="D1867" t="s">
        <v>192</v>
      </c>
      <c r="E1867" t="s">
        <v>192</v>
      </c>
    </row>
    <row r="1868" spans="1:5">
      <c r="A1868" t="s">
        <v>4174</v>
      </c>
      <c r="B1868" t="s">
        <v>4175</v>
      </c>
      <c r="C1868" t="s">
        <v>4174</v>
      </c>
      <c r="D1868" t="s">
        <v>192</v>
      </c>
      <c r="E1868" t="s">
        <v>192</v>
      </c>
    </row>
    <row r="1869" spans="1:5">
      <c r="A1869" t="s">
        <v>6291</v>
      </c>
      <c r="B1869" t="s">
        <v>6292</v>
      </c>
      <c r="C1869" t="s">
        <v>6291</v>
      </c>
      <c r="D1869" t="s">
        <v>192</v>
      </c>
      <c r="E1869" t="s">
        <v>192</v>
      </c>
    </row>
    <row r="1870" spans="1:5">
      <c r="A1870" t="s">
        <v>4601</v>
      </c>
      <c r="B1870" t="s">
        <v>4602</v>
      </c>
      <c r="C1870" t="s">
        <v>4601</v>
      </c>
      <c r="D1870" t="s">
        <v>192</v>
      </c>
      <c r="E1870" t="s">
        <v>192</v>
      </c>
    </row>
    <row r="1871" spans="1:5">
      <c r="A1871" t="s">
        <v>4172</v>
      </c>
      <c r="B1871" t="s">
        <v>4173</v>
      </c>
      <c r="C1871" t="s">
        <v>4172</v>
      </c>
      <c r="D1871" t="s">
        <v>192</v>
      </c>
      <c r="E1871" t="s">
        <v>192</v>
      </c>
    </row>
    <row r="1872" spans="1:5">
      <c r="A1872" t="s">
        <v>5392</v>
      </c>
      <c r="B1872" t="s">
        <v>5393</v>
      </c>
      <c r="C1872" t="s">
        <v>5392</v>
      </c>
      <c r="D1872" t="s">
        <v>192</v>
      </c>
      <c r="E1872" t="s">
        <v>192</v>
      </c>
    </row>
    <row r="1873" spans="1:5">
      <c r="A1873" t="s">
        <v>4170</v>
      </c>
      <c r="B1873" t="s">
        <v>4171</v>
      </c>
      <c r="C1873" t="s">
        <v>4170</v>
      </c>
      <c r="D1873" t="s">
        <v>192</v>
      </c>
      <c r="E1873" t="s">
        <v>192</v>
      </c>
    </row>
    <row r="1874" spans="1:5">
      <c r="A1874" t="s">
        <v>3944</v>
      </c>
      <c r="B1874" t="s">
        <v>3945</v>
      </c>
      <c r="C1874" t="s">
        <v>3944</v>
      </c>
      <c r="D1874" t="s">
        <v>192</v>
      </c>
      <c r="E1874" t="s">
        <v>192</v>
      </c>
    </row>
    <row r="1875" spans="1:5">
      <c r="A1875" t="s">
        <v>4168</v>
      </c>
      <c r="B1875" t="s">
        <v>4169</v>
      </c>
      <c r="C1875" t="s">
        <v>4168</v>
      </c>
      <c r="D1875" t="s">
        <v>192</v>
      </c>
      <c r="E1875" t="s">
        <v>192</v>
      </c>
    </row>
    <row r="1876" spans="1:5">
      <c r="A1876" t="s">
        <v>4166</v>
      </c>
      <c r="B1876" t="s">
        <v>4167</v>
      </c>
      <c r="C1876" t="s">
        <v>4166</v>
      </c>
      <c r="D1876" t="s">
        <v>192</v>
      </c>
      <c r="E1876" t="s">
        <v>192</v>
      </c>
    </row>
    <row r="1877" spans="1:5">
      <c r="A1877" t="s">
        <v>4196</v>
      </c>
      <c r="B1877" t="s">
        <v>4197</v>
      </c>
      <c r="C1877" t="s">
        <v>4196</v>
      </c>
      <c r="D1877" t="s">
        <v>192</v>
      </c>
      <c r="E1877" t="s">
        <v>192</v>
      </c>
    </row>
    <row r="1878" spans="1:5">
      <c r="A1878" t="s">
        <v>3948</v>
      </c>
      <c r="B1878" t="s">
        <v>3949</v>
      </c>
      <c r="C1878" t="s">
        <v>3948</v>
      </c>
      <c r="D1878" t="s">
        <v>192</v>
      </c>
      <c r="E1878" t="s">
        <v>192</v>
      </c>
    </row>
    <row r="1879" spans="1:5">
      <c r="A1879" t="s">
        <v>4194</v>
      </c>
      <c r="B1879" t="s">
        <v>4195</v>
      </c>
      <c r="C1879" t="s">
        <v>4194</v>
      </c>
      <c r="D1879" t="s">
        <v>192</v>
      </c>
      <c r="E1879" t="s">
        <v>192</v>
      </c>
    </row>
    <row r="1880" spans="1:5">
      <c r="A1880" t="s">
        <v>4192</v>
      </c>
      <c r="B1880" t="s">
        <v>4193</v>
      </c>
      <c r="C1880" t="s">
        <v>4192</v>
      </c>
      <c r="D1880" t="s">
        <v>192</v>
      </c>
      <c r="E1880" t="s">
        <v>192</v>
      </c>
    </row>
    <row r="1881" spans="1:5">
      <c r="A1881" t="s">
        <v>4190</v>
      </c>
      <c r="B1881" t="s">
        <v>4191</v>
      </c>
      <c r="C1881" t="s">
        <v>4190</v>
      </c>
      <c r="D1881" t="s">
        <v>192</v>
      </c>
      <c r="E1881" t="s">
        <v>192</v>
      </c>
    </row>
    <row r="1882" spans="1:5">
      <c r="A1882" t="s">
        <v>4188</v>
      </c>
      <c r="B1882" t="s">
        <v>4189</v>
      </c>
      <c r="C1882" t="s">
        <v>4188</v>
      </c>
      <c r="D1882" t="s">
        <v>192</v>
      </c>
      <c r="E1882" t="s">
        <v>192</v>
      </c>
    </row>
    <row r="1883" spans="1:5">
      <c r="A1883" t="s">
        <v>4186</v>
      </c>
      <c r="B1883" t="s">
        <v>4187</v>
      </c>
      <c r="C1883" t="s">
        <v>4186</v>
      </c>
      <c r="D1883" t="s">
        <v>192</v>
      </c>
      <c r="E1883" t="s">
        <v>192</v>
      </c>
    </row>
    <row r="1884" spans="1:5">
      <c r="A1884" t="s">
        <v>5255</v>
      </c>
      <c r="B1884" t="s">
        <v>5256</v>
      </c>
      <c r="C1884" t="s">
        <v>5255</v>
      </c>
      <c r="D1884" t="s">
        <v>192</v>
      </c>
      <c r="E1884" t="s">
        <v>192</v>
      </c>
    </row>
    <row r="1885" spans="1:5">
      <c r="A1885" t="s">
        <v>6369</v>
      </c>
      <c r="B1885" t="s">
        <v>6370</v>
      </c>
      <c r="C1885" t="s">
        <v>6369</v>
      </c>
      <c r="D1885" t="s">
        <v>192</v>
      </c>
      <c r="E1885" t="s">
        <v>192</v>
      </c>
    </row>
    <row r="1886" spans="1:5">
      <c r="A1886" t="s">
        <v>4785</v>
      </c>
      <c r="B1886" t="s">
        <v>4786</v>
      </c>
      <c r="C1886" t="s">
        <v>4785</v>
      </c>
      <c r="D1886" t="s">
        <v>192</v>
      </c>
      <c r="E1886" t="s">
        <v>192</v>
      </c>
    </row>
    <row r="1887" spans="1:5">
      <c r="A1887" t="s">
        <v>4184</v>
      </c>
      <c r="B1887" t="s">
        <v>4185</v>
      </c>
      <c r="C1887" t="s">
        <v>4184</v>
      </c>
      <c r="D1887" t="s">
        <v>192</v>
      </c>
      <c r="E1887" t="s">
        <v>192</v>
      </c>
    </row>
    <row r="1888" spans="1:5">
      <c r="A1888" t="s">
        <v>3845</v>
      </c>
      <c r="B1888" t="s">
        <v>3846</v>
      </c>
      <c r="C1888" t="s">
        <v>3845</v>
      </c>
      <c r="D1888" t="s">
        <v>192</v>
      </c>
      <c r="E1888" t="s">
        <v>192</v>
      </c>
    </row>
    <row r="1889" spans="1:5">
      <c r="A1889" t="s">
        <v>4182</v>
      </c>
      <c r="B1889" t="s">
        <v>4183</v>
      </c>
      <c r="C1889" t="s">
        <v>4182</v>
      </c>
      <c r="D1889" t="s">
        <v>192</v>
      </c>
      <c r="E1889" t="s">
        <v>192</v>
      </c>
    </row>
    <row r="1890" spans="1:5">
      <c r="A1890" t="s">
        <v>5282</v>
      </c>
      <c r="B1890" t="s">
        <v>5283</v>
      </c>
      <c r="C1890" t="s">
        <v>5282</v>
      </c>
      <c r="D1890" t="s">
        <v>192</v>
      </c>
      <c r="E1890" t="s">
        <v>192</v>
      </c>
    </row>
    <row r="1891" spans="1:5">
      <c r="A1891" t="s">
        <v>3950</v>
      </c>
      <c r="B1891" t="s">
        <v>3951</v>
      </c>
      <c r="C1891" t="s">
        <v>3950</v>
      </c>
      <c r="D1891" t="s">
        <v>192</v>
      </c>
      <c r="E1891" t="s">
        <v>192</v>
      </c>
    </row>
    <row r="1892" spans="1:5">
      <c r="A1892" t="s">
        <v>4180</v>
      </c>
      <c r="B1892" t="s">
        <v>4181</v>
      </c>
      <c r="C1892" t="s">
        <v>4180</v>
      </c>
      <c r="D1892" t="s">
        <v>192</v>
      </c>
      <c r="E1892" t="s">
        <v>192</v>
      </c>
    </row>
    <row r="1893" spans="1:5">
      <c r="A1893" t="s">
        <v>7637</v>
      </c>
      <c r="B1893" t="s">
        <v>7638</v>
      </c>
      <c r="C1893" t="s">
        <v>7637</v>
      </c>
      <c r="D1893" t="s">
        <v>192</v>
      </c>
      <c r="E1893" t="s">
        <v>192</v>
      </c>
    </row>
    <row r="1894" spans="1:5">
      <c r="A1894" t="s">
        <v>7639</v>
      </c>
      <c r="B1894" t="s">
        <v>7640</v>
      </c>
      <c r="C1894" t="s">
        <v>7639</v>
      </c>
      <c r="D1894" t="s">
        <v>192</v>
      </c>
      <c r="E1894" t="s">
        <v>192</v>
      </c>
    </row>
    <row r="1895" spans="1:5">
      <c r="A1895" t="s">
        <v>7641</v>
      </c>
      <c r="B1895" t="s">
        <v>7642</v>
      </c>
      <c r="C1895" t="s">
        <v>7641</v>
      </c>
      <c r="D1895" t="s">
        <v>192</v>
      </c>
      <c r="E1895" t="s">
        <v>192</v>
      </c>
    </row>
    <row r="1896" spans="1:5">
      <c r="A1896" t="s">
        <v>7643</v>
      </c>
      <c r="B1896" t="s">
        <v>7644</v>
      </c>
      <c r="C1896" t="s">
        <v>7643</v>
      </c>
      <c r="D1896" t="s">
        <v>192</v>
      </c>
      <c r="E1896" t="s">
        <v>192</v>
      </c>
    </row>
    <row r="1897" spans="1:5">
      <c r="A1897" t="s">
        <v>7645</v>
      </c>
      <c r="B1897" t="s">
        <v>7646</v>
      </c>
      <c r="C1897" t="s">
        <v>7645</v>
      </c>
      <c r="D1897" t="s">
        <v>192</v>
      </c>
      <c r="E1897" t="s">
        <v>192</v>
      </c>
    </row>
    <row r="1898" spans="1:5">
      <c r="A1898" t="s">
        <v>7647</v>
      </c>
      <c r="B1898" t="s">
        <v>7648</v>
      </c>
      <c r="C1898" t="s">
        <v>7647</v>
      </c>
      <c r="D1898" t="s">
        <v>192</v>
      </c>
      <c r="E1898" t="s">
        <v>192</v>
      </c>
    </row>
    <row r="1899" spans="1:5">
      <c r="A1899" t="s">
        <v>7649</v>
      </c>
      <c r="B1899" t="s">
        <v>7650</v>
      </c>
      <c r="C1899" t="s">
        <v>7649</v>
      </c>
      <c r="D1899" t="s">
        <v>192</v>
      </c>
      <c r="E1899" t="s">
        <v>192</v>
      </c>
    </row>
    <row r="1900" spans="1:5">
      <c r="A1900" t="s">
        <v>7651</v>
      </c>
      <c r="B1900" t="s">
        <v>7652</v>
      </c>
      <c r="C1900" t="s">
        <v>7651</v>
      </c>
      <c r="D1900" t="s">
        <v>192</v>
      </c>
      <c r="E1900" t="s">
        <v>192</v>
      </c>
    </row>
    <row r="1901" spans="1:5">
      <c r="A1901" t="s">
        <v>7653</v>
      </c>
      <c r="B1901" t="s">
        <v>7654</v>
      </c>
      <c r="C1901" t="s">
        <v>7653</v>
      </c>
      <c r="D1901" t="s">
        <v>192</v>
      </c>
      <c r="E1901" t="s">
        <v>192</v>
      </c>
    </row>
    <row r="1902" spans="1:5">
      <c r="A1902" t="s">
        <v>7655</v>
      </c>
      <c r="B1902" t="s">
        <v>7656</v>
      </c>
      <c r="C1902" t="s">
        <v>7655</v>
      </c>
      <c r="D1902" t="s">
        <v>192</v>
      </c>
      <c r="E1902" t="s">
        <v>192</v>
      </c>
    </row>
    <row r="1903" spans="1:5">
      <c r="A1903" t="s">
        <v>7657</v>
      </c>
      <c r="B1903" t="s">
        <v>7658</v>
      </c>
      <c r="C1903" t="s">
        <v>7657</v>
      </c>
      <c r="D1903" t="s">
        <v>192</v>
      </c>
      <c r="E1903" t="s">
        <v>192</v>
      </c>
    </row>
    <row r="1904" spans="1:5">
      <c r="A1904" t="s">
        <v>7659</v>
      </c>
      <c r="B1904" t="s">
        <v>7660</v>
      </c>
      <c r="C1904" t="s">
        <v>7659</v>
      </c>
      <c r="D1904" t="s">
        <v>192</v>
      </c>
      <c r="E1904" t="s">
        <v>192</v>
      </c>
    </row>
    <row r="1905" spans="1:5">
      <c r="A1905" t="s">
        <v>7661</v>
      </c>
      <c r="B1905" t="s">
        <v>7662</v>
      </c>
      <c r="C1905" t="s">
        <v>7661</v>
      </c>
      <c r="D1905" t="s">
        <v>192</v>
      </c>
      <c r="E1905" t="s">
        <v>192</v>
      </c>
    </row>
    <row r="1906" spans="1:5">
      <c r="A1906" t="s">
        <v>7663</v>
      </c>
      <c r="B1906" t="s">
        <v>7664</v>
      </c>
      <c r="C1906" t="s">
        <v>7663</v>
      </c>
      <c r="D1906" t="s">
        <v>192</v>
      </c>
      <c r="E1906" t="s">
        <v>192</v>
      </c>
    </row>
    <row r="1907" spans="1:5">
      <c r="A1907" t="s">
        <v>7665</v>
      </c>
      <c r="B1907" t="s">
        <v>7666</v>
      </c>
      <c r="C1907" t="s">
        <v>7665</v>
      </c>
      <c r="D1907" t="s">
        <v>192</v>
      </c>
      <c r="E1907" t="s">
        <v>192</v>
      </c>
    </row>
    <row r="1908" spans="1:5">
      <c r="A1908" t="s">
        <v>7667</v>
      </c>
      <c r="B1908" t="s">
        <v>7668</v>
      </c>
      <c r="C1908" t="s">
        <v>7667</v>
      </c>
      <c r="D1908" t="s">
        <v>192</v>
      </c>
      <c r="E1908" t="s">
        <v>192</v>
      </c>
    </row>
    <row r="1909" spans="1:5">
      <c r="A1909" t="s">
        <v>3639</v>
      </c>
      <c r="B1909" t="s">
        <v>3640</v>
      </c>
      <c r="C1909" t="s">
        <v>3639</v>
      </c>
      <c r="D1909" t="s">
        <v>192</v>
      </c>
      <c r="E1909" t="s">
        <v>192</v>
      </c>
    </row>
    <row r="1910" spans="1:5">
      <c r="A1910" t="s">
        <v>3637</v>
      </c>
      <c r="B1910" t="s">
        <v>3638</v>
      </c>
      <c r="C1910" t="s">
        <v>3637</v>
      </c>
      <c r="D1910" t="s">
        <v>192</v>
      </c>
      <c r="E1910" t="s">
        <v>192</v>
      </c>
    </row>
    <row r="1911" spans="1:5">
      <c r="A1911" t="s">
        <v>4826</v>
      </c>
      <c r="B1911" t="s">
        <v>4827</v>
      </c>
      <c r="C1911" t="s">
        <v>4826</v>
      </c>
      <c r="D1911" t="s">
        <v>192</v>
      </c>
      <c r="E1911" t="s">
        <v>192</v>
      </c>
    </row>
    <row r="1912" spans="1:5">
      <c r="A1912" t="s">
        <v>5214</v>
      </c>
      <c r="B1912" t="s">
        <v>5215</v>
      </c>
      <c r="C1912" t="s">
        <v>5214</v>
      </c>
      <c r="D1912" t="s">
        <v>192</v>
      </c>
      <c r="E1912" t="s">
        <v>192</v>
      </c>
    </row>
    <row r="1913" spans="1:5">
      <c r="A1913" t="s">
        <v>4624</v>
      </c>
      <c r="B1913" t="s">
        <v>4625</v>
      </c>
      <c r="C1913" t="s">
        <v>4624</v>
      </c>
      <c r="D1913" t="s">
        <v>192</v>
      </c>
      <c r="E1913" t="s">
        <v>192</v>
      </c>
    </row>
    <row r="1914" spans="1:5">
      <c r="A1914" t="s">
        <v>5257</v>
      </c>
      <c r="B1914" t="s">
        <v>5258</v>
      </c>
      <c r="C1914" t="s">
        <v>5257</v>
      </c>
      <c r="D1914" t="s">
        <v>192</v>
      </c>
      <c r="E1914" t="s">
        <v>192</v>
      </c>
    </row>
    <row r="1915" spans="1:5">
      <c r="A1915" t="s">
        <v>6276</v>
      </c>
      <c r="B1915" t="s">
        <v>6277</v>
      </c>
      <c r="C1915" t="s">
        <v>6276</v>
      </c>
      <c r="D1915" t="s">
        <v>192</v>
      </c>
      <c r="E1915" t="s">
        <v>192</v>
      </c>
    </row>
    <row r="1916" spans="1:5">
      <c r="A1916" t="s">
        <v>3635</v>
      </c>
      <c r="B1916" t="s">
        <v>3636</v>
      </c>
      <c r="C1916" t="s">
        <v>3635</v>
      </c>
      <c r="D1916" t="s">
        <v>192</v>
      </c>
      <c r="E1916" t="s">
        <v>192</v>
      </c>
    </row>
    <row r="1917" spans="1:5">
      <c r="A1917" t="s">
        <v>5357</v>
      </c>
      <c r="B1917" t="s">
        <v>5358</v>
      </c>
      <c r="C1917" t="s">
        <v>5357</v>
      </c>
      <c r="D1917" t="s">
        <v>192</v>
      </c>
      <c r="E1917" t="s">
        <v>192</v>
      </c>
    </row>
    <row r="1918" spans="1:5">
      <c r="A1918" t="s">
        <v>3633</v>
      </c>
      <c r="B1918" t="s">
        <v>3634</v>
      </c>
      <c r="C1918" t="s">
        <v>3633</v>
      </c>
      <c r="D1918" t="s">
        <v>192</v>
      </c>
      <c r="E1918" t="s">
        <v>192</v>
      </c>
    </row>
    <row r="1919" spans="1:5">
      <c r="A1919" t="s">
        <v>4699</v>
      </c>
      <c r="B1919" t="s">
        <v>4700</v>
      </c>
      <c r="C1919" t="s">
        <v>4699</v>
      </c>
      <c r="D1919" t="s">
        <v>192</v>
      </c>
      <c r="E1919" t="s">
        <v>192</v>
      </c>
    </row>
    <row r="1920" spans="1:5">
      <c r="A1920" t="s">
        <v>3631</v>
      </c>
      <c r="B1920" t="s">
        <v>3632</v>
      </c>
      <c r="C1920" t="s">
        <v>3631</v>
      </c>
      <c r="D1920" t="s">
        <v>192</v>
      </c>
      <c r="E1920" t="s">
        <v>192</v>
      </c>
    </row>
    <row r="1921" spans="1:5">
      <c r="A1921" t="s">
        <v>4572</v>
      </c>
      <c r="B1921" t="s">
        <v>4573</v>
      </c>
      <c r="C1921" t="s">
        <v>4572</v>
      </c>
      <c r="D1921" t="s">
        <v>192</v>
      </c>
      <c r="E1921" t="s">
        <v>192</v>
      </c>
    </row>
    <row r="1922" spans="1:5">
      <c r="A1922" t="s">
        <v>4671</v>
      </c>
      <c r="B1922" t="s">
        <v>4672</v>
      </c>
      <c r="C1922" t="s">
        <v>4671</v>
      </c>
      <c r="D1922" t="s">
        <v>192</v>
      </c>
      <c r="E1922" t="s">
        <v>192</v>
      </c>
    </row>
    <row r="1923" spans="1:5">
      <c r="A1923" t="s">
        <v>3629</v>
      </c>
      <c r="B1923" t="s">
        <v>3630</v>
      </c>
      <c r="C1923" t="s">
        <v>3629</v>
      </c>
      <c r="D1923" t="s">
        <v>192</v>
      </c>
      <c r="E1923" t="s">
        <v>192</v>
      </c>
    </row>
    <row r="1924" spans="1:5">
      <c r="A1924" t="s">
        <v>3627</v>
      </c>
      <c r="B1924" t="s">
        <v>3628</v>
      </c>
      <c r="C1924" t="s">
        <v>3627</v>
      </c>
      <c r="D1924" t="s">
        <v>192</v>
      </c>
      <c r="E1924" t="s">
        <v>192</v>
      </c>
    </row>
    <row r="1925" spans="1:5">
      <c r="A1925" t="s">
        <v>4630</v>
      </c>
      <c r="B1925" t="s">
        <v>4631</v>
      </c>
      <c r="C1925" t="s">
        <v>4630</v>
      </c>
      <c r="D1925" t="s">
        <v>192</v>
      </c>
      <c r="E1925" t="s">
        <v>192</v>
      </c>
    </row>
    <row r="1926" spans="1:5">
      <c r="A1926" t="s">
        <v>4810</v>
      </c>
      <c r="B1926" t="s">
        <v>4811</v>
      </c>
      <c r="C1926" t="s">
        <v>4810</v>
      </c>
      <c r="D1926" t="s">
        <v>192</v>
      </c>
      <c r="E1926" t="s">
        <v>192</v>
      </c>
    </row>
    <row r="1927" spans="1:5">
      <c r="A1927" t="s">
        <v>3625</v>
      </c>
      <c r="B1927" t="s">
        <v>3626</v>
      </c>
      <c r="C1927" t="s">
        <v>3625</v>
      </c>
      <c r="D1927" t="s">
        <v>192</v>
      </c>
      <c r="E1927" t="s">
        <v>192</v>
      </c>
    </row>
    <row r="1928" spans="1:5">
      <c r="A1928" t="s">
        <v>3623</v>
      </c>
      <c r="B1928" t="s">
        <v>3624</v>
      </c>
      <c r="C1928" t="s">
        <v>3623</v>
      </c>
      <c r="D1928" t="s">
        <v>192</v>
      </c>
      <c r="E1928" t="s">
        <v>192</v>
      </c>
    </row>
    <row r="1929" spans="1:5">
      <c r="A1929" t="s">
        <v>3621</v>
      </c>
      <c r="B1929" t="s">
        <v>3622</v>
      </c>
      <c r="C1929" t="s">
        <v>3621</v>
      </c>
      <c r="D1929" t="s">
        <v>192</v>
      </c>
      <c r="E1929" t="s">
        <v>192</v>
      </c>
    </row>
    <row r="1930" spans="1:5">
      <c r="A1930" t="s">
        <v>3619</v>
      </c>
      <c r="B1930" t="s">
        <v>3620</v>
      </c>
      <c r="C1930" t="s">
        <v>3619</v>
      </c>
      <c r="D1930" t="s">
        <v>192</v>
      </c>
      <c r="E1930" t="s">
        <v>192</v>
      </c>
    </row>
    <row r="1931" spans="1:5">
      <c r="A1931" t="s">
        <v>6239</v>
      </c>
      <c r="B1931" t="s">
        <v>6240</v>
      </c>
      <c r="C1931" t="s">
        <v>6239</v>
      </c>
      <c r="D1931" t="s">
        <v>192</v>
      </c>
      <c r="E1931" t="s">
        <v>192</v>
      </c>
    </row>
    <row r="1932" spans="1:5">
      <c r="A1932" t="s">
        <v>3617</v>
      </c>
      <c r="B1932" t="s">
        <v>3618</v>
      </c>
      <c r="C1932" t="s">
        <v>3617</v>
      </c>
      <c r="D1932" t="s">
        <v>192</v>
      </c>
      <c r="E1932" t="s">
        <v>192</v>
      </c>
    </row>
    <row r="1933" spans="1:5">
      <c r="A1933" t="s">
        <v>4127</v>
      </c>
      <c r="B1933" t="s">
        <v>4128</v>
      </c>
      <c r="C1933" t="s">
        <v>4127</v>
      </c>
      <c r="D1933" t="s">
        <v>192</v>
      </c>
      <c r="E1933" t="s">
        <v>192</v>
      </c>
    </row>
    <row r="1934" spans="1:5">
      <c r="A1934" t="s">
        <v>3990</v>
      </c>
      <c r="B1934" t="s">
        <v>3991</v>
      </c>
      <c r="C1934" t="s">
        <v>3990</v>
      </c>
      <c r="D1934" t="s">
        <v>192</v>
      </c>
      <c r="E1934" t="s">
        <v>192</v>
      </c>
    </row>
    <row r="1935" spans="1:5">
      <c r="A1935" t="s">
        <v>5130</v>
      </c>
      <c r="B1935" t="s">
        <v>5131</v>
      </c>
      <c r="C1935" t="s">
        <v>5130</v>
      </c>
      <c r="D1935" t="s">
        <v>192</v>
      </c>
      <c r="E1935" t="s">
        <v>192</v>
      </c>
    </row>
    <row r="1936" spans="1:5">
      <c r="A1936" t="s">
        <v>5627</v>
      </c>
      <c r="B1936" t="s">
        <v>5628</v>
      </c>
      <c r="C1936" t="s">
        <v>5627</v>
      </c>
      <c r="D1936" t="s">
        <v>192</v>
      </c>
      <c r="E1936" t="s">
        <v>192</v>
      </c>
    </row>
    <row r="1937" spans="1:5">
      <c r="A1937" t="s">
        <v>5096</v>
      </c>
      <c r="B1937" t="s">
        <v>5097</v>
      </c>
      <c r="C1937" t="s">
        <v>5096</v>
      </c>
      <c r="D1937" t="s">
        <v>192</v>
      </c>
      <c r="E1937" t="s">
        <v>192</v>
      </c>
    </row>
    <row r="1938" spans="1:5">
      <c r="A1938" t="s">
        <v>4922</v>
      </c>
      <c r="B1938" t="s">
        <v>4923</v>
      </c>
      <c r="C1938" t="s">
        <v>4922</v>
      </c>
      <c r="D1938" t="s">
        <v>192</v>
      </c>
      <c r="E1938" t="s">
        <v>192</v>
      </c>
    </row>
    <row r="1939" spans="1:5">
      <c r="A1939" t="s">
        <v>6218</v>
      </c>
      <c r="B1939" t="s">
        <v>6219</v>
      </c>
      <c r="C1939" t="s">
        <v>6218</v>
      </c>
      <c r="D1939" t="s">
        <v>192</v>
      </c>
      <c r="E1939" t="s">
        <v>192</v>
      </c>
    </row>
    <row r="1940" spans="1:5">
      <c r="A1940" t="s">
        <v>5644</v>
      </c>
      <c r="B1940" t="s">
        <v>3215</v>
      </c>
      <c r="C1940" t="s">
        <v>5644</v>
      </c>
      <c r="D1940" t="s">
        <v>192</v>
      </c>
      <c r="E1940" t="s">
        <v>192</v>
      </c>
    </row>
    <row r="1941" spans="1:5">
      <c r="A1941" t="s">
        <v>3214</v>
      </c>
      <c r="B1941" t="s">
        <v>3215</v>
      </c>
      <c r="C1941" t="s">
        <v>3214</v>
      </c>
      <c r="D1941" t="s">
        <v>192</v>
      </c>
      <c r="E1941" t="s">
        <v>192</v>
      </c>
    </row>
    <row r="1942" spans="1:5">
      <c r="A1942" t="s">
        <v>3908</v>
      </c>
      <c r="B1942" t="s">
        <v>3909</v>
      </c>
      <c r="C1942" t="s">
        <v>3908</v>
      </c>
      <c r="D1942" t="s">
        <v>192</v>
      </c>
      <c r="E1942" t="s">
        <v>192</v>
      </c>
    </row>
    <row r="1943" spans="1:5">
      <c r="A1943" t="s">
        <v>5653</v>
      </c>
      <c r="B1943" t="s">
        <v>5654</v>
      </c>
      <c r="C1943" t="s">
        <v>5653</v>
      </c>
      <c r="D1943" t="s">
        <v>192</v>
      </c>
      <c r="E1943" t="s">
        <v>192</v>
      </c>
    </row>
    <row r="1944" spans="1:5">
      <c r="A1944" t="s">
        <v>3403</v>
      </c>
      <c r="B1944" t="s">
        <v>3404</v>
      </c>
      <c r="C1944" t="s">
        <v>3403</v>
      </c>
      <c r="D1944" t="s">
        <v>192</v>
      </c>
      <c r="E1944" t="s">
        <v>192</v>
      </c>
    </row>
    <row r="1945" spans="1:5">
      <c r="A1945" t="s">
        <v>3988</v>
      </c>
      <c r="B1945" t="s">
        <v>3989</v>
      </c>
      <c r="C1945" t="s">
        <v>3988</v>
      </c>
      <c r="D1945" t="s">
        <v>192</v>
      </c>
      <c r="E1945" t="s">
        <v>192</v>
      </c>
    </row>
    <row r="1946" spans="1:5">
      <c r="A1946" t="s">
        <v>5540</v>
      </c>
      <c r="B1946" t="s">
        <v>5541</v>
      </c>
      <c r="C1946" t="s">
        <v>5540</v>
      </c>
      <c r="D1946" t="s">
        <v>192</v>
      </c>
      <c r="E1946" t="s">
        <v>192</v>
      </c>
    </row>
    <row r="1947" spans="1:5">
      <c r="A1947" t="s">
        <v>5870</v>
      </c>
      <c r="B1947" t="s">
        <v>5871</v>
      </c>
      <c r="C1947" t="s">
        <v>5870</v>
      </c>
      <c r="D1947" t="s">
        <v>192</v>
      </c>
      <c r="E1947" t="s">
        <v>192</v>
      </c>
    </row>
    <row r="1948" spans="1:5">
      <c r="A1948" t="s">
        <v>3228</v>
      </c>
      <c r="B1948" t="s">
        <v>3229</v>
      </c>
      <c r="C1948" t="s">
        <v>3228</v>
      </c>
      <c r="D1948" t="s">
        <v>192</v>
      </c>
      <c r="E1948" t="s">
        <v>192</v>
      </c>
    </row>
    <row r="1949" spans="1:5">
      <c r="A1949" t="s">
        <v>5206</v>
      </c>
      <c r="B1949" t="s">
        <v>5207</v>
      </c>
      <c r="C1949" t="s">
        <v>5206</v>
      </c>
      <c r="D1949" t="s">
        <v>192</v>
      </c>
      <c r="E1949" t="s">
        <v>192</v>
      </c>
    </row>
    <row r="1950" spans="1:5">
      <c r="A1950" t="s">
        <v>7669</v>
      </c>
      <c r="B1950" t="s">
        <v>7670</v>
      </c>
      <c r="C1950" t="s">
        <v>7669</v>
      </c>
      <c r="D1950" t="s">
        <v>192</v>
      </c>
      <c r="E1950" t="s">
        <v>192</v>
      </c>
    </row>
    <row r="1951" spans="1:5">
      <c r="A1951" t="s">
        <v>4914</v>
      </c>
      <c r="B1951" t="s">
        <v>4915</v>
      </c>
      <c r="C1951" t="s">
        <v>4914</v>
      </c>
      <c r="D1951" t="s">
        <v>192</v>
      </c>
      <c r="E1951" t="s">
        <v>192</v>
      </c>
    </row>
    <row r="1952" spans="1:5">
      <c r="A1952" t="s">
        <v>5750</v>
      </c>
      <c r="B1952" t="s">
        <v>5751</v>
      </c>
      <c r="C1952" t="s">
        <v>5750</v>
      </c>
      <c r="D1952" t="s">
        <v>192</v>
      </c>
      <c r="E1952" t="s">
        <v>192</v>
      </c>
    </row>
    <row r="1953" spans="1:5">
      <c r="A1953" t="s">
        <v>5822</v>
      </c>
      <c r="B1953" t="s">
        <v>5823</v>
      </c>
      <c r="C1953" t="s">
        <v>5822</v>
      </c>
      <c r="D1953" t="s">
        <v>192</v>
      </c>
      <c r="E1953" t="s">
        <v>192</v>
      </c>
    </row>
    <row r="1954" spans="1:5">
      <c r="A1954" t="s">
        <v>3194</v>
      </c>
      <c r="B1954" t="s">
        <v>3195</v>
      </c>
      <c r="C1954" t="s">
        <v>3194</v>
      </c>
      <c r="D1954" t="s">
        <v>192</v>
      </c>
      <c r="E1954" t="s">
        <v>192</v>
      </c>
    </row>
    <row r="1955" spans="1:5">
      <c r="A1955" t="s">
        <v>3401</v>
      </c>
      <c r="B1955" t="s">
        <v>3402</v>
      </c>
      <c r="C1955" t="s">
        <v>3401</v>
      </c>
      <c r="D1955" t="s">
        <v>192</v>
      </c>
      <c r="E1955" t="s">
        <v>192</v>
      </c>
    </row>
    <row r="1956" spans="1:5">
      <c r="A1956" t="s">
        <v>5542</v>
      </c>
      <c r="B1956" t="s">
        <v>5543</v>
      </c>
      <c r="C1956" t="s">
        <v>5542</v>
      </c>
      <c r="D1956" t="s">
        <v>192</v>
      </c>
      <c r="E1956" t="s">
        <v>192</v>
      </c>
    </row>
    <row r="1957" spans="1:5">
      <c r="A1957" t="s">
        <v>6384</v>
      </c>
      <c r="B1957" t="s">
        <v>6385</v>
      </c>
      <c r="C1957" t="s">
        <v>6384</v>
      </c>
      <c r="D1957" t="s">
        <v>192</v>
      </c>
      <c r="E1957" t="s">
        <v>192</v>
      </c>
    </row>
    <row r="1958" spans="1:5">
      <c r="A1958" t="s">
        <v>7671</v>
      </c>
      <c r="B1958" t="s">
        <v>7672</v>
      </c>
      <c r="C1958" t="s">
        <v>7671</v>
      </c>
      <c r="D1958" t="s">
        <v>192</v>
      </c>
      <c r="E1958" t="s">
        <v>192</v>
      </c>
    </row>
    <row r="1959" spans="1:5">
      <c r="A1959" t="s">
        <v>7673</v>
      </c>
      <c r="B1959" t="s">
        <v>7674</v>
      </c>
      <c r="C1959" t="s">
        <v>7673</v>
      </c>
      <c r="D1959" t="s">
        <v>192</v>
      </c>
      <c r="E1959" t="s">
        <v>192</v>
      </c>
    </row>
    <row r="1960" spans="1:5">
      <c r="A1960" t="s">
        <v>3307</v>
      </c>
      <c r="B1960" t="s">
        <v>3308</v>
      </c>
      <c r="C1960" t="s">
        <v>3307</v>
      </c>
      <c r="D1960" t="s">
        <v>192</v>
      </c>
      <c r="E1960" t="s">
        <v>192</v>
      </c>
    </row>
    <row r="1961" spans="1:5">
      <c r="A1961" t="s">
        <v>5607</v>
      </c>
      <c r="B1961" t="s">
        <v>5608</v>
      </c>
      <c r="C1961" t="s">
        <v>5607</v>
      </c>
      <c r="D1961" t="s">
        <v>192</v>
      </c>
      <c r="E1961" t="s">
        <v>192</v>
      </c>
    </row>
    <row r="1962" spans="1:5">
      <c r="A1962" t="s">
        <v>5024</v>
      </c>
      <c r="B1962" t="s">
        <v>5025</v>
      </c>
      <c r="C1962" t="s">
        <v>5024</v>
      </c>
      <c r="D1962" t="s">
        <v>192</v>
      </c>
      <c r="E1962" t="s">
        <v>192</v>
      </c>
    </row>
    <row r="1963" spans="1:5">
      <c r="A1963" t="s">
        <v>5913</v>
      </c>
      <c r="B1963" t="s">
        <v>5914</v>
      </c>
      <c r="C1963" t="s">
        <v>5913</v>
      </c>
      <c r="D1963" t="s">
        <v>192</v>
      </c>
      <c r="E1963" t="s">
        <v>192</v>
      </c>
    </row>
    <row r="1964" spans="1:5">
      <c r="A1964" t="s">
        <v>5222</v>
      </c>
      <c r="B1964" t="s">
        <v>5223</v>
      </c>
      <c r="C1964" t="s">
        <v>5222</v>
      </c>
      <c r="D1964" t="s">
        <v>192</v>
      </c>
      <c r="E1964" t="s">
        <v>192</v>
      </c>
    </row>
    <row r="1965" spans="1:5">
      <c r="A1965" t="s">
        <v>5722</v>
      </c>
      <c r="B1965" t="s">
        <v>5723</v>
      </c>
      <c r="C1965" t="s">
        <v>5722</v>
      </c>
      <c r="D1965" t="s">
        <v>192</v>
      </c>
      <c r="E1965" t="s">
        <v>192</v>
      </c>
    </row>
    <row r="1966" spans="1:5">
      <c r="A1966" t="s">
        <v>4993</v>
      </c>
      <c r="B1966" t="s">
        <v>4994</v>
      </c>
      <c r="C1966" t="s">
        <v>4993</v>
      </c>
      <c r="D1966" t="s">
        <v>192</v>
      </c>
      <c r="E1966" t="s">
        <v>192</v>
      </c>
    </row>
    <row r="1967" spans="1:5">
      <c r="A1967" t="s">
        <v>4648</v>
      </c>
      <c r="B1967" t="s">
        <v>4649</v>
      </c>
      <c r="C1967" t="s">
        <v>4648</v>
      </c>
      <c r="D1967" t="s">
        <v>192</v>
      </c>
      <c r="E1967" t="s">
        <v>192</v>
      </c>
    </row>
    <row r="1968" spans="1:5">
      <c r="A1968" t="s">
        <v>4912</v>
      </c>
      <c r="B1968" t="s">
        <v>4913</v>
      </c>
      <c r="C1968" t="s">
        <v>4912</v>
      </c>
      <c r="D1968" t="s">
        <v>192</v>
      </c>
      <c r="E1968" t="s">
        <v>192</v>
      </c>
    </row>
    <row r="1969" spans="1:5">
      <c r="A1969" t="s">
        <v>3976</v>
      </c>
      <c r="B1969" t="s">
        <v>3977</v>
      </c>
      <c r="C1969" t="s">
        <v>3976</v>
      </c>
      <c r="D1969" t="s">
        <v>192</v>
      </c>
      <c r="E1969" t="s">
        <v>192</v>
      </c>
    </row>
    <row r="1970" spans="1:5">
      <c r="A1970" t="s">
        <v>5012</v>
      </c>
      <c r="B1970" t="s">
        <v>5013</v>
      </c>
      <c r="C1970" t="s">
        <v>5012</v>
      </c>
      <c r="D1970" t="s">
        <v>192</v>
      </c>
      <c r="E1970" t="s">
        <v>192</v>
      </c>
    </row>
    <row r="1971" spans="1:5">
      <c r="A1971" t="s">
        <v>7675</v>
      </c>
      <c r="B1971" t="s">
        <v>7676</v>
      </c>
      <c r="C1971" t="s">
        <v>7675</v>
      </c>
      <c r="D1971" t="s">
        <v>192</v>
      </c>
      <c r="E1971" t="s">
        <v>192</v>
      </c>
    </row>
    <row r="1972" spans="1:5">
      <c r="A1972" t="s">
        <v>5412</v>
      </c>
      <c r="B1972" t="s">
        <v>5413</v>
      </c>
      <c r="C1972" t="s">
        <v>5412</v>
      </c>
      <c r="D1972" t="s">
        <v>192</v>
      </c>
      <c r="E1972" t="s">
        <v>192</v>
      </c>
    </row>
    <row r="1973" spans="1:5">
      <c r="A1973" t="s">
        <v>5414</v>
      </c>
      <c r="B1973" t="s">
        <v>5415</v>
      </c>
      <c r="C1973" t="s">
        <v>5414</v>
      </c>
      <c r="D1973" t="s">
        <v>192</v>
      </c>
      <c r="E1973" t="s">
        <v>192</v>
      </c>
    </row>
    <row r="1974" spans="1:5">
      <c r="A1974" t="s">
        <v>5961</v>
      </c>
      <c r="B1974" t="s">
        <v>5962</v>
      </c>
      <c r="C1974" t="s">
        <v>5961</v>
      </c>
      <c r="D1974" t="s">
        <v>192</v>
      </c>
      <c r="E1974" t="s">
        <v>192</v>
      </c>
    </row>
    <row r="1975" spans="1:5">
      <c r="A1975" t="s">
        <v>5107</v>
      </c>
      <c r="B1975" t="s">
        <v>5108</v>
      </c>
      <c r="C1975" t="s">
        <v>5107</v>
      </c>
      <c r="D1975" t="s">
        <v>192</v>
      </c>
      <c r="E1975" t="s">
        <v>192</v>
      </c>
    </row>
    <row r="1976" spans="1:5">
      <c r="A1976" t="s">
        <v>3992</v>
      </c>
      <c r="B1976" t="s">
        <v>3993</v>
      </c>
      <c r="C1976" t="s">
        <v>3992</v>
      </c>
      <c r="D1976" t="s">
        <v>192</v>
      </c>
      <c r="E1976" t="s">
        <v>192</v>
      </c>
    </row>
    <row r="1977" spans="1:5">
      <c r="A1977" t="s">
        <v>5069</v>
      </c>
      <c r="B1977" t="s">
        <v>5070</v>
      </c>
      <c r="C1977" t="s">
        <v>5069</v>
      </c>
      <c r="D1977" t="s">
        <v>192</v>
      </c>
      <c r="E1977" t="s">
        <v>192</v>
      </c>
    </row>
    <row r="1978" spans="1:5">
      <c r="A1978" t="s">
        <v>5530</v>
      </c>
      <c r="B1978" t="s">
        <v>5531</v>
      </c>
      <c r="C1978" t="s">
        <v>5530</v>
      </c>
      <c r="D1978" t="s">
        <v>192</v>
      </c>
      <c r="E1978" t="s">
        <v>192</v>
      </c>
    </row>
    <row r="1979" spans="1:5">
      <c r="A1979" t="s">
        <v>3863</v>
      </c>
      <c r="B1979" t="s">
        <v>3864</v>
      </c>
      <c r="C1979" t="s">
        <v>3863</v>
      </c>
      <c r="D1979" t="s">
        <v>192</v>
      </c>
      <c r="E1979" t="s">
        <v>192</v>
      </c>
    </row>
    <row r="1980" spans="1:5">
      <c r="A1980" t="s">
        <v>5077</v>
      </c>
      <c r="B1980" t="s">
        <v>5078</v>
      </c>
      <c r="C1980" t="s">
        <v>5077</v>
      </c>
      <c r="D1980" t="s">
        <v>192</v>
      </c>
      <c r="E1980" t="s">
        <v>192</v>
      </c>
    </row>
    <row r="1981" spans="1:5">
      <c r="A1981" t="s">
        <v>5597</v>
      </c>
      <c r="B1981" t="s">
        <v>5598</v>
      </c>
      <c r="C1981" t="s">
        <v>5597</v>
      </c>
      <c r="D1981" t="s">
        <v>192</v>
      </c>
      <c r="E1981" t="s">
        <v>192</v>
      </c>
    </row>
    <row r="1982" spans="1:5">
      <c r="A1982" t="s">
        <v>6386</v>
      </c>
      <c r="B1982" t="s">
        <v>6387</v>
      </c>
      <c r="C1982" t="s">
        <v>6386</v>
      </c>
      <c r="D1982" t="s">
        <v>192</v>
      </c>
      <c r="E1982" t="s">
        <v>192</v>
      </c>
    </row>
    <row r="1983" spans="1:5">
      <c r="A1983" t="s">
        <v>3849</v>
      </c>
      <c r="B1983" t="s">
        <v>3850</v>
      </c>
      <c r="C1983" t="s">
        <v>3849</v>
      </c>
      <c r="D1983" t="s">
        <v>192</v>
      </c>
      <c r="E1983" t="s">
        <v>192</v>
      </c>
    </row>
    <row r="1984" spans="1:5">
      <c r="A1984" t="s">
        <v>3397</v>
      </c>
      <c r="B1984" t="s">
        <v>3398</v>
      </c>
      <c r="C1984" t="s">
        <v>3397</v>
      </c>
      <c r="D1984" t="s">
        <v>192</v>
      </c>
      <c r="E1984" t="s">
        <v>192</v>
      </c>
    </row>
    <row r="1985" spans="1:5">
      <c r="A1985" t="s">
        <v>3354</v>
      </c>
      <c r="B1985" t="s">
        <v>3355</v>
      </c>
      <c r="C1985" t="s">
        <v>3354</v>
      </c>
      <c r="D1985" t="s">
        <v>192</v>
      </c>
      <c r="E1985" t="s">
        <v>192</v>
      </c>
    </row>
    <row r="1986" spans="1:5">
      <c r="A1986" t="s">
        <v>7677</v>
      </c>
      <c r="B1986" t="s">
        <v>7678</v>
      </c>
      <c r="C1986" t="s">
        <v>7677</v>
      </c>
      <c r="D1986" t="s">
        <v>192</v>
      </c>
      <c r="E1986" t="s">
        <v>192</v>
      </c>
    </row>
    <row r="1987" spans="1:5">
      <c r="A1987" t="s">
        <v>3226</v>
      </c>
      <c r="B1987" t="s">
        <v>3227</v>
      </c>
      <c r="C1987" t="s">
        <v>3226</v>
      </c>
      <c r="D1987" t="s">
        <v>192</v>
      </c>
      <c r="E1987" t="s">
        <v>192</v>
      </c>
    </row>
    <row r="1988" spans="1:5">
      <c r="A1988" t="s">
        <v>5253</v>
      </c>
      <c r="B1988" t="s">
        <v>5254</v>
      </c>
      <c r="C1988" t="s">
        <v>5253</v>
      </c>
      <c r="D1988" t="s">
        <v>192</v>
      </c>
      <c r="E1988" t="s">
        <v>192</v>
      </c>
    </row>
    <row r="1989" spans="1:5">
      <c r="A1989" t="s">
        <v>4576</v>
      </c>
      <c r="B1989" t="s">
        <v>4577</v>
      </c>
      <c r="C1989" t="s">
        <v>4576</v>
      </c>
      <c r="D1989" t="s">
        <v>192</v>
      </c>
      <c r="E1989" t="s">
        <v>192</v>
      </c>
    </row>
    <row r="1990" spans="1:5">
      <c r="A1990" t="s">
        <v>5055</v>
      </c>
      <c r="B1990" t="s">
        <v>5056</v>
      </c>
      <c r="C1990" t="s">
        <v>5055</v>
      </c>
      <c r="D1990" t="s">
        <v>192</v>
      </c>
      <c r="E1990" t="s">
        <v>192</v>
      </c>
    </row>
    <row r="1991" spans="1:5">
      <c r="A1991" t="s">
        <v>5895</v>
      </c>
      <c r="B1991" t="s">
        <v>5896</v>
      </c>
      <c r="C1991" t="s">
        <v>5895</v>
      </c>
      <c r="D1991" t="s">
        <v>192</v>
      </c>
      <c r="E1991" t="s">
        <v>192</v>
      </c>
    </row>
    <row r="1992" spans="1:5">
      <c r="A1992" t="s">
        <v>6405</v>
      </c>
      <c r="B1992" t="s">
        <v>6406</v>
      </c>
      <c r="C1992" t="s">
        <v>6405</v>
      </c>
      <c r="D1992" t="s">
        <v>192</v>
      </c>
      <c r="E1992" t="s">
        <v>192</v>
      </c>
    </row>
    <row r="1993" spans="1:5">
      <c r="A1993" t="s">
        <v>5772</v>
      </c>
      <c r="B1993" t="s">
        <v>5773</v>
      </c>
      <c r="C1993" t="s">
        <v>5772</v>
      </c>
      <c r="D1993" t="s">
        <v>192</v>
      </c>
      <c r="E1993" t="s">
        <v>192</v>
      </c>
    </row>
    <row r="1994" spans="1:5">
      <c r="A1994" t="s">
        <v>3232</v>
      </c>
      <c r="B1994" t="s">
        <v>3233</v>
      </c>
      <c r="C1994" t="s">
        <v>3232</v>
      </c>
      <c r="D1994" t="s">
        <v>192</v>
      </c>
      <c r="E1994" t="s">
        <v>192</v>
      </c>
    </row>
    <row r="1995" spans="1:5">
      <c r="A1995" t="s">
        <v>5048</v>
      </c>
      <c r="B1995" t="s">
        <v>5049</v>
      </c>
      <c r="C1995" t="s">
        <v>5048</v>
      </c>
      <c r="D1995" t="s">
        <v>192</v>
      </c>
      <c r="E1995" t="s">
        <v>192</v>
      </c>
    </row>
    <row r="1996" spans="1:5">
      <c r="A1996" t="s">
        <v>6005</v>
      </c>
      <c r="B1996" t="s">
        <v>6006</v>
      </c>
      <c r="C1996" t="s">
        <v>6005</v>
      </c>
      <c r="D1996" t="s">
        <v>192</v>
      </c>
      <c r="E1996" t="s">
        <v>192</v>
      </c>
    </row>
    <row r="1997" spans="1:5">
      <c r="A1997" t="s">
        <v>5605</v>
      </c>
      <c r="B1997" t="s">
        <v>5606</v>
      </c>
      <c r="C1997" t="s">
        <v>5605</v>
      </c>
      <c r="D1997" t="s">
        <v>192</v>
      </c>
      <c r="E1997" t="s">
        <v>192</v>
      </c>
    </row>
    <row r="1998" spans="1:5">
      <c r="A1998" t="s">
        <v>6161</v>
      </c>
      <c r="B1998" t="s">
        <v>6162</v>
      </c>
      <c r="C1998" t="s">
        <v>6161</v>
      </c>
      <c r="D1998" t="s">
        <v>192</v>
      </c>
      <c r="E1998" t="s">
        <v>192</v>
      </c>
    </row>
    <row r="1999" spans="1:5">
      <c r="A1999" t="s">
        <v>3876</v>
      </c>
      <c r="B1999" t="s">
        <v>3877</v>
      </c>
      <c r="C1999" t="s">
        <v>3876</v>
      </c>
      <c r="D1999" t="s">
        <v>192</v>
      </c>
      <c r="E1999" t="s">
        <v>192</v>
      </c>
    </row>
    <row r="2000" spans="1:5">
      <c r="A2000" t="s">
        <v>5083</v>
      </c>
      <c r="B2000" t="s">
        <v>5084</v>
      </c>
      <c r="C2000" t="s">
        <v>5083</v>
      </c>
      <c r="D2000" t="s">
        <v>192</v>
      </c>
      <c r="E2000" t="s">
        <v>192</v>
      </c>
    </row>
    <row r="2001" spans="1:5">
      <c r="A2001" t="s">
        <v>5436</v>
      </c>
      <c r="B2001" t="s">
        <v>5437</v>
      </c>
      <c r="C2001" t="s">
        <v>5436</v>
      </c>
      <c r="D2001" t="s">
        <v>192</v>
      </c>
      <c r="E2001" t="s">
        <v>192</v>
      </c>
    </row>
    <row r="2002" spans="1:5">
      <c r="A2002" t="s">
        <v>5101</v>
      </c>
      <c r="B2002" t="s">
        <v>5102</v>
      </c>
      <c r="C2002" t="s">
        <v>5101</v>
      </c>
      <c r="D2002" t="s">
        <v>192</v>
      </c>
      <c r="E2002" t="s">
        <v>192</v>
      </c>
    </row>
    <row r="2003" spans="1:5">
      <c r="A2003" t="s">
        <v>5720</v>
      </c>
      <c r="B2003" t="s">
        <v>5721</v>
      </c>
      <c r="C2003" t="s">
        <v>5720</v>
      </c>
      <c r="D2003" t="s">
        <v>192</v>
      </c>
      <c r="E2003" t="s">
        <v>192</v>
      </c>
    </row>
    <row r="2004" spans="1:5">
      <c r="A2004" t="s">
        <v>4082</v>
      </c>
      <c r="B2004" t="s">
        <v>4083</v>
      </c>
      <c r="C2004" t="s">
        <v>4082</v>
      </c>
      <c r="D2004" t="s">
        <v>192</v>
      </c>
      <c r="E2004" t="s">
        <v>192</v>
      </c>
    </row>
    <row r="2005" spans="1:5">
      <c r="A2005" t="s">
        <v>4989</v>
      </c>
      <c r="B2005" t="s">
        <v>4990</v>
      </c>
      <c r="C2005" t="s">
        <v>4989</v>
      </c>
      <c r="D2005" t="s">
        <v>192</v>
      </c>
      <c r="E2005" t="s">
        <v>192</v>
      </c>
    </row>
    <row r="2006" spans="1:5">
      <c r="A2006" t="s">
        <v>3242</v>
      </c>
      <c r="B2006" t="s">
        <v>3243</v>
      </c>
      <c r="C2006" t="s">
        <v>3242</v>
      </c>
      <c r="D2006" t="s">
        <v>192</v>
      </c>
      <c r="E2006" t="s">
        <v>192</v>
      </c>
    </row>
    <row r="2007" spans="1:5">
      <c r="A2007" t="s">
        <v>4799</v>
      </c>
      <c r="B2007" t="s">
        <v>4800</v>
      </c>
      <c r="C2007" t="s">
        <v>4799</v>
      </c>
      <c r="D2007" t="s">
        <v>192</v>
      </c>
      <c r="E2007" t="s">
        <v>192</v>
      </c>
    </row>
    <row r="2008" spans="1:5">
      <c r="A2008" t="s">
        <v>5784</v>
      </c>
      <c r="B2008" t="s">
        <v>5785</v>
      </c>
      <c r="C2008" t="s">
        <v>5784</v>
      </c>
      <c r="D2008" t="s">
        <v>192</v>
      </c>
      <c r="E2008" t="s">
        <v>192</v>
      </c>
    </row>
    <row r="2009" spans="1:5">
      <c r="A2009" t="s">
        <v>3274</v>
      </c>
      <c r="B2009" t="s">
        <v>3275</v>
      </c>
      <c r="C2009" t="s">
        <v>3274</v>
      </c>
      <c r="D2009" t="s">
        <v>192</v>
      </c>
      <c r="E2009" t="s">
        <v>192</v>
      </c>
    </row>
    <row r="2010" spans="1:5">
      <c r="A2010" t="s">
        <v>6135</v>
      </c>
      <c r="B2010" t="s">
        <v>6136</v>
      </c>
      <c r="C2010" t="s">
        <v>6135</v>
      </c>
      <c r="D2010" t="s">
        <v>192</v>
      </c>
      <c r="E2010" t="s">
        <v>192</v>
      </c>
    </row>
    <row r="2011" spans="1:5">
      <c r="A2011" t="s">
        <v>4074</v>
      </c>
      <c r="B2011" t="s">
        <v>4075</v>
      </c>
      <c r="C2011" t="s">
        <v>4074</v>
      </c>
      <c r="D2011" t="s">
        <v>192</v>
      </c>
      <c r="E2011" t="s">
        <v>192</v>
      </c>
    </row>
    <row r="2012" spans="1:5">
      <c r="A2012" t="s">
        <v>5908</v>
      </c>
      <c r="B2012" t="s">
        <v>5909</v>
      </c>
      <c r="C2012" t="s">
        <v>5908</v>
      </c>
      <c r="D2012" t="s">
        <v>192</v>
      </c>
      <c r="E2012" t="s">
        <v>192</v>
      </c>
    </row>
    <row r="2013" spans="1:5">
      <c r="A2013" t="s">
        <v>4982</v>
      </c>
      <c r="B2013" t="s">
        <v>4983</v>
      </c>
      <c r="C2013" t="s">
        <v>4982</v>
      </c>
      <c r="D2013" t="s">
        <v>192</v>
      </c>
      <c r="E2013" t="s">
        <v>192</v>
      </c>
    </row>
    <row r="2014" spans="1:5">
      <c r="A2014" t="s">
        <v>5325</v>
      </c>
      <c r="B2014" t="s">
        <v>5326</v>
      </c>
      <c r="C2014" t="s">
        <v>5325</v>
      </c>
      <c r="D2014" t="s">
        <v>192</v>
      </c>
      <c r="E2014" t="s">
        <v>192</v>
      </c>
    </row>
    <row r="2015" spans="1:5">
      <c r="A2015" t="s">
        <v>5513</v>
      </c>
      <c r="B2015" t="s">
        <v>5514</v>
      </c>
      <c r="C2015" t="s">
        <v>5513</v>
      </c>
      <c r="D2015" t="s">
        <v>192</v>
      </c>
      <c r="E2015" t="s">
        <v>192</v>
      </c>
    </row>
    <row r="2016" spans="1:5">
      <c r="A2016" t="s">
        <v>4781</v>
      </c>
      <c r="B2016" t="s">
        <v>4782</v>
      </c>
      <c r="C2016" t="s">
        <v>4781</v>
      </c>
      <c r="D2016" t="s">
        <v>192</v>
      </c>
      <c r="E2016" t="s">
        <v>192</v>
      </c>
    </row>
    <row r="2017" spans="1:5">
      <c r="A2017" t="s">
        <v>6129</v>
      </c>
      <c r="B2017" t="s">
        <v>6130</v>
      </c>
      <c r="C2017" t="s">
        <v>6129</v>
      </c>
      <c r="D2017" t="s">
        <v>192</v>
      </c>
      <c r="E2017" t="s">
        <v>192</v>
      </c>
    </row>
    <row r="2018" spans="1:5">
      <c r="A2018" t="s">
        <v>4840</v>
      </c>
      <c r="B2018" t="s">
        <v>4841</v>
      </c>
      <c r="C2018" t="s">
        <v>4840</v>
      </c>
      <c r="D2018" t="s">
        <v>192</v>
      </c>
      <c r="E2018" t="s">
        <v>192</v>
      </c>
    </row>
    <row r="2019" spans="1:5">
      <c r="A2019" t="s">
        <v>6401</v>
      </c>
      <c r="B2019" t="s">
        <v>6402</v>
      </c>
      <c r="C2019" t="s">
        <v>6401</v>
      </c>
      <c r="D2019" t="s">
        <v>192</v>
      </c>
      <c r="E2019" t="s">
        <v>192</v>
      </c>
    </row>
    <row r="2020" spans="1:5">
      <c r="A2020" t="s">
        <v>5416</v>
      </c>
      <c r="B2020" t="s">
        <v>5417</v>
      </c>
      <c r="C2020" t="s">
        <v>5416</v>
      </c>
      <c r="D2020" t="s">
        <v>192</v>
      </c>
      <c r="E2020" t="s">
        <v>192</v>
      </c>
    </row>
    <row r="2021" spans="1:5">
      <c r="A2021" t="s">
        <v>5141</v>
      </c>
      <c r="B2021" t="s">
        <v>5142</v>
      </c>
      <c r="C2021" t="s">
        <v>5141</v>
      </c>
      <c r="D2021" t="s">
        <v>192</v>
      </c>
      <c r="E2021" t="s">
        <v>192</v>
      </c>
    </row>
    <row r="2022" spans="1:5">
      <c r="A2022" t="s">
        <v>5063</v>
      </c>
      <c r="B2022" t="s">
        <v>5064</v>
      </c>
      <c r="C2022" t="s">
        <v>5063</v>
      </c>
      <c r="D2022" t="s">
        <v>192</v>
      </c>
      <c r="E2022" t="s">
        <v>192</v>
      </c>
    </row>
    <row r="2023" spans="1:5">
      <c r="A2023" t="s">
        <v>4954</v>
      </c>
      <c r="B2023" t="s">
        <v>4955</v>
      </c>
      <c r="C2023" t="s">
        <v>4954</v>
      </c>
      <c r="D2023" t="s">
        <v>192</v>
      </c>
      <c r="E2023" t="s">
        <v>192</v>
      </c>
    </row>
    <row r="2024" spans="1:5">
      <c r="A2024" t="s">
        <v>5989</v>
      </c>
      <c r="B2024" t="s">
        <v>5990</v>
      </c>
      <c r="C2024" t="s">
        <v>5989</v>
      </c>
      <c r="D2024" t="s">
        <v>192</v>
      </c>
      <c r="E2024" t="s">
        <v>192</v>
      </c>
    </row>
    <row r="2025" spans="1:5">
      <c r="A2025" t="s">
        <v>6399</v>
      </c>
      <c r="B2025" t="s">
        <v>6400</v>
      </c>
      <c r="C2025" t="s">
        <v>6399</v>
      </c>
      <c r="D2025" t="s">
        <v>192</v>
      </c>
      <c r="E2025" t="s">
        <v>192</v>
      </c>
    </row>
    <row r="2026" spans="1:5">
      <c r="A2026" t="s">
        <v>5615</v>
      </c>
      <c r="B2026" t="s">
        <v>5616</v>
      </c>
      <c r="C2026" t="s">
        <v>5615</v>
      </c>
      <c r="D2026" t="s">
        <v>192</v>
      </c>
      <c r="E2026" t="s">
        <v>192</v>
      </c>
    </row>
    <row r="2027" spans="1:5">
      <c r="A2027" t="s">
        <v>5444</v>
      </c>
      <c r="B2027" t="s">
        <v>5445</v>
      </c>
      <c r="C2027" t="s">
        <v>5444</v>
      </c>
      <c r="D2027" t="s">
        <v>192</v>
      </c>
      <c r="E2027" t="s">
        <v>192</v>
      </c>
    </row>
    <row r="2028" spans="1:5">
      <c r="A2028" t="s">
        <v>5050</v>
      </c>
      <c r="B2028" t="s">
        <v>5051</v>
      </c>
      <c r="C2028" t="s">
        <v>5050</v>
      </c>
      <c r="D2028" t="s">
        <v>192</v>
      </c>
      <c r="E2028" t="s">
        <v>192</v>
      </c>
    </row>
    <row r="2029" spans="1:5">
      <c r="A2029" t="s">
        <v>5430</v>
      </c>
      <c r="B2029" t="s">
        <v>5431</v>
      </c>
      <c r="C2029" t="s">
        <v>5430</v>
      </c>
      <c r="D2029" t="s">
        <v>192</v>
      </c>
      <c r="E2029" t="s">
        <v>192</v>
      </c>
    </row>
    <row r="2030" spans="1:5">
      <c r="A2030" t="s">
        <v>4058</v>
      </c>
      <c r="B2030" t="s">
        <v>4059</v>
      </c>
      <c r="C2030" t="s">
        <v>4058</v>
      </c>
      <c r="D2030" t="s">
        <v>192</v>
      </c>
      <c r="E2030" t="s">
        <v>192</v>
      </c>
    </row>
    <row r="2031" spans="1:5">
      <c r="A2031" t="s">
        <v>6359</v>
      </c>
      <c r="B2031" t="s">
        <v>6360</v>
      </c>
      <c r="C2031" t="s">
        <v>6359</v>
      </c>
      <c r="D2031" t="s">
        <v>192</v>
      </c>
      <c r="E2031" t="s">
        <v>192</v>
      </c>
    </row>
    <row r="2032" spans="1:5">
      <c r="A2032" t="s">
        <v>6388</v>
      </c>
      <c r="B2032" t="s">
        <v>6389</v>
      </c>
      <c r="C2032" t="s">
        <v>6388</v>
      </c>
      <c r="D2032" t="s">
        <v>192</v>
      </c>
      <c r="E2032" t="s">
        <v>192</v>
      </c>
    </row>
    <row r="2033" spans="1:5">
      <c r="A2033" t="s">
        <v>4813</v>
      </c>
      <c r="B2033" t="s">
        <v>4814</v>
      </c>
      <c r="C2033" t="s">
        <v>4813</v>
      </c>
      <c r="D2033" t="s">
        <v>192</v>
      </c>
      <c r="E2033" t="s">
        <v>192</v>
      </c>
    </row>
    <row r="2034" spans="1:5">
      <c r="A2034" t="s">
        <v>4980</v>
      </c>
      <c r="B2034" t="s">
        <v>4981</v>
      </c>
      <c r="C2034" t="s">
        <v>4980</v>
      </c>
      <c r="D2034" t="s">
        <v>192</v>
      </c>
      <c r="E2034" t="s">
        <v>192</v>
      </c>
    </row>
    <row r="2035" spans="1:5">
      <c r="A2035" t="s">
        <v>3393</v>
      </c>
      <c r="B2035" t="s">
        <v>3394</v>
      </c>
      <c r="C2035" t="s">
        <v>3393</v>
      </c>
      <c r="D2035" t="s">
        <v>192</v>
      </c>
      <c r="E2035" t="s">
        <v>192</v>
      </c>
    </row>
    <row r="2036" spans="1:5">
      <c r="A2036" t="s">
        <v>5995</v>
      </c>
      <c r="B2036" t="s">
        <v>5996</v>
      </c>
      <c r="C2036" t="s">
        <v>5995</v>
      </c>
      <c r="D2036" t="s">
        <v>192</v>
      </c>
      <c r="E2036" t="s">
        <v>192</v>
      </c>
    </row>
    <row r="2037" spans="1:5">
      <c r="A2037" t="s">
        <v>5864</v>
      </c>
      <c r="B2037" t="s">
        <v>5865</v>
      </c>
      <c r="C2037" t="s">
        <v>5864</v>
      </c>
      <c r="D2037" t="s">
        <v>192</v>
      </c>
      <c r="E2037" t="s">
        <v>192</v>
      </c>
    </row>
    <row r="2038" spans="1:5">
      <c r="A2038" t="s">
        <v>6344</v>
      </c>
      <c r="B2038" t="s">
        <v>6345</v>
      </c>
      <c r="C2038" t="s">
        <v>6344</v>
      </c>
      <c r="D2038" t="s">
        <v>192</v>
      </c>
      <c r="E2038" t="s">
        <v>192</v>
      </c>
    </row>
    <row r="2039" spans="1:5">
      <c r="A2039" t="s">
        <v>5887</v>
      </c>
      <c r="B2039" t="s">
        <v>5888</v>
      </c>
      <c r="C2039" t="s">
        <v>5887</v>
      </c>
      <c r="D2039" t="s">
        <v>192</v>
      </c>
      <c r="E2039" t="s">
        <v>192</v>
      </c>
    </row>
    <row r="2040" spans="1:5">
      <c r="A2040" t="s">
        <v>5741</v>
      </c>
      <c r="B2040" t="s">
        <v>5742</v>
      </c>
      <c r="C2040" t="s">
        <v>5741</v>
      </c>
      <c r="D2040" t="s">
        <v>192</v>
      </c>
      <c r="E2040" t="s">
        <v>192</v>
      </c>
    </row>
    <row r="2041" spans="1:5">
      <c r="A2041" t="s">
        <v>3238</v>
      </c>
      <c r="B2041" t="s">
        <v>3239</v>
      </c>
      <c r="C2041" t="s">
        <v>3238</v>
      </c>
      <c r="D2041" t="s">
        <v>192</v>
      </c>
      <c r="E2041" t="s">
        <v>192</v>
      </c>
    </row>
    <row r="2042" spans="1:5">
      <c r="A2042" t="s">
        <v>4998</v>
      </c>
      <c r="B2042" t="s">
        <v>4999</v>
      </c>
      <c r="C2042" t="s">
        <v>4998</v>
      </c>
      <c r="D2042" t="s">
        <v>192</v>
      </c>
      <c r="E2042" t="s">
        <v>192</v>
      </c>
    </row>
    <row r="2043" spans="1:5">
      <c r="A2043" t="s">
        <v>5991</v>
      </c>
      <c r="B2043" t="s">
        <v>5992</v>
      </c>
      <c r="C2043" t="s">
        <v>5991</v>
      </c>
      <c r="D2043" t="s">
        <v>192</v>
      </c>
      <c r="E2043" t="s">
        <v>192</v>
      </c>
    </row>
    <row r="2044" spans="1:5">
      <c r="A2044" t="s">
        <v>3324</v>
      </c>
      <c r="B2044" t="s">
        <v>3325</v>
      </c>
      <c r="C2044" t="s">
        <v>3324</v>
      </c>
      <c r="D2044" t="s">
        <v>192</v>
      </c>
      <c r="E2044" t="s">
        <v>192</v>
      </c>
    </row>
    <row r="2045" spans="1:5">
      <c r="A2045" t="s">
        <v>6380</v>
      </c>
      <c r="B2045" t="s">
        <v>6381</v>
      </c>
      <c r="C2045" t="s">
        <v>6380</v>
      </c>
      <c r="D2045" t="s">
        <v>192</v>
      </c>
      <c r="E2045" t="s">
        <v>192</v>
      </c>
    </row>
    <row r="2046" spans="1:5">
      <c r="A2046" t="s">
        <v>5489</v>
      </c>
      <c r="B2046" t="s">
        <v>5490</v>
      </c>
      <c r="C2046" t="s">
        <v>5489</v>
      </c>
      <c r="D2046" t="s">
        <v>192</v>
      </c>
      <c r="E2046" t="s">
        <v>192</v>
      </c>
    </row>
    <row r="2047" spans="1:5">
      <c r="A2047" t="s">
        <v>7679</v>
      </c>
      <c r="B2047" t="s">
        <v>7680</v>
      </c>
      <c r="C2047" t="s">
        <v>7679</v>
      </c>
      <c r="D2047" t="s">
        <v>192</v>
      </c>
      <c r="E2047" t="s">
        <v>192</v>
      </c>
    </row>
    <row r="2048" spans="1:5">
      <c r="A2048" t="s">
        <v>3932</v>
      </c>
      <c r="B2048" t="s">
        <v>3933</v>
      </c>
      <c r="C2048" t="s">
        <v>3932</v>
      </c>
      <c r="D2048" t="s">
        <v>192</v>
      </c>
      <c r="E2048" t="s">
        <v>192</v>
      </c>
    </row>
    <row r="2049" spans="1:5">
      <c r="A2049" t="s">
        <v>5372</v>
      </c>
      <c r="B2049" t="s">
        <v>5373</v>
      </c>
      <c r="C2049" t="s">
        <v>5372</v>
      </c>
      <c r="D2049" t="s">
        <v>192</v>
      </c>
      <c r="E2049" t="s">
        <v>192</v>
      </c>
    </row>
    <row r="2050" spans="1:5">
      <c r="A2050" t="s">
        <v>3330</v>
      </c>
      <c r="B2050" t="s">
        <v>3331</v>
      </c>
      <c r="C2050" t="s">
        <v>3330</v>
      </c>
      <c r="D2050" t="s">
        <v>192</v>
      </c>
      <c r="E2050" t="s">
        <v>192</v>
      </c>
    </row>
    <row r="2051" spans="1:5">
      <c r="A2051" t="s">
        <v>6314</v>
      </c>
      <c r="B2051" t="s">
        <v>6315</v>
      </c>
      <c r="C2051" t="s">
        <v>6314</v>
      </c>
      <c r="D2051" t="s">
        <v>192</v>
      </c>
      <c r="E2051" t="s">
        <v>192</v>
      </c>
    </row>
    <row r="2052" spans="1:5">
      <c r="A2052" t="s">
        <v>5317</v>
      </c>
      <c r="B2052" t="s">
        <v>5318</v>
      </c>
      <c r="C2052" t="s">
        <v>5317</v>
      </c>
      <c r="D2052" t="s">
        <v>192</v>
      </c>
      <c r="E2052" t="s">
        <v>192</v>
      </c>
    </row>
    <row r="2053" spans="1:5">
      <c r="A2053" t="s">
        <v>4097</v>
      </c>
      <c r="B2053" t="s">
        <v>4098</v>
      </c>
      <c r="C2053" t="s">
        <v>4097</v>
      </c>
      <c r="D2053" t="s">
        <v>192</v>
      </c>
      <c r="E2053" t="s">
        <v>192</v>
      </c>
    </row>
    <row r="2054" spans="1:5">
      <c r="A2054" t="s">
        <v>4591</v>
      </c>
      <c r="B2054" t="s">
        <v>4592</v>
      </c>
      <c r="C2054" t="s">
        <v>4591</v>
      </c>
      <c r="D2054" t="s">
        <v>192</v>
      </c>
      <c r="E2054" t="s">
        <v>192</v>
      </c>
    </row>
    <row r="2055" spans="1:5">
      <c r="A2055" t="s">
        <v>3287</v>
      </c>
      <c r="B2055" t="s">
        <v>3288</v>
      </c>
      <c r="C2055" t="s">
        <v>3287</v>
      </c>
      <c r="D2055" t="s">
        <v>192</v>
      </c>
      <c r="E2055" t="s">
        <v>192</v>
      </c>
    </row>
    <row r="2056" spans="1:5">
      <c r="A2056" t="s">
        <v>5944</v>
      </c>
      <c r="B2056" t="s">
        <v>5945</v>
      </c>
      <c r="C2056" t="s">
        <v>5944</v>
      </c>
      <c r="D2056" t="s">
        <v>192</v>
      </c>
      <c r="E2056" t="s">
        <v>192</v>
      </c>
    </row>
    <row r="2057" spans="1:5">
      <c r="A2057" t="s">
        <v>3936</v>
      </c>
      <c r="B2057" t="s">
        <v>3937</v>
      </c>
      <c r="C2057" t="s">
        <v>3936</v>
      </c>
      <c r="D2057" t="s">
        <v>192</v>
      </c>
      <c r="E2057" t="s">
        <v>192</v>
      </c>
    </row>
    <row r="2058" spans="1:5">
      <c r="A2058" t="s">
        <v>5523</v>
      </c>
      <c r="B2058" t="s">
        <v>5524</v>
      </c>
      <c r="C2058" t="s">
        <v>5523</v>
      </c>
      <c r="D2058" t="s">
        <v>192</v>
      </c>
      <c r="E2058" t="s">
        <v>192</v>
      </c>
    </row>
    <row r="2059" spans="1:5">
      <c r="A2059" t="s">
        <v>6313</v>
      </c>
      <c r="B2059" t="s">
        <v>5703</v>
      </c>
      <c r="C2059" t="s">
        <v>6313</v>
      </c>
      <c r="D2059" t="s">
        <v>192</v>
      </c>
      <c r="E2059" t="s">
        <v>192</v>
      </c>
    </row>
    <row r="2060" spans="1:5">
      <c r="A2060" t="s">
        <v>5790</v>
      </c>
      <c r="B2060" t="s">
        <v>5791</v>
      </c>
      <c r="C2060" t="s">
        <v>5790</v>
      </c>
      <c r="D2060" t="s">
        <v>192</v>
      </c>
      <c r="E2060" t="s">
        <v>192</v>
      </c>
    </row>
    <row r="2061" spans="1:5">
      <c r="A2061" t="s">
        <v>4570</v>
      </c>
      <c r="B2061" t="s">
        <v>4571</v>
      </c>
      <c r="C2061" t="s">
        <v>4570</v>
      </c>
      <c r="D2061" t="s">
        <v>192</v>
      </c>
      <c r="E2061" t="s">
        <v>192</v>
      </c>
    </row>
    <row r="2062" spans="1:5">
      <c r="A2062" t="s">
        <v>6072</v>
      </c>
      <c r="B2062" t="s">
        <v>6073</v>
      </c>
      <c r="C2062" t="s">
        <v>6072</v>
      </c>
      <c r="D2062" t="s">
        <v>192</v>
      </c>
      <c r="E2062" t="s">
        <v>192</v>
      </c>
    </row>
    <row r="2063" spans="1:5">
      <c r="A2063" t="s">
        <v>5073</v>
      </c>
      <c r="B2063" t="s">
        <v>5074</v>
      </c>
      <c r="C2063" t="s">
        <v>5073</v>
      </c>
      <c r="D2063" t="s">
        <v>192</v>
      </c>
      <c r="E2063" t="s">
        <v>192</v>
      </c>
    </row>
    <row r="2064" spans="1:5">
      <c r="A2064" t="s">
        <v>4938</v>
      </c>
      <c r="B2064" t="s">
        <v>4939</v>
      </c>
      <c r="C2064" t="s">
        <v>4938</v>
      </c>
      <c r="D2064" t="s">
        <v>192</v>
      </c>
      <c r="E2064" t="s">
        <v>192</v>
      </c>
    </row>
    <row r="2065" spans="1:5">
      <c r="A2065" t="s">
        <v>3857</v>
      </c>
      <c r="B2065" t="s">
        <v>3858</v>
      </c>
      <c r="C2065" t="s">
        <v>3857</v>
      </c>
      <c r="D2065" t="s">
        <v>192</v>
      </c>
      <c r="E2065" t="s">
        <v>192</v>
      </c>
    </row>
    <row r="2066" spans="1:5">
      <c r="A2066" t="s">
        <v>4078</v>
      </c>
      <c r="B2066" t="s">
        <v>4079</v>
      </c>
      <c r="C2066" t="s">
        <v>4078</v>
      </c>
      <c r="D2066" t="s">
        <v>192</v>
      </c>
      <c r="E2066" t="s">
        <v>192</v>
      </c>
    </row>
    <row r="2067" spans="1:5">
      <c r="A2067" t="s">
        <v>5752</v>
      </c>
      <c r="B2067" t="s">
        <v>5753</v>
      </c>
      <c r="C2067" t="s">
        <v>5752</v>
      </c>
      <c r="D2067" t="s">
        <v>192</v>
      </c>
      <c r="E2067" t="s">
        <v>192</v>
      </c>
    </row>
    <row r="2068" spans="1:5">
      <c r="A2068" t="s">
        <v>6318</v>
      </c>
      <c r="B2068" t="s">
        <v>6319</v>
      </c>
      <c r="C2068" t="s">
        <v>6318</v>
      </c>
      <c r="D2068" t="s">
        <v>192</v>
      </c>
      <c r="E2068" t="s">
        <v>192</v>
      </c>
    </row>
    <row r="2069" spans="1:5">
      <c r="A2069" t="s">
        <v>4936</v>
      </c>
      <c r="B2069" t="s">
        <v>4937</v>
      </c>
      <c r="C2069" t="s">
        <v>4936</v>
      </c>
      <c r="D2069" t="s">
        <v>192</v>
      </c>
      <c r="E2069" t="s">
        <v>192</v>
      </c>
    </row>
    <row r="2070" spans="1:5">
      <c r="A2070" t="s">
        <v>4805</v>
      </c>
      <c r="B2070" t="s">
        <v>4806</v>
      </c>
      <c r="C2070" t="s">
        <v>4805</v>
      </c>
      <c r="D2070" t="s">
        <v>192</v>
      </c>
      <c r="E2070" t="s">
        <v>192</v>
      </c>
    </row>
    <row r="2071" spans="1:5">
      <c r="A2071" t="s">
        <v>5930</v>
      </c>
      <c r="B2071" t="s">
        <v>5931</v>
      </c>
      <c r="C2071" t="s">
        <v>5930</v>
      </c>
      <c r="D2071" t="s">
        <v>192</v>
      </c>
      <c r="E2071" t="s">
        <v>192</v>
      </c>
    </row>
    <row r="2072" spans="1:5">
      <c r="A2072" t="s">
        <v>5671</v>
      </c>
      <c r="B2072" t="s">
        <v>5672</v>
      </c>
      <c r="C2072" t="s">
        <v>5671</v>
      </c>
      <c r="D2072" t="s">
        <v>192</v>
      </c>
      <c r="E2072" t="s">
        <v>192</v>
      </c>
    </row>
    <row r="2073" spans="1:5">
      <c r="A2073" t="s">
        <v>4640</v>
      </c>
      <c r="B2073" t="s">
        <v>4641</v>
      </c>
      <c r="C2073" t="s">
        <v>4640</v>
      </c>
      <c r="D2073" t="s">
        <v>192</v>
      </c>
      <c r="E2073" t="s">
        <v>192</v>
      </c>
    </row>
    <row r="2074" spans="1:5">
      <c r="A2074" t="s">
        <v>4119</v>
      </c>
      <c r="B2074" t="s">
        <v>4120</v>
      </c>
      <c r="C2074" t="s">
        <v>4119</v>
      </c>
      <c r="D2074" t="s">
        <v>192</v>
      </c>
      <c r="E2074" t="s">
        <v>192</v>
      </c>
    </row>
    <row r="2075" spans="1:5">
      <c r="A2075" t="s">
        <v>6295</v>
      </c>
      <c r="B2075" t="s">
        <v>6296</v>
      </c>
      <c r="C2075" t="s">
        <v>6295</v>
      </c>
      <c r="D2075" t="s">
        <v>192</v>
      </c>
      <c r="E2075" t="s">
        <v>192</v>
      </c>
    </row>
    <row r="2076" spans="1:5">
      <c r="A2076" t="s">
        <v>6191</v>
      </c>
      <c r="B2076" t="s">
        <v>6192</v>
      </c>
      <c r="C2076" t="s">
        <v>6191</v>
      </c>
      <c r="D2076" t="s">
        <v>192</v>
      </c>
      <c r="E2076" t="s">
        <v>192</v>
      </c>
    </row>
    <row r="2077" spans="1:5">
      <c r="A2077" t="s">
        <v>3884</v>
      </c>
      <c r="B2077" t="s">
        <v>3885</v>
      </c>
      <c r="C2077" t="s">
        <v>3884</v>
      </c>
      <c r="D2077" t="s">
        <v>192</v>
      </c>
      <c r="E2077" t="s">
        <v>192</v>
      </c>
    </row>
    <row r="2078" spans="1:5">
      <c r="A2078" t="s">
        <v>6125</v>
      </c>
      <c r="B2078" t="s">
        <v>6126</v>
      </c>
      <c r="C2078" t="s">
        <v>6125</v>
      </c>
      <c r="D2078" t="s">
        <v>192</v>
      </c>
      <c r="E2078" t="s">
        <v>192</v>
      </c>
    </row>
    <row r="2079" spans="1:5">
      <c r="A2079" t="s">
        <v>6146</v>
      </c>
      <c r="B2079" t="s">
        <v>6147</v>
      </c>
      <c r="C2079" t="s">
        <v>6146</v>
      </c>
      <c r="D2079" t="s">
        <v>192</v>
      </c>
      <c r="E2079" t="s">
        <v>192</v>
      </c>
    </row>
    <row r="2080" spans="1:5">
      <c r="A2080" t="s">
        <v>6113</v>
      </c>
      <c r="B2080" t="s">
        <v>6114</v>
      </c>
      <c r="C2080" t="s">
        <v>6113</v>
      </c>
      <c r="D2080" t="s">
        <v>192</v>
      </c>
      <c r="E2080" t="s">
        <v>192</v>
      </c>
    </row>
    <row r="2081" spans="1:5">
      <c r="A2081" t="s">
        <v>4978</v>
      </c>
      <c r="B2081" t="s">
        <v>4979</v>
      </c>
      <c r="C2081" t="s">
        <v>4978</v>
      </c>
      <c r="D2081" t="s">
        <v>192</v>
      </c>
      <c r="E2081" t="s">
        <v>192</v>
      </c>
    </row>
    <row r="2082" spans="1:5">
      <c r="A2082" t="s">
        <v>3332</v>
      </c>
      <c r="B2082" t="s">
        <v>3333</v>
      </c>
      <c r="C2082" t="s">
        <v>3332</v>
      </c>
      <c r="D2082" t="s">
        <v>192</v>
      </c>
      <c r="E2082" t="s">
        <v>192</v>
      </c>
    </row>
    <row r="2083" spans="1:5">
      <c r="A2083" t="s">
        <v>4099</v>
      </c>
      <c r="B2083" t="s">
        <v>4100</v>
      </c>
      <c r="C2083" t="s">
        <v>4099</v>
      </c>
      <c r="D2083" t="s">
        <v>192</v>
      </c>
      <c r="E2083" t="s">
        <v>192</v>
      </c>
    </row>
    <row r="2084" spans="1:5">
      <c r="A2084" t="s">
        <v>3972</v>
      </c>
      <c r="B2084" t="s">
        <v>3973</v>
      </c>
      <c r="C2084" t="s">
        <v>3972</v>
      </c>
      <c r="D2084" t="s">
        <v>192</v>
      </c>
      <c r="E2084" t="s">
        <v>192</v>
      </c>
    </row>
    <row r="2085" spans="1:5">
      <c r="A2085" t="s">
        <v>3291</v>
      </c>
      <c r="B2085" t="s">
        <v>3292</v>
      </c>
      <c r="C2085" t="s">
        <v>3291</v>
      </c>
      <c r="D2085" t="s">
        <v>192</v>
      </c>
      <c r="E2085" t="s">
        <v>192</v>
      </c>
    </row>
    <row r="2086" spans="1:5">
      <c r="A2086" t="s">
        <v>3847</v>
      </c>
      <c r="B2086" t="s">
        <v>3848</v>
      </c>
      <c r="C2086" t="s">
        <v>3847</v>
      </c>
      <c r="D2086" t="s">
        <v>192</v>
      </c>
      <c r="E2086" t="s">
        <v>192</v>
      </c>
    </row>
    <row r="2087" spans="1:5">
      <c r="A2087" t="s">
        <v>6284</v>
      </c>
      <c r="B2087" t="s">
        <v>6285</v>
      </c>
      <c r="C2087" t="s">
        <v>6284</v>
      </c>
      <c r="D2087" t="s">
        <v>192</v>
      </c>
      <c r="E2087" t="s">
        <v>192</v>
      </c>
    </row>
    <row r="2088" spans="1:5">
      <c r="A2088" t="s">
        <v>5967</v>
      </c>
      <c r="B2088" t="s">
        <v>5968</v>
      </c>
      <c r="C2088" t="s">
        <v>5967</v>
      </c>
      <c r="D2088" t="s">
        <v>192</v>
      </c>
      <c r="E2088" t="s">
        <v>192</v>
      </c>
    </row>
    <row r="2089" spans="1:5">
      <c r="A2089" t="s">
        <v>4925</v>
      </c>
      <c r="B2089" t="s">
        <v>4926</v>
      </c>
      <c r="C2089" t="s">
        <v>4925</v>
      </c>
      <c r="D2089" t="s">
        <v>192</v>
      </c>
      <c r="E2089" t="s">
        <v>192</v>
      </c>
    </row>
    <row r="2090" spans="1:5">
      <c r="A2090" t="s">
        <v>5145</v>
      </c>
      <c r="B2090" t="s">
        <v>5146</v>
      </c>
      <c r="C2090" t="s">
        <v>5145</v>
      </c>
      <c r="D2090" t="s">
        <v>192</v>
      </c>
      <c r="E2090" t="s">
        <v>192</v>
      </c>
    </row>
    <row r="2091" spans="1:5">
      <c r="A2091" t="s">
        <v>3347</v>
      </c>
      <c r="B2091" t="s">
        <v>3348</v>
      </c>
      <c r="C2091" t="s">
        <v>3347</v>
      </c>
      <c r="D2091" t="s">
        <v>192</v>
      </c>
      <c r="E2091" t="s">
        <v>192</v>
      </c>
    </row>
    <row r="2092" spans="1:5">
      <c r="A2092" t="s">
        <v>5724</v>
      </c>
      <c r="B2092" t="s">
        <v>5725</v>
      </c>
      <c r="C2092" t="s">
        <v>5724</v>
      </c>
      <c r="D2092" t="s">
        <v>192</v>
      </c>
      <c r="E2092" t="s">
        <v>192</v>
      </c>
    </row>
    <row r="2093" spans="1:5">
      <c r="A2093" t="s">
        <v>5611</v>
      </c>
      <c r="B2093" t="s">
        <v>5612</v>
      </c>
      <c r="C2093" t="s">
        <v>5611</v>
      </c>
      <c r="D2093" t="s">
        <v>192</v>
      </c>
      <c r="E2093" t="s">
        <v>192</v>
      </c>
    </row>
    <row r="2094" spans="1:5">
      <c r="A2094" t="s">
        <v>4652</v>
      </c>
      <c r="B2094" t="s">
        <v>4653</v>
      </c>
      <c r="C2094" t="s">
        <v>4652</v>
      </c>
      <c r="D2094" t="s">
        <v>192</v>
      </c>
      <c r="E2094" t="s">
        <v>192</v>
      </c>
    </row>
    <row r="2095" spans="1:5">
      <c r="A2095" t="s">
        <v>2427</v>
      </c>
      <c r="B2095" t="s">
        <v>2426</v>
      </c>
      <c r="C2095" t="s">
        <v>2427</v>
      </c>
      <c r="D2095">
        <v>811</v>
      </c>
      <c r="E2095">
        <v>6.15</v>
      </c>
    </row>
    <row r="2096" spans="1:5">
      <c r="A2096" t="s">
        <v>4675</v>
      </c>
      <c r="B2096" t="s">
        <v>4676</v>
      </c>
      <c r="C2096" t="s">
        <v>4675</v>
      </c>
      <c r="D2096" t="s">
        <v>192</v>
      </c>
      <c r="E2096" t="s">
        <v>192</v>
      </c>
    </row>
    <row r="2097" spans="1:5">
      <c r="A2097" t="s">
        <v>5440</v>
      </c>
      <c r="B2097" t="s">
        <v>5441</v>
      </c>
      <c r="C2097" t="s">
        <v>5440</v>
      </c>
      <c r="D2097" t="s">
        <v>192</v>
      </c>
      <c r="E2097" t="s">
        <v>192</v>
      </c>
    </row>
    <row r="2098" spans="1:5">
      <c r="A2098" t="s">
        <v>4062</v>
      </c>
      <c r="B2098" t="s">
        <v>4063</v>
      </c>
      <c r="C2098" t="s">
        <v>4062</v>
      </c>
      <c r="D2098" t="s">
        <v>192</v>
      </c>
      <c r="E2098" t="s">
        <v>192</v>
      </c>
    </row>
    <row r="2099" spans="1:5">
      <c r="A2099" t="s">
        <v>6090</v>
      </c>
      <c r="B2099" t="s">
        <v>6091</v>
      </c>
      <c r="C2099" t="s">
        <v>6090</v>
      </c>
      <c r="D2099" t="s">
        <v>192</v>
      </c>
      <c r="E2099" t="s">
        <v>192</v>
      </c>
    </row>
    <row r="2100" spans="1:5">
      <c r="A2100" t="s">
        <v>4934</v>
      </c>
      <c r="B2100" t="s">
        <v>4935</v>
      </c>
      <c r="C2100" t="s">
        <v>4934</v>
      </c>
      <c r="D2100" t="s">
        <v>192</v>
      </c>
      <c r="E2100" t="s">
        <v>192</v>
      </c>
    </row>
    <row r="2101" spans="1:5">
      <c r="A2101" t="s">
        <v>5736</v>
      </c>
      <c r="B2101" t="s">
        <v>5737</v>
      </c>
      <c r="C2101" t="s">
        <v>5736</v>
      </c>
      <c r="D2101" t="s">
        <v>192</v>
      </c>
      <c r="E2101" t="s">
        <v>192</v>
      </c>
    </row>
    <row r="2102" spans="1:5">
      <c r="A2102" t="s">
        <v>5568</v>
      </c>
      <c r="B2102" t="s">
        <v>5569</v>
      </c>
      <c r="C2102" t="s">
        <v>5568</v>
      </c>
      <c r="D2102" t="s">
        <v>192</v>
      </c>
      <c r="E2102" t="s">
        <v>192</v>
      </c>
    </row>
    <row r="2103" spans="1:5">
      <c r="A2103" t="s">
        <v>5294</v>
      </c>
      <c r="B2103" t="s">
        <v>5295</v>
      </c>
      <c r="C2103" t="s">
        <v>5294</v>
      </c>
      <c r="D2103" t="s">
        <v>192</v>
      </c>
      <c r="E2103" t="s">
        <v>192</v>
      </c>
    </row>
    <row r="2104" spans="1:5">
      <c r="A2104" t="s">
        <v>5818</v>
      </c>
      <c r="B2104" t="s">
        <v>5819</v>
      </c>
      <c r="C2104" t="s">
        <v>5818</v>
      </c>
      <c r="D2104" t="s">
        <v>192</v>
      </c>
      <c r="E2104" t="s">
        <v>192</v>
      </c>
    </row>
    <row r="2105" spans="1:5">
      <c r="A2105" t="s">
        <v>5347</v>
      </c>
      <c r="B2105" t="s">
        <v>5348</v>
      </c>
      <c r="C2105" t="s">
        <v>5347</v>
      </c>
      <c r="D2105" t="s">
        <v>192</v>
      </c>
      <c r="E2105" t="s">
        <v>192</v>
      </c>
    </row>
    <row r="2106" spans="1:5">
      <c r="A2106" t="s">
        <v>5926</v>
      </c>
      <c r="B2106" t="s">
        <v>5927</v>
      </c>
      <c r="C2106" t="s">
        <v>5926</v>
      </c>
      <c r="D2106" t="s">
        <v>192</v>
      </c>
      <c r="E2106" t="s">
        <v>192</v>
      </c>
    </row>
    <row r="2107" spans="1:5">
      <c r="A2107" t="s">
        <v>5916</v>
      </c>
      <c r="B2107" t="s">
        <v>5917</v>
      </c>
      <c r="C2107" t="s">
        <v>5916</v>
      </c>
      <c r="D2107" t="s">
        <v>192</v>
      </c>
      <c r="E2107" t="s">
        <v>192</v>
      </c>
    </row>
    <row r="2108" spans="1:5">
      <c r="A2108" t="s">
        <v>5339</v>
      </c>
      <c r="B2108" t="s">
        <v>5340</v>
      </c>
      <c r="C2108" t="s">
        <v>5339</v>
      </c>
      <c r="D2108" t="s">
        <v>192</v>
      </c>
      <c r="E2108" t="s">
        <v>192</v>
      </c>
    </row>
    <row r="2109" spans="1:5">
      <c r="A2109" t="s">
        <v>5899</v>
      </c>
      <c r="B2109" t="s">
        <v>5900</v>
      </c>
      <c r="C2109" t="s">
        <v>5899</v>
      </c>
      <c r="D2109" t="s">
        <v>192</v>
      </c>
      <c r="E2109" t="s">
        <v>192</v>
      </c>
    </row>
    <row r="2110" spans="1:5">
      <c r="A2110" t="s">
        <v>4819</v>
      </c>
      <c r="B2110" t="s">
        <v>4820</v>
      </c>
      <c r="C2110" t="s">
        <v>4819</v>
      </c>
      <c r="D2110" t="s">
        <v>192</v>
      </c>
      <c r="E2110" t="s">
        <v>192</v>
      </c>
    </row>
    <row r="2111" spans="1:5">
      <c r="A2111" t="s">
        <v>4846</v>
      </c>
      <c r="B2111" t="s">
        <v>4847</v>
      </c>
      <c r="C2111" t="s">
        <v>4846</v>
      </c>
      <c r="D2111" t="s">
        <v>192</v>
      </c>
      <c r="E2111" t="s">
        <v>192</v>
      </c>
    </row>
    <row r="2112" spans="1:5">
      <c r="A2112" t="s">
        <v>5679</v>
      </c>
      <c r="B2112" t="s">
        <v>5680</v>
      </c>
      <c r="C2112" t="s">
        <v>5679</v>
      </c>
      <c r="D2112" t="s">
        <v>192</v>
      </c>
      <c r="E2112" t="s">
        <v>192</v>
      </c>
    </row>
    <row r="2113" spans="1:5">
      <c r="A2113" t="s">
        <v>5619</v>
      </c>
      <c r="B2113" t="s">
        <v>5620</v>
      </c>
      <c r="C2113" t="s">
        <v>5619</v>
      </c>
      <c r="D2113" t="s">
        <v>192</v>
      </c>
      <c r="E2113" t="s">
        <v>192</v>
      </c>
    </row>
    <row r="2114" spans="1:5">
      <c r="A2114" t="s">
        <v>2425</v>
      </c>
      <c r="B2114" t="s">
        <v>2424</v>
      </c>
      <c r="C2114" t="s">
        <v>2425</v>
      </c>
      <c r="D2114">
        <v>1012</v>
      </c>
      <c r="E2114">
        <v>8.42</v>
      </c>
    </row>
    <row r="2115" spans="1:5">
      <c r="A2115" t="s">
        <v>145</v>
      </c>
      <c r="B2115" t="s">
        <v>144</v>
      </c>
      <c r="C2115" t="s">
        <v>145</v>
      </c>
      <c r="D2115">
        <v>8660</v>
      </c>
      <c r="E2115">
        <v>8.4700000000000006</v>
      </c>
    </row>
    <row r="2116" spans="1:5">
      <c r="A2116" t="s">
        <v>2423</v>
      </c>
      <c r="B2116" t="s">
        <v>2422</v>
      </c>
      <c r="C2116" t="s">
        <v>2423</v>
      </c>
      <c r="D2116">
        <v>2426</v>
      </c>
      <c r="E2116">
        <v>11.06</v>
      </c>
    </row>
    <row r="2117" spans="1:5">
      <c r="A2117" t="s">
        <v>2421</v>
      </c>
      <c r="B2117" t="s">
        <v>2419</v>
      </c>
      <c r="C2117" t="s">
        <v>2421</v>
      </c>
      <c r="D2117">
        <v>271</v>
      </c>
      <c r="E2117">
        <v>6.46</v>
      </c>
    </row>
    <row r="2118" spans="1:5">
      <c r="A2118" t="s">
        <v>2420</v>
      </c>
      <c r="B2118" t="s">
        <v>2419</v>
      </c>
      <c r="C2118" t="s">
        <v>2420</v>
      </c>
      <c r="D2118">
        <v>271</v>
      </c>
      <c r="E2118">
        <v>6.44</v>
      </c>
    </row>
    <row r="2119" spans="1:5">
      <c r="A2119" t="s">
        <v>4628</v>
      </c>
      <c r="B2119" t="s">
        <v>4629</v>
      </c>
      <c r="C2119" t="s">
        <v>4628</v>
      </c>
      <c r="D2119" t="s">
        <v>192</v>
      </c>
      <c r="E2119" t="s">
        <v>192</v>
      </c>
    </row>
    <row r="2120" spans="1:5">
      <c r="A2120" t="s">
        <v>6093</v>
      </c>
      <c r="B2120" t="s">
        <v>6094</v>
      </c>
      <c r="C2120" t="s">
        <v>6093</v>
      </c>
      <c r="D2120" t="s">
        <v>192</v>
      </c>
      <c r="E2120" t="s">
        <v>192</v>
      </c>
    </row>
    <row r="2121" spans="1:5">
      <c r="A2121" t="s">
        <v>4642</v>
      </c>
      <c r="B2121" t="s">
        <v>4643</v>
      </c>
      <c r="C2121" t="s">
        <v>4642</v>
      </c>
      <c r="D2121" t="s">
        <v>192</v>
      </c>
      <c r="E2121" t="s">
        <v>192</v>
      </c>
    </row>
    <row r="2122" spans="1:5">
      <c r="A2122" t="s">
        <v>1446</v>
      </c>
      <c r="B2122" t="s">
        <v>2419</v>
      </c>
      <c r="C2122" t="s">
        <v>1446</v>
      </c>
      <c r="D2122">
        <v>271</v>
      </c>
      <c r="E2122">
        <v>6.46</v>
      </c>
    </row>
    <row r="2123" spans="1:5">
      <c r="A2123" t="s">
        <v>2418</v>
      </c>
      <c r="B2123" t="s">
        <v>2416</v>
      </c>
      <c r="C2123" t="s">
        <v>2418</v>
      </c>
      <c r="D2123">
        <v>2517</v>
      </c>
      <c r="E2123">
        <v>5.89</v>
      </c>
    </row>
    <row r="2124" spans="1:5">
      <c r="A2124" t="s">
        <v>2417</v>
      </c>
      <c r="B2124" t="s">
        <v>2416</v>
      </c>
      <c r="C2124" t="s">
        <v>2417</v>
      </c>
      <c r="D2124">
        <v>2517</v>
      </c>
      <c r="E2124">
        <v>5.89</v>
      </c>
    </row>
    <row r="2125" spans="1:5">
      <c r="A2125" t="s">
        <v>7681</v>
      </c>
      <c r="B2125" t="s">
        <v>6002</v>
      </c>
      <c r="C2125" t="s">
        <v>7681</v>
      </c>
      <c r="D2125" t="s">
        <v>192</v>
      </c>
      <c r="E2125" t="s">
        <v>192</v>
      </c>
    </row>
    <row r="2126" spans="1:5">
      <c r="A2126" t="s">
        <v>6001</v>
      </c>
      <c r="B2126" t="s">
        <v>6002</v>
      </c>
      <c r="C2126" t="s">
        <v>6001</v>
      </c>
      <c r="D2126" t="s">
        <v>192</v>
      </c>
      <c r="E2126" t="s">
        <v>192</v>
      </c>
    </row>
    <row r="2127" spans="1:5">
      <c r="A2127" t="s">
        <v>2415</v>
      </c>
      <c r="B2127" t="s">
        <v>2414</v>
      </c>
      <c r="C2127" t="s">
        <v>2415</v>
      </c>
      <c r="D2127">
        <v>1383</v>
      </c>
      <c r="E2127">
        <v>5.36</v>
      </c>
    </row>
    <row r="2128" spans="1:5">
      <c r="A2128" t="s">
        <v>2413</v>
      </c>
      <c r="B2128" t="s">
        <v>2411</v>
      </c>
      <c r="C2128" t="s">
        <v>2413</v>
      </c>
      <c r="D2128">
        <v>1019</v>
      </c>
      <c r="E2128">
        <v>4.79</v>
      </c>
    </row>
    <row r="2129" spans="1:5">
      <c r="A2129" t="s">
        <v>2412</v>
      </c>
      <c r="B2129" t="s">
        <v>2411</v>
      </c>
      <c r="C2129" t="s">
        <v>2412</v>
      </c>
      <c r="D2129">
        <v>1019</v>
      </c>
      <c r="E2129">
        <v>4.79</v>
      </c>
    </row>
    <row r="2130" spans="1:5">
      <c r="A2130" t="s">
        <v>2410</v>
      </c>
      <c r="B2130" t="s">
        <v>2409</v>
      </c>
      <c r="C2130" t="s">
        <v>2410</v>
      </c>
      <c r="D2130">
        <v>778</v>
      </c>
      <c r="E2130">
        <v>9.3800000000000008</v>
      </c>
    </row>
    <row r="2131" spans="1:5">
      <c r="A2131" t="s">
        <v>2408</v>
      </c>
      <c r="B2131" t="s">
        <v>2406</v>
      </c>
      <c r="C2131" t="s">
        <v>2408</v>
      </c>
      <c r="D2131">
        <v>60</v>
      </c>
      <c r="E2131">
        <v>17.38</v>
      </c>
    </row>
    <row r="2132" spans="1:5">
      <c r="A2132" t="s">
        <v>2407</v>
      </c>
      <c r="B2132" t="s">
        <v>2406</v>
      </c>
      <c r="C2132" t="s">
        <v>2407</v>
      </c>
      <c r="D2132">
        <v>60</v>
      </c>
      <c r="E2132">
        <v>17.38</v>
      </c>
    </row>
    <row r="2133" spans="1:5">
      <c r="A2133" t="s">
        <v>2405</v>
      </c>
      <c r="B2133" t="s">
        <v>2404</v>
      </c>
      <c r="C2133" t="s">
        <v>2405</v>
      </c>
      <c r="D2133">
        <v>91</v>
      </c>
      <c r="E2133">
        <v>29.12</v>
      </c>
    </row>
    <row r="2134" spans="1:5">
      <c r="A2134" t="s">
        <v>7682</v>
      </c>
      <c r="B2134" t="s">
        <v>152</v>
      </c>
      <c r="C2134" t="s">
        <v>7682</v>
      </c>
      <c r="D2134">
        <v>1209</v>
      </c>
      <c r="E2134">
        <v>8.43</v>
      </c>
    </row>
    <row r="2135" spans="1:5">
      <c r="A2135" t="s">
        <v>153</v>
      </c>
      <c r="B2135" t="s">
        <v>152</v>
      </c>
      <c r="C2135" t="s">
        <v>153</v>
      </c>
      <c r="D2135">
        <v>1209</v>
      </c>
      <c r="E2135">
        <v>8.43</v>
      </c>
    </row>
    <row r="2136" spans="1:5">
      <c r="A2136" t="s">
        <v>95</v>
      </c>
      <c r="B2136" t="s">
        <v>94</v>
      </c>
      <c r="C2136" t="s">
        <v>95</v>
      </c>
      <c r="D2136">
        <v>512</v>
      </c>
      <c r="E2136">
        <v>7.55</v>
      </c>
    </row>
    <row r="2137" spans="1:5">
      <c r="A2137" t="s">
        <v>2403</v>
      </c>
      <c r="B2137" t="s">
        <v>2402</v>
      </c>
      <c r="C2137" t="s">
        <v>2403</v>
      </c>
      <c r="D2137">
        <v>59</v>
      </c>
      <c r="E2137">
        <v>17.25</v>
      </c>
    </row>
    <row r="2138" spans="1:5">
      <c r="A2138" t="s">
        <v>2401</v>
      </c>
      <c r="B2138" t="s">
        <v>2400</v>
      </c>
      <c r="C2138" t="s">
        <v>2401</v>
      </c>
      <c r="D2138">
        <v>226</v>
      </c>
      <c r="E2138">
        <v>78.27</v>
      </c>
    </row>
    <row r="2139" spans="1:5">
      <c r="A2139" t="s">
        <v>2399</v>
      </c>
      <c r="B2139" t="s">
        <v>2398</v>
      </c>
      <c r="C2139" t="s">
        <v>2399</v>
      </c>
      <c r="D2139">
        <v>2941</v>
      </c>
      <c r="E2139">
        <v>6.7</v>
      </c>
    </row>
    <row r="2140" spans="1:5">
      <c r="A2140" t="s">
        <v>2397</v>
      </c>
      <c r="B2140" t="s">
        <v>2396</v>
      </c>
      <c r="C2140" t="s">
        <v>2397</v>
      </c>
      <c r="D2140">
        <v>1492</v>
      </c>
      <c r="E2140">
        <v>5.28</v>
      </c>
    </row>
    <row r="2141" spans="1:5">
      <c r="A2141" t="s">
        <v>2395</v>
      </c>
      <c r="B2141" t="s">
        <v>2394</v>
      </c>
      <c r="C2141" t="s">
        <v>2395</v>
      </c>
      <c r="D2141">
        <v>28993</v>
      </c>
      <c r="E2141">
        <v>4.68</v>
      </c>
    </row>
    <row r="2142" spans="1:5">
      <c r="A2142" t="s">
        <v>2393</v>
      </c>
      <c r="B2142" t="s">
        <v>2392</v>
      </c>
      <c r="C2142" t="s">
        <v>2393</v>
      </c>
      <c r="D2142">
        <v>1000</v>
      </c>
      <c r="E2142">
        <v>5.75</v>
      </c>
    </row>
    <row r="2143" spans="1:5">
      <c r="A2143" t="s">
        <v>2391</v>
      </c>
      <c r="B2143" t="s">
        <v>2390</v>
      </c>
      <c r="C2143" t="s">
        <v>2391</v>
      </c>
      <c r="D2143">
        <v>358</v>
      </c>
      <c r="E2143">
        <v>13.7</v>
      </c>
    </row>
    <row r="2144" spans="1:5">
      <c r="A2144" t="s">
        <v>2389</v>
      </c>
      <c r="B2144" t="s">
        <v>2388</v>
      </c>
      <c r="C2144" t="s">
        <v>2389</v>
      </c>
      <c r="D2144">
        <v>314</v>
      </c>
      <c r="E2144">
        <v>6.26</v>
      </c>
    </row>
    <row r="2145" spans="1:5">
      <c r="A2145" t="s">
        <v>2387</v>
      </c>
      <c r="B2145" t="s">
        <v>2385</v>
      </c>
      <c r="C2145" t="s">
        <v>2387</v>
      </c>
      <c r="D2145">
        <v>172</v>
      </c>
      <c r="E2145">
        <v>10.56</v>
      </c>
    </row>
    <row r="2146" spans="1:5">
      <c r="A2146" t="s">
        <v>2386</v>
      </c>
      <c r="B2146" t="s">
        <v>2385</v>
      </c>
      <c r="C2146" t="s">
        <v>2386</v>
      </c>
      <c r="D2146">
        <v>172</v>
      </c>
      <c r="E2146">
        <v>10.56</v>
      </c>
    </row>
    <row r="2147" spans="1:5">
      <c r="A2147" t="s">
        <v>2384</v>
      </c>
      <c r="B2147" t="s">
        <v>2383</v>
      </c>
      <c r="C2147" t="s">
        <v>2384</v>
      </c>
      <c r="D2147">
        <v>136</v>
      </c>
      <c r="E2147">
        <v>8.75</v>
      </c>
    </row>
    <row r="2148" spans="1:5">
      <c r="A2148" t="s">
        <v>2382</v>
      </c>
      <c r="B2148" t="s">
        <v>2381</v>
      </c>
      <c r="C2148" t="s">
        <v>2382</v>
      </c>
      <c r="D2148">
        <v>2100</v>
      </c>
      <c r="E2148">
        <v>10.71</v>
      </c>
    </row>
    <row r="2149" spans="1:5">
      <c r="A2149" t="s">
        <v>2380</v>
      </c>
      <c r="B2149" t="s">
        <v>2379</v>
      </c>
      <c r="C2149" t="s">
        <v>2380</v>
      </c>
      <c r="D2149">
        <v>5089</v>
      </c>
      <c r="E2149">
        <v>6.66</v>
      </c>
    </row>
    <row r="2150" spans="1:5">
      <c r="A2150" t="s">
        <v>5113</v>
      </c>
      <c r="B2150" t="s">
        <v>5114</v>
      </c>
      <c r="C2150" t="s">
        <v>5113</v>
      </c>
      <c r="D2150" t="s">
        <v>192</v>
      </c>
      <c r="E2150" t="s">
        <v>192</v>
      </c>
    </row>
    <row r="2151" spans="1:5">
      <c r="A2151" t="s">
        <v>2378</v>
      </c>
      <c r="B2151" t="s">
        <v>2377</v>
      </c>
      <c r="C2151" t="s">
        <v>2378</v>
      </c>
      <c r="D2151">
        <v>2071</v>
      </c>
      <c r="E2151">
        <v>5.96</v>
      </c>
    </row>
    <row r="2152" spans="1:5">
      <c r="A2152" t="s">
        <v>2376</v>
      </c>
      <c r="B2152" t="s">
        <v>2374</v>
      </c>
      <c r="C2152" t="s">
        <v>2376</v>
      </c>
      <c r="D2152">
        <v>492</v>
      </c>
      <c r="E2152">
        <v>7.15</v>
      </c>
    </row>
    <row r="2153" spans="1:5">
      <c r="A2153" t="s">
        <v>2375</v>
      </c>
      <c r="B2153" t="s">
        <v>2374</v>
      </c>
      <c r="C2153" t="s">
        <v>2375</v>
      </c>
      <c r="D2153">
        <v>492</v>
      </c>
      <c r="E2153">
        <v>7.15</v>
      </c>
    </row>
    <row r="2154" spans="1:5">
      <c r="A2154" t="s">
        <v>2373</v>
      </c>
      <c r="B2154" t="s">
        <v>2372</v>
      </c>
      <c r="C2154" t="s">
        <v>2373</v>
      </c>
      <c r="D2154">
        <v>18</v>
      </c>
      <c r="E2154">
        <v>80.17</v>
      </c>
    </row>
    <row r="2155" spans="1:5">
      <c r="A2155" t="s">
        <v>2371</v>
      </c>
      <c r="B2155" t="s">
        <v>2370</v>
      </c>
      <c r="C2155" t="s">
        <v>2371</v>
      </c>
      <c r="D2155">
        <v>189</v>
      </c>
      <c r="E2155">
        <v>11.43</v>
      </c>
    </row>
    <row r="2156" spans="1:5">
      <c r="A2156" t="s">
        <v>2369</v>
      </c>
      <c r="B2156" t="s">
        <v>2368</v>
      </c>
      <c r="C2156" t="s">
        <v>2369</v>
      </c>
      <c r="D2156">
        <v>3025</v>
      </c>
      <c r="E2156">
        <v>5.1100000000000003</v>
      </c>
    </row>
    <row r="2157" spans="1:5">
      <c r="A2157" t="s">
        <v>2367</v>
      </c>
      <c r="B2157" t="s">
        <v>2366</v>
      </c>
      <c r="C2157" t="s">
        <v>2367</v>
      </c>
      <c r="D2157">
        <v>8800</v>
      </c>
      <c r="E2157">
        <v>1.96</v>
      </c>
    </row>
    <row r="2158" spans="1:5">
      <c r="A2158" t="s">
        <v>2365</v>
      </c>
      <c r="B2158" t="s">
        <v>2364</v>
      </c>
      <c r="C2158" t="s">
        <v>2365</v>
      </c>
      <c r="D2158">
        <v>94</v>
      </c>
      <c r="E2158">
        <v>126.7</v>
      </c>
    </row>
    <row r="2159" spans="1:5">
      <c r="A2159" t="s">
        <v>178</v>
      </c>
      <c r="B2159" t="s">
        <v>177</v>
      </c>
      <c r="C2159" t="s">
        <v>178</v>
      </c>
      <c r="D2159">
        <v>10561</v>
      </c>
      <c r="E2159">
        <v>7.89</v>
      </c>
    </row>
    <row r="2160" spans="1:5">
      <c r="A2160" t="s">
        <v>2363</v>
      </c>
      <c r="B2160" t="s">
        <v>2362</v>
      </c>
      <c r="C2160" t="s">
        <v>2363</v>
      </c>
      <c r="D2160">
        <v>6925</v>
      </c>
      <c r="E2160">
        <v>8.24</v>
      </c>
    </row>
    <row r="2161" spans="1:5">
      <c r="A2161" t="s">
        <v>5984</v>
      </c>
      <c r="B2161" t="s">
        <v>2360</v>
      </c>
      <c r="C2161" t="s">
        <v>5984</v>
      </c>
      <c r="D2161">
        <v>847</v>
      </c>
      <c r="E2161">
        <v>5.26</v>
      </c>
    </row>
    <row r="2162" spans="1:5">
      <c r="A2162" t="s">
        <v>2361</v>
      </c>
      <c r="B2162" t="s">
        <v>2360</v>
      </c>
      <c r="C2162" t="s">
        <v>2361</v>
      </c>
      <c r="D2162">
        <v>847</v>
      </c>
      <c r="E2162">
        <v>5.26</v>
      </c>
    </row>
    <row r="2163" spans="1:5">
      <c r="A2163" t="s">
        <v>2359</v>
      </c>
      <c r="B2163" t="s">
        <v>2358</v>
      </c>
      <c r="C2163" t="s">
        <v>2359</v>
      </c>
      <c r="D2163">
        <v>1506</v>
      </c>
      <c r="E2163">
        <v>6.1</v>
      </c>
    </row>
    <row r="2164" spans="1:5">
      <c r="A2164" t="s">
        <v>7683</v>
      </c>
      <c r="B2164" t="s">
        <v>2356</v>
      </c>
      <c r="C2164" t="s">
        <v>7683</v>
      </c>
      <c r="D2164">
        <v>1548</v>
      </c>
      <c r="E2164">
        <v>4.84</v>
      </c>
    </row>
    <row r="2165" spans="1:5">
      <c r="A2165" t="s">
        <v>2357</v>
      </c>
      <c r="B2165" t="s">
        <v>2356</v>
      </c>
      <c r="C2165" t="s">
        <v>2357</v>
      </c>
      <c r="D2165">
        <v>1548</v>
      </c>
      <c r="E2165">
        <v>4.84</v>
      </c>
    </row>
    <row r="2166" spans="1:5">
      <c r="A2166" t="s">
        <v>172</v>
      </c>
      <c r="B2166" t="s">
        <v>171</v>
      </c>
      <c r="C2166" t="s">
        <v>172</v>
      </c>
      <c r="D2166">
        <v>1263</v>
      </c>
      <c r="E2166">
        <v>4.2</v>
      </c>
    </row>
    <row r="2167" spans="1:5">
      <c r="A2167" t="s">
        <v>5424</v>
      </c>
      <c r="B2167" t="s">
        <v>5425</v>
      </c>
      <c r="C2167" t="s">
        <v>5424</v>
      </c>
      <c r="D2167" t="s">
        <v>192</v>
      </c>
      <c r="E2167" t="s">
        <v>192</v>
      </c>
    </row>
    <row r="2168" spans="1:5">
      <c r="A2168" t="s">
        <v>176</v>
      </c>
      <c r="B2168" t="s">
        <v>175</v>
      </c>
      <c r="C2168" t="s">
        <v>176</v>
      </c>
      <c r="D2168">
        <v>1494</v>
      </c>
      <c r="E2168">
        <v>6.46</v>
      </c>
    </row>
    <row r="2169" spans="1:5">
      <c r="A2169" t="s">
        <v>2355</v>
      </c>
      <c r="B2169" t="s">
        <v>2354</v>
      </c>
      <c r="C2169" t="s">
        <v>2355</v>
      </c>
      <c r="D2169">
        <v>103</v>
      </c>
      <c r="E2169">
        <v>48.65</v>
      </c>
    </row>
    <row r="2170" spans="1:5">
      <c r="A2170" t="s">
        <v>143</v>
      </c>
      <c r="B2170" t="s">
        <v>142</v>
      </c>
      <c r="C2170" t="s">
        <v>143</v>
      </c>
      <c r="D2170">
        <v>2047</v>
      </c>
      <c r="E2170">
        <v>6.31</v>
      </c>
    </row>
    <row r="2171" spans="1:5">
      <c r="A2171" t="s">
        <v>2353</v>
      </c>
      <c r="B2171" t="s">
        <v>2352</v>
      </c>
      <c r="C2171" t="s">
        <v>2353</v>
      </c>
      <c r="D2171">
        <v>-1766</v>
      </c>
      <c r="E2171">
        <v>-0.98</v>
      </c>
    </row>
    <row r="2172" spans="1:5">
      <c r="A2172" t="s">
        <v>7684</v>
      </c>
      <c r="B2172" t="s">
        <v>90</v>
      </c>
      <c r="C2172" t="s">
        <v>7684</v>
      </c>
      <c r="D2172">
        <v>383</v>
      </c>
      <c r="E2172">
        <v>5.5</v>
      </c>
    </row>
    <row r="2173" spans="1:5">
      <c r="A2173" t="s">
        <v>91</v>
      </c>
      <c r="B2173" t="s">
        <v>90</v>
      </c>
      <c r="C2173" t="s">
        <v>91</v>
      </c>
      <c r="D2173">
        <v>383</v>
      </c>
      <c r="E2173">
        <v>5.5</v>
      </c>
    </row>
    <row r="2174" spans="1:5">
      <c r="A2174" t="s">
        <v>2351</v>
      </c>
      <c r="B2174" t="s">
        <v>2350</v>
      </c>
      <c r="C2174" t="s">
        <v>2351</v>
      </c>
      <c r="D2174">
        <v>6605</v>
      </c>
      <c r="E2174">
        <v>7.31</v>
      </c>
    </row>
    <row r="2175" spans="1:5">
      <c r="A2175" t="s">
        <v>2349</v>
      </c>
      <c r="B2175" t="s">
        <v>2348</v>
      </c>
      <c r="C2175" t="s">
        <v>2349</v>
      </c>
      <c r="D2175">
        <v>219</v>
      </c>
      <c r="E2175">
        <v>5.56</v>
      </c>
    </row>
    <row r="2176" spans="1:5">
      <c r="A2176" t="s">
        <v>2347</v>
      </c>
      <c r="B2176" t="s">
        <v>179</v>
      </c>
      <c r="C2176" t="s">
        <v>2347</v>
      </c>
      <c r="D2176">
        <v>4058</v>
      </c>
      <c r="E2176">
        <v>7.38</v>
      </c>
    </row>
    <row r="2177" spans="1:5">
      <c r="A2177" t="s">
        <v>180</v>
      </c>
      <c r="B2177" t="s">
        <v>179</v>
      </c>
      <c r="C2177" t="s">
        <v>180</v>
      </c>
      <c r="D2177">
        <v>4058</v>
      </c>
      <c r="E2177">
        <v>7.38</v>
      </c>
    </row>
    <row r="2178" spans="1:5">
      <c r="A2178" t="s">
        <v>174</v>
      </c>
      <c r="B2178" t="s">
        <v>173</v>
      </c>
      <c r="C2178" t="s">
        <v>174</v>
      </c>
      <c r="D2178">
        <v>2126</v>
      </c>
      <c r="E2178">
        <v>5.57</v>
      </c>
    </row>
    <row r="2179" spans="1:5">
      <c r="A2179" t="s">
        <v>139</v>
      </c>
      <c r="B2179" t="s">
        <v>138</v>
      </c>
      <c r="C2179" t="s">
        <v>139</v>
      </c>
      <c r="D2179">
        <v>2242</v>
      </c>
      <c r="E2179">
        <v>5.37</v>
      </c>
    </row>
    <row r="2180" spans="1:5">
      <c r="A2180" t="s">
        <v>2346</v>
      </c>
      <c r="B2180" t="s">
        <v>2345</v>
      </c>
      <c r="C2180" t="s">
        <v>2346</v>
      </c>
      <c r="D2180">
        <v>8379</v>
      </c>
      <c r="E2180">
        <v>5.39</v>
      </c>
    </row>
    <row r="2181" spans="1:5">
      <c r="A2181" t="s">
        <v>2344</v>
      </c>
      <c r="B2181" t="s">
        <v>2343</v>
      </c>
      <c r="C2181" t="s">
        <v>2344</v>
      </c>
      <c r="D2181">
        <v>3009</v>
      </c>
      <c r="E2181">
        <v>8.9499999999999993</v>
      </c>
    </row>
    <row r="2182" spans="1:5">
      <c r="A2182" t="s">
        <v>2342</v>
      </c>
      <c r="B2182" t="s">
        <v>2341</v>
      </c>
      <c r="C2182" t="s">
        <v>2342</v>
      </c>
      <c r="D2182">
        <v>843</v>
      </c>
      <c r="E2182">
        <v>16.14</v>
      </c>
    </row>
    <row r="2183" spans="1:5">
      <c r="A2183" t="s">
        <v>7685</v>
      </c>
      <c r="B2183" t="s">
        <v>148</v>
      </c>
      <c r="C2183" t="s">
        <v>7685</v>
      </c>
      <c r="D2183">
        <v>1772</v>
      </c>
      <c r="E2183">
        <v>8.69</v>
      </c>
    </row>
    <row r="2184" spans="1:5">
      <c r="A2184" t="s">
        <v>149</v>
      </c>
      <c r="B2184" t="s">
        <v>148</v>
      </c>
      <c r="C2184" t="s">
        <v>149</v>
      </c>
      <c r="D2184">
        <v>1772</v>
      </c>
      <c r="E2184">
        <v>8.69</v>
      </c>
    </row>
    <row r="2185" spans="1:5">
      <c r="A2185" t="s">
        <v>5711</v>
      </c>
      <c r="B2185" t="s">
        <v>5712</v>
      </c>
      <c r="C2185" t="s">
        <v>5711</v>
      </c>
      <c r="D2185" t="s">
        <v>192</v>
      </c>
      <c r="E2185" t="s">
        <v>192</v>
      </c>
    </row>
    <row r="2186" spans="1:5">
      <c r="A2186" t="s">
        <v>6434</v>
      </c>
      <c r="B2186" t="s">
        <v>6435</v>
      </c>
      <c r="C2186" t="s">
        <v>6434</v>
      </c>
      <c r="D2186" t="s">
        <v>192</v>
      </c>
      <c r="E2186" t="s">
        <v>192</v>
      </c>
    </row>
    <row r="2187" spans="1:5">
      <c r="A2187" t="s">
        <v>2340</v>
      </c>
      <c r="B2187" t="s">
        <v>2338</v>
      </c>
      <c r="C2187" t="s">
        <v>2340</v>
      </c>
      <c r="D2187">
        <v>279</v>
      </c>
      <c r="E2187">
        <v>11.89</v>
      </c>
    </row>
    <row r="2188" spans="1:5">
      <c r="A2188" t="s">
        <v>2339</v>
      </c>
      <c r="B2188" t="s">
        <v>2338</v>
      </c>
      <c r="C2188" t="s">
        <v>2339</v>
      </c>
      <c r="D2188">
        <v>279</v>
      </c>
      <c r="E2188">
        <v>12.01</v>
      </c>
    </row>
    <row r="2189" spans="1:5">
      <c r="A2189" t="s">
        <v>2338</v>
      </c>
      <c r="B2189" t="s">
        <v>2338</v>
      </c>
      <c r="C2189" t="s">
        <v>2338</v>
      </c>
      <c r="D2189">
        <v>279</v>
      </c>
      <c r="E2189">
        <v>11.89</v>
      </c>
    </row>
    <row r="2190" spans="1:5">
      <c r="A2190" t="s">
        <v>5200</v>
      </c>
      <c r="B2190" t="s">
        <v>5201</v>
      </c>
      <c r="C2190" t="s">
        <v>5200</v>
      </c>
      <c r="D2190" t="s">
        <v>192</v>
      </c>
      <c r="E2190" t="s">
        <v>192</v>
      </c>
    </row>
    <row r="2191" spans="1:5">
      <c r="A2191" t="s">
        <v>3314</v>
      </c>
      <c r="B2191" t="s">
        <v>3315</v>
      </c>
      <c r="C2191" t="s">
        <v>3314</v>
      </c>
      <c r="D2191" t="s">
        <v>192</v>
      </c>
      <c r="E2191" t="s">
        <v>192</v>
      </c>
    </row>
    <row r="2192" spans="1:5">
      <c r="A2192" t="s">
        <v>5782</v>
      </c>
      <c r="B2192" t="s">
        <v>5783</v>
      </c>
      <c r="C2192" t="s">
        <v>5782</v>
      </c>
      <c r="D2192" t="s">
        <v>192</v>
      </c>
      <c r="E2192" t="s">
        <v>192</v>
      </c>
    </row>
    <row r="2193" spans="1:5">
      <c r="A2193" t="s">
        <v>7686</v>
      </c>
      <c r="B2193" t="s">
        <v>5333</v>
      </c>
      <c r="C2193" t="s">
        <v>7686</v>
      </c>
      <c r="D2193" t="s">
        <v>192</v>
      </c>
      <c r="E2193" t="s">
        <v>192</v>
      </c>
    </row>
    <row r="2194" spans="1:5">
      <c r="A2194" t="s">
        <v>5332</v>
      </c>
      <c r="B2194" t="s">
        <v>5333</v>
      </c>
      <c r="C2194" t="s">
        <v>5332</v>
      </c>
      <c r="D2194" t="s">
        <v>192</v>
      </c>
      <c r="E2194" t="s">
        <v>192</v>
      </c>
    </row>
    <row r="2195" spans="1:5">
      <c r="A2195" t="s">
        <v>964</v>
      </c>
      <c r="B2195" t="s">
        <v>2337</v>
      </c>
      <c r="C2195" t="s">
        <v>964</v>
      </c>
      <c r="D2195">
        <v>758</v>
      </c>
      <c r="E2195">
        <v>22.43</v>
      </c>
    </row>
    <row r="2196" spans="1:5">
      <c r="A2196" t="s">
        <v>2336</v>
      </c>
      <c r="B2196" t="s">
        <v>124</v>
      </c>
      <c r="C2196" t="s">
        <v>2336</v>
      </c>
      <c r="D2196">
        <v>510</v>
      </c>
      <c r="E2196">
        <v>6.69</v>
      </c>
    </row>
    <row r="2197" spans="1:5">
      <c r="A2197" t="s">
        <v>125</v>
      </c>
      <c r="B2197" t="s">
        <v>124</v>
      </c>
      <c r="C2197" t="s">
        <v>125</v>
      </c>
      <c r="D2197">
        <v>510</v>
      </c>
      <c r="E2197">
        <v>6.69</v>
      </c>
    </row>
    <row r="2198" spans="1:5">
      <c r="A2198" t="s">
        <v>2335</v>
      </c>
      <c r="B2198" t="s">
        <v>2334</v>
      </c>
      <c r="C2198" t="s">
        <v>2335</v>
      </c>
      <c r="D2198">
        <v>3306</v>
      </c>
      <c r="E2198">
        <v>11.55</v>
      </c>
    </row>
    <row r="2199" spans="1:5">
      <c r="A2199" t="s">
        <v>5696</v>
      </c>
      <c r="B2199" t="s">
        <v>5697</v>
      </c>
      <c r="C2199" t="s">
        <v>5696</v>
      </c>
      <c r="D2199" t="s">
        <v>192</v>
      </c>
      <c r="E2199" t="s">
        <v>192</v>
      </c>
    </row>
    <row r="2200" spans="1:5">
      <c r="A2200" t="s">
        <v>7687</v>
      </c>
      <c r="B2200" t="s">
        <v>1676</v>
      </c>
      <c r="C2200" t="s">
        <v>7687</v>
      </c>
      <c r="D2200">
        <v>7088</v>
      </c>
      <c r="E2200">
        <v>6.17</v>
      </c>
    </row>
    <row r="2201" spans="1:5">
      <c r="A2201" t="s">
        <v>1677</v>
      </c>
      <c r="B2201" t="s">
        <v>1676</v>
      </c>
      <c r="C2201" t="s">
        <v>1677</v>
      </c>
      <c r="D2201">
        <v>7088</v>
      </c>
      <c r="E2201">
        <v>6.17</v>
      </c>
    </row>
    <row r="2202" spans="1:5">
      <c r="A2202" t="s">
        <v>7688</v>
      </c>
      <c r="B2202" t="s">
        <v>2332</v>
      </c>
      <c r="C2202" t="s">
        <v>7688</v>
      </c>
      <c r="D2202">
        <v>2269</v>
      </c>
      <c r="E2202">
        <v>13.39</v>
      </c>
    </row>
    <row r="2203" spans="1:5">
      <c r="A2203" t="s">
        <v>2333</v>
      </c>
      <c r="B2203" t="s">
        <v>2332</v>
      </c>
      <c r="C2203" t="s">
        <v>2333</v>
      </c>
      <c r="D2203">
        <v>2269</v>
      </c>
      <c r="E2203">
        <v>13.39</v>
      </c>
    </row>
    <row r="2204" spans="1:5">
      <c r="A2204" t="s">
        <v>5874</v>
      </c>
      <c r="B2204" t="s">
        <v>5875</v>
      </c>
      <c r="C2204" t="s">
        <v>5874</v>
      </c>
      <c r="D2204" t="s">
        <v>192</v>
      </c>
      <c r="E2204" t="s">
        <v>192</v>
      </c>
    </row>
    <row r="2205" spans="1:5">
      <c r="A2205" t="s">
        <v>6248</v>
      </c>
      <c r="B2205" t="s">
        <v>6249</v>
      </c>
      <c r="C2205" t="s">
        <v>6248</v>
      </c>
      <c r="D2205" t="s">
        <v>192</v>
      </c>
      <c r="E2205" t="s">
        <v>192</v>
      </c>
    </row>
    <row r="2206" spans="1:5">
      <c r="A2206" t="s">
        <v>3222</v>
      </c>
      <c r="B2206" t="s">
        <v>3223</v>
      </c>
      <c r="C2206" t="s">
        <v>3222</v>
      </c>
      <c r="D2206" t="s">
        <v>192</v>
      </c>
      <c r="E2206" t="s">
        <v>192</v>
      </c>
    </row>
    <row r="2207" spans="1:5">
      <c r="A2207" t="s">
        <v>2331</v>
      </c>
      <c r="B2207" t="s">
        <v>58</v>
      </c>
      <c r="C2207" t="s">
        <v>2331</v>
      </c>
      <c r="D2207">
        <v>1237</v>
      </c>
      <c r="E2207">
        <v>18.75</v>
      </c>
    </row>
    <row r="2208" spans="1:5">
      <c r="A2208" t="s">
        <v>59</v>
      </c>
      <c r="B2208" t="s">
        <v>58</v>
      </c>
      <c r="C2208" t="s">
        <v>59</v>
      </c>
      <c r="D2208">
        <v>1237</v>
      </c>
      <c r="E2208">
        <v>18.75</v>
      </c>
    </row>
    <row r="2209" spans="1:5">
      <c r="A2209" t="s">
        <v>4039</v>
      </c>
      <c r="B2209" t="s">
        <v>4040</v>
      </c>
      <c r="C2209" t="s">
        <v>4039</v>
      </c>
      <c r="D2209" t="s">
        <v>192</v>
      </c>
      <c r="E2209" t="s">
        <v>192</v>
      </c>
    </row>
    <row r="2210" spans="1:5">
      <c r="A2210" t="s">
        <v>3868</v>
      </c>
      <c r="B2210" t="s">
        <v>3869</v>
      </c>
      <c r="C2210" t="s">
        <v>3868</v>
      </c>
      <c r="D2210" t="s">
        <v>192</v>
      </c>
      <c r="E2210" t="s">
        <v>192</v>
      </c>
    </row>
    <row r="2211" spans="1:5">
      <c r="A2211" t="s">
        <v>2330</v>
      </c>
      <c r="B2211" t="s">
        <v>2329</v>
      </c>
      <c r="C2211" t="s">
        <v>2330</v>
      </c>
      <c r="D2211">
        <v>745</v>
      </c>
      <c r="E2211">
        <v>8.6999999999999993</v>
      </c>
    </row>
    <row r="2212" spans="1:5">
      <c r="A2212" t="s">
        <v>7689</v>
      </c>
      <c r="B2212" t="s">
        <v>2327</v>
      </c>
      <c r="C2212" t="s">
        <v>7689</v>
      </c>
      <c r="D2212">
        <v>511</v>
      </c>
      <c r="E2212">
        <v>4.9000000000000004</v>
      </c>
    </row>
    <row r="2213" spans="1:5">
      <c r="A2213" t="s">
        <v>2328</v>
      </c>
      <c r="B2213" t="s">
        <v>2327</v>
      </c>
      <c r="C2213" t="s">
        <v>2328</v>
      </c>
      <c r="D2213">
        <v>511</v>
      </c>
      <c r="E2213">
        <v>4.9400000000000004</v>
      </c>
    </row>
    <row r="2214" spans="1:5">
      <c r="A2214" t="s">
        <v>5315</v>
      </c>
      <c r="B2214" t="s">
        <v>5316</v>
      </c>
      <c r="C2214" t="s">
        <v>5315</v>
      </c>
      <c r="D2214" t="s">
        <v>192</v>
      </c>
      <c r="E2214" t="s">
        <v>192</v>
      </c>
    </row>
    <row r="2215" spans="1:5">
      <c r="A2215" t="s">
        <v>5645</v>
      </c>
      <c r="B2215" t="s">
        <v>5646</v>
      </c>
      <c r="C2215" t="s">
        <v>5645</v>
      </c>
      <c r="D2215" t="s">
        <v>192</v>
      </c>
      <c r="E2215" t="s">
        <v>192</v>
      </c>
    </row>
    <row r="2216" spans="1:5">
      <c r="A2216" t="s">
        <v>2326</v>
      </c>
      <c r="B2216" t="s">
        <v>2325</v>
      </c>
      <c r="C2216" t="s">
        <v>2326</v>
      </c>
      <c r="D2216">
        <v>1002</v>
      </c>
      <c r="E2216">
        <v>3.05</v>
      </c>
    </row>
    <row r="2217" spans="1:5">
      <c r="A2217" t="s">
        <v>55</v>
      </c>
      <c r="B2217" t="s">
        <v>54</v>
      </c>
      <c r="C2217" t="s">
        <v>55</v>
      </c>
      <c r="D2217">
        <v>7453</v>
      </c>
      <c r="E2217">
        <v>8.3699999999999992</v>
      </c>
    </row>
    <row r="2218" spans="1:5">
      <c r="A2218" t="s">
        <v>2324</v>
      </c>
      <c r="B2218" t="s">
        <v>2323</v>
      </c>
      <c r="C2218" t="s">
        <v>2324</v>
      </c>
      <c r="D2218">
        <v>-27717</v>
      </c>
      <c r="E2218">
        <v>-0.18</v>
      </c>
    </row>
    <row r="2219" spans="1:5">
      <c r="A2219" t="s">
        <v>3872</v>
      </c>
      <c r="B2219" t="s">
        <v>3873</v>
      </c>
      <c r="C2219" t="s">
        <v>3872</v>
      </c>
      <c r="D2219" t="s">
        <v>192</v>
      </c>
      <c r="E2219" t="s">
        <v>192</v>
      </c>
    </row>
    <row r="2220" spans="1:5">
      <c r="A2220" t="s">
        <v>65</v>
      </c>
      <c r="B2220" t="s">
        <v>2322</v>
      </c>
      <c r="C2220" t="s">
        <v>65</v>
      </c>
      <c r="D2220">
        <v>9270</v>
      </c>
      <c r="E2220">
        <v>6.79</v>
      </c>
    </row>
    <row r="2221" spans="1:5">
      <c r="A2221" t="s">
        <v>6430</v>
      </c>
      <c r="B2221" t="s">
        <v>6431</v>
      </c>
      <c r="C2221" t="s">
        <v>6430</v>
      </c>
      <c r="D2221" t="s">
        <v>192</v>
      </c>
      <c r="E2221" t="s">
        <v>192</v>
      </c>
    </row>
    <row r="2222" spans="1:5">
      <c r="A2222" t="s">
        <v>67</v>
      </c>
      <c r="B2222" t="s">
        <v>66</v>
      </c>
      <c r="C2222" t="s">
        <v>67</v>
      </c>
      <c r="D2222">
        <v>8381</v>
      </c>
      <c r="E2222">
        <v>8.5</v>
      </c>
    </row>
    <row r="2223" spans="1:5">
      <c r="A2223" t="s">
        <v>83</v>
      </c>
      <c r="B2223" t="s">
        <v>82</v>
      </c>
      <c r="C2223" t="s">
        <v>83</v>
      </c>
      <c r="D2223">
        <v>1826</v>
      </c>
      <c r="E2223">
        <v>6.79</v>
      </c>
    </row>
    <row r="2224" spans="1:5">
      <c r="A2224" t="s">
        <v>968</v>
      </c>
      <c r="B2224" t="s">
        <v>2321</v>
      </c>
      <c r="C2224" t="s">
        <v>968</v>
      </c>
      <c r="D2224">
        <v>135</v>
      </c>
      <c r="E2224">
        <v>39.630000000000003</v>
      </c>
    </row>
    <row r="2225" spans="1:5">
      <c r="A2225" t="s">
        <v>2320</v>
      </c>
      <c r="B2225" t="s">
        <v>76</v>
      </c>
      <c r="C2225" t="s">
        <v>2320</v>
      </c>
      <c r="D2225">
        <v>2886</v>
      </c>
      <c r="E2225">
        <v>5.53</v>
      </c>
    </row>
    <row r="2226" spans="1:5">
      <c r="A2226" t="s">
        <v>77</v>
      </c>
      <c r="B2226" t="s">
        <v>76</v>
      </c>
      <c r="C2226" t="s">
        <v>77</v>
      </c>
      <c r="D2226">
        <v>2886</v>
      </c>
      <c r="E2226">
        <v>5.53</v>
      </c>
    </row>
    <row r="2227" spans="1:5">
      <c r="A2227" t="s">
        <v>63</v>
      </c>
      <c r="B2227" t="s">
        <v>62</v>
      </c>
      <c r="C2227" t="s">
        <v>63</v>
      </c>
      <c r="D2227">
        <v>7536</v>
      </c>
      <c r="E2227">
        <v>5.86</v>
      </c>
    </row>
    <row r="2228" spans="1:5">
      <c r="A2228" t="s">
        <v>2319</v>
      </c>
      <c r="B2228" t="s">
        <v>2318</v>
      </c>
      <c r="C2228" t="s">
        <v>2319</v>
      </c>
      <c r="D2228">
        <v>359</v>
      </c>
      <c r="E2228">
        <v>8.69</v>
      </c>
    </row>
    <row r="2229" spans="1:5">
      <c r="A2229" t="s">
        <v>2317</v>
      </c>
      <c r="B2229" t="s">
        <v>2316</v>
      </c>
      <c r="C2229" t="s">
        <v>2317</v>
      </c>
      <c r="D2229">
        <v>-584</v>
      </c>
      <c r="E2229">
        <v>-11.7</v>
      </c>
    </row>
    <row r="2230" spans="1:5">
      <c r="A2230" t="s">
        <v>2315</v>
      </c>
      <c r="B2230" t="s">
        <v>1678</v>
      </c>
      <c r="C2230" t="s">
        <v>2315</v>
      </c>
      <c r="D2230">
        <v>2598</v>
      </c>
      <c r="E2230">
        <v>10.66</v>
      </c>
    </row>
    <row r="2231" spans="1:5">
      <c r="A2231" t="s">
        <v>1679</v>
      </c>
      <c r="B2231" t="s">
        <v>1678</v>
      </c>
      <c r="C2231" t="s">
        <v>1679</v>
      </c>
      <c r="D2231">
        <v>2598</v>
      </c>
      <c r="E2231">
        <v>10.66</v>
      </c>
    </row>
    <row r="2232" spans="1:5">
      <c r="A2232" t="s">
        <v>932</v>
      </c>
      <c r="B2232" t="s">
        <v>2314</v>
      </c>
      <c r="C2232" t="s">
        <v>932</v>
      </c>
      <c r="D2232">
        <v>19675</v>
      </c>
      <c r="E2232">
        <v>10.47</v>
      </c>
    </row>
    <row r="2233" spans="1:5">
      <c r="A2233" t="s">
        <v>73</v>
      </c>
      <c r="B2233" t="s">
        <v>72</v>
      </c>
      <c r="C2233" t="s">
        <v>73</v>
      </c>
      <c r="D2233">
        <v>1082</v>
      </c>
      <c r="E2233">
        <v>7.71</v>
      </c>
    </row>
    <row r="2234" spans="1:5">
      <c r="A2234" t="s">
        <v>2313</v>
      </c>
      <c r="B2234" t="s">
        <v>2312</v>
      </c>
      <c r="C2234" t="s">
        <v>2313</v>
      </c>
      <c r="D2234">
        <v>2111</v>
      </c>
      <c r="E2234">
        <v>8.43</v>
      </c>
    </row>
    <row r="2235" spans="1:5">
      <c r="A2235" t="s">
        <v>57</v>
      </c>
      <c r="B2235" t="s">
        <v>56</v>
      </c>
      <c r="C2235" t="s">
        <v>57</v>
      </c>
      <c r="D2235">
        <v>28162</v>
      </c>
      <c r="E2235">
        <v>6.59</v>
      </c>
    </row>
    <row r="2236" spans="1:5">
      <c r="A2236" t="s">
        <v>2311</v>
      </c>
      <c r="B2236" t="s">
        <v>2310</v>
      </c>
      <c r="C2236" t="s">
        <v>2311</v>
      </c>
      <c r="D2236">
        <v>2767</v>
      </c>
      <c r="E2236">
        <v>8.74</v>
      </c>
    </row>
    <row r="2237" spans="1:5">
      <c r="A2237" t="s">
        <v>956</v>
      </c>
      <c r="B2237" t="s">
        <v>2310</v>
      </c>
      <c r="C2237" t="s">
        <v>956</v>
      </c>
      <c r="D2237">
        <v>2767</v>
      </c>
      <c r="E2237">
        <v>8.74</v>
      </c>
    </row>
    <row r="2238" spans="1:5">
      <c r="A2238" t="s">
        <v>51</v>
      </c>
      <c r="B2238" t="s">
        <v>50</v>
      </c>
      <c r="C2238" t="s">
        <v>51</v>
      </c>
      <c r="D2238">
        <v>2064</v>
      </c>
      <c r="E2238">
        <v>7.65</v>
      </c>
    </row>
    <row r="2239" spans="1:5">
      <c r="A2239" t="s">
        <v>31</v>
      </c>
      <c r="B2239" t="s">
        <v>30</v>
      </c>
      <c r="C2239" t="s">
        <v>31</v>
      </c>
      <c r="D2239">
        <v>2904</v>
      </c>
      <c r="E2239">
        <v>6.62</v>
      </c>
    </row>
    <row r="2240" spans="1:5">
      <c r="A2240" t="s">
        <v>39</v>
      </c>
      <c r="B2240" t="s">
        <v>2309</v>
      </c>
      <c r="C2240" t="s">
        <v>39</v>
      </c>
      <c r="D2240">
        <v>1848</v>
      </c>
      <c r="E2240">
        <v>7.68</v>
      </c>
    </row>
    <row r="2241" spans="1:5">
      <c r="A2241" t="s">
        <v>5450</v>
      </c>
      <c r="B2241" t="s">
        <v>5451</v>
      </c>
      <c r="C2241" t="s">
        <v>5450</v>
      </c>
      <c r="D2241" t="s">
        <v>192</v>
      </c>
      <c r="E2241" t="s">
        <v>192</v>
      </c>
    </row>
    <row r="2242" spans="1:5">
      <c r="A2242" t="s">
        <v>2308</v>
      </c>
      <c r="B2242" t="s">
        <v>2306</v>
      </c>
      <c r="C2242" t="s">
        <v>2308</v>
      </c>
      <c r="D2242">
        <v>1176</v>
      </c>
      <c r="E2242">
        <v>4.54</v>
      </c>
    </row>
    <row r="2243" spans="1:5">
      <c r="A2243" t="s">
        <v>2307</v>
      </c>
      <c r="B2243" t="s">
        <v>2306</v>
      </c>
      <c r="C2243" t="s">
        <v>2307</v>
      </c>
      <c r="D2243">
        <v>1176</v>
      </c>
      <c r="E2243">
        <v>4.54</v>
      </c>
    </row>
    <row r="2244" spans="1:5">
      <c r="A2244" t="s">
        <v>929</v>
      </c>
      <c r="B2244" t="s">
        <v>2305</v>
      </c>
      <c r="C2244" t="s">
        <v>929</v>
      </c>
      <c r="D2244">
        <v>-1083</v>
      </c>
      <c r="E2244">
        <v>-16.510000000000002</v>
      </c>
    </row>
    <row r="2245" spans="1:5">
      <c r="A2245" t="s">
        <v>2304</v>
      </c>
      <c r="B2245" t="s">
        <v>2303</v>
      </c>
      <c r="C2245" t="s">
        <v>2304</v>
      </c>
      <c r="D2245">
        <v>2515</v>
      </c>
      <c r="E2245">
        <v>15.32</v>
      </c>
    </row>
    <row r="2246" spans="1:5">
      <c r="A2246" t="s">
        <v>951</v>
      </c>
      <c r="B2246" t="s">
        <v>2303</v>
      </c>
      <c r="C2246" t="s">
        <v>951</v>
      </c>
      <c r="D2246">
        <v>2515</v>
      </c>
      <c r="E2246">
        <v>15.32</v>
      </c>
    </row>
    <row r="2247" spans="1:5">
      <c r="A2247" t="s">
        <v>3334</v>
      </c>
      <c r="B2247" t="s">
        <v>2301</v>
      </c>
      <c r="C2247" t="s">
        <v>3334</v>
      </c>
      <c r="D2247">
        <v>-308</v>
      </c>
      <c r="E2247">
        <v>-92.21</v>
      </c>
    </row>
    <row r="2248" spans="1:5">
      <c r="A2248" t="s">
        <v>2302</v>
      </c>
      <c r="B2248" t="s">
        <v>2301</v>
      </c>
      <c r="C2248" t="s">
        <v>2302</v>
      </c>
      <c r="D2248">
        <v>-308</v>
      </c>
      <c r="E2248">
        <v>-92.21</v>
      </c>
    </row>
    <row r="2249" spans="1:5">
      <c r="A2249" t="s">
        <v>2300</v>
      </c>
      <c r="B2249" t="s">
        <v>40</v>
      </c>
      <c r="C2249" t="s">
        <v>2300</v>
      </c>
      <c r="D2249">
        <v>16048</v>
      </c>
      <c r="E2249">
        <v>6.54</v>
      </c>
    </row>
    <row r="2250" spans="1:5">
      <c r="A2250" t="s">
        <v>41</v>
      </c>
      <c r="B2250" t="s">
        <v>40</v>
      </c>
      <c r="C2250" t="s">
        <v>41</v>
      </c>
      <c r="D2250">
        <v>16048</v>
      </c>
      <c r="E2250">
        <v>6.54</v>
      </c>
    </row>
    <row r="2251" spans="1:5">
      <c r="A2251" t="s">
        <v>219</v>
      </c>
      <c r="B2251" t="s">
        <v>218</v>
      </c>
      <c r="C2251" t="s">
        <v>219</v>
      </c>
      <c r="D2251">
        <v>-69</v>
      </c>
      <c r="E2251">
        <v>-64.930000000000007</v>
      </c>
    </row>
    <row r="2252" spans="1:5">
      <c r="A2252" t="s">
        <v>2299</v>
      </c>
      <c r="B2252" t="s">
        <v>2298</v>
      </c>
      <c r="C2252" t="s">
        <v>2299</v>
      </c>
      <c r="D2252">
        <v>291</v>
      </c>
      <c r="E2252">
        <v>38.65</v>
      </c>
    </row>
    <row r="2253" spans="1:5">
      <c r="A2253" t="s">
        <v>45</v>
      </c>
      <c r="B2253" t="s">
        <v>44</v>
      </c>
      <c r="C2253" t="s">
        <v>45</v>
      </c>
      <c r="D2253">
        <v>762</v>
      </c>
      <c r="E2253">
        <v>6.6</v>
      </c>
    </row>
    <row r="2254" spans="1:5">
      <c r="A2254" t="s">
        <v>2297</v>
      </c>
      <c r="B2254" t="s">
        <v>32</v>
      </c>
      <c r="C2254" t="s">
        <v>2297</v>
      </c>
      <c r="D2254">
        <v>1631</v>
      </c>
      <c r="E2254">
        <v>7.66</v>
      </c>
    </row>
    <row r="2255" spans="1:5">
      <c r="A2255" t="s">
        <v>33</v>
      </c>
      <c r="B2255" t="s">
        <v>32</v>
      </c>
      <c r="C2255" t="s">
        <v>33</v>
      </c>
      <c r="D2255">
        <v>1631</v>
      </c>
      <c r="E2255">
        <v>7.66</v>
      </c>
    </row>
    <row r="2256" spans="1:5">
      <c r="A2256" t="s">
        <v>2296</v>
      </c>
      <c r="B2256" t="s">
        <v>78</v>
      </c>
      <c r="C2256" t="s">
        <v>2296</v>
      </c>
      <c r="D2256">
        <v>1272</v>
      </c>
      <c r="E2256">
        <v>5.74</v>
      </c>
    </row>
    <row r="2257" spans="1:5">
      <c r="A2257" t="s">
        <v>79</v>
      </c>
      <c r="B2257" t="s">
        <v>78</v>
      </c>
      <c r="C2257" t="s">
        <v>79</v>
      </c>
      <c r="D2257">
        <v>1272</v>
      </c>
      <c r="E2257">
        <v>5.74</v>
      </c>
    </row>
    <row r="2258" spans="1:5">
      <c r="A2258" t="s">
        <v>2295</v>
      </c>
      <c r="B2258" t="s">
        <v>74</v>
      </c>
      <c r="C2258" t="s">
        <v>2295</v>
      </c>
      <c r="D2258">
        <v>1986</v>
      </c>
      <c r="E2258">
        <v>6.93</v>
      </c>
    </row>
    <row r="2259" spans="1:5">
      <c r="A2259" t="s">
        <v>75</v>
      </c>
      <c r="B2259" t="s">
        <v>74</v>
      </c>
      <c r="C2259" t="s">
        <v>75</v>
      </c>
      <c r="D2259">
        <v>1986</v>
      </c>
      <c r="E2259">
        <v>6.93</v>
      </c>
    </row>
    <row r="2260" spans="1:5">
      <c r="A2260" t="s">
        <v>6243</v>
      </c>
      <c r="B2260" t="s">
        <v>6244</v>
      </c>
      <c r="C2260" t="s">
        <v>6243</v>
      </c>
      <c r="D2260" t="s">
        <v>192</v>
      </c>
      <c r="E2260" t="s">
        <v>192</v>
      </c>
    </row>
    <row r="2261" spans="1:5">
      <c r="A2261" t="s">
        <v>5883</v>
      </c>
      <c r="B2261" t="s">
        <v>5884</v>
      </c>
      <c r="C2261" t="s">
        <v>5883</v>
      </c>
      <c r="D2261" t="s">
        <v>192</v>
      </c>
      <c r="E2261" t="s">
        <v>192</v>
      </c>
    </row>
    <row r="2262" spans="1:5">
      <c r="A2262" t="s">
        <v>6421</v>
      </c>
      <c r="B2262" t="s">
        <v>5219</v>
      </c>
      <c r="C2262" t="s">
        <v>6421</v>
      </c>
      <c r="D2262" t="s">
        <v>192</v>
      </c>
      <c r="E2262" t="s">
        <v>192</v>
      </c>
    </row>
    <row r="2263" spans="1:5">
      <c r="A2263" t="s">
        <v>5218</v>
      </c>
      <c r="B2263" t="s">
        <v>5219</v>
      </c>
      <c r="C2263" t="s">
        <v>5218</v>
      </c>
      <c r="D2263" t="s">
        <v>192</v>
      </c>
      <c r="E2263" t="s">
        <v>192</v>
      </c>
    </row>
    <row r="2264" spans="1:5">
      <c r="A2264" t="s">
        <v>7690</v>
      </c>
      <c r="B2264" t="s">
        <v>2293</v>
      </c>
      <c r="C2264" t="s">
        <v>7690</v>
      </c>
      <c r="D2264">
        <v>789</v>
      </c>
      <c r="E2264">
        <v>15.74</v>
      </c>
    </row>
    <row r="2265" spans="1:5">
      <c r="A2265" t="s">
        <v>2294</v>
      </c>
      <c r="B2265" t="s">
        <v>2293</v>
      </c>
      <c r="C2265" t="s">
        <v>2294</v>
      </c>
      <c r="D2265">
        <v>789</v>
      </c>
      <c r="E2265">
        <v>15.74</v>
      </c>
    </row>
    <row r="2266" spans="1:5">
      <c r="A2266" t="s">
        <v>3399</v>
      </c>
      <c r="B2266" t="s">
        <v>3400</v>
      </c>
      <c r="C2266" t="s">
        <v>3399</v>
      </c>
      <c r="D2266" t="s">
        <v>192</v>
      </c>
      <c r="E2266" t="s">
        <v>192</v>
      </c>
    </row>
    <row r="2267" spans="1:5">
      <c r="A2267" t="s">
        <v>5754</v>
      </c>
      <c r="B2267" t="s">
        <v>5755</v>
      </c>
      <c r="C2267" t="s">
        <v>5754</v>
      </c>
      <c r="D2267" t="s">
        <v>192</v>
      </c>
      <c r="E2267" t="s">
        <v>192</v>
      </c>
    </row>
    <row r="2268" spans="1:5">
      <c r="A2268" t="s">
        <v>2292</v>
      </c>
      <c r="B2268" t="s">
        <v>2291</v>
      </c>
      <c r="C2268" t="s">
        <v>2292</v>
      </c>
      <c r="D2268">
        <v>4669</v>
      </c>
      <c r="E2268">
        <v>6.05</v>
      </c>
    </row>
    <row r="2269" spans="1:5">
      <c r="A2269" t="s">
        <v>6206</v>
      </c>
      <c r="B2269" t="s">
        <v>6207</v>
      </c>
      <c r="C2269" t="s">
        <v>6206</v>
      </c>
      <c r="D2269" t="s">
        <v>192</v>
      </c>
      <c r="E2269" t="s">
        <v>192</v>
      </c>
    </row>
    <row r="2270" spans="1:5">
      <c r="A2270" t="s">
        <v>6394</v>
      </c>
      <c r="B2270" t="s">
        <v>5739</v>
      </c>
      <c r="C2270" t="s">
        <v>6394</v>
      </c>
      <c r="D2270" t="s">
        <v>192</v>
      </c>
      <c r="E2270" t="s">
        <v>192</v>
      </c>
    </row>
    <row r="2271" spans="1:5">
      <c r="A2271" t="s">
        <v>7691</v>
      </c>
      <c r="B2271" t="s">
        <v>5739</v>
      </c>
      <c r="C2271" t="s">
        <v>7691</v>
      </c>
      <c r="D2271" t="s">
        <v>192</v>
      </c>
      <c r="E2271" t="s">
        <v>192</v>
      </c>
    </row>
    <row r="2272" spans="1:5">
      <c r="A2272" t="s">
        <v>5738</v>
      </c>
      <c r="B2272" t="s">
        <v>5739</v>
      </c>
      <c r="C2272" t="s">
        <v>5738</v>
      </c>
      <c r="D2272" t="s">
        <v>192</v>
      </c>
      <c r="E2272" t="s">
        <v>192</v>
      </c>
    </row>
    <row r="2273" spans="1:5">
      <c r="A2273" t="s">
        <v>2290</v>
      </c>
      <c r="B2273" t="s">
        <v>2289</v>
      </c>
      <c r="C2273" t="s">
        <v>2290</v>
      </c>
      <c r="D2273">
        <v>2431</v>
      </c>
      <c r="E2273">
        <v>6.29</v>
      </c>
    </row>
    <row r="2274" spans="1:5">
      <c r="A2274" t="s">
        <v>37</v>
      </c>
      <c r="B2274" t="s">
        <v>2289</v>
      </c>
      <c r="C2274" t="s">
        <v>37</v>
      </c>
      <c r="D2274">
        <v>2431</v>
      </c>
      <c r="E2274">
        <v>6.29</v>
      </c>
    </row>
    <row r="2275" spans="1:5">
      <c r="A2275" t="s">
        <v>2288</v>
      </c>
      <c r="B2275" t="s">
        <v>2287</v>
      </c>
      <c r="C2275" t="s">
        <v>2288</v>
      </c>
      <c r="D2275">
        <v>523</v>
      </c>
      <c r="E2275">
        <v>19.22</v>
      </c>
    </row>
    <row r="2276" spans="1:5">
      <c r="A2276" t="s">
        <v>35</v>
      </c>
      <c r="B2276" t="s">
        <v>34</v>
      </c>
      <c r="C2276" t="s">
        <v>35</v>
      </c>
      <c r="D2276">
        <v>861</v>
      </c>
      <c r="E2276">
        <v>7.32</v>
      </c>
    </row>
    <row r="2277" spans="1:5">
      <c r="A2277" t="s">
        <v>961</v>
      </c>
      <c r="B2277" t="s">
        <v>2286</v>
      </c>
      <c r="C2277" t="s">
        <v>961</v>
      </c>
      <c r="D2277">
        <v>615</v>
      </c>
      <c r="E2277">
        <v>13.27</v>
      </c>
    </row>
    <row r="2278" spans="1:5">
      <c r="A2278" t="s">
        <v>81</v>
      </c>
      <c r="B2278" t="s">
        <v>80</v>
      </c>
      <c r="C2278" t="s">
        <v>81</v>
      </c>
      <c r="D2278">
        <v>7528</v>
      </c>
      <c r="E2278">
        <v>6.2</v>
      </c>
    </row>
    <row r="2279" spans="1:5">
      <c r="A2279" t="s">
        <v>47</v>
      </c>
      <c r="B2279" t="s">
        <v>46</v>
      </c>
      <c r="C2279" t="s">
        <v>47</v>
      </c>
      <c r="D2279">
        <v>32610</v>
      </c>
      <c r="E2279">
        <v>6.77</v>
      </c>
    </row>
    <row r="2280" spans="1:5">
      <c r="A2280" t="s">
        <v>2285</v>
      </c>
      <c r="B2280" t="s">
        <v>68</v>
      </c>
      <c r="C2280" t="s">
        <v>2285</v>
      </c>
      <c r="D2280">
        <v>9860</v>
      </c>
      <c r="E2280">
        <v>6.78</v>
      </c>
    </row>
    <row r="2281" spans="1:5">
      <c r="A2281" t="s">
        <v>69</v>
      </c>
      <c r="B2281" t="s">
        <v>68</v>
      </c>
      <c r="C2281" t="s">
        <v>69</v>
      </c>
      <c r="D2281">
        <v>9860</v>
      </c>
      <c r="E2281">
        <v>6.78</v>
      </c>
    </row>
    <row r="2282" spans="1:5">
      <c r="A2282" t="s">
        <v>93</v>
      </c>
      <c r="B2282" t="s">
        <v>92</v>
      </c>
      <c r="C2282" t="s">
        <v>93</v>
      </c>
      <c r="D2282">
        <v>840</v>
      </c>
      <c r="E2282">
        <v>7.57</v>
      </c>
    </row>
    <row r="2283" spans="1:5">
      <c r="A2283" t="s">
        <v>53</v>
      </c>
      <c r="B2283" t="s">
        <v>52</v>
      </c>
      <c r="C2283" t="s">
        <v>53</v>
      </c>
      <c r="D2283">
        <v>1315</v>
      </c>
      <c r="E2283">
        <v>9.9600000000000009</v>
      </c>
    </row>
    <row r="2284" spans="1:5">
      <c r="A2284" t="s">
        <v>4828</v>
      </c>
      <c r="B2284" t="s">
        <v>200</v>
      </c>
      <c r="C2284" t="s">
        <v>4828</v>
      </c>
      <c r="D2284">
        <v>1197</v>
      </c>
      <c r="E2284">
        <v>4.9000000000000004</v>
      </c>
    </row>
    <row r="2285" spans="1:5">
      <c r="A2285" t="s">
        <v>5634</v>
      </c>
      <c r="B2285" t="s">
        <v>5635</v>
      </c>
      <c r="C2285" t="s">
        <v>5634</v>
      </c>
      <c r="D2285" t="s">
        <v>192</v>
      </c>
      <c r="E2285" t="s">
        <v>192</v>
      </c>
    </row>
    <row r="2286" spans="1:5">
      <c r="A2286" t="s">
        <v>3281</v>
      </c>
      <c r="B2286" t="s">
        <v>3282</v>
      </c>
      <c r="C2286" t="s">
        <v>3281</v>
      </c>
      <c r="D2286" t="s">
        <v>192</v>
      </c>
      <c r="E2286" t="s">
        <v>192</v>
      </c>
    </row>
    <row r="2287" spans="1:5">
      <c r="A2287" t="s">
        <v>201</v>
      </c>
      <c r="B2287" t="s">
        <v>200</v>
      </c>
      <c r="C2287" t="s">
        <v>201</v>
      </c>
      <c r="D2287">
        <v>1197</v>
      </c>
      <c r="E2287">
        <v>4.9000000000000004</v>
      </c>
    </row>
    <row r="2288" spans="1:5">
      <c r="A2288" t="s">
        <v>6350</v>
      </c>
      <c r="B2288" t="s">
        <v>6351</v>
      </c>
      <c r="C2288" t="s">
        <v>6350</v>
      </c>
      <c r="D2288" t="s">
        <v>192</v>
      </c>
      <c r="E2288" t="s">
        <v>192</v>
      </c>
    </row>
    <row r="2289" spans="1:5">
      <c r="A2289" t="s">
        <v>7692</v>
      </c>
      <c r="B2289" t="s">
        <v>5705</v>
      </c>
      <c r="C2289" t="s">
        <v>7692</v>
      </c>
      <c r="D2289" t="s">
        <v>192</v>
      </c>
      <c r="E2289" t="s">
        <v>192</v>
      </c>
    </row>
    <row r="2290" spans="1:5">
      <c r="A2290" t="s">
        <v>5704</v>
      </c>
      <c r="B2290" t="s">
        <v>5705</v>
      </c>
      <c r="C2290" t="s">
        <v>5704</v>
      </c>
      <c r="D2290" t="s">
        <v>192</v>
      </c>
      <c r="E2290" t="s">
        <v>192</v>
      </c>
    </row>
    <row r="2291" spans="1:5">
      <c r="A2291" t="s">
        <v>5730</v>
      </c>
      <c r="B2291" t="s">
        <v>5731</v>
      </c>
      <c r="C2291" t="s">
        <v>5730</v>
      </c>
      <c r="D2291" t="s">
        <v>192</v>
      </c>
      <c r="E2291" t="s">
        <v>192</v>
      </c>
    </row>
    <row r="2292" spans="1:5">
      <c r="A2292" t="s">
        <v>43</v>
      </c>
      <c r="B2292" t="s">
        <v>2284</v>
      </c>
      <c r="C2292" t="s">
        <v>43</v>
      </c>
      <c r="D2292">
        <v>29594</v>
      </c>
      <c r="E2292">
        <v>6.08</v>
      </c>
    </row>
    <row r="2293" spans="1:5">
      <c r="A2293" t="s">
        <v>28</v>
      </c>
      <c r="B2293" t="s">
        <v>27</v>
      </c>
      <c r="C2293" t="s">
        <v>28</v>
      </c>
      <c r="D2293">
        <v>9889</v>
      </c>
      <c r="E2293">
        <v>6.35</v>
      </c>
    </row>
    <row r="2294" spans="1:5">
      <c r="A2294" t="s">
        <v>2283</v>
      </c>
      <c r="B2294" t="s">
        <v>84</v>
      </c>
      <c r="C2294" t="s">
        <v>2283</v>
      </c>
      <c r="D2294">
        <v>9818</v>
      </c>
      <c r="E2294">
        <v>9.34</v>
      </c>
    </row>
    <row r="2295" spans="1:5">
      <c r="A2295" t="s">
        <v>85</v>
      </c>
      <c r="B2295" t="s">
        <v>84</v>
      </c>
      <c r="C2295" t="s">
        <v>85</v>
      </c>
      <c r="D2295">
        <v>9818</v>
      </c>
      <c r="E2295">
        <v>9.34</v>
      </c>
    </row>
    <row r="2296" spans="1:5">
      <c r="A2296" t="s">
        <v>61</v>
      </c>
      <c r="B2296" t="s">
        <v>60</v>
      </c>
      <c r="C2296" t="s">
        <v>61</v>
      </c>
      <c r="D2296">
        <v>8218</v>
      </c>
      <c r="E2296">
        <v>7.55</v>
      </c>
    </row>
    <row r="2297" spans="1:5">
      <c r="A2297" t="s">
        <v>2282</v>
      </c>
      <c r="B2297" t="s">
        <v>2281</v>
      </c>
      <c r="C2297" t="s">
        <v>2282</v>
      </c>
      <c r="D2297">
        <v>-1212</v>
      </c>
      <c r="E2297">
        <v>-31.68</v>
      </c>
    </row>
    <row r="2298" spans="1:5">
      <c r="A2298" t="s">
        <v>7693</v>
      </c>
      <c r="B2298" t="s">
        <v>6383</v>
      </c>
      <c r="C2298" t="s">
        <v>7693</v>
      </c>
      <c r="D2298" t="s">
        <v>192</v>
      </c>
      <c r="E2298" t="s">
        <v>192</v>
      </c>
    </row>
    <row r="2299" spans="1:5">
      <c r="A2299" t="s">
        <v>6382</v>
      </c>
      <c r="B2299" t="s">
        <v>6383</v>
      </c>
      <c r="C2299" t="s">
        <v>6382</v>
      </c>
      <c r="D2299" t="s">
        <v>192</v>
      </c>
      <c r="E2299" t="s">
        <v>192</v>
      </c>
    </row>
    <row r="2300" spans="1:5">
      <c r="A2300" t="s">
        <v>5525</v>
      </c>
      <c r="B2300" t="s">
        <v>5526</v>
      </c>
      <c r="C2300" t="s">
        <v>5525</v>
      </c>
      <c r="D2300" t="s">
        <v>192</v>
      </c>
      <c r="E2300" t="s">
        <v>192</v>
      </c>
    </row>
    <row r="2301" spans="1:5">
      <c r="A2301" t="s">
        <v>2280</v>
      </c>
      <c r="B2301" t="s">
        <v>2279</v>
      </c>
      <c r="C2301" t="s">
        <v>2280</v>
      </c>
      <c r="D2301">
        <v>5878</v>
      </c>
      <c r="E2301">
        <v>6.97</v>
      </c>
    </row>
    <row r="2302" spans="1:5">
      <c r="A2302" t="s">
        <v>2278</v>
      </c>
      <c r="B2302" t="s">
        <v>2276</v>
      </c>
      <c r="C2302" t="s">
        <v>2278</v>
      </c>
      <c r="D2302">
        <v>388</v>
      </c>
      <c r="E2302">
        <v>12.78</v>
      </c>
    </row>
    <row r="2303" spans="1:5">
      <c r="A2303" t="s">
        <v>2277</v>
      </c>
      <c r="B2303" t="s">
        <v>2276</v>
      </c>
      <c r="C2303" t="s">
        <v>2277</v>
      </c>
      <c r="D2303">
        <v>388</v>
      </c>
      <c r="E2303">
        <v>12.78</v>
      </c>
    </row>
    <row r="2304" spans="1:5">
      <c r="A2304" t="s">
        <v>2275</v>
      </c>
      <c r="B2304" t="s">
        <v>2274</v>
      </c>
      <c r="C2304" t="s">
        <v>2275</v>
      </c>
      <c r="D2304">
        <v>-1</v>
      </c>
      <c r="E2304">
        <v>-1518</v>
      </c>
    </row>
    <row r="2305" spans="1:5">
      <c r="A2305" t="s">
        <v>2273</v>
      </c>
      <c r="B2305" t="s">
        <v>2271</v>
      </c>
      <c r="C2305" t="s">
        <v>2273</v>
      </c>
      <c r="D2305">
        <v>135</v>
      </c>
      <c r="E2305">
        <v>8.2100000000000009</v>
      </c>
    </row>
    <row r="2306" spans="1:5">
      <c r="A2306" t="s">
        <v>2272</v>
      </c>
      <c r="B2306" t="s">
        <v>2271</v>
      </c>
      <c r="C2306" t="s">
        <v>2272</v>
      </c>
      <c r="D2306">
        <v>135</v>
      </c>
      <c r="E2306">
        <v>8.2100000000000009</v>
      </c>
    </row>
    <row r="2307" spans="1:5">
      <c r="A2307" t="s">
        <v>2270</v>
      </c>
      <c r="B2307" t="s">
        <v>214</v>
      </c>
      <c r="C2307" t="s">
        <v>2270</v>
      </c>
      <c r="D2307">
        <v>11273</v>
      </c>
      <c r="E2307">
        <v>7.75</v>
      </c>
    </row>
    <row r="2308" spans="1:5">
      <c r="A2308" t="s">
        <v>215</v>
      </c>
      <c r="B2308" t="s">
        <v>214</v>
      </c>
      <c r="C2308" t="s">
        <v>215</v>
      </c>
      <c r="D2308">
        <v>11273</v>
      </c>
      <c r="E2308">
        <v>7.75</v>
      </c>
    </row>
    <row r="2309" spans="1:5">
      <c r="A2309" t="s">
        <v>3272</v>
      </c>
      <c r="B2309" t="s">
        <v>3273</v>
      </c>
      <c r="C2309" t="s">
        <v>3272</v>
      </c>
      <c r="D2309" t="s">
        <v>192</v>
      </c>
      <c r="E2309" t="s">
        <v>192</v>
      </c>
    </row>
    <row r="2310" spans="1:5">
      <c r="A2310" t="s">
        <v>7694</v>
      </c>
      <c r="B2310" t="s">
        <v>3186</v>
      </c>
      <c r="C2310" t="s">
        <v>7694</v>
      </c>
      <c r="D2310" t="s">
        <v>192</v>
      </c>
      <c r="E2310" t="s">
        <v>192</v>
      </c>
    </row>
    <row r="2311" spans="1:5">
      <c r="A2311" t="s">
        <v>3185</v>
      </c>
      <c r="B2311" t="s">
        <v>3186</v>
      </c>
      <c r="C2311" t="s">
        <v>3185</v>
      </c>
      <c r="D2311" t="s">
        <v>192</v>
      </c>
      <c r="E2311" t="s">
        <v>192</v>
      </c>
    </row>
    <row r="2312" spans="1:5">
      <c r="A2312" t="s">
        <v>3965</v>
      </c>
      <c r="B2312" t="s">
        <v>3186</v>
      </c>
      <c r="C2312" t="s">
        <v>3965</v>
      </c>
      <c r="D2312" t="s">
        <v>192</v>
      </c>
      <c r="E2312" t="s">
        <v>192</v>
      </c>
    </row>
    <row r="2313" spans="1:5">
      <c r="A2313" t="s">
        <v>5047</v>
      </c>
      <c r="B2313" t="s">
        <v>3273</v>
      </c>
      <c r="C2313" t="s">
        <v>5047</v>
      </c>
      <c r="D2313" t="s">
        <v>192</v>
      </c>
      <c r="E2313" t="s">
        <v>192</v>
      </c>
    </row>
    <row r="2314" spans="1:5">
      <c r="A2314" t="s">
        <v>2269</v>
      </c>
      <c r="B2314" t="s">
        <v>2267</v>
      </c>
      <c r="C2314" t="s">
        <v>2269</v>
      </c>
      <c r="D2314">
        <v>-1847</v>
      </c>
      <c r="E2314">
        <v>-5.94</v>
      </c>
    </row>
    <row r="2315" spans="1:5">
      <c r="A2315" t="s">
        <v>2268</v>
      </c>
      <c r="B2315" t="s">
        <v>2267</v>
      </c>
      <c r="C2315" t="s">
        <v>2268</v>
      </c>
      <c r="D2315">
        <v>-1847</v>
      </c>
      <c r="E2315">
        <v>-5.94</v>
      </c>
    </row>
    <row r="2316" spans="1:5">
      <c r="A2316" t="s">
        <v>2266</v>
      </c>
      <c r="B2316" t="s">
        <v>2265</v>
      </c>
      <c r="C2316" t="s">
        <v>2266</v>
      </c>
      <c r="D2316">
        <v>938</v>
      </c>
      <c r="E2316">
        <v>9.52</v>
      </c>
    </row>
    <row r="2317" spans="1:5">
      <c r="A2317" t="s">
        <v>7695</v>
      </c>
      <c r="B2317" t="s">
        <v>2263</v>
      </c>
      <c r="C2317" t="s">
        <v>7695</v>
      </c>
      <c r="D2317">
        <v>5967</v>
      </c>
      <c r="E2317">
        <v>8.8800000000000008</v>
      </c>
    </row>
    <row r="2318" spans="1:5">
      <c r="A2318" t="s">
        <v>2264</v>
      </c>
      <c r="B2318" t="s">
        <v>2263</v>
      </c>
      <c r="C2318" t="s">
        <v>2264</v>
      </c>
      <c r="D2318">
        <v>5967</v>
      </c>
      <c r="E2318">
        <v>8.8800000000000008</v>
      </c>
    </row>
    <row r="2319" spans="1:5">
      <c r="A2319" t="s">
        <v>2262</v>
      </c>
      <c r="B2319" t="s">
        <v>2261</v>
      </c>
      <c r="C2319" t="s">
        <v>2262</v>
      </c>
      <c r="D2319">
        <v>2952</v>
      </c>
      <c r="E2319">
        <v>6.55</v>
      </c>
    </row>
    <row r="2320" spans="1:5">
      <c r="A2320" t="s">
        <v>2260</v>
      </c>
      <c r="B2320" t="s">
        <v>2259</v>
      </c>
      <c r="C2320" t="s">
        <v>2260</v>
      </c>
      <c r="D2320">
        <v>1199</v>
      </c>
      <c r="E2320">
        <v>8.17</v>
      </c>
    </row>
    <row r="2321" spans="1:5">
      <c r="A2321" t="s">
        <v>2258</v>
      </c>
      <c r="B2321" t="s">
        <v>2256</v>
      </c>
      <c r="C2321" t="s">
        <v>2258</v>
      </c>
      <c r="D2321">
        <v>1024</v>
      </c>
      <c r="E2321">
        <v>7.42</v>
      </c>
    </row>
    <row r="2322" spans="1:5">
      <c r="A2322" t="s">
        <v>2257</v>
      </c>
      <c r="B2322" t="s">
        <v>2256</v>
      </c>
      <c r="C2322" t="s">
        <v>2257</v>
      </c>
      <c r="D2322">
        <v>1024</v>
      </c>
      <c r="E2322">
        <v>7.5</v>
      </c>
    </row>
    <row r="2323" spans="1:5">
      <c r="A2323" t="s">
        <v>107</v>
      </c>
      <c r="B2323" t="s">
        <v>106</v>
      </c>
      <c r="C2323" t="s">
        <v>107</v>
      </c>
      <c r="D2323">
        <v>6801</v>
      </c>
      <c r="E2323">
        <v>6.02</v>
      </c>
    </row>
    <row r="2324" spans="1:5">
      <c r="A2324" t="s">
        <v>213</v>
      </c>
      <c r="B2324" t="s">
        <v>212</v>
      </c>
      <c r="C2324" t="s">
        <v>213</v>
      </c>
      <c r="D2324">
        <v>2689</v>
      </c>
      <c r="E2324">
        <v>6.48</v>
      </c>
    </row>
    <row r="2325" spans="1:5">
      <c r="A2325" t="s">
        <v>5043</v>
      </c>
      <c r="B2325" t="s">
        <v>5044</v>
      </c>
      <c r="C2325" t="s">
        <v>5043</v>
      </c>
      <c r="D2325" t="s">
        <v>192</v>
      </c>
      <c r="E2325" t="s">
        <v>192</v>
      </c>
    </row>
    <row r="2326" spans="1:5">
      <c r="A2326" t="s">
        <v>6348</v>
      </c>
      <c r="B2326" t="s">
        <v>6349</v>
      </c>
      <c r="C2326" t="s">
        <v>6348</v>
      </c>
      <c r="D2326" t="s">
        <v>192</v>
      </c>
      <c r="E2326" t="s">
        <v>192</v>
      </c>
    </row>
    <row r="2327" spans="1:5">
      <c r="A2327" t="s">
        <v>5549</v>
      </c>
      <c r="B2327" t="s">
        <v>5550</v>
      </c>
      <c r="C2327" t="s">
        <v>5549</v>
      </c>
      <c r="D2327" t="s">
        <v>192</v>
      </c>
      <c r="E2327" t="s">
        <v>192</v>
      </c>
    </row>
    <row r="2328" spans="1:5">
      <c r="A2328" t="s">
        <v>5642</v>
      </c>
      <c r="B2328" t="s">
        <v>5643</v>
      </c>
      <c r="C2328" t="s">
        <v>5642</v>
      </c>
      <c r="D2328" t="s">
        <v>192</v>
      </c>
      <c r="E2328" t="s">
        <v>192</v>
      </c>
    </row>
    <row r="2329" spans="1:5">
      <c r="A2329" t="s">
        <v>5065</v>
      </c>
      <c r="B2329" t="s">
        <v>5066</v>
      </c>
      <c r="C2329" t="s">
        <v>5065</v>
      </c>
      <c r="D2329" t="s">
        <v>192</v>
      </c>
      <c r="E2329" t="s">
        <v>192</v>
      </c>
    </row>
    <row r="2330" spans="1:5">
      <c r="A2330" t="s">
        <v>5286</v>
      </c>
      <c r="B2330" t="s">
        <v>5287</v>
      </c>
      <c r="C2330" t="s">
        <v>5286</v>
      </c>
      <c r="D2330" t="s">
        <v>192</v>
      </c>
      <c r="E2330" t="s">
        <v>192</v>
      </c>
    </row>
    <row r="2331" spans="1:5">
      <c r="A2331" t="s">
        <v>3996</v>
      </c>
      <c r="B2331" t="s">
        <v>3997</v>
      </c>
      <c r="C2331" t="s">
        <v>3996</v>
      </c>
      <c r="D2331" t="s">
        <v>192</v>
      </c>
      <c r="E2331" t="s">
        <v>192</v>
      </c>
    </row>
    <row r="2332" spans="1:5">
      <c r="A2332" t="s">
        <v>6174</v>
      </c>
      <c r="B2332" t="s">
        <v>6175</v>
      </c>
      <c r="C2332" t="s">
        <v>6174</v>
      </c>
      <c r="D2332" t="s">
        <v>192</v>
      </c>
      <c r="E2332" t="s">
        <v>192</v>
      </c>
    </row>
    <row r="2333" spans="1:5">
      <c r="A2333" t="s">
        <v>2255</v>
      </c>
      <c r="B2333" t="s">
        <v>2253</v>
      </c>
      <c r="C2333" t="s">
        <v>2255</v>
      </c>
      <c r="D2333">
        <v>4251</v>
      </c>
      <c r="E2333">
        <v>7.4</v>
      </c>
    </row>
    <row r="2334" spans="1:5">
      <c r="A2334" t="s">
        <v>2254</v>
      </c>
      <c r="B2334" t="s">
        <v>2253</v>
      </c>
      <c r="C2334" t="s">
        <v>2254</v>
      </c>
      <c r="D2334">
        <v>4251</v>
      </c>
      <c r="E2334">
        <v>7.4</v>
      </c>
    </row>
    <row r="2335" spans="1:5">
      <c r="A2335" t="s">
        <v>2252</v>
      </c>
      <c r="B2335" t="s">
        <v>2251</v>
      </c>
      <c r="C2335" t="s">
        <v>2252</v>
      </c>
      <c r="D2335">
        <v>1850</v>
      </c>
      <c r="E2335">
        <v>8.3000000000000007</v>
      </c>
    </row>
    <row r="2336" spans="1:5">
      <c r="A2336" t="s">
        <v>5924</v>
      </c>
      <c r="B2336" t="s">
        <v>5925</v>
      </c>
      <c r="C2336" t="s">
        <v>5924</v>
      </c>
      <c r="D2336" t="s">
        <v>192</v>
      </c>
      <c r="E2336" t="s">
        <v>192</v>
      </c>
    </row>
    <row r="2337" spans="1:5">
      <c r="A2337" t="s">
        <v>5985</v>
      </c>
      <c r="B2337" t="s">
        <v>5986</v>
      </c>
      <c r="C2337" t="s">
        <v>5985</v>
      </c>
      <c r="D2337" t="s">
        <v>192</v>
      </c>
      <c r="E2337" t="s">
        <v>192</v>
      </c>
    </row>
    <row r="2338" spans="1:5">
      <c r="A2338" t="s">
        <v>3924</v>
      </c>
      <c r="B2338" t="s">
        <v>3925</v>
      </c>
      <c r="C2338" t="s">
        <v>3924</v>
      </c>
      <c r="D2338" t="s">
        <v>192</v>
      </c>
      <c r="E2338" t="s">
        <v>192</v>
      </c>
    </row>
    <row r="2339" spans="1:5">
      <c r="A2339" t="s">
        <v>6304</v>
      </c>
      <c r="B2339" t="s">
        <v>5925</v>
      </c>
      <c r="C2339" t="s">
        <v>6304</v>
      </c>
      <c r="D2339" t="s">
        <v>192</v>
      </c>
      <c r="E2339" t="s">
        <v>192</v>
      </c>
    </row>
    <row r="2340" spans="1:5">
      <c r="A2340" t="s">
        <v>5897</v>
      </c>
      <c r="B2340" t="s">
        <v>5898</v>
      </c>
      <c r="C2340" t="s">
        <v>5897</v>
      </c>
      <c r="D2340" t="s">
        <v>192</v>
      </c>
      <c r="E2340" t="s">
        <v>192</v>
      </c>
    </row>
    <row r="2341" spans="1:5">
      <c r="A2341" t="s">
        <v>5732</v>
      </c>
      <c r="B2341" t="s">
        <v>5733</v>
      </c>
      <c r="C2341" t="s">
        <v>5732</v>
      </c>
      <c r="D2341" t="s">
        <v>192</v>
      </c>
      <c r="E2341" t="s">
        <v>192</v>
      </c>
    </row>
    <row r="2342" spans="1:5">
      <c r="A2342" t="s">
        <v>7696</v>
      </c>
      <c r="B2342" t="s">
        <v>4696</v>
      </c>
      <c r="C2342" t="s">
        <v>7696</v>
      </c>
      <c r="D2342" t="s">
        <v>192</v>
      </c>
      <c r="E2342" t="s">
        <v>192</v>
      </c>
    </row>
    <row r="2343" spans="1:5">
      <c r="A2343" t="s">
        <v>4695</v>
      </c>
      <c r="B2343" t="s">
        <v>4696</v>
      </c>
      <c r="C2343" t="s">
        <v>4695</v>
      </c>
      <c r="D2343" t="s">
        <v>192</v>
      </c>
      <c r="E2343" t="s">
        <v>192</v>
      </c>
    </row>
    <row r="2344" spans="1:5">
      <c r="A2344" t="s">
        <v>5860</v>
      </c>
      <c r="B2344" t="s">
        <v>7697</v>
      </c>
      <c r="C2344" t="s">
        <v>5860</v>
      </c>
      <c r="D2344" t="s">
        <v>192</v>
      </c>
      <c r="E2344" t="s">
        <v>192</v>
      </c>
    </row>
    <row r="2345" spans="1:5">
      <c r="A2345" t="s">
        <v>2250</v>
      </c>
      <c r="B2345" t="s">
        <v>2249</v>
      </c>
      <c r="C2345" t="s">
        <v>2250</v>
      </c>
      <c r="D2345">
        <v>1010</v>
      </c>
      <c r="E2345">
        <v>8.61</v>
      </c>
    </row>
    <row r="2346" spans="1:5">
      <c r="A2346" t="s">
        <v>2248</v>
      </c>
      <c r="B2346" t="s">
        <v>2247</v>
      </c>
      <c r="C2346" t="s">
        <v>2248</v>
      </c>
      <c r="D2346">
        <v>1668</v>
      </c>
      <c r="E2346">
        <v>7.3</v>
      </c>
    </row>
    <row r="2347" spans="1:5">
      <c r="A2347" t="s">
        <v>6088</v>
      </c>
      <c r="B2347" t="s">
        <v>6089</v>
      </c>
      <c r="C2347" t="s">
        <v>6088</v>
      </c>
      <c r="D2347" t="s">
        <v>192</v>
      </c>
      <c r="E2347" t="s">
        <v>192</v>
      </c>
    </row>
    <row r="2348" spans="1:5">
      <c r="A2348" t="s">
        <v>2246</v>
      </c>
      <c r="B2348" t="s">
        <v>2245</v>
      </c>
      <c r="C2348" t="s">
        <v>2246</v>
      </c>
      <c r="D2348">
        <v>6744</v>
      </c>
      <c r="E2348">
        <v>18.28</v>
      </c>
    </row>
    <row r="2349" spans="1:5">
      <c r="A2349" t="s">
        <v>2244</v>
      </c>
      <c r="B2349" t="s">
        <v>2243</v>
      </c>
      <c r="C2349" t="s">
        <v>2244</v>
      </c>
      <c r="D2349">
        <v>2038</v>
      </c>
      <c r="E2349">
        <v>5.35</v>
      </c>
    </row>
    <row r="2350" spans="1:5">
      <c r="A2350" t="s">
        <v>7698</v>
      </c>
      <c r="B2350" t="s">
        <v>6112</v>
      </c>
      <c r="C2350" t="s">
        <v>7698</v>
      </c>
      <c r="D2350" t="s">
        <v>192</v>
      </c>
      <c r="E2350" t="s">
        <v>192</v>
      </c>
    </row>
    <row r="2351" spans="1:5">
      <c r="A2351" t="s">
        <v>6111</v>
      </c>
      <c r="B2351" t="s">
        <v>6112</v>
      </c>
      <c r="C2351" t="s">
        <v>6111</v>
      </c>
      <c r="D2351" t="s">
        <v>192</v>
      </c>
      <c r="E2351" t="s">
        <v>192</v>
      </c>
    </row>
    <row r="2352" spans="1:5">
      <c r="A2352" t="s">
        <v>5649</v>
      </c>
      <c r="B2352" t="s">
        <v>5650</v>
      </c>
      <c r="C2352" t="s">
        <v>5649</v>
      </c>
      <c r="D2352" t="s">
        <v>192</v>
      </c>
      <c r="E2352" t="s">
        <v>192</v>
      </c>
    </row>
    <row r="2353" spans="1:5">
      <c r="A2353" t="s">
        <v>6144</v>
      </c>
      <c r="B2353" t="s">
        <v>6145</v>
      </c>
      <c r="C2353" t="s">
        <v>6144</v>
      </c>
      <c r="D2353" t="s">
        <v>192</v>
      </c>
      <c r="E2353" t="s">
        <v>192</v>
      </c>
    </row>
    <row r="2354" spans="1:5">
      <c r="A2354" t="s">
        <v>4638</v>
      </c>
      <c r="B2354" t="s">
        <v>4639</v>
      </c>
      <c r="C2354" t="s">
        <v>4638</v>
      </c>
      <c r="D2354" t="s">
        <v>192</v>
      </c>
      <c r="E2354" t="s">
        <v>192</v>
      </c>
    </row>
    <row r="2355" spans="1:5">
      <c r="A2355" t="s">
        <v>6170</v>
      </c>
      <c r="B2355" t="s">
        <v>6171</v>
      </c>
      <c r="C2355" t="s">
        <v>6170</v>
      </c>
      <c r="D2355" t="s">
        <v>192</v>
      </c>
      <c r="E2355" t="s">
        <v>192</v>
      </c>
    </row>
    <row r="2356" spans="1:5">
      <c r="A2356" t="s">
        <v>5479</v>
      </c>
      <c r="B2356" t="s">
        <v>5480</v>
      </c>
      <c r="C2356" t="s">
        <v>5479</v>
      </c>
      <c r="D2356" t="s">
        <v>192</v>
      </c>
      <c r="E2356" t="s">
        <v>192</v>
      </c>
    </row>
    <row r="2357" spans="1:5">
      <c r="A2357" t="s">
        <v>2242</v>
      </c>
      <c r="B2357" t="s">
        <v>2241</v>
      </c>
      <c r="C2357" t="s">
        <v>2242</v>
      </c>
      <c r="D2357">
        <v>1516</v>
      </c>
      <c r="E2357">
        <v>7.02</v>
      </c>
    </row>
    <row r="2358" spans="1:5">
      <c r="A2358" t="s">
        <v>2240</v>
      </c>
      <c r="B2358" t="s">
        <v>2239</v>
      </c>
      <c r="C2358" t="s">
        <v>2240</v>
      </c>
      <c r="D2358">
        <v>6943</v>
      </c>
      <c r="E2358">
        <v>2.71</v>
      </c>
    </row>
    <row r="2359" spans="1:5">
      <c r="A2359" t="s">
        <v>2238</v>
      </c>
      <c r="B2359" t="s">
        <v>2237</v>
      </c>
      <c r="C2359" t="s">
        <v>2238</v>
      </c>
      <c r="D2359">
        <v>126</v>
      </c>
      <c r="E2359">
        <v>14.12</v>
      </c>
    </row>
    <row r="2360" spans="1:5">
      <c r="A2360" t="s">
        <v>2236</v>
      </c>
      <c r="B2360" t="s">
        <v>2235</v>
      </c>
      <c r="C2360" t="s">
        <v>2236</v>
      </c>
      <c r="D2360">
        <v>1103</v>
      </c>
      <c r="E2360">
        <v>48.1</v>
      </c>
    </row>
    <row r="2361" spans="1:5">
      <c r="A2361" t="s">
        <v>5683</v>
      </c>
      <c r="B2361" t="s">
        <v>4941</v>
      </c>
      <c r="C2361" t="s">
        <v>5683</v>
      </c>
      <c r="D2361" t="s">
        <v>192</v>
      </c>
      <c r="E2361" t="s">
        <v>192</v>
      </c>
    </row>
    <row r="2362" spans="1:5">
      <c r="A2362" t="s">
        <v>4940</v>
      </c>
      <c r="B2362" t="s">
        <v>4941</v>
      </c>
      <c r="C2362" t="s">
        <v>4940</v>
      </c>
      <c r="D2362" t="s">
        <v>192</v>
      </c>
      <c r="E2362" t="s">
        <v>192</v>
      </c>
    </row>
    <row r="2363" spans="1:5">
      <c r="A2363" t="s">
        <v>6297</v>
      </c>
      <c r="B2363" t="s">
        <v>6298</v>
      </c>
      <c r="C2363" t="s">
        <v>6297</v>
      </c>
      <c r="D2363" t="s">
        <v>192</v>
      </c>
      <c r="E2363" t="s">
        <v>192</v>
      </c>
    </row>
    <row r="2364" spans="1:5">
      <c r="A2364" t="s">
        <v>5748</v>
      </c>
      <c r="B2364" t="s">
        <v>5749</v>
      </c>
      <c r="C2364" t="s">
        <v>5748</v>
      </c>
      <c r="D2364" t="s">
        <v>192</v>
      </c>
      <c r="E2364" t="s">
        <v>192</v>
      </c>
    </row>
    <row r="2365" spans="1:5">
      <c r="A2365" t="s">
        <v>6127</v>
      </c>
      <c r="B2365" t="s">
        <v>6128</v>
      </c>
      <c r="C2365" t="s">
        <v>6127</v>
      </c>
      <c r="D2365" t="s">
        <v>192</v>
      </c>
      <c r="E2365" t="s">
        <v>192</v>
      </c>
    </row>
    <row r="2366" spans="1:5">
      <c r="A2366" t="s">
        <v>5487</v>
      </c>
      <c r="B2366" t="s">
        <v>7699</v>
      </c>
      <c r="C2366" t="s">
        <v>5487</v>
      </c>
      <c r="D2366" t="s">
        <v>192</v>
      </c>
      <c r="E2366" t="s">
        <v>192</v>
      </c>
    </row>
    <row r="2367" spans="1:5">
      <c r="A2367" t="s">
        <v>5617</v>
      </c>
      <c r="B2367" t="s">
        <v>7699</v>
      </c>
      <c r="C2367" t="s">
        <v>5617</v>
      </c>
      <c r="D2367" t="s">
        <v>192</v>
      </c>
      <c r="E2367" t="s">
        <v>192</v>
      </c>
    </row>
    <row r="2368" spans="1:5">
      <c r="A2368" t="s">
        <v>5714</v>
      </c>
      <c r="B2368" t="s">
        <v>5715</v>
      </c>
      <c r="C2368" t="s">
        <v>5714</v>
      </c>
      <c r="D2368" t="s">
        <v>192</v>
      </c>
      <c r="E2368" t="s">
        <v>192</v>
      </c>
    </row>
    <row r="2369" spans="1:5">
      <c r="A2369" t="s">
        <v>2234</v>
      </c>
      <c r="B2369" t="s">
        <v>2233</v>
      </c>
      <c r="C2369" t="s">
        <v>2234</v>
      </c>
      <c r="D2369">
        <v>605</v>
      </c>
      <c r="E2369">
        <v>23.11</v>
      </c>
    </row>
    <row r="2370" spans="1:5">
      <c r="A2370" t="s">
        <v>2232</v>
      </c>
      <c r="B2370" t="s">
        <v>2231</v>
      </c>
      <c r="C2370" t="s">
        <v>2232</v>
      </c>
      <c r="D2370">
        <v>592</v>
      </c>
      <c r="E2370">
        <v>9.9</v>
      </c>
    </row>
    <row r="2371" spans="1:5">
      <c r="A2371" t="s">
        <v>2230</v>
      </c>
      <c r="B2371" t="s">
        <v>2229</v>
      </c>
      <c r="C2371" t="s">
        <v>2230</v>
      </c>
      <c r="D2371">
        <v>5828</v>
      </c>
      <c r="E2371">
        <v>7.26</v>
      </c>
    </row>
    <row r="2372" spans="1:5">
      <c r="A2372" t="s">
        <v>5198</v>
      </c>
      <c r="B2372" t="s">
        <v>5199</v>
      </c>
      <c r="C2372" t="s">
        <v>5198</v>
      </c>
      <c r="D2372" t="s">
        <v>192</v>
      </c>
      <c r="E2372" t="s">
        <v>192</v>
      </c>
    </row>
    <row r="2373" spans="1:5">
      <c r="A2373" t="s">
        <v>5740</v>
      </c>
      <c r="B2373" t="s">
        <v>5112</v>
      </c>
      <c r="C2373" t="s">
        <v>5740</v>
      </c>
      <c r="D2373" t="s">
        <v>192</v>
      </c>
      <c r="E2373" t="s">
        <v>192</v>
      </c>
    </row>
    <row r="2374" spans="1:5">
      <c r="A2374" t="s">
        <v>5655</v>
      </c>
      <c r="B2374" t="s">
        <v>5656</v>
      </c>
      <c r="C2374" t="s">
        <v>5655</v>
      </c>
      <c r="D2374" t="s">
        <v>192</v>
      </c>
      <c r="E2374" t="s">
        <v>192</v>
      </c>
    </row>
    <row r="2375" spans="1:5">
      <c r="A2375" t="s">
        <v>6081</v>
      </c>
      <c r="B2375" t="s">
        <v>2227</v>
      </c>
      <c r="C2375" t="s">
        <v>6081</v>
      </c>
      <c r="D2375">
        <v>149</v>
      </c>
      <c r="E2375">
        <v>36.17</v>
      </c>
    </row>
    <row r="2376" spans="1:5">
      <c r="A2376" t="s">
        <v>2228</v>
      </c>
      <c r="B2376" t="s">
        <v>2227</v>
      </c>
      <c r="C2376" t="s">
        <v>2228</v>
      </c>
      <c r="D2376">
        <v>149</v>
      </c>
      <c r="E2376">
        <v>36.17</v>
      </c>
    </row>
    <row r="2377" spans="1:5">
      <c r="A2377" t="s">
        <v>5476</v>
      </c>
      <c r="B2377" t="s">
        <v>5477</v>
      </c>
      <c r="C2377" t="s">
        <v>5476</v>
      </c>
      <c r="D2377" t="s">
        <v>192</v>
      </c>
      <c r="E2377" t="s">
        <v>192</v>
      </c>
    </row>
    <row r="2378" spans="1:5">
      <c r="A2378" t="s">
        <v>4050</v>
      </c>
      <c r="B2378" t="s">
        <v>4051</v>
      </c>
      <c r="C2378" t="s">
        <v>4050</v>
      </c>
      <c r="D2378" t="s">
        <v>192</v>
      </c>
      <c r="E2378" t="s">
        <v>192</v>
      </c>
    </row>
    <row r="2379" spans="1:5">
      <c r="A2379" t="s">
        <v>6025</v>
      </c>
      <c r="B2379" t="s">
        <v>2225</v>
      </c>
      <c r="C2379" t="s">
        <v>6025</v>
      </c>
      <c r="D2379">
        <v>2557</v>
      </c>
      <c r="E2379">
        <v>5.35</v>
      </c>
    </row>
    <row r="2380" spans="1:5">
      <c r="A2380" t="s">
        <v>2226</v>
      </c>
      <c r="B2380" t="s">
        <v>2225</v>
      </c>
      <c r="C2380" t="s">
        <v>2226</v>
      </c>
      <c r="D2380">
        <v>2557</v>
      </c>
      <c r="E2380">
        <v>5.35</v>
      </c>
    </row>
    <row r="2381" spans="1:5">
      <c r="A2381" t="s">
        <v>3385</v>
      </c>
      <c r="B2381" t="s">
        <v>3386</v>
      </c>
      <c r="C2381" t="s">
        <v>3385</v>
      </c>
      <c r="D2381" t="s">
        <v>192</v>
      </c>
      <c r="E2381" t="s">
        <v>192</v>
      </c>
    </row>
    <row r="2382" spans="1:5">
      <c r="A2382" t="s">
        <v>5794</v>
      </c>
      <c r="B2382" t="s">
        <v>5666</v>
      </c>
      <c r="C2382" t="s">
        <v>5794</v>
      </c>
      <c r="D2382" t="s">
        <v>192</v>
      </c>
      <c r="E2382" t="s">
        <v>192</v>
      </c>
    </row>
    <row r="2383" spans="1:5">
      <c r="A2383" t="s">
        <v>5665</v>
      </c>
      <c r="B2383" t="s">
        <v>5666</v>
      </c>
      <c r="C2383" t="s">
        <v>5665</v>
      </c>
      <c r="D2383" t="s">
        <v>192</v>
      </c>
      <c r="E2383" t="s">
        <v>192</v>
      </c>
    </row>
    <row r="2384" spans="1:5">
      <c r="A2384" t="s">
        <v>6301</v>
      </c>
      <c r="B2384" t="s">
        <v>2223</v>
      </c>
      <c r="C2384" t="s">
        <v>6301</v>
      </c>
      <c r="D2384">
        <v>36</v>
      </c>
      <c r="E2384">
        <v>12.56</v>
      </c>
    </row>
    <row r="2385" spans="1:5">
      <c r="A2385" t="s">
        <v>2224</v>
      </c>
      <c r="B2385" t="s">
        <v>2223</v>
      </c>
      <c r="C2385" t="s">
        <v>2224</v>
      </c>
      <c r="D2385">
        <v>36</v>
      </c>
      <c r="E2385">
        <v>12.56</v>
      </c>
    </row>
    <row r="2386" spans="1:5">
      <c r="A2386" t="s">
        <v>2222</v>
      </c>
      <c r="B2386" t="s">
        <v>2221</v>
      </c>
      <c r="C2386" t="s">
        <v>2222</v>
      </c>
      <c r="D2386">
        <v>2765</v>
      </c>
      <c r="E2386">
        <v>7</v>
      </c>
    </row>
    <row r="2387" spans="1:5">
      <c r="A2387" t="s">
        <v>5948</v>
      </c>
      <c r="B2387" t="s">
        <v>5949</v>
      </c>
      <c r="C2387" t="s">
        <v>5948</v>
      </c>
      <c r="D2387" t="s">
        <v>192</v>
      </c>
      <c r="E2387" t="s">
        <v>192</v>
      </c>
    </row>
    <row r="2388" spans="1:5">
      <c r="A2388" t="s">
        <v>5161</v>
      </c>
      <c r="B2388" t="s">
        <v>5162</v>
      </c>
      <c r="C2388" t="s">
        <v>5161</v>
      </c>
      <c r="D2388" t="s">
        <v>192</v>
      </c>
      <c r="E2388" t="s">
        <v>192</v>
      </c>
    </row>
    <row r="2389" spans="1:5">
      <c r="A2389" t="s">
        <v>2220</v>
      </c>
      <c r="B2389" t="s">
        <v>2219</v>
      </c>
      <c r="C2389" t="s">
        <v>2220</v>
      </c>
      <c r="D2389">
        <v>204</v>
      </c>
      <c r="E2389">
        <v>26.37</v>
      </c>
    </row>
    <row r="2390" spans="1:5">
      <c r="A2390" t="s">
        <v>7700</v>
      </c>
      <c r="B2390" t="s">
        <v>4963</v>
      </c>
      <c r="C2390" t="s">
        <v>7700</v>
      </c>
      <c r="D2390" t="s">
        <v>192</v>
      </c>
      <c r="E2390" t="s">
        <v>192</v>
      </c>
    </row>
    <row r="2391" spans="1:5">
      <c r="A2391" t="s">
        <v>4962</v>
      </c>
      <c r="B2391" t="s">
        <v>4963</v>
      </c>
      <c r="C2391" t="s">
        <v>4962</v>
      </c>
      <c r="D2391" t="s">
        <v>192</v>
      </c>
      <c r="E2391" t="s">
        <v>192</v>
      </c>
    </row>
    <row r="2392" spans="1:5">
      <c r="A2392" t="s">
        <v>5663</v>
      </c>
      <c r="B2392" t="s">
        <v>5664</v>
      </c>
      <c r="C2392" t="s">
        <v>5663</v>
      </c>
      <c r="D2392" t="s">
        <v>192</v>
      </c>
      <c r="E2392" t="s">
        <v>192</v>
      </c>
    </row>
    <row r="2393" spans="1:5">
      <c r="A2393" t="s">
        <v>5521</v>
      </c>
      <c r="B2393" t="s">
        <v>5522</v>
      </c>
      <c r="C2393" t="s">
        <v>5521</v>
      </c>
      <c r="D2393" t="s">
        <v>192</v>
      </c>
      <c r="E2393" t="s">
        <v>192</v>
      </c>
    </row>
    <row r="2394" spans="1:5">
      <c r="A2394" t="s">
        <v>2218</v>
      </c>
      <c r="B2394" t="s">
        <v>2217</v>
      </c>
      <c r="C2394" t="s">
        <v>2218</v>
      </c>
      <c r="D2394">
        <v>414</v>
      </c>
      <c r="E2394">
        <v>2.4500000000000002</v>
      </c>
    </row>
    <row r="2395" spans="1:5">
      <c r="A2395" t="s">
        <v>3420</v>
      </c>
      <c r="B2395" t="s">
        <v>3421</v>
      </c>
      <c r="C2395" t="s">
        <v>3420</v>
      </c>
      <c r="D2395" t="s">
        <v>192</v>
      </c>
      <c r="E2395" t="s">
        <v>192</v>
      </c>
    </row>
    <row r="2396" spans="1:5">
      <c r="A2396" t="s">
        <v>3970</v>
      </c>
      <c r="B2396" t="s">
        <v>3971</v>
      </c>
      <c r="C2396" t="s">
        <v>3970</v>
      </c>
      <c r="D2396" t="s">
        <v>192</v>
      </c>
      <c r="E2396" t="s">
        <v>192</v>
      </c>
    </row>
    <row r="2397" spans="1:5">
      <c r="A2397" t="s">
        <v>2216</v>
      </c>
      <c r="B2397" t="s">
        <v>2215</v>
      </c>
      <c r="C2397" t="s">
        <v>2216</v>
      </c>
      <c r="D2397">
        <v>-101</v>
      </c>
      <c r="E2397">
        <v>-88.32</v>
      </c>
    </row>
    <row r="2398" spans="1:5">
      <c r="A2398" t="s">
        <v>2214</v>
      </c>
      <c r="B2398" t="s">
        <v>2213</v>
      </c>
      <c r="C2398" t="s">
        <v>2214</v>
      </c>
      <c r="D2398">
        <v>1285</v>
      </c>
      <c r="E2398">
        <v>7.97</v>
      </c>
    </row>
    <row r="2399" spans="1:5">
      <c r="A2399" t="s">
        <v>2212</v>
      </c>
      <c r="B2399" t="s">
        <v>2211</v>
      </c>
      <c r="C2399" t="s">
        <v>2212</v>
      </c>
      <c r="D2399">
        <v>632</v>
      </c>
      <c r="E2399">
        <v>6.16</v>
      </c>
    </row>
    <row r="2400" spans="1:5">
      <c r="A2400" t="s">
        <v>2210</v>
      </c>
      <c r="B2400" t="s">
        <v>2209</v>
      </c>
      <c r="C2400" t="s">
        <v>2210</v>
      </c>
      <c r="D2400">
        <v>1681</v>
      </c>
      <c r="E2400">
        <v>9.16</v>
      </c>
    </row>
    <row r="2401" spans="1:5">
      <c r="A2401" t="s">
        <v>2208</v>
      </c>
      <c r="B2401" t="s">
        <v>2207</v>
      </c>
      <c r="C2401" t="s">
        <v>2208</v>
      </c>
      <c r="D2401">
        <v>1595</v>
      </c>
      <c r="E2401">
        <v>18.38</v>
      </c>
    </row>
    <row r="2402" spans="1:5">
      <c r="A2402" t="s">
        <v>2206</v>
      </c>
      <c r="B2402" t="s">
        <v>2205</v>
      </c>
      <c r="C2402" t="s">
        <v>2206</v>
      </c>
      <c r="D2402">
        <v>316</v>
      </c>
      <c r="E2402">
        <v>27.85</v>
      </c>
    </row>
    <row r="2403" spans="1:5">
      <c r="A2403" t="s">
        <v>2204</v>
      </c>
      <c r="B2403" t="s">
        <v>2203</v>
      </c>
      <c r="C2403" t="s">
        <v>2204</v>
      </c>
      <c r="D2403">
        <v>17967</v>
      </c>
      <c r="E2403">
        <v>9.6300000000000008</v>
      </c>
    </row>
    <row r="2404" spans="1:5">
      <c r="A2404" t="s">
        <v>3200</v>
      </c>
      <c r="B2404" t="s">
        <v>3201</v>
      </c>
      <c r="C2404" t="s">
        <v>3200</v>
      </c>
      <c r="D2404" t="s">
        <v>192</v>
      </c>
      <c r="E2404" t="s">
        <v>192</v>
      </c>
    </row>
    <row r="2405" spans="1:5">
      <c r="A2405" t="s">
        <v>2202</v>
      </c>
      <c r="B2405" t="s">
        <v>2201</v>
      </c>
      <c r="C2405" t="s">
        <v>2202</v>
      </c>
      <c r="D2405">
        <v>1524</v>
      </c>
      <c r="E2405">
        <v>9.8000000000000007</v>
      </c>
    </row>
    <row r="2406" spans="1:5">
      <c r="A2406" t="s">
        <v>7701</v>
      </c>
      <c r="B2406" t="s">
        <v>5297</v>
      </c>
      <c r="C2406" t="s">
        <v>7701</v>
      </c>
      <c r="D2406" t="s">
        <v>192</v>
      </c>
      <c r="E2406" t="s">
        <v>192</v>
      </c>
    </row>
    <row r="2407" spans="1:5">
      <c r="A2407" t="s">
        <v>5296</v>
      </c>
      <c r="B2407" t="s">
        <v>5297</v>
      </c>
      <c r="C2407" t="s">
        <v>5296</v>
      </c>
      <c r="D2407" t="s">
        <v>192</v>
      </c>
      <c r="E2407" t="s">
        <v>192</v>
      </c>
    </row>
    <row r="2408" spans="1:5">
      <c r="A2408" t="s">
        <v>157</v>
      </c>
      <c r="B2408" t="s">
        <v>156</v>
      </c>
      <c r="C2408" t="s">
        <v>157</v>
      </c>
      <c r="D2408">
        <v>1627</v>
      </c>
      <c r="E2408">
        <v>7.06</v>
      </c>
    </row>
    <row r="2409" spans="1:5">
      <c r="A2409" t="s">
        <v>2200</v>
      </c>
      <c r="B2409" t="s">
        <v>2199</v>
      </c>
      <c r="C2409" t="s">
        <v>2200</v>
      </c>
      <c r="D2409">
        <v>1090</v>
      </c>
      <c r="E2409">
        <v>13.95</v>
      </c>
    </row>
    <row r="2410" spans="1:5">
      <c r="A2410" t="s">
        <v>2198</v>
      </c>
      <c r="B2410" t="s">
        <v>2197</v>
      </c>
      <c r="C2410" t="s">
        <v>2198</v>
      </c>
      <c r="D2410">
        <v>2073</v>
      </c>
      <c r="E2410">
        <v>10.73</v>
      </c>
    </row>
    <row r="2411" spans="1:5">
      <c r="A2411" t="s">
        <v>7702</v>
      </c>
      <c r="B2411" t="s">
        <v>166</v>
      </c>
      <c r="C2411" t="s">
        <v>7702</v>
      </c>
      <c r="D2411">
        <v>8046</v>
      </c>
      <c r="E2411">
        <v>8.51</v>
      </c>
    </row>
    <row r="2412" spans="1:5">
      <c r="A2412" t="s">
        <v>167</v>
      </c>
      <c r="B2412" t="s">
        <v>166</v>
      </c>
      <c r="C2412" t="s">
        <v>167</v>
      </c>
      <c r="D2412">
        <v>8046</v>
      </c>
      <c r="E2412">
        <v>8.51</v>
      </c>
    </row>
    <row r="2413" spans="1:5">
      <c r="A2413" t="s">
        <v>7703</v>
      </c>
      <c r="B2413" t="s">
        <v>220</v>
      </c>
      <c r="C2413" t="s">
        <v>7703</v>
      </c>
      <c r="D2413">
        <v>533</v>
      </c>
      <c r="E2413">
        <v>9.32</v>
      </c>
    </row>
    <row r="2414" spans="1:5">
      <c r="A2414" t="s">
        <v>221</v>
      </c>
      <c r="B2414" t="s">
        <v>220</v>
      </c>
      <c r="C2414" t="s">
        <v>221</v>
      </c>
      <c r="D2414">
        <v>533</v>
      </c>
      <c r="E2414">
        <v>9.32</v>
      </c>
    </row>
    <row r="2415" spans="1:5">
      <c r="A2415" t="s">
        <v>4060</v>
      </c>
      <c r="B2415" t="s">
        <v>4061</v>
      </c>
      <c r="C2415" t="s">
        <v>4060</v>
      </c>
      <c r="D2415" t="s">
        <v>192</v>
      </c>
      <c r="E2415" t="s">
        <v>192</v>
      </c>
    </row>
    <row r="2416" spans="1:5">
      <c r="A2416" t="s">
        <v>2196</v>
      </c>
      <c r="B2416" t="s">
        <v>2195</v>
      </c>
      <c r="C2416" t="s">
        <v>2196</v>
      </c>
      <c r="D2416">
        <v>28</v>
      </c>
      <c r="E2416">
        <v>72.89</v>
      </c>
    </row>
    <row r="2417" spans="1:5">
      <c r="A2417" t="s">
        <v>2194</v>
      </c>
      <c r="B2417" t="s">
        <v>2193</v>
      </c>
      <c r="C2417" t="s">
        <v>2194</v>
      </c>
      <c r="D2417">
        <v>301</v>
      </c>
      <c r="E2417">
        <v>8.1300000000000008</v>
      </c>
    </row>
    <row r="2418" spans="1:5">
      <c r="A2418" t="s">
        <v>161</v>
      </c>
      <c r="B2418" t="s">
        <v>160</v>
      </c>
      <c r="C2418" t="s">
        <v>161</v>
      </c>
      <c r="D2418">
        <v>1827</v>
      </c>
      <c r="E2418">
        <v>9.0399999999999991</v>
      </c>
    </row>
    <row r="2419" spans="1:5">
      <c r="A2419" t="s">
        <v>7704</v>
      </c>
      <c r="B2419" t="s">
        <v>3344</v>
      </c>
      <c r="C2419" t="s">
        <v>7704</v>
      </c>
      <c r="D2419" t="s">
        <v>192</v>
      </c>
      <c r="E2419" t="s">
        <v>192</v>
      </c>
    </row>
    <row r="2420" spans="1:5">
      <c r="A2420" t="s">
        <v>3343</v>
      </c>
      <c r="B2420" t="s">
        <v>3344</v>
      </c>
      <c r="C2420" t="s">
        <v>3343</v>
      </c>
      <c r="D2420" t="s">
        <v>192</v>
      </c>
      <c r="E2420" t="s">
        <v>192</v>
      </c>
    </row>
    <row r="2421" spans="1:5">
      <c r="A2421" t="s">
        <v>5841</v>
      </c>
      <c r="B2421" t="s">
        <v>5842</v>
      </c>
      <c r="C2421" t="s">
        <v>5841</v>
      </c>
      <c r="D2421" t="s">
        <v>192</v>
      </c>
      <c r="E2421" t="s">
        <v>192</v>
      </c>
    </row>
    <row r="2422" spans="1:5">
      <c r="A2422" t="s">
        <v>2192</v>
      </c>
      <c r="B2422" t="s">
        <v>2191</v>
      </c>
      <c r="C2422" t="s">
        <v>2192</v>
      </c>
      <c r="D2422">
        <v>105</v>
      </c>
      <c r="E2422">
        <v>90.38</v>
      </c>
    </row>
    <row r="2423" spans="1:5">
      <c r="A2423" t="s">
        <v>2190</v>
      </c>
      <c r="B2423" t="s">
        <v>2189</v>
      </c>
      <c r="C2423" t="s">
        <v>2190</v>
      </c>
      <c r="D2423">
        <v>1633</v>
      </c>
      <c r="E2423">
        <v>6.86</v>
      </c>
    </row>
    <row r="2424" spans="1:5">
      <c r="A2424" t="s">
        <v>5323</v>
      </c>
      <c r="B2424" t="s">
        <v>5324</v>
      </c>
      <c r="C2424" t="s">
        <v>5323</v>
      </c>
      <c r="D2424" t="s">
        <v>192</v>
      </c>
      <c r="E2424" t="s">
        <v>192</v>
      </c>
    </row>
    <row r="2425" spans="1:5">
      <c r="A2425" t="s">
        <v>6220</v>
      </c>
      <c r="B2425" t="s">
        <v>6221</v>
      </c>
      <c r="C2425" t="s">
        <v>6220</v>
      </c>
      <c r="D2425" t="s">
        <v>192</v>
      </c>
      <c r="E2425" t="s">
        <v>192</v>
      </c>
    </row>
    <row r="2426" spans="1:5">
      <c r="A2426" t="s">
        <v>3261</v>
      </c>
      <c r="B2426" t="s">
        <v>3262</v>
      </c>
      <c r="C2426" t="s">
        <v>3261</v>
      </c>
      <c r="D2426" t="s">
        <v>192</v>
      </c>
      <c r="E2426" t="s">
        <v>192</v>
      </c>
    </row>
    <row r="2427" spans="1:5">
      <c r="A2427" t="s">
        <v>2188</v>
      </c>
      <c r="B2427" t="s">
        <v>2186</v>
      </c>
      <c r="C2427" t="s">
        <v>2188</v>
      </c>
      <c r="D2427">
        <v>136</v>
      </c>
      <c r="E2427">
        <v>68.680000000000007</v>
      </c>
    </row>
    <row r="2428" spans="1:5">
      <c r="A2428" t="s">
        <v>2187</v>
      </c>
      <c r="B2428" t="s">
        <v>2186</v>
      </c>
      <c r="C2428" t="s">
        <v>2187</v>
      </c>
      <c r="D2428">
        <v>136</v>
      </c>
      <c r="E2428">
        <v>68.680000000000007</v>
      </c>
    </row>
    <row r="2429" spans="1:5">
      <c r="A2429" t="s">
        <v>2185</v>
      </c>
      <c r="B2429" t="s">
        <v>2184</v>
      </c>
      <c r="C2429" t="s">
        <v>2185</v>
      </c>
      <c r="D2429">
        <v>154</v>
      </c>
      <c r="E2429">
        <v>11.63</v>
      </c>
    </row>
    <row r="2430" spans="1:5">
      <c r="A2430" t="s">
        <v>2183</v>
      </c>
      <c r="B2430" t="s">
        <v>2182</v>
      </c>
      <c r="C2430" t="s">
        <v>2183</v>
      </c>
      <c r="D2430">
        <v>1383</v>
      </c>
      <c r="E2430">
        <v>6.26</v>
      </c>
    </row>
    <row r="2431" spans="1:5">
      <c r="A2431" t="s">
        <v>2181</v>
      </c>
      <c r="B2431" t="s">
        <v>2180</v>
      </c>
      <c r="C2431" t="s">
        <v>2181</v>
      </c>
      <c r="D2431">
        <v>515</v>
      </c>
      <c r="E2431">
        <v>5.13</v>
      </c>
    </row>
    <row r="2432" spans="1:5">
      <c r="A2432" t="s">
        <v>2179</v>
      </c>
      <c r="B2432" t="s">
        <v>2178</v>
      </c>
      <c r="C2432" t="s">
        <v>2179</v>
      </c>
      <c r="D2432">
        <v>1553</v>
      </c>
      <c r="E2432">
        <v>9.61</v>
      </c>
    </row>
    <row r="2433" spans="1:5">
      <c r="A2433" t="s">
        <v>7705</v>
      </c>
      <c r="B2433" t="s">
        <v>2176</v>
      </c>
      <c r="C2433" t="s">
        <v>7705</v>
      </c>
      <c r="D2433">
        <v>10</v>
      </c>
      <c r="E2433">
        <v>327.60000000000002</v>
      </c>
    </row>
    <row r="2434" spans="1:5">
      <c r="A2434" t="s">
        <v>6026</v>
      </c>
      <c r="B2434" t="s">
        <v>6027</v>
      </c>
      <c r="C2434" t="s">
        <v>6026</v>
      </c>
      <c r="D2434" t="s">
        <v>192</v>
      </c>
      <c r="E2434" t="s">
        <v>192</v>
      </c>
    </row>
    <row r="2435" spans="1:5">
      <c r="A2435" t="s">
        <v>2177</v>
      </c>
      <c r="B2435" t="s">
        <v>2176</v>
      </c>
      <c r="C2435" t="s">
        <v>2177</v>
      </c>
      <c r="D2435">
        <v>10</v>
      </c>
      <c r="E2435">
        <v>327.60000000000002</v>
      </c>
    </row>
    <row r="2436" spans="1:5">
      <c r="A2436" t="s">
        <v>2175</v>
      </c>
      <c r="B2436" t="s">
        <v>2174</v>
      </c>
      <c r="C2436" t="s">
        <v>2175</v>
      </c>
      <c r="D2436">
        <v>522</v>
      </c>
      <c r="E2436">
        <v>7.8</v>
      </c>
    </row>
    <row r="2437" spans="1:5">
      <c r="A2437" t="s">
        <v>7706</v>
      </c>
      <c r="B2437" t="s">
        <v>169</v>
      </c>
      <c r="C2437" t="s">
        <v>7706</v>
      </c>
      <c r="D2437">
        <v>4448</v>
      </c>
      <c r="E2437">
        <v>8.2100000000000009</v>
      </c>
    </row>
    <row r="2438" spans="1:5">
      <c r="A2438" t="s">
        <v>170</v>
      </c>
      <c r="B2438" t="s">
        <v>169</v>
      </c>
      <c r="C2438" t="s">
        <v>170</v>
      </c>
      <c r="D2438">
        <v>4448</v>
      </c>
      <c r="E2438">
        <v>8.2100000000000009</v>
      </c>
    </row>
    <row r="2439" spans="1:5">
      <c r="A2439" t="s">
        <v>159</v>
      </c>
      <c r="B2439" t="s">
        <v>158</v>
      </c>
      <c r="C2439" t="s">
        <v>159</v>
      </c>
      <c r="D2439">
        <v>4640</v>
      </c>
      <c r="E2439">
        <v>8.98</v>
      </c>
    </row>
    <row r="2440" spans="1:5">
      <c r="A2440" t="s">
        <v>5446</v>
      </c>
      <c r="B2440" t="s">
        <v>5447</v>
      </c>
      <c r="C2440" t="s">
        <v>5446</v>
      </c>
      <c r="D2440" t="s">
        <v>192</v>
      </c>
      <c r="E2440" t="s">
        <v>192</v>
      </c>
    </row>
    <row r="2441" spans="1:5">
      <c r="A2441" t="s">
        <v>2173</v>
      </c>
      <c r="B2441" t="s">
        <v>2171</v>
      </c>
      <c r="C2441" t="s">
        <v>2173</v>
      </c>
      <c r="D2441">
        <v>824</v>
      </c>
      <c r="E2441">
        <v>6.61</v>
      </c>
    </row>
    <row r="2442" spans="1:5">
      <c r="A2442" t="s">
        <v>6424</v>
      </c>
      <c r="B2442" t="s">
        <v>6425</v>
      </c>
      <c r="C2442" t="s">
        <v>6424</v>
      </c>
      <c r="D2442" t="s">
        <v>192</v>
      </c>
      <c r="E2442" t="s">
        <v>192</v>
      </c>
    </row>
    <row r="2443" spans="1:5">
      <c r="A2443" t="s">
        <v>2172</v>
      </c>
      <c r="B2443" t="s">
        <v>2171</v>
      </c>
      <c r="C2443" t="s">
        <v>2172</v>
      </c>
      <c r="D2443">
        <v>824</v>
      </c>
      <c r="E2443">
        <v>6.61</v>
      </c>
    </row>
    <row r="2444" spans="1:5">
      <c r="A2444" t="s">
        <v>2170</v>
      </c>
      <c r="B2444" t="s">
        <v>2169</v>
      </c>
      <c r="C2444" t="s">
        <v>2170</v>
      </c>
      <c r="D2444">
        <v>481</v>
      </c>
      <c r="E2444">
        <v>10.119999999999999</v>
      </c>
    </row>
    <row r="2445" spans="1:5">
      <c r="A2445" t="s">
        <v>4697</v>
      </c>
      <c r="B2445" t="s">
        <v>4698</v>
      </c>
      <c r="C2445" t="s">
        <v>4697</v>
      </c>
      <c r="D2445" t="s">
        <v>192</v>
      </c>
      <c r="E2445" t="s">
        <v>192</v>
      </c>
    </row>
    <row r="2446" spans="1:5">
      <c r="A2446" t="s">
        <v>2168</v>
      </c>
      <c r="B2446" t="s">
        <v>2167</v>
      </c>
      <c r="C2446" t="s">
        <v>2168</v>
      </c>
      <c r="D2446">
        <v>-1826</v>
      </c>
      <c r="E2446">
        <v>-1.1299999999999999</v>
      </c>
    </row>
    <row r="2447" spans="1:5">
      <c r="A2447" t="s">
        <v>5983</v>
      </c>
      <c r="B2447" t="s">
        <v>2165</v>
      </c>
      <c r="C2447" t="s">
        <v>5983</v>
      </c>
      <c r="D2447">
        <v>203</v>
      </c>
      <c r="E2447">
        <v>56.95</v>
      </c>
    </row>
    <row r="2448" spans="1:5">
      <c r="A2448" t="s">
        <v>2166</v>
      </c>
      <c r="B2448" t="s">
        <v>2165</v>
      </c>
      <c r="C2448" t="s">
        <v>2166</v>
      </c>
      <c r="D2448">
        <v>203</v>
      </c>
      <c r="E2448">
        <v>56.95</v>
      </c>
    </row>
    <row r="2449" spans="1:5">
      <c r="A2449" t="s">
        <v>6009</v>
      </c>
      <c r="B2449" t="s">
        <v>6010</v>
      </c>
      <c r="C2449" t="s">
        <v>6009</v>
      </c>
      <c r="D2449" t="s">
        <v>192</v>
      </c>
      <c r="E2449" t="s">
        <v>192</v>
      </c>
    </row>
    <row r="2450" spans="1:5">
      <c r="A2450" t="s">
        <v>2164</v>
      </c>
      <c r="B2450" t="s">
        <v>2163</v>
      </c>
      <c r="C2450" t="s">
        <v>2164</v>
      </c>
      <c r="D2450">
        <v>880</v>
      </c>
      <c r="E2450">
        <v>7.69</v>
      </c>
    </row>
    <row r="2451" spans="1:5">
      <c r="A2451" t="s">
        <v>2162</v>
      </c>
      <c r="B2451" t="s">
        <v>2161</v>
      </c>
      <c r="C2451" t="s">
        <v>2162</v>
      </c>
      <c r="D2451">
        <v>2817</v>
      </c>
      <c r="E2451">
        <v>13.52</v>
      </c>
    </row>
    <row r="2452" spans="1:5">
      <c r="A2452" t="s">
        <v>5801</v>
      </c>
      <c r="B2452" t="s">
        <v>5802</v>
      </c>
      <c r="C2452" t="s">
        <v>5801</v>
      </c>
      <c r="D2452" t="s">
        <v>192</v>
      </c>
      <c r="E2452" t="s">
        <v>192</v>
      </c>
    </row>
    <row r="2453" spans="1:5">
      <c r="A2453" t="s">
        <v>5100</v>
      </c>
      <c r="B2453" t="s">
        <v>4725</v>
      </c>
      <c r="C2453" t="s">
        <v>5100</v>
      </c>
      <c r="D2453" t="s">
        <v>192</v>
      </c>
      <c r="E2453" t="s">
        <v>192</v>
      </c>
    </row>
    <row r="2454" spans="1:5">
      <c r="A2454" t="s">
        <v>4724</v>
      </c>
      <c r="B2454" t="s">
        <v>4725</v>
      </c>
      <c r="C2454" t="s">
        <v>4724</v>
      </c>
      <c r="D2454" t="s">
        <v>192</v>
      </c>
      <c r="E2454" t="s">
        <v>192</v>
      </c>
    </row>
    <row r="2455" spans="1:5">
      <c r="A2455" t="s">
        <v>5669</v>
      </c>
      <c r="B2455" t="s">
        <v>5670</v>
      </c>
      <c r="C2455" t="s">
        <v>5669</v>
      </c>
      <c r="D2455" t="s">
        <v>192</v>
      </c>
      <c r="E2455" t="s">
        <v>192</v>
      </c>
    </row>
    <row r="2456" spans="1:5">
      <c r="A2456" t="s">
        <v>4094</v>
      </c>
      <c r="B2456" t="s">
        <v>4095</v>
      </c>
      <c r="C2456" t="s">
        <v>4094</v>
      </c>
      <c r="D2456" t="s">
        <v>192</v>
      </c>
      <c r="E2456" t="s">
        <v>192</v>
      </c>
    </row>
    <row r="2457" spans="1:5">
      <c r="A2457" t="s">
        <v>4661</v>
      </c>
      <c r="B2457" t="s">
        <v>4662</v>
      </c>
      <c r="C2457" t="s">
        <v>4661</v>
      </c>
      <c r="D2457" t="s">
        <v>192</v>
      </c>
      <c r="E2457" t="s">
        <v>192</v>
      </c>
    </row>
    <row r="2458" spans="1:5">
      <c r="A2458" t="s">
        <v>5359</v>
      </c>
      <c r="B2458" t="s">
        <v>5360</v>
      </c>
      <c r="C2458" t="s">
        <v>5359</v>
      </c>
      <c r="D2458" t="s">
        <v>192</v>
      </c>
      <c r="E2458" t="s">
        <v>192</v>
      </c>
    </row>
    <row r="2459" spans="1:5">
      <c r="A2459" t="s">
        <v>163</v>
      </c>
      <c r="B2459" t="s">
        <v>162</v>
      </c>
      <c r="C2459" t="s">
        <v>163</v>
      </c>
      <c r="D2459">
        <v>518</v>
      </c>
      <c r="E2459">
        <v>8.07</v>
      </c>
    </row>
    <row r="2460" spans="1:5">
      <c r="A2460" t="s">
        <v>2160</v>
      </c>
      <c r="B2460" t="s">
        <v>2159</v>
      </c>
      <c r="C2460" t="s">
        <v>2160</v>
      </c>
      <c r="D2460">
        <v>213</v>
      </c>
      <c r="E2460">
        <v>3.45</v>
      </c>
    </row>
    <row r="2461" spans="1:5">
      <c r="A2461" t="s">
        <v>5361</v>
      </c>
      <c r="B2461" t="s">
        <v>5099</v>
      </c>
      <c r="C2461" t="s">
        <v>5361</v>
      </c>
      <c r="D2461" t="s">
        <v>192</v>
      </c>
      <c r="E2461" t="s">
        <v>192</v>
      </c>
    </row>
    <row r="2462" spans="1:5">
      <c r="A2462" t="s">
        <v>5173</v>
      </c>
      <c r="B2462" t="s">
        <v>5174</v>
      </c>
      <c r="C2462" t="s">
        <v>5173</v>
      </c>
      <c r="D2462" t="s">
        <v>192</v>
      </c>
      <c r="E2462" t="s">
        <v>192</v>
      </c>
    </row>
    <row r="2463" spans="1:5">
      <c r="A2463" t="s">
        <v>5098</v>
      </c>
      <c r="B2463" t="s">
        <v>5099</v>
      </c>
      <c r="C2463" t="s">
        <v>5098</v>
      </c>
      <c r="D2463" t="s">
        <v>192</v>
      </c>
      <c r="E2463" t="s">
        <v>192</v>
      </c>
    </row>
    <row r="2464" spans="1:5">
      <c r="A2464" t="s">
        <v>5454</v>
      </c>
      <c r="B2464" t="s">
        <v>4975</v>
      </c>
      <c r="C2464" t="s">
        <v>5454</v>
      </c>
      <c r="D2464">
        <v>600</v>
      </c>
      <c r="E2464">
        <v>8.02</v>
      </c>
    </row>
    <row r="2465" spans="1:5">
      <c r="A2465" t="s">
        <v>4974</v>
      </c>
      <c r="B2465" t="s">
        <v>4975</v>
      </c>
      <c r="C2465" t="s">
        <v>4974</v>
      </c>
      <c r="D2465">
        <v>600</v>
      </c>
      <c r="E2465">
        <v>8.02</v>
      </c>
    </row>
    <row r="2466" spans="1:5">
      <c r="A2466" t="s">
        <v>2158</v>
      </c>
      <c r="B2466" t="s">
        <v>2156</v>
      </c>
      <c r="C2466" t="s">
        <v>2158</v>
      </c>
      <c r="D2466">
        <v>1416</v>
      </c>
      <c r="E2466">
        <v>2.33</v>
      </c>
    </row>
    <row r="2467" spans="1:5">
      <c r="A2467" t="s">
        <v>2157</v>
      </c>
      <c r="B2467" t="s">
        <v>2156</v>
      </c>
      <c r="C2467" t="s">
        <v>2157</v>
      </c>
      <c r="D2467">
        <v>1416</v>
      </c>
      <c r="E2467">
        <v>2.33</v>
      </c>
    </row>
    <row r="2468" spans="1:5">
      <c r="A2468" t="s">
        <v>2155</v>
      </c>
      <c r="B2468" t="s">
        <v>2154</v>
      </c>
      <c r="C2468" t="s">
        <v>2155</v>
      </c>
      <c r="D2468">
        <v>6118</v>
      </c>
      <c r="E2468">
        <v>6.38</v>
      </c>
    </row>
    <row r="2469" spans="1:5">
      <c r="A2469" t="s">
        <v>2153</v>
      </c>
      <c r="B2469" t="s">
        <v>2152</v>
      </c>
      <c r="C2469" t="s">
        <v>2153</v>
      </c>
      <c r="D2469">
        <v>706</v>
      </c>
      <c r="E2469">
        <v>4.01</v>
      </c>
    </row>
    <row r="2470" spans="1:5">
      <c r="A2470" t="s">
        <v>5713</v>
      </c>
      <c r="B2470" t="s">
        <v>3374</v>
      </c>
      <c r="C2470" t="s">
        <v>5713</v>
      </c>
      <c r="D2470" t="s">
        <v>192</v>
      </c>
      <c r="E2470" t="s">
        <v>192</v>
      </c>
    </row>
    <row r="2471" spans="1:5">
      <c r="A2471" t="s">
        <v>3373</v>
      </c>
      <c r="B2471" t="s">
        <v>3374</v>
      </c>
      <c r="C2471" t="s">
        <v>3373</v>
      </c>
      <c r="D2471" t="s">
        <v>192</v>
      </c>
      <c r="E2471" t="s">
        <v>192</v>
      </c>
    </row>
    <row r="2472" spans="1:5">
      <c r="A2472" t="s">
        <v>2151</v>
      </c>
      <c r="B2472" t="s">
        <v>2150</v>
      </c>
      <c r="C2472" t="s">
        <v>2151</v>
      </c>
      <c r="D2472">
        <v>47</v>
      </c>
      <c r="E2472">
        <v>321.49</v>
      </c>
    </row>
    <row r="2473" spans="1:5">
      <c r="A2473" t="s">
        <v>5133</v>
      </c>
      <c r="B2473" t="s">
        <v>5052</v>
      </c>
      <c r="C2473" t="s">
        <v>5133</v>
      </c>
      <c r="D2473" t="s">
        <v>192</v>
      </c>
      <c r="E2473" t="s">
        <v>192</v>
      </c>
    </row>
    <row r="2474" spans="1:5">
      <c r="A2474" t="s">
        <v>2149</v>
      </c>
      <c r="B2474" t="s">
        <v>2148</v>
      </c>
      <c r="C2474" t="s">
        <v>2149</v>
      </c>
      <c r="D2474">
        <v>1705</v>
      </c>
      <c r="E2474">
        <v>4.96</v>
      </c>
    </row>
    <row r="2475" spans="1:5">
      <c r="A2475" t="s">
        <v>2147</v>
      </c>
      <c r="B2475" t="s">
        <v>222</v>
      </c>
      <c r="C2475" t="s">
        <v>2147</v>
      </c>
      <c r="D2475">
        <v>-84</v>
      </c>
      <c r="E2475">
        <v>-6.93</v>
      </c>
    </row>
    <row r="2476" spans="1:5">
      <c r="A2476" t="s">
        <v>223</v>
      </c>
      <c r="B2476" t="s">
        <v>222</v>
      </c>
      <c r="C2476" t="s">
        <v>223</v>
      </c>
      <c r="D2476">
        <v>-84</v>
      </c>
      <c r="E2476">
        <v>-6.93</v>
      </c>
    </row>
    <row r="2477" spans="1:5">
      <c r="A2477" t="s">
        <v>3303</v>
      </c>
      <c r="B2477" t="s">
        <v>3304</v>
      </c>
      <c r="C2477" t="s">
        <v>3303</v>
      </c>
      <c r="D2477" t="s">
        <v>192</v>
      </c>
      <c r="E2477" t="s">
        <v>192</v>
      </c>
    </row>
    <row r="2478" spans="1:5">
      <c r="A2478" t="s">
        <v>2146</v>
      </c>
      <c r="B2478" t="s">
        <v>2144</v>
      </c>
      <c r="C2478" t="s">
        <v>2146</v>
      </c>
      <c r="D2478">
        <v>1002</v>
      </c>
      <c r="E2478">
        <v>9.3699999999999992</v>
      </c>
    </row>
    <row r="2479" spans="1:5">
      <c r="A2479" t="s">
        <v>2145</v>
      </c>
      <c r="B2479" t="s">
        <v>2144</v>
      </c>
      <c r="C2479" t="s">
        <v>2145</v>
      </c>
      <c r="D2479">
        <v>1002</v>
      </c>
      <c r="E2479">
        <v>9.3699999999999992</v>
      </c>
    </row>
    <row r="2480" spans="1:5">
      <c r="A2480" t="s">
        <v>2143</v>
      </c>
      <c r="B2480" t="s">
        <v>2142</v>
      </c>
      <c r="C2480" t="s">
        <v>2143</v>
      </c>
      <c r="D2480">
        <v>335</v>
      </c>
      <c r="E2480">
        <v>10.64</v>
      </c>
    </row>
    <row r="2481" spans="1:5">
      <c r="A2481" t="s">
        <v>2141</v>
      </c>
      <c r="B2481" t="s">
        <v>2140</v>
      </c>
      <c r="C2481" t="s">
        <v>2141</v>
      </c>
      <c r="D2481">
        <v>346</v>
      </c>
      <c r="E2481">
        <v>4.95</v>
      </c>
    </row>
    <row r="2482" spans="1:5">
      <c r="A2482" t="s">
        <v>2139</v>
      </c>
      <c r="B2482" t="s">
        <v>2138</v>
      </c>
      <c r="C2482" t="s">
        <v>2139</v>
      </c>
      <c r="D2482">
        <v>12</v>
      </c>
      <c r="E2482">
        <v>210.08</v>
      </c>
    </row>
    <row r="2483" spans="1:5">
      <c r="A2483" t="s">
        <v>2137</v>
      </c>
      <c r="B2483" t="s">
        <v>2136</v>
      </c>
      <c r="C2483" t="s">
        <v>2137</v>
      </c>
      <c r="D2483">
        <v>615</v>
      </c>
      <c r="E2483">
        <v>8.44</v>
      </c>
    </row>
    <row r="2484" spans="1:5">
      <c r="A2484" t="s">
        <v>2135</v>
      </c>
      <c r="B2484" t="s">
        <v>2133</v>
      </c>
      <c r="C2484" t="s">
        <v>2135</v>
      </c>
      <c r="D2484">
        <v>42</v>
      </c>
      <c r="E2484">
        <v>122.19</v>
      </c>
    </row>
    <row r="2485" spans="1:5">
      <c r="A2485" t="s">
        <v>2134</v>
      </c>
      <c r="B2485" t="s">
        <v>2133</v>
      </c>
      <c r="C2485" t="s">
        <v>2134</v>
      </c>
      <c r="D2485">
        <v>42</v>
      </c>
      <c r="E2485">
        <v>122.19</v>
      </c>
    </row>
    <row r="2486" spans="1:5">
      <c r="A2486" t="s">
        <v>5572</v>
      </c>
      <c r="B2486" t="s">
        <v>5573</v>
      </c>
      <c r="C2486" t="s">
        <v>5572</v>
      </c>
      <c r="D2486" t="s">
        <v>192</v>
      </c>
      <c r="E2486" t="s">
        <v>192</v>
      </c>
    </row>
    <row r="2487" spans="1:5">
      <c r="A2487" t="s">
        <v>2132</v>
      </c>
      <c r="B2487" t="s">
        <v>2131</v>
      </c>
      <c r="C2487" t="s">
        <v>2132</v>
      </c>
      <c r="D2487">
        <v>-128</v>
      </c>
      <c r="E2487">
        <v>-14.04</v>
      </c>
    </row>
    <row r="2488" spans="1:5">
      <c r="A2488" t="s">
        <v>2130</v>
      </c>
      <c r="B2488" t="s">
        <v>2128</v>
      </c>
      <c r="C2488" t="s">
        <v>2130</v>
      </c>
      <c r="D2488">
        <v>802</v>
      </c>
      <c r="E2488">
        <v>5.51</v>
      </c>
    </row>
    <row r="2489" spans="1:5">
      <c r="A2489" t="s">
        <v>2129</v>
      </c>
      <c r="B2489" t="s">
        <v>2128</v>
      </c>
      <c r="C2489" t="s">
        <v>2129</v>
      </c>
      <c r="D2489">
        <v>802</v>
      </c>
      <c r="E2489">
        <v>5.51</v>
      </c>
    </row>
    <row r="2490" spans="1:5">
      <c r="A2490" t="s">
        <v>2127</v>
      </c>
      <c r="B2490" t="s">
        <v>2125</v>
      </c>
      <c r="C2490" t="s">
        <v>2127</v>
      </c>
      <c r="D2490">
        <v>90</v>
      </c>
      <c r="E2490">
        <v>37.29</v>
      </c>
    </row>
    <row r="2491" spans="1:5">
      <c r="A2491" t="s">
        <v>2126</v>
      </c>
      <c r="B2491" t="s">
        <v>2125</v>
      </c>
      <c r="C2491" t="s">
        <v>2126</v>
      </c>
      <c r="D2491">
        <v>90</v>
      </c>
      <c r="E2491">
        <v>37.29</v>
      </c>
    </row>
    <row r="2492" spans="1:5">
      <c r="A2492" t="s">
        <v>2124</v>
      </c>
      <c r="B2492" t="s">
        <v>2122</v>
      </c>
      <c r="C2492" t="s">
        <v>2124</v>
      </c>
      <c r="D2492">
        <v>48</v>
      </c>
      <c r="E2492">
        <v>47.88</v>
      </c>
    </row>
    <row r="2493" spans="1:5">
      <c r="A2493" t="s">
        <v>2123</v>
      </c>
      <c r="B2493" t="s">
        <v>2122</v>
      </c>
      <c r="C2493" t="s">
        <v>2123</v>
      </c>
      <c r="D2493">
        <v>48</v>
      </c>
      <c r="E2493">
        <v>47.88</v>
      </c>
    </row>
    <row r="2494" spans="1:5">
      <c r="A2494" t="s">
        <v>2121</v>
      </c>
      <c r="B2494" t="s">
        <v>2120</v>
      </c>
      <c r="C2494" t="s">
        <v>2121</v>
      </c>
      <c r="D2494">
        <v>55</v>
      </c>
      <c r="E2494">
        <v>11.73</v>
      </c>
    </row>
    <row r="2495" spans="1:5">
      <c r="A2495" t="s">
        <v>2119</v>
      </c>
      <c r="B2495" t="s">
        <v>2118</v>
      </c>
      <c r="C2495" t="s">
        <v>2119</v>
      </c>
      <c r="D2495">
        <v>376</v>
      </c>
      <c r="E2495">
        <v>4.24</v>
      </c>
    </row>
    <row r="2496" spans="1:5">
      <c r="A2496" t="s">
        <v>2117</v>
      </c>
      <c r="B2496" t="s">
        <v>2116</v>
      </c>
      <c r="C2496" t="s">
        <v>2117</v>
      </c>
      <c r="D2496">
        <v>165</v>
      </c>
      <c r="E2496">
        <v>74.12</v>
      </c>
    </row>
    <row r="2497" spans="1:5">
      <c r="A2497" t="s">
        <v>2115</v>
      </c>
      <c r="B2497" t="s">
        <v>2114</v>
      </c>
      <c r="C2497" t="s">
        <v>2115</v>
      </c>
      <c r="D2497">
        <v>103</v>
      </c>
      <c r="E2497">
        <v>20.260000000000002</v>
      </c>
    </row>
    <row r="2498" spans="1:5">
      <c r="A2498" t="s">
        <v>2113</v>
      </c>
      <c r="B2498" t="s">
        <v>2112</v>
      </c>
      <c r="C2498" t="s">
        <v>2113</v>
      </c>
      <c r="D2498">
        <v>311</v>
      </c>
      <c r="E2498">
        <v>62.28</v>
      </c>
    </row>
    <row r="2499" spans="1:5">
      <c r="A2499" t="s">
        <v>2111</v>
      </c>
      <c r="B2499" t="s">
        <v>2110</v>
      </c>
      <c r="C2499" t="s">
        <v>2111</v>
      </c>
      <c r="D2499">
        <v>388</v>
      </c>
      <c r="E2499">
        <v>13.45</v>
      </c>
    </row>
    <row r="2500" spans="1:5">
      <c r="A2500" t="s">
        <v>2109</v>
      </c>
      <c r="B2500" t="s">
        <v>2108</v>
      </c>
      <c r="C2500" t="s">
        <v>2109</v>
      </c>
      <c r="D2500">
        <v>132</v>
      </c>
      <c r="E2500">
        <v>14.36</v>
      </c>
    </row>
    <row r="2501" spans="1:5">
      <c r="A2501" t="s">
        <v>5331</v>
      </c>
      <c r="B2501" t="s">
        <v>2106</v>
      </c>
      <c r="C2501" t="s">
        <v>5331</v>
      </c>
      <c r="D2501">
        <v>-83</v>
      </c>
      <c r="E2501">
        <v>-6.99</v>
      </c>
    </row>
    <row r="2502" spans="1:5">
      <c r="A2502" t="s">
        <v>2107</v>
      </c>
      <c r="B2502" t="s">
        <v>2106</v>
      </c>
      <c r="C2502" t="s">
        <v>2107</v>
      </c>
      <c r="D2502">
        <v>-83</v>
      </c>
      <c r="E2502">
        <v>-6.99</v>
      </c>
    </row>
    <row r="2503" spans="1:5">
      <c r="A2503" t="s">
        <v>2105</v>
      </c>
      <c r="B2503" t="s">
        <v>2103</v>
      </c>
      <c r="C2503" t="s">
        <v>2105</v>
      </c>
      <c r="D2503">
        <v>344</v>
      </c>
      <c r="E2503">
        <v>4.43</v>
      </c>
    </row>
    <row r="2504" spans="1:5">
      <c r="A2504" t="s">
        <v>2104</v>
      </c>
      <c r="B2504" t="s">
        <v>2103</v>
      </c>
      <c r="C2504" t="s">
        <v>2104</v>
      </c>
      <c r="D2504">
        <v>344</v>
      </c>
      <c r="E2504">
        <v>4.43</v>
      </c>
    </row>
    <row r="2505" spans="1:5">
      <c r="A2505" t="s">
        <v>3210</v>
      </c>
      <c r="B2505" t="s">
        <v>3211</v>
      </c>
      <c r="C2505" t="s">
        <v>3210</v>
      </c>
      <c r="D2505" t="s">
        <v>192</v>
      </c>
      <c r="E2505" t="s">
        <v>192</v>
      </c>
    </row>
    <row r="2506" spans="1:5">
      <c r="A2506" t="s">
        <v>7707</v>
      </c>
      <c r="B2506" t="s">
        <v>2101</v>
      </c>
      <c r="C2506" t="s">
        <v>7707</v>
      </c>
      <c r="D2506">
        <v>40</v>
      </c>
      <c r="E2506">
        <v>29.75</v>
      </c>
    </row>
    <row r="2507" spans="1:5">
      <c r="A2507" t="s">
        <v>2102</v>
      </c>
      <c r="B2507" t="s">
        <v>2101</v>
      </c>
      <c r="C2507" t="s">
        <v>2102</v>
      </c>
      <c r="D2507">
        <v>40</v>
      </c>
      <c r="E2507">
        <v>29.75</v>
      </c>
    </row>
    <row r="2508" spans="1:5">
      <c r="A2508" t="s">
        <v>7708</v>
      </c>
      <c r="B2508" t="s">
        <v>2099</v>
      </c>
      <c r="C2508" t="s">
        <v>7708</v>
      </c>
      <c r="D2508">
        <v>880</v>
      </c>
      <c r="E2508">
        <v>13.53</v>
      </c>
    </row>
    <row r="2509" spans="1:5">
      <c r="A2509" t="s">
        <v>2100</v>
      </c>
      <c r="B2509" t="s">
        <v>2099</v>
      </c>
      <c r="C2509" t="s">
        <v>2100</v>
      </c>
      <c r="D2509">
        <v>880</v>
      </c>
      <c r="E2509">
        <v>13.53</v>
      </c>
    </row>
    <row r="2510" spans="1:5">
      <c r="A2510" t="s">
        <v>2098</v>
      </c>
      <c r="B2510" t="s">
        <v>2097</v>
      </c>
      <c r="C2510" t="s">
        <v>2098</v>
      </c>
      <c r="D2510">
        <v>201</v>
      </c>
      <c r="E2510">
        <v>6.48</v>
      </c>
    </row>
    <row r="2511" spans="1:5">
      <c r="A2511" t="s">
        <v>2096</v>
      </c>
      <c r="B2511" t="s">
        <v>2095</v>
      </c>
      <c r="C2511" t="s">
        <v>2096</v>
      </c>
      <c r="D2511">
        <v>5489</v>
      </c>
      <c r="E2511">
        <v>9.44</v>
      </c>
    </row>
    <row r="2512" spans="1:5">
      <c r="A2512" t="s">
        <v>2094</v>
      </c>
      <c r="B2512" t="s">
        <v>2093</v>
      </c>
      <c r="C2512" t="s">
        <v>2094</v>
      </c>
      <c r="D2512">
        <v>2074</v>
      </c>
      <c r="E2512">
        <v>7.96</v>
      </c>
    </row>
    <row r="2513" spans="1:5">
      <c r="A2513" t="s">
        <v>2092</v>
      </c>
      <c r="B2513" t="s">
        <v>2090</v>
      </c>
      <c r="C2513" t="s">
        <v>2092</v>
      </c>
      <c r="D2513">
        <v>2</v>
      </c>
      <c r="E2513">
        <v>2247</v>
      </c>
    </row>
    <row r="2514" spans="1:5">
      <c r="A2514" t="s">
        <v>2091</v>
      </c>
      <c r="B2514" t="s">
        <v>2090</v>
      </c>
      <c r="C2514" t="s">
        <v>2091</v>
      </c>
      <c r="D2514">
        <v>2</v>
      </c>
      <c r="E2514">
        <v>2247</v>
      </c>
    </row>
    <row r="2515" spans="1:5">
      <c r="A2515" t="s">
        <v>2089</v>
      </c>
      <c r="B2515" t="s">
        <v>2088</v>
      </c>
      <c r="C2515" t="s">
        <v>2089</v>
      </c>
      <c r="D2515">
        <v>692</v>
      </c>
      <c r="E2515">
        <v>3.32</v>
      </c>
    </row>
    <row r="2516" spans="1:5">
      <c r="A2516" t="s">
        <v>7709</v>
      </c>
      <c r="B2516" t="s">
        <v>2086</v>
      </c>
      <c r="C2516" t="s">
        <v>7709</v>
      </c>
      <c r="D2516">
        <v>303</v>
      </c>
      <c r="E2516">
        <v>5</v>
      </c>
    </row>
    <row r="2517" spans="1:5">
      <c r="A2517" t="s">
        <v>2087</v>
      </c>
      <c r="B2517" t="s">
        <v>2086</v>
      </c>
      <c r="C2517" t="s">
        <v>2087</v>
      </c>
      <c r="D2517">
        <v>303</v>
      </c>
      <c r="E2517">
        <v>5</v>
      </c>
    </row>
    <row r="2518" spans="1:5">
      <c r="A2518" t="s">
        <v>2085</v>
      </c>
      <c r="B2518" t="s">
        <v>2084</v>
      </c>
      <c r="C2518" t="s">
        <v>2085</v>
      </c>
      <c r="D2518">
        <v>138</v>
      </c>
      <c r="E2518">
        <v>22.69</v>
      </c>
    </row>
    <row r="2519" spans="1:5">
      <c r="A2519" t="s">
        <v>2083</v>
      </c>
      <c r="B2519" t="s">
        <v>2082</v>
      </c>
      <c r="C2519" t="s">
        <v>2083</v>
      </c>
      <c r="D2519">
        <v>-1349</v>
      </c>
      <c r="E2519">
        <v>-0.84</v>
      </c>
    </row>
    <row r="2520" spans="1:5">
      <c r="A2520" t="s">
        <v>2081</v>
      </c>
      <c r="B2520" t="s">
        <v>2079</v>
      </c>
      <c r="C2520" t="s">
        <v>2081</v>
      </c>
      <c r="D2520">
        <v>64</v>
      </c>
      <c r="E2520">
        <v>32.19</v>
      </c>
    </row>
    <row r="2521" spans="1:5">
      <c r="A2521" t="s">
        <v>2080</v>
      </c>
      <c r="B2521" t="s">
        <v>2079</v>
      </c>
      <c r="C2521" t="s">
        <v>2080</v>
      </c>
      <c r="D2521">
        <v>64</v>
      </c>
      <c r="E2521">
        <v>32.19</v>
      </c>
    </row>
    <row r="2522" spans="1:5">
      <c r="A2522" t="s">
        <v>2078</v>
      </c>
      <c r="B2522" t="s">
        <v>2077</v>
      </c>
      <c r="C2522" t="s">
        <v>2078</v>
      </c>
      <c r="D2522">
        <v>8</v>
      </c>
      <c r="E2522">
        <v>186.75</v>
      </c>
    </row>
    <row r="2523" spans="1:5">
      <c r="A2523" t="s">
        <v>7710</v>
      </c>
      <c r="B2523" t="s">
        <v>86</v>
      </c>
      <c r="C2523" t="s">
        <v>7710</v>
      </c>
      <c r="D2523">
        <v>904</v>
      </c>
      <c r="E2523">
        <v>7.44</v>
      </c>
    </row>
    <row r="2524" spans="1:5">
      <c r="A2524" t="s">
        <v>87</v>
      </c>
      <c r="B2524" t="s">
        <v>86</v>
      </c>
      <c r="C2524" t="s">
        <v>87</v>
      </c>
      <c r="D2524">
        <v>904</v>
      </c>
      <c r="E2524">
        <v>7.44</v>
      </c>
    </row>
    <row r="2525" spans="1:5">
      <c r="A2525" t="s">
        <v>3410</v>
      </c>
      <c r="B2525" t="s">
        <v>3411</v>
      </c>
      <c r="C2525" t="s">
        <v>3410</v>
      </c>
      <c r="D2525" t="s">
        <v>192</v>
      </c>
      <c r="E2525" t="s">
        <v>192</v>
      </c>
    </row>
    <row r="2526" spans="1:5">
      <c r="A2526" t="s">
        <v>2076</v>
      </c>
      <c r="B2526" t="s">
        <v>2075</v>
      </c>
      <c r="C2526" t="s">
        <v>2076</v>
      </c>
      <c r="D2526">
        <v>2287</v>
      </c>
      <c r="E2526">
        <v>7.01</v>
      </c>
    </row>
    <row r="2527" spans="1:5">
      <c r="A2527" t="s">
        <v>5468</v>
      </c>
      <c r="B2527" t="s">
        <v>2073</v>
      </c>
      <c r="C2527" t="s">
        <v>5468</v>
      </c>
      <c r="D2527">
        <v>53</v>
      </c>
      <c r="E2527">
        <v>28.08</v>
      </c>
    </row>
    <row r="2528" spans="1:5">
      <c r="A2528" t="s">
        <v>2074</v>
      </c>
      <c r="B2528" t="s">
        <v>2073</v>
      </c>
      <c r="C2528" t="s">
        <v>2074</v>
      </c>
      <c r="D2528">
        <v>53</v>
      </c>
      <c r="E2528">
        <v>28.08</v>
      </c>
    </row>
    <row r="2529" spans="1:5">
      <c r="A2529" t="s">
        <v>7711</v>
      </c>
      <c r="B2529" t="s">
        <v>2071</v>
      </c>
      <c r="C2529" t="s">
        <v>7711</v>
      </c>
      <c r="D2529">
        <v>-1620</v>
      </c>
      <c r="E2529">
        <v>-1.36</v>
      </c>
    </row>
    <row r="2530" spans="1:5">
      <c r="A2530" t="s">
        <v>2072</v>
      </c>
      <c r="B2530" t="s">
        <v>2071</v>
      </c>
      <c r="C2530" t="s">
        <v>2072</v>
      </c>
      <c r="D2530">
        <v>-1620</v>
      </c>
      <c r="E2530">
        <v>-1.36</v>
      </c>
    </row>
    <row r="2531" spans="1:5">
      <c r="A2531" t="s">
        <v>7712</v>
      </c>
      <c r="B2531" t="s">
        <v>6134</v>
      </c>
      <c r="C2531" t="s">
        <v>7712</v>
      </c>
      <c r="D2531" t="s">
        <v>192</v>
      </c>
      <c r="E2531" t="s">
        <v>192</v>
      </c>
    </row>
    <row r="2532" spans="1:5">
      <c r="A2532" t="s">
        <v>6133</v>
      </c>
      <c r="B2532" t="s">
        <v>6134</v>
      </c>
      <c r="C2532" t="s">
        <v>6133</v>
      </c>
      <c r="D2532" t="s">
        <v>192</v>
      </c>
      <c r="E2532" t="s">
        <v>192</v>
      </c>
    </row>
    <row r="2533" spans="1:5">
      <c r="A2533" t="s">
        <v>5746</v>
      </c>
      <c r="B2533" t="s">
        <v>5747</v>
      </c>
      <c r="C2533" t="s">
        <v>5746</v>
      </c>
      <c r="D2533" t="s">
        <v>192</v>
      </c>
      <c r="E2533" t="s">
        <v>192</v>
      </c>
    </row>
    <row r="2534" spans="1:5">
      <c r="A2534" t="s">
        <v>6280</v>
      </c>
      <c r="B2534" t="s">
        <v>6281</v>
      </c>
      <c r="C2534" t="s">
        <v>6280</v>
      </c>
      <c r="D2534" t="s">
        <v>192</v>
      </c>
      <c r="E2534" t="s">
        <v>192</v>
      </c>
    </row>
    <row r="2535" spans="1:5">
      <c r="A2535" t="s">
        <v>5718</v>
      </c>
      <c r="B2535" t="s">
        <v>5719</v>
      </c>
      <c r="C2535" t="s">
        <v>5718</v>
      </c>
      <c r="D2535" t="s">
        <v>192</v>
      </c>
      <c r="E2535" t="s">
        <v>192</v>
      </c>
    </row>
    <row r="2536" spans="1:5">
      <c r="A2536" t="s">
        <v>5690</v>
      </c>
      <c r="B2536" t="s">
        <v>5691</v>
      </c>
      <c r="C2536" t="s">
        <v>5690</v>
      </c>
      <c r="D2536" t="s">
        <v>192</v>
      </c>
      <c r="E2536" t="s">
        <v>192</v>
      </c>
    </row>
    <row r="2537" spans="1:5">
      <c r="A2537" t="s">
        <v>2070</v>
      </c>
      <c r="B2537" t="s">
        <v>2068</v>
      </c>
      <c r="C2537" t="s">
        <v>2070</v>
      </c>
      <c r="D2537">
        <v>471</v>
      </c>
      <c r="E2537">
        <v>18.11</v>
      </c>
    </row>
    <row r="2538" spans="1:5">
      <c r="A2538" t="s">
        <v>2069</v>
      </c>
      <c r="B2538" t="s">
        <v>2068</v>
      </c>
      <c r="C2538" t="s">
        <v>2069</v>
      </c>
      <c r="D2538">
        <v>471</v>
      </c>
      <c r="E2538">
        <v>18.11</v>
      </c>
    </row>
    <row r="2539" spans="1:5">
      <c r="A2539" t="s">
        <v>2067</v>
      </c>
      <c r="B2539" t="s">
        <v>2066</v>
      </c>
      <c r="C2539" t="s">
        <v>2067</v>
      </c>
      <c r="D2539">
        <v>272</v>
      </c>
      <c r="E2539">
        <v>9.07</v>
      </c>
    </row>
    <row r="2540" spans="1:5">
      <c r="A2540" t="s">
        <v>2065</v>
      </c>
      <c r="B2540" t="s">
        <v>2064</v>
      </c>
      <c r="C2540" t="s">
        <v>2065</v>
      </c>
      <c r="D2540">
        <v>185</v>
      </c>
      <c r="E2540">
        <v>10.89</v>
      </c>
    </row>
    <row r="2541" spans="1:5">
      <c r="A2541" t="s">
        <v>2063</v>
      </c>
      <c r="B2541" t="s">
        <v>2062</v>
      </c>
      <c r="C2541" t="s">
        <v>2063</v>
      </c>
      <c r="D2541">
        <v>1478</v>
      </c>
      <c r="E2541">
        <v>4.63</v>
      </c>
    </row>
    <row r="2542" spans="1:5">
      <c r="A2542" t="s">
        <v>2061</v>
      </c>
      <c r="B2542" t="s">
        <v>2059</v>
      </c>
      <c r="C2542" t="s">
        <v>2061</v>
      </c>
      <c r="D2542">
        <v>2541</v>
      </c>
      <c r="E2542">
        <v>1.77</v>
      </c>
    </row>
    <row r="2543" spans="1:5">
      <c r="A2543" t="s">
        <v>2060</v>
      </c>
      <c r="B2543" t="s">
        <v>2059</v>
      </c>
      <c r="C2543" t="s">
        <v>2060</v>
      </c>
      <c r="D2543">
        <v>2541</v>
      </c>
      <c r="E2543">
        <v>1.77</v>
      </c>
    </row>
    <row r="2544" spans="1:5">
      <c r="A2544" t="s">
        <v>7713</v>
      </c>
      <c r="B2544" t="s">
        <v>2057</v>
      </c>
      <c r="C2544" t="s">
        <v>7713</v>
      </c>
      <c r="D2544">
        <v>180</v>
      </c>
      <c r="E2544">
        <v>29.78</v>
      </c>
    </row>
    <row r="2545" spans="1:5">
      <c r="A2545" t="s">
        <v>2058</v>
      </c>
      <c r="B2545" t="s">
        <v>2057</v>
      </c>
      <c r="C2545" t="s">
        <v>2058</v>
      </c>
      <c r="D2545">
        <v>180</v>
      </c>
      <c r="E2545">
        <v>29.78</v>
      </c>
    </row>
    <row r="2546" spans="1:5">
      <c r="A2546" t="s">
        <v>2056</v>
      </c>
      <c r="B2546" t="s">
        <v>2055</v>
      </c>
      <c r="C2546" t="s">
        <v>2056</v>
      </c>
      <c r="D2546">
        <v>31</v>
      </c>
      <c r="E2546">
        <v>45.81</v>
      </c>
    </row>
    <row r="2547" spans="1:5">
      <c r="A2547" t="s">
        <v>2054</v>
      </c>
      <c r="B2547" t="s">
        <v>2053</v>
      </c>
      <c r="C2547" t="s">
        <v>2054</v>
      </c>
      <c r="D2547">
        <v>2580</v>
      </c>
      <c r="E2547">
        <v>6.99</v>
      </c>
    </row>
    <row r="2548" spans="1:5">
      <c r="A2548" t="s">
        <v>2052</v>
      </c>
      <c r="B2548" t="s">
        <v>2051</v>
      </c>
      <c r="C2548" t="s">
        <v>2052</v>
      </c>
      <c r="D2548">
        <v>630</v>
      </c>
      <c r="E2548">
        <v>7.98</v>
      </c>
    </row>
    <row r="2549" spans="1:5">
      <c r="A2549" t="s">
        <v>2050</v>
      </c>
      <c r="B2549" t="s">
        <v>2049</v>
      </c>
      <c r="C2549" t="s">
        <v>2050</v>
      </c>
      <c r="D2549">
        <v>302</v>
      </c>
      <c r="E2549">
        <v>7.66</v>
      </c>
    </row>
    <row r="2550" spans="1:5">
      <c r="A2550" t="s">
        <v>2048</v>
      </c>
      <c r="B2550" t="s">
        <v>2047</v>
      </c>
      <c r="C2550" t="s">
        <v>2048</v>
      </c>
      <c r="D2550">
        <v>383</v>
      </c>
      <c r="E2550">
        <v>50.52</v>
      </c>
    </row>
    <row r="2551" spans="1:5">
      <c r="A2551" t="s">
        <v>2046</v>
      </c>
      <c r="B2551" t="s">
        <v>2045</v>
      </c>
      <c r="C2551" t="s">
        <v>2046</v>
      </c>
      <c r="D2551">
        <v>1011</v>
      </c>
      <c r="E2551">
        <v>5.45</v>
      </c>
    </row>
    <row r="2552" spans="1:5">
      <c r="A2552" t="s">
        <v>7714</v>
      </c>
      <c r="B2552" t="s">
        <v>2043</v>
      </c>
      <c r="C2552" t="s">
        <v>7714</v>
      </c>
      <c r="D2552">
        <v>360</v>
      </c>
      <c r="E2552">
        <v>5.86</v>
      </c>
    </row>
    <row r="2553" spans="1:5">
      <c r="A2553" t="s">
        <v>2044</v>
      </c>
      <c r="B2553" t="s">
        <v>2043</v>
      </c>
      <c r="C2553" t="s">
        <v>2044</v>
      </c>
      <c r="D2553">
        <v>360</v>
      </c>
      <c r="E2553">
        <v>5.86</v>
      </c>
    </row>
    <row r="2554" spans="1:5">
      <c r="A2554" t="s">
        <v>2042</v>
      </c>
      <c r="B2554" t="s">
        <v>2041</v>
      </c>
      <c r="C2554" t="s">
        <v>2042</v>
      </c>
      <c r="D2554">
        <v>1319</v>
      </c>
      <c r="E2554">
        <v>6.4</v>
      </c>
    </row>
    <row r="2555" spans="1:5">
      <c r="A2555" t="s">
        <v>2040</v>
      </c>
      <c r="B2555" t="s">
        <v>2039</v>
      </c>
      <c r="C2555" t="s">
        <v>2040</v>
      </c>
      <c r="D2555">
        <v>1013</v>
      </c>
      <c r="E2555">
        <v>7.31</v>
      </c>
    </row>
    <row r="2556" spans="1:5">
      <c r="A2556" t="s">
        <v>2038</v>
      </c>
      <c r="B2556" t="s">
        <v>2037</v>
      </c>
      <c r="C2556" t="s">
        <v>2038</v>
      </c>
      <c r="D2556">
        <v>655</v>
      </c>
      <c r="E2556">
        <v>21.28</v>
      </c>
    </row>
    <row r="2557" spans="1:5">
      <c r="A2557" t="s">
        <v>2036</v>
      </c>
      <c r="B2557" t="s">
        <v>2035</v>
      </c>
      <c r="C2557" t="s">
        <v>2036</v>
      </c>
      <c r="D2557">
        <v>1967</v>
      </c>
      <c r="E2557">
        <v>7.16</v>
      </c>
    </row>
    <row r="2558" spans="1:5">
      <c r="A2558" t="s">
        <v>3375</v>
      </c>
      <c r="B2558" t="s">
        <v>3376</v>
      </c>
      <c r="C2558" t="s">
        <v>3375</v>
      </c>
      <c r="D2558" t="s">
        <v>192</v>
      </c>
      <c r="E2558" t="s">
        <v>192</v>
      </c>
    </row>
    <row r="2559" spans="1:5">
      <c r="A2559" t="s">
        <v>7715</v>
      </c>
      <c r="B2559" t="s">
        <v>2033</v>
      </c>
      <c r="C2559" t="s">
        <v>7715</v>
      </c>
      <c r="D2559">
        <v>724</v>
      </c>
      <c r="E2559">
        <v>2.2599999999999998</v>
      </c>
    </row>
    <row r="2560" spans="1:5">
      <c r="A2560" t="s">
        <v>2034</v>
      </c>
      <c r="B2560" t="s">
        <v>2033</v>
      </c>
      <c r="C2560" t="s">
        <v>2034</v>
      </c>
      <c r="D2560">
        <v>724</v>
      </c>
      <c r="E2560">
        <v>2.2599999999999998</v>
      </c>
    </row>
    <row r="2561" spans="1:5">
      <c r="A2561" t="s">
        <v>7716</v>
      </c>
      <c r="B2561" t="s">
        <v>7717</v>
      </c>
      <c r="C2561" t="s">
        <v>7716</v>
      </c>
      <c r="D2561" t="s">
        <v>192</v>
      </c>
      <c r="E2561" t="s">
        <v>192</v>
      </c>
    </row>
    <row r="2562" spans="1:5">
      <c r="A2562" t="s">
        <v>2032</v>
      </c>
      <c r="B2562" t="s">
        <v>2031</v>
      </c>
      <c r="C2562" t="s">
        <v>2032</v>
      </c>
      <c r="D2562">
        <v>197</v>
      </c>
      <c r="E2562">
        <v>17.13</v>
      </c>
    </row>
    <row r="2563" spans="1:5">
      <c r="A2563" t="s">
        <v>5734</v>
      </c>
      <c r="B2563" t="s">
        <v>5735</v>
      </c>
      <c r="C2563" t="s">
        <v>5734</v>
      </c>
      <c r="D2563" t="s">
        <v>192</v>
      </c>
      <c r="E2563" t="s">
        <v>192</v>
      </c>
    </row>
    <row r="2564" spans="1:5">
      <c r="A2564" t="s">
        <v>6264</v>
      </c>
      <c r="B2564" t="s">
        <v>6265</v>
      </c>
      <c r="C2564" t="s">
        <v>6264</v>
      </c>
      <c r="D2564" t="s">
        <v>192</v>
      </c>
      <c r="E2564" t="s">
        <v>192</v>
      </c>
    </row>
    <row r="2565" spans="1:5">
      <c r="A2565" t="s">
        <v>3218</v>
      </c>
      <c r="B2565" t="s">
        <v>3219</v>
      </c>
      <c r="C2565" t="s">
        <v>3218</v>
      </c>
      <c r="D2565" t="s">
        <v>192</v>
      </c>
      <c r="E2565" t="s">
        <v>192</v>
      </c>
    </row>
    <row r="2566" spans="1:5">
      <c r="A2566" t="s">
        <v>2030</v>
      </c>
      <c r="B2566" t="s">
        <v>2029</v>
      </c>
      <c r="C2566" t="s">
        <v>2030</v>
      </c>
      <c r="D2566">
        <v>574</v>
      </c>
      <c r="E2566">
        <v>27.54</v>
      </c>
    </row>
    <row r="2567" spans="1:5">
      <c r="A2567" t="s">
        <v>2028</v>
      </c>
      <c r="B2567" t="s">
        <v>2027</v>
      </c>
      <c r="C2567" t="s">
        <v>2028</v>
      </c>
      <c r="D2567">
        <v>-1269</v>
      </c>
      <c r="E2567">
        <v>-5.82</v>
      </c>
    </row>
    <row r="2568" spans="1:5">
      <c r="A2568" t="s">
        <v>2026</v>
      </c>
      <c r="B2568" t="s">
        <v>2024</v>
      </c>
      <c r="C2568" t="s">
        <v>2026</v>
      </c>
      <c r="D2568">
        <v>445</v>
      </c>
      <c r="E2568">
        <v>8.9600000000000009</v>
      </c>
    </row>
    <row r="2569" spans="1:5">
      <c r="A2569" t="s">
        <v>2025</v>
      </c>
      <c r="B2569" t="s">
        <v>2024</v>
      </c>
      <c r="C2569" t="s">
        <v>2025</v>
      </c>
      <c r="D2569">
        <v>445</v>
      </c>
      <c r="E2569">
        <v>8.9600000000000009</v>
      </c>
    </row>
    <row r="2570" spans="1:5">
      <c r="A2570" t="s">
        <v>2023</v>
      </c>
      <c r="B2570" t="s">
        <v>2022</v>
      </c>
      <c r="C2570" t="s">
        <v>2023</v>
      </c>
      <c r="D2570">
        <v>-11</v>
      </c>
      <c r="E2570">
        <v>-628.17999999999995</v>
      </c>
    </row>
    <row r="2571" spans="1:5">
      <c r="A2571" t="s">
        <v>7718</v>
      </c>
      <c r="B2571" t="s">
        <v>2020</v>
      </c>
      <c r="C2571" t="s">
        <v>7718</v>
      </c>
      <c r="D2571">
        <v>467</v>
      </c>
      <c r="E2571">
        <v>5.01</v>
      </c>
    </row>
    <row r="2572" spans="1:5">
      <c r="A2572" t="s">
        <v>7719</v>
      </c>
      <c r="B2572" t="s">
        <v>2020</v>
      </c>
      <c r="C2572" t="s">
        <v>7719</v>
      </c>
      <c r="D2572">
        <v>467</v>
      </c>
      <c r="E2572">
        <v>5</v>
      </c>
    </row>
    <row r="2573" spans="1:5">
      <c r="A2573" t="s">
        <v>2021</v>
      </c>
      <c r="B2573" t="s">
        <v>2020</v>
      </c>
      <c r="C2573" t="s">
        <v>2021</v>
      </c>
      <c r="D2573">
        <v>467</v>
      </c>
      <c r="E2573">
        <v>5.01</v>
      </c>
    </row>
    <row r="2574" spans="1:5">
      <c r="A2574" t="s">
        <v>2019</v>
      </c>
      <c r="B2574" t="s">
        <v>2017</v>
      </c>
      <c r="C2574" t="s">
        <v>2019</v>
      </c>
      <c r="D2574">
        <v>13057</v>
      </c>
      <c r="E2574">
        <v>7.45</v>
      </c>
    </row>
    <row r="2575" spans="1:5">
      <c r="A2575" t="s">
        <v>2018</v>
      </c>
      <c r="B2575" t="s">
        <v>2017</v>
      </c>
      <c r="C2575" t="s">
        <v>2018</v>
      </c>
      <c r="D2575">
        <v>13057</v>
      </c>
      <c r="E2575">
        <v>7.45</v>
      </c>
    </row>
    <row r="2576" spans="1:5">
      <c r="A2576" t="s">
        <v>5455</v>
      </c>
      <c r="B2576" t="s">
        <v>5456</v>
      </c>
      <c r="C2576" t="s">
        <v>5455</v>
      </c>
      <c r="D2576" t="s">
        <v>192</v>
      </c>
      <c r="E2576" t="s">
        <v>192</v>
      </c>
    </row>
    <row r="2577" spans="1:5">
      <c r="A2577" t="s">
        <v>2016</v>
      </c>
      <c r="B2577" t="s">
        <v>2015</v>
      </c>
      <c r="C2577" t="s">
        <v>2016</v>
      </c>
      <c r="D2577">
        <v>2700</v>
      </c>
      <c r="E2577">
        <v>5.04</v>
      </c>
    </row>
    <row r="2578" spans="1:5">
      <c r="A2578" t="s">
        <v>7720</v>
      </c>
      <c r="B2578" t="s">
        <v>5939</v>
      </c>
      <c r="C2578" t="s">
        <v>7720</v>
      </c>
      <c r="D2578" t="s">
        <v>192</v>
      </c>
      <c r="E2578" t="s">
        <v>192</v>
      </c>
    </row>
    <row r="2579" spans="1:5">
      <c r="A2579" t="s">
        <v>5938</v>
      </c>
      <c r="B2579" t="s">
        <v>5939</v>
      </c>
      <c r="C2579" t="s">
        <v>5938</v>
      </c>
      <c r="D2579" t="s">
        <v>192</v>
      </c>
      <c r="E2579" t="s">
        <v>192</v>
      </c>
    </row>
    <row r="2580" spans="1:5">
      <c r="A2580" t="s">
        <v>2014</v>
      </c>
      <c r="B2580" t="s">
        <v>2012</v>
      </c>
      <c r="C2580" t="s">
        <v>2014</v>
      </c>
      <c r="D2580">
        <v>1589</v>
      </c>
      <c r="E2580">
        <v>8.0299999999999994</v>
      </c>
    </row>
    <row r="2581" spans="1:5">
      <c r="A2581" t="s">
        <v>2013</v>
      </c>
      <c r="B2581" t="s">
        <v>2012</v>
      </c>
      <c r="C2581" t="s">
        <v>2013</v>
      </c>
      <c r="D2581">
        <v>1589</v>
      </c>
      <c r="E2581">
        <v>8.0299999999999994</v>
      </c>
    </row>
    <row r="2582" spans="1:5">
      <c r="A2582" t="s">
        <v>2011</v>
      </c>
      <c r="B2582" t="s">
        <v>2010</v>
      </c>
      <c r="C2582" t="s">
        <v>2011</v>
      </c>
      <c r="D2582">
        <v>765</v>
      </c>
      <c r="E2582">
        <v>6.26</v>
      </c>
    </row>
    <row r="2583" spans="1:5">
      <c r="A2583" t="s">
        <v>4942</v>
      </c>
      <c r="B2583" t="s">
        <v>4943</v>
      </c>
      <c r="C2583" t="s">
        <v>4942</v>
      </c>
      <c r="D2583" t="s">
        <v>192</v>
      </c>
      <c r="E2583" t="s">
        <v>192</v>
      </c>
    </row>
    <row r="2584" spans="1:5">
      <c r="A2584" t="s">
        <v>5857</v>
      </c>
      <c r="B2584" t="s">
        <v>4943</v>
      </c>
      <c r="C2584" t="s">
        <v>5857</v>
      </c>
      <c r="D2584" t="s">
        <v>192</v>
      </c>
      <c r="E2584" t="s">
        <v>192</v>
      </c>
    </row>
    <row r="2585" spans="1:5">
      <c r="A2585" t="s">
        <v>5792</v>
      </c>
      <c r="B2585" t="s">
        <v>5793</v>
      </c>
      <c r="C2585" t="s">
        <v>5792</v>
      </c>
      <c r="D2585" t="s">
        <v>192</v>
      </c>
      <c r="E2585" t="s">
        <v>192</v>
      </c>
    </row>
    <row r="2586" spans="1:5">
      <c r="A2586" t="s">
        <v>6070</v>
      </c>
      <c r="B2586" t="s">
        <v>6071</v>
      </c>
      <c r="C2586" t="s">
        <v>6070</v>
      </c>
      <c r="D2586" t="s">
        <v>192</v>
      </c>
      <c r="E2586" t="s">
        <v>192</v>
      </c>
    </row>
    <row r="2587" spans="1:5">
      <c r="A2587" t="s">
        <v>5081</v>
      </c>
      <c r="B2587" t="s">
        <v>5082</v>
      </c>
      <c r="C2587" t="s">
        <v>5081</v>
      </c>
      <c r="D2587" t="s">
        <v>192</v>
      </c>
      <c r="E2587" t="s">
        <v>192</v>
      </c>
    </row>
    <row r="2588" spans="1:5">
      <c r="A2588" t="s">
        <v>2009</v>
      </c>
      <c r="B2588" t="s">
        <v>2008</v>
      </c>
      <c r="C2588" t="s">
        <v>2009</v>
      </c>
      <c r="D2588">
        <v>-104</v>
      </c>
      <c r="E2588">
        <v>-6.32</v>
      </c>
    </row>
    <row r="2589" spans="1:5">
      <c r="A2589" t="s">
        <v>4043</v>
      </c>
      <c r="B2589" t="s">
        <v>4044</v>
      </c>
      <c r="C2589" t="s">
        <v>4043</v>
      </c>
      <c r="D2589" t="s">
        <v>192</v>
      </c>
      <c r="E2589" t="s">
        <v>192</v>
      </c>
    </row>
    <row r="2590" spans="1:5">
      <c r="A2590" t="s">
        <v>5758</v>
      </c>
      <c r="B2590" t="s">
        <v>2004</v>
      </c>
      <c r="C2590" t="s">
        <v>5758</v>
      </c>
      <c r="D2590">
        <v>5855</v>
      </c>
      <c r="E2590">
        <v>6.31</v>
      </c>
    </row>
    <row r="2591" spans="1:5">
      <c r="A2591" t="s">
        <v>2007</v>
      </c>
      <c r="B2591" t="s">
        <v>2006</v>
      </c>
      <c r="C2591" t="s">
        <v>2007</v>
      </c>
      <c r="D2591">
        <v>32311</v>
      </c>
      <c r="E2591">
        <v>4.72</v>
      </c>
    </row>
    <row r="2592" spans="1:5">
      <c r="A2592" t="s">
        <v>2005</v>
      </c>
      <c r="B2592" t="s">
        <v>2004</v>
      </c>
      <c r="C2592" t="s">
        <v>2005</v>
      </c>
      <c r="D2592">
        <v>5855</v>
      </c>
      <c r="E2592">
        <v>6.31</v>
      </c>
    </row>
    <row r="2593" spans="1:5">
      <c r="A2593" t="s">
        <v>5045</v>
      </c>
      <c r="B2593" t="s">
        <v>5046</v>
      </c>
      <c r="C2593" t="s">
        <v>5045</v>
      </c>
      <c r="D2593" t="s">
        <v>192</v>
      </c>
      <c r="E2593" t="s">
        <v>192</v>
      </c>
    </row>
    <row r="2594" spans="1:5">
      <c r="A2594" t="s">
        <v>5845</v>
      </c>
      <c r="B2594" t="s">
        <v>5846</v>
      </c>
      <c r="C2594" t="s">
        <v>5845</v>
      </c>
      <c r="D2594" t="s">
        <v>192</v>
      </c>
      <c r="E2594" t="s">
        <v>192</v>
      </c>
    </row>
    <row r="2595" spans="1:5">
      <c r="A2595" t="s">
        <v>4878</v>
      </c>
      <c r="B2595" t="s">
        <v>4879</v>
      </c>
      <c r="C2595" t="s">
        <v>4878</v>
      </c>
      <c r="D2595" t="s">
        <v>192</v>
      </c>
      <c r="E2595" t="s">
        <v>192</v>
      </c>
    </row>
    <row r="2596" spans="1:5">
      <c r="A2596" t="s">
        <v>5515</v>
      </c>
      <c r="B2596" t="s">
        <v>5516</v>
      </c>
      <c r="C2596" t="s">
        <v>5515</v>
      </c>
      <c r="D2596" t="s">
        <v>192</v>
      </c>
      <c r="E2596" t="s">
        <v>192</v>
      </c>
    </row>
    <row r="2597" spans="1:5">
      <c r="A2597" t="s">
        <v>2003</v>
      </c>
      <c r="B2597" t="s">
        <v>2001</v>
      </c>
      <c r="C2597" t="s">
        <v>2003</v>
      </c>
      <c r="D2597">
        <v>90</v>
      </c>
      <c r="E2597">
        <v>74.56</v>
      </c>
    </row>
    <row r="2598" spans="1:5">
      <c r="A2598" t="s">
        <v>2002</v>
      </c>
      <c r="B2598" t="s">
        <v>2001</v>
      </c>
      <c r="C2598" t="s">
        <v>2002</v>
      </c>
      <c r="D2598">
        <v>90</v>
      </c>
      <c r="E2598">
        <v>74.56</v>
      </c>
    </row>
    <row r="2599" spans="1:5">
      <c r="A2599" t="s">
        <v>2000</v>
      </c>
      <c r="B2599" t="s">
        <v>1999</v>
      </c>
      <c r="C2599" t="s">
        <v>2000</v>
      </c>
      <c r="D2599">
        <v>78</v>
      </c>
      <c r="E2599">
        <v>59.76</v>
      </c>
    </row>
    <row r="2600" spans="1:5">
      <c r="A2600" t="s">
        <v>1998</v>
      </c>
      <c r="B2600" t="s">
        <v>1997</v>
      </c>
      <c r="C2600" t="s">
        <v>1998</v>
      </c>
      <c r="D2600">
        <v>-569</v>
      </c>
      <c r="E2600">
        <v>-122.23</v>
      </c>
    </row>
    <row r="2601" spans="1:5">
      <c r="A2601" t="s">
        <v>1996</v>
      </c>
      <c r="B2601" t="s">
        <v>1995</v>
      </c>
      <c r="C2601" t="s">
        <v>1996</v>
      </c>
      <c r="D2601">
        <v>-15</v>
      </c>
      <c r="E2601">
        <v>-105.2</v>
      </c>
    </row>
    <row r="2602" spans="1:5">
      <c r="A2602" t="s">
        <v>5780</v>
      </c>
      <c r="B2602" t="s">
        <v>5781</v>
      </c>
      <c r="C2602" t="s">
        <v>5780</v>
      </c>
      <c r="D2602" t="s">
        <v>192</v>
      </c>
      <c r="E2602" t="s">
        <v>192</v>
      </c>
    </row>
    <row r="2603" spans="1:5">
      <c r="A2603" t="s">
        <v>5595</v>
      </c>
      <c r="B2603" t="s">
        <v>5596</v>
      </c>
      <c r="C2603" t="s">
        <v>5595</v>
      </c>
      <c r="D2603" t="s">
        <v>192</v>
      </c>
      <c r="E2603" t="s">
        <v>192</v>
      </c>
    </row>
    <row r="2604" spans="1:5">
      <c r="A2604" t="s">
        <v>1994</v>
      </c>
      <c r="B2604" t="s">
        <v>1993</v>
      </c>
      <c r="C2604" t="s">
        <v>1994</v>
      </c>
      <c r="D2604">
        <v>258</v>
      </c>
      <c r="E2604">
        <v>8.86</v>
      </c>
    </row>
    <row r="2605" spans="1:5">
      <c r="A2605" t="s">
        <v>6117</v>
      </c>
      <c r="B2605" t="s">
        <v>5698</v>
      </c>
      <c r="C2605" t="s">
        <v>6117</v>
      </c>
      <c r="D2605" t="s">
        <v>192</v>
      </c>
      <c r="E2605" t="s">
        <v>192</v>
      </c>
    </row>
    <row r="2606" spans="1:5">
      <c r="A2606" t="s">
        <v>1992</v>
      </c>
      <c r="B2606" t="s">
        <v>1991</v>
      </c>
      <c r="C2606" t="s">
        <v>1992</v>
      </c>
      <c r="D2606">
        <v>24</v>
      </c>
      <c r="E2606">
        <v>59.96</v>
      </c>
    </row>
    <row r="2607" spans="1:5">
      <c r="A2607" t="s">
        <v>1990</v>
      </c>
      <c r="B2607" t="s">
        <v>1988</v>
      </c>
      <c r="C2607" t="s">
        <v>1990</v>
      </c>
      <c r="D2607">
        <v>367</v>
      </c>
      <c r="E2607">
        <v>33.19</v>
      </c>
    </row>
    <row r="2608" spans="1:5">
      <c r="A2608" t="s">
        <v>1989</v>
      </c>
      <c r="B2608" t="s">
        <v>1988</v>
      </c>
      <c r="C2608" t="s">
        <v>1989</v>
      </c>
      <c r="D2608">
        <v>367</v>
      </c>
      <c r="E2608">
        <v>33.19</v>
      </c>
    </row>
    <row r="2609" spans="1:5">
      <c r="A2609" t="s">
        <v>1987</v>
      </c>
      <c r="B2609" t="s">
        <v>1986</v>
      </c>
      <c r="C2609" t="s">
        <v>1987</v>
      </c>
      <c r="D2609">
        <v>420</v>
      </c>
      <c r="E2609">
        <v>16.64</v>
      </c>
    </row>
    <row r="2610" spans="1:5">
      <c r="A2610" t="s">
        <v>1985</v>
      </c>
      <c r="B2610" t="s">
        <v>1984</v>
      </c>
      <c r="C2610" t="s">
        <v>1985</v>
      </c>
      <c r="D2610">
        <v>-82</v>
      </c>
      <c r="E2610">
        <v>-147.07</v>
      </c>
    </row>
    <row r="2611" spans="1:5">
      <c r="A2611" t="s">
        <v>1983</v>
      </c>
      <c r="B2611" t="s">
        <v>1982</v>
      </c>
      <c r="C2611" t="s">
        <v>1983</v>
      </c>
      <c r="D2611">
        <v>-163</v>
      </c>
      <c r="E2611">
        <v>-158.9</v>
      </c>
    </row>
    <row r="2612" spans="1:5">
      <c r="A2612" t="s">
        <v>1981</v>
      </c>
      <c r="B2612" t="s">
        <v>1979</v>
      </c>
      <c r="C2612" t="s">
        <v>1981</v>
      </c>
      <c r="D2612">
        <v>953</v>
      </c>
      <c r="E2612">
        <v>19.82</v>
      </c>
    </row>
    <row r="2613" spans="1:5">
      <c r="A2613" t="s">
        <v>1980</v>
      </c>
      <c r="B2613" t="s">
        <v>1979</v>
      </c>
      <c r="C2613" t="s">
        <v>1980</v>
      </c>
      <c r="D2613">
        <v>953</v>
      </c>
      <c r="E2613">
        <v>19.82</v>
      </c>
    </row>
    <row r="2614" spans="1:5">
      <c r="A2614" t="s">
        <v>5132</v>
      </c>
      <c r="B2614" t="s">
        <v>1977</v>
      </c>
      <c r="C2614" t="s">
        <v>5132</v>
      </c>
      <c r="D2614">
        <v>477</v>
      </c>
      <c r="E2614">
        <v>19.18</v>
      </c>
    </row>
    <row r="2615" spans="1:5">
      <c r="A2615" t="s">
        <v>1978</v>
      </c>
      <c r="B2615" t="s">
        <v>1977</v>
      </c>
      <c r="C2615" t="s">
        <v>1978</v>
      </c>
      <c r="D2615">
        <v>477</v>
      </c>
      <c r="E2615">
        <v>19.18</v>
      </c>
    </row>
    <row r="2616" spans="1:5">
      <c r="A2616" t="s">
        <v>5334</v>
      </c>
      <c r="B2616" t="s">
        <v>5058</v>
      </c>
      <c r="C2616" t="s">
        <v>5334</v>
      </c>
      <c r="D2616" t="s">
        <v>192</v>
      </c>
      <c r="E2616" t="s">
        <v>192</v>
      </c>
    </row>
    <row r="2617" spans="1:5">
      <c r="A2617" t="s">
        <v>5057</v>
      </c>
      <c r="B2617" t="s">
        <v>5058</v>
      </c>
      <c r="C2617" t="s">
        <v>5057</v>
      </c>
      <c r="D2617" t="s">
        <v>192</v>
      </c>
      <c r="E2617" t="s">
        <v>192</v>
      </c>
    </row>
    <row r="2618" spans="1:5">
      <c r="A2618" t="s">
        <v>1976</v>
      </c>
      <c r="B2618" t="s">
        <v>1975</v>
      </c>
      <c r="C2618" t="s">
        <v>1976</v>
      </c>
      <c r="D2618">
        <v>571</v>
      </c>
      <c r="E2618">
        <v>7.3</v>
      </c>
    </row>
    <row r="2619" spans="1:5">
      <c r="A2619" t="s">
        <v>5576</v>
      </c>
      <c r="B2619" t="s">
        <v>5560</v>
      </c>
      <c r="C2619" t="s">
        <v>5576</v>
      </c>
      <c r="D2619" t="s">
        <v>192</v>
      </c>
      <c r="E2619" t="s">
        <v>192</v>
      </c>
    </row>
    <row r="2620" spans="1:5">
      <c r="A2620" t="s">
        <v>5008</v>
      </c>
      <c r="B2620" t="s">
        <v>5009</v>
      </c>
      <c r="C2620" t="s">
        <v>5008</v>
      </c>
      <c r="D2620" t="s">
        <v>192</v>
      </c>
      <c r="E2620" t="s">
        <v>192</v>
      </c>
    </row>
    <row r="2621" spans="1:5">
      <c r="A2621" t="s">
        <v>4667</v>
      </c>
      <c r="B2621" t="s">
        <v>4668</v>
      </c>
      <c r="C2621" t="s">
        <v>4667</v>
      </c>
      <c r="D2621" t="s">
        <v>192</v>
      </c>
      <c r="E2621" t="s">
        <v>192</v>
      </c>
    </row>
    <row r="2622" spans="1:5">
      <c r="A2622" t="s">
        <v>1974</v>
      </c>
      <c r="B2622" t="s">
        <v>1973</v>
      </c>
      <c r="C2622" t="s">
        <v>1974</v>
      </c>
      <c r="D2622">
        <v>169</v>
      </c>
      <c r="E2622">
        <v>11.07</v>
      </c>
    </row>
    <row r="2623" spans="1:5">
      <c r="A2623" t="s">
        <v>1972</v>
      </c>
      <c r="B2623" t="s">
        <v>1971</v>
      </c>
      <c r="C2623" t="s">
        <v>1972</v>
      </c>
      <c r="D2623">
        <v>3595</v>
      </c>
      <c r="E2623">
        <v>4.53</v>
      </c>
    </row>
    <row r="2624" spans="1:5">
      <c r="A2624" t="s">
        <v>1970</v>
      </c>
      <c r="B2624" t="s">
        <v>1969</v>
      </c>
      <c r="C2624" t="s">
        <v>1970</v>
      </c>
      <c r="D2624">
        <v>323</v>
      </c>
      <c r="E2624">
        <v>44.06</v>
      </c>
    </row>
    <row r="2625" spans="1:5">
      <c r="A2625" t="s">
        <v>1968</v>
      </c>
      <c r="B2625" t="s">
        <v>1967</v>
      </c>
      <c r="C2625" t="s">
        <v>1968</v>
      </c>
      <c r="D2625">
        <v>-969</v>
      </c>
      <c r="E2625">
        <v>-5.23</v>
      </c>
    </row>
    <row r="2626" spans="1:5">
      <c r="A2626" t="s">
        <v>3422</v>
      </c>
      <c r="B2626" t="s">
        <v>1965</v>
      </c>
      <c r="C2626" t="s">
        <v>3422</v>
      </c>
      <c r="D2626">
        <v>659</v>
      </c>
      <c r="E2626">
        <v>5.6</v>
      </c>
    </row>
    <row r="2627" spans="1:5">
      <c r="A2627" t="s">
        <v>1966</v>
      </c>
      <c r="B2627" t="s">
        <v>1965</v>
      </c>
      <c r="C2627" t="s">
        <v>1966</v>
      </c>
      <c r="D2627">
        <v>659</v>
      </c>
      <c r="E2627">
        <v>5.6</v>
      </c>
    </row>
    <row r="2628" spans="1:5">
      <c r="A2628" t="s">
        <v>1964</v>
      </c>
      <c r="B2628" t="s">
        <v>1963</v>
      </c>
      <c r="C2628" t="s">
        <v>1964</v>
      </c>
      <c r="D2628">
        <v>163</v>
      </c>
      <c r="E2628">
        <v>17.809999999999999</v>
      </c>
    </row>
    <row r="2629" spans="1:5">
      <c r="A2629" t="s">
        <v>4867</v>
      </c>
      <c r="B2629" t="s">
        <v>1961</v>
      </c>
      <c r="C2629" t="s">
        <v>4867</v>
      </c>
      <c r="D2629">
        <v>413</v>
      </c>
      <c r="E2629">
        <v>3.73</v>
      </c>
    </row>
    <row r="2630" spans="1:5">
      <c r="A2630" t="s">
        <v>1962</v>
      </c>
      <c r="B2630" t="s">
        <v>1961</v>
      </c>
      <c r="C2630" t="s">
        <v>1962</v>
      </c>
      <c r="D2630">
        <v>413</v>
      </c>
      <c r="E2630">
        <v>3.73</v>
      </c>
    </row>
    <row r="2631" spans="1:5">
      <c r="A2631" t="s">
        <v>1960</v>
      </c>
      <c r="B2631" t="s">
        <v>1959</v>
      </c>
      <c r="C2631" t="s">
        <v>1960</v>
      </c>
      <c r="D2631">
        <v>878</v>
      </c>
      <c r="E2631">
        <v>6.17</v>
      </c>
    </row>
    <row r="2632" spans="1:5">
      <c r="A2632" t="s">
        <v>5367</v>
      </c>
      <c r="B2632" t="s">
        <v>5368</v>
      </c>
      <c r="C2632" t="s">
        <v>5367</v>
      </c>
      <c r="D2632" t="s">
        <v>192</v>
      </c>
      <c r="E2632" t="s">
        <v>192</v>
      </c>
    </row>
    <row r="2633" spans="1:5">
      <c r="A2633" t="s">
        <v>5461</v>
      </c>
      <c r="B2633" t="s">
        <v>1957</v>
      </c>
      <c r="C2633" t="s">
        <v>5461</v>
      </c>
      <c r="D2633">
        <v>446</v>
      </c>
      <c r="E2633">
        <v>3.23</v>
      </c>
    </row>
    <row r="2634" spans="1:5">
      <c r="A2634" t="s">
        <v>1958</v>
      </c>
      <c r="B2634" t="s">
        <v>1957</v>
      </c>
      <c r="C2634" t="s">
        <v>1958</v>
      </c>
      <c r="D2634">
        <v>446</v>
      </c>
      <c r="E2634">
        <v>3.23</v>
      </c>
    </row>
    <row r="2635" spans="1:5">
      <c r="A2635" t="s">
        <v>1956</v>
      </c>
      <c r="B2635" t="s">
        <v>1955</v>
      </c>
      <c r="C2635" t="s">
        <v>1956</v>
      </c>
      <c r="D2635">
        <v>698</v>
      </c>
      <c r="E2635">
        <v>26.82</v>
      </c>
    </row>
    <row r="2636" spans="1:5">
      <c r="A2636" t="s">
        <v>1954</v>
      </c>
      <c r="B2636" t="s">
        <v>1952</v>
      </c>
      <c r="C2636" t="s">
        <v>1954</v>
      </c>
      <c r="D2636">
        <v>73</v>
      </c>
      <c r="E2636">
        <v>59.82</v>
      </c>
    </row>
    <row r="2637" spans="1:5">
      <c r="A2637" t="s">
        <v>1953</v>
      </c>
      <c r="B2637" t="s">
        <v>1952</v>
      </c>
      <c r="C2637" t="s">
        <v>1953</v>
      </c>
      <c r="D2637">
        <v>73</v>
      </c>
      <c r="E2637">
        <v>59.82</v>
      </c>
    </row>
    <row r="2638" spans="1:5">
      <c r="A2638" t="s">
        <v>1951</v>
      </c>
      <c r="B2638" t="s">
        <v>1950</v>
      </c>
      <c r="C2638" t="s">
        <v>1951</v>
      </c>
      <c r="D2638">
        <v>30</v>
      </c>
      <c r="E2638">
        <v>472.67</v>
      </c>
    </row>
    <row r="2639" spans="1:5">
      <c r="A2639" t="s">
        <v>7721</v>
      </c>
      <c r="B2639" t="s">
        <v>1948</v>
      </c>
      <c r="C2639" t="s">
        <v>7721</v>
      </c>
      <c r="D2639">
        <v>38</v>
      </c>
      <c r="E2639">
        <v>14.32</v>
      </c>
    </row>
    <row r="2640" spans="1:5">
      <c r="A2640" t="s">
        <v>1949</v>
      </c>
      <c r="B2640" t="s">
        <v>1948</v>
      </c>
      <c r="C2640" t="s">
        <v>1949</v>
      </c>
      <c r="D2640">
        <v>38</v>
      </c>
      <c r="E2640">
        <v>14.32</v>
      </c>
    </row>
    <row r="2641" spans="1:5">
      <c r="A2641" t="s">
        <v>4000</v>
      </c>
      <c r="B2641" t="s">
        <v>4001</v>
      </c>
      <c r="C2641" t="s">
        <v>4000</v>
      </c>
      <c r="D2641" t="s">
        <v>192</v>
      </c>
      <c r="E2641" t="s">
        <v>192</v>
      </c>
    </row>
    <row r="2642" spans="1:5">
      <c r="A2642" t="s">
        <v>5838</v>
      </c>
      <c r="B2642" t="s">
        <v>4001</v>
      </c>
      <c r="C2642" t="s">
        <v>5838</v>
      </c>
      <c r="D2642" t="s">
        <v>192</v>
      </c>
      <c r="E2642" t="s">
        <v>192</v>
      </c>
    </row>
    <row r="2643" spans="1:5">
      <c r="A2643" t="s">
        <v>1947</v>
      </c>
      <c r="B2643" t="s">
        <v>1946</v>
      </c>
      <c r="C2643" t="s">
        <v>1947</v>
      </c>
      <c r="D2643">
        <v>4201</v>
      </c>
      <c r="E2643">
        <v>15.19</v>
      </c>
    </row>
    <row r="2644" spans="1:5">
      <c r="A2644" t="s">
        <v>3341</v>
      </c>
      <c r="B2644" t="s">
        <v>3342</v>
      </c>
      <c r="C2644" t="s">
        <v>3341</v>
      </c>
      <c r="D2644" t="s">
        <v>192</v>
      </c>
      <c r="E2644" t="s">
        <v>192</v>
      </c>
    </row>
    <row r="2645" spans="1:5">
      <c r="A2645" t="s">
        <v>5807</v>
      </c>
      <c r="B2645" t="s">
        <v>3342</v>
      </c>
      <c r="C2645" t="s">
        <v>5807</v>
      </c>
      <c r="D2645" t="s">
        <v>192</v>
      </c>
      <c r="E2645" t="s">
        <v>192</v>
      </c>
    </row>
    <row r="2646" spans="1:5">
      <c r="A2646" t="s">
        <v>1945</v>
      </c>
      <c r="B2646" t="s">
        <v>1944</v>
      </c>
      <c r="C2646" t="s">
        <v>1945</v>
      </c>
      <c r="D2646">
        <v>1991</v>
      </c>
      <c r="E2646">
        <v>2.8</v>
      </c>
    </row>
    <row r="2647" spans="1:5">
      <c r="A2647" t="s">
        <v>5079</v>
      </c>
      <c r="B2647" t="s">
        <v>5080</v>
      </c>
      <c r="C2647" t="s">
        <v>5079</v>
      </c>
      <c r="D2647" t="s">
        <v>192</v>
      </c>
      <c r="E2647" t="s">
        <v>192</v>
      </c>
    </row>
    <row r="2648" spans="1:5">
      <c r="A2648" t="s">
        <v>4054</v>
      </c>
      <c r="B2648" t="s">
        <v>4055</v>
      </c>
      <c r="C2648" t="s">
        <v>4054</v>
      </c>
      <c r="D2648" t="s">
        <v>192</v>
      </c>
      <c r="E2648" t="s">
        <v>192</v>
      </c>
    </row>
    <row r="2649" spans="1:5">
      <c r="A2649" t="s">
        <v>5159</v>
      </c>
      <c r="B2649" t="s">
        <v>5160</v>
      </c>
      <c r="C2649" t="s">
        <v>5159</v>
      </c>
      <c r="D2649" t="s">
        <v>192</v>
      </c>
      <c r="E2649" t="s">
        <v>192</v>
      </c>
    </row>
    <row r="2650" spans="1:5">
      <c r="A2650" t="s">
        <v>5422</v>
      </c>
      <c r="B2650" t="s">
        <v>5423</v>
      </c>
      <c r="C2650" t="s">
        <v>5422</v>
      </c>
      <c r="D2650" t="s">
        <v>192</v>
      </c>
      <c r="E2650" t="s">
        <v>192</v>
      </c>
    </row>
    <row r="2651" spans="1:5">
      <c r="A2651" t="s">
        <v>1943</v>
      </c>
      <c r="B2651" t="s">
        <v>1941</v>
      </c>
      <c r="C2651" t="s">
        <v>1943</v>
      </c>
      <c r="D2651">
        <v>691</v>
      </c>
      <c r="E2651">
        <v>4.21</v>
      </c>
    </row>
    <row r="2652" spans="1:5">
      <c r="A2652" t="s">
        <v>1942</v>
      </c>
      <c r="B2652" t="s">
        <v>1941</v>
      </c>
      <c r="C2652" t="s">
        <v>1942</v>
      </c>
      <c r="D2652">
        <v>691</v>
      </c>
      <c r="E2652">
        <v>4.21</v>
      </c>
    </row>
    <row r="2653" spans="1:5">
      <c r="A2653" t="s">
        <v>5920</v>
      </c>
      <c r="B2653" t="s">
        <v>5921</v>
      </c>
      <c r="C2653" t="s">
        <v>5920</v>
      </c>
      <c r="D2653" t="s">
        <v>192</v>
      </c>
      <c r="E2653" t="s">
        <v>192</v>
      </c>
    </row>
    <row r="2654" spans="1:5">
      <c r="A2654" t="s">
        <v>7722</v>
      </c>
      <c r="B2654" t="s">
        <v>1939</v>
      </c>
      <c r="C2654" t="s">
        <v>7722</v>
      </c>
      <c r="D2654">
        <v>500</v>
      </c>
      <c r="E2654">
        <v>3.16</v>
      </c>
    </row>
    <row r="2655" spans="1:5">
      <c r="A2655" t="s">
        <v>1940</v>
      </c>
      <c r="B2655" t="s">
        <v>1939</v>
      </c>
      <c r="C2655" t="s">
        <v>1940</v>
      </c>
      <c r="D2655">
        <v>500</v>
      </c>
      <c r="E2655">
        <v>3.13</v>
      </c>
    </row>
    <row r="2656" spans="1:5">
      <c r="A2656" t="s">
        <v>3220</v>
      </c>
      <c r="B2656" t="s">
        <v>3221</v>
      </c>
      <c r="C2656" t="s">
        <v>3220</v>
      </c>
      <c r="D2656" t="s">
        <v>192</v>
      </c>
      <c r="E2656" t="s">
        <v>192</v>
      </c>
    </row>
    <row r="2657" spans="1:5">
      <c r="A2657" t="s">
        <v>5849</v>
      </c>
      <c r="B2657" t="s">
        <v>5850</v>
      </c>
      <c r="C2657" t="s">
        <v>5849</v>
      </c>
      <c r="D2657" t="s">
        <v>192</v>
      </c>
      <c r="E2657" t="s">
        <v>192</v>
      </c>
    </row>
    <row r="2658" spans="1:5">
      <c r="A2658" t="s">
        <v>5091</v>
      </c>
      <c r="B2658" t="s">
        <v>1937</v>
      </c>
      <c r="C2658" t="s">
        <v>5091</v>
      </c>
      <c r="D2658">
        <v>483</v>
      </c>
      <c r="E2658">
        <v>3.47</v>
      </c>
    </row>
    <row r="2659" spans="1:5">
      <c r="A2659" t="s">
        <v>1938</v>
      </c>
      <c r="B2659" t="s">
        <v>1937</v>
      </c>
      <c r="C2659" t="s">
        <v>1938</v>
      </c>
      <c r="D2659">
        <v>483</v>
      </c>
      <c r="E2659">
        <v>3.47</v>
      </c>
    </row>
    <row r="2660" spans="1:5">
      <c r="A2660" t="s">
        <v>7723</v>
      </c>
      <c r="B2660" t="s">
        <v>6330</v>
      </c>
      <c r="C2660" t="s">
        <v>7723</v>
      </c>
      <c r="D2660" t="s">
        <v>192</v>
      </c>
      <c r="E2660" t="s">
        <v>192</v>
      </c>
    </row>
    <row r="2661" spans="1:5">
      <c r="A2661" t="s">
        <v>6329</v>
      </c>
      <c r="B2661" t="s">
        <v>6330</v>
      </c>
      <c r="C2661" t="s">
        <v>6329</v>
      </c>
      <c r="D2661" t="s">
        <v>192</v>
      </c>
      <c r="E2661" t="s">
        <v>192</v>
      </c>
    </row>
    <row r="2662" spans="1:5">
      <c r="A2662" t="s">
        <v>1936</v>
      </c>
      <c r="B2662" t="s">
        <v>1935</v>
      </c>
      <c r="C2662" t="s">
        <v>1936</v>
      </c>
      <c r="D2662">
        <v>37</v>
      </c>
      <c r="E2662">
        <v>166.22</v>
      </c>
    </row>
    <row r="2663" spans="1:5">
      <c r="A2663" t="s">
        <v>1934</v>
      </c>
      <c r="B2663" t="s">
        <v>1933</v>
      </c>
      <c r="C2663" t="s">
        <v>1934</v>
      </c>
      <c r="D2663">
        <v>412</v>
      </c>
      <c r="E2663">
        <v>5.34</v>
      </c>
    </row>
    <row r="2664" spans="1:5">
      <c r="A2664" t="s">
        <v>1932</v>
      </c>
      <c r="B2664" t="s">
        <v>1931</v>
      </c>
      <c r="C2664" t="s">
        <v>1932</v>
      </c>
      <c r="D2664">
        <v>1146</v>
      </c>
      <c r="E2664">
        <v>7.34</v>
      </c>
    </row>
    <row r="2665" spans="1:5">
      <c r="A2665" t="s">
        <v>1930</v>
      </c>
      <c r="B2665" t="s">
        <v>1929</v>
      </c>
      <c r="C2665" t="s">
        <v>1930</v>
      </c>
      <c r="D2665">
        <v>526</v>
      </c>
      <c r="E2665">
        <v>3.71</v>
      </c>
    </row>
    <row r="2666" spans="1:5">
      <c r="A2666" t="s">
        <v>1928</v>
      </c>
      <c r="B2666" t="s">
        <v>1927</v>
      </c>
      <c r="C2666" t="s">
        <v>1928</v>
      </c>
      <c r="D2666">
        <v>125</v>
      </c>
      <c r="E2666">
        <v>69.28</v>
      </c>
    </row>
    <row r="2667" spans="1:5">
      <c r="A2667" t="s">
        <v>1926</v>
      </c>
      <c r="B2667" t="s">
        <v>1925</v>
      </c>
      <c r="C2667" t="s">
        <v>1926</v>
      </c>
      <c r="D2667">
        <v>-2603</v>
      </c>
      <c r="E2667">
        <v>-22.69</v>
      </c>
    </row>
    <row r="2668" spans="1:5">
      <c r="A2668" t="s">
        <v>1924</v>
      </c>
      <c r="B2668" t="s">
        <v>1922</v>
      </c>
      <c r="C2668" t="s">
        <v>1924</v>
      </c>
      <c r="D2668">
        <v>510</v>
      </c>
      <c r="E2668">
        <v>13.45</v>
      </c>
    </row>
    <row r="2669" spans="1:5">
      <c r="A2669" t="s">
        <v>1923</v>
      </c>
      <c r="B2669" t="s">
        <v>1922</v>
      </c>
      <c r="C2669" t="s">
        <v>1923</v>
      </c>
      <c r="D2669">
        <v>510</v>
      </c>
      <c r="E2669">
        <v>13.45</v>
      </c>
    </row>
    <row r="2670" spans="1:5">
      <c r="A2670" t="s">
        <v>1921</v>
      </c>
      <c r="B2670" t="s">
        <v>1920</v>
      </c>
      <c r="C2670" t="s">
        <v>1921</v>
      </c>
      <c r="D2670">
        <v>161</v>
      </c>
      <c r="E2670">
        <v>73.790000000000006</v>
      </c>
    </row>
    <row r="2671" spans="1:5">
      <c r="A2671" t="s">
        <v>4857</v>
      </c>
      <c r="B2671" t="s">
        <v>4858</v>
      </c>
      <c r="C2671" t="s">
        <v>4857</v>
      </c>
      <c r="D2671" t="s">
        <v>192</v>
      </c>
      <c r="E2671" t="s">
        <v>192</v>
      </c>
    </row>
    <row r="2672" spans="1:5">
      <c r="A2672" t="s">
        <v>7724</v>
      </c>
      <c r="B2672" t="s">
        <v>5213</v>
      </c>
      <c r="C2672" t="s">
        <v>7724</v>
      </c>
      <c r="D2672" t="s">
        <v>192</v>
      </c>
      <c r="E2672" t="s">
        <v>192</v>
      </c>
    </row>
    <row r="2673" spans="1:5">
      <c r="A2673" t="s">
        <v>5212</v>
      </c>
      <c r="B2673" t="s">
        <v>5213</v>
      </c>
      <c r="C2673" t="s">
        <v>5212</v>
      </c>
      <c r="D2673" t="s">
        <v>192</v>
      </c>
      <c r="E2673" t="s">
        <v>192</v>
      </c>
    </row>
    <row r="2674" spans="1:5">
      <c r="A2674" t="s">
        <v>3368</v>
      </c>
      <c r="B2674" t="s">
        <v>1918</v>
      </c>
      <c r="C2674" t="s">
        <v>3368</v>
      </c>
      <c r="D2674">
        <v>503</v>
      </c>
      <c r="E2674">
        <v>4.3499999999999996</v>
      </c>
    </row>
    <row r="2675" spans="1:5">
      <c r="A2675" t="s">
        <v>1919</v>
      </c>
      <c r="B2675" t="s">
        <v>1918</v>
      </c>
      <c r="C2675" t="s">
        <v>1919</v>
      </c>
      <c r="D2675">
        <v>503</v>
      </c>
      <c r="E2675">
        <v>4.3499999999999996</v>
      </c>
    </row>
    <row r="2676" spans="1:5">
      <c r="A2676" t="s">
        <v>1917</v>
      </c>
      <c r="B2676" t="s">
        <v>1916</v>
      </c>
      <c r="C2676" t="s">
        <v>1917</v>
      </c>
      <c r="D2676">
        <v>1358</v>
      </c>
      <c r="E2676">
        <v>138.37</v>
      </c>
    </row>
    <row r="2677" spans="1:5">
      <c r="A2677" t="s">
        <v>7725</v>
      </c>
      <c r="B2677" t="s">
        <v>1914</v>
      </c>
      <c r="C2677" t="s">
        <v>7725</v>
      </c>
      <c r="D2677">
        <v>425</v>
      </c>
      <c r="E2677">
        <v>4</v>
      </c>
    </row>
    <row r="2678" spans="1:5">
      <c r="A2678" t="s">
        <v>1915</v>
      </c>
      <c r="B2678" t="s">
        <v>1914</v>
      </c>
      <c r="C2678" t="s">
        <v>1915</v>
      </c>
      <c r="D2678">
        <v>425</v>
      </c>
      <c r="E2678">
        <v>4</v>
      </c>
    </row>
    <row r="2679" spans="1:5">
      <c r="A2679" t="s">
        <v>5279</v>
      </c>
      <c r="B2679" t="s">
        <v>5280</v>
      </c>
      <c r="C2679" t="s">
        <v>5279</v>
      </c>
      <c r="D2679" t="s">
        <v>192</v>
      </c>
      <c r="E2679" t="s">
        <v>192</v>
      </c>
    </row>
    <row r="2680" spans="1:5">
      <c r="A2680" t="s">
        <v>5905</v>
      </c>
      <c r="B2680" t="s">
        <v>5280</v>
      </c>
      <c r="C2680" t="s">
        <v>5905</v>
      </c>
      <c r="D2680" t="s">
        <v>192</v>
      </c>
      <c r="E2680" t="s">
        <v>192</v>
      </c>
    </row>
    <row r="2681" spans="1:5">
      <c r="A2681" t="s">
        <v>5959</v>
      </c>
      <c r="B2681" t="s">
        <v>5960</v>
      </c>
      <c r="C2681" t="s">
        <v>5959</v>
      </c>
      <c r="D2681" t="s">
        <v>192</v>
      </c>
      <c r="E2681" t="s">
        <v>192</v>
      </c>
    </row>
    <row r="2682" spans="1:5">
      <c r="A2682" t="s">
        <v>5327</v>
      </c>
      <c r="B2682" t="s">
        <v>5328</v>
      </c>
      <c r="C2682" t="s">
        <v>5327</v>
      </c>
      <c r="D2682" t="s">
        <v>192</v>
      </c>
      <c r="E2682" t="s">
        <v>192</v>
      </c>
    </row>
    <row r="2683" spans="1:5">
      <c r="A2683" t="s">
        <v>5426</v>
      </c>
      <c r="B2683" t="s">
        <v>5427</v>
      </c>
      <c r="C2683" t="s">
        <v>5426</v>
      </c>
      <c r="D2683" t="s">
        <v>192</v>
      </c>
      <c r="E2683" t="s">
        <v>192</v>
      </c>
    </row>
    <row r="2684" spans="1:5">
      <c r="A2684" t="s">
        <v>3299</v>
      </c>
      <c r="B2684" t="s">
        <v>3300</v>
      </c>
      <c r="C2684" t="s">
        <v>3299</v>
      </c>
      <c r="D2684" t="s">
        <v>192</v>
      </c>
      <c r="E2684" t="s">
        <v>192</v>
      </c>
    </row>
    <row r="2685" spans="1:5">
      <c r="A2685" t="s">
        <v>5915</v>
      </c>
      <c r="B2685" t="s">
        <v>3300</v>
      </c>
      <c r="C2685" t="s">
        <v>5915</v>
      </c>
      <c r="D2685" t="s">
        <v>192</v>
      </c>
      <c r="E2685" t="s">
        <v>192</v>
      </c>
    </row>
    <row r="2686" spans="1:5">
      <c r="A2686" t="s">
        <v>5134</v>
      </c>
      <c r="B2686" t="s">
        <v>5135</v>
      </c>
      <c r="C2686" t="s">
        <v>5134</v>
      </c>
      <c r="D2686" t="s">
        <v>192</v>
      </c>
      <c r="E2686" t="s">
        <v>192</v>
      </c>
    </row>
    <row r="2687" spans="1:5">
      <c r="A2687" t="s">
        <v>5067</v>
      </c>
      <c r="B2687" t="s">
        <v>5068</v>
      </c>
      <c r="C2687" t="s">
        <v>5067</v>
      </c>
      <c r="D2687" t="s">
        <v>192</v>
      </c>
      <c r="E2687" t="s">
        <v>192</v>
      </c>
    </row>
    <row r="2688" spans="1:5">
      <c r="A2688" t="s">
        <v>5599</v>
      </c>
      <c r="B2688" t="s">
        <v>5600</v>
      </c>
      <c r="C2688" t="s">
        <v>5599</v>
      </c>
      <c r="D2688" t="s">
        <v>192</v>
      </c>
      <c r="E2688" t="s">
        <v>192</v>
      </c>
    </row>
    <row r="2689" spans="1:5">
      <c r="A2689" t="s">
        <v>5127</v>
      </c>
      <c r="B2689" t="s">
        <v>5038</v>
      </c>
      <c r="C2689" t="s">
        <v>5127</v>
      </c>
      <c r="D2689" t="s">
        <v>192</v>
      </c>
      <c r="E2689" t="s">
        <v>192</v>
      </c>
    </row>
    <row r="2690" spans="1:5">
      <c r="A2690" t="s">
        <v>5037</v>
      </c>
      <c r="B2690" t="s">
        <v>5038</v>
      </c>
      <c r="C2690" t="s">
        <v>5037</v>
      </c>
      <c r="D2690" t="s">
        <v>192</v>
      </c>
      <c r="E2690" t="s">
        <v>192</v>
      </c>
    </row>
    <row r="2691" spans="1:5">
      <c r="A2691" t="s">
        <v>4984</v>
      </c>
      <c r="B2691" t="s">
        <v>4985</v>
      </c>
      <c r="C2691" t="s">
        <v>4984</v>
      </c>
      <c r="D2691" t="s">
        <v>192</v>
      </c>
      <c r="E2691" t="s">
        <v>192</v>
      </c>
    </row>
    <row r="2692" spans="1:5">
      <c r="A2692" t="s">
        <v>1913</v>
      </c>
      <c r="B2692" t="s">
        <v>1912</v>
      </c>
      <c r="C2692" t="s">
        <v>1913</v>
      </c>
      <c r="D2692">
        <v>39</v>
      </c>
      <c r="E2692">
        <v>46.74</v>
      </c>
    </row>
    <row r="2693" spans="1:5">
      <c r="A2693" t="s">
        <v>5335</v>
      </c>
      <c r="B2693" t="s">
        <v>5336</v>
      </c>
      <c r="C2693" t="s">
        <v>5335</v>
      </c>
      <c r="D2693" t="s">
        <v>192</v>
      </c>
      <c r="E2693" t="s">
        <v>192</v>
      </c>
    </row>
    <row r="2694" spans="1:5">
      <c r="A2694" t="s">
        <v>1911</v>
      </c>
      <c r="B2694" t="s">
        <v>1909</v>
      </c>
      <c r="C2694" t="s">
        <v>1911</v>
      </c>
      <c r="D2694">
        <v>454</v>
      </c>
      <c r="E2694">
        <v>11.54</v>
      </c>
    </row>
    <row r="2695" spans="1:5">
      <c r="A2695" t="s">
        <v>1910</v>
      </c>
      <c r="B2695" t="s">
        <v>1909</v>
      </c>
      <c r="C2695" t="s">
        <v>1910</v>
      </c>
      <c r="D2695">
        <v>454</v>
      </c>
      <c r="E2695">
        <v>11.54</v>
      </c>
    </row>
    <row r="2696" spans="1:5">
      <c r="A2696" t="s">
        <v>1908</v>
      </c>
      <c r="B2696" t="s">
        <v>1907</v>
      </c>
      <c r="C2696" t="s">
        <v>1908</v>
      </c>
      <c r="D2696">
        <v>37</v>
      </c>
      <c r="E2696">
        <v>11.22</v>
      </c>
    </row>
    <row r="2697" spans="1:5">
      <c r="A2697" t="s">
        <v>5545</v>
      </c>
      <c r="B2697" t="s">
        <v>5546</v>
      </c>
      <c r="C2697" t="s">
        <v>5545</v>
      </c>
      <c r="D2697" t="s">
        <v>192</v>
      </c>
      <c r="E2697" t="s">
        <v>192</v>
      </c>
    </row>
    <row r="2698" spans="1:5">
      <c r="A2698" t="s">
        <v>5971</v>
      </c>
      <c r="B2698" t="s">
        <v>5972</v>
      </c>
      <c r="C2698" t="s">
        <v>5971</v>
      </c>
      <c r="D2698" t="s">
        <v>192</v>
      </c>
      <c r="E2698" t="s">
        <v>192</v>
      </c>
    </row>
    <row r="2699" spans="1:5">
      <c r="A2699" t="s">
        <v>1906</v>
      </c>
      <c r="B2699" t="s">
        <v>1905</v>
      </c>
      <c r="C2699" t="s">
        <v>1906</v>
      </c>
      <c r="D2699">
        <v>3468</v>
      </c>
      <c r="E2699">
        <v>5.42</v>
      </c>
    </row>
    <row r="2700" spans="1:5">
      <c r="A2700" t="s">
        <v>1904</v>
      </c>
      <c r="B2700" t="s">
        <v>1903</v>
      </c>
      <c r="C2700" t="s">
        <v>1904</v>
      </c>
      <c r="D2700">
        <v>740</v>
      </c>
      <c r="E2700">
        <v>3.53</v>
      </c>
    </row>
    <row r="2701" spans="1:5">
      <c r="A2701" t="s">
        <v>4838</v>
      </c>
      <c r="B2701" t="s">
        <v>4839</v>
      </c>
      <c r="C2701" t="s">
        <v>4838</v>
      </c>
      <c r="D2701" t="s">
        <v>192</v>
      </c>
      <c r="E2701" t="s">
        <v>192</v>
      </c>
    </row>
    <row r="2702" spans="1:5">
      <c r="A2702" t="s">
        <v>7726</v>
      </c>
      <c r="B2702" t="s">
        <v>7727</v>
      </c>
      <c r="C2702" t="s">
        <v>7726</v>
      </c>
      <c r="D2702" t="s">
        <v>192</v>
      </c>
      <c r="E2702" t="s">
        <v>192</v>
      </c>
    </row>
    <row r="2703" spans="1:5">
      <c r="A2703" t="s">
        <v>5869</v>
      </c>
      <c r="B2703" t="s">
        <v>1901</v>
      </c>
      <c r="C2703" t="s">
        <v>5869</v>
      </c>
      <c r="D2703">
        <v>783</v>
      </c>
      <c r="E2703">
        <v>18.170000000000002</v>
      </c>
    </row>
    <row r="2704" spans="1:5">
      <c r="A2704" t="s">
        <v>1902</v>
      </c>
      <c r="B2704" t="s">
        <v>1901</v>
      </c>
      <c r="C2704" t="s">
        <v>1902</v>
      </c>
      <c r="D2704">
        <v>783</v>
      </c>
      <c r="E2704">
        <v>18.170000000000002</v>
      </c>
    </row>
    <row r="2705" spans="1:5">
      <c r="A2705" t="s">
        <v>7728</v>
      </c>
      <c r="B2705" t="s">
        <v>3286</v>
      </c>
      <c r="C2705" t="s">
        <v>7728</v>
      </c>
      <c r="D2705" t="s">
        <v>192</v>
      </c>
      <c r="E2705" t="s">
        <v>192</v>
      </c>
    </row>
    <row r="2706" spans="1:5">
      <c r="A2706" t="s">
        <v>3285</v>
      </c>
      <c r="B2706" t="s">
        <v>3286</v>
      </c>
      <c r="C2706" t="s">
        <v>3285</v>
      </c>
      <c r="D2706" t="s">
        <v>192</v>
      </c>
      <c r="E2706" t="s">
        <v>192</v>
      </c>
    </row>
    <row r="2707" spans="1:5">
      <c r="A2707" t="s">
        <v>1900</v>
      </c>
      <c r="B2707" t="s">
        <v>1899</v>
      </c>
      <c r="C2707" t="s">
        <v>1900</v>
      </c>
      <c r="D2707">
        <v>316</v>
      </c>
      <c r="E2707">
        <v>23.83</v>
      </c>
    </row>
    <row r="2708" spans="1:5">
      <c r="A2708" t="s">
        <v>3268</v>
      </c>
      <c r="B2708" t="s">
        <v>3269</v>
      </c>
      <c r="C2708" t="s">
        <v>3268</v>
      </c>
      <c r="D2708" t="s">
        <v>192</v>
      </c>
      <c r="E2708" t="s">
        <v>192</v>
      </c>
    </row>
    <row r="2709" spans="1:5">
      <c r="A2709" t="s">
        <v>1898</v>
      </c>
      <c r="B2709" t="s">
        <v>1897</v>
      </c>
      <c r="C2709" t="s">
        <v>1898</v>
      </c>
      <c r="D2709">
        <v>231</v>
      </c>
      <c r="E2709">
        <v>62.03</v>
      </c>
    </row>
    <row r="2710" spans="1:5">
      <c r="A2710" t="s">
        <v>1896</v>
      </c>
      <c r="B2710" t="s">
        <v>1895</v>
      </c>
      <c r="C2710" t="s">
        <v>1896</v>
      </c>
      <c r="D2710">
        <v>2093</v>
      </c>
      <c r="E2710">
        <v>12.69</v>
      </c>
    </row>
    <row r="2711" spans="1:5">
      <c r="A2711" t="s">
        <v>1894</v>
      </c>
      <c r="B2711" t="s">
        <v>1893</v>
      </c>
      <c r="C2711" t="s">
        <v>1894</v>
      </c>
      <c r="D2711">
        <v>144</v>
      </c>
      <c r="E2711">
        <v>25.38</v>
      </c>
    </row>
    <row r="2712" spans="1:5">
      <c r="A2712" t="s">
        <v>5267</v>
      </c>
      <c r="B2712" t="s">
        <v>5268</v>
      </c>
      <c r="C2712" t="s">
        <v>5267</v>
      </c>
      <c r="D2712" t="s">
        <v>192</v>
      </c>
      <c r="E2712" t="s">
        <v>192</v>
      </c>
    </row>
    <row r="2713" spans="1:5">
      <c r="A2713" t="s">
        <v>5893</v>
      </c>
      <c r="B2713" t="s">
        <v>5894</v>
      </c>
      <c r="C2713" t="s">
        <v>5893</v>
      </c>
      <c r="D2713" t="s">
        <v>192</v>
      </c>
      <c r="E2713" t="s">
        <v>192</v>
      </c>
    </row>
    <row r="2714" spans="1:5">
      <c r="A2714" t="s">
        <v>4705</v>
      </c>
      <c r="B2714" t="s">
        <v>4706</v>
      </c>
      <c r="C2714" t="s">
        <v>4705</v>
      </c>
      <c r="D2714" t="s">
        <v>192</v>
      </c>
      <c r="E2714" t="s">
        <v>192</v>
      </c>
    </row>
    <row r="2715" spans="1:5">
      <c r="A2715" t="s">
        <v>5975</v>
      </c>
      <c r="B2715" t="s">
        <v>5976</v>
      </c>
      <c r="C2715" t="s">
        <v>5975</v>
      </c>
      <c r="D2715" t="s">
        <v>192</v>
      </c>
      <c r="E2715" t="s">
        <v>192</v>
      </c>
    </row>
    <row r="2716" spans="1:5">
      <c r="A2716" t="s">
        <v>3351</v>
      </c>
      <c r="B2716" t="s">
        <v>3352</v>
      </c>
      <c r="C2716" t="s">
        <v>3351</v>
      </c>
      <c r="D2716" t="s">
        <v>192</v>
      </c>
      <c r="E2716" t="s">
        <v>192</v>
      </c>
    </row>
    <row r="2717" spans="1:5">
      <c r="A2717" t="s">
        <v>5851</v>
      </c>
      <c r="B2717" t="s">
        <v>5852</v>
      </c>
      <c r="C2717" t="s">
        <v>5851</v>
      </c>
      <c r="D2717" t="s">
        <v>192</v>
      </c>
      <c r="E2717" t="s">
        <v>192</v>
      </c>
    </row>
    <row r="2718" spans="1:5">
      <c r="A2718" t="s">
        <v>4634</v>
      </c>
      <c r="B2718" t="s">
        <v>4635</v>
      </c>
      <c r="C2718" t="s">
        <v>4634</v>
      </c>
      <c r="D2718" t="s">
        <v>192</v>
      </c>
      <c r="E2718" t="s">
        <v>192</v>
      </c>
    </row>
    <row r="2719" spans="1:5">
      <c r="A2719" t="s">
        <v>4783</v>
      </c>
      <c r="B2719" t="s">
        <v>4784</v>
      </c>
      <c r="C2719" t="s">
        <v>4783</v>
      </c>
      <c r="D2719" t="s">
        <v>192</v>
      </c>
      <c r="E2719" t="s">
        <v>192</v>
      </c>
    </row>
    <row r="2720" spans="1:5">
      <c r="A2720" t="s">
        <v>4882</v>
      </c>
      <c r="B2720" t="s">
        <v>4883</v>
      </c>
      <c r="C2720" t="s">
        <v>4882</v>
      </c>
      <c r="D2720" t="s">
        <v>192</v>
      </c>
      <c r="E2720" t="s">
        <v>192</v>
      </c>
    </row>
    <row r="2721" spans="1:5">
      <c r="A2721" t="s">
        <v>3902</v>
      </c>
      <c r="B2721" t="s">
        <v>3903</v>
      </c>
      <c r="C2721" t="s">
        <v>3902</v>
      </c>
      <c r="D2721" t="s">
        <v>192</v>
      </c>
      <c r="E2721" t="s">
        <v>192</v>
      </c>
    </row>
    <row r="2722" spans="1:5">
      <c r="A2722" t="s">
        <v>5768</v>
      </c>
      <c r="B2722" t="s">
        <v>5769</v>
      </c>
      <c r="C2722" t="s">
        <v>5768</v>
      </c>
      <c r="D2722" t="s">
        <v>192</v>
      </c>
      <c r="E2722" t="s">
        <v>192</v>
      </c>
    </row>
    <row r="2723" spans="1:5">
      <c r="A2723" t="s">
        <v>3240</v>
      </c>
      <c r="B2723" t="s">
        <v>3241</v>
      </c>
      <c r="C2723" t="s">
        <v>3240</v>
      </c>
      <c r="D2723" t="s">
        <v>192</v>
      </c>
      <c r="E2723" t="s">
        <v>192</v>
      </c>
    </row>
    <row r="2724" spans="1:5">
      <c r="A2724" t="s">
        <v>3938</v>
      </c>
      <c r="B2724" t="s">
        <v>3939</v>
      </c>
      <c r="C2724" t="s">
        <v>3938</v>
      </c>
      <c r="D2724" t="s">
        <v>192</v>
      </c>
      <c r="E2724" t="s">
        <v>192</v>
      </c>
    </row>
    <row r="2725" spans="1:5">
      <c r="A2725" t="s">
        <v>3328</v>
      </c>
      <c r="B2725" t="s">
        <v>3329</v>
      </c>
      <c r="C2725" t="s">
        <v>3328</v>
      </c>
      <c r="D2725" t="s">
        <v>192</v>
      </c>
      <c r="E2725" t="s">
        <v>192</v>
      </c>
    </row>
    <row r="2726" spans="1:5">
      <c r="A2726" t="s">
        <v>5997</v>
      </c>
      <c r="B2726" t="s">
        <v>5998</v>
      </c>
      <c r="C2726" t="s">
        <v>5997</v>
      </c>
      <c r="D2726" t="s">
        <v>192</v>
      </c>
      <c r="E2726" t="s">
        <v>192</v>
      </c>
    </row>
    <row r="2727" spans="1:5">
      <c r="A2727" t="s">
        <v>3265</v>
      </c>
      <c r="B2727" t="s">
        <v>3266</v>
      </c>
      <c r="C2727" t="s">
        <v>3265</v>
      </c>
      <c r="D2727" t="s">
        <v>192</v>
      </c>
      <c r="E2727" t="s">
        <v>192</v>
      </c>
    </row>
    <row r="2728" spans="1:5">
      <c r="A2728" t="s">
        <v>4037</v>
      </c>
      <c r="B2728" t="s">
        <v>4038</v>
      </c>
      <c r="C2728" t="s">
        <v>4037</v>
      </c>
      <c r="D2728" t="s">
        <v>192</v>
      </c>
      <c r="E2728" t="s">
        <v>192</v>
      </c>
    </row>
    <row r="2729" spans="1:5">
      <c r="A2729" t="s">
        <v>6045</v>
      </c>
      <c r="B2729" t="s">
        <v>6046</v>
      </c>
      <c r="C2729" t="s">
        <v>6045</v>
      </c>
      <c r="D2729" t="s">
        <v>192</v>
      </c>
      <c r="E2729" t="s">
        <v>192</v>
      </c>
    </row>
    <row r="2730" spans="1:5">
      <c r="A2730" t="s">
        <v>6017</v>
      </c>
      <c r="B2730" t="s">
        <v>6018</v>
      </c>
      <c r="C2730" t="s">
        <v>6017</v>
      </c>
      <c r="D2730" t="s">
        <v>192</v>
      </c>
      <c r="E2730" t="s">
        <v>192</v>
      </c>
    </row>
    <row r="2731" spans="1:5">
      <c r="A2731" t="s">
        <v>5839</v>
      </c>
      <c r="B2731" t="s">
        <v>5840</v>
      </c>
      <c r="C2731" t="s">
        <v>5839</v>
      </c>
      <c r="D2731" t="s">
        <v>192</v>
      </c>
      <c r="E2731" t="s">
        <v>192</v>
      </c>
    </row>
    <row r="2732" spans="1:5">
      <c r="A2732" t="s">
        <v>5151</v>
      </c>
      <c r="B2732" t="s">
        <v>5152</v>
      </c>
      <c r="C2732" t="s">
        <v>5151</v>
      </c>
      <c r="D2732" t="s">
        <v>192</v>
      </c>
      <c r="E2732" t="s">
        <v>192</v>
      </c>
    </row>
    <row r="2733" spans="1:5">
      <c r="A2733" t="s">
        <v>5701</v>
      </c>
      <c r="B2733" t="s">
        <v>5702</v>
      </c>
      <c r="C2733" t="s">
        <v>5701</v>
      </c>
      <c r="D2733" t="s">
        <v>192</v>
      </c>
      <c r="E2733" t="s">
        <v>192</v>
      </c>
    </row>
    <row r="2734" spans="1:5">
      <c r="A2734" t="s">
        <v>5659</v>
      </c>
      <c r="B2734" t="s">
        <v>5660</v>
      </c>
      <c r="C2734" t="s">
        <v>5659</v>
      </c>
      <c r="D2734" t="s">
        <v>192</v>
      </c>
      <c r="E2734" t="s">
        <v>192</v>
      </c>
    </row>
    <row r="2735" spans="1:5">
      <c r="A2735" t="s">
        <v>1892</v>
      </c>
      <c r="B2735" t="s">
        <v>1891</v>
      </c>
      <c r="C2735" t="s">
        <v>1892</v>
      </c>
      <c r="D2735">
        <v>718</v>
      </c>
      <c r="E2735">
        <v>6.78</v>
      </c>
    </row>
    <row r="2736" spans="1:5">
      <c r="A2736" t="s">
        <v>5636</v>
      </c>
      <c r="B2736" t="s">
        <v>5637</v>
      </c>
      <c r="C2736" t="s">
        <v>5636</v>
      </c>
      <c r="D2736" t="s">
        <v>192</v>
      </c>
      <c r="E2736" t="s">
        <v>192</v>
      </c>
    </row>
    <row r="2737" spans="1:5">
      <c r="A2737" t="s">
        <v>1890</v>
      </c>
      <c r="B2737" t="s">
        <v>1889</v>
      </c>
      <c r="C2737" t="s">
        <v>1890</v>
      </c>
      <c r="D2737">
        <v>693</v>
      </c>
      <c r="E2737">
        <v>4.9000000000000004</v>
      </c>
    </row>
    <row r="2738" spans="1:5">
      <c r="A2738" t="s">
        <v>2229</v>
      </c>
      <c r="B2738" t="s">
        <v>5590</v>
      </c>
      <c r="C2738" t="s">
        <v>2229</v>
      </c>
      <c r="D2738" t="s">
        <v>192</v>
      </c>
      <c r="E2738" t="s">
        <v>192</v>
      </c>
    </row>
    <row r="2739" spans="1:5">
      <c r="A2739" t="s">
        <v>4035</v>
      </c>
      <c r="B2739" t="s">
        <v>4036</v>
      </c>
      <c r="C2739" t="s">
        <v>4035</v>
      </c>
      <c r="D2739" t="s">
        <v>192</v>
      </c>
      <c r="E2739" t="s">
        <v>192</v>
      </c>
    </row>
    <row r="2740" spans="1:5">
      <c r="A2740" t="s">
        <v>6378</v>
      </c>
      <c r="B2740" t="s">
        <v>6379</v>
      </c>
      <c r="C2740" t="s">
        <v>6378</v>
      </c>
      <c r="D2740" t="s">
        <v>192</v>
      </c>
      <c r="E2740" t="s">
        <v>192</v>
      </c>
    </row>
    <row r="2741" spans="1:5">
      <c r="A2741" t="s">
        <v>5853</v>
      </c>
      <c r="B2741" t="s">
        <v>5854</v>
      </c>
      <c r="C2741" t="s">
        <v>5853</v>
      </c>
      <c r="D2741" t="s">
        <v>192</v>
      </c>
      <c r="E2741" t="s">
        <v>192</v>
      </c>
    </row>
    <row r="2742" spans="1:5">
      <c r="A2742" t="s">
        <v>7729</v>
      </c>
      <c r="B2742" t="s">
        <v>5796</v>
      </c>
      <c r="C2742" t="s">
        <v>7729</v>
      </c>
      <c r="D2742" t="s">
        <v>192</v>
      </c>
      <c r="E2742" t="s">
        <v>192</v>
      </c>
    </row>
    <row r="2743" spans="1:5">
      <c r="A2743" t="s">
        <v>5795</v>
      </c>
      <c r="B2743" t="s">
        <v>5796</v>
      </c>
      <c r="C2743" t="s">
        <v>5795</v>
      </c>
      <c r="D2743" t="s">
        <v>192</v>
      </c>
      <c r="E2743" t="s">
        <v>192</v>
      </c>
    </row>
    <row r="2744" spans="1:5">
      <c r="A2744" t="s">
        <v>1888</v>
      </c>
      <c r="B2744" t="s">
        <v>1887</v>
      </c>
      <c r="C2744" t="s">
        <v>1888</v>
      </c>
      <c r="D2744">
        <v>-4528</v>
      </c>
      <c r="E2744">
        <v>-1.02</v>
      </c>
    </row>
    <row r="2745" spans="1:5">
      <c r="A2745" t="s">
        <v>1886</v>
      </c>
      <c r="B2745" t="s">
        <v>1885</v>
      </c>
      <c r="C2745" t="s">
        <v>1886</v>
      </c>
      <c r="D2745">
        <v>57</v>
      </c>
      <c r="E2745">
        <v>57.68</v>
      </c>
    </row>
    <row r="2746" spans="1:5">
      <c r="A2746" t="s">
        <v>1884</v>
      </c>
      <c r="B2746" t="s">
        <v>183</v>
      </c>
      <c r="C2746" t="s">
        <v>1884</v>
      </c>
      <c r="D2746">
        <v>1267</v>
      </c>
      <c r="E2746">
        <v>4.74</v>
      </c>
    </row>
    <row r="2747" spans="1:5">
      <c r="A2747" t="s">
        <v>184</v>
      </c>
      <c r="B2747" t="s">
        <v>183</v>
      </c>
      <c r="C2747" t="s">
        <v>184</v>
      </c>
      <c r="D2747">
        <v>1267</v>
      </c>
      <c r="E2747">
        <v>4.74</v>
      </c>
    </row>
    <row r="2748" spans="1:5">
      <c r="A2748" t="s">
        <v>1883</v>
      </c>
      <c r="B2748" t="s">
        <v>187</v>
      </c>
      <c r="C2748" t="s">
        <v>1883</v>
      </c>
      <c r="D2748">
        <v>842</v>
      </c>
      <c r="E2748">
        <v>7.62</v>
      </c>
    </row>
    <row r="2749" spans="1:5">
      <c r="A2749" t="s">
        <v>188</v>
      </c>
      <c r="B2749" t="s">
        <v>187</v>
      </c>
      <c r="C2749" t="s">
        <v>188</v>
      </c>
      <c r="D2749">
        <v>842</v>
      </c>
      <c r="E2749">
        <v>7.62</v>
      </c>
    </row>
    <row r="2750" spans="1:5">
      <c r="A2750" t="s">
        <v>6121</v>
      </c>
      <c r="B2750" t="s">
        <v>6122</v>
      </c>
      <c r="C2750" t="s">
        <v>6121</v>
      </c>
      <c r="D2750" t="s">
        <v>192</v>
      </c>
      <c r="E2750" t="s">
        <v>192</v>
      </c>
    </row>
    <row r="2751" spans="1:5">
      <c r="A2751" t="s">
        <v>1882</v>
      </c>
      <c r="B2751" t="s">
        <v>1881</v>
      </c>
      <c r="C2751" t="s">
        <v>1882</v>
      </c>
      <c r="D2751">
        <v>6998</v>
      </c>
      <c r="E2751">
        <v>12.84</v>
      </c>
    </row>
    <row r="2752" spans="1:5">
      <c r="A2752" t="s">
        <v>1880</v>
      </c>
      <c r="B2752" t="s">
        <v>1879</v>
      </c>
      <c r="C2752" t="s">
        <v>1880</v>
      </c>
      <c r="D2752">
        <v>943</v>
      </c>
      <c r="E2752">
        <v>18.23</v>
      </c>
    </row>
    <row r="2753" spans="1:5">
      <c r="A2753" t="s">
        <v>5764</v>
      </c>
      <c r="B2753" t="s">
        <v>5765</v>
      </c>
      <c r="C2753" t="s">
        <v>5764</v>
      </c>
      <c r="D2753" t="s">
        <v>192</v>
      </c>
      <c r="E2753" t="s">
        <v>192</v>
      </c>
    </row>
    <row r="2754" spans="1:5">
      <c r="A2754" t="s">
        <v>6417</v>
      </c>
      <c r="B2754" t="s">
        <v>6418</v>
      </c>
      <c r="C2754" t="s">
        <v>6417</v>
      </c>
      <c r="D2754" t="s">
        <v>192</v>
      </c>
      <c r="E2754" t="s">
        <v>192</v>
      </c>
    </row>
    <row r="2755" spans="1:5">
      <c r="A2755" t="s">
        <v>5016</v>
      </c>
      <c r="B2755" t="s">
        <v>5017</v>
      </c>
      <c r="C2755" t="s">
        <v>5016</v>
      </c>
      <c r="D2755" t="s">
        <v>192</v>
      </c>
      <c r="E2755" t="s">
        <v>192</v>
      </c>
    </row>
    <row r="2756" spans="1:5">
      <c r="A2756" t="s">
        <v>1878</v>
      </c>
      <c r="B2756" t="s">
        <v>1878</v>
      </c>
      <c r="C2756" t="s">
        <v>1878</v>
      </c>
      <c r="D2756">
        <v>-936</v>
      </c>
      <c r="E2756">
        <v>-1.29</v>
      </c>
    </row>
    <row r="2757" spans="1:5">
      <c r="A2757" t="s">
        <v>5537</v>
      </c>
      <c r="B2757" t="s">
        <v>5538</v>
      </c>
      <c r="C2757" t="s">
        <v>5537</v>
      </c>
      <c r="D2757" t="s">
        <v>192</v>
      </c>
      <c r="E2757" t="s">
        <v>192</v>
      </c>
    </row>
    <row r="2758" spans="1:5">
      <c r="A2758" t="s">
        <v>1877</v>
      </c>
      <c r="B2758" t="s">
        <v>1876</v>
      </c>
      <c r="C2758" t="s">
        <v>1877</v>
      </c>
      <c r="D2758">
        <v>514</v>
      </c>
      <c r="E2758">
        <v>3.33</v>
      </c>
    </row>
    <row r="2759" spans="1:5">
      <c r="A2759" t="s">
        <v>1875</v>
      </c>
      <c r="B2759" t="s">
        <v>1874</v>
      </c>
      <c r="C2759" t="s">
        <v>1875</v>
      </c>
      <c r="D2759">
        <v>553</v>
      </c>
      <c r="E2759">
        <v>9.4</v>
      </c>
    </row>
    <row r="2760" spans="1:5">
      <c r="A2760" t="s">
        <v>7730</v>
      </c>
      <c r="B2760" t="s">
        <v>5907</v>
      </c>
      <c r="C2760" t="s">
        <v>7730</v>
      </c>
      <c r="D2760" t="s">
        <v>192</v>
      </c>
      <c r="E2760" t="s">
        <v>192</v>
      </c>
    </row>
    <row r="2761" spans="1:5">
      <c r="A2761" t="s">
        <v>5906</v>
      </c>
      <c r="B2761" t="s">
        <v>5907</v>
      </c>
      <c r="C2761" t="s">
        <v>5906</v>
      </c>
      <c r="D2761" t="s">
        <v>192</v>
      </c>
      <c r="E2761" t="s">
        <v>192</v>
      </c>
    </row>
    <row r="2762" spans="1:5">
      <c r="A2762" t="s">
        <v>5452</v>
      </c>
      <c r="B2762" t="s">
        <v>5453</v>
      </c>
      <c r="C2762" t="s">
        <v>5452</v>
      </c>
      <c r="D2762" t="s">
        <v>192</v>
      </c>
      <c r="E2762" t="s">
        <v>192</v>
      </c>
    </row>
    <row r="2763" spans="1:5">
      <c r="A2763" t="s">
        <v>7731</v>
      </c>
      <c r="B2763" t="s">
        <v>6300</v>
      </c>
      <c r="C2763" t="s">
        <v>7731</v>
      </c>
      <c r="D2763" t="s">
        <v>192</v>
      </c>
      <c r="E2763" t="s">
        <v>192</v>
      </c>
    </row>
    <row r="2764" spans="1:5">
      <c r="A2764" t="s">
        <v>6299</v>
      </c>
      <c r="B2764" t="s">
        <v>6300</v>
      </c>
      <c r="C2764" t="s">
        <v>6299</v>
      </c>
      <c r="D2764" t="s">
        <v>192</v>
      </c>
      <c r="E2764" t="s">
        <v>192</v>
      </c>
    </row>
    <row r="2765" spans="1:5">
      <c r="A2765" t="s">
        <v>3202</v>
      </c>
      <c r="B2765" t="s">
        <v>3203</v>
      </c>
      <c r="C2765" t="s">
        <v>3202</v>
      </c>
      <c r="D2765" t="s">
        <v>192</v>
      </c>
      <c r="E2765" t="s">
        <v>192</v>
      </c>
    </row>
    <row r="2766" spans="1:5">
      <c r="A2766" t="s">
        <v>3206</v>
      </c>
      <c r="B2766" t="s">
        <v>3207</v>
      </c>
      <c r="C2766" t="s">
        <v>3206</v>
      </c>
      <c r="D2766" t="s">
        <v>192</v>
      </c>
      <c r="E2766" t="s">
        <v>192</v>
      </c>
    </row>
    <row r="2767" spans="1:5">
      <c r="A2767" t="s">
        <v>3212</v>
      </c>
      <c r="B2767" t="s">
        <v>3213</v>
      </c>
      <c r="C2767" t="s">
        <v>3212</v>
      </c>
      <c r="D2767" t="s">
        <v>192</v>
      </c>
      <c r="E2767" t="s">
        <v>192</v>
      </c>
    </row>
    <row r="2768" spans="1:5">
      <c r="A2768" t="s">
        <v>1873</v>
      </c>
      <c r="B2768" t="s">
        <v>1872</v>
      </c>
      <c r="C2768" t="s">
        <v>1873</v>
      </c>
      <c r="D2768">
        <v>403</v>
      </c>
      <c r="E2768">
        <v>12.46</v>
      </c>
    </row>
    <row r="2769" spans="1:5">
      <c r="A2769" t="s">
        <v>7732</v>
      </c>
      <c r="B2769" t="s">
        <v>1870</v>
      </c>
      <c r="C2769" t="s">
        <v>7732</v>
      </c>
      <c r="D2769">
        <v>1624</v>
      </c>
      <c r="E2769">
        <v>7.14</v>
      </c>
    </row>
    <row r="2770" spans="1:5">
      <c r="A2770" t="s">
        <v>1871</v>
      </c>
      <c r="B2770" t="s">
        <v>1870</v>
      </c>
      <c r="C2770" t="s">
        <v>1871</v>
      </c>
      <c r="D2770">
        <v>1624</v>
      </c>
      <c r="E2770">
        <v>7.14</v>
      </c>
    </row>
    <row r="2771" spans="1:5">
      <c r="A2771" t="s">
        <v>4692</v>
      </c>
      <c r="B2771" t="s">
        <v>1868</v>
      </c>
      <c r="C2771" t="s">
        <v>4692</v>
      </c>
      <c r="D2771">
        <v>1355</v>
      </c>
      <c r="E2771">
        <v>6.63</v>
      </c>
    </row>
    <row r="2772" spans="1:5">
      <c r="A2772" t="s">
        <v>1869</v>
      </c>
      <c r="B2772" t="s">
        <v>1868</v>
      </c>
      <c r="C2772" t="s">
        <v>1869</v>
      </c>
      <c r="D2772">
        <v>1355</v>
      </c>
      <c r="E2772">
        <v>6.63</v>
      </c>
    </row>
    <row r="2773" spans="1:5">
      <c r="A2773" t="s">
        <v>4986</v>
      </c>
      <c r="B2773" t="s">
        <v>4987</v>
      </c>
      <c r="C2773" t="s">
        <v>4986</v>
      </c>
      <c r="D2773" t="s">
        <v>192</v>
      </c>
      <c r="E2773" t="s">
        <v>192</v>
      </c>
    </row>
    <row r="2774" spans="1:5">
      <c r="A2774" t="s">
        <v>1867</v>
      </c>
      <c r="B2774" t="s">
        <v>1866</v>
      </c>
      <c r="C2774" t="s">
        <v>1867</v>
      </c>
      <c r="D2774">
        <v>202</v>
      </c>
      <c r="E2774">
        <v>9.2899999999999991</v>
      </c>
    </row>
    <row r="2775" spans="1:5">
      <c r="A2775" t="s">
        <v>6258</v>
      </c>
      <c r="B2775" t="s">
        <v>6259</v>
      </c>
      <c r="C2775" t="s">
        <v>6258</v>
      </c>
      <c r="D2775" t="s">
        <v>192</v>
      </c>
      <c r="E2775" t="s">
        <v>192</v>
      </c>
    </row>
    <row r="2776" spans="1:5">
      <c r="A2776" t="s">
        <v>7733</v>
      </c>
      <c r="B2776" t="s">
        <v>4687</v>
      </c>
      <c r="C2776" t="s">
        <v>7733</v>
      </c>
      <c r="D2776" t="s">
        <v>192</v>
      </c>
      <c r="E2776" t="s">
        <v>192</v>
      </c>
    </row>
    <row r="2777" spans="1:5">
      <c r="A2777" t="s">
        <v>4686</v>
      </c>
      <c r="B2777" t="s">
        <v>4687</v>
      </c>
      <c r="C2777" t="s">
        <v>4686</v>
      </c>
      <c r="D2777" t="s">
        <v>192</v>
      </c>
      <c r="E2777" t="s">
        <v>192</v>
      </c>
    </row>
    <row r="2778" spans="1:5">
      <c r="A2778" t="s">
        <v>4021</v>
      </c>
      <c r="B2778" t="s">
        <v>4022</v>
      </c>
      <c r="C2778" t="s">
        <v>4021</v>
      </c>
      <c r="D2778" t="s">
        <v>192</v>
      </c>
      <c r="E2778" t="s">
        <v>192</v>
      </c>
    </row>
    <row r="2779" spans="1:5">
      <c r="A2779" t="s">
        <v>6003</v>
      </c>
      <c r="B2779" t="s">
        <v>6004</v>
      </c>
      <c r="C2779" t="s">
        <v>6003</v>
      </c>
      <c r="D2779" t="s">
        <v>192</v>
      </c>
      <c r="E2779" t="s">
        <v>192</v>
      </c>
    </row>
    <row r="2780" spans="1:5">
      <c r="A2780" t="s">
        <v>5743</v>
      </c>
      <c r="B2780" t="s">
        <v>5744</v>
      </c>
      <c r="C2780" t="s">
        <v>5743</v>
      </c>
      <c r="D2780" t="s">
        <v>192</v>
      </c>
      <c r="E2780" t="s">
        <v>192</v>
      </c>
    </row>
    <row r="2781" spans="1:5">
      <c r="A2781" t="s">
        <v>5759</v>
      </c>
      <c r="B2781" t="s">
        <v>5760</v>
      </c>
      <c r="C2781" t="s">
        <v>5759</v>
      </c>
      <c r="D2781" t="s">
        <v>192</v>
      </c>
      <c r="E2781" t="s">
        <v>192</v>
      </c>
    </row>
    <row r="2782" spans="1:5">
      <c r="A2782" t="s">
        <v>7734</v>
      </c>
      <c r="B2782" t="s">
        <v>4124</v>
      </c>
      <c r="C2782" t="s">
        <v>7734</v>
      </c>
      <c r="D2782" t="s">
        <v>192</v>
      </c>
      <c r="E2782" t="s">
        <v>192</v>
      </c>
    </row>
    <row r="2783" spans="1:5">
      <c r="A2783" t="s">
        <v>4123</v>
      </c>
      <c r="B2783" t="s">
        <v>4124</v>
      </c>
      <c r="C2783" t="s">
        <v>4123</v>
      </c>
      <c r="D2783" t="s">
        <v>192</v>
      </c>
      <c r="E2783" t="s">
        <v>192</v>
      </c>
    </row>
    <row r="2784" spans="1:5">
      <c r="A2784" t="s">
        <v>5303</v>
      </c>
      <c r="B2784" t="s">
        <v>5304</v>
      </c>
      <c r="C2784" t="s">
        <v>5303</v>
      </c>
      <c r="D2784" t="s">
        <v>192</v>
      </c>
      <c r="E2784" t="s">
        <v>192</v>
      </c>
    </row>
    <row r="2785" spans="1:5">
      <c r="A2785" t="s">
        <v>3190</v>
      </c>
      <c r="B2785" t="s">
        <v>3191</v>
      </c>
      <c r="C2785" t="s">
        <v>3190</v>
      </c>
      <c r="D2785" t="s">
        <v>192</v>
      </c>
      <c r="E2785" t="s">
        <v>192</v>
      </c>
    </row>
    <row r="2786" spans="1:5">
      <c r="A2786" t="s">
        <v>3230</v>
      </c>
      <c r="B2786" t="s">
        <v>3231</v>
      </c>
      <c r="C2786" t="s">
        <v>3230</v>
      </c>
      <c r="D2786" t="s">
        <v>192</v>
      </c>
      <c r="E2786" t="s">
        <v>192</v>
      </c>
    </row>
    <row r="2787" spans="1:5">
      <c r="A2787" t="s">
        <v>182</v>
      </c>
      <c r="B2787" t="s">
        <v>181</v>
      </c>
      <c r="C2787" t="s">
        <v>182</v>
      </c>
      <c r="D2787">
        <v>298</v>
      </c>
      <c r="E2787">
        <v>5.89</v>
      </c>
    </row>
    <row r="2788" spans="1:5">
      <c r="A2788" t="s">
        <v>5147</v>
      </c>
      <c r="B2788" t="s">
        <v>5148</v>
      </c>
      <c r="C2788" t="s">
        <v>5147</v>
      </c>
      <c r="D2788" t="s">
        <v>192</v>
      </c>
      <c r="E2788" t="s">
        <v>192</v>
      </c>
    </row>
    <row r="2789" spans="1:5">
      <c r="A2789" t="s">
        <v>5867</v>
      </c>
      <c r="B2789" t="s">
        <v>5868</v>
      </c>
      <c r="C2789" t="s">
        <v>5867</v>
      </c>
      <c r="D2789" t="s">
        <v>192</v>
      </c>
      <c r="E2789" t="s">
        <v>192</v>
      </c>
    </row>
    <row r="2790" spans="1:5">
      <c r="A2790" t="s">
        <v>4997</v>
      </c>
      <c r="B2790" t="s">
        <v>3415</v>
      </c>
      <c r="C2790" t="s">
        <v>4997</v>
      </c>
      <c r="D2790" t="s">
        <v>192</v>
      </c>
      <c r="E2790" t="s">
        <v>192</v>
      </c>
    </row>
    <row r="2791" spans="1:5">
      <c r="A2791" t="s">
        <v>3414</v>
      </c>
      <c r="B2791" t="s">
        <v>3415</v>
      </c>
      <c r="C2791" t="s">
        <v>3414</v>
      </c>
      <c r="D2791" t="s">
        <v>192</v>
      </c>
      <c r="E2791" t="s">
        <v>192</v>
      </c>
    </row>
    <row r="2792" spans="1:5">
      <c r="A2792" t="s">
        <v>4027</v>
      </c>
      <c r="B2792" t="s">
        <v>4028</v>
      </c>
      <c r="C2792" t="s">
        <v>4027</v>
      </c>
      <c r="D2792" t="s">
        <v>192</v>
      </c>
      <c r="E2792" t="s">
        <v>192</v>
      </c>
    </row>
    <row r="2793" spans="1:5">
      <c r="A2793" t="s">
        <v>1865</v>
      </c>
      <c r="B2793" t="s">
        <v>1864</v>
      </c>
      <c r="C2793" t="s">
        <v>1865</v>
      </c>
      <c r="D2793">
        <v>870</v>
      </c>
      <c r="E2793">
        <v>8.18</v>
      </c>
    </row>
    <row r="2794" spans="1:5">
      <c r="A2794" t="s">
        <v>5763</v>
      </c>
      <c r="B2794" t="s">
        <v>4852</v>
      </c>
      <c r="C2794" t="s">
        <v>5763</v>
      </c>
      <c r="D2794" t="s">
        <v>192</v>
      </c>
      <c r="E2794" t="s">
        <v>192</v>
      </c>
    </row>
    <row r="2795" spans="1:5">
      <c r="A2795" t="s">
        <v>5667</v>
      </c>
      <c r="B2795" t="s">
        <v>5668</v>
      </c>
      <c r="C2795" t="s">
        <v>5667</v>
      </c>
      <c r="D2795" t="s">
        <v>192</v>
      </c>
      <c r="E2795" t="s">
        <v>192</v>
      </c>
    </row>
    <row r="2796" spans="1:5">
      <c r="A2796" t="s">
        <v>186</v>
      </c>
      <c r="B2796" t="s">
        <v>185</v>
      </c>
      <c r="C2796" t="s">
        <v>186</v>
      </c>
      <c r="D2796">
        <v>1537</v>
      </c>
      <c r="E2796">
        <v>3.98</v>
      </c>
    </row>
    <row r="2797" spans="1:5">
      <c r="A2797" t="s">
        <v>7735</v>
      </c>
      <c r="B2797" t="s">
        <v>1862</v>
      </c>
      <c r="C2797" t="s">
        <v>7735</v>
      </c>
      <c r="D2797">
        <v>824</v>
      </c>
      <c r="E2797">
        <v>41.32</v>
      </c>
    </row>
    <row r="2798" spans="1:5">
      <c r="A2798" t="s">
        <v>5551</v>
      </c>
      <c r="B2798" t="s">
        <v>5552</v>
      </c>
      <c r="C2798" t="s">
        <v>5551</v>
      </c>
      <c r="D2798" t="s">
        <v>192</v>
      </c>
      <c r="E2798" t="s">
        <v>192</v>
      </c>
    </row>
    <row r="2799" spans="1:5">
      <c r="A2799" t="s">
        <v>1863</v>
      </c>
      <c r="B2799" t="s">
        <v>1862</v>
      </c>
      <c r="C2799" t="s">
        <v>1863</v>
      </c>
      <c r="D2799">
        <v>824</v>
      </c>
      <c r="E2799">
        <v>41.32</v>
      </c>
    </row>
    <row r="2800" spans="1:5">
      <c r="A2800" t="s">
        <v>5979</v>
      </c>
      <c r="B2800" t="s">
        <v>5980</v>
      </c>
      <c r="C2800" t="s">
        <v>5979</v>
      </c>
      <c r="D2800" t="s">
        <v>192</v>
      </c>
      <c r="E2800" t="s">
        <v>192</v>
      </c>
    </row>
    <row r="2801" spans="1:5">
      <c r="A2801" t="s">
        <v>1861</v>
      </c>
      <c r="B2801" t="s">
        <v>1860</v>
      </c>
      <c r="C2801" t="s">
        <v>1861</v>
      </c>
      <c r="D2801">
        <v>844</v>
      </c>
      <c r="E2801">
        <v>1.61</v>
      </c>
    </row>
    <row r="2802" spans="1:5">
      <c r="A2802" t="s">
        <v>1859</v>
      </c>
      <c r="B2802" t="s">
        <v>1857</v>
      </c>
      <c r="C2802" t="s">
        <v>1859</v>
      </c>
      <c r="D2802">
        <v>1671</v>
      </c>
      <c r="E2802">
        <v>17.32</v>
      </c>
    </row>
    <row r="2803" spans="1:5">
      <c r="A2803" t="s">
        <v>1858</v>
      </c>
      <c r="B2803" t="s">
        <v>1857</v>
      </c>
      <c r="C2803" t="s">
        <v>1858</v>
      </c>
      <c r="D2803">
        <v>1671</v>
      </c>
      <c r="E2803">
        <v>17.32</v>
      </c>
    </row>
    <row r="2804" spans="1:5">
      <c r="A2804" t="s">
        <v>6339</v>
      </c>
      <c r="B2804" t="s">
        <v>1855</v>
      </c>
      <c r="C2804" t="s">
        <v>6339</v>
      </c>
      <c r="D2804">
        <v>467</v>
      </c>
      <c r="E2804">
        <v>5.63</v>
      </c>
    </row>
    <row r="2805" spans="1:5">
      <c r="A2805" t="s">
        <v>7736</v>
      </c>
      <c r="B2805" t="s">
        <v>1855</v>
      </c>
      <c r="C2805" t="s">
        <v>7736</v>
      </c>
      <c r="D2805">
        <v>467</v>
      </c>
      <c r="E2805">
        <v>5.57</v>
      </c>
    </row>
    <row r="2806" spans="1:5">
      <c r="A2806" t="s">
        <v>5402</v>
      </c>
      <c r="B2806" t="s">
        <v>5403</v>
      </c>
      <c r="C2806" t="s">
        <v>5402</v>
      </c>
      <c r="D2806" t="s">
        <v>192</v>
      </c>
      <c r="E2806" t="s">
        <v>192</v>
      </c>
    </row>
    <row r="2807" spans="1:5">
      <c r="A2807" t="s">
        <v>1856</v>
      </c>
      <c r="B2807" t="s">
        <v>1855</v>
      </c>
      <c r="C2807" t="s">
        <v>1856</v>
      </c>
      <c r="D2807">
        <v>467</v>
      </c>
      <c r="E2807">
        <v>5.63</v>
      </c>
    </row>
    <row r="2808" spans="1:5">
      <c r="A2808" t="s">
        <v>1854</v>
      </c>
      <c r="B2808" t="s">
        <v>1853</v>
      </c>
      <c r="C2808" t="s">
        <v>1854</v>
      </c>
      <c r="D2808">
        <v>742</v>
      </c>
      <c r="E2808">
        <v>18.52</v>
      </c>
    </row>
    <row r="2809" spans="1:5">
      <c r="A2809" t="s">
        <v>6165</v>
      </c>
      <c r="B2809" t="s">
        <v>3409</v>
      </c>
      <c r="C2809" t="s">
        <v>6165</v>
      </c>
      <c r="D2809" t="s">
        <v>192</v>
      </c>
      <c r="E2809" t="s">
        <v>192</v>
      </c>
    </row>
    <row r="2810" spans="1:5">
      <c r="A2810" t="s">
        <v>1103</v>
      </c>
      <c r="B2810" t="s">
        <v>3409</v>
      </c>
      <c r="C2810" t="s">
        <v>1103</v>
      </c>
      <c r="D2810" t="s">
        <v>192</v>
      </c>
      <c r="E2810" t="s">
        <v>192</v>
      </c>
    </row>
    <row r="2811" spans="1:5">
      <c r="A2811" t="s">
        <v>6411</v>
      </c>
      <c r="B2811" t="s">
        <v>6092</v>
      </c>
      <c r="C2811" t="s">
        <v>6411</v>
      </c>
      <c r="D2811" t="s">
        <v>192</v>
      </c>
      <c r="E2811" t="s">
        <v>192</v>
      </c>
    </row>
    <row r="2812" spans="1:5">
      <c r="A2812" t="s">
        <v>7737</v>
      </c>
      <c r="B2812" t="s">
        <v>7738</v>
      </c>
      <c r="C2812" t="s">
        <v>7737</v>
      </c>
      <c r="D2812" t="s">
        <v>192</v>
      </c>
      <c r="E2812" t="s">
        <v>192</v>
      </c>
    </row>
    <row r="2813" spans="1:5">
      <c r="A2813" t="s">
        <v>5163</v>
      </c>
      <c r="B2813" t="s">
        <v>1851</v>
      </c>
      <c r="C2813" t="s">
        <v>5163</v>
      </c>
      <c r="D2813">
        <v>1781</v>
      </c>
      <c r="E2813">
        <v>7.94</v>
      </c>
    </row>
    <row r="2814" spans="1:5">
      <c r="A2814" t="s">
        <v>1852</v>
      </c>
      <c r="B2814" t="s">
        <v>1851</v>
      </c>
      <c r="C2814" t="s">
        <v>1852</v>
      </c>
      <c r="D2814">
        <v>1781</v>
      </c>
      <c r="E2814">
        <v>7.94</v>
      </c>
    </row>
    <row r="2815" spans="1:5">
      <c r="A2815" t="s">
        <v>4777</v>
      </c>
      <c r="B2815" t="s">
        <v>4778</v>
      </c>
      <c r="C2815" t="s">
        <v>4777</v>
      </c>
      <c r="D2815" t="s">
        <v>192</v>
      </c>
      <c r="E2815" t="s">
        <v>192</v>
      </c>
    </row>
    <row r="2816" spans="1:5">
      <c r="A2816" t="s">
        <v>1850</v>
      </c>
      <c r="B2816" t="s">
        <v>1849</v>
      </c>
      <c r="C2816" t="s">
        <v>1850</v>
      </c>
      <c r="D2816">
        <v>3652</v>
      </c>
      <c r="E2816">
        <v>8.6999999999999993</v>
      </c>
    </row>
    <row r="2817" spans="1:5">
      <c r="A2817" t="s">
        <v>1848</v>
      </c>
      <c r="B2817" t="s">
        <v>1847</v>
      </c>
      <c r="C2817" t="s">
        <v>1848</v>
      </c>
      <c r="D2817">
        <v>281</v>
      </c>
      <c r="E2817">
        <v>19.57</v>
      </c>
    </row>
    <row r="2818" spans="1:5">
      <c r="A2818" t="s">
        <v>7739</v>
      </c>
      <c r="B2818" t="s">
        <v>6263</v>
      </c>
      <c r="C2818" t="s">
        <v>7739</v>
      </c>
      <c r="D2818" t="s">
        <v>192</v>
      </c>
      <c r="E2818" t="s">
        <v>192</v>
      </c>
    </row>
    <row r="2819" spans="1:5">
      <c r="A2819" t="s">
        <v>6262</v>
      </c>
      <c r="B2819" t="s">
        <v>6263</v>
      </c>
      <c r="C2819" t="s">
        <v>6262</v>
      </c>
      <c r="D2819" t="s">
        <v>192</v>
      </c>
      <c r="E2819" t="s">
        <v>192</v>
      </c>
    </row>
    <row r="2820" spans="1:5">
      <c r="A2820" t="s">
        <v>1846</v>
      </c>
      <c r="B2820" t="s">
        <v>1845</v>
      </c>
      <c r="C2820" t="s">
        <v>1846</v>
      </c>
      <c r="D2820">
        <v>223</v>
      </c>
      <c r="E2820">
        <v>16.23</v>
      </c>
    </row>
    <row r="2821" spans="1:5">
      <c r="A2821" t="s">
        <v>1844</v>
      </c>
      <c r="B2821" t="s">
        <v>1842</v>
      </c>
      <c r="C2821" t="s">
        <v>1844</v>
      </c>
      <c r="D2821">
        <v>3147</v>
      </c>
      <c r="E2821">
        <v>4.54</v>
      </c>
    </row>
    <row r="2822" spans="1:5">
      <c r="A2822" t="s">
        <v>1843</v>
      </c>
      <c r="B2822" t="s">
        <v>1842</v>
      </c>
      <c r="C2822" t="s">
        <v>1843</v>
      </c>
      <c r="D2822">
        <v>3147</v>
      </c>
      <c r="E2822">
        <v>4.54</v>
      </c>
    </row>
    <row r="2823" spans="1:5">
      <c r="A2823" t="s">
        <v>1841</v>
      </c>
      <c r="B2823" t="s">
        <v>1840</v>
      </c>
      <c r="C2823" t="s">
        <v>1841</v>
      </c>
      <c r="D2823">
        <v>198</v>
      </c>
      <c r="E2823">
        <v>16.850000000000001</v>
      </c>
    </row>
    <row r="2824" spans="1:5">
      <c r="A2824" t="s">
        <v>1839</v>
      </c>
      <c r="B2824" t="s">
        <v>1838</v>
      </c>
      <c r="C2824" t="s">
        <v>1839</v>
      </c>
      <c r="D2824">
        <v>924</v>
      </c>
      <c r="E2824">
        <v>3.46</v>
      </c>
    </row>
    <row r="2825" spans="1:5">
      <c r="A2825" t="s">
        <v>7740</v>
      </c>
      <c r="B2825" t="s">
        <v>1836</v>
      </c>
      <c r="C2825" t="s">
        <v>7740</v>
      </c>
      <c r="D2825">
        <v>219</v>
      </c>
      <c r="E2825">
        <v>6.67</v>
      </c>
    </row>
    <row r="2826" spans="1:5">
      <c r="A2826" t="s">
        <v>1837</v>
      </c>
      <c r="B2826" t="s">
        <v>1836</v>
      </c>
      <c r="C2826" t="s">
        <v>1837</v>
      </c>
      <c r="D2826">
        <v>219</v>
      </c>
      <c r="E2826">
        <v>6.67</v>
      </c>
    </row>
    <row r="2827" spans="1:5">
      <c r="A2827" t="s">
        <v>5830</v>
      </c>
      <c r="B2827" t="s">
        <v>5831</v>
      </c>
      <c r="C2827" t="s">
        <v>5830</v>
      </c>
      <c r="D2827" t="s">
        <v>192</v>
      </c>
      <c r="E2827" t="s">
        <v>192</v>
      </c>
    </row>
    <row r="2828" spans="1:5">
      <c r="A2828" t="s">
        <v>205</v>
      </c>
      <c r="B2828" t="s">
        <v>204</v>
      </c>
      <c r="C2828" t="s">
        <v>205</v>
      </c>
      <c r="D2828" t="s">
        <v>192</v>
      </c>
      <c r="E2828" t="s">
        <v>192</v>
      </c>
    </row>
    <row r="2829" spans="1:5">
      <c r="A2829" t="s">
        <v>1835</v>
      </c>
      <c r="B2829" t="s">
        <v>1834</v>
      </c>
      <c r="C2829" t="s">
        <v>1835</v>
      </c>
      <c r="D2829">
        <v>-53</v>
      </c>
      <c r="E2829">
        <v>-131.88999999999999</v>
      </c>
    </row>
    <row r="2830" spans="1:5">
      <c r="A2830" t="s">
        <v>1833</v>
      </c>
      <c r="B2830" t="s">
        <v>1831</v>
      </c>
      <c r="C2830" t="s">
        <v>1833</v>
      </c>
      <c r="D2830">
        <v>672</v>
      </c>
      <c r="E2830">
        <v>8.3000000000000007</v>
      </c>
    </row>
    <row r="2831" spans="1:5">
      <c r="A2831" t="s">
        <v>1832</v>
      </c>
      <c r="B2831" t="s">
        <v>1831</v>
      </c>
      <c r="C2831" t="s">
        <v>1832</v>
      </c>
      <c r="D2831">
        <v>672</v>
      </c>
      <c r="E2831">
        <v>8.3000000000000007</v>
      </c>
    </row>
    <row r="2832" spans="1:5">
      <c r="A2832" t="s">
        <v>1830</v>
      </c>
      <c r="B2832" t="s">
        <v>1829</v>
      </c>
      <c r="C2832" t="s">
        <v>1830</v>
      </c>
      <c r="D2832">
        <v>441</v>
      </c>
      <c r="E2832">
        <v>5.66</v>
      </c>
    </row>
    <row r="2833" spans="1:5">
      <c r="A2833" t="s">
        <v>1828</v>
      </c>
      <c r="B2833" t="s">
        <v>1827</v>
      </c>
      <c r="C2833" t="s">
        <v>1828</v>
      </c>
      <c r="D2833">
        <v>499</v>
      </c>
      <c r="E2833">
        <v>9.7799999999999994</v>
      </c>
    </row>
    <row r="2834" spans="1:5">
      <c r="A2834" t="s">
        <v>6326</v>
      </c>
      <c r="B2834" t="s">
        <v>5561</v>
      </c>
      <c r="C2834" t="s">
        <v>6326</v>
      </c>
      <c r="D2834" t="s">
        <v>192</v>
      </c>
      <c r="E2834" t="s">
        <v>192</v>
      </c>
    </row>
    <row r="2835" spans="1:5">
      <c r="A2835" t="s">
        <v>6139</v>
      </c>
      <c r="B2835" t="s">
        <v>5241</v>
      </c>
      <c r="C2835" t="s">
        <v>6139</v>
      </c>
      <c r="D2835" t="s">
        <v>192</v>
      </c>
      <c r="E2835" t="s">
        <v>192</v>
      </c>
    </row>
    <row r="2836" spans="1:5">
      <c r="A2836" t="s">
        <v>5240</v>
      </c>
      <c r="B2836" t="s">
        <v>5241</v>
      </c>
      <c r="C2836" t="s">
        <v>5240</v>
      </c>
      <c r="D2836" t="s">
        <v>192</v>
      </c>
      <c r="E2836" t="s">
        <v>192</v>
      </c>
    </row>
    <row r="2837" spans="1:5">
      <c r="A2837" t="s">
        <v>5014</v>
      </c>
      <c r="B2837" t="s">
        <v>5015</v>
      </c>
      <c r="C2837" t="s">
        <v>5014</v>
      </c>
      <c r="D2837" t="s">
        <v>192</v>
      </c>
      <c r="E2837" t="s">
        <v>192</v>
      </c>
    </row>
    <row r="2838" spans="1:5">
      <c r="A2838" t="s">
        <v>5885</v>
      </c>
      <c r="B2838" t="s">
        <v>5886</v>
      </c>
      <c r="C2838" t="s">
        <v>5885</v>
      </c>
      <c r="D2838" t="s">
        <v>192</v>
      </c>
      <c r="E2838" t="s">
        <v>192</v>
      </c>
    </row>
    <row r="2839" spans="1:5">
      <c r="A2839" t="s">
        <v>5149</v>
      </c>
      <c r="B2839" t="s">
        <v>4723</v>
      </c>
      <c r="C2839" t="s">
        <v>5149</v>
      </c>
      <c r="D2839">
        <v>2043</v>
      </c>
      <c r="E2839">
        <v>9.57</v>
      </c>
    </row>
    <row r="2840" spans="1:5">
      <c r="A2840" t="s">
        <v>7741</v>
      </c>
      <c r="B2840" t="s">
        <v>4723</v>
      </c>
      <c r="C2840" t="s">
        <v>7741</v>
      </c>
      <c r="D2840">
        <v>2043</v>
      </c>
      <c r="E2840">
        <v>9.5399999999999991</v>
      </c>
    </row>
    <row r="2841" spans="1:5">
      <c r="A2841" t="s">
        <v>4722</v>
      </c>
      <c r="B2841" t="s">
        <v>4723</v>
      </c>
      <c r="C2841" t="s">
        <v>4722</v>
      </c>
      <c r="D2841">
        <v>2043</v>
      </c>
      <c r="E2841">
        <v>9.57</v>
      </c>
    </row>
    <row r="2842" spans="1:5">
      <c r="A2842" t="s">
        <v>1826</v>
      </c>
      <c r="B2842" t="s">
        <v>1825</v>
      </c>
      <c r="C2842" t="s">
        <v>1826</v>
      </c>
      <c r="D2842">
        <v>-702</v>
      </c>
      <c r="E2842">
        <v>-1.32</v>
      </c>
    </row>
    <row r="2843" spans="1:5">
      <c r="A2843" t="s">
        <v>1824</v>
      </c>
      <c r="B2843" t="s">
        <v>1823</v>
      </c>
      <c r="C2843" t="s">
        <v>1824</v>
      </c>
      <c r="D2843">
        <v>6</v>
      </c>
      <c r="E2843">
        <v>391.17</v>
      </c>
    </row>
    <row r="2844" spans="1:5">
      <c r="A2844" t="s">
        <v>1822</v>
      </c>
      <c r="B2844" t="s">
        <v>1821</v>
      </c>
      <c r="C2844" t="s">
        <v>1822</v>
      </c>
      <c r="D2844">
        <v>771</v>
      </c>
      <c r="E2844">
        <v>6.08</v>
      </c>
    </row>
    <row r="2845" spans="1:5">
      <c r="A2845" t="s">
        <v>1820</v>
      </c>
      <c r="B2845" t="s">
        <v>1819</v>
      </c>
      <c r="C2845" t="s">
        <v>1820</v>
      </c>
      <c r="D2845">
        <v>916</v>
      </c>
      <c r="E2845">
        <v>9.83</v>
      </c>
    </row>
    <row r="2846" spans="1:5">
      <c r="A2846" t="s">
        <v>1818</v>
      </c>
      <c r="B2846" t="s">
        <v>1817</v>
      </c>
      <c r="C2846" t="s">
        <v>1818</v>
      </c>
      <c r="D2846">
        <v>1196</v>
      </c>
      <c r="E2846">
        <v>7.08</v>
      </c>
    </row>
    <row r="2847" spans="1:5">
      <c r="A2847" t="s">
        <v>1816</v>
      </c>
      <c r="B2847" t="s">
        <v>1815</v>
      </c>
      <c r="C2847" t="s">
        <v>1816</v>
      </c>
      <c r="D2847">
        <v>569</v>
      </c>
      <c r="E2847">
        <v>6.86</v>
      </c>
    </row>
    <row r="2848" spans="1:5">
      <c r="A2848" t="s">
        <v>6184</v>
      </c>
      <c r="B2848" t="s">
        <v>6185</v>
      </c>
      <c r="C2848" t="s">
        <v>6184</v>
      </c>
      <c r="D2848" t="s">
        <v>192</v>
      </c>
      <c r="E2848" t="s">
        <v>192</v>
      </c>
    </row>
    <row r="2849" spans="1:5">
      <c r="A2849" t="s">
        <v>1814</v>
      </c>
      <c r="B2849" t="s">
        <v>1813</v>
      </c>
      <c r="C2849" t="s">
        <v>1814</v>
      </c>
      <c r="D2849">
        <v>438</v>
      </c>
      <c r="E2849">
        <v>23.65</v>
      </c>
    </row>
    <row r="2850" spans="1:5">
      <c r="A2850" t="s">
        <v>1812</v>
      </c>
      <c r="B2850" t="s">
        <v>1811</v>
      </c>
      <c r="C2850" t="s">
        <v>1812</v>
      </c>
      <c r="D2850">
        <v>240</v>
      </c>
      <c r="E2850">
        <v>11.85</v>
      </c>
    </row>
    <row r="2851" spans="1:5">
      <c r="A2851" t="s">
        <v>6105</v>
      </c>
      <c r="B2851" t="s">
        <v>6106</v>
      </c>
      <c r="C2851" t="s">
        <v>6105</v>
      </c>
      <c r="D2851" t="s">
        <v>192</v>
      </c>
      <c r="E2851" t="s">
        <v>192</v>
      </c>
    </row>
    <row r="2852" spans="1:5">
      <c r="A2852" t="s">
        <v>1810</v>
      </c>
      <c r="B2852" t="s">
        <v>1809</v>
      </c>
      <c r="C2852" t="s">
        <v>1810</v>
      </c>
      <c r="D2852">
        <v>466</v>
      </c>
      <c r="E2852">
        <v>12.49</v>
      </c>
    </row>
    <row r="2853" spans="1:5">
      <c r="A2853" t="s">
        <v>3423</v>
      </c>
      <c r="B2853" t="s">
        <v>3424</v>
      </c>
      <c r="C2853" t="s">
        <v>3423</v>
      </c>
      <c r="D2853" t="s">
        <v>192</v>
      </c>
      <c r="E2853" t="s">
        <v>192</v>
      </c>
    </row>
    <row r="2854" spans="1:5">
      <c r="A2854" t="s">
        <v>1808</v>
      </c>
      <c r="B2854" t="s">
        <v>1806</v>
      </c>
      <c r="C2854" t="s">
        <v>1808</v>
      </c>
      <c r="D2854">
        <v>14</v>
      </c>
      <c r="E2854">
        <v>247.43</v>
      </c>
    </row>
    <row r="2855" spans="1:5">
      <c r="A2855" t="s">
        <v>1807</v>
      </c>
      <c r="B2855" t="s">
        <v>1806</v>
      </c>
      <c r="C2855" t="s">
        <v>1807</v>
      </c>
      <c r="D2855">
        <v>14</v>
      </c>
      <c r="E2855">
        <v>247.43</v>
      </c>
    </row>
    <row r="2856" spans="1:5">
      <c r="A2856" t="s">
        <v>4927</v>
      </c>
      <c r="B2856" t="s">
        <v>4928</v>
      </c>
      <c r="C2856" t="s">
        <v>4927</v>
      </c>
      <c r="D2856" t="s">
        <v>192</v>
      </c>
      <c r="E2856" t="s">
        <v>192</v>
      </c>
    </row>
    <row r="2857" spans="1:5">
      <c r="A2857" t="s">
        <v>1805</v>
      </c>
      <c r="B2857" t="s">
        <v>1804</v>
      </c>
      <c r="C2857" t="s">
        <v>1805</v>
      </c>
      <c r="D2857">
        <v>694</v>
      </c>
      <c r="E2857">
        <v>8.11</v>
      </c>
    </row>
    <row r="2858" spans="1:5">
      <c r="A2858" t="s">
        <v>1803</v>
      </c>
      <c r="B2858" t="s">
        <v>1802</v>
      </c>
      <c r="C2858" t="s">
        <v>1803</v>
      </c>
      <c r="D2858">
        <v>331</v>
      </c>
      <c r="E2858">
        <v>6.47</v>
      </c>
    </row>
    <row r="2859" spans="1:5">
      <c r="A2859" t="s">
        <v>4995</v>
      </c>
      <c r="B2859" t="s">
        <v>4996</v>
      </c>
      <c r="C2859" t="s">
        <v>4995</v>
      </c>
      <c r="D2859" t="s">
        <v>192</v>
      </c>
      <c r="E2859" t="s">
        <v>192</v>
      </c>
    </row>
    <row r="2860" spans="1:5">
      <c r="A2860" t="s">
        <v>5089</v>
      </c>
      <c r="B2860" t="s">
        <v>5090</v>
      </c>
      <c r="C2860" t="s">
        <v>5089</v>
      </c>
      <c r="D2860" t="s">
        <v>192</v>
      </c>
      <c r="E2860" t="s">
        <v>192</v>
      </c>
    </row>
    <row r="2861" spans="1:5">
      <c r="A2861" t="s">
        <v>1801</v>
      </c>
      <c r="B2861" t="s">
        <v>1800</v>
      </c>
      <c r="C2861" t="s">
        <v>1801</v>
      </c>
      <c r="D2861">
        <v>459</v>
      </c>
      <c r="E2861">
        <v>4.1900000000000004</v>
      </c>
    </row>
    <row r="2862" spans="1:5">
      <c r="A2862" t="s">
        <v>1799</v>
      </c>
      <c r="B2862" t="s">
        <v>1798</v>
      </c>
      <c r="C2862" t="s">
        <v>1799</v>
      </c>
      <c r="D2862">
        <v>818</v>
      </c>
      <c r="E2862">
        <v>4.7699999999999996</v>
      </c>
    </row>
    <row r="2863" spans="1:5">
      <c r="A2863" t="s">
        <v>1797</v>
      </c>
      <c r="B2863" t="s">
        <v>1796</v>
      </c>
      <c r="C2863" t="s">
        <v>1797</v>
      </c>
      <c r="D2863">
        <v>413</v>
      </c>
      <c r="E2863">
        <v>430.27</v>
      </c>
    </row>
    <row r="2864" spans="1:5">
      <c r="A2864" t="s">
        <v>1795</v>
      </c>
      <c r="B2864" t="s">
        <v>1794</v>
      </c>
      <c r="C2864" t="s">
        <v>1795</v>
      </c>
      <c r="D2864">
        <v>690</v>
      </c>
      <c r="E2864">
        <v>4.32</v>
      </c>
    </row>
    <row r="2865" spans="1:5">
      <c r="A2865" t="s">
        <v>1793</v>
      </c>
      <c r="B2865" t="s">
        <v>1792</v>
      </c>
      <c r="C2865" t="s">
        <v>1793</v>
      </c>
      <c r="D2865">
        <v>1555</v>
      </c>
      <c r="E2865">
        <v>10.130000000000001</v>
      </c>
    </row>
    <row r="2866" spans="1:5">
      <c r="A2866" t="s">
        <v>1791</v>
      </c>
      <c r="B2866" t="s">
        <v>1790</v>
      </c>
      <c r="C2866" t="s">
        <v>1791</v>
      </c>
      <c r="D2866">
        <v>1023</v>
      </c>
      <c r="E2866">
        <v>6.6</v>
      </c>
    </row>
    <row r="2867" spans="1:5">
      <c r="A2867" t="s">
        <v>1789</v>
      </c>
      <c r="B2867" t="s">
        <v>1788</v>
      </c>
      <c r="C2867" t="s">
        <v>1789</v>
      </c>
      <c r="D2867">
        <v>457</v>
      </c>
      <c r="E2867">
        <v>17.18</v>
      </c>
    </row>
    <row r="2868" spans="1:5">
      <c r="A2868" t="s">
        <v>1787</v>
      </c>
      <c r="B2868" t="s">
        <v>1786</v>
      </c>
      <c r="C2868" t="s">
        <v>1787</v>
      </c>
      <c r="D2868">
        <v>523</v>
      </c>
      <c r="E2868">
        <v>47.42</v>
      </c>
    </row>
    <row r="2869" spans="1:5">
      <c r="A2869" t="s">
        <v>1785</v>
      </c>
      <c r="B2869" t="s">
        <v>1783</v>
      </c>
      <c r="C2869" t="s">
        <v>1785</v>
      </c>
      <c r="D2869">
        <v>2165</v>
      </c>
      <c r="E2869">
        <v>7.57</v>
      </c>
    </row>
    <row r="2870" spans="1:5">
      <c r="A2870" t="s">
        <v>1784</v>
      </c>
      <c r="B2870" t="s">
        <v>1783</v>
      </c>
      <c r="C2870" t="s">
        <v>1784</v>
      </c>
      <c r="D2870">
        <v>2165</v>
      </c>
      <c r="E2870">
        <v>7.57</v>
      </c>
    </row>
    <row r="2871" spans="1:5">
      <c r="A2871" t="s">
        <v>5491</v>
      </c>
      <c r="B2871" t="s">
        <v>5492</v>
      </c>
      <c r="C2871" t="s">
        <v>5491</v>
      </c>
      <c r="D2871" t="s">
        <v>192</v>
      </c>
      <c r="E2871" t="s">
        <v>192</v>
      </c>
    </row>
    <row r="2872" spans="1:5">
      <c r="A2872" t="s">
        <v>7742</v>
      </c>
      <c r="B2872" t="s">
        <v>5182</v>
      </c>
      <c r="C2872" t="s">
        <v>7742</v>
      </c>
      <c r="D2872" t="s">
        <v>192</v>
      </c>
      <c r="E2872" t="s">
        <v>192</v>
      </c>
    </row>
    <row r="2873" spans="1:5">
      <c r="A2873" t="s">
        <v>5181</v>
      </c>
      <c r="B2873" t="s">
        <v>5182</v>
      </c>
      <c r="C2873" t="s">
        <v>5181</v>
      </c>
      <c r="D2873" t="s">
        <v>192</v>
      </c>
      <c r="E2873" t="s">
        <v>192</v>
      </c>
    </row>
    <row r="2874" spans="1:5">
      <c r="A2874" t="s">
        <v>4970</v>
      </c>
      <c r="B2874" t="s">
        <v>4971</v>
      </c>
      <c r="C2874" t="s">
        <v>4970</v>
      </c>
      <c r="D2874" t="s">
        <v>192</v>
      </c>
      <c r="E2874" t="s">
        <v>192</v>
      </c>
    </row>
    <row r="2875" spans="1:5">
      <c r="A2875" t="s">
        <v>5202</v>
      </c>
      <c r="B2875" t="s">
        <v>5203</v>
      </c>
      <c r="C2875" t="s">
        <v>5202</v>
      </c>
      <c r="D2875" t="s">
        <v>192</v>
      </c>
      <c r="E2875" t="s">
        <v>192</v>
      </c>
    </row>
    <row r="2876" spans="1:5">
      <c r="A2876" t="s">
        <v>1782</v>
      </c>
      <c r="B2876" t="s">
        <v>1781</v>
      </c>
      <c r="C2876" t="s">
        <v>1782</v>
      </c>
      <c r="D2876">
        <v>654</v>
      </c>
      <c r="E2876">
        <v>35.799999999999997</v>
      </c>
    </row>
    <row r="2877" spans="1:5">
      <c r="A2877" t="s">
        <v>1780</v>
      </c>
      <c r="B2877" t="s">
        <v>1779</v>
      </c>
      <c r="C2877" t="s">
        <v>1780</v>
      </c>
      <c r="D2877">
        <v>2250</v>
      </c>
      <c r="E2877">
        <v>25.31</v>
      </c>
    </row>
    <row r="2878" spans="1:5">
      <c r="A2878" t="s">
        <v>1778</v>
      </c>
      <c r="B2878" t="s">
        <v>1777</v>
      </c>
      <c r="C2878" t="s">
        <v>1778</v>
      </c>
      <c r="D2878">
        <v>602</v>
      </c>
      <c r="E2878">
        <v>5.48</v>
      </c>
    </row>
    <row r="2879" spans="1:5">
      <c r="A2879" t="s">
        <v>5629</v>
      </c>
      <c r="B2879" t="s">
        <v>5630</v>
      </c>
      <c r="C2879" t="s">
        <v>5629</v>
      </c>
      <c r="D2879" t="s">
        <v>192</v>
      </c>
      <c r="E2879" t="s">
        <v>192</v>
      </c>
    </row>
    <row r="2880" spans="1:5">
      <c r="A2880" t="s">
        <v>4110</v>
      </c>
      <c r="B2880" t="s">
        <v>4111</v>
      </c>
      <c r="C2880" t="s">
        <v>4110</v>
      </c>
      <c r="D2880" t="s">
        <v>192</v>
      </c>
      <c r="E2880" t="s">
        <v>192</v>
      </c>
    </row>
    <row r="2881" spans="1:5">
      <c r="A2881" t="s">
        <v>6375</v>
      </c>
      <c r="B2881" t="s">
        <v>4111</v>
      </c>
      <c r="C2881" t="s">
        <v>6375</v>
      </c>
      <c r="D2881" t="s">
        <v>192</v>
      </c>
      <c r="E2881" t="s">
        <v>192</v>
      </c>
    </row>
    <row r="2882" spans="1:5">
      <c r="A2882" t="s">
        <v>1776</v>
      </c>
      <c r="B2882" t="s">
        <v>1775</v>
      </c>
      <c r="C2882" t="s">
        <v>1776</v>
      </c>
      <c r="D2882">
        <v>157</v>
      </c>
      <c r="E2882">
        <v>12.12</v>
      </c>
    </row>
    <row r="2883" spans="1:5">
      <c r="A2883" t="s">
        <v>1774</v>
      </c>
      <c r="B2883" t="s">
        <v>1773</v>
      </c>
      <c r="C2883" t="s">
        <v>1774</v>
      </c>
      <c r="D2883">
        <v>-766</v>
      </c>
      <c r="E2883">
        <v>-5.63</v>
      </c>
    </row>
    <row r="2884" spans="1:5">
      <c r="A2884" t="s">
        <v>4031</v>
      </c>
      <c r="B2884" t="s">
        <v>4032</v>
      </c>
      <c r="C2884" t="s">
        <v>4031</v>
      </c>
      <c r="D2884" t="s">
        <v>192</v>
      </c>
      <c r="E2884" t="s">
        <v>192</v>
      </c>
    </row>
    <row r="2885" spans="1:5">
      <c r="A2885" t="s">
        <v>6204</v>
      </c>
      <c r="B2885" t="s">
        <v>6205</v>
      </c>
      <c r="C2885" t="s">
        <v>6204</v>
      </c>
      <c r="D2885" t="s">
        <v>192</v>
      </c>
      <c r="E2885" t="s">
        <v>192</v>
      </c>
    </row>
    <row r="2886" spans="1:5">
      <c r="A2886" t="s">
        <v>1772</v>
      </c>
      <c r="B2886" t="s">
        <v>1771</v>
      </c>
      <c r="C2886" t="s">
        <v>1772</v>
      </c>
      <c r="D2886" t="s">
        <v>192</v>
      </c>
      <c r="E2886" t="s">
        <v>192</v>
      </c>
    </row>
    <row r="2887" spans="1:5">
      <c r="A2887" t="s">
        <v>1770</v>
      </c>
      <c r="B2887" t="s">
        <v>1769</v>
      </c>
      <c r="C2887" t="s">
        <v>1770</v>
      </c>
      <c r="D2887">
        <v>371</v>
      </c>
      <c r="E2887">
        <v>6.1</v>
      </c>
    </row>
    <row r="2888" spans="1:5">
      <c r="A2888" t="s">
        <v>1768</v>
      </c>
      <c r="B2888" t="s">
        <v>1767</v>
      </c>
      <c r="C2888" t="s">
        <v>1768</v>
      </c>
      <c r="D2888">
        <v>1080</v>
      </c>
      <c r="E2888">
        <v>2.2000000000000002</v>
      </c>
    </row>
    <row r="2889" spans="1:5">
      <c r="A2889" t="s">
        <v>3204</v>
      </c>
      <c r="B2889" t="s">
        <v>3205</v>
      </c>
      <c r="C2889" t="s">
        <v>3204</v>
      </c>
      <c r="D2889" t="s">
        <v>192</v>
      </c>
      <c r="E2889" t="s">
        <v>192</v>
      </c>
    </row>
    <row r="2890" spans="1:5">
      <c r="A2890" t="s">
        <v>6256</v>
      </c>
      <c r="B2890" t="s">
        <v>6257</v>
      </c>
      <c r="C2890" t="s">
        <v>6256</v>
      </c>
      <c r="D2890" t="s">
        <v>192</v>
      </c>
      <c r="E2890" t="s">
        <v>192</v>
      </c>
    </row>
    <row r="2891" spans="1:5">
      <c r="A2891" t="s">
        <v>4844</v>
      </c>
      <c r="B2891" t="s">
        <v>4845</v>
      </c>
      <c r="C2891" t="s">
        <v>4844</v>
      </c>
      <c r="D2891" t="s">
        <v>192</v>
      </c>
      <c r="E2891" t="s">
        <v>192</v>
      </c>
    </row>
    <row r="2892" spans="1:5">
      <c r="A2892" t="s">
        <v>7743</v>
      </c>
      <c r="B2892" t="s">
        <v>88</v>
      </c>
      <c r="C2892" t="s">
        <v>7743</v>
      </c>
      <c r="D2892">
        <v>16387</v>
      </c>
      <c r="E2892">
        <v>9.23</v>
      </c>
    </row>
    <row r="2893" spans="1:5">
      <c r="A2893" t="s">
        <v>89</v>
      </c>
      <c r="B2893" t="s">
        <v>88</v>
      </c>
      <c r="C2893" t="s">
        <v>89</v>
      </c>
      <c r="D2893">
        <v>16387</v>
      </c>
      <c r="E2893">
        <v>9.23</v>
      </c>
    </row>
    <row r="2894" spans="1:5">
      <c r="A2894" t="s">
        <v>3263</v>
      </c>
      <c r="B2894" t="s">
        <v>3264</v>
      </c>
      <c r="C2894" t="s">
        <v>3263</v>
      </c>
      <c r="D2894" t="s">
        <v>192</v>
      </c>
      <c r="E2894" t="s">
        <v>192</v>
      </c>
    </row>
    <row r="2895" spans="1:5">
      <c r="A2895" t="s">
        <v>5499</v>
      </c>
      <c r="B2895" t="s">
        <v>5500</v>
      </c>
      <c r="C2895" t="s">
        <v>5499</v>
      </c>
      <c r="D2895" t="s">
        <v>192</v>
      </c>
      <c r="E2895" t="s">
        <v>192</v>
      </c>
    </row>
    <row r="2896" spans="1:5">
      <c r="A2896" t="s">
        <v>5503</v>
      </c>
      <c r="B2896" t="s">
        <v>5504</v>
      </c>
      <c r="C2896" t="s">
        <v>5503</v>
      </c>
      <c r="D2896" t="s">
        <v>192</v>
      </c>
      <c r="E2896" t="s">
        <v>192</v>
      </c>
    </row>
    <row r="2897" spans="1:5">
      <c r="A2897" t="s">
        <v>5609</v>
      </c>
      <c r="B2897" t="s">
        <v>5610</v>
      </c>
      <c r="C2897" t="s">
        <v>5609</v>
      </c>
      <c r="D2897" t="s">
        <v>192</v>
      </c>
      <c r="E2897" t="s">
        <v>192</v>
      </c>
    </row>
    <row r="2898" spans="1:5">
      <c r="A2898" t="s">
        <v>4586</v>
      </c>
      <c r="B2898" t="s">
        <v>3408</v>
      </c>
      <c r="C2898" t="s">
        <v>4586</v>
      </c>
      <c r="D2898" t="s">
        <v>192</v>
      </c>
      <c r="E2898" t="s">
        <v>192</v>
      </c>
    </row>
    <row r="2899" spans="1:5">
      <c r="A2899" t="s">
        <v>3407</v>
      </c>
      <c r="B2899" t="s">
        <v>3408</v>
      </c>
      <c r="C2899" t="s">
        <v>3407</v>
      </c>
      <c r="D2899" t="s">
        <v>192</v>
      </c>
      <c r="E2899" t="s">
        <v>192</v>
      </c>
    </row>
    <row r="2900" spans="1:5">
      <c r="A2900" t="s">
        <v>7744</v>
      </c>
      <c r="B2900" t="s">
        <v>5682</v>
      </c>
      <c r="C2900" t="s">
        <v>7744</v>
      </c>
      <c r="D2900" t="s">
        <v>192</v>
      </c>
      <c r="E2900" t="s">
        <v>192</v>
      </c>
    </row>
    <row r="2901" spans="1:5">
      <c r="A2901" t="s">
        <v>5681</v>
      </c>
      <c r="B2901" t="s">
        <v>5682</v>
      </c>
      <c r="C2901" t="s">
        <v>5681</v>
      </c>
      <c r="D2901" t="s">
        <v>192</v>
      </c>
      <c r="E2901" t="s">
        <v>192</v>
      </c>
    </row>
    <row r="2902" spans="1:5">
      <c r="A2902" t="s">
        <v>7745</v>
      </c>
      <c r="B2902" t="s">
        <v>5863</v>
      </c>
      <c r="C2902" t="s">
        <v>7745</v>
      </c>
      <c r="D2902" t="s">
        <v>192</v>
      </c>
      <c r="E2902" t="s">
        <v>192</v>
      </c>
    </row>
    <row r="2903" spans="1:5">
      <c r="A2903" t="s">
        <v>5862</v>
      </c>
      <c r="B2903" t="s">
        <v>5863</v>
      </c>
      <c r="C2903" t="s">
        <v>5862</v>
      </c>
      <c r="D2903" t="s">
        <v>192</v>
      </c>
      <c r="E2903" t="s">
        <v>192</v>
      </c>
    </row>
    <row r="2904" spans="1:5">
      <c r="A2904" t="s">
        <v>3173</v>
      </c>
      <c r="B2904" t="s">
        <v>3174</v>
      </c>
      <c r="C2904" t="s">
        <v>3173</v>
      </c>
      <c r="D2904" t="s">
        <v>192</v>
      </c>
      <c r="E2904" t="s">
        <v>192</v>
      </c>
    </row>
    <row r="2905" spans="1:5">
      <c r="A2905" t="s">
        <v>4976</v>
      </c>
      <c r="B2905" t="s">
        <v>4977</v>
      </c>
      <c r="C2905" t="s">
        <v>4976</v>
      </c>
      <c r="D2905" t="s">
        <v>192</v>
      </c>
      <c r="E2905" t="s">
        <v>192</v>
      </c>
    </row>
    <row r="2906" spans="1:5">
      <c r="A2906" t="s">
        <v>6021</v>
      </c>
      <c r="B2906" t="s">
        <v>6022</v>
      </c>
      <c r="C2906" t="s">
        <v>6021</v>
      </c>
      <c r="D2906" t="s">
        <v>192</v>
      </c>
      <c r="E2906" t="s">
        <v>192</v>
      </c>
    </row>
    <row r="2907" spans="1:5">
      <c r="A2907" t="s">
        <v>4968</v>
      </c>
      <c r="B2907" t="s">
        <v>4969</v>
      </c>
      <c r="C2907" t="s">
        <v>4968</v>
      </c>
      <c r="D2907" t="s">
        <v>192</v>
      </c>
      <c r="E2907" t="s">
        <v>192</v>
      </c>
    </row>
    <row r="2908" spans="1:5">
      <c r="A2908" t="s">
        <v>4738</v>
      </c>
      <c r="B2908" t="s">
        <v>4739</v>
      </c>
      <c r="C2908" t="s">
        <v>4738</v>
      </c>
      <c r="D2908" t="s">
        <v>192</v>
      </c>
      <c r="E2908" t="s">
        <v>192</v>
      </c>
    </row>
    <row r="2909" spans="1:5">
      <c r="A2909" t="s">
        <v>1766</v>
      </c>
      <c r="B2909" t="s">
        <v>1765</v>
      </c>
      <c r="C2909" t="s">
        <v>1766</v>
      </c>
      <c r="D2909">
        <v>1701</v>
      </c>
      <c r="E2909">
        <v>1.85</v>
      </c>
    </row>
    <row r="2910" spans="1:5">
      <c r="A2910" t="s">
        <v>7746</v>
      </c>
      <c r="B2910" t="s">
        <v>5693</v>
      </c>
      <c r="C2910" t="s">
        <v>7746</v>
      </c>
      <c r="D2910" t="s">
        <v>192</v>
      </c>
      <c r="E2910" t="s">
        <v>192</v>
      </c>
    </row>
    <row r="2911" spans="1:5">
      <c r="A2911" t="s">
        <v>5692</v>
      </c>
      <c r="B2911" t="s">
        <v>5693</v>
      </c>
      <c r="C2911" t="s">
        <v>5692</v>
      </c>
      <c r="D2911" t="s">
        <v>192</v>
      </c>
      <c r="E2911" t="s">
        <v>192</v>
      </c>
    </row>
    <row r="2912" spans="1:5">
      <c r="A2912" t="s">
        <v>4080</v>
      </c>
      <c r="B2912" t="s">
        <v>4081</v>
      </c>
      <c r="C2912" t="s">
        <v>4080</v>
      </c>
      <c r="D2912" t="s">
        <v>192</v>
      </c>
      <c r="E2912" t="s">
        <v>192</v>
      </c>
    </row>
    <row r="2913" spans="1:5">
      <c r="A2913" t="s">
        <v>3316</v>
      </c>
      <c r="B2913" t="s">
        <v>3317</v>
      </c>
      <c r="C2913" t="s">
        <v>3316</v>
      </c>
      <c r="D2913" t="s">
        <v>192</v>
      </c>
      <c r="E2913" t="s">
        <v>192</v>
      </c>
    </row>
    <row r="2914" spans="1:5">
      <c r="A2914" t="s">
        <v>5640</v>
      </c>
      <c r="B2914" t="s">
        <v>5641</v>
      </c>
      <c r="C2914" t="s">
        <v>5640</v>
      </c>
      <c r="D2914" t="s">
        <v>192</v>
      </c>
      <c r="E2914" t="s">
        <v>192</v>
      </c>
    </row>
    <row r="2915" spans="1:5">
      <c r="A2915" t="s">
        <v>5509</v>
      </c>
      <c r="B2915" t="s">
        <v>5510</v>
      </c>
      <c r="C2915" t="s">
        <v>5509</v>
      </c>
      <c r="D2915" t="s">
        <v>192</v>
      </c>
      <c r="E2915" t="s">
        <v>192</v>
      </c>
    </row>
    <row r="2916" spans="1:5">
      <c r="A2916" t="s">
        <v>6407</v>
      </c>
      <c r="B2916" t="s">
        <v>6408</v>
      </c>
      <c r="C2916" t="s">
        <v>6407</v>
      </c>
      <c r="D2916" t="s">
        <v>192</v>
      </c>
      <c r="E2916" t="s">
        <v>192</v>
      </c>
    </row>
    <row r="2917" spans="1:5">
      <c r="A2917" t="s">
        <v>3947</v>
      </c>
      <c r="B2917" t="s">
        <v>3199</v>
      </c>
      <c r="C2917" t="s">
        <v>3947</v>
      </c>
      <c r="D2917" t="s">
        <v>192</v>
      </c>
      <c r="E2917" t="s">
        <v>192</v>
      </c>
    </row>
    <row r="2918" spans="1:5">
      <c r="A2918" t="s">
        <v>3198</v>
      </c>
      <c r="B2918" t="s">
        <v>3199</v>
      </c>
      <c r="C2918" t="s">
        <v>3198</v>
      </c>
      <c r="D2918" t="s">
        <v>192</v>
      </c>
      <c r="E2918" t="s">
        <v>192</v>
      </c>
    </row>
    <row r="2919" spans="1:5">
      <c r="A2919" t="s">
        <v>3360</v>
      </c>
      <c r="B2919" t="s">
        <v>3361</v>
      </c>
      <c r="C2919" t="s">
        <v>3360</v>
      </c>
      <c r="D2919" t="s">
        <v>192</v>
      </c>
      <c r="E2919" t="s">
        <v>192</v>
      </c>
    </row>
    <row r="2920" spans="1:5">
      <c r="A2920" t="s">
        <v>5562</v>
      </c>
      <c r="B2920" t="s">
        <v>5563</v>
      </c>
      <c r="C2920" t="s">
        <v>5562</v>
      </c>
      <c r="D2920" t="s">
        <v>192</v>
      </c>
      <c r="E2920" t="s">
        <v>192</v>
      </c>
    </row>
    <row r="2921" spans="1:5">
      <c r="A2921" t="s">
        <v>3337</v>
      </c>
      <c r="B2921" t="s">
        <v>3338</v>
      </c>
      <c r="C2921" t="s">
        <v>3337</v>
      </c>
      <c r="D2921" t="s">
        <v>192</v>
      </c>
      <c r="E2921" t="s">
        <v>192</v>
      </c>
    </row>
    <row r="2922" spans="1:5">
      <c r="A2922" t="s">
        <v>6266</v>
      </c>
      <c r="B2922" t="s">
        <v>6267</v>
      </c>
      <c r="C2922" t="s">
        <v>6266</v>
      </c>
      <c r="D2922" t="s">
        <v>192</v>
      </c>
      <c r="E2922" t="s">
        <v>192</v>
      </c>
    </row>
    <row r="2923" spans="1:5">
      <c r="A2923" t="s">
        <v>3381</v>
      </c>
      <c r="B2923" t="s">
        <v>3382</v>
      </c>
      <c r="C2923" t="s">
        <v>3381</v>
      </c>
      <c r="D2923" t="s">
        <v>192</v>
      </c>
      <c r="E2923" t="s">
        <v>192</v>
      </c>
    </row>
    <row r="2924" spans="1:5">
      <c r="A2924" t="s">
        <v>7747</v>
      </c>
      <c r="B2924" t="s">
        <v>1763</v>
      </c>
      <c r="C2924" t="s">
        <v>7747</v>
      </c>
      <c r="D2924">
        <v>456</v>
      </c>
      <c r="E2924">
        <v>11.34</v>
      </c>
    </row>
    <row r="2925" spans="1:5">
      <c r="A2925" t="s">
        <v>1764</v>
      </c>
      <c r="B2925" t="s">
        <v>1763</v>
      </c>
      <c r="C2925" t="s">
        <v>1764</v>
      </c>
      <c r="D2925">
        <v>456</v>
      </c>
      <c r="E2925">
        <v>11.34</v>
      </c>
    </row>
    <row r="2926" spans="1:5">
      <c r="A2926" t="s">
        <v>1762</v>
      </c>
      <c r="B2926" t="s">
        <v>146</v>
      </c>
      <c r="C2926" t="s">
        <v>1762</v>
      </c>
      <c r="D2926">
        <v>5255</v>
      </c>
      <c r="E2926">
        <v>6.75</v>
      </c>
    </row>
    <row r="2927" spans="1:5">
      <c r="A2927" t="s">
        <v>147</v>
      </c>
      <c r="B2927" t="s">
        <v>146</v>
      </c>
      <c r="C2927" t="s">
        <v>147</v>
      </c>
      <c r="D2927">
        <v>5255</v>
      </c>
      <c r="E2927">
        <v>6.75</v>
      </c>
    </row>
    <row r="2928" spans="1:5">
      <c r="A2928" t="s">
        <v>4712</v>
      </c>
      <c r="B2928" t="s">
        <v>4713</v>
      </c>
      <c r="C2928" t="s">
        <v>4712</v>
      </c>
      <c r="D2928" t="s">
        <v>192</v>
      </c>
      <c r="E2928" t="s">
        <v>192</v>
      </c>
    </row>
    <row r="2929" spans="1:5">
      <c r="A2929" t="s">
        <v>5603</v>
      </c>
      <c r="B2929" t="s">
        <v>5604</v>
      </c>
      <c r="C2929" t="s">
        <v>5603</v>
      </c>
      <c r="D2929" t="s">
        <v>192</v>
      </c>
      <c r="E2929" t="s">
        <v>192</v>
      </c>
    </row>
    <row r="2930" spans="1:5">
      <c r="A2930" t="s">
        <v>3853</v>
      </c>
      <c r="B2930" t="s">
        <v>3854</v>
      </c>
      <c r="C2930" t="s">
        <v>3853</v>
      </c>
      <c r="D2930" t="s">
        <v>192</v>
      </c>
      <c r="E2930" t="s">
        <v>192</v>
      </c>
    </row>
    <row r="2931" spans="1:5">
      <c r="A2931" t="s">
        <v>5673</v>
      </c>
      <c r="B2931" t="s">
        <v>5674</v>
      </c>
      <c r="C2931" t="s">
        <v>5673</v>
      </c>
      <c r="D2931" t="s">
        <v>192</v>
      </c>
      <c r="E2931" t="s">
        <v>192</v>
      </c>
    </row>
    <row r="2932" spans="1:5">
      <c r="A2932" t="s">
        <v>1761</v>
      </c>
      <c r="B2932" t="s">
        <v>1760</v>
      </c>
      <c r="C2932" t="s">
        <v>1761</v>
      </c>
      <c r="D2932">
        <v>55</v>
      </c>
      <c r="E2932">
        <v>23.75</v>
      </c>
    </row>
    <row r="2933" spans="1:5">
      <c r="A2933" t="s">
        <v>1759</v>
      </c>
      <c r="B2933" t="s">
        <v>1758</v>
      </c>
      <c r="C2933" t="s">
        <v>1759</v>
      </c>
      <c r="D2933">
        <v>3806</v>
      </c>
      <c r="E2933">
        <v>7.28</v>
      </c>
    </row>
    <row r="2934" spans="1:5">
      <c r="A2934" t="s">
        <v>4931</v>
      </c>
      <c r="B2934" t="s">
        <v>4932</v>
      </c>
      <c r="C2934" t="s">
        <v>4931</v>
      </c>
      <c r="D2934" t="s">
        <v>192</v>
      </c>
      <c r="E2934" t="s">
        <v>192</v>
      </c>
    </row>
    <row r="2935" spans="1:5">
      <c r="A2935" t="s">
        <v>5963</v>
      </c>
      <c r="B2935" t="s">
        <v>5964</v>
      </c>
      <c r="C2935" t="s">
        <v>5963</v>
      </c>
      <c r="D2935" t="s">
        <v>192</v>
      </c>
      <c r="E2935" t="s">
        <v>192</v>
      </c>
    </row>
    <row r="2936" spans="1:5">
      <c r="A2936" t="s">
        <v>5647</v>
      </c>
      <c r="B2936" t="s">
        <v>5648</v>
      </c>
      <c r="C2936" t="s">
        <v>5647</v>
      </c>
      <c r="D2936" t="s">
        <v>192</v>
      </c>
      <c r="E2936" t="s">
        <v>192</v>
      </c>
    </row>
    <row r="2937" spans="1:5">
      <c r="A2937" t="s">
        <v>5020</v>
      </c>
      <c r="B2937" t="s">
        <v>5021</v>
      </c>
      <c r="C2937" t="s">
        <v>5020</v>
      </c>
      <c r="D2937" t="s">
        <v>192</v>
      </c>
      <c r="E2937" t="s">
        <v>192</v>
      </c>
    </row>
    <row r="2938" spans="1:5">
      <c r="A2938" t="s">
        <v>5505</v>
      </c>
      <c r="B2938" t="s">
        <v>5506</v>
      </c>
      <c r="C2938" t="s">
        <v>5505</v>
      </c>
      <c r="D2938" t="s">
        <v>192</v>
      </c>
      <c r="E2938" t="s">
        <v>192</v>
      </c>
    </row>
    <row r="2939" spans="1:5">
      <c r="A2939" t="s">
        <v>5353</v>
      </c>
      <c r="B2939" t="s">
        <v>5354</v>
      </c>
      <c r="C2939" t="s">
        <v>5353</v>
      </c>
      <c r="D2939" t="s">
        <v>192</v>
      </c>
      <c r="E2939" t="s">
        <v>192</v>
      </c>
    </row>
    <row r="2940" spans="1:5">
      <c r="A2940" t="s">
        <v>4886</v>
      </c>
      <c r="B2940" t="s">
        <v>4887</v>
      </c>
      <c r="C2940" t="s">
        <v>4886</v>
      </c>
      <c r="D2940" t="s">
        <v>192</v>
      </c>
      <c r="E2940" t="s">
        <v>192</v>
      </c>
    </row>
    <row r="2941" spans="1:5">
      <c r="A2941" t="s">
        <v>1757</v>
      </c>
      <c r="B2941" t="s">
        <v>1756</v>
      </c>
      <c r="C2941" t="s">
        <v>1757</v>
      </c>
      <c r="D2941">
        <v>106</v>
      </c>
      <c r="E2941">
        <v>92.55</v>
      </c>
    </row>
    <row r="2942" spans="1:5">
      <c r="A2942" t="s">
        <v>1755</v>
      </c>
      <c r="B2942" t="s">
        <v>1754</v>
      </c>
      <c r="C2942" t="s">
        <v>1755</v>
      </c>
      <c r="D2942">
        <v>251</v>
      </c>
      <c r="E2942">
        <v>29.08</v>
      </c>
    </row>
    <row r="2943" spans="1:5">
      <c r="A2943" t="s">
        <v>6254</v>
      </c>
      <c r="B2943" t="s">
        <v>6255</v>
      </c>
      <c r="C2943" t="s">
        <v>6254</v>
      </c>
      <c r="D2943" t="s">
        <v>192</v>
      </c>
      <c r="E2943" t="s">
        <v>192</v>
      </c>
    </row>
    <row r="2944" spans="1:5">
      <c r="A2944" t="s">
        <v>5570</v>
      </c>
      <c r="B2944" t="s">
        <v>5571</v>
      </c>
      <c r="C2944" t="s">
        <v>5570</v>
      </c>
      <c r="D2944" t="s">
        <v>192</v>
      </c>
      <c r="E2944" t="s">
        <v>192</v>
      </c>
    </row>
    <row r="2945" spans="1:5">
      <c r="A2945" t="s">
        <v>7748</v>
      </c>
      <c r="B2945" t="s">
        <v>1752</v>
      </c>
      <c r="C2945" t="s">
        <v>7748</v>
      </c>
      <c r="D2945">
        <v>3</v>
      </c>
      <c r="E2945">
        <v>267.33</v>
      </c>
    </row>
    <row r="2946" spans="1:5">
      <c r="A2946" t="s">
        <v>1753</v>
      </c>
      <c r="B2946" t="s">
        <v>1752</v>
      </c>
      <c r="C2946" t="s">
        <v>1753</v>
      </c>
      <c r="D2946">
        <v>3</v>
      </c>
      <c r="E2946">
        <v>267.33</v>
      </c>
    </row>
    <row r="2947" spans="1:5">
      <c r="A2947" t="s">
        <v>1751</v>
      </c>
      <c r="B2947" t="s">
        <v>1750</v>
      </c>
      <c r="C2947" t="s">
        <v>1751</v>
      </c>
      <c r="D2947">
        <v>1059</v>
      </c>
      <c r="E2947">
        <v>10.51</v>
      </c>
    </row>
    <row r="2948" spans="1:5">
      <c r="A2948" t="s">
        <v>6109</v>
      </c>
      <c r="B2948" t="s">
        <v>6110</v>
      </c>
      <c r="C2948" t="s">
        <v>6109</v>
      </c>
      <c r="D2948" t="s">
        <v>192</v>
      </c>
      <c r="E2948" t="s">
        <v>192</v>
      </c>
    </row>
    <row r="2949" spans="1:5">
      <c r="A2949" t="s">
        <v>5369</v>
      </c>
      <c r="B2949" t="s">
        <v>5370</v>
      </c>
      <c r="C2949" t="s">
        <v>5369</v>
      </c>
      <c r="D2949" t="s">
        <v>192</v>
      </c>
      <c r="E2949" t="s">
        <v>192</v>
      </c>
    </row>
    <row r="2950" spans="1:5">
      <c r="A2950" t="s">
        <v>5799</v>
      </c>
      <c r="B2950" t="s">
        <v>5800</v>
      </c>
      <c r="C2950" t="s">
        <v>5799</v>
      </c>
      <c r="D2950" t="s">
        <v>192</v>
      </c>
      <c r="E2950" t="s">
        <v>192</v>
      </c>
    </row>
    <row r="2951" spans="1:5">
      <c r="A2951" t="s">
        <v>5164</v>
      </c>
      <c r="B2951" t="s">
        <v>5165</v>
      </c>
      <c r="C2951" t="s">
        <v>5164</v>
      </c>
      <c r="D2951" t="s">
        <v>192</v>
      </c>
      <c r="E2951" t="s">
        <v>192</v>
      </c>
    </row>
    <row r="2952" spans="1:5">
      <c r="A2952" t="s">
        <v>5940</v>
      </c>
      <c r="B2952" t="s">
        <v>5941</v>
      </c>
      <c r="C2952" t="s">
        <v>5940</v>
      </c>
      <c r="D2952" t="s">
        <v>192</v>
      </c>
      <c r="E2952" t="s">
        <v>192</v>
      </c>
    </row>
    <row r="2953" spans="1:5">
      <c r="A2953" t="s">
        <v>5956</v>
      </c>
      <c r="B2953" t="s">
        <v>5662</v>
      </c>
      <c r="C2953" t="s">
        <v>5956</v>
      </c>
      <c r="D2953" t="s">
        <v>192</v>
      </c>
      <c r="E2953" t="s">
        <v>192</v>
      </c>
    </row>
    <row r="2954" spans="1:5">
      <c r="A2954" t="s">
        <v>5661</v>
      </c>
      <c r="B2954" t="s">
        <v>5662</v>
      </c>
      <c r="C2954" t="s">
        <v>5661</v>
      </c>
      <c r="D2954" t="s">
        <v>192</v>
      </c>
      <c r="E2954" t="s">
        <v>192</v>
      </c>
    </row>
    <row r="2955" spans="1:5">
      <c r="A2955" t="s">
        <v>5766</v>
      </c>
      <c r="B2955" t="s">
        <v>5767</v>
      </c>
      <c r="C2955" t="s">
        <v>5766</v>
      </c>
      <c r="D2955" t="s">
        <v>192</v>
      </c>
      <c r="E2955" t="s">
        <v>192</v>
      </c>
    </row>
    <row r="2956" spans="1:5">
      <c r="A2956" t="s">
        <v>7749</v>
      </c>
      <c r="B2956" t="s">
        <v>7750</v>
      </c>
      <c r="C2956" t="s">
        <v>7749</v>
      </c>
      <c r="D2956" t="s">
        <v>192</v>
      </c>
      <c r="E2956" t="s">
        <v>192</v>
      </c>
    </row>
    <row r="2957" spans="1:5">
      <c r="A2957" t="s">
        <v>1749</v>
      </c>
      <c r="B2957" t="s">
        <v>1748</v>
      </c>
      <c r="C2957" t="s">
        <v>1749</v>
      </c>
      <c r="D2957">
        <v>19</v>
      </c>
      <c r="E2957">
        <v>523.67999999999995</v>
      </c>
    </row>
    <row r="2958" spans="1:5">
      <c r="A2958" t="s">
        <v>6007</v>
      </c>
      <c r="B2958" t="s">
        <v>6008</v>
      </c>
      <c r="C2958" t="s">
        <v>6007</v>
      </c>
      <c r="D2958" t="s">
        <v>192</v>
      </c>
      <c r="E2958" t="s">
        <v>192</v>
      </c>
    </row>
    <row r="2959" spans="1:5">
      <c r="A2959" t="s">
        <v>5816</v>
      </c>
      <c r="B2959" t="s">
        <v>5817</v>
      </c>
      <c r="C2959" t="s">
        <v>5816</v>
      </c>
      <c r="D2959" t="s">
        <v>192</v>
      </c>
      <c r="E2959" t="s">
        <v>192</v>
      </c>
    </row>
    <row r="2960" spans="1:5">
      <c r="A2960" t="s">
        <v>3234</v>
      </c>
      <c r="B2960" t="s">
        <v>3235</v>
      </c>
      <c r="C2960" t="s">
        <v>3234</v>
      </c>
      <c r="D2960" t="s">
        <v>192</v>
      </c>
      <c r="E2960" t="s">
        <v>192</v>
      </c>
    </row>
    <row r="2961" spans="1:5">
      <c r="A2961" t="s">
        <v>5301</v>
      </c>
      <c r="B2961" t="s">
        <v>5302</v>
      </c>
      <c r="C2961" t="s">
        <v>5301</v>
      </c>
      <c r="D2961" t="s">
        <v>192</v>
      </c>
      <c r="E2961" t="s">
        <v>192</v>
      </c>
    </row>
    <row r="2962" spans="1:5">
      <c r="A2962" t="s">
        <v>5993</v>
      </c>
      <c r="B2962" t="s">
        <v>5994</v>
      </c>
      <c r="C2962" t="s">
        <v>5993</v>
      </c>
      <c r="D2962" t="s">
        <v>192</v>
      </c>
      <c r="E2962" t="s">
        <v>192</v>
      </c>
    </row>
    <row r="2963" spans="1:5">
      <c r="A2963" t="s">
        <v>5583</v>
      </c>
      <c r="B2963" t="s">
        <v>5584</v>
      </c>
      <c r="C2963" t="s">
        <v>5583</v>
      </c>
      <c r="D2963" t="s">
        <v>192</v>
      </c>
      <c r="E2963" t="s">
        <v>192</v>
      </c>
    </row>
    <row r="2964" spans="1:5">
      <c r="A2964" t="s">
        <v>4966</v>
      </c>
      <c r="B2964" t="s">
        <v>4967</v>
      </c>
      <c r="C2964" t="s">
        <v>4966</v>
      </c>
      <c r="D2964" t="s">
        <v>192</v>
      </c>
      <c r="E2964" t="s">
        <v>192</v>
      </c>
    </row>
    <row r="2965" spans="1:5">
      <c r="A2965" t="s">
        <v>1747</v>
      </c>
      <c r="B2965" t="s">
        <v>1746</v>
      </c>
      <c r="C2965" t="s">
        <v>1747</v>
      </c>
      <c r="D2965">
        <v>419</v>
      </c>
      <c r="E2965">
        <v>42.72</v>
      </c>
    </row>
    <row r="2966" spans="1:5">
      <c r="A2966" t="s">
        <v>5432</v>
      </c>
      <c r="B2966" t="s">
        <v>5433</v>
      </c>
      <c r="C2966" t="s">
        <v>5432</v>
      </c>
      <c r="D2966" t="s">
        <v>192</v>
      </c>
      <c r="E2966" t="s">
        <v>192</v>
      </c>
    </row>
    <row r="2967" spans="1:5">
      <c r="A2967" t="s">
        <v>5232</v>
      </c>
      <c r="B2967" t="s">
        <v>5233</v>
      </c>
      <c r="C2967" t="s">
        <v>5232</v>
      </c>
      <c r="D2967" t="s">
        <v>192</v>
      </c>
      <c r="E2967" t="s">
        <v>192</v>
      </c>
    </row>
    <row r="2968" spans="1:5">
      <c r="A2968" t="s">
        <v>6282</v>
      </c>
      <c r="B2968" t="s">
        <v>6283</v>
      </c>
      <c r="C2968" t="s">
        <v>6282</v>
      </c>
      <c r="D2968" t="s">
        <v>192</v>
      </c>
      <c r="E2968" t="s">
        <v>192</v>
      </c>
    </row>
    <row r="2969" spans="1:5">
      <c r="A2969" t="s">
        <v>4910</v>
      </c>
      <c r="B2969" t="s">
        <v>4911</v>
      </c>
      <c r="C2969" t="s">
        <v>4910</v>
      </c>
      <c r="D2969" t="s">
        <v>192</v>
      </c>
      <c r="E2969" t="s">
        <v>192</v>
      </c>
    </row>
    <row r="2970" spans="1:5">
      <c r="A2970" t="s">
        <v>1745</v>
      </c>
      <c r="B2970" t="s">
        <v>1744</v>
      </c>
      <c r="C2970" t="s">
        <v>1745</v>
      </c>
      <c r="D2970">
        <v>217</v>
      </c>
      <c r="E2970">
        <v>5.92</v>
      </c>
    </row>
    <row r="2971" spans="1:5">
      <c r="A2971" t="s">
        <v>4679</v>
      </c>
      <c r="B2971" t="s">
        <v>3187</v>
      </c>
      <c r="C2971" t="s">
        <v>4679</v>
      </c>
      <c r="D2971" t="s">
        <v>192</v>
      </c>
      <c r="E2971" t="s">
        <v>192</v>
      </c>
    </row>
    <row r="2972" spans="1:5">
      <c r="A2972" t="s">
        <v>3320</v>
      </c>
      <c r="B2972" t="s">
        <v>3321</v>
      </c>
      <c r="C2972" t="s">
        <v>3320</v>
      </c>
      <c r="D2972" t="s">
        <v>192</v>
      </c>
      <c r="E2972" t="s">
        <v>192</v>
      </c>
    </row>
    <row r="2973" spans="1:5">
      <c r="A2973" t="s">
        <v>4033</v>
      </c>
      <c r="B2973" t="s">
        <v>4034</v>
      </c>
      <c r="C2973" t="s">
        <v>4033</v>
      </c>
      <c r="D2973" t="s">
        <v>192</v>
      </c>
      <c r="E2973" t="s">
        <v>192</v>
      </c>
    </row>
    <row r="2974" spans="1:5">
      <c r="A2974" t="s">
        <v>1743</v>
      </c>
      <c r="B2974" t="s">
        <v>1742</v>
      </c>
      <c r="C2974" t="s">
        <v>1743</v>
      </c>
      <c r="D2974">
        <v>384</v>
      </c>
      <c r="E2974">
        <v>5.69</v>
      </c>
    </row>
    <row r="2975" spans="1:5">
      <c r="A2975" t="s">
        <v>1741</v>
      </c>
      <c r="B2975" t="s">
        <v>1740</v>
      </c>
      <c r="C2975" t="s">
        <v>1741</v>
      </c>
      <c r="D2975">
        <v>625</v>
      </c>
      <c r="E2975">
        <v>4.76</v>
      </c>
    </row>
    <row r="2976" spans="1:5">
      <c r="A2976" t="s">
        <v>3208</v>
      </c>
      <c r="B2976" t="s">
        <v>3209</v>
      </c>
      <c r="C2976" t="s">
        <v>3208</v>
      </c>
      <c r="D2976" t="s">
        <v>192</v>
      </c>
      <c r="E2976" t="s">
        <v>192</v>
      </c>
    </row>
    <row r="2977" spans="1:5">
      <c r="A2977" t="s">
        <v>6015</v>
      </c>
      <c r="B2977" t="s">
        <v>6016</v>
      </c>
      <c r="C2977" t="s">
        <v>6015</v>
      </c>
      <c r="D2977" t="s">
        <v>192</v>
      </c>
      <c r="E2977" t="s">
        <v>192</v>
      </c>
    </row>
    <row r="2978" spans="1:5">
      <c r="A2978" t="s">
        <v>5577</v>
      </c>
      <c r="B2978" t="s">
        <v>5578</v>
      </c>
      <c r="C2978" t="s">
        <v>5577</v>
      </c>
      <c r="D2978" t="s">
        <v>192</v>
      </c>
      <c r="E2978" t="s">
        <v>192</v>
      </c>
    </row>
    <row r="2979" spans="1:5">
      <c r="A2979" t="s">
        <v>5118</v>
      </c>
      <c r="B2979" t="s">
        <v>5119</v>
      </c>
      <c r="C2979" t="s">
        <v>5118</v>
      </c>
      <c r="D2979" t="s">
        <v>192</v>
      </c>
      <c r="E2979" t="s">
        <v>192</v>
      </c>
    </row>
    <row r="2980" spans="1:5">
      <c r="A2980" t="s">
        <v>6268</v>
      </c>
      <c r="B2980" t="s">
        <v>6269</v>
      </c>
      <c r="C2980" t="s">
        <v>6268</v>
      </c>
      <c r="D2980" t="s">
        <v>192</v>
      </c>
      <c r="E2980" t="s">
        <v>192</v>
      </c>
    </row>
    <row r="2981" spans="1:5">
      <c r="A2981" t="s">
        <v>5999</v>
      </c>
      <c r="B2981" t="s">
        <v>6000</v>
      </c>
      <c r="C2981" t="s">
        <v>5999</v>
      </c>
      <c r="D2981" t="s">
        <v>192</v>
      </c>
      <c r="E2981" t="s">
        <v>192</v>
      </c>
    </row>
    <row r="2982" spans="1:5">
      <c r="A2982" t="s">
        <v>6152</v>
      </c>
      <c r="B2982" t="s">
        <v>6153</v>
      </c>
      <c r="C2982" t="s">
        <v>6152</v>
      </c>
      <c r="D2982" t="s">
        <v>192</v>
      </c>
      <c r="E2982" t="s">
        <v>192</v>
      </c>
    </row>
    <row r="2983" spans="1:5">
      <c r="A2983" t="s">
        <v>109</v>
      </c>
      <c r="B2983" t="s">
        <v>108</v>
      </c>
      <c r="C2983" t="s">
        <v>109</v>
      </c>
      <c r="D2983">
        <v>876</v>
      </c>
      <c r="E2983">
        <v>4.0199999999999996</v>
      </c>
    </row>
    <row r="2984" spans="1:5">
      <c r="A2984" t="s">
        <v>6270</v>
      </c>
      <c r="B2984" t="s">
        <v>6271</v>
      </c>
      <c r="C2984" t="s">
        <v>6270</v>
      </c>
      <c r="D2984" t="s">
        <v>192</v>
      </c>
      <c r="E2984" t="s">
        <v>192</v>
      </c>
    </row>
    <row r="2985" spans="1:5">
      <c r="A2985" t="s">
        <v>1739</v>
      </c>
      <c r="B2985" t="s">
        <v>1738</v>
      </c>
      <c r="C2985" t="s">
        <v>1739</v>
      </c>
      <c r="D2985">
        <v>769</v>
      </c>
      <c r="E2985">
        <v>2.94</v>
      </c>
    </row>
    <row r="2986" spans="1:5">
      <c r="A2986" t="s">
        <v>7751</v>
      </c>
      <c r="B2986" t="s">
        <v>3923</v>
      </c>
      <c r="C2986" t="s">
        <v>7751</v>
      </c>
      <c r="D2986" t="s">
        <v>192</v>
      </c>
      <c r="E2986" t="s">
        <v>192</v>
      </c>
    </row>
    <row r="2987" spans="1:5">
      <c r="A2987" t="s">
        <v>3922</v>
      </c>
      <c r="B2987" t="s">
        <v>3923</v>
      </c>
      <c r="C2987" t="s">
        <v>3922</v>
      </c>
      <c r="D2987" t="s">
        <v>192</v>
      </c>
      <c r="E2987" t="s">
        <v>192</v>
      </c>
    </row>
    <row r="2988" spans="1:5">
      <c r="A2988" t="s">
        <v>7752</v>
      </c>
      <c r="B2988" t="s">
        <v>7753</v>
      </c>
      <c r="C2988" t="s">
        <v>7752</v>
      </c>
      <c r="D2988" t="s">
        <v>192</v>
      </c>
      <c r="E2988" t="s">
        <v>192</v>
      </c>
    </row>
    <row r="2989" spans="1:5">
      <c r="A2989" t="s">
        <v>3364</v>
      </c>
      <c r="B2989" t="s">
        <v>3365</v>
      </c>
      <c r="C2989" t="s">
        <v>3364</v>
      </c>
      <c r="D2989" t="s">
        <v>192</v>
      </c>
      <c r="E2989" t="s">
        <v>192</v>
      </c>
    </row>
    <row r="2990" spans="1:5">
      <c r="A2990" t="s">
        <v>4920</v>
      </c>
      <c r="B2990" t="s">
        <v>4921</v>
      </c>
      <c r="C2990" t="s">
        <v>4920</v>
      </c>
      <c r="D2990" t="s">
        <v>192</v>
      </c>
      <c r="E2990" t="s">
        <v>192</v>
      </c>
    </row>
    <row r="2991" spans="1:5">
      <c r="A2991" t="s">
        <v>5547</v>
      </c>
      <c r="B2991" t="s">
        <v>5548</v>
      </c>
      <c r="C2991" t="s">
        <v>5547</v>
      </c>
      <c r="D2991" t="s">
        <v>192</v>
      </c>
      <c r="E2991" t="s">
        <v>192</v>
      </c>
    </row>
    <row r="2992" spans="1:5">
      <c r="A2992" t="s">
        <v>6182</v>
      </c>
      <c r="B2992" t="s">
        <v>6183</v>
      </c>
      <c r="C2992" t="s">
        <v>6182</v>
      </c>
      <c r="D2992" t="s">
        <v>192</v>
      </c>
      <c r="E2992" t="s">
        <v>192</v>
      </c>
    </row>
    <row r="2993" spans="1:5">
      <c r="A2993" t="s">
        <v>5483</v>
      </c>
      <c r="B2993" t="s">
        <v>5484</v>
      </c>
      <c r="C2993" t="s">
        <v>5483</v>
      </c>
      <c r="D2993" t="s">
        <v>192</v>
      </c>
      <c r="E2993" t="s">
        <v>192</v>
      </c>
    </row>
    <row r="2994" spans="1:5">
      <c r="A2994" t="s">
        <v>5987</v>
      </c>
      <c r="B2994" t="s">
        <v>5988</v>
      </c>
      <c r="C2994" t="s">
        <v>5987</v>
      </c>
      <c r="D2994" t="s">
        <v>192</v>
      </c>
      <c r="E2994" t="s">
        <v>192</v>
      </c>
    </row>
    <row r="2995" spans="1:5">
      <c r="A2995" t="s">
        <v>4587</v>
      </c>
      <c r="B2995" t="s">
        <v>4588</v>
      </c>
      <c r="C2995" t="s">
        <v>4587</v>
      </c>
      <c r="D2995" t="s">
        <v>192</v>
      </c>
      <c r="E2995" t="s">
        <v>192</v>
      </c>
    </row>
    <row r="2996" spans="1:5">
      <c r="A2996" t="s">
        <v>6412</v>
      </c>
      <c r="B2996" t="s">
        <v>6413</v>
      </c>
      <c r="C2996" t="s">
        <v>6412</v>
      </c>
      <c r="D2996" t="s">
        <v>192</v>
      </c>
      <c r="E2996" t="s">
        <v>192</v>
      </c>
    </row>
    <row r="2997" spans="1:5">
      <c r="A2997" t="s">
        <v>6019</v>
      </c>
      <c r="B2997" t="s">
        <v>6020</v>
      </c>
      <c r="C2997" t="s">
        <v>6019</v>
      </c>
      <c r="D2997" t="s">
        <v>192</v>
      </c>
      <c r="E2997" t="s">
        <v>192</v>
      </c>
    </row>
    <row r="2998" spans="1:5">
      <c r="A2998" t="s">
        <v>1737</v>
      </c>
      <c r="B2998" t="s">
        <v>1736</v>
      </c>
      <c r="C2998" t="s">
        <v>1737</v>
      </c>
      <c r="D2998">
        <v>2642</v>
      </c>
      <c r="E2998">
        <v>21.65</v>
      </c>
    </row>
    <row r="2999" spans="1:5">
      <c r="A2999" t="s">
        <v>7754</v>
      </c>
      <c r="B2999" t="s">
        <v>5806</v>
      </c>
      <c r="C2999" t="s">
        <v>7754</v>
      </c>
      <c r="D2999" t="s">
        <v>192</v>
      </c>
      <c r="E2999" t="s">
        <v>192</v>
      </c>
    </row>
    <row r="3000" spans="1:5">
      <c r="A3000" t="s">
        <v>5805</v>
      </c>
      <c r="B3000" t="s">
        <v>5806</v>
      </c>
      <c r="C3000" t="s">
        <v>5805</v>
      </c>
      <c r="D3000" t="s">
        <v>192</v>
      </c>
      <c r="E3000" t="s">
        <v>192</v>
      </c>
    </row>
    <row r="3001" spans="1:5">
      <c r="A3001" t="s">
        <v>6044</v>
      </c>
      <c r="B3001" t="s">
        <v>5806</v>
      </c>
      <c r="C3001" t="s">
        <v>6044</v>
      </c>
      <c r="D3001" t="s">
        <v>192</v>
      </c>
      <c r="E3001" t="s">
        <v>192</v>
      </c>
    </row>
    <row r="3002" spans="1:5">
      <c r="A3002" t="s">
        <v>1735</v>
      </c>
      <c r="B3002" t="s">
        <v>1734</v>
      </c>
      <c r="C3002" t="s">
        <v>1735</v>
      </c>
      <c r="D3002">
        <v>403</v>
      </c>
      <c r="E3002">
        <v>31.39</v>
      </c>
    </row>
    <row r="3003" spans="1:5">
      <c r="A3003" t="s">
        <v>5376</v>
      </c>
      <c r="B3003" t="s">
        <v>4026</v>
      </c>
      <c r="C3003" t="s">
        <v>5376</v>
      </c>
      <c r="D3003" t="s">
        <v>192</v>
      </c>
      <c r="E3003" t="s">
        <v>192</v>
      </c>
    </row>
    <row r="3004" spans="1:5">
      <c r="A3004" t="s">
        <v>4025</v>
      </c>
      <c r="B3004" t="s">
        <v>4026</v>
      </c>
      <c r="C3004" t="s">
        <v>4025</v>
      </c>
      <c r="D3004" t="s">
        <v>192</v>
      </c>
      <c r="E3004" t="s">
        <v>192</v>
      </c>
    </row>
    <row r="3005" spans="1:5">
      <c r="A3005" t="s">
        <v>7755</v>
      </c>
      <c r="B3005" t="s">
        <v>7756</v>
      </c>
      <c r="C3005" t="s">
        <v>7755</v>
      </c>
      <c r="D3005" t="s">
        <v>192</v>
      </c>
      <c r="E3005" t="s">
        <v>192</v>
      </c>
    </row>
    <row r="3006" spans="1:5">
      <c r="A3006" t="s">
        <v>1733</v>
      </c>
      <c r="B3006" t="s">
        <v>1732</v>
      </c>
      <c r="C3006" t="s">
        <v>1733</v>
      </c>
      <c r="D3006">
        <v>423</v>
      </c>
      <c r="E3006">
        <v>4.09</v>
      </c>
    </row>
    <row r="3007" spans="1:5">
      <c r="A3007" t="s">
        <v>7757</v>
      </c>
      <c r="B3007" t="s">
        <v>6353</v>
      </c>
      <c r="C3007" t="s">
        <v>7757</v>
      </c>
      <c r="D3007" t="s">
        <v>192</v>
      </c>
      <c r="E3007" t="s">
        <v>192</v>
      </c>
    </row>
    <row r="3008" spans="1:5">
      <c r="A3008" t="s">
        <v>6352</v>
      </c>
      <c r="B3008" t="s">
        <v>6353</v>
      </c>
      <c r="C3008" t="s">
        <v>6352</v>
      </c>
      <c r="D3008" t="s">
        <v>192</v>
      </c>
      <c r="E3008" t="s">
        <v>192</v>
      </c>
    </row>
    <row r="3009" spans="1:5">
      <c r="A3009" t="s">
        <v>6118</v>
      </c>
      <c r="B3009" t="s">
        <v>5435</v>
      </c>
      <c r="C3009" t="s">
        <v>6118</v>
      </c>
      <c r="D3009" t="s">
        <v>192</v>
      </c>
      <c r="E3009" t="s">
        <v>192</v>
      </c>
    </row>
    <row r="3010" spans="1:5">
      <c r="A3010" t="s">
        <v>5434</v>
      </c>
      <c r="B3010" t="s">
        <v>5435</v>
      </c>
      <c r="C3010" t="s">
        <v>5434</v>
      </c>
      <c r="D3010" t="s">
        <v>192</v>
      </c>
      <c r="E3010" t="s">
        <v>192</v>
      </c>
    </row>
    <row r="3011" spans="1:5">
      <c r="A3011" t="s">
        <v>4822</v>
      </c>
      <c r="B3011" t="s">
        <v>4823</v>
      </c>
      <c r="C3011" t="s">
        <v>4822</v>
      </c>
      <c r="D3011" t="s">
        <v>192</v>
      </c>
      <c r="E3011" t="s">
        <v>192</v>
      </c>
    </row>
    <row r="3012" spans="1:5">
      <c r="A3012" t="s">
        <v>4574</v>
      </c>
      <c r="B3012" t="s">
        <v>4575</v>
      </c>
      <c r="C3012" t="s">
        <v>4574</v>
      </c>
      <c r="D3012" t="s">
        <v>192</v>
      </c>
      <c r="E3012" t="s">
        <v>192</v>
      </c>
    </row>
    <row r="3013" spans="1:5">
      <c r="A3013" t="s">
        <v>1731</v>
      </c>
      <c r="B3013" t="s">
        <v>1730</v>
      </c>
      <c r="C3013" t="s">
        <v>1731</v>
      </c>
      <c r="D3013">
        <v>93</v>
      </c>
      <c r="E3013">
        <v>1269.6300000000001</v>
      </c>
    </row>
    <row r="3014" spans="1:5">
      <c r="A3014" t="s">
        <v>4946</v>
      </c>
      <c r="B3014" t="s">
        <v>4947</v>
      </c>
      <c r="C3014" t="s">
        <v>4946</v>
      </c>
      <c r="D3014" t="s">
        <v>192</v>
      </c>
      <c r="E3014" t="s">
        <v>192</v>
      </c>
    </row>
    <row r="3015" spans="1:5">
      <c r="A3015" t="s">
        <v>5912</v>
      </c>
      <c r="B3015" t="s">
        <v>4947</v>
      </c>
      <c r="C3015" t="s">
        <v>5912</v>
      </c>
      <c r="D3015" t="s">
        <v>192</v>
      </c>
      <c r="E3015" t="s">
        <v>192</v>
      </c>
    </row>
    <row r="3016" spans="1:5">
      <c r="A3016" t="s">
        <v>6358</v>
      </c>
      <c r="B3016" t="s">
        <v>1728</v>
      </c>
      <c r="C3016" t="s">
        <v>6358</v>
      </c>
      <c r="D3016">
        <v>630</v>
      </c>
      <c r="E3016">
        <v>3.76</v>
      </c>
    </row>
    <row r="3017" spans="1:5">
      <c r="A3017" t="s">
        <v>1729</v>
      </c>
      <c r="B3017" t="s">
        <v>1728</v>
      </c>
      <c r="C3017" t="s">
        <v>1729</v>
      </c>
      <c r="D3017">
        <v>630</v>
      </c>
      <c r="E3017">
        <v>3.76</v>
      </c>
    </row>
    <row r="3018" spans="1:5">
      <c r="A3018" t="s">
        <v>5808</v>
      </c>
      <c r="B3018" t="s">
        <v>5809</v>
      </c>
      <c r="C3018" t="s">
        <v>5808</v>
      </c>
      <c r="D3018" t="s">
        <v>192</v>
      </c>
      <c r="E3018" t="s">
        <v>192</v>
      </c>
    </row>
    <row r="3019" spans="1:5">
      <c r="A3019" t="s">
        <v>1727</v>
      </c>
      <c r="B3019" t="s">
        <v>1727</v>
      </c>
      <c r="C3019" t="s">
        <v>1727</v>
      </c>
      <c r="D3019">
        <v>92</v>
      </c>
      <c r="E3019">
        <v>11.36</v>
      </c>
    </row>
    <row r="3020" spans="1:5">
      <c r="A3020" t="s">
        <v>3377</v>
      </c>
      <c r="B3020" t="s">
        <v>3378</v>
      </c>
      <c r="C3020" t="s">
        <v>3377</v>
      </c>
      <c r="D3020" t="s">
        <v>192</v>
      </c>
      <c r="E3020" t="s">
        <v>192</v>
      </c>
    </row>
    <row r="3021" spans="1:5">
      <c r="A3021" t="s">
        <v>141</v>
      </c>
      <c r="B3021" t="s">
        <v>140</v>
      </c>
      <c r="C3021" t="s">
        <v>141</v>
      </c>
      <c r="D3021">
        <v>5154</v>
      </c>
      <c r="E3021">
        <v>12.17</v>
      </c>
    </row>
    <row r="3022" spans="1:5">
      <c r="A3022" t="s">
        <v>5087</v>
      </c>
      <c r="B3022" t="s">
        <v>5088</v>
      </c>
      <c r="C3022" t="s">
        <v>5087</v>
      </c>
      <c r="D3022" t="s">
        <v>192</v>
      </c>
      <c r="E3022" t="s">
        <v>192</v>
      </c>
    </row>
    <row r="3023" spans="1:5">
      <c r="A3023" t="s">
        <v>4617</v>
      </c>
      <c r="B3023" t="s">
        <v>4618</v>
      </c>
      <c r="C3023" t="s">
        <v>4617</v>
      </c>
      <c r="D3023" t="s">
        <v>192</v>
      </c>
      <c r="E3023" t="s">
        <v>192</v>
      </c>
    </row>
    <row r="3024" spans="1:5">
      <c r="A3024" t="s">
        <v>5085</v>
      </c>
      <c r="B3024" t="s">
        <v>5086</v>
      </c>
      <c r="C3024" t="s">
        <v>5085</v>
      </c>
      <c r="D3024" t="s">
        <v>192</v>
      </c>
      <c r="E3024" t="s">
        <v>192</v>
      </c>
    </row>
    <row r="3025" spans="1:5">
      <c r="A3025" t="s">
        <v>5124</v>
      </c>
      <c r="B3025" t="s">
        <v>5075</v>
      </c>
      <c r="C3025" t="s">
        <v>5124</v>
      </c>
      <c r="D3025" t="s">
        <v>192</v>
      </c>
      <c r="E3025" t="s">
        <v>192</v>
      </c>
    </row>
    <row r="3026" spans="1:5">
      <c r="A3026" t="s">
        <v>1726</v>
      </c>
      <c r="B3026" t="s">
        <v>1725</v>
      </c>
      <c r="C3026" t="s">
        <v>1726</v>
      </c>
      <c r="D3026">
        <v>1519</v>
      </c>
      <c r="E3026">
        <v>6.87</v>
      </c>
    </row>
    <row r="3027" spans="1:5">
      <c r="A3027" t="s">
        <v>6225</v>
      </c>
      <c r="B3027" t="s">
        <v>6226</v>
      </c>
      <c r="C3027" t="s">
        <v>6225</v>
      </c>
      <c r="D3027" t="s">
        <v>192</v>
      </c>
      <c r="E3027" t="s">
        <v>192</v>
      </c>
    </row>
    <row r="3028" spans="1:5">
      <c r="A3028" t="s">
        <v>3155</v>
      </c>
      <c r="B3028" t="s">
        <v>4772</v>
      </c>
      <c r="C3028" t="s">
        <v>3155</v>
      </c>
      <c r="D3028" t="s">
        <v>192</v>
      </c>
      <c r="E3028" t="s">
        <v>192</v>
      </c>
    </row>
    <row r="3029" spans="1:5">
      <c r="A3029" t="s">
        <v>1724</v>
      </c>
      <c r="B3029" t="s">
        <v>1723</v>
      </c>
      <c r="C3029" t="s">
        <v>1724</v>
      </c>
      <c r="D3029">
        <v>4641</v>
      </c>
      <c r="E3029">
        <v>6.35</v>
      </c>
    </row>
    <row r="3030" spans="1:5">
      <c r="A3030" t="s">
        <v>49</v>
      </c>
      <c r="B3030" t="s">
        <v>1723</v>
      </c>
      <c r="C3030" t="s">
        <v>49</v>
      </c>
      <c r="D3030">
        <v>4641</v>
      </c>
      <c r="E3030">
        <v>6.35</v>
      </c>
    </row>
    <row r="3031" spans="1:5">
      <c r="A3031" t="s">
        <v>7758</v>
      </c>
      <c r="B3031" t="s">
        <v>7759</v>
      </c>
      <c r="C3031" t="s">
        <v>7758</v>
      </c>
      <c r="D3031" t="s">
        <v>192</v>
      </c>
      <c r="E3031" t="s">
        <v>192</v>
      </c>
    </row>
    <row r="3032" spans="1:5">
      <c r="A3032" t="s">
        <v>7760</v>
      </c>
      <c r="B3032" t="s">
        <v>7759</v>
      </c>
      <c r="C3032" t="s">
        <v>7760</v>
      </c>
      <c r="D3032" t="s">
        <v>192</v>
      </c>
      <c r="E3032" t="s">
        <v>192</v>
      </c>
    </row>
    <row r="3033" spans="1:5">
      <c r="A3033" t="s">
        <v>7761</v>
      </c>
      <c r="B3033" t="s">
        <v>7762</v>
      </c>
      <c r="C3033" t="s">
        <v>7761</v>
      </c>
      <c r="D3033" t="s">
        <v>192</v>
      </c>
      <c r="E3033" t="s">
        <v>192</v>
      </c>
    </row>
    <row r="3034" spans="1:5">
      <c r="A3034" t="s">
        <v>7763</v>
      </c>
      <c r="B3034" t="s">
        <v>7762</v>
      </c>
      <c r="C3034" t="s">
        <v>7763</v>
      </c>
      <c r="D3034" t="s">
        <v>192</v>
      </c>
      <c r="E3034" t="s">
        <v>192</v>
      </c>
    </row>
    <row r="3035" spans="1:5">
      <c r="A3035" t="s">
        <v>7764</v>
      </c>
      <c r="B3035" t="s">
        <v>7765</v>
      </c>
      <c r="C3035" t="s">
        <v>7764</v>
      </c>
      <c r="D3035" t="s">
        <v>192</v>
      </c>
      <c r="E3035" t="s">
        <v>192</v>
      </c>
    </row>
    <row r="3036" spans="1:5">
      <c r="A3036" t="s">
        <v>7766</v>
      </c>
      <c r="B3036" t="s">
        <v>7767</v>
      </c>
      <c r="C3036" t="s">
        <v>7766</v>
      </c>
      <c r="D3036" t="s">
        <v>192</v>
      </c>
      <c r="E3036" t="s">
        <v>192</v>
      </c>
    </row>
    <row r="3037" spans="1:5">
      <c r="A3037" t="s">
        <v>7768</v>
      </c>
      <c r="B3037" t="s">
        <v>7769</v>
      </c>
      <c r="C3037" t="s">
        <v>7768</v>
      </c>
      <c r="D3037" t="s">
        <v>192</v>
      </c>
      <c r="E3037" t="s">
        <v>192</v>
      </c>
    </row>
    <row r="3038" spans="1:5">
      <c r="A3038" t="s">
        <v>7770</v>
      </c>
      <c r="B3038" t="s">
        <v>7771</v>
      </c>
      <c r="C3038" t="s">
        <v>7770</v>
      </c>
      <c r="D3038" t="s">
        <v>192</v>
      </c>
      <c r="E3038" t="s">
        <v>192</v>
      </c>
    </row>
    <row r="3039" spans="1:5">
      <c r="A3039" t="s">
        <v>7772</v>
      </c>
      <c r="B3039" t="s">
        <v>3353</v>
      </c>
      <c r="C3039" t="s">
        <v>7772</v>
      </c>
      <c r="D3039" t="s">
        <v>192</v>
      </c>
      <c r="E3039" t="s">
        <v>192</v>
      </c>
    </row>
    <row r="3040" spans="1:5">
      <c r="A3040" t="s">
        <v>7773</v>
      </c>
      <c r="B3040" t="s">
        <v>7774</v>
      </c>
      <c r="C3040" t="s">
        <v>7773</v>
      </c>
      <c r="D3040" t="s">
        <v>192</v>
      </c>
      <c r="E3040" t="s">
        <v>192</v>
      </c>
    </row>
    <row r="3041" spans="1:5">
      <c r="A3041" t="s">
        <v>7775</v>
      </c>
      <c r="B3041" t="s">
        <v>5527</v>
      </c>
      <c r="C3041" t="s">
        <v>7775</v>
      </c>
      <c r="D3041" t="s">
        <v>192</v>
      </c>
      <c r="E3041" t="s">
        <v>192</v>
      </c>
    </row>
    <row r="3042" spans="1:5">
      <c r="A3042" t="s">
        <v>7776</v>
      </c>
      <c r="B3042" t="s">
        <v>5544</v>
      </c>
      <c r="C3042" t="s">
        <v>7776</v>
      </c>
      <c r="D3042" t="s">
        <v>192</v>
      </c>
      <c r="E3042" t="s">
        <v>192</v>
      </c>
    </row>
    <row r="3043" spans="1:5">
      <c r="A3043" t="s">
        <v>7777</v>
      </c>
      <c r="B3043" t="s">
        <v>5544</v>
      </c>
      <c r="C3043" t="s">
        <v>7777</v>
      </c>
      <c r="D3043" t="s">
        <v>192</v>
      </c>
      <c r="E3043" t="s">
        <v>192</v>
      </c>
    </row>
    <row r="3044" spans="1:5">
      <c r="A3044" t="s">
        <v>7778</v>
      </c>
      <c r="B3044" t="s">
        <v>3427</v>
      </c>
      <c r="C3044" t="s">
        <v>7778</v>
      </c>
      <c r="D3044" t="s">
        <v>192</v>
      </c>
      <c r="E3044" t="s">
        <v>192</v>
      </c>
    </row>
    <row r="3045" spans="1:5">
      <c r="A3045" t="s">
        <v>7779</v>
      </c>
      <c r="B3045" t="s">
        <v>5252</v>
      </c>
      <c r="C3045" t="s">
        <v>7779</v>
      </c>
      <c r="D3045" t="s">
        <v>192</v>
      </c>
      <c r="E3045" t="s">
        <v>192</v>
      </c>
    </row>
    <row r="3046" spans="1:5">
      <c r="A3046" t="s">
        <v>3345</v>
      </c>
      <c r="B3046" t="s">
        <v>3346</v>
      </c>
      <c r="C3046" t="s">
        <v>3345</v>
      </c>
      <c r="D3046" t="s">
        <v>192</v>
      </c>
      <c r="E3046" t="s">
        <v>192</v>
      </c>
    </row>
    <row r="3047" spans="1:5">
      <c r="A3047" t="s">
        <v>5820</v>
      </c>
      <c r="B3047" t="s">
        <v>5821</v>
      </c>
      <c r="C3047" t="s">
        <v>5820</v>
      </c>
      <c r="D3047" t="s">
        <v>192</v>
      </c>
      <c r="E3047" t="s">
        <v>192</v>
      </c>
    </row>
    <row r="3048" spans="1:5">
      <c r="A3048" t="s">
        <v>7780</v>
      </c>
      <c r="B3048" t="s">
        <v>6080</v>
      </c>
      <c r="C3048" t="s">
        <v>7780</v>
      </c>
      <c r="D3048" t="s">
        <v>192</v>
      </c>
      <c r="E3048" t="s">
        <v>192</v>
      </c>
    </row>
    <row r="3049" spans="1:5">
      <c r="A3049" t="s">
        <v>4023</v>
      </c>
      <c r="B3049" t="s">
        <v>4024</v>
      </c>
      <c r="C3049" t="s">
        <v>4023</v>
      </c>
      <c r="D3049" t="s">
        <v>192</v>
      </c>
      <c r="E3049" t="s">
        <v>192</v>
      </c>
    </row>
    <row r="3050" spans="1:5">
      <c r="A3050" t="s">
        <v>7781</v>
      </c>
      <c r="B3050" t="s">
        <v>4024</v>
      </c>
      <c r="C3050" t="s">
        <v>7781</v>
      </c>
      <c r="D3050" t="s">
        <v>192</v>
      </c>
      <c r="E3050" t="s">
        <v>192</v>
      </c>
    </row>
    <row r="3051" spans="1:5">
      <c r="A3051" t="s">
        <v>6103</v>
      </c>
      <c r="B3051" t="s">
        <v>6104</v>
      </c>
      <c r="C3051" t="s">
        <v>6103</v>
      </c>
      <c r="D3051" t="s">
        <v>192</v>
      </c>
      <c r="E3051" t="s">
        <v>192</v>
      </c>
    </row>
    <row r="3052" spans="1:5">
      <c r="A3052" t="s">
        <v>5380</v>
      </c>
      <c r="B3052" t="s">
        <v>5381</v>
      </c>
      <c r="C3052" t="s">
        <v>5380</v>
      </c>
      <c r="D3052" t="s">
        <v>192</v>
      </c>
      <c r="E3052" t="s">
        <v>192</v>
      </c>
    </row>
    <row r="3053" spans="1:5">
      <c r="A3053" t="s">
        <v>5442</v>
      </c>
      <c r="B3053" t="s">
        <v>5443</v>
      </c>
      <c r="C3053" t="s">
        <v>5442</v>
      </c>
      <c r="D3053" t="s">
        <v>192</v>
      </c>
      <c r="E3053" t="s">
        <v>192</v>
      </c>
    </row>
    <row r="3054" spans="1:5">
      <c r="A3054" t="s">
        <v>7782</v>
      </c>
      <c r="B3054" t="s">
        <v>7783</v>
      </c>
      <c r="C3054" t="s">
        <v>7782</v>
      </c>
      <c r="D3054" t="s">
        <v>192</v>
      </c>
      <c r="E3054" t="s">
        <v>192</v>
      </c>
    </row>
    <row r="3055" spans="1:5">
      <c r="A3055" t="s">
        <v>1722</v>
      </c>
      <c r="B3055" t="s">
        <v>1721</v>
      </c>
      <c r="C3055" t="s">
        <v>1722</v>
      </c>
      <c r="D3055">
        <v>1453</v>
      </c>
      <c r="E3055">
        <v>10.039999999999999</v>
      </c>
    </row>
    <row r="3056" spans="1:5">
      <c r="A3056" t="s">
        <v>4956</v>
      </c>
      <c r="B3056" t="s">
        <v>4957</v>
      </c>
      <c r="C3056" t="s">
        <v>4956</v>
      </c>
      <c r="D3056" t="s">
        <v>192</v>
      </c>
      <c r="E3056" t="s">
        <v>192</v>
      </c>
    </row>
    <row r="3057" spans="1:5">
      <c r="A3057" t="s">
        <v>3425</v>
      </c>
      <c r="B3057" t="s">
        <v>3426</v>
      </c>
      <c r="C3057" t="s">
        <v>3425</v>
      </c>
      <c r="D3057" t="s">
        <v>192</v>
      </c>
      <c r="E3057" t="s">
        <v>192</v>
      </c>
    </row>
    <row r="3058" spans="1:5">
      <c r="A3058" t="s">
        <v>5581</v>
      </c>
      <c r="B3058" t="s">
        <v>5582</v>
      </c>
      <c r="C3058" t="s">
        <v>5581</v>
      </c>
      <c r="D3058" t="s">
        <v>192</v>
      </c>
      <c r="E3058" t="s">
        <v>192</v>
      </c>
    </row>
    <row r="3059" spans="1:5">
      <c r="A3059" t="s">
        <v>3966</v>
      </c>
      <c r="B3059" t="s">
        <v>3967</v>
      </c>
      <c r="C3059" t="s">
        <v>3966</v>
      </c>
      <c r="D3059" t="s">
        <v>192</v>
      </c>
      <c r="E3059" t="s">
        <v>192</v>
      </c>
    </row>
    <row r="3060" spans="1:5">
      <c r="A3060" t="s">
        <v>5018</v>
      </c>
      <c r="B3060" t="s">
        <v>5019</v>
      </c>
      <c r="C3060" t="s">
        <v>5018</v>
      </c>
      <c r="D3060" t="s">
        <v>192</v>
      </c>
      <c r="E3060" t="s">
        <v>192</v>
      </c>
    </row>
    <row r="3061" spans="1:5">
      <c r="A3061" t="s">
        <v>6076</v>
      </c>
      <c r="B3061" t="s">
        <v>6077</v>
      </c>
      <c r="C3061" t="s">
        <v>6076</v>
      </c>
      <c r="D3061" t="s">
        <v>192</v>
      </c>
      <c r="E3061" t="s">
        <v>192</v>
      </c>
    </row>
    <row r="3062" spans="1:5">
      <c r="A3062" t="s">
        <v>3310</v>
      </c>
      <c r="B3062" t="s">
        <v>3311</v>
      </c>
      <c r="C3062" t="s">
        <v>3310</v>
      </c>
      <c r="D3062" t="s">
        <v>192</v>
      </c>
      <c r="E3062" t="s">
        <v>192</v>
      </c>
    </row>
    <row r="3063" spans="1:5">
      <c r="A3063" t="s">
        <v>5039</v>
      </c>
      <c r="B3063" t="s">
        <v>5040</v>
      </c>
      <c r="C3063" t="s">
        <v>5039</v>
      </c>
      <c r="D3063" t="s">
        <v>192</v>
      </c>
      <c r="E3063" t="s">
        <v>192</v>
      </c>
    </row>
    <row r="3064" spans="1:5">
      <c r="A3064" t="s">
        <v>4734</v>
      </c>
      <c r="B3064" t="s">
        <v>4735</v>
      </c>
      <c r="C3064" t="s">
        <v>4734</v>
      </c>
      <c r="D3064" t="s">
        <v>192</v>
      </c>
      <c r="E3064" t="s">
        <v>192</v>
      </c>
    </row>
    <row r="3065" spans="1:5">
      <c r="A3065" t="s">
        <v>5708</v>
      </c>
      <c r="B3065" t="s">
        <v>5709</v>
      </c>
      <c r="C3065" t="s">
        <v>5708</v>
      </c>
      <c r="D3065" t="s">
        <v>192</v>
      </c>
      <c r="E3065" t="s">
        <v>192</v>
      </c>
    </row>
    <row r="3066" spans="1:5">
      <c r="A3066" t="s">
        <v>4597</v>
      </c>
      <c r="B3066" t="s">
        <v>4598</v>
      </c>
      <c r="C3066" t="s">
        <v>4597</v>
      </c>
      <c r="D3066" t="s">
        <v>192</v>
      </c>
      <c r="E3066" t="s">
        <v>192</v>
      </c>
    </row>
    <row r="3067" spans="1:5">
      <c r="A3067" t="s">
        <v>7784</v>
      </c>
      <c r="B3067" t="s">
        <v>5467</v>
      </c>
      <c r="C3067" t="s">
        <v>7784</v>
      </c>
      <c r="D3067" t="s">
        <v>192</v>
      </c>
      <c r="E3067" t="s">
        <v>192</v>
      </c>
    </row>
    <row r="3068" spans="1:5">
      <c r="A3068" t="s">
        <v>5466</v>
      </c>
      <c r="B3068" t="s">
        <v>5467</v>
      </c>
      <c r="C3068" t="s">
        <v>5466</v>
      </c>
      <c r="D3068" t="s">
        <v>192</v>
      </c>
      <c r="E3068" t="s">
        <v>192</v>
      </c>
    </row>
    <row r="3069" spans="1:5">
      <c r="A3069" t="s">
        <v>5006</v>
      </c>
      <c r="B3069" t="s">
        <v>5007</v>
      </c>
      <c r="C3069" t="s">
        <v>5006</v>
      </c>
      <c r="D3069" t="s">
        <v>192</v>
      </c>
      <c r="E3069" t="s">
        <v>192</v>
      </c>
    </row>
    <row r="3070" spans="1:5">
      <c r="A3070" t="s">
        <v>5621</v>
      </c>
      <c r="B3070" t="s">
        <v>5622</v>
      </c>
      <c r="C3070" t="s">
        <v>5621</v>
      </c>
      <c r="D3070" t="s">
        <v>192</v>
      </c>
      <c r="E3070" t="s">
        <v>192</v>
      </c>
    </row>
    <row r="3071" spans="1:5">
      <c r="A3071" t="s">
        <v>1720</v>
      </c>
      <c r="B3071" t="s">
        <v>1718</v>
      </c>
      <c r="C3071" t="s">
        <v>1720</v>
      </c>
      <c r="D3071">
        <v>119</v>
      </c>
      <c r="E3071">
        <v>5.82</v>
      </c>
    </row>
    <row r="3072" spans="1:5">
      <c r="A3072" t="s">
        <v>1719</v>
      </c>
      <c r="B3072" t="s">
        <v>1718</v>
      </c>
      <c r="C3072" t="s">
        <v>1719</v>
      </c>
      <c r="D3072">
        <v>119</v>
      </c>
      <c r="E3072">
        <v>5.82</v>
      </c>
    </row>
    <row r="3073" spans="1:5">
      <c r="A3073" t="s">
        <v>4874</v>
      </c>
      <c r="B3073" t="s">
        <v>4875</v>
      </c>
      <c r="C3073" t="s">
        <v>4874</v>
      </c>
      <c r="D3073" t="s">
        <v>192</v>
      </c>
      <c r="E3073" t="s">
        <v>192</v>
      </c>
    </row>
    <row r="3074" spans="1:5">
      <c r="A3074" t="s">
        <v>5810</v>
      </c>
      <c r="B3074" t="s">
        <v>5811</v>
      </c>
      <c r="C3074" t="s">
        <v>5810</v>
      </c>
      <c r="D3074" t="s">
        <v>192</v>
      </c>
      <c r="E3074" t="s">
        <v>192</v>
      </c>
    </row>
    <row r="3075" spans="1:5">
      <c r="A3075" t="s">
        <v>5891</v>
      </c>
      <c r="B3075" t="s">
        <v>5892</v>
      </c>
      <c r="C3075" t="s">
        <v>5891</v>
      </c>
      <c r="D3075" t="s">
        <v>192</v>
      </c>
      <c r="E3075" t="s">
        <v>192</v>
      </c>
    </row>
    <row r="3076" spans="1:5">
      <c r="A3076" t="s">
        <v>1717</v>
      </c>
      <c r="B3076" t="s">
        <v>1716</v>
      </c>
      <c r="C3076" t="s">
        <v>1717</v>
      </c>
      <c r="D3076">
        <v>661</v>
      </c>
      <c r="E3076">
        <v>3.51</v>
      </c>
    </row>
    <row r="3077" spans="1:5">
      <c r="A3077" t="s">
        <v>1715</v>
      </c>
      <c r="B3077" t="s">
        <v>1714</v>
      </c>
      <c r="C3077" t="s">
        <v>1715</v>
      </c>
      <c r="D3077">
        <v>787</v>
      </c>
      <c r="E3077">
        <v>2.5499999999999998</v>
      </c>
    </row>
    <row r="3078" spans="1:5">
      <c r="A3078" t="s">
        <v>1713</v>
      </c>
      <c r="B3078" t="s">
        <v>1712</v>
      </c>
      <c r="C3078" t="s">
        <v>1713</v>
      </c>
      <c r="D3078">
        <v>628</v>
      </c>
      <c r="E3078">
        <v>6</v>
      </c>
    </row>
    <row r="3079" spans="1:5">
      <c r="A3079" t="s">
        <v>1711</v>
      </c>
      <c r="B3079" t="s">
        <v>1710</v>
      </c>
      <c r="C3079" t="s">
        <v>1711</v>
      </c>
      <c r="D3079">
        <v>152</v>
      </c>
      <c r="E3079">
        <v>26.18</v>
      </c>
    </row>
    <row r="3080" spans="1:5">
      <c r="A3080" t="s">
        <v>1709</v>
      </c>
      <c r="B3080" t="s">
        <v>1707</v>
      </c>
      <c r="C3080" t="s">
        <v>1709</v>
      </c>
      <c r="D3080">
        <v>1542</v>
      </c>
      <c r="E3080">
        <v>6.47</v>
      </c>
    </row>
    <row r="3081" spans="1:5">
      <c r="A3081" t="s">
        <v>1708</v>
      </c>
      <c r="B3081" t="s">
        <v>1707</v>
      </c>
      <c r="C3081" t="s">
        <v>1708</v>
      </c>
      <c r="D3081">
        <v>1542</v>
      </c>
      <c r="E3081">
        <v>6.47</v>
      </c>
    </row>
    <row r="3082" spans="1:5">
      <c r="A3082" t="s">
        <v>6307</v>
      </c>
      <c r="B3082" t="s">
        <v>6308</v>
      </c>
      <c r="C3082" t="s">
        <v>6307</v>
      </c>
      <c r="D3082" t="s">
        <v>192</v>
      </c>
      <c r="E3082" t="s">
        <v>192</v>
      </c>
    </row>
    <row r="3083" spans="1:5">
      <c r="A3083" t="s">
        <v>7785</v>
      </c>
      <c r="B3083" t="s">
        <v>5195</v>
      </c>
      <c r="C3083" t="s">
        <v>7785</v>
      </c>
      <c r="D3083" t="s">
        <v>192</v>
      </c>
      <c r="E3083" t="s">
        <v>192</v>
      </c>
    </row>
    <row r="3084" spans="1:5">
      <c r="A3084" t="s">
        <v>5194</v>
      </c>
      <c r="B3084" t="s">
        <v>5195</v>
      </c>
      <c r="C3084" t="s">
        <v>5194</v>
      </c>
      <c r="D3084" t="s">
        <v>192</v>
      </c>
      <c r="E3084" t="s">
        <v>192</v>
      </c>
    </row>
  </sheetData>
  <autoFilter ref="A4:E4" xr:uid="{795AA1F0-42ED-6946-9BC7-6E39444928AA}">
    <sortState xmlns:xlrd2="http://schemas.microsoft.com/office/spreadsheetml/2017/richdata2" ref="A5:E3084">
      <sortCondition descending="1" ref="C4:C3084"/>
    </sortState>
  </autoFilter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B27FB4-90CA-764A-ADEB-363A5B4EF9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17</vt:i4>
      </vt:variant>
    </vt:vector>
  </HeadingPairs>
  <TitlesOfParts>
    <vt:vector size="41" baseType="lpstr">
      <vt:lpstr>Price Record</vt:lpstr>
      <vt:lpstr>Cement</vt:lpstr>
      <vt:lpstr>MOPFRA</vt:lpstr>
      <vt:lpstr>Sales Rec</vt:lpstr>
      <vt:lpstr>Last M. Sales</vt:lpstr>
      <vt:lpstr>Sales History</vt:lpstr>
      <vt:lpstr>Cement Portfolio</vt:lpstr>
      <vt:lpstr>MOPFRA Portfolio</vt:lpstr>
      <vt:lpstr>In &amp; Out</vt:lpstr>
      <vt:lpstr>Cem Sales</vt:lpstr>
      <vt:lpstr>Cem_Export</vt:lpstr>
      <vt:lpstr>Cem-Domestic</vt:lpstr>
      <vt:lpstr>History Records</vt:lpstr>
      <vt:lpstr>Definitions</vt:lpstr>
      <vt:lpstr>Sales Record Entry</vt:lpstr>
      <vt:lpstr>Cement SUMMARY</vt:lpstr>
      <vt:lpstr>MOPFRA Summary</vt:lpstr>
      <vt:lpstr>Cement Ranking</vt:lpstr>
      <vt:lpstr>MOPFRA Ranking</vt:lpstr>
      <vt:lpstr>PE Move</vt:lpstr>
      <vt:lpstr>Data Entry Form</vt:lpstr>
      <vt:lpstr>دیده بان بازار</vt:lpstr>
      <vt:lpstr>Analyze</vt:lpstr>
      <vt:lpstr>اسامی و کدها</vt:lpstr>
      <vt:lpstr>'Data Entry Form'!_FilterDatabase</vt:lpstr>
      <vt:lpstr>mycementtable</vt:lpstr>
      <vt:lpstr>'Cem Sales'!Print_Area</vt:lpstr>
      <vt:lpstr>'Cement Portfolio'!Print_Area</vt:lpstr>
      <vt:lpstr>'Cement SUMMARY'!Print_Area</vt:lpstr>
      <vt:lpstr>'Data Entry Form'!Print_Area</vt:lpstr>
      <vt:lpstr>Definitions!Print_Area</vt:lpstr>
      <vt:lpstr>'Last M. Sales'!Print_Area</vt:lpstr>
      <vt:lpstr>'MOPFRA Portfolio'!Print_Area</vt:lpstr>
      <vt:lpstr>'MOPFRA Summary'!Print_Area</vt:lpstr>
      <vt:lpstr>'Price Record'!Print_Area</vt:lpstr>
      <vt:lpstr>'Sales Record Entry'!Print_Area</vt:lpstr>
      <vt:lpstr>'Cem Sales'!Print_Titles</vt:lpstr>
      <vt:lpstr>'Data Entry Form'!Print_Titles</vt:lpstr>
      <vt:lpstr>'Last M. Sales'!Print_Titles</vt:lpstr>
      <vt:lpstr>'MOPFRA Summary'!Print_Titles</vt:lpstr>
      <vt:lpstr>'Sales Record Entry'!Print_Titles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 Alipour</dc:creator>
  <cp:keywords/>
  <dc:description/>
  <cp:lastModifiedBy>Ahmad Alipour</cp:lastModifiedBy>
  <cp:revision/>
  <cp:lastPrinted>2026-08-04T12:22:29Z</cp:lastPrinted>
  <dcterms:created xsi:type="dcterms:W3CDTF">2021-09-27T07:31:50Z</dcterms:created>
  <dcterms:modified xsi:type="dcterms:W3CDTF">2026-08-05T12:59:43Z</dcterms:modified>
  <cp:category/>
  <cp:contentStatus/>
</cp:coreProperties>
</file>